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Helpers" sheetId="4" state="visible" r:id="rId4"/>
    <sheet xmlns:r="http://schemas.openxmlformats.org/officeDocument/2006/relationships" name="Calc" sheetId="5" state="visible" r:id="rId5"/>
  </sheets>
  <definedNames>
    <definedName name="Seed">Generator!$B$4</definedName>
    <definedName name="StartDate">Generator!$B$5</definedName>
    <definedName name="Days">Generator!$B$6</definedName>
    <definedName name="Dist">Generator!$B$7</definedName>
    <definedName name="DistA">Generator!$B$8</definedName>
    <definedName name="DistB">Generator!$B$9</definedName>
    <definedName name="Rho">Generator!$B$10</definedName>
    <definedName name="Trend">Generator!$B$11</definedName>
    <definedName name="Spread">Generator!$B$12</definedName>
    <definedName name="Dow">Generator!$B$16:$H$16</definedName>
    <definedName name="MineNames">Generator!$B$19:$B$28</definedName>
    <definedName name="MineCount">Generator!$B$29</definedName>
    <definedName name="EvDate">Generator!$B$33:$B$38</definedName>
    <definedName name="EvDur">Generator!$C$33:$C$38</definedName>
    <definedName name="EvFactor">Generator!$D$33:$D$38</definedName>
    <definedName name="EvProb">Generator!$E$33:$E$38</definedName>
    <definedName name="EvN">Generator!$F$33:$F$38</definedName>
    <definedName name="MineScale">Helpers!$C$2:$C$11</definedName>
    <definedName name="EvEff">Helpers!$B$14:$B$19</definedName>
    <definedName name="EvCenter">Helpers!$C$14:$C$19</definedName>
    <definedName name="EvSigma">Helpers!$D$14:$D$19</definedName>
    <definedName name="Affected">Helpers!$O$14:$X$19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B4A6B"/>
      </patternFill>
    </fill>
    <fill>
      <patternFill patternType="solid">
        <fgColor rgb="00EEF1F6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FC6D4"/>
      </left>
      <right style="thin">
        <color rgb="00BFC6D4"/>
      </right>
      <top style="thin">
        <color rgb="00BFC6D4"/>
      </top>
      <bottom style="thin">
        <color rgb="00BFC6D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0" fontId="0" fillId="5" borderId="1" pivotButton="0" quotePrefix="0" xfId="0"/>
    <xf numFmtId="9" fontId="0" fillId="5" borderId="1" pivotButton="0" quotePrefix="0" xfId="0"/>
    <xf numFmtId="0" fontId="3" fillId="4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3" fillId="0" borderId="1" pivotButton="0" quotePrefix="0" xfId="0"/>
    <xf numFmtId="164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1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Weyland-Yutani Corporation  |  Mining Ops Simulator</t>
        </is>
      </c>
    </row>
    <row r="3">
      <c r="A3" s="2" t="inlineStr">
        <is>
          <t>Range and randomness</t>
        </is>
      </c>
    </row>
    <row r="4">
      <c r="A4" s="3" t="inlineStr">
        <is>
          <t>Seed</t>
        </is>
      </c>
      <c r="B4" s="4" t="n">
        <v>42</v>
      </c>
    </row>
    <row r="5">
      <c r="A5" s="3" t="inlineStr">
        <is>
          <t>Start date</t>
        </is>
      </c>
      <c r="B5" s="5" t="n">
        <v>46023</v>
      </c>
    </row>
    <row r="6">
      <c r="A6" s="3" t="inlineStr">
        <is>
          <t>Days (1-730)</t>
        </is>
      </c>
      <c r="B6" s="4" t="n">
        <v>180</v>
      </c>
    </row>
    <row r="7">
      <c r="A7" s="3" t="inlineStr">
        <is>
          <t>Distribution</t>
        </is>
      </c>
      <c r="B7" s="4" t="inlineStr">
        <is>
          <t>Normal</t>
        </is>
      </c>
    </row>
    <row r="8">
      <c r="A8" s="3">
        <f>IF(Dist="Normal","Mean","Minimum")</f>
        <v/>
      </c>
      <c r="B8" s="4" t="n">
        <v>1000</v>
      </c>
    </row>
    <row r="9">
      <c r="A9" s="3">
        <f>IF(Dist="Normal","Standard deviation","Maximum")</f>
        <v/>
      </c>
      <c r="B9" s="4" t="n">
        <v>120</v>
      </c>
    </row>
    <row r="10">
      <c r="A10" s="3" t="inlineStr">
        <is>
          <t>Smoothing / correlation (0-0.99)</t>
        </is>
      </c>
      <c r="B10" s="4" t="n">
        <v>0.75</v>
      </c>
    </row>
    <row r="11">
      <c r="A11" s="3" t="inlineStr">
        <is>
          <t>Trend (growth per day)</t>
        </is>
      </c>
      <c r="B11" s="6" t="n">
        <v>0.001</v>
      </c>
    </row>
    <row r="12">
      <c r="A12" s="3" t="inlineStr">
        <is>
          <t>Mine size spread</t>
        </is>
      </c>
      <c r="B12" s="7" t="n">
        <v>0.3</v>
      </c>
    </row>
    <row r="14">
      <c r="A14" s="2" t="inlineStr">
        <is>
          <t>Day-of-week factors</t>
        </is>
      </c>
    </row>
    <row r="15">
      <c r="B15" s="8" t="inlineStr">
        <is>
          <t>Mon</t>
        </is>
      </c>
      <c r="C15" s="8" t="inlineStr">
        <is>
          <t>Tue</t>
        </is>
      </c>
      <c r="D15" s="8" t="inlineStr">
        <is>
          <t>Wed</t>
        </is>
      </c>
      <c r="E15" s="8" t="inlineStr">
        <is>
          <t>Thu</t>
        </is>
      </c>
      <c r="F15" s="8" t="inlineStr">
        <is>
          <t>Fri</t>
        </is>
      </c>
      <c r="G15" s="8" t="inlineStr">
        <is>
          <t>Sat</t>
        </is>
      </c>
      <c r="H15" s="8" t="inlineStr">
        <is>
          <t>Sun</t>
        </is>
      </c>
    </row>
    <row r="16">
      <c r="A16" s="3" t="inlineStr">
        <is>
          <t>Output multiplier</t>
        </is>
      </c>
      <c r="B16" s="9" t="n">
        <v>1</v>
      </c>
      <c r="C16" s="9" t="n">
        <v>1.02</v>
      </c>
      <c r="D16" s="9" t="n">
        <v>1.03</v>
      </c>
      <c r="E16" s="9" t="n">
        <v>1.01</v>
      </c>
      <c r="F16" s="9" t="n">
        <v>0.97</v>
      </c>
      <c r="G16" s="9" t="n">
        <v>0.75</v>
      </c>
      <c r="H16" s="9" t="n">
        <v>0.6</v>
      </c>
    </row>
    <row r="18">
      <c r="A18" s="2" t="inlineStr">
        <is>
          <t>Mines (fill from the top, up to 10)</t>
        </is>
      </c>
    </row>
    <row r="19">
      <c r="A19" s="3" t="inlineStr">
        <is>
          <t>Mine 1</t>
        </is>
      </c>
      <c r="B19" s="4" t="inlineStr">
        <is>
          <t>LV-426</t>
        </is>
      </c>
    </row>
    <row r="20">
      <c r="A20" s="3" t="inlineStr">
        <is>
          <t>Mine 2</t>
        </is>
      </c>
      <c r="B20" s="4" t="inlineStr">
        <is>
          <t>Origae-6</t>
        </is>
      </c>
    </row>
    <row r="21">
      <c r="A21" s="3" t="inlineStr">
        <is>
          <t>Mine 3</t>
        </is>
      </c>
      <c r="B21" s="4" t="inlineStr">
        <is>
          <t>Fiorina 161</t>
        </is>
      </c>
    </row>
    <row r="22">
      <c r="A22" s="3" t="inlineStr">
        <is>
          <t>Mine 4</t>
        </is>
      </c>
      <c r="B22" s="4" t="inlineStr">
        <is>
          <t>Hadley's Hope</t>
        </is>
      </c>
    </row>
    <row r="23">
      <c r="A23" s="3" t="inlineStr">
        <is>
          <t>Mine 5</t>
        </is>
      </c>
      <c r="B23" s="4" t="inlineStr">
        <is>
          <t>Thedus</t>
        </is>
      </c>
    </row>
    <row r="24">
      <c r="A24" s="3" t="inlineStr">
        <is>
          <t>Mine 6</t>
        </is>
      </c>
      <c r="B24" s="4" t="n"/>
    </row>
    <row r="25">
      <c r="A25" s="3" t="inlineStr">
        <is>
          <t>Mine 7</t>
        </is>
      </c>
      <c r="B25" s="4" t="n"/>
    </row>
    <row r="26">
      <c r="A26" s="3" t="inlineStr">
        <is>
          <t>Mine 8</t>
        </is>
      </c>
      <c r="B26" s="4" t="n"/>
    </row>
    <row r="27">
      <c r="A27" s="3" t="inlineStr">
        <is>
          <t>Mine 9</t>
        </is>
      </c>
      <c r="B27" s="4" t="n"/>
    </row>
    <row r="28">
      <c r="A28" s="3" t="inlineStr">
        <is>
          <t>Mine 10</t>
        </is>
      </c>
      <c r="B28" s="4" t="n"/>
    </row>
    <row r="29">
      <c r="A29" s="3" t="inlineStr">
        <is>
          <t>Number of mines</t>
        </is>
      </c>
      <c r="B29" s="10">
        <f>COUNTA(MineNames)</f>
        <v/>
      </c>
    </row>
    <row r="31">
      <c r="A31" s="2" t="inlineStr">
        <is>
          <t>Events (spikes and drops, bell-shaped)</t>
        </is>
      </c>
    </row>
    <row r="32">
      <c r="A32" s="8" t="inlineStr">
        <is>
          <t>Event</t>
        </is>
      </c>
      <c r="B32" s="8" t="inlineStr">
        <is>
          <t>Date</t>
        </is>
      </c>
      <c r="C32" s="8" t="inlineStr">
        <is>
          <t>Duration (days)</t>
        </is>
      </c>
      <c r="D32" s="8" t="inlineStr">
        <is>
          <t>Factor</t>
        </is>
      </c>
      <c r="E32" s="8" t="inlineStr">
        <is>
          <t>Probability</t>
        </is>
      </c>
      <c r="F32" s="8" t="inlineStr">
        <is>
          <t>Mines affected</t>
        </is>
      </c>
    </row>
    <row r="33">
      <c r="A33" s="3" t="inlineStr">
        <is>
          <t>Event 1</t>
        </is>
      </c>
      <c r="B33" s="11" t="n">
        <v>46063</v>
      </c>
      <c r="C33" s="12" t="n">
        <v>4</v>
      </c>
      <c r="D33" s="9" t="n">
        <v>0.35</v>
      </c>
      <c r="E33" s="13" t="n">
        <v>1</v>
      </c>
      <c r="F33" s="12" t="n"/>
    </row>
    <row r="34">
      <c r="A34" s="3" t="inlineStr">
        <is>
          <t>Event 2</t>
        </is>
      </c>
      <c r="B34" s="11" t="n">
        <v>46101</v>
      </c>
      <c r="C34" s="12" t="n">
        <v>2</v>
      </c>
      <c r="D34" s="9" t="n">
        <v>1.8</v>
      </c>
      <c r="E34" s="13" t="n">
        <v>0.5</v>
      </c>
      <c r="F34" s="12" t="n"/>
    </row>
    <row r="35">
      <c r="A35" s="3" t="inlineStr">
        <is>
          <t>Event 3</t>
        </is>
      </c>
      <c r="B35" s="11" t="n">
        <v>46137</v>
      </c>
      <c r="C35" s="12" t="n">
        <v>6</v>
      </c>
      <c r="D35" s="9" t="n">
        <v>0.6</v>
      </c>
      <c r="E35" s="13" t="n"/>
      <c r="F35" s="12" t="n">
        <v>2</v>
      </c>
    </row>
    <row r="36">
      <c r="A36" s="3" t="inlineStr">
        <is>
          <t>Event 4</t>
        </is>
      </c>
      <c r="B36" s="11" t="n">
        <v>46172</v>
      </c>
      <c r="C36" s="12" t="n">
        <v>3</v>
      </c>
      <c r="D36" s="9" t="n">
        <v>1.6</v>
      </c>
      <c r="E36" s="13" t="n">
        <v>0.3</v>
      </c>
      <c r="F36" s="12" t="n"/>
    </row>
    <row r="37">
      <c r="A37" s="3" t="inlineStr">
        <is>
          <t>Event 5</t>
        </is>
      </c>
      <c r="B37" s="11" t="n"/>
      <c r="C37" s="12" t="n"/>
      <c r="D37" s="9" t="n"/>
      <c r="E37" s="13" t="n"/>
      <c r="F37" s="12" t="n"/>
    </row>
    <row r="38">
      <c r="A38" s="3" t="inlineStr">
        <is>
          <t>Event 6</t>
        </is>
      </c>
      <c r="B38" s="11" t="n"/>
      <c r="C38" s="12" t="n"/>
      <c r="D38" s="9" t="n"/>
      <c r="E38" s="13" t="n"/>
      <c r="F38" s="12" t="n"/>
    </row>
    <row r="40">
      <c r="A40" s="14" t="inlineStr">
        <is>
          <t>Yellow cells are inputs. Factor &lt; 1 is a drop, &gt; 1 is a spike. Probability is the chance that a mine is affected; if 'Mines affected' is set, exactly that many randomly chosen mines are affected instead. Results are reproducible for the same seed.</t>
        </is>
      </c>
    </row>
    <row r="41"/>
    <row r="42"/>
  </sheetData>
  <mergeCells count="6">
    <mergeCell ref="A18:H18"/>
    <mergeCell ref="A3:H3"/>
    <mergeCell ref="A14:H14"/>
    <mergeCell ref="A40:H42"/>
    <mergeCell ref="A1:H1"/>
    <mergeCell ref="A31:H31"/>
  </mergeCells>
  <dataValidations count="5">
    <dataValidation sqref="B6" showDropDown="0" showInputMessage="0" showErrorMessage="1" allowBlank="1" type="whole" operator="between">
      <formula1>1</formula1>
      <formula2>730</formula2>
    </dataValidation>
    <dataValidation sqref="B7" showDropDown="0" showInputMessage="0" showErrorMessage="1" allowBlank="1" type="list">
      <formula1>"Normal,Uniform"</formula1>
    </dataValidation>
    <dataValidation sqref="B10" showDropDown="0" showInputMessage="0" showErrorMessage="1" allowBlank="1" type="decimal" operator="between">
      <formula1>0</formula1>
      <formula2>0.99</formula2>
    </dataValidation>
    <dataValidation sqref="E33:E38" showDropDown="0" showInputMessage="0" showErrorMessage="1" allowBlank="1" type="decimal" operator="between">
      <formula1>0</formula1>
      <formula2>1</formula2>
    </dataValidation>
    <dataValidation sqref="F33:F38" showDropDown="0" showInputMessage="0" showErrorMessage="1" allowBlank="1" type="whole" operator="between">
      <formula1>0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</cols>
  <sheetData>
    <row r="1">
      <c r="A1" s="15" t="inlineStr">
        <is>
          <t>Date</t>
        </is>
      </c>
      <c r="B1" s="15" t="inlineStr">
        <is>
          <t>Mine</t>
        </is>
      </c>
      <c r="C1" s="15" t="inlineStr">
        <is>
          <t>Output</t>
        </is>
      </c>
    </row>
    <row r="2">
      <c r="A2" s="16">
        <f>IF(Calc!$B2,Calc!E2,"")</f>
        <v/>
      </c>
      <c r="B2">
        <f>IF(Calc!$B2,INDEX(MineNames,Calc!C2),"")</f>
        <v/>
      </c>
      <c r="C2" s="17">
        <f>IF(Calc!$B2,Calc!O2,"")</f>
        <v/>
      </c>
    </row>
    <row r="3">
      <c r="A3" s="16">
        <f>IF(Calc!$B3,Calc!E3,"")</f>
        <v/>
      </c>
      <c r="B3">
        <f>IF(Calc!$B3,INDEX(MineNames,Calc!C3),"")</f>
        <v/>
      </c>
      <c r="C3" s="17">
        <f>IF(Calc!$B3,Calc!O3,"")</f>
        <v/>
      </c>
    </row>
    <row r="4">
      <c r="A4" s="16">
        <f>IF(Calc!$B4,Calc!E4,"")</f>
        <v/>
      </c>
      <c r="B4">
        <f>IF(Calc!$B4,INDEX(MineNames,Calc!C4),"")</f>
        <v/>
      </c>
      <c r="C4" s="17">
        <f>IF(Calc!$B4,Calc!O4,"")</f>
        <v/>
      </c>
    </row>
    <row r="5">
      <c r="A5" s="16">
        <f>IF(Calc!$B5,Calc!E5,"")</f>
        <v/>
      </c>
      <c r="B5">
        <f>IF(Calc!$B5,INDEX(MineNames,Calc!C5),"")</f>
        <v/>
      </c>
      <c r="C5" s="17">
        <f>IF(Calc!$B5,Calc!O5,"")</f>
        <v/>
      </c>
    </row>
    <row r="6">
      <c r="A6" s="16">
        <f>IF(Calc!$B6,Calc!E6,"")</f>
        <v/>
      </c>
      <c r="B6">
        <f>IF(Calc!$B6,INDEX(MineNames,Calc!C6),"")</f>
        <v/>
      </c>
      <c r="C6" s="17">
        <f>IF(Calc!$B6,Calc!O6,"")</f>
        <v/>
      </c>
    </row>
    <row r="7">
      <c r="A7" s="16">
        <f>IF(Calc!$B7,Calc!E7,"")</f>
        <v/>
      </c>
      <c r="B7">
        <f>IF(Calc!$B7,INDEX(MineNames,Calc!C7),"")</f>
        <v/>
      </c>
      <c r="C7" s="17">
        <f>IF(Calc!$B7,Calc!O7,"")</f>
        <v/>
      </c>
    </row>
    <row r="8">
      <c r="A8" s="16">
        <f>IF(Calc!$B8,Calc!E8,"")</f>
        <v/>
      </c>
      <c r="B8">
        <f>IF(Calc!$B8,INDEX(MineNames,Calc!C8),"")</f>
        <v/>
      </c>
      <c r="C8" s="17">
        <f>IF(Calc!$B8,Calc!O8,"")</f>
        <v/>
      </c>
    </row>
    <row r="9">
      <c r="A9" s="16">
        <f>IF(Calc!$B9,Calc!E9,"")</f>
        <v/>
      </c>
      <c r="B9">
        <f>IF(Calc!$B9,INDEX(MineNames,Calc!C9),"")</f>
        <v/>
      </c>
      <c r="C9" s="17">
        <f>IF(Calc!$B9,Calc!O9,"")</f>
        <v/>
      </c>
    </row>
    <row r="10">
      <c r="A10" s="16">
        <f>IF(Calc!$B10,Calc!E10,"")</f>
        <v/>
      </c>
      <c r="B10">
        <f>IF(Calc!$B10,INDEX(MineNames,Calc!C10),"")</f>
        <v/>
      </c>
      <c r="C10" s="17">
        <f>IF(Calc!$B10,Calc!O10,"")</f>
        <v/>
      </c>
    </row>
    <row r="11">
      <c r="A11" s="16">
        <f>IF(Calc!$B11,Calc!E11,"")</f>
        <v/>
      </c>
      <c r="B11">
        <f>IF(Calc!$B11,INDEX(MineNames,Calc!C11),"")</f>
        <v/>
      </c>
      <c r="C11" s="17">
        <f>IF(Calc!$B11,Calc!O11,"")</f>
        <v/>
      </c>
    </row>
    <row r="12">
      <c r="A12" s="16">
        <f>IF(Calc!$B12,Calc!E12,"")</f>
        <v/>
      </c>
      <c r="B12">
        <f>IF(Calc!$B12,INDEX(MineNames,Calc!C12),"")</f>
        <v/>
      </c>
      <c r="C12" s="17">
        <f>IF(Calc!$B12,Calc!O12,"")</f>
        <v/>
      </c>
    </row>
    <row r="13">
      <c r="A13" s="16">
        <f>IF(Calc!$B13,Calc!E13,"")</f>
        <v/>
      </c>
      <c r="B13">
        <f>IF(Calc!$B13,INDEX(MineNames,Calc!C13),"")</f>
        <v/>
      </c>
      <c r="C13" s="17">
        <f>IF(Calc!$B13,Calc!O13,"")</f>
        <v/>
      </c>
    </row>
    <row r="14">
      <c r="A14" s="16">
        <f>IF(Calc!$B14,Calc!E14,"")</f>
        <v/>
      </c>
      <c r="B14">
        <f>IF(Calc!$B14,INDEX(MineNames,Calc!C14),"")</f>
        <v/>
      </c>
      <c r="C14" s="17">
        <f>IF(Calc!$B14,Calc!O14,"")</f>
        <v/>
      </c>
    </row>
    <row r="15">
      <c r="A15" s="16">
        <f>IF(Calc!$B15,Calc!E15,"")</f>
        <v/>
      </c>
      <c r="B15">
        <f>IF(Calc!$B15,INDEX(MineNames,Calc!C15),"")</f>
        <v/>
      </c>
      <c r="C15" s="17">
        <f>IF(Calc!$B15,Calc!O15,"")</f>
        <v/>
      </c>
    </row>
    <row r="16">
      <c r="A16" s="16">
        <f>IF(Calc!$B16,Calc!E16,"")</f>
        <v/>
      </c>
      <c r="B16">
        <f>IF(Calc!$B16,INDEX(MineNames,Calc!C16),"")</f>
        <v/>
      </c>
      <c r="C16" s="17">
        <f>IF(Calc!$B16,Calc!O16,"")</f>
        <v/>
      </c>
    </row>
    <row r="17">
      <c r="A17" s="16">
        <f>IF(Calc!$B17,Calc!E17,"")</f>
        <v/>
      </c>
      <c r="B17">
        <f>IF(Calc!$B17,INDEX(MineNames,Calc!C17),"")</f>
        <v/>
      </c>
      <c r="C17" s="17">
        <f>IF(Calc!$B17,Calc!O17,"")</f>
        <v/>
      </c>
    </row>
    <row r="18">
      <c r="A18" s="16">
        <f>IF(Calc!$B18,Calc!E18,"")</f>
        <v/>
      </c>
      <c r="B18">
        <f>IF(Calc!$B18,INDEX(MineNames,Calc!C18),"")</f>
        <v/>
      </c>
      <c r="C18" s="17">
        <f>IF(Calc!$B18,Calc!O18,"")</f>
        <v/>
      </c>
    </row>
    <row r="19">
      <c r="A19" s="16">
        <f>IF(Calc!$B19,Calc!E19,"")</f>
        <v/>
      </c>
      <c r="B19">
        <f>IF(Calc!$B19,INDEX(MineNames,Calc!C19),"")</f>
        <v/>
      </c>
      <c r="C19" s="17">
        <f>IF(Calc!$B19,Calc!O19,"")</f>
        <v/>
      </c>
    </row>
    <row r="20">
      <c r="A20" s="16">
        <f>IF(Calc!$B20,Calc!E20,"")</f>
        <v/>
      </c>
      <c r="B20">
        <f>IF(Calc!$B20,INDEX(MineNames,Calc!C20),"")</f>
        <v/>
      </c>
      <c r="C20" s="17">
        <f>IF(Calc!$B20,Calc!O20,"")</f>
        <v/>
      </c>
    </row>
    <row r="21">
      <c r="A21" s="16">
        <f>IF(Calc!$B21,Calc!E21,"")</f>
        <v/>
      </c>
      <c r="B21">
        <f>IF(Calc!$B21,INDEX(MineNames,Calc!C21),"")</f>
        <v/>
      </c>
      <c r="C21" s="17">
        <f>IF(Calc!$B21,Calc!O21,"")</f>
        <v/>
      </c>
    </row>
    <row r="22">
      <c r="A22" s="16">
        <f>IF(Calc!$B22,Calc!E22,"")</f>
        <v/>
      </c>
      <c r="B22">
        <f>IF(Calc!$B22,INDEX(MineNames,Calc!C22),"")</f>
        <v/>
      </c>
      <c r="C22" s="17">
        <f>IF(Calc!$B22,Calc!O22,"")</f>
        <v/>
      </c>
    </row>
    <row r="23">
      <c r="A23" s="16">
        <f>IF(Calc!$B23,Calc!E23,"")</f>
        <v/>
      </c>
      <c r="B23">
        <f>IF(Calc!$B23,INDEX(MineNames,Calc!C23),"")</f>
        <v/>
      </c>
      <c r="C23" s="17">
        <f>IF(Calc!$B23,Calc!O23,"")</f>
        <v/>
      </c>
    </row>
    <row r="24">
      <c r="A24" s="16">
        <f>IF(Calc!$B24,Calc!E24,"")</f>
        <v/>
      </c>
      <c r="B24">
        <f>IF(Calc!$B24,INDEX(MineNames,Calc!C24),"")</f>
        <v/>
      </c>
      <c r="C24" s="17">
        <f>IF(Calc!$B24,Calc!O24,"")</f>
        <v/>
      </c>
    </row>
    <row r="25">
      <c r="A25" s="16">
        <f>IF(Calc!$B25,Calc!E25,"")</f>
        <v/>
      </c>
      <c r="B25">
        <f>IF(Calc!$B25,INDEX(MineNames,Calc!C25),"")</f>
        <v/>
      </c>
      <c r="C25" s="17">
        <f>IF(Calc!$B25,Calc!O25,"")</f>
        <v/>
      </c>
    </row>
    <row r="26">
      <c r="A26" s="16">
        <f>IF(Calc!$B26,Calc!E26,"")</f>
        <v/>
      </c>
      <c r="B26">
        <f>IF(Calc!$B26,INDEX(MineNames,Calc!C26),"")</f>
        <v/>
      </c>
      <c r="C26" s="17">
        <f>IF(Calc!$B26,Calc!O26,"")</f>
        <v/>
      </c>
    </row>
    <row r="27">
      <c r="A27" s="16">
        <f>IF(Calc!$B27,Calc!E27,"")</f>
        <v/>
      </c>
      <c r="B27">
        <f>IF(Calc!$B27,INDEX(MineNames,Calc!C27),"")</f>
        <v/>
      </c>
      <c r="C27" s="17">
        <f>IF(Calc!$B27,Calc!O27,"")</f>
        <v/>
      </c>
    </row>
    <row r="28">
      <c r="A28" s="16">
        <f>IF(Calc!$B28,Calc!E28,"")</f>
        <v/>
      </c>
      <c r="B28">
        <f>IF(Calc!$B28,INDEX(MineNames,Calc!C28),"")</f>
        <v/>
      </c>
      <c r="C28" s="17">
        <f>IF(Calc!$B28,Calc!O28,"")</f>
        <v/>
      </c>
    </row>
    <row r="29">
      <c r="A29" s="16">
        <f>IF(Calc!$B29,Calc!E29,"")</f>
        <v/>
      </c>
      <c r="B29">
        <f>IF(Calc!$B29,INDEX(MineNames,Calc!C29),"")</f>
        <v/>
      </c>
      <c r="C29" s="17">
        <f>IF(Calc!$B29,Calc!O29,"")</f>
        <v/>
      </c>
    </row>
    <row r="30">
      <c r="A30" s="16">
        <f>IF(Calc!$B30,Calc!E30,"")</f>
        <v/>
      </c>
      <c r="B30">
        <f>IF(Calc!$B30,INDEX(MineNames,Calc!C30),"")</f>
        <v/>
      </c>
      <c r="C30" s="17">
        <f>IF(Calc!$B30,Calc!O30,"")</f>
        <v/>
      </c>
    </row>
    <row r="31">
      <c r="A31" s="16">
        <f>IF(Calc!$B31,Calc!E31,"")</f>
        <v/>
      </c>
      <c r="B31">
        <f>IF(Calc!$B31,INDEX(MineNames,Calc!C31),"")</f>
        <v/>
      </c>
      <c r="C31" s="17">
        <f>IF(Calc!$B31,Calc!O31,"")</f>
        <v/>
      </c>
    </row>
    <row r="32">
      <c r="A32" s="16">
        <f>IF(Calc!$B32,Calc!E32,"")</f>
        <v/>
      </c>
      <c r="B32">
        <f>IF(Calc!$B32,INDEX(MineNames,Calc!C32),"")</f>
        <v/>
      </c>
      <c r="C32" s="17">
        <f>IF(Calc!$B32,Calc!O32,"")</f>
        <v/>
      </c>
    </row>
    <row r="33">
      <c r="A33" s="16">
        <f>IF(Calc!$B33,Calc!E33,"")</f>
        <v/>
      </c>
      <c r="B33">
        <f>IF(Calc!$B33,INDEX(MineNames,Calc!C33),"")</f>
        <v/>
      </c>
      <c r="C33" s="17">
        <f>IF(Calc!$B33,Calc!O33,"")</f>
        <v/>
      </c>
    </row>
    <row r="34">
      <c r="A34" s="16">
        <f>IF(Calc!$B34,Calc!E34,"")</f>
        <v/>
      </c>
      <c r="B34">
        <f>IF(Calc!$B34,INDEX(MineNames,Calc!C34),"")</f>
        <v/>
      </c>
      <c r="C34" s="17">
        <f>IF(Calc!$B34,Calc!O34,"")</f>
        <v/>
      </c>
    </row>
    <row r="35">
      <c r="A35" s="16">
        <f>IF(Calc!$B35,Calc!E35,"")</f>
        <v/>
      </c>
      <c r="B35">
        <f>IF(Calc!$B35,INDEX(MineNames,Calc!C35),"")</f>
        <v/>
      </c>
      <c r="C35" s="17">
        <f>IF(Calc!$B35,Calc!O35,"")</f>
        <v/>
      </c>
    </row>
    <row r="36">
      <c r="A36" s="16">
        <f>IF(Calc!$B36,Calc!E36,"")</f>
        <v/>
      </c>
      <c r="B36">
        <f>IF(Calc!$B36,INDEX(MineNames,Calc!C36),"")</f>
        <v/>
      </c>
      <c r="C36" s="17">
        <f>IF(Calc!$B36,Calc!O36,"")</f>
        <v/>
      </c>
    </row>
    <row r="37">
      <c r="A37" s="16">
        <f>IF(Calc!$B37,Calc!E37,"")</f>
        <v/>
      </c>
      <c r="B37">
        <f>IF(Calc!$B37,INDEX(MineNames,Calc!C37),"")</f>
        <v/>
      </c>
      <c r="C37" s="17">
        <f>IF(Calc!$B37,Calc!O37,"")</f>
        <v/>
      </c>
    </row>
    <row r="38">
      <c r="A38" s="16">
        <f>IF(Calc!$B38,Calc!E38,"")</f>
        <v/>
      </c>
      <c r="B38">
        <f>IF(Calc!$B38,INDEX(MineNames,Calc!C38),"")</f>
        <v/>
      </c>
      <c r="C38" s="17">
        <f>IF(Calc!$B38,Calc!O38,"")</f>
        <v/>
      </c>
    </row>
    <row r="39">
      <c r="A39" s="16">
        <f>IF(Calc!$B39,Calc!E39,"")</f>
        <v/>
      </c>
      <c r="B39">
        <f>IF(Calc!$B39,INDEX(MineNames,Calc!C39),"")</f>
        <v/>
      </c>
      <c r="C39" s="17">
        <f>IF(Calc!$B39,Calc!O39,"")</f>
        <v/>
      </c>
    </row>
    <row r="40">
      <c r="A40" s="16">
        <f>IF(Calc!$B40,Calc!E40,"")</f>
        <v/>
      </c>
      <c r="B40">
        <f>IF(Calc!$B40,INDEX(MineNames,Calc!C40),"")</f>
        <v/>
      </c>
      <c r="C40" s="17">
        <f>IF(Calc!$B40,Calc!O40,"")</f>
        <v/>
      </c>
    </row>
    <row r="41">
      <c r="A41" s="16">
        <f>IF(Calc!$B41,Calc!E41,"")</f>
        <v/>
      </c>
      <c r="B41">
        <f>IF(Calc!$B41,INDEX(MineNames,Calc!C41),"")</f>
        <v/>
      </c>
      <c r="C41" s="17">
        <f>IF(Calc!$B41,Calc!O41,"")</f>
        <v/>
      </c>
    </row>
    <row r="42">
      <c r="A42" s="16">
        <f>IF(Calc!$B42,Calc!E42,"")</f>
        <v/>
      </c>
      <c r="B42">
        <f>IF(Calc!$B42,INDEX(MineNames,Calc!C42),"")</f>
        <v/>
      </c>
      <c r="C42" s="17">
        <f>IF(Calc!$B42,Calc!O42,"")</f>
        <v/>
      </c>
    </row>
    <row r="43">
      <c r="A43" s="16">
        <f>IF(Calc!$B43,Calc!E43,"")</f>
        <v/>
      </c>
      <c r="B43">
        <f>IF(Calc!$B43,INDEX(MineNames,Calc!C43),"")</f>
        <v/>
      </c>
      <c r="C43" s="17">
        <f>IF(Calc!$B43,Calc!O43,"")</f>
        <v/>
      </c>
    </row>
    <row r="44">
      <c r="A44" s="16">
        <f>IF(Calc!$B44,Calc!E44,"")</f>
        <v/>
      </c>
      <c r="B44">
        <f>IF(Calc!$B44,INDEX(MineNames,Calc!C44),"")</f>
        <v/>
      </c>
      <c r="C44" s="17">
        <f>IF(Calc!$B44,Calc!O44,"")</f>
        <v/>
      </c>
    </row>
    <row r="45">
      <c r="A45" s="16">
        <f>IF(Calc!$B45,Calc!E45,"")</f>
        <v/>
      </c>
      <c r="B45">
        <f>IF(Calc!$B45,INDEX(MineNames,Calc!C45),"")</f>
        <v/>
      </c>
      <c r="C45" s="17">
        <f>IF(Calc!$B45,Calc!O45,"")</f>
        <v/>
      </c>
    </row>
    <row r="46">
      <c r="A46" s="16">
        <f>IF(Calc!$B46,Calc!E46,"")</f>
        <v/>
      </c>
      <c r="B46">
        <f>IF(Calc!$B46,INDEX(MineNames,Calc!C46),"")</f>
        <v/>
      </c>
      <c r="C46" s="17">
        <f>IF(Calc!$B46,Calc!O46,"")</f>
        <v/>
      </c>
    </row>
    <row r="47">
      <c r="A47" s="16">
        <f>IF(Calc!$B47,Calc!E47,"")</f>
        <v/>
      </c>
      <c r="B47">
        <f>IF(Calc!$B47,INDEX(MineNames,Calc!C47),"")</f>
        <v/>
      </c>
      <c r="C47" s="17">
        <f>IF(Calc!$B47,Calc!O47,"")</f>
        <v/>
      </c>
    </row>
    <row r="48">
      <c r="A48" s="16">
        <f>IF(Calc!$B48,Calc!E48,"")</f>
        <v/>
      </c>
      <c r="B48">
        <f>IF(Calc!$B48,INDEX(MineNames,Calc!C48),"")</f>
        <v/>
      </c>
      <c r="C48" s="17">
        <f>IF(Calc!$B48,Calc!O48,"")</f>
        <v/>
      </c>
    </row>
    <row r="49">
      <c r="A49" s="16">
        <f>IF(Calc!$B49,Calc!E49,"")</f>
        <v/>
      </c>
      <c r="B49">
        <f>IF(Calc!$B49,INDEX(MineNames,Calc!C49),"")</f>
        <v/>
      </c>
      <c r="C49" s="17">
        <f>IF(Calc!$B49,Calc!O49,"")</f>
        <v/>
      </c>
    </row>
    <row r="50">
      <c r="A50" s="16">
        <f>IF(Calc!$B50,Calc!E50,"")</f>
        <v/>
      </c>
      <c r="B50">
        <f>IF(Calc!$B50,INDEX(MineNames,Calc!C50),"")</f>
        <v/>
      </c>
      <c r="C50" s="17">
        <f>IF(Calc!$B50,Calc!O50,"")</f>
        <v/>
      </c>
    </row>
    <row r="51">
      <c r="A51" s="16">
        <f>IF(Calc!$B51,Calc!E51,"")</f>
        <v/>
      </c>
      <c r="B51">
        <f>IF(Calc!$B51,INDEX(MineNames,Calc!C51),"")</f>
        <v/>
      </c>
      <c r="C51" s="17">
        <f>IF(Calc!$B51,Calc!O51,"")</f>
        <v/>
      </c>
    </row>
    <row r="52">
      <c r="A52" s="16">
        <f>IF(Calc!$B52,Calc!E52,"")</f>
        <v/>
      </c>
      <c r="B52">
        <f>IF(Calc!$B52,INDEX(MineNames,Calc!C52),"")</f>
        <v/>
      </c>
      <c r="C52" s="17">
        <f>IF(Calc!$B52,Calc!O52,"")</f>
        <v/>
      </c>
    </row>
    <row r="53">
      <c r="A53" s="16">
        <f>IF(Calc!$B53,Calc!E53,"")</f>
        <v/>
      </c>
      <c r="B53">
        <f>IF(Calc!$B53,INDEX(MineNames,Calc!C53),"")</f>
        <v/>
      </c>
      <c r="C53" s="17">
        <f>IF(Calc!$B53,Calc!O53,"")</f>
        <v/>
      </c>
    </row>
    <row r="54">
      <c r="A54" s="16">
        <f>IF(Calc!$B54,Calc!E54,"")</f>
        <v/>
      </c>
      <c r="B54">
        <f>IF(Calc!$B54,INDEX(MineNames,Calc!C54),"")</f>
        <v/>
      </c>
      <c r="C54" s="17">
        <f>IF(Calc!$B54,Calc!O54,"")</f>
        <v/>
      </c>
    </row>
    <row r="55">
      <c r="A55" s="16">
        <f>IF(Calc!$B55,Calc!E55,"")</f>
        <v/>
      </c>
      <c r="B55">
        <f>IF(Calc!$B55,INDEX(MineNames,Calc!C55),"")</f>
        <v/>
      </c>
      <c r="C55" s="17">
        <f>IF(Calc!$B55,Calc!O55,"")</f>
        <v/>
      </c>
    </row>
    <row r="56">
      <c r="A56" s="16">
        <f>IF(Calc!$B56,Calc!E56,"")</f>
        <v/>
      </c>
      <c r="B56">
        <f>IF(Calc!$B56,INDEX(MineNames,Calc!C56),"")</f>
        <v/>
      </c>
      <c r="C56" s="17">
        <f>IF(Calc!$B56,Calc!O56,"")</f>
        <v/>
      </c>
    </row>
    <row r="57">
      <c r="A57" s="16">
        <f>IF(Calc!$B57,Calc!E57,"")</f>
        <v/>
      </c>
      <c r="B57">
        <f>IF(Calc!$B57,INDEX(MineNames,Calc!C57),"")</f>
        <v/>
      </c>
      <c r="C57" s="17">
        <f>IF(Calc!$B57,Calc!O57,"")</f>
        <v/>
      </c>
    </row>
    <row r="58">
      <c r="A58" s="16">
        <f>IF(Calc!$B58,Calc!E58,"")</f>
        <v/>
      </c>
      <c r="B58">
        <f>IF(Calc!$B58,INDEX(MineNames,Calc!C58),"")</f>
        <v/>
      </c>
      <c r="C58" s="17">
        <f>IF(Calc!$B58,Calc!O58,"")</f>
        <v/>
      </c>
    </row>
    <row r="59">
      <c r="A59" s="16">
        <f>IF(Calc!$B59,Calc!E59,"")</f>
        <v/>
      </c>
      <c r="B59">
        <f>IF(Calc!$B59,INDEX(MineNames,Calc!C59),"")</f>
        <v/>
      </c>
      <c r="C59" s="17">
        <f>IF(Calc!$B59,Calc!O59,"")</f>
        <v/>
      </c>
    </row>
    <row r="60">
      <c r="A60" s="16">
        <f>IF(Calc!$B60,Calc!E60,"")</f>
        <v/>
      </c>
      <c r="B60">
        <f>IF(Calc!$B60,INDEX(MineNames,Calc!C60),"")</f>
        <v/>
      </c>
      <c r="C60" s="17">
        <f>IF(Calc!$B60,Calc!O60,"")</f>
        <v/>
      </c>
    </row>
    <row r="61">
      <c r="A61" s="16">
        <f>IF(Calc!$B61,Calc!E61,"")</f>
        <v/>
      </c>
      <c r="B61">
        <f>IF(Calc!$B61,INDEX(MineNames,Calc!C61),"")</f>
        <v/>
      </c>
      <c r="C61" s="17">
        <f>IF(Calc!$B61,Calc!O61,"")</f>
        <v/>
      </c>
    </row>
    <row r="62">
      <c r="A62" s="16">
        <f>IF(Calc!$B62,Calc!E62,"")</f>
        <v/>
      </c>
      <c r="B62">
        <f>IF(Calc!$B62,INDEX(MineNames,Calc!C62),"")</f>
        <v/>
      </c>
      <c r="C62" s="17">
        <f>IF(Calc!$B62,Calc!O62,"")</f>
        <v/>
      </c>
    </row>
    <row r="63">
      <c r="A63" s="16">
        <f>IF(Calc!$B63,Calc!E63,"")</f>
        <v/>
      </c>
      <c r="B63">
        <f>IF(Calc!$B63,INDEX(MineNames,Calc!C63),"")</f>
        <v/>
      </c>
      <c r="C63" s="17">
        <f>IF(Calc!$B63,Calc!O63,"")</f>
        <v/>
      </c>
    </row>
    <row r="64">
      <c r="A64" s="16">
        <f>IF(Calc!$B64,Calc!E64,"")</f>
        <v/>
      </c>
      <c r="B64">
        <f>IF(Calc!$B64,INDEX(MineNames,Calc!C64),"")</f>
        <v/>
      </c>
      <c r="C64" s="17">
        <f>IF(Calc!$B64,Calc!O64,"")</f>
        <v/>
      </c>
    </row>
    <row r="65">
      <c r="A65" s="16">
        <f>IF(Calc!$B65,Calc!E65,"")</f>
        <v/>
      </c>
      <c r="B65">
        <f>IF(Calc!$B65,INDEX(MineNames,Calc!C65),"")</f>
        <v/>
      </c>
      <c r="C65" s="17">
        <f>IF(Calc!$B65,Calc!O65,"")</f>
        <v/>
      </c>
    </row>
    <row r="66">
      <c r="A66" s="16">
        <f>IF(Calc!$B66,Calc!E66,"")</f>
        <v/>
      </c>
      <c r="B66">
        <f>IF(Calc!$B66,INDEX(MineNames,Calc!C66),"")</f>
        <v/>
      </c>
      <c r="C66" s="17">
        <f>IF(Calc!$B66,Calc!O66,"")</f>
        <v/>
      </c>
    </row>
    <row r="67">
      <c r="A67" s="16">
        <f>IF(Calc!$B67,Calc!E67,"")</f>
        <v/>
      </c>
      <c r="B67">
        <f>IF(Calc!$B67,INDEX(MineNames,Calc!C67),"")</f>
        <v/>
      </c>
      <c r="C67" s="17">
        <f>IF(Calc!$B67,Calc!O67,"")</f>
        <v/>
      </c>
    </row>
    <row r="68">
      <c r="A68" s="16">
        <f>IF(Calc!$B68,Calc!E68,"")</f>
        <v/>
      </c>
      <c r="B68">
        <f>IF(Calc!$B68,INDEX(MineNames,Calc!C68),"")</f>
        <v/>
      </c>
      <c r="C68" s="17">
        <f>IF(Calc!$B68,Calc!O68,"")</f>
        <v/>
      </c>
    </row>
    <row r="69">
      <c r="A69" s="16">
        <f>IF(Calc!$B69,Calc!E69,"")</f>
        <v/>
      </c>
      <c r="B69">
        <f>IF(Calc!$B69,INDEX(MineNames,Calc!C69),"")</f>
        <v/>
      </c>
      <c r="C69" s="17">
        <f>IF(Calc!$B69,Calc!O69,"")</f>
        <v/>
      </c>
    </row>
    <row r="70">
      <c r="A70" s="16">
        <f>IF(Calc!$B70,Calc!E70,"")</f>
        <v/>
      </c>
      <c r="B70">
        <f>IF(Calc!$B70,INDEX(MineNames,Calc!C70),"")</f>
        <v/>
      </c>
      <c r="C70" s="17">
        <f>IF(Calc!$B70,Calc!O70,"")</f>
        <v/>
      </c>
    </row>
    <row r="71">
      <c r="A71" s="16">
        <f>IF(Calc!$B71,Calc!E71,"")</f>
        <v/>
      </c>
      <c r="B71">
        <f>IF(Calc!$B71,INDEX(MineNames,Calc!C71),"")</f>
        <v/>
      </c>
      <c r="C71" s="17">
        <f>IF(Calc!$B71,Calc!O71,"")</f>
        <v/>
      </c>
    </row>
    <row r="72">
      <c r="A72" s="16">
        <f>IF(Calc!$B72,Calc!E72,"")</f>
        <v/>
      </c>
      <c r="B72">
        <f>IF(Calc!$B72,INDEX(MineNames,Calc!C72),"")</f>
        <v/>
      </c>
      <c r="C72" s="17">
        <f>IF(Calc!$B72,Calc!O72,"")</f>
        <v/>
      </c>
    </row>
    <row r="73">
      <c r="A73" s="16">
        <f>IF(Calc!$B73,Calc!E73,"")</f>
        <v/>
      </c>
      <c r="B73">
        <f>IF(Calc!$B73,INDEX(MineNames,Calc!C73),"")</f>
        <v/>
      </c>
      <c r="C73" s="17">
        <f>IF(Calc!$B73,Calc!O73,"")</f>
        <v/>
      </c>
    </row>
    <row r="74">
      <c r="A74" s="16">
        <f>IF(Calc!$B74,Calc!E74,"")</f>
        <v/>
      </c>
      <c r="B74">
        <f>IF(Calc!$B74,INDEX(MineNames,Calc!C74),"")</f>
        <v/>
      </c>
      <c r="C74" s="17">
        <f>IF(Calc!$B74,Calc!O74,"")</f>
        <v/>
      </c>
    </row>
    <row r="75">
      <c r="A75" s="16">
        <f>IF(Calc!$B75,Calc!E75,"")</f>
        <v/>
      </c>
      <c r="B75">
        <f>IF(Calc!$B75,INDEX(MineNames,Calc!C75),"")</f>
        <v/>
      </c>
      <c r="C75" s="17">
        <f>IF(Calc!$B75,Calc!O75,"")</f>
        <v/>
      </c>
    </row>
    <row r="76">
      <c r="A76" s="16">
        <f>IF(Calc!$B76,Calc!E76,"")</f>
        <v/>
      </c>
      <c r="B76">
        <f>IF(Calc!$B76,INDEX(MineNames,Calc!C76),"")</f>
        <v/>
      </c>
      <c r="C76" s="17">
        <f>IF(Calc!$B76,Calc!O76,"")</f>
        <v/>
      </c>
    </row>
    <row r="77">
      <c r="A77" s="16">
        <f>IF(Calc!$B77,Calc!E77,"")</f>
        <v/>
      </c>
      <c r="B77">
        <f>IF(Calc!$B77,INDEX(MineNames,Calc!C77),"")</f>
        <v/>
      </c>
      <c r="C77" s="17">
        <f>IF(Calc!$B77,Calc!O77,"")</f>
        <v/>
      </c>
    </row>
    <row r="78">
      <c r="A78" s="16">
        <f>IF(Calc!$B78,Calc!E78,"")</f>
        <v/>
      </c>
      <c r="B78">
        <f>IF(Calc!$B78,INDEX(MineNames,Calc!C78),"")</f>
        <v/>
      </c>
      <c r="C78" s="17">
        <f>IF(Calc!$B78,Calc!O78,"")</f>
        <v/>
      </c>
    </row>
    <row r="79">
      <c r="A79" s="16">
        <f>IF(Calc!$B79,Calc!E79,"")</f>
        <v/>
      </c>
      <c r="B79">
        <f>IF(Calc!$B79,INDEX(MineNames,Calc!C79),"")</f>
        <v/>
      </c>
      <c r="C79" s="17">
        <f>IF(Calc!$B79,Calc!O79,"")</f>
        <v/>
      </c>
    </row>
    <row r="80">
      <c r="A80" s="16">
        <f>IF(Calc!$B80,Calc!E80,"")</f>
        <v/>
      </c>
      <c r="B80">
        <f>IF(Calc!$B80,INDEX(MineNames,Calc!C80),"")</f>
        <v/>
      </c>
      <c r="C80" s="17">
        <f>IF(Calc!$B80,Calc!O80,"")</f>
        <v/>
      </c>
    </row>
    <row r="81">
      <c r="A81" s="16">
        <f>IF(Calc!$B81,Calc!E81,"")</f>
        <v/>
      </c>
      <c r="B81">
        <f>IF(Calc!$B81,INDEX(MineNames,Calc!C81),"")</f>
        <v/>
      </c>
      <c r="C81" s="17">
        <f>IF(Calc!$B81,Calc!O81,"")</f>
        <v/>
      </c>
    </row>
    <row r="82">
      <c r="A82" s="16">
        <f>IF(Calc!$B82,Calc!E82,"")</f>
        <v/>
      </c>
      <c r="B82">
        <f>IF(Calc!$B82,INDEX(MineNames,Calc!C82),"")</f>
        <v/>
      </c>
      <c r="C82" s="17">
        <f>IF(Calc!$B82,Calc!O82,"")</f>
        <v/>
      </c>
    </row>
    <row r="83">
      <c r="A83" s="16">
        <f>IF(Calc!$B83,Calc!E83,"")</f>
        <v/>
      </c>
      <c r="B83">
        <f>IF(Calc!$B83,INDEX(MineNames,Calc!C83),"")</f>
        <v/>
      </c>
      <c r="C83" s="17">
        <f>IF(Calc!$B83,Calc!O83,"")</f>
        <v/>
      </c>
    </row>
    <row r="84">
      <c r="A84" s="16">
        <f>IF(Calc!$B84,Calc!E84,"")</f>
        <v/>
      </c>
      <c r="B84">
        <f>IF(Calc!$B84,INDEX(MineNames,Calc!C84),"")</f>
        <v/>
      </c>
      <c r="C84" s="17">
        <f>IF(Calc!$B84,Calc!O84,"")</f>
        <v/>
      </c>
    </row>
    <row r="85">
      <c r="A85" s="16">
        <f>IF(Calc!$B85,Calc!E85,"")</f>
        <v/>
      </c>
      <c r="B85">
        <f>IF(Calc!$B85,INDEX(MineNames,Calc!C85),"")</f>
        <v/>
      </c>
      <c r="C85" s="17">
        <f>IF(Calc!$B85,Calc!O85,"")</f>
        <v/>
      </c>
    </row>
    <row r="86">
      <c r="A86" s="16">
        <f>IF(Calc!$B86,Calc!E86,"")</f>
        <v/>
      </c>
      <c r="B86">
        <f>IF(Calc!$B86,INDEX(MineNames,Calc!C86),"")</f>
        <v/>
      </c>
      <c r="C86" s="17">
        <f>IF(Calc!$B86,Calc!O86,"")</f>
        <v/>
      </c>
    </row>
    <row r="87">
      <c r="A87" s="16">
        <f>IF(Calc!$B87,Calc!E87,"")</f>
        <v/>
      </c>
      <c r="B87">
        <f>IF(Calc!$B87,INDEX(MineNames,Calc!C87),"")</f>
        <v/>
      </c>
      <c r="C87" s="17">
        <f>IF(Calc!$B87,Calc!O87,"")</f>
        <v/>
      </c>
    </row>
    <row r="88">
      <c r="A88" s="16">
        <f>IF(Calc!$B88,Calc!E88,"")</f>
        <v/>
      </c>
      <c r="B88">
        <f>IF(Calc!$B88,INDEX(MineNames,Calc!C88),"")</f>
        <v/>
      </c>
      <c r="C88" s="17">
        <f>IF(Calc!$B88,Calc!O88,"")</f>
        <v/>
      </c>
    </row>
    <row r="89">
      <c r="A89" s="16">
        <f>IF(Calc!$B89,Calc!E89,"")</f>
        <v/>
      </c>
      <c r="B89">
        <f>IF(Calc!$B89,INDEX(MineNames,Calc!C89),"")</f>
        <v/>
      </c>
      <c r="C89" s="17">
        <f>IF(Calc!$B89,Calc!O89,"")</f>
        <v/>
      </c>
    </row>
    <row r="90">
      <c r="A90" s="16">
        <f>IF(Calc!$B90,Calc!E90,"")</f>
        <v/>
      </c>
      <c r="B90">
        <f>IF(Calc!$B90,INDEX(MineNames,Calc!C90),"")</f>
        <v/>
      </c>
      <c r="C90" s="17">
        <f>IF(Calc!$B90,Calc!O90,"")</f>
        <v/>
      </c>
    </row>
    <row r="91">
      <c r="A91" s="16">
        <f>IF(Calc!$B91,Calc!E91,"")</f>
        <v/>
      </c>
      <c r="B91">
        <f>IF(Calc!$B91,INDEX(MineNames,Calc!C91),"")</f>
        <v/>
      </c>
      <c r="C91" s="17">
        <f>IF(Calc!$B91,Calc!O91,"")</f>
        <v/>
      </c>
    </row>
    <row r="92">
      <c r="A92" s="16">
        <f>IF(Calc!$B92,Calc!E92,"")</f>
        <v/>
      </c>
      <c r="B92">
        <f>IF(Calc!$B92,INDEX(MineNames,Calc!C92),"")</f>
        <v/>
      </c>
      <c r="C92" s="17">
        <f>IF(Calc!$B92,Calc!O92,"")</f>
        <v/>
      </c>
    </row>
    <row r="93">
      <c r="A93" s="16">
        <f>IF(Calc!$B93,Calc!E93,"")</f>
        <v/>
      </c>
      <c r="B93">
        <f>IF(Calc!$B93,INDEX(MineNames,Calc!C93),"")</f>
        <v/>
      </c>
      <c r="C93" s="17">
        <f>IF(Calc!$B93,Calc!O93,"")</f>
        <v/>
      </c>
    </row>
    <row r="94">
      <c r="A94" s="16">
        <f>IF(Calc!$B94,Calc!E94,"")</f>
        <v/>
      </c>
      <c r="B94">
        <f>IF(Calc!$B94,INDEX(MineNames,Calc!C94),"")</f>
        <v/>
      </c>
      <c r="C94" s="17">
        <f>IF(Calc!$B94,Calc!O94,"")</f>
        <v/>
      </c>
    </row>
    <row r="95">
      <c r="A95" s="16">
        <f>IF(Calc!$B95,Calc!E95,"")</f>
        <v/>
      </c>
      <c r="B95">
        <f>IF(Calc!$B95,INDEX(MineNames,Calc!C95),"")</f>
        <v/>
      </c>
      <c r="C95" s="17">
        <f>IF(Calc!$B95,Calc!O95,"")</f>
        <v/>
      </c>
    </row>
    <row r="96">
      <c r="A96" s="16">
        <f>IF(Calc!$B96,Calc!E96,"")</f>
        <v/>
      </c>
      <c r="B96">
        <f>IF(Calc!$B96,INDEX(MineNames,Calc!C96),"")</f>
        <v/>
      </c>
      <c r="C96" s="17">
        <f>IF(Calc!$B96,Calc!O96,"")</f>
        <v/>
      </c>
    </row>
    <row r="97">
      <c r="A97" s="16">
        <f>IF(Calc!$B97,Calc!E97,"")</f>
        <v/>
      </c>
      <c r="B97">
        <f>IF(Calc!$B97,INDEX(MineNames,Calc!C97),"")</f>
        <v/>
      </c>
      <c r="C97" s="17">
        <f>IF(Calc!$B97,Calc!O97,"")</f>
        <v/>
      </c>
    </row>
    <row r="98">
      <c r="A98" s="16">
        <f>IF(Calc!$B98,Calc!E98,"")</f>
        <v/>
      </c>
      <c r="B98">
        <f>IF(Calc!$B98,INDEX(MineNames,Calc!C98),"")</f>
        <v/>
      </c>
      <c r="C98" s="17">
        <f>IF(Calc!$B98,Calc!O98,"")</f>
        <v/>
      </c>
    </row>
    <row r="99">
      <c r="A99" s="16">
        <f>IF(Calc!$B99,Calc!E99,"")</f>
        <v/>
      </c>
      <c r="B99">
        <f>IF(Calc!$B99,INDEX(MineNames,Calc!C99),"")</f>
        <v/>
      </c>
      <c r="C99" s="17">
        <f>IF(Calc!$B99,Calc!O99,"")</f>
        <v/>
      </c>
    </row>
    <row r="100">
      <c r="A100" s="16">
        <f>IF(Calc!$B100,Calc!E100,"")</f>
        <v/>
      </c>
      <c r="B100">
        <f>IF(Calc!$B100,INDEX(MineNames,Calc!C100),"")</f>
        <v/>
      </c>
      <c r="C100" s="17">
        <f>IF(Calc!$B100,Calc!O100,"")</f>
        <v/>
      </c>
    </row>
    <row r="101">
      <c r="A101" s="16">
        <f>IF(Calc!$B101,Calc!E101,"")</f>
        <v/>
      </c>
      <c r="B101">
        <f>IF(Calc!$B101,INDEX(MineNames,Calc!C101),"")</f>
        <v/>
      </c>
      <c r="C101" s="17">
        <f>IF(Calc!$B101,Calc!O101,"")</f>
        <v/>
      </c>
    </row>
    <row r="102">
      <c r="A102" s="16">
        <f>IF(Calc!$B102,Calc!E102,"")</f>
        <v/>
      </c>
      <c r="B102">
        <f>IF(Calc!$B102,INDEX(MineNames,Calc!C102),"")</f>
        <v/>
      </c>
      <c r="C102" s="17">
        <f>IF(Calc!$B102,Calc!O102,"")</f>
        <v/>
      </c>
    </row>
    <row r="103">
      <c r="A103" s="16">
        <f>IF(Calc!$B103,Calc!E103,"")</f>
        <v/>
      </c>
      <c r="B103">
        <f>IF(Calc!$B103,INDEX(MineNames,Calc!C103),"")</f>
        <v/>
      </c>
      <c r="C103" s="17">
        <f>IF(Calc!$B103,Calc!O103,"")</f>
        <v/>
      </c>
    </row>
    <row r="104">
      <c r="A104" s="16">
        <f>IF(Calc!$B104,Calc!E104,"")</f>
        <v/>
      </c>
      <c r="B104">
        <f>IF(Calc!$B104,INDEX(MineNames,Calc!C104),"")</f>
        <v/>
      </c>
      <c r="C104" s="17">
        <f>IF(Calc!$B104,Calc!O104,"")</f>
        <v/>
      </c>
    </row>
    <row r="105">
      <c r="A105" s="16">
        <f>IF(Calc!$B105,Calc!E105,"")</f>
        <v/>
      </c>
      <c r="B105">
        <f>IF(Calc!$B105,INDEX(MineNames,Calc!C105),"")</f>
        <v/>
      </c>
      <c r="C105" s="17">
        <f>IF(Calc!$B105,Calc!O105,"")</f>
        <v/>
      </c>
    </row>
    <row r="106">
      <c r="A106" s="16">
        <f>IF(Calc!$B106,Calc!E106,"")</f>
        <v/>
      </c>
      <c r="B106">
        <f>IF(Calc!$B106,INDEX(MineNames,Calc!C106),"")</f>
        <v/>
      </c>
      <c r="C106" s="17">
        <f>IF(Calc!$B106,Calc!O106,"")</f>
        <v/>
      </c>
    </row>
    <row r="107">
      <c r="A107" s="16">
        <f>IF(Calc!$B107,Calc!E107,"")</f>
        <v/>
      </c>
      <c r="B107">
        <f>IF(Calc!$B107,INDEX(MineNames,Calc!C107),"")</f>
        <v/>
      </c>
      <c r="C107" s="17">
        <f>IF(Calc!$B107,Calc!O107,"")</f>
        <v/>
      </c>
    </row>
    <row r="108">
      <c r="A108" s="16">
        <f>IF(Calc!$B108,Calc!E108,"")</f>
        <v/>
      </c>
      <c r="B108">
        <f>IF(Calc!$B108,INDEX(MineNames,Calc!C108),"")</f>
        <v/>
      </c>
      <c r="C108" s="17">
        <f>IF(Calc!$B108,Calc!O108,"")</f>
        <v/>
      </c>
    </row>
    <row r="109">
      <c r="A109" s="16">
        <f>IF(Calc!$B109,Calc!E109,"")</f>
        <v/>
      </c>
      <c r="B109">
        <f>IF(Calc!$B109,INDEX(MineNames,Calc!C109),"")</f>
        <v/>
      </c>
      <c r="C109" s="17">
        <f>IF(Calc!$B109,Calc!O109,"")</f>
        <v/>
      </c>
    </row>
    <row r="110">
      <c r="A110" s="16">
        <f>IF(Calc!$B110,Calc!E110,"")</f>
        <v/>
      </c>
      <c r="B110">
        <f>IF(Calc!$B110,INDEX(MineNames,Calc!C110),"")</f>
        <v/>
      </c>
      <c r="C110" s="17">
        <f>IF(Calc!$B110,Calc!O110,"")</f>
        <v/>
      </c>
    </row>
    <row r="111">
      <c r="A111" s="16">
        <f>IF(Calc!$B111,Calc!E111,"")</f>
        <v/>
      </c>
      <c r="B111">
        <f>IF(Calc!$B111,INDEX(MineNames,Calc!C111),"")</f>
        <v/>
      </c>
      <c r="C111" s="17">
        <f>IF(Calc!$B111,Calc!O111,"")</f>
        <v/>
      </c>
    </row>
    <row r="112">
      <c r="A112" s="16">
        <f>IF(Calc!$B112,Calc!E112,"")</f>
        <v/>
      </c>
      <c r="B112">
        <f>IF(Calc!$B112,INDEX(MineNames,Calc!C112),"")</f>
        <v/>
      </c>
      <c r="C112" s="17">
        <f>IF(Calc!$B112,Calc!O112,"")</f>
        <v/>
      </c>
    </row>
    <row r="113">
      <c r="A113" s="16">
        <f>IF(Calc!$B113,Calc!E113,"")</f>
        <v/>
      </c>
      <c r="B113">
        <f>IF(Calc!$B113,INDEX(MineNames,Calc!C113),"")</f>
        <v/>
      </c>
      <c r="C113" s="17">
        <f>IF(Calc!$B113,Calc!O113,"")</f>
        <v/>
      </c>
    </row>
    <row r="114">
      <c r="A114" s="16">
        <f>IF(Calc!$B114,Calc!E114,"")</f>
        <v/>
      </c>
      <c r="B114">
        <f>IF(Calc!$B114,INDEX(MineNames,Calc!C114),"")</f>
        <v/>
      </c>
      <c r="C114" s="17">
        <f>IF(Calc!$B114,Calc!O114,"")</f>
        <v/>
      </c>
    </row>
    <row r="115">
      <c r="A115" s="16">
        <f>IF(Calc!$B115,Calc!E115,"")</f>
        <v/>
      </c>
      <c r="B115">
        <f>IF(Calc!$B115,INDEX(MineNames,Calc!C115),"")</f>
        <v/>
      </c>
      <c r="C115" s="17">
        <f>IF(Calc!$B115,Calc!O115,"")</f>
        <v/>
      </c>
    </row>
    <row r="116">
      <c r="A116" s="16">
        <f>IF(Calc!$B116,Calc!E116,"")</f>
        <v/>
      </c>
      <c r="B116">
        <f>IF(Calc!$B116,INDEX(MineNames,Calc!C116),"")</f>
        <v/>
      </c>
      <c r="C116" s="17">
        <f>IF(Calc!$B116,Calc!O116,"")</f>
        <v/>
      </c>
    </row>
    <row r="117">
      <c r="A117" s="16">
        <f>IF(Calc!$B117,Calc!E117,"")</f>
        <v/>
      </c>
      <c r="B117">
        <f>IF(Calc!$B117,INDEX(MineNames,Calc!C117),"")</f>
        <v/>
      </c>
      <c r="C117" s="17">
        <f>IF(Calc!$B117,Calc!O117,"")</f>
        <v/>
      </c>
    </row>
    <row r="118">
      <c r="A118" s="16">
        <f>IF(Calc!$B118,Calc!E118,"")</f>
        <v/>
      </c>
      <c r="B118">
        <f>IF(Calc!$B118,INDEX(MineNames,Calc!C118),"")</f>
        <v/>
      </c>
      <c r="C118" s="17">
        <f>IF(Calc!$B118,Calc!O118,"")</f>
        <v/>
      </c>
    </row>
    <row r="119">
      <c r="A119" s="16">
        <f>IF(Calc!$B119,Calc!E119,"")</f>
        <v/>
      </c>
      <c r="B119">
        <f>IF(Calc!$B119,INDEX(MineNames,Calc!C119),"")</f>
        <v/>
      </c>
      <c r="C119" s="17">
        <f>IF(Calc!$B119,Calc!O119,"")</f>
        <v/>
      </c>
    </row>
    <row r="120">
      <c r="A120" s="16">
        <f>IF(Calc!$B120,Calc!E120,"")</f>
        <v/>
      </c>
      <c r="B120">
        <f>IF(Calc!$B120,INDEX(MineNames,Calc!C120),"")</f>
        <v/>
      </c>
      <c r="C120" s="17">
        <f>IF(Calc!$B120,Calc!O120,"")</f>
        <v/>
      </c>
    </row>
    <row r="121">
      <c r="A121" s="16">
        <f>IF(Calc!$B121,Calc!E121,"")</f>
        <v/>
      </c>
      <c r="B121">
        <f>IF(Calc!$B121,INDEX(MineNames,Calc!C121),"")</f>
        <v/>
      </c>
      <c r="C121" s="17">
        <f>IF(Calc!$B121,Calc!O121,"")</f>
        <v/>
      </c>
    </row>
    <row r="122">
      <c r="A122" s="16">
        <f>IF(Calc!$B122,Calc!E122,"")</f>
        <v/>
      </c>
      <c r="B122">
        <f>IF(Calc!$B122,INDEX(MineNames,Calc!C122),"")</f>
        <v/>
      </c>
      <c r="C122" s="17">
        <f>IF(Calc!$B122,Calc!O122,"")</f>
        <v/>
      </c>
    </row>
    <row r="123">
      <c r="A123" s="16">
        <f>IF(Calc!$B123,Calc!E123,"")</f>
        <v/>
      </c>
      <c r="B123">
        <f>IF(Calc!$B123,INDEX(MineNames,Calc!C123),"")</f>
        <v/>
      </c>
      <c r="C123" s="17">
        <f>IF(Calc!$B123,Calc!O123,"")</f>
        <v/>
      </c>
    </row>
    <row r="124">
      <c r="A124" s="16">
        <f>IF(Calc!$B124,Calc!E124,"")</f>
        <v/>
      </c>
      <c r="B124">
        <f>IF(Calc!$B124,INDEX(MineNames,Calc!C124),"")</f>
        <v/>
      </c>
      <c r="C124" s="17">
        <f>IF(Calc!$B124,Calc!O124,"")</f>
        <v/>
      </c>
    </row>
    <row r="125">
      <c r="A125" s="16">
        <f>IF(Calc!$B125,Calc!E125,"")</f>
        <v/>
      </c>
      <c r="B125">
        <f>IF(Calc!$B125,INDEX(MineNames,Calc!C125),"")</f>
        <v/>
      </c>
      <c r="C125" s="17">
        <f>IF(Calc!$B125,Calc!O125,"")</f>
        <v/>
      </c>
    </row>
    <row r="126">
      <c r="A126" s="16">
        <f>IF(Calc!$B126,Calc!E126,"")</f>
        <v/>
      </c>
      <c r="B126">
        <f>IF(Calc!$B126,INDEX(MineNames,Calc!C126),"")</f>
        <v/>
      </c>
      <c r="C126" s="17">
        <f>IF(Calc!$B126,Calc!O126,"")</f>
        <v/>
      </c>
    </row>
    <row r="127">
      <c r="A127" s="16">
        <f>IF(Calc!$B127,Calc!E127,"")</f>
        <v/>
      </c>
      <c r="B127">
        <f>IF(Calc!$B127,INDEX(MineNames,Calc!C127),"")</f>
        <v/>
      </c>
      <c r="C127" s="17">
        <f>IF(Calc!$B127,Calc!O127,"")</f>
        <v/>
      </c>
    </row>
    <row r="128">
      <c r="A128" s="16">
        <f>IF(Calc!$B128,Calc!E128,"")</f>
        <v/>
      </c>
      <c r="B128">
        <f>IF(Calc!$B128,INDEX(MineNames,Calc!C128),"")</f>
        <v/>
      </c>
      <c r="C128" s="17">
        <f>IF(Calc!$B128,Calc!O128,"")</f>
        <v/>
      </c>
    </row>
    <row r="129">
      <c r="A129" s="16">
        <f>IF(Calc!$B129,Calc!E129,"")</f>
        <v/>
      </c>
      <c r="B129">
        <f>IF(Calc!$B129,INDEX(MineNames,Calc!C129),"")</f>
        <v/>
      </c>
      <c r="C129" s="17">
        <f>IF(Calc!$B129,Calc!O129,"")</f>
        <v/>
      </c>
    </row>
    <row r="130">
      <c r="A130" s="16">
        <f>IF(Calc!$B130,Calc!E130,"")</f>
        <v/>
      </c>
      <c r="B130">
        <f>IF(Calc!$B130,INDEX(MineNames,Calc!C130),"")</f>
        <v/>
      </c>
      <c r="C130" s="17">
        <f>IF(Calc!$B130,Calc!O130,"")</f>
        <v/>
      </c>
    </row>
    <row r="131">
      <c r="A131" s="16">
        <f>IF(Calc!$B131,Calc!E131,"")</f>
        <v/>
      </c>
      <c r="B131">
        <f>IF(Calc!$B131,INDEX(MineNames,Calc!C131),"")</f>
        <v/>
      </c>
      <c r="C131" s="17">
        <f>IF(Calc!$B131,Calc!O131,"")</f>
        <v/>
      </c>
    </row>
    <row r="132">
      <c r="A132" s="16">
        <f>IF(Calc!$B132,Calc!E132,"")</f>
        <v/>
      </c>
      <c r="B132">
        <f>IF(Calc!$B132,INDEX(MineNames,Calc!C132),"")</f>
        <v/>
      </c>
      <c r="C132" s="17">
        <f>IF(Calc!$B132,Calc!O132,"")</f>
        <v/>
      </c>
    </row>
    <row r="133">
      <c r="A133" s="16">
        <f>IF(Calc!$B133,Calc!E133,"")</f>
        <v/>
      </c>
      <c r="B133">
        <f>IF(Calc!$B133,INDEX(MineNames,Calc!C133),"")</f>
        <v/>
      </c>
      <c r="C133" s="17">
        <f>IF(Calc!$B133,Calc!O133,"")</f>
        <v/>
      </c>
    </row>
    <row r="134">
      <c r="A134" s="16">
        <f>IF(Calc!$B134,Calc!E134,"")</f>
        <v/>
      </c>
      <c r="B134">
        <f>IF(Calc!$B134,INDEX(MineNames,Calc!C134),"")</f>
        <v/>
      </c>
      <c r="C134" s="17">
        <f>IF(Calc!$B134,Calc!O134,"")</f>
        <v/>
      </c>
    </row>
    <row r="135">
      <c r="A135" s="16">
        <f>IF(Calc!$B135,Calc!E135,"")</f>
        <v/>
      </c>
      <c r="B135">
        <f>IF(Calc!$B135,INDEX(MineNames,Calc!C135),"")</f>
        <v/>
      </c>
      <c r="C135" s="17">
        <f>IF(Calc!$B135,Calc!O135,"")</f>
        <v/>
      </c>
    </row>
    <row r="136">
      <c r="A136" s="16">
        <f>IF(Calc!$B136,Calc!E136,"")</f>
        <v/>
      </c>
      <c r="B136">
        <f>IF(Calc!$B136,INDEX(MineNames,Calc!C136),"")</f>
        <v/>
      </c>
      <c r="C136" s="17">
        <f>IF(Calc!$B136,Calc!O136,"")</f>
        <v/>
      </c>
    </row>
    <row r="137">
      <c r="A137" s="16">
        <f>IF(Calc!$B137,Calc!E137,"")</f>
        <v/>
      </c>
      <c r="B137">
        <f>IF(Calc!$B137,INDEX(MineNames,Calc!C137),"")</f>
        <v/>
      </c>
      <c r="C137" s="17">
        <f>IF(Calc!$B137,Calc!O137,"")</f>
        <v/>
      </c>
    </row>
    <row r="138">
      <c r="A138" s="16">
        <f>IF(Calc!$B138,Calc!E138,"")</f>
        <v/>
      </c>
      <c r="B138">
        <f>IF(Calc!$B138,INDEX(MineNames,Calc!C138),"")</f>
        <v/>
      </c>
      <c r="C138" s="17">
        <f>IF(Calc!$B138,Calc!O138,"")</f>
        <v/>
      </c>
    </row>
    <row r="139">
      <c r="A139" s="16">
        <f>IF(Calc!$B139,Calc!E139,"")</f>
        <v/>
      </c>
      <c r="B139">
        <f>IF(Calc!$B139,INDEX(MineNames,Calc!C139),"")</f>
        <v/>
      </c>
      <c r="C139" s="17">
        <f>IF(Calc!$B139,Calc!O139,"")</f>
        <v/>
      </c>
    </row>
    <row r="140">
      <c r="A140" s="16">
        <f>IF(Calc!$B140,Calc!E140,"")</f>
        <v/>
      </c>
      <c r="B140">
        <f>IF(Calc!$B140,INDEX(MineNames,Calc!C140),"")</f>
        <v/>
      </c>
      <c r="C140" s="17">
        <f>IF(Calc!$B140,Calc!O140,"")</f>
        <v/>
      </c>
    </row>
    <row r="141">
      <c r="A141" s="16">
        <f>IF(Calc!$B141,Calc!E141,"")</f>
        <v/>
      </c>
      <c r="B141">
        <f>IF(Calc!$B141,INDEX(MineNames,Calc!C141),"")</f>
        <v/>
      </c>
      <c r="C141" s="17">
        <f>IF(Calc!$B141,Calc!O141,"")</f>
        <v/>
      </c>
    </row>
    <row r="142">
      <c r="A142" s="16">
        <f>IF(Calc!$B142,Calc!E142,"")</f>
        <v/>
      </c>
      <c r="B142">
        <f>IF(Calc!$B142,INDEX(MineNames,Calc!C142),"")</f>
        <v/>
      </c>
      <c r="C142" s="17">
        <f>IF(Calc!$B142,Calc!O142,"")</f>
        <v/>
      </c>
    </row>
    <row r="143">
      <c r="A143" s="16">
        <f>IF(Calc!$B143,Calc!E143,"")</f>
        <v/>
      </c>
      <c r="B143">
        <f>IF(Calc!$B143,INDEX(MineNames,Calc!C143),"")</f>
        <v/>
      </c>
      <c r="C143" s="17">
        <f>IF(Calc!$B143,Calc!O143,"")</f>
        <v/>
      </c>
    </row>
    <row r="144">
      <c r="A144" s="16">
        <f>IF(Calc!$B144,Calc!E144,"")</f>
        <v/>
      </c>
      <c r="B144">
        <f>IF(Calc!$B144,INDEX(MineNames,Calc!C144),"")</f>
        <v/>
      </c>
      <c r="C144" s="17">
        <f>IF(Calc!$B144,Calc!O144,"")</f>
        <v/>
      </c>
    </row>
    <row r="145">
      <c r="A145" s="16">
        <f>IF(Calc!$B145,Calc!E145,"")</f>
        <v/>
      </c>
      <c r="B145">
        <f>IF(Calc!$B145,INDEX(MineNames,Calc!C145),"")</f>
        <v/>
      </c>
      <c r="C145" s="17">
        <f>IF(Calc!$B145,Calc!O145,"")</f>
        <v/>
      </c>
    </row>
    <row r="146">
      <c r="A146" s="16">
        <f>IF(Calc!$B146,Calc!E146,"")</f>
        <v/>
      </c>
      <c r="B146">
        <f>IF(Calc!$B146,INDEX(MineNames,Calc!C146),"")</f>
        <v/>
      </c>
      <c r="C146" s="17">
        <f>IF(Calc!$B146,Calc!O146,"")</f>
        <v/>
      </c>
    </row>
    <row r="147">
      <c r="A147" s="16">
        <f>IF(Calc!$B147,Calc!E147,"")</f>
        <v/>
      </c>
      <c r="B147">
        <f>IF(Calc!$B147,INDEX(MineNames,Calc!C147),"")</f>
        <v/>
      </c>
      <c r="C147" s="17">
        <f>IF(Calc!$B147,Calc!O147,"")</f>
        <v/>
      </c>
    </row>
    <row r="148">
      <c r="A148" s="16">
        <f>IF(Calc!$B148,Calc!E148,"")</f>
        <v/>
      </c>
      <c r="B148">
        <f>IF(Calc!$B148,INDEX(MineNames,Calc!C148),"")</f>
        <v/>
      </c>
      <c r="C148" s="17">
        <f>IF(Calc!$B148,Calc!O148,"")</f>
        <v/>
      </c>
    </row>
    <row r="149">
      <c r="A149" s="16">
        <f>IF(Calc!$B149,Calc!E149,"")</f>
        <v/>
      </c>
      <c r="B149">
        <f>IF(Calc!$B149,INDEX(MineNames,Calc!C149),"")</f>
        <v/>
      </c>
      <c r="C149" s="17">
        <f>IF(Calc!$B149,Calc!O149,"")</f>
        <v/>
      </c>
    </row>
    <row r="150">
      <c r="A150" s="16">
        <f>IF(Calc!$B150,Calc!E150,"")</f>
        <v/>
      </c>
      <c r="B150">
        <f>IF(Calc!$B150,INDEX(MineNames,Calc!C150),"")</f>
        <v/>
      </c>
      <c r="C150" s="17">
        <f>IF(Calc!$B150,Calc!O150,"")</f>
        <v/>
      </c>
    </row>
    <row r="151">
      <c r="A151" s="16">
        <f>IF(Calc!$B151,Calc!E151,"")</f>
        <v/>
      </c>
      <c r="B151">
        <f>IF(Calc!$B151,INDEX(MineNames,Calc!C151),"")</f>
        <v/>
      </c>
      <c r="C151" s="17">
        <f>IF(Calc!$B151,Calc!O151,"")</f>
        <v/>
      </c>
    </row>
    <row r="152">
      <c r="A152" s="16">
        <f>IF(Calc!$B152,Calc!E152,"")</f>
        <v/>
      </c>
      <c r="B152">
        <f>IF(Calc!$B152,INDEX(MineNames,Calc!C152),"")</f>
        <v/>
      </c>
      <c r="C152" s="17">
        <f>IF(Calc!$B152,Calc!O152,"")</f>
        <v/>
      </c>
    </row>
    <row r="153">
      <c r="A153" s="16">
        <f>IF(Calc!$B153,Calc!E153,"")</f>
        <v/>
      </c>
      <c r="B153">
        <f>IF(Calc!$B153,INDEX(MineNames,Calc!C153),"")</f>
        <v/>
      </c>
      <c r="C153" s="17">
        <f>IF(Calc!$B153,Calc!O153,"")</f>
        <v/>
      </c>
    </row>
    <row r="154">
      <c r="A154" s="16">
        <f>IF(Calc!$B154,Calc!E154,"")</f>
        <v/>
      </c>
      <c r="B154">
        <f>IF(Calc!$B154,INDEX(MineNames,Calc!C154),"")</f>
        <v/>
      </c>
      <c r="C154" s="17">
        <f>IF(Calc!$B154,Calc!O154,"")</f>
        <v/>
      </c>
    </row>
    <row r="155">
      <c r="A155" s="16">
        <f>IF(Calc!$B155,Calc!E155,"")</f>
        <v/>
      </c>
      <c r="B155">
        <f>IF(Calc!$B155,INDEX(MineNames,Calc!C155),"")</f>
        <v/>
      </c>
      <c r="C155" s="17">
        <f>IF(Calc!$B155,Calc!O155,"")</f>
        <v/>
      </c>
    </row>
    <row r="156">
      <c r="A156" s="16">
        <f>IF(Calc!$B156,Calc!E156,"")</f>
        <v/>
      </c>
      <c r="B156">
        <f>IF(Calc!$B156,INDEX(MineNames,Calc!C156),"")</f>
        <v/>
      </c>
      <c r="C156" s="17">
        <f>IF(Calc!$B156,Calc!O156,"")</f>
        <v/>
      </c>
    </row>
    <row r="157">
      <c r="A157" s="16">
        <f>IF(Calc!$B157,Calc!E157,"")</f>
        <v/>
      </c>
      <c r="B157">
        <f>IF(Calc!$B157,INDEX(MineNames,Calc!C157),"")</f>
        <v/>
      </c>
      <c r="C157" s="17">
        <f>IF(Calc!$B157,Calc!O157,"")</f>
        <v/>
      </c>
    </row>
    <row r="158">
      <c r="A158" s="16">
        <f>IF(Calc!$B158,Calc!E158,"")</f>
        <v/>
      </c>
      <c r="B158">
        <f>IF(Calc!$B158,INDEX(MineNames,Calc!C158),"")</f>
        <v/>
      </c>
      <c r="C158" s="17">
        <f>IF(Calc!$B158,Calc!O158,"")</f>
        <v/>
      </c>
    </row>
    <row r="159">
      <c r="A159" s="16">
        <f>IF(Calc!$B159,Calc!E159,"")</f>
        <v/>
      </c>
      <c r="B159">
        <f>IF(Calc!$B159,INDEX(MineNames,Calc!C159),"")</f>
        <v/>
      </c>
      <c r="C159" s="17">
        <f>IF(Calc!$B159,Calc!O159,"")</f>
        <v/>
      </c>
    </row>
    <row r="160">
      <c r="A160" s="16">
        <f>IF(Calc!$B160,Calc!E160,"")</f>
        <v/>
      </c>
      <c r="B160">
        <f>IF(Calc!$B160,INDEX(MineNames,Calc!C160),"")</f>
        <v/>
      </c>
      <c r="C160" s="17">
        <f>IF(Calc!$B160,Calc!O160,"")</f>
        <v/>
      </c>
    </row>
    <row r="161">
      <c r="A161" s="16">
        <f>IF(Calc!$B161,Calc!E161,"")</f>
        <v/>
      </c>
      <c r="B161">
        <f>IF(Calc!$B161,INDEX(MineNames,Calc!C161),"")</f>
        <v/>
      </c>
      <c r="C161" s="17">
        <f>IF(Calc!$B161,Calc!O161,"")</f>
        <v/>
      </c>
    </row>
    <row r="162">
      <c r="A162" s="16">
        <f>IF(Calc!$B162,Calc!E162,"")</f>
        <v/>
      </c>
      <c r="B162">
        <f>IF(Calc!$B162,INDEX(MineNames,Calc!C162),"")</f>
        <v/>
      </c>
      <c r="C162" s="17">
        <f>IF(Calc!$B162,Calc!O162,"")</f>
        <v/>
      </c>
    </row>
    <row r="163">
      <c r="A163" s="16">
        <f>IF(Calc!$B163,Calc!E163,"")</f>
        <v/>
      </c>
      <c r="B163">
        <f>IF(Calc!$B163,INDEX(MineNames,Calc!C163),"")</f>
        <v/>
      </c>
      <c r="C163" s="17">
        <f>IF(Calc!$B163,Calc!O163,"")</f>
        <v/>
      </c>
    </row>
    <row r="164">
      <c r="A164" s="16">
        <f>IF(Calc!$B164,Calc!E164,"")</f>
        <v/>
      </c>
      <c r="B164">
        <f>IF(Calc!$B164,INDEX(MineNames,Calc!C164),"")</f>
        <v/>
      </c>
      <c r="C164" s="17">
        <f>IF(Calc!$B164,Calc!O164,"")</f>
        <v/>
      </c>
    </row>
    <row r="165">
      <c r="A165" s="16">
        <f>IF(Calc!$B165,Calc!E165,"")</f>
        <v/>
      </c>
      <c r="B165">
        <f>IF(Calc!$B165,INDEX(MineNames,Calc!C165),"")</f>
        <v/>
      </c>
      <c r="C165" s="17">
        <f>IF(Calc!$B165,Calc!O165,"")</f>
        <v/>
      </c>
    </row>
    <row r="166">
      <c r="A166" s="16">
        <f>IF(Calc!$B166,Calc!E166,"")</f>
        <v/>
      </c>
      <c r="B166">
        <f>IF(Calc!$B166,INDEX(MineNames,Calc!C166),"")</f>
        <v/>
      </c>
      <c r="C166" s="17">
        <f>IF(Calc!$B166,Calc!O166,"")</f>
        <v/>
      </c>
    </row>
    <row r="167">
      <c r="A167" s="16">
        <f>IF(Calc!$B167,Calc!E167,"")</f>
        <v/>
      </c>
      <c r="B167">
        <f>IF(Calc!$B167,INDEX(MineNames,Calc!C167),"")</f>
        <v/>
      </c>
      <c r="C167" s="17">
        <f>IF(Calc!$B167,Calc!O167,"")</f>
        <v/>
      </c>
    </row>
    <row r="168">
      <c r="A168" s="16">
        <f>IF(Calc!$B168,Calc!E168,"")</f>
        <v/>
      </c>
      <c r="B168">
        <f>IF(Calc!$B168,INDEX(MineNames,Calc!C168),"")</f>
        <v/>
      </c>
      <c r="C168" s="17">
        <f>IF(Calc!$B168,Calc!O168,"")</f>
        <v/>
      </c>
    </row>
    <row r="169">
      <c r="A169" s="16">
        <f>IF(Calc!$B169,Calc!E169,"")</f>
        <v/>
      </c>
      <c r="B169">
        <f>IF(Calc!$B169,INDEX(MineNames,Calc!C169),"")</f>
        <v/>
      </c>
      <c r="C169" s="17">
        <f>IF(Calc!$B169,Calc!O169,"")</f>
        <v/>
      </c>
    </row>
    <row r="170">
      <c r="A170" s="16">
        <f>IF(Calc!$B170,Calc!E170,"")</f>
        <v/>
      </c>
      <c r="B170">
        <f>IF(Calc!$B170,INDEX(MineNames,Calc!C170),"")</f>
        <v/>
      </c>
      <c r="C170" s="17">
        <f>IF(Calc!$B170,Calc!O170,"")</f>
        <v/>
      </c>
    </row>
    <row r="171">
      <c r="A171" s="16">
        <f>IF(Calc!$B171,Calc!E171,"")</f>
        <v/>
      </c>
      <c r="B171">
        <f>IF(Calc!$B171,INDEX(MineNames,Calc!C171),"")</f>
        <v/>
      </c>
      <c r="C171" s="17">
        <f>IF(Calc!$B171,Calc!O171,"")</f>
        <v/>
      </c>
    </row>
    <row r="172">
      <c r="A172" s="16">
        <f>IF(Calc!$B172,Calc!E172,"")</f>
        <v/>
      </c>
      <c r="B172">
        <f>IF(Calc!$B172,INDEX(MineNames,Calc!C172),"")</f>
        <v/>
      </c>
      <c r="C172" s="17">
        <f>IF(Calc!$B172,Calc!O172,"")</f>
        <v/>
      </c>
    </row>
    <row r="173">
      <c r="A173" s="16">
        <f>IF(Calc!$B173,Calc!E173,"")</f>
        <v/>
      </c>
      <c r="B173">
        <f>IF(Calc!$B173,INDEX(MineNames,Calc!C173),"")</f>
        <v/>
      </c>
      <c r="C173" s="17">
        <f>IF(Calc!$B173,Calc!O173,"")</f>
        <v/>
      </c>
    </row>
    <row r="174">
      <c r="A174" s="16">
        <f>IF(Calc!$B174,Calc!E174,"")</f>
        <v/>
      </c>
      <c r="B174">
        <f>IF(Calc!$B174,INDEX(MineNames,Calc!C174),"")</f>
        <v/>
      </c>
      <c r="C174" s="17">
        <f>IF(Calc!$B174,Calc!O174,"")</f>
        <v/>
      </c>
    </row>
    <row r="175">
      <c r="A175" s="16">
        <f>IF(Calc!$B175,Calc!E175,"")</f>
        <v/>
      </c>
      <c r="B175">
        <f>IF(Calc!$B175,INDEX(MineNames,Calc!C175),"")</f>
        <v/>
      </c>
      <c r="C175" s="17">
        <f>IF(Calc!$B175,Calc!O175,"")</f>
        <v/>
      </c>
    </row>
    <row r="176">
      <c r="A176" s="16">
        <f>IF(Calc!$B176,Calc!E176,"")</f>
        <v/>
      </c>
      <c r="B176">
        <f>IF(Calc!$B176,INDEX(MineNames,Calc!C176),"")</f>
        <v/>
      </c>
      <c r="C176" s="17">
        <f>IF(Calc!$B176,Calc!O176,"")</f>
        <v/>
      </c>
    </row>
    <row r="177">
      <c r="A177" s="16">
        <f>IF(Calc!$B177,Calc!E177,"")</f>
        <v/>
      </c>
      <c r="B177">
        <f>IF(Calc!$B177,INDEX(MineNames,Calc!C177),"")</f>
        <v/>
      </c>
      <c r="C177" s="17">
        <f>IF(Calc!$B177,Calc!O177,"")</f>
        <v/>
      </c>
    </row>
    <row r="178">
      <c r="A178" s="16">
        <f>IF(Calc!$B178,Calc!E178,"")</f>
        <v/>
      </c>
      <c r="B178">
        <f>IF(Calc!$B178,INDEX(MineNames,Calc!C178),"")</f>
        <v/>
      </c>
      <c r="C178" s="17">
        <f>IF(Calc!$B178,Calc!O178,"")</f>
        <v/>
      </c>
    </row>
    <row r="179">
      <c r="A179" s="16">
        <f>IF(Calc!$B179,Calc!E179,"")</f>
        <v/>
      </c>
      <c r="B179">
        <f>IF(Calc!$B179,INDEX(MineNames,Calc!C179),"")</f>
        <v/>
      </c>
      <c r="C179" s="17">
        <f>IF(Calc!$B179,Calc!O179,"")</f>
        <v/>
      </c>
    </row>
    <row r="180">
      <c r="A180" s="16">
        <f>IF(Calc!$B180,Calc!E180,"")</f>
        <v/>
      </c>
      <c r="B180">
        <f>IF(Calc!$B180,INDEX(MineNames,Calc!C180),"")</f>
        <v/>
      </c>
      <c r="C180" s="17">
        <f>IF(Calc!$B180,Calc!O180,"")</f>
        <v/>
      </c>
    </row>
    <row r="181">
      <c r="A181" s="16">
        <f>IF(Calc!$B181,Calc!E181,"")</f>
        <v/>
      </c>
      <c r="B181">
        <f>IF(Calc!$B181,INDEX(MineNames,Calc!C181),"")</f>
        <v/>
      </c>
      <c r="C181" s="17">
        <f>IF(Calc!$B181,Calc!O181,"")</f>
        <v/>
      </c>
    </row>
    <row r="182">
      <c r="A182" s="16">
        <f>IF(Calc!$B182,Calc!E182,"")</f>
        <v/>
      </c>
      <c r="B182">
        <f>IF(Calc!$B182,INDEX(MineNames,Calc!C182),"")</f>
        <v/>
      </c>
      <c r="C182" s="17">
        <f>IF(Calc!$B182,Calc!O182,"")</f>
        <v/>
      </c>
    </row>
    <row r="183">
      <c r="A183" s="16">
        <f>IF(Calc!$B183,Calc!E183,"")</f>
        <v/>
      </c>
      <c r="B183">
        <f>IF(Calc!$B183,INDEX(MineNames,Calc!C183),"")</f>
        <v/>
      </c>
      <c r="C183" s="17">
        <f>IF(Calc!$B183,Calc!O183,"")</f>
        <v/>
      </c>
    </row>
    <row r="184">
      <c r="A184" s="16">
        <f>IF(Calc!$B184,Calc!E184,"")</f>
        <v/>
      </c>
      <c r="B184">
        <f>IF(Calc!$B184,INDEX(MineNames,Calc!C184),"")</f>
        <v/>
      </c>
      <c r="C184" s="17">
        <f>IF(Calc!$B184,Calc!O184,"")</f>
        <v/>
      </c>
    </row>
    <row r="185">
      <c r="A185" s="16">
        <f>IF(Calc!$B185,Calc!E185,"")</f>
        <v/>
      </c>
      <c r="B185">
        <f>IF(Calc!$B185,INDEX(MineNames,Calc!C185),"")</f>
        <v/>
      </c>
      <c r="C185" s="17">
        <f>IF(Calc!$B185,Calc!O185,"")</f>
        <v/>
      </c>
    </row>
    <row r="186">
      <c r="A186" s="16">
        <f>IF(Calc!$B186,Calc!E186,"")</f>
        <v/>
      </c>
      <c r="B186">
        <f>IF(Calc!$B186,INDEX(MineNames,Calc!C186),"")</f>
        <v/>
      </c>
      <c r="C186" s="17">
        <f>IF(Calc!$B186,Calc!O186,"")</f>
        <v/>
      </c>
    </row>
    <row r="187">
      <c r="A187" s="16">
        <f>IF(Calc!$B187,Calc!E187,"")</f>
        <v/>
      </c>
      <c r="B187">
        <f>IF(Calc!$B187,INDEX(MineNames,Calc!C187),"")</f>
        <v/>
      </c>
      <c r="C187" s="17">
        <f>IF(Calc!$B187,Calc!O187,"")</f>
        <v/>
      </c>
    </row>
    <row r="188">
      <c r="A188" s="16">
        <f>IF(Calc!$B188,Calc!E188,"")</f>
        <v/>
      </c>
      <c r="B188">
        <f>IF(Calc!$B188,INDEX(MineNames,Calc!C188),"")</f>
        <v/>
      </c>
      <c r="C188" s="17">
        <f>IF(Calc!$B188,Calc!O188,"")</f>
        <v/>
      </c>
    </row>
    <row r="189">
      <c r="A189" s="16">
        <f>IF(Calc!$B189,Calc!E189,"")</f>
        <v/>
      </c>
      <c r="B189">
        <f>IF(Calc!$B189,INDEX(MineNames,Calc!C189),"")</f>
        <v/>
      </c>
      <c r="C189" s="17">
        <f>IF(Calc!$B189,Calc!O189,"")</f>
        <v/>
      </c>
    </row>
    <row r="190">
      <c r="A190" s="16">
        <f>IF(Calc!$B190,Calc!E190,"")</f>
        <v/>
      </c>
      <c r="B190">
        <f>IF(Calc!$B190,INDEX(MineNames,Calc!C190),"")</f>
        <v/>
      </c>
      <c r="C190" s="17">
        <f>IF(Calc!$B190,Calc!O190,"")</f>
        <v/>
      </c>
    </row>
    <row r="191">
      <c r="A191" s="16">
        <f>IF(Calc!$B191,Calc!E191,"")</f>
        <v/>
      </c>
      <c r="B191">
        <f>IF(Calc!$B191,INDEX(MineNames,Calc!C191),"")</f>
        <v/>
      </c>
      <c r="C191" s="17">
        <f>IF(Calc!$B191,Calc!O191,"")</f>
        <v/>
      </c>
    </row>
    <row r="192">
      <c r="A192" s="16">
        <f>IF(Calc!$B192,Calc!E192,"")</f>
        <v/>
      </c>
      <c r="B192">
        <f>IF(Calc!$B192,INDEX(MineNames,Calc!C192),"")</f>
        <v/>
      </c>
      <c r="C192" s="17">
        <f>IF(Calc!$B192,Calc!O192,"")</f>
        <v/>
      </c>
    </row>
    <row r="193">
      <c r="A193" s="16">
        <f>IF(Calc!$B193,Calc!E193,"")</f>
        <v/>
      </c>
      <c r="B193">
        <f>IF(Calc!$B193,INDEX(MineNames,Calc!C193),"")</f>
        <v/>
      </c>
      <c r="C193" s="17">
        <f>IF(Calc!$B193,Calc!O193,"")</f>
        <v/>
      </c>
    </row>
    <row r="194">
      <c r="A194" s="16">
        <f>IF(Calc!$B194,Calc!E194,"")</f>
        <v/>
      </c>
      <c r="B194">
        <f>IF(Calc!$B194,INDEX(MineNames,Calc!C194),"")</f>
        <v/>
      </c>
      <c r="C194" s="17">
        <f>IF(Calc!$B194,Calc!O194,"")</f>
        <v/>
      </c>
    </row>
    <row r="195">
      <c r="A195" s="16">
        <f>IF(Calc!$B195,Calc!E195,"")</f>
        <v/>
      </c>
      <c r="B195">
        <f>IF(Calc!$B195,INDEX(MineNames,Calc!C195),"")</f>
        <v/>
      </c>
      <c r="C195" s="17">
        <f>IF(Calc!$B195,Calc!O195,"")</f>
        <v/>
      </c>
    </row>
    <row r="196">
      <c r="A196" s="16">
        <f>IF(Calc!$B196,Calc!E196,"")</f>
        <v/>
      </c>
      <c r="B196">
        <f>IF(Calc!$B196,INDEX(MineNames,Calc!C196),"")</f>
        <v/>
      </c>
      <c r="C196" s="17">
        <f>IF(Calc!$B196,Calc!O196,"")</f>
        <v/>
      </c>
    </row>
    <row r="197">
      <c r="A197" s="16">
        <f>IF(Calc!$B197,Calc!E197,"")</f>
        <v/>
      </c>
      <c r="B197">
        <f>IF(Calc!$B197,INDEX(MineNames,Calc!C197),"")</f>
        <v/>
      </c>
      <c r="C197" s="17">
        <f>IF(Calc!$B197,Calc!O197,"")</f>
        <v/>
      </c>
    </row>
    <row r="198">
      <c r="A198" s="16">
        <f>IF(Calc!$B198,Calc!E198,"")</f>
        <v/>
      </c>
      <c r="B198">
        <f>IF(Calc!$B198,INDEX(MineNames,Calc!C198),"")</f>
        <v/>
      </c>
      <c r="C198" s="17">
        <f>IF(Calc!$B198,Calc!O198,"")</f>
        <v/>
      </c>
    </row>
    <row r="199">
      <c r="A199" s="16">
        <f>IF(Calc!$B199,Calc!E199,"")</f>
        <v/>
      </c>
      <c r="B199">
        <f>IF(Calc!$B199,INDEX(MineNames,Calc!C199),"")</f>
        <v/>
      </c>
      <c r="C199" s="17">
        <f>IF(Calc!$B199,Calc!O199,"")</f>
        <v/>
      </c>
    </row>
    <row r="200">
      <c r="A200" s="16">
        <f>IF(Calc!$B200,Calc!E200,"")</f>
        <v/>
      </c>
      <c r="B200">
        <f>IF(Calc!$B200,INDEX(MineNames,Calc!C200),"")</f>
        <v/>
      </c>
      <c r="C200" s="17">
        <f>IF(Calc!$B200,Calc!O200,"")</f>
        <v/>
      </c>
    </row>
    <row r="201">
      <c r="A201" s="16">
        <f>IF(Calc!$B201,Calc!E201,"")</f>
        <v/>
      </c>
      <c r="B201">
        <f>IF(Calc!$B201,INDEX(MineNames,Calc!C201),"")</f>
        <v/>
      </c>
      <c r="C201" s="17">
        <f>IF(Calc!$B201,Calc!O201,"")</f>
        <v/>
      </c>
    </row>
    <row r="202">
      <c r="A202" s="16">
        <f>IF(Calc!$B202,Calc!E202,"")</f>
        <v/>
      </c>
      <c r="B202">
        <f>IF(Calc!$B202,INDEX(MineNames,Calc!C202),"")</f>
        <v/>
      </c>
      <c r="C202" s="17">
        <f>IF(Calc!$B202,Calc!O202,"")</f>
        <v/>
      </c>
    </row>
    <row r="203">
      <c r="A203" s="16">
        <f>IF(Calc!$B203,Calc!E203,"")</f>
        <v/>
      </c>
      <c r="B203">
        <f>IF(Calc!$B203,INDEX(MineNames,Calc!C203),"")</f>
        <v/>
      </c>
      <c r="C203" s="17">
        <f>IF(Calc!$B203,Calc!O203,"")</f>
        <v/>
      </c>
    </row>
    <row r="204">
      <c r="A204" s="16">
        <f>IF(Calc!$B204,Calc!E204,"")</f>
        <v/>
      </c>
      <c r="B204">
        <f>IF(Calc!$B204,INDEX(MineNames,Calc!C204),"")</f>
        <v/>
      </c>
      <c r="C204" s="17">
        <f>IF(Calc!$B204,Calc!O204,"")</f>
        <v/>
      </c>
    </row>
    <row r="205">
      <c r="A205" s="16">
        <f>IF(Calc!$B205,Calc!E205,"")</f>
        <v/>
      </c>
      <c r="B205">
        <f>IF(Calc!$B205,INDEX(MineNames,Calc!C205),"")</f>
        <v/>
      </c>
      <c r="C205" s="17">
        <f>IF(Calc!$B205,Calc!O205,"")</f>
        <v/>
      </c>
    </row>
    <row r="206">
      <c r="A206" s="16">
        <f>IF(Calc!$B206,Calc!E206,"")</f>
        <v/>
      </c>
      <c r="B206">
        <f>IF(Calc!$B206,INDEX(MineNames,Calc!C206),"")</f>
        <v/>
      </c>
      <c r="C206" s="17">
        <f>IF(Calc!$B206,Calc!O206,"")</f>
        <v/>
      </c>
    </row>
    <row r="207">
      <c r="A207" s="16">
        <f>IF(Calc!$B207,Calc!E207,"")</f>
        <v/>
      </c>
      <c r="B207">
        <f>IF(Calc!$B207,INDEX(MineNames,Calc!C207),"")</f>
        <v/>
      </c>
      <c r="C207" s="17">
        <f>IF(Calc!$B207,Calc!O207,"")</f>
        <v/>
      </c>
    </row>
    <row r="208">
      <c r="A208" s="16">
        <f>IF(Calc!$B208,Calc!E208,"")</f>
        <v/>
      </c>
      <c r="B208">
        <f>IF(Calc!$B208,INDEX(MineNames,Calc!C208),"")</f>
        <v/>
      </c>
      <c r="C208" s="17">
        <f>IF(Calc!$B208,Calc!O208,"")</f>
        <v/>
      </c>
    </row>
    <row r="209">
      <c r="A209" s="16">
        <f>IF(Calc!$B209,Calc!E209,"")</f>
        <v/>
      </c>
      <c r="B209">
        <f>IF(Calc!$B209,INDEX(MineNames,Calc!C209),"")</f>
        <v/>
      </c>
      <c r="C209" s="17">
        <f>IF(Calc!$B209,Calc!O209,"")</f>
        <v/>
      </c>
    </row>
    <row r="210">
      <c r="A210" s="16">
        <f>IF(Calc!$B210,Calc!E210,"")</f>
        <v/>
      </c>
      <c r="B210">
        <f>IF(Calc!$B210,INDEX(MineNames,Calc!C210),"")</f>
        <v/>
      </c>
      <c r="C210" s="17">
        <f>IF(Calc!$B210,Calc!O210,"")</f>
        <v/>
      </c>
    </row>
    <row r="211">
      <c r="A211" s="16">
        <f>IF(Calc!$B211,Calc!E211,"")</f>
        <v/>
      </c>
      <c r="B211">
        <f>IF(Calc!$B211,INDEX(MineNames,Calc!C211),"")</f>
        <v/>
      </c>
      <c r="C211" s="17">
        <f>IF(Calc!$B211,Calc!O211,"")</f>
        <v/>
      </c>
    </row>
    <row r="212">
      <c r="A212" s="16">
        <f>IF(Calc!$B212,Calc!E212,"")</f>
        <v/>
      </c>
      <c r="B212">
        <f>IF(Calc!$B212,INDEX(MineNames,Calc!C212),"")</f>
        <v/>
      </c>
      <c r="C212" s="17">
        <f>IF(Calc!$B212,Calc!O212,"")</f>
        <v/>
      </c>
    </row>
    <row r="213">
      <c r="A213" s="16">
        <f>IF(Calc!$B213,Calc!E213,"")</f>
        <v/>
      </c>
      <c r="B213">
        <f>IF(Calc!$B213,INDEX(MineNames,Calc!C213),"")</f>
        <v/>
      </c>
      <c r="C213" s="17">
        <f>IF(Calc!$B213,Calc!O213,"")</f>
        <v/>
      </c>
    </row>
    <row r="214">
      <c r="A214" s="16">
        <f>IF(Calc!$B214,Calc!E214,"")</f>
        <v/>
      </c>
      <c r="B214">
        <f>IF(Calc!$B214,INDEX(MineNames,Calc!C214),"")</f>
        <v/>
      </c>
      <c r="C214" s="17">
        <f>IF(Calc!$B214,Calc!O214,"")</f>
        <v/>
      </c>
    </row>
    <row r="215">
      <c r="A215" s="16">
        <f>IF(Calc!$B215,Calc!E215,"")</f>
        <v/>
      </c>
      <c r="B215">
        <f>IF(Calc!$B215,INDEX(MineNames,Calc!C215),"")</f>
        <v/>
      </c>
      <c r="C215" s="17">
        <f>IF(Calc!$B215,Calc!O215,"")</f>
        <v/>
      </c>
    </row>
    <row r="216">
      <c r="A216" s="16">
        <f>IF(Calc!$B216,Calc!E216,"")</f>
        <v/>
      </c>
      <c r="B216">
        <f>IF(Calc!$B216,INDEX(MineNames,Calc!C216),"")</f>
        <v/>
      </c>
      <c r="C216" s="17">
        <f>IF(Calc!$B216,Calc!O216,"")</f>
        <v/>
      </c>
    </row>
    <row r="217">
      <c r="A217" s="16">
        <f>IF(Calc!$B217,Calc!E217,"")</f>
        <v/>
      </c>
      <c r="B217">
        <f>IF(Calc!$B217,INDEX(MineNames,Calc!C217),"")</f>
        <v/>
      </c>
      <c r="C217" s="17">
        <f>IF(Calc!$B217,Calc!O217,"")</f>
        <v/>
      </c>
    </row>
    <row r="218">
      <c r="A218" s="16">
        <f>IF(Calc!$B218,Calc!E218,"")</f>
        <v/>
      </c>
      <c r="B218">
        <f>IF(Calc!$B218,INDEX(MineNames,Calc!C218),"")</f>
        <v/>
      </c>
      <c r="C218" s="17">
        <f>IF(Calc!$B218,Calc!O218,"")</f>
        <v/>
      </c>
    </row>
    <row r="219">
      <c r="A219" s="16">
        <f>IF(Calc!$B219,Calc!E219,"")</f>
        <v/>
      </c>
      <c r="B219">
        <f>IF(Calc!$B219,INDEX(MineNames,Calc!C219),"")</f>
        <v/>
      </c>
      <c r="C219" s="17">
        <f>IF(Calc!$B219,Calc!O219,"")</f>
        <v/>
      </c>
    </row>
    <row r="220">
      <c r="A220" s="16">
        <f>IF(Calc!$B220,Calc!E220,"")</f>
        <v/>
      </c>
      <c r="B220">
        <f>IF(Calc!$B220,INDEX(MineNames,Calc!C220),"")</f>
        <v/>
      </c>
      <c r="C220" s="17">
        <f>IF(Calc!$B220,Calc!O220,"")</f>
        <v/>
      </c>
    </row>
    <row r="221">
      <c r="A221" s="16">
        <f>IF(Calc!$B221,Calc!E221,"")</f>
        <v/>
      </c>
      <c r="B221">
        <f>IF(Calc!$B221,INDEX(MineNames,Calc!C221),"")</f>
        <v/>
      </c>
      <c r="C221" s="17">
        <f>IF(Calc!$B221,Calc!O221,"")</f>
        <v/>
      </c>
    </row>
    <row r="222">
      <c r="A222" s="16">
        <f>IF(Calc!$B222,Calc!E222,"")</f>
        <v/>
      </c>
      <c r="B222">
        <f>IF(Calc!$B222,INDEX(MineNames,Calc!C222),"")</f>
        <v/>
      </c>
      <c r="C222" s="17">
        <f>IF(Calc!$B222,Calc!O222,"")</f>
        <v/>
      </c>
    </row>
    <row r="223">
      <c r="A223" s="16">
        <f>IF(Calc!$B223,Calc!E223,"")</f>
        <v/>
      </c>
      <c r="B223">
        <f>IF(Calc!$B223,INDEX(MineNames,Calc!C223),"")</f>
        <v/>
      </c>
      <c r="C223" s="17">
        <f>IF(Calc!$B223,Calc!O223,"")</f>
        <v/>
      </c>
    </row>
    <row r="224">
      <c r="A224" s="16">
        <f>IF(Calc!$B224,Calc!E224,"")</f>
        <v/>
      </c>
      <c r="B224">
        <f>IF(Calc!$B224,INDEX(MineNames,Calc!C224),"")</f>
        <v/>
      </c>
      <c r="C224" s="17">
        <f>IF(Calc!$B224,Calc!O224,"")</f>
        <v/>
      </c>
    </row>
    <row r="225">
      <c r="A225" s="16">
        <f>IF(Calc!$B225,Calc!E225,"")</f>
        <v/>
      </c>
      <c r="B225">
        <f>IF(Calc!$B225,INDEX(MineNames,Calc!C225),"")</f>
        <v/>
      </c>
      <c r="C225" s="17">
        <f>IF(Calc!$B225,Calc!O225,"")</f>
        <v/>
      </c>
    </row>
    <row r="226">
      <c r="A226" s="16">
        <f>IF(Calc!$B226,Calc!E226,"")</f>
        <v/>
      </c>
      <c r="B226">
        <f>IF(Calc!$B226,INDEX(MineNames,Calc!C226),"")</f>
        <v/>
      </c>
      <c r="C226" s="17">
        <f>IF(Calc!$B226,Calc!O226,"")</f>
        <v/>
      </c>
    </row>
    <row r="227">
      <c r="A227" s="16">
        <f>IF(Calc!$B227,Calc!E227,"")</f>
        <v/>
      </c>
      <c r="B227">
        <f>IF(Calc!$B227,INDEX(MineNames,Calc!C227),"")</f>
        <v/>
      </c>
      <c r="C227" s="17">
        <f>IF(Calc!$B227,Calc!O227,"")</f>
        <v/>
      </c>
    </row>
    <row r="228">
      <c r="A228" s="16">
        <f>IF(Calc!$B228,Calc!E228,"")</f>
        <v/>
      </c>
      <c r="B228">
        <f>IF(Calc!$B228,INDEX(MineNames,Calc!C228),"")</f>
        <v/>
      </c>
      <c r="C228" s="17">
        <f>IF(Calc!$B228,Calc!O228,"")</f>
        <v/>
      </c>
    </row>
    <row r="229">
      <c r="A229" s="16">
        <f>IF(Calc!$B229,Calc!E229,"")</f>
        <v/>
      </c>
      <c r="B229">
        <f>IF(Calc!$B229,INDEX(MineNames,Calc!C229),"")</f>
        <v/>
      </c>
      <c r="C229" s="17">
        <f>IF(Calc!$B229,Calc!O229,"")</f>
        <v/>
      </c>
    </row>
    <row r="230">
      <c r="A230" s="16">
        <f>IF(Calc!$B230,Calc!E230,"")</f>
        <v/>
      </c>
      <c r="B230">
        <f>IF(Calc!$B230,INDEX(MineNames,Calc!C230),"")</f>
        <v/>
      </c>
      <c r="C230" s="17">
        <f>IF(Calc!$B230,Calc!O230,"")</f>
        <v/>
      </c>
    </row>
    <row r="231">
      <c r="A231" s="16">
        <f>IF(Calc!$B231,Calc!E231,"")</f>
        <v/>
      </c>
      <c r="B231">
        <f>IF(Calc!$B231,INDEX(MineNames,Calc!C231),"")</f>
        <v/>
      </c>
      <c r="C231" s="17">
        <f>IF(Calc!$B231,Calc!O231,"")</f>
        <v/>
      </c>
    </row>
    <row r="232">
      <c r="A232" s="16">
        <f>IF(Calc!$B232,Calc!E232,"")</f>
        <v/>
      </c>
      <c r="B232">
        <f>IF(Calc!$B232,INDEX(MineNames,Calc!C232),"")</f>
        <v/>
      </c>
      <c r="C232" s="17">
        <f>IF(Calc!$B232,Calc!O232,"")</f>
        <v/>
      </c>
    </row>
    <row r="233">
      <c r="A233" s="16">
        <f>IF(Calc!$B233,Calc!E233,"")</f>
        <v/>
      </c>
      <c r="B233">
        <f>IF(Calc!$B233,INDEX(MineNames,Calc!C233),"")</f>
        <v/>
      </c>
      <c r="C233" s="17">
        <f>IF(Calc!$B233,Calc!O233,"")</f>
        <v/>
      </c>
    </row>
    <row r="234">
      <c r="A234" s="16">
        <f>IF(Calc!$B234,Calc!E234,"")</f>
        <v/>
      </c>
      <c r="B234">
        <f>IF(Calc!$B234,INDEX(MineNames,Calc!C234),"")</f>
        <v/>
      </c>
      <c r="C234" s="17">
        <f>IF(Calc!$B234,Calc!O234,"")</f>
        <v/>
      </c>
    </row>
    <row r="235">
      <c r="A235" s="16">
        <f>IF(Calc!$B235,Calc!E235,"")</f>
        <v/>
      </c>
      <c r="B235">
        <f>IF(Calc!$B235,INDEX(MineNames,Calc!C235),"")</f>
        <v/>
      </c>
      <c r="C235" s="17">
        <f>IF(Calc!$B235,Calc!O235,"")</f>
        <v/>
      </c>
    </row>
    <row r="236">
      <c r="A236" s="16">
        <f>IF(Calc!$B236,Calc!E236,"")</f>
        <v/>
      </c>
      <c r="B236">
        <f>IF(Calc!$B236,INDEX(MineNames,Calc!C236),"")</f>
        <v/>
      </c>
      <c r="C236" s="17">
        <f>IF(Calc!$B236,Calc!O236,"")</f>
        <v/>
      </c>
    </row>
    <row r="237">
      <c r="A237" s="16">
        <f>IF(Calc!$B237,Calc!E237,"")</f>
        <v/>
      </c>
      <c r="B237">
        <f>IF(Calc!$B237,INDEX(MineNames,Calc!C237),"")</f>
        <v/>
      </c>
      <c r="C237" s="17">
        <f>IF(Calc!$B237,Calc!O237,"")</f>
        <v/>
      </c>
    </row>
    <row r="238">
      <c r="A238" s="16">
        <f>IF(Calc!$B238,Calc!E238,"")</f>
        <v/>
      </c>
      <c r="B238">
        <f>IF(Calc!$B238,INDEX(MineNames,Calc!C238),"")</f>
        <v/>
      </c>
      <c r="C238" s="17">
        <f>IF(Calc!$B238,Calc!O238,"")</f>
        <v/>
      </c>
    </row>
    <row r="239">
      <c r="A239" s="16">
        <f>IF(Calc!$B239,Calc!E239,"")</f>
        <v/>
      </c>
      <c r="B239">
        <f>IF(Calc!$B239,INDEX(MineNames,Calc!C239),"")</f>
        <v/>
      </c>
      <c r="C239" s="17">
        <f>IF(Calc!$B239,Calc!O239,"")</f>
        <v/>
      </c>
    </row>
    <row r="240">
      <c r="A240" s="16">
        <f>IF(Calc!$B240,Calc!E240,"")</f>
        <v/>
      </c>
      <c r="B240">
        <f>IF(Calc!$B240,INDEX(MineNames,Calc!C240),"")</f>
        <v/>
      </c>
      <c r="C240" s="17">
        <f>IF(Calc!$B240,Calc!O240,"")</f>
        <v/>
      </c>
    </row>
    <row r="241">
      <c r="A241" s="16">
        <f>IF(Calc!$B241,Calc!E241,"")</f>
        <v/>
      </c>
      <c r="B241">
        <f>IF(Calc!$B241,INDEX(MineNames,Calc!C241),"")</f>
        <v/>
      </c>
      <c r="C241" s="17">
        <f>IF(Calc!$B241,Calc!O241,"")</f>
        <v/>
      </c>
    </row>
    <row r="242">
      <c r="A242" s="16">
        <f>IF(Calc!$B242,Calc!E242,"")</f>
        <v/>
      </c>
      <c r="B242">
        <f>IF(Calc!$B242,INDEX(MineNames,Calc!C242),"")</f>
        <v/>
      </c>
      <c r="C242" s="17">
        <f>IF(Calc!$B242,Calc!O242,"")</f>
        <v/>
      </c>
    </row>
    <row r="243">
      <c r="A243" s="16">
        <f>IF(Calc!$B243,Calc!E243,"")</f>
        <v/>
      </c>
      <c r="B243">
        <f>IF(Calc!$B243,INDEX(MineNames,Calc!C243),"")</f>
        <v/>
      </c>
      <c r="C243" s="17">
        <f>IF(Calc!$B243,Calc!O243,"")</f>
        <v/>
      </c>
    </row>
    <row r="244">
      <c r="A244" s="16">
        <f>IF(Calc!$B244,Calc!E244,"")</f>
        <v/>
      </c>
      <c r="B244">
        <f>IF(Calc!$B244,INDEX(MineNames,Calc!C244),"")</f>
        <v/>
      </c>
      <c r="C244" s="17">
        <f>IF(Calc!$B244,Calc!O244,"")</f>
        <v/>
      </c>
    </row>
    <row r="245">
      <c r="A245" s="16">
        <f>IF(Calc!$B245,Calc!E245,"")</f>
        <v/>
      </c>
      <c r="B245">
        <f>IF(Calc!$B245,INDEX(MineNames,Calc!C245),"")</f>
        <v/>
      </c>
      <c r="C245" s="17">
        <f>IF(Calc!$B245,Calc!O245,"")</f>
        <v/>
      </c>
    </row>
    <row r="246">
      <c r="A246" s="16">
        <f>IF(Calc!$B246,Calc!E246,"")</f>
        <v/>
      </c>
      <c r="B246">
        <f>IF(Calc!$B246,INDEX(MineNames,Calc!C246),"")</f>
        <v/>
      </c>
      <c r="C246" s="17">
        <f>IF(Calc!$B246,Calc!O246,"")</f>
        <v/>
      </c>
    </row>
    <row r="247">
      <c r="A247" s="16">
        <f>IF(Calc!$B247,Calc!E247,"")</f>
        <v/>
      </c>
      <c r="B247">
        <f>IF(Calc!$B247,INDEX(MineNames,Calc!C247),"")</f>
        <v/>
      </c>
      <c r="C247" s="17">
        <f>IF(Calc!$B247,Calc!O247,"")</f>
        <v/>
      </c>
    </row>
    <row r="248">
      <c r="A248" s="16">
        <f>IF(Calc!$B248,Calc!E248,"")</f>
        <v/>
      </c>
      <c r="B248">
        <f>IF(Calc!$B248,INDEX(MineNames,Calc!C248),"")</f>
        <v/>
      </c>
      <c r="C248" s="17">
        <f>IF(Calc!$B248,Calc!O248,"")</f>
        <v/>
      </c>
    </row>
    <row r="249">
      <c r="A249" s="16">
        <f>IF(Calc!$B249,Calc!E249,"")</f>
        <v/>
      </c>
      <c r="B249">
        <f>IF(Calc!$B249,INDEX(MineNames,Calc!C249),"")</f>
        <v/>
      </c>
      <c r="C249" s="17">
        <f>IF(Calc!$B249,Calc!O249,"")</f>
        <v/>
      </c>
    </row>
    <row r="250">
      <c r="A250" s="16">
        <f>IF(Calc!$B250,Calc!E250,"")</f>
        <v/>
      </c>
      <c r="B250">
        <f>IF(Calc!$B250,INDEX(MineNames,Calc!C250),"")</f>
        <v/>
      </c>
      <c r="C250" s="17">
        <f>IF(Calc!$B250,Calc!O250,"")</f>
        <v/>
      </c>
    </row>
    <row r="251">
      <c r="A251" s="16">
        <f>IF(Calc!$B251,Calc!E251,"")</f>
        <v/>
      </c>
      <c r="B251">
        <f>IF(Calc!$B251,INDEX(MineNames,Calc!C251),"")</f>
        <v/>
      </c>
      <c r="C251" s="17">
        <f>IF(Calc!$B251,Calc!O251,"")</f>
        <v/>
      </c>
    </row>
    <row r="252">
      <c r="A252" s="16">
        <f>IF(Calc!$B252,Calc!E252,"")</f>
        <v/>
      </c>
      <c r="B252">
        <f>IF(Calc!$B252,INDEX(MineNames,Calc!C252),"")</f>
        <v/>
      </c>
      <c r="C252" s="17">
        <f>IF(Calc!$B252,Calc!O252,"")</f>
        <v/>
      </c>
    </row>
    <row r="253">
      <c r="A253" s="16">
        <f>IF(Calc!$B253,Calc!E253,"")</f>
        <v/>
      </c>
      <c r="B253">
        <f>IF(Calc!$B253,INDEX(MineNames,Calc!C253),"")</f>
        <v/>
      </c>
      <c r="C253" s="17">
        <f>IF(Calc!$B253,Calc!O253,"")</f>
        <v/>
      </c>
    </row>
    <row r="254">
      <c r="A254" s="16">
        <f>IF(Calc!$B254,Calc!E254,"")</f>
        <v/>
      </c>
      <c r="B254">
        <f>IF(Calc!$B254,INDEX(MineNames,Calc!C254),"")</f>
        <v/>
      </c>
      <c r="C254" s="17">
        <f>IF(Calc!$B254,Calc!O254,"")</f>
        <v/>
      </c>
    </row>
    <row r="255">
      <c r="A255" s="16">
        <f>IF(Calc!$B255,Calc!E255,"")</f>
        <v/>
      </c>
      <c r="B255">
        <f>IF(Calc!$B255,INDEX(MineNames,Calc!C255),"")</f>
        <v/>
      </c>
      <c r="C255" s="17">
        <f>IF(Calc!$B255,Calc!O255,"")</f>
        <v/>
      </c>
    </row>
    <row r="256">
      <c r="A256" s="16">
        <f>IF(Calc!$B256,Calc!E256,"")</f>
        <v/>
      </c>
      <c r="B256">
        <f>IF(Calc!$B256,INDEX(MineNames,Calc!C256),"")</f>
        <v/>
      </c>
      <c r="C256" s="17">
        <f>IF(Calc!$B256,Calc!O256,"")</f>
        <v/>
      </c>
    </row>
    <row r="257">
      <c r="A257" s="16">
        <f>IF(Calc!$B257,Calc!E257,"")</f>
        <v/>
      </c>
      <c r="B257">
        <f>IF(Calc!$B257,INDEX(MineNames,Calc!C257),"")</f>
        <v/>
      </c>
      <c r="C257" s="17">
        <f>IF(Calc!$B257,Calc!O257,"")</f>
        <v/>
      </c>
    </row>
    <row r="258">
      <c r="A258" s="16">
        <f>IF(Calc!$B258,Calc!E258,"")</f>
        <v/>
      </c>
      <c r="B258">
        <f>IF(Calc!$B258,INDEX(MineNames,Calc!C258),"")</f>
        <v/>
      </c>
      <c r="C258" s="17">
        <f>IF(Calc!$B258,Calc!O258,"")</f>
        <v/>
      </c>
    </row>
    <row r="259">
      <c r="A259" s="16">
        <f>IF(Calc!$B259,Calc!E259,"")</f>
        <v/>
      </c>
      <c r="B259">
        <f>IF(Calc!$B259,INDEX(MineNames,Calc!C259),"")</f>
        <v/>
      </c>
      <c r="C259" s="17">
        <f>IF(Calc!$B259,Calc!O259,"")</f>
        <v/>
      </c>
    </row>
    <row r="260">
      <c r="A260" s="16">
        <f>IF(Calc!$B260,Calc!E260,"")</f>
        <v/>
      </c>
      <c r="B260">
        <f>IF(Calc!$B260,INDEX(MineNames,Calc!C260),"")</f>
        <v/>
      </c>
      <c r="C260" s="17">
        <f>IF(Calc!$B260,Calc!O260,"")</f>
        <v/>
      </c>
    </row>
    <row r="261">
      <c r="A261" s="16">
        <f>IF(Calc!$B261,Calc!E261,"")</f>
        <v/>
      </c>
      <c r="B261">
        <f>IF(Calc!$B261,INDEX(MineNames,Calc!C261),"")</f>
        <v/>
      </c>
      <c r="C261" s="17">
        <f>IF(Calc!$B261,Calc!O261,"")</f>
        <v/>
      </c>
    </row>
    <row r="262">
      <c r="A262" s="16">
        <f>IF(Calc!$B262,Calc!E262,"")</f>
        <v/>
      </c>
      <c r="B262">
        <f>IF(Calc!$B262,INDEX(MineNames,Calc!C262),"")</f>
        <v/>
      </c>
      <c r="C262" s="17">
        <f>IF(Calc!$B262,Calc!O262,"")</f>
        <v/>
      </c>
    </row>
    <row r="263">
      <c r="A263" s="16">
        <f>IF(Calc!$B263,Calc!E263,"")</f>
        <v/>
      </c>
      <c r="B263">
        <f>IF(Calc!$B263,INDEX(MineNames,Calc!C263),"")</f>
        <v/>
      </c>
      <c r="C263" s="17">
        <f>IF(Calc!$B263,Calc!O263,"")</f>
        <v/>
      </c>
    </row>
    <row r="264">
      <c r="A264" s="16">
        <f>IF(Calc!$B264,Calc!E264,"")</f>
        <v/>
      </c>
      <c r="B264">
        <f>IF(Calc!$B264,INDEX(MineNames,Calc!C264),"")</f>
        <v/>
      </c>
      <c r="C264" s="17">
        <f>IF(Calc!$B264,Calc!O264,"")</f>
        <v/>
      </c>
    </row>
    <row r="265">
      <c r="A265" s="16">
        <f>IF(Calc!$B265,Calc!E265,"")</f>
        <v/>
      </c>
      <c r="B265">
        <f>IF(Calc!$B265,INDEX(MineNames,Calc!C265),"")</f>
        <v/>
      </c>
      <c r="C265" s="17">
        <f>IF(Calc!$B265,Calc!O265,"")</f>
        <v/>
      </c>
    </row>
    <row r="266">
      <c r="A266" s="16">
        <f>IF(Calc!$B266,Calc!E266,"")</f>
        <v/>
      </c>
      <c r="B266">
        <f>IF(Calc!$B266,INDEX(MineNames,Calc!C266),"")</f>
        <v/>
      </c>
      <c r="C266" s="17">
        <f>IF(Calc!$B266,Calc!O266,"")</f>
        <v/>
      </c>
    </row>
    <row r="267">
      <c r="A267" s="16">
        <f>IF(Calc!$B267,Calc!E267,"")</f>
        <v/>
      </c>
      <c r="B267">
        <f>IF(Calc!$B267,INDEX(MineNames,Calc!C267),"")</f>
        <v/>
      </c>
      <c r="C267" s="17">
        <f>IF(Calc!$B267,Calc!O267,"")</f>
        <v/>
      </c>
    </row>
    <row r="268">
      <c r="A268" s="16">
        <f>IF(Calc!$B268,Calc!E268,"")</f>
        <v/>
      </c>
      <c r="B268">
        <f>IF(Calc!$B268,INDEX(MineNames,Calc!C268),"")</f>
        <v/>
      </c>
      <c r="C268" s="17">
        <f>IF(Calc!$B268,Calc!O268,"")</f>
        <v/>
      </c>
    </row>
    <row r="269">
      <c r="A269" s="16">
        <f>IF(Calc!$B269,Calc!E269,"")</f>
        <v/>
      </c>
      <c r="B269">
        <f>IF(Calc!$B269,INDEX(MineNames,Calc!C269),"")</f>
        <v/>
      </c>
      <c r="C269" s="17">
        <f>IF(Calc!$B269,Calc!O269,"")</f>
        <v/>
      </c>
    </row>
    <row r="270">
      <c r="A270" s="16">
        <f>IF(Calc!$B270,Calc!E270,"")</f>
        <v/>
      </c>
      <c r="B270">
        <f>IF(Calc!$B270,INDEX(MineNames,Calc!C270),"")</f>
        <v/>
      </c>
      <c r="C270" s="17">
        <f>IF(Calc!$B270,Calc!O270,"")</f>
        <v/>
      </c>
    </row>
    <row r="271">
      <c r="A271" s="16">
        <f>IF(Calc!$B271,Calc!E271,"")</f>
        <v/>
      </c>
      <c r="B271">
        <f>IF(Calc!$B271,INDEX(MineNames,Calc!C271),"")</f>
        <v/>
      </c>
      <c r="C271" s="17">
        <f>IF(Calc!$B271,Calc!O271,"")</f>
        <v/>
      </c>
    </row>
    <row r="272">
      <c r="A272" s="16">
        <f>IF(Calc!$B272,Calc!E272,"")</f>
        <v/>
      </c>
      <c r="B272">
        <f>IF(Calc!$B272,INDEX(MineNames,Calc!C272),"")</f>
        <v/>
      </c>
      <c r="C272" s="17">
        <f>IF(Calc!$B272,Calc!O272,"")</f>
        <v/>
      </c>
    </row>
    <row r="273">
      <c r="A273" s="16">
        <f>IF(Calc!$B273,Calc!E273,"")</f>
        <v/>
      </c>
      <c r="B273">
        <f>IF(Calc!$B273,INDEX(MineNames,Calc!C273),"")</f>
        <v/>
      </c>
      <c r="C273" s="17">
        <f>IF(Calc!$B273,Calc!O273,"")</f>
        <v/>
      </c>
    </row>
    <row r="274">
      <c r="A274" s="16">
        <f>IF(Calc!$B274,Calc!E274,"")</f>
        <v/>
      </c>
      <c r="B274">
        <f>IF(Calc!$B274,INDEX(MineNames,Calc!C274),"")</f>
        <v/>
      </c>
      <c r="C274" s="17">
        <f>IF(Calc!$B274,Calc!O274,"")</f>
        <v/>
      </c>
    </row>
    <row r="275">
      <c r="A275" s="16">
        <f>IF(Calc!$B275,Calc!E275,"")</f>
        <v/>
      </c>
      <c r="B275">
        <f>IF(Calc!$B275,INDEX(MineNames,Calc!C275),"")</f>
        <v/>
      </c>
      <c r="C275" s="17">
        <f>IF(Calc!$B275,Calc!O275,"")</f>
        <v/>
      </c>
    </row>
    <row r="276">
      <c r="A276" s="16">
        <f>IF(Calc!$B276,Calc!E276,"")</f>
        <v/>
      </c>
      <c r="B276">
        <f>IF(Calc!$B276,INDEX(MineNames,Calc!C276),"")</f>
        <v/>
      </c>
      <c r="C276" s="17">
        <f>IF(Calc!$B276,Calc!O276,"")</f>
        <v/>
      </c>
    </row>
    <row r="277">
      <c r="A277" s="16">
        <f>IF(Calc!$B277,Calc!E277,"")</f>
        <v/>
      </c>
      <c r="B277">
        <f>IF(Calc!$B277,INDEX(MineNames,Calc!C277),"")</f>
        <v/>
      </c>
      <c r="C277" s="17">
        <f>IF(Calc!$B277,Calc!O277,"")</f>
        <v/>
      </c>
    </row>
    <row r="278">
      <c r="A278" s="16">
        <f>IF(Calc!$B278,Calc!E278,"")</f>
        <v/>
      </c>
      <c r="B278">
        <f>IF(Calc!$B278,INDEX(MineNames,Calc!C278),"")</f>
        <v/>
      </c>
      <c r="C278" s="17">
        <f>IF(Calc!$B278,Calc!O278,"")</f>
        <v/>
      </c>
    </row>
    <row r="279">
      <c r="A279" s="16">
        <f>IF(Calc!$B279,Calc!E279,"")</f>
        <v/>
      </c>
      <c r="B279">
        <f>IF(Calc!$B279,INDEX(MineNames,Calc!C279),"")</f>
        <v/>
      </c>
      <c r="C279" s="17">
        <f>IF(Calc!$B279,Calc!O279,"")</f>
        <v/>
      </c>
    </row>
    <row r="280">
      <c r="A280" s="16">
        <f>IF(Calc!$B280,Calc!E280,"")</f>
        <v/>
      </c>
      <c r="B280">
        <f>IF(Calc!$B280,INDEX(MineNames,Calc!C280),"")</f>
        <v/>
      </c>
      <c r="C280" s="17">
        <f>IF(Calc!$B280,Calc!O280,"")</f>
        <v/>
      </c>
    </row>
    <row r="281">
      <c r="A281" s="16">
        <f>IF(Calc!$B281,Calc!E281,"")</f>
        <v/>
      </c>
      <c r="B281">
        <f>IF(Calc!$B281,INDEX(MineNames,Calc!C281),"")</f>
        <v/>
      </c>
      <c r="C281" s="17">
        <f>IF(Calc!$B281,Calc!O281,"")</f>
        <v/>
      </c>
    </row>
    <row r="282">
      <c r="A282" s="16">
        <f>IF(Calc!$B282,Calc!E282,"")</f>
        <v/>
      </c>
      <c r="B282">
        <f>IF(Calc!$B282,INDEX(MineNames,Calc!C282),"")</f>
        <v/>
      </c>
      <c r="C282" s="17">
        <f>IF(Calc!$B282,Calc!O282,"")</f>
        <v/>
      </c>
    </row>
    <row r="283">
      <c r="A283" s="16">
        <f>IF(Calc!$B283,Calc!E283,"")</f>
        <v/>
      </c>
      <c r="B283">
        <f>IF(Calc!$B283,INDEX(MineNames,Calc!C283),"")</f>
        <v/>
      </c>
      <c r="C283" s="17">
        <f>IF(Calc!$B283,Calc!O283,"")</f>
        <v/>
      </c>
    </row>
    <row r="284">
      <c r="A284" s="16">
        <f>IF(Calc!$B284,Calc!E284,"")</f>
        <v/>
      </c>
      <c r="B284">
        <f>IF(Calc!$B284,INDEX(MineNames,Calc!C284),"")</f>
        <v/>
      </c>
      <c r="C284" s="17">
        <f>IF(Calc!$B284,Calc!O284,"")</f>
        <v/>
      </c>
    </row>
    <row r="285">
      <c r="A285" s="16">
        <f>IF(Calc!$B285,Calc!E285,"")</f>
        <v/>
      </c>
      <c r="B285">
        <f>IF(Calc!$B285,INDEX(MineNames,Calc!C285),"")</f>
        <v/>
      </c>
      <c r="C285" s="17">
        <f>IF(Calc!$B285,Calc!O285,"")</f>
        <v/>
      </c>
    </row>
    <row r="286">
      <c r="A286" s="16">
        <f>IF(Calc!$B286,Calc!E286,"")</f>
        <v/>
      </c>
      <c r="B286">
        <f>IF(Calc!$B286,INDEX(MineNames,Calc!C286),"")</f>
        <v/>
      </c>
      <c r="C286" s="17">
        <f>IF(Calc!$B286,Calc!O286,"")</f>
        <v/>
      </c>
    </row>
    <row r="287">
      <c r="A287" s="16">
        <f>IF(Calc!$B287,Calc!E287,"")</f>
        <v/>
      </c>
      <c r="B287">
        <f>IF(Calc!$B287,INDEX(MineNames,Calc!C287),"")</f>
        <v/>
      </c>
      <c r="C287" s="17">
        <f>IF(Calc!$B287,Calc!O287,"")</f>
        <v/>
      </c>
    </row>
    <row r="288">
      <c r="A288" s="16">
        <f>IF(Calc!$B288,Calc!E288,"")</f>
        <v/>
      </c>
      <c r="B288">
        <f>IF(Calc!$B288,INDEX(MineNames,Calc!C288),"")</f>
        <v/>
      </c>
      <c r="C288" s="17">
        <f>IF(Calc!$B288,Calc!O288,"")</f>
        <v/>
      </c>
    </row>
    <row r="289">
      <c r="A289" s="16">
        <f>IF(Calc!$B289,Calc!E289,"")</f>
        <v/>
      </c>
      <c r="B289">
        <f>IF(Calc!$B289,INDEX(MineNames,Calc!C289),"")</f>
        <v/>
      </c>
      <c r="C289" s="17">
        <f>IF(Calc!$B289,Calc!O289,"")</f>
        <v/>
      </c>
    </row>
    <row r="290">
      <c r="A290" s="16">
        <f>IF(Calc!$B290,Calc!E290,"")</f>
        <v/>
      </c>
      <c r="B290">
        <f>IF(Calc!$B290,INDEX(MineNames,Calc!C290),"")</f>
        <v/>
      </c>
      <c r="C290" s="17">
        <f>IF(Calc!$B290,Calc!O290,"")</f>
        <v/>
      </c>
    </row>
    <row r="291">
      <c r="A291" s="16">
        <f>IF(Calc!$B291,Calc!E291,"")</f>
        <v/>
      </c>
      <c r="B291">
        <f>IF(Calc!$B291,INDEX(MineNames,Calc!C291),"")</f>
        <v/>
      </c>
      <c r="C291" s="17">
        <f>IF(Calc!$B291,Calc!O291,"")</f>
        <v/>
      </c>
    </row>
    <row r="292">
      <c r="A292" s="16">
        <f>IF(Calc!$B292,Calc!E292,"")</f>
        <v/>
      </c>
      <c r="B292">
        <f>IF(Calc!$B292,INDEX(MineNames,Calc!C292),"")</f>
        <v/>
      </c>
      <c r="C292" s="17">
        <f>IF(Calc!$B292,Calc!O292,"")</f>
        <v/>
      </c>
    </row>
    <row r="293">
      <c r="A293" s="16">
        <f>IF(Calc!$B293,Calc!E293,"")</f>
        <v/>
      </c>
      <c r="B293">
        <f>IF(Calc!$B293,INDEX(MineNames,Calc!C293),"")</f>
        <v/>
      </c>
      <c r="C293" s="17">
        <f>IF(Calc!$B293,Calc!O293,"")</f>
        <v/>
      </c>
    </row>
    <row r="294">
      <c r="A294" s="16">
        <f>IF(Calc!$B294,Calc!E294,"")</f>
        <v/>
      </c>
      <c r="B294">
        <f>IF(Calc!$B294,INDEX(MineNames,Calc!C294),"")</f>
        <v/>
      </c>
      <c r="C294" s="17">
        <f>IF(Calc!$B294,Calc!O294,"")</f>
        <v/>
      </c>
    </row>
    <row r="295">
      <c r="A295" s="16">
        <f>IF(Calc!$B295,Calc!E295,"")</f>
        <v/>
      </c>
      <c r="B295">
        <f>IF(Calc!$B295,INDEX(MineNames,Calc!C295),"")</f>
        <v/>
      </c>
      <c r="C295" s="17">
        <f>IF(Calc!$B295,Calc!O295,"")</f>
        <v/>
      </c>
    </row>
    <row r="296">
      <c r="A296" s="16">
        <f>IF(Calc!$B296,Calc!E296,"")</f>
        <v/>
      </c>
      <c r="B296">
        <f>IF(Calc!$B296,INDEX(MineNames,Calc!C296),"")</f>
        <v/>
      </c>
      <c r="C296" s="17">
        <f>IF(Calc!$B296,Calc!O296,"")</f>
        <v/>
      </c>
    </row>
    <row r="297">
      <c r="A297" s="16">
        <f>IF(Calc!$B297,Calc!E297,"")</f>
        <v/>
      </c>
      <c r="B297">
        <f>IF(Calc!$B297,INDEX(MineNames,Calc!C297),"")</f>
        <v/>
      </c>
      <c r="C297" s="17">
        <f>IF(Calc!$B297,Calc!O297,"")</f>
        <v/>
      </c>
    </row>
    <row r="298">
      <c r="A298" s="16">
        <f>IF(Calc!$B298,Calc!E298,"")</f>
        <v/>
      </c>
      <c r="B298">
        <f>IF(Calc!$B298,INDEX(MineNames,Calc!C298),"")</f>
        <v/>
      </c>
      <c r="C298" s="17">
        <f>IF(Calc!$B298,Calc!O298,"")</f>
        <v/>
      </c>
    </row>
    <row r="299">
      <c r="A299" s="16">
        <f>IF(Calc!$B299,Calc!E299,"")</f>
        <v/>
      </c>
      <c r="B299">
        <f>IF(Calc!$B299,INDEX(MineNames,Calc!C299),"")</f>
        <v/>
      </c>
      <c r="C299" s="17">
        <f>IF(Calc!$B299,Calc!O299,"")</f>
        <v/>
      </c>
    </row>
    <row r="300">
      <c r="A300" s="16">
        <f>IF(Calc!$B300,Calc!E300,"")</f>
        <v/>
      </c>
      <c r="B300">
        <f>IF(Calc!$B300,INDEX(MineNames,Calc!C300),"")</f>
        <v/>
      </c>
      <c r="C300" s="17">
        <f>IF(Calc!$B300,Calc!O300,"")</f>
        <v/>
      </c>
    </row>
    <row r="301">
      <c r="A301" s="16">
        <f>IF(Calc!$B301,Calc!E301,"")</f>
        <v/>
      </c>
      <c r="B301">
        <f>IF(Calc!$B301,INDEX(MineNames,Calc!C301),"")</f>
        <v/>
      </c>
      <c r="C301" s="17">
        <f>IF(Calc!$B301,Calc!O301,"")</f>
        <v/>
      </c>
    </row>
    <row r="302">
      <c r="A302" s="16">
        <f>IF(Calc!$B302,Calc!E302,"")</f>
        <v/>
      </c>
      <c r="B302">
        <f>IF(Calc!$B302,INDEX(MineNames,Calc!C302),"")</f>
        <v/>
      </c>
      <c r="C302" s="17">
        <f>IF(Calc!$B302,Calc!O302,"")</f>
        <v/>
      </c>
    </row>
    <row r="303">
      <c r="A303" s="16">
        <f>IF(Calc!$B303,Calc!E303,"")</f>
        <v/>
      </c>
      <c r="B303">
        <f>IF(Calc!$B303,INDEX(MineNames,Calc!C303),"")</f>
        <v/>
      </c>
      <c r="C303" s="17">
        <f>IF(Calc!$B303,Calc!O303,"")</f>
        <v/>
      </c>
    </row>
    <row r="304">
      <c r="A304" s="16">
        <f>IF(Calc!$B304,Calc!E304,"")</f>
        <v/>
      </c>
      <c r="B304">
        <f>IF(Calc!$B304,INDEX(MineNames,Calc!C304),"")</f>
        <v/>
      </c>
      <c r="C304" s="17">
        <f>IF(Calc!$B304,Calc!O304,"")</f>
        <v/>
      </c>
    </row>
    <row r="305">
      <c r="A305" s="16">
        <f>IF(Calc!$B305,Calc!E305,"")</f>
        <v/>
      </c>
      <c r="B305">
        <f>IF(Calc!$B305,INDEX(MineNames,Calc!C305),"")</f>
        <v/>
      </c>
      <c r="C305" s="17">
        <f>IF(Calc!$B305,Calc!O305,"")</f>
        <v/>
      </c>
    </row>
    <row r="306">
      <c r="A306" s="16">
        <f>IF(Calc!$B306,Calc!E306,"")</f>
        <v/>
      </c>
      <c r="B306">
        <f>IF(Calc!$B306,INDEX(MineNames,Calc!C306),"")</f>
        <v/>
      </c>
      <c r="C306" s="17">
        <f>IF(Calc!$B306,Calc!O306,"")</f>
        <v/>
      </c>
    </row>
    <row r="307">
      <c r="A307" s="16">
        <f>IF(Calc!$B307,Calc!E307,"")</f>
        <v/>
      </c>
      <c r="B307">
        <f>IF(Calc!$B307,INDEX(MineNames,Calc!C307),"")</f>
        <v/>
      </c>
      <c r="C307" s="17">
        <f>IF(Calc!$B307,Calc!O307,"")</f>
        <v/>
      </c>
    </row>
    <row r="308">
      <c r="A308" s="16">
        <f>IF(Calc!$B308,Calc!E308,"")</f>
        <v/>
      </c>
      <c r="B308">
        <f>IF(Calc!$B308,INDEX(MineNames,Calc!C308),"")</f>
        <v/>
      </c>
      <c r="C308" s="17">
        <f>IF(Calc!$B308,Calc!O308,"")</f>
        <v/>
      </c>
    </row>
    <row r="309">
      <c r="A309" s="16">
        <f>IF(Calc!$B309,Calc!E309,"")</f>
        <v/>
      </c>
      <c r="B309">
        <f>IF(Calc!$B309,INDEX(MineNames,Calc!C309),"")</f>
        <v/>
      </c>
      <c r="C309" s="17">
        <f>IF(Calc!$B309,Calc!O309,"")</f>
        <v/>
      </c>
    </row>
    <row r="310">
      <c r="A310" s="16">
        <f>IF(Calc!$B310,Calc!E310,"")</f>
        <v/>
      </c>
      <c r="B310">
        <f>IF(Calc!$B310,INDEX(MineNames,Calc!C310),"")</f>
        <v/>
      </c>
      <c r="C310" s="17">
        <f>IF(Calc!$B310,Calc!O310,"")</f>
        <v/>
      </c>
    </row>
    <row r="311">
      <c r="A311" s="16">
        <f>IF(Calc!$B311,Calc!E311,"")</f>
        <v/>
      </c>
      <c r="B311">
        <f>IF(Calc!$B311,INDEX(MineNames,Calc!C311),"")</f>
        <v/>
      </c>
      <c r="C311" s="17">
        <f>IF(Calc!$B311,Calc!O311,"")</f>
        <v/>
      </c>
    </row>
    <row r="312">
      <c r="A312" s="16">
        <f>IF(Calc!$B312,Calc!E312,"")</f>
        <v/>
      </c>
      <c r="B312">
        <f>IF(Calc!$B312,INDEX(MineNames,Calc!C312),"")</f>
        <v/>
      </c>
      <c r="C312" s="17">
        <f>IF(Calc!$B312,Calc!O312,"")</f>
        <v/>
      </c>
    </row>
    <row r="313">
      <c r="A313" s="16">
        <f>IF(Calc!$B313,Calc!E313,"")</f>
        <v/>
      </c>
      <c r="B313">
        <f>IF(Calc!$B313,INDEX(MineNames,Calc!C313),"")</f>
        <v/>
      </c>
      <c r="C313" s="17">
        <f>IF(Calc!$B313,Calc!O313,"")</f>
        <v/>
      </c>
    </row>
    <row r="314">
      <c r="A314" s="16">
        <f>IF(Calc!$B314,Calc!E314,"")</f>
        <v/>
      </c>
      <c r="B314">
        <f>IF(Calc!$B314,INDEX(MineNames,Calc!C314),"")</f>
        <v/>
      </c>
      <c r="C314" s="17">
        <f>IF(Calc!$B314,Calc!O314,"")</f>
        <v/>
      </c>
    </row>
    <row r="315">
      <c r="A315" s="16">
        <f>IF(Calc!$B315,Calc!E315,"")</f>
        <v/>
      </c>
      <c r="B315">
        <f>IF(Calc!$B315,INDEX(MineNames,Calc!C315),"")</f>
        <v/>
      </c>
      <c r="C315" s="17">
        <f>IF(Calc!$B315,Calc!O315,"")</f>
        <v/>
      </c>
    </row>
    <row r="316">
      <c r="A316" s="16">
        <f>IF(Calc!$B316,Calc!E316,"")</f>
        <v/>
      </c>
      <c r="B316">
        <f>IF(Calc!$B316,INDEX(MineNames,Calc!C316),"")</f>
        <v/>
      </c>
      <c r="C316" s="17">
        <f>IF(Calc!$B316,Calc!O316,"")</f>
        <v/>
      </c>
    </row>
    <row r="317">
      <c r="A317" s="16">
        <f>IF(Calc!$B317,Calc!E317,"")</f>
        <v/>
      </c>
      <c r="B317">
        <f>IF(Calc!$B317,INDEX(MineNames,Calc!C317),"")</f>
        <v/>
      </c>
      <c r="C317" s="17">
        <f>IF(Calc!$B317,Calc!O317,"")</f>
        <v/>
      </c>
    </row>
    <row r="318">
      <c r="A318" s="16">
        <f>IF(Calc!$B318,Calc!E318,"")</f>
        <v/>
      </c>
      <c r="B318">
        <f>IF(Calc!$B318,INDEX(MineNames,Calc!C318),"")</f>
        <v/>
      </c>
      <c r="C318" s="17">
        <f>IF(Calc!$B318,Calc!O318,"")</f>
        <v/>
      </c>
    </row>
    <row r="319">
      <c r="A319" s="16">
        <f>IF(Calc!$B319,Calc!E319,"")</f>
        <v/>
      </c>
      <c r="B319">
        <f>IF(Calc!$B319,INDEX(MineNames,Calc!C319),"")</f>
        <v/>
      </c>
      <c r="C319" s="17">
        <f>IF(Calc!$B319,Calc!O319,"")</f>
        <v/>
      </c>
    </row>
    <row r="320">
      <c r="A320" s="16">
        <f>IF(Calc!$B320,Calc!E320,"")</f>
        <v/>
      </c>
      <c r="B320">
        <f>IF(Calc!$B320,INDEX(MineNames,Calc!C320),"")</f>
        <v/>
      </c>
      <c r="C320" s="17">
        <f>IF(Calc!$B320,Calc!O320,"")</f>
        <v/>
      </c>
    </row>
    <row r="321">
      <c r="A321" s="16">
        <f>IF(Calc!$B321,Calc!E321,"")</f>
        <v/>
      </c>
      <c r="B321">
        <f>IF(Calc!$B321,INDEX(MineNames,Calc!C321),"")</f>
        <v/>
      </c>
      <c r="C321" s="17">
        <f>IF(Calc!$B321,Calc!O321,"")</f>
        <v/>
      </c>
    </row>
    <row r="322">
      <c r="A322" s="16">
        <f>IF(Calc!$B322,Calc!E322,"")</f>
        <v/>
      </c>
      <c r="B322">
        <f>IF(Calc!$B322,INDEX(MineNames,Calc!C322),"")</f>
        <v/>
      </c>
      <c r="C322" s="17">
        <f>IF(Calc!$B322,Calc!O322,"")</f>
        <v/>
      </c>
    </row>
    <row r="323">
      <c r="A323" s="16">
        <f>IF(Calc!$B323,Calc!E323,"")</f>
        <v/>
      </c>
      <c r="B323">
        <f>IF(Calc!$B323,INDEX(MineNames,Calc!C323),"")</f>
        <v/>
      </c>
      <c r="C323" s="17">
        <f>IF(Calc!$B323,Calc!O323,"")</f>
        <v/>
      </c>
    </row>
    <row r="324">
      <c r="A324" s="16">
        <f>IF(Calc!$B324,Calc!E324,"")</f>
        <v/>
      </c>
      <c r="B324">
        <f>IF(Calc!$B324,INDEX(MineNames,Calc!C324),"")</f>
        <v/>
      </c>
      <c r="C324" s="17">
        <f>IF(Calc!$B324,Calc!O324,"")</f>
        <v/>
      </c>
    </row>
    <row r="325">
      <c r="A325" s="16">
        <f>IF(Calc!$B325,Calc!E325,"")</f>
        <v/>
      </c>
      <c r="B325">
        <f>IF(Calc!$B325,INDEX(MineNames,Calc!C325),"")</f>
        <v/>
      </c>
      <c r="C325" s="17">
        <f>IF(Calc!$B325,Calc!O325,"")</f>
        <v/>
      </c>
    </row>
    <row r="326">
      <c r="A326" s="16">
        <f>IF(Calc!$B326,Calc!E326,"")</f>
        <v/>
      </c>
      <c r="B326">
        <f>IF(Calc!$B326,INDEX(MineNames,Calc!C326),"")</f>
        <v/>
      </c>
      <c r="C326" s="17">
        <f>IF(Calc!$B326,Calc!O326,"")</f>
        <v/>
      </c>
    </row>
    <row r="327">
      <c r="A327" s="16">
        <f>IF(Calc!$B327,Calc!E327,"")</f>
        <v/>
      </c>
      <c r="B327">
        <f>IF(Calc!$B327,INDEX(MineNames,Calc!C327),"")</f>
        <v/>
      </c>
      <c r="C327" s="17">
        <f>IF(Calc!$B327,Calc!O327,"")</f>
        <v/>
      </c>
    </row>
    <row r="328">
      <c r="A328" s="16">
        <f>IF(Calc!$B328,Calc!E328,"")</f>
        <v/>
      </c>
      <c r="B328">
        <f>IF(Calc!$B328,INDEX(MineNames,Calc!C328),"")</f>
        <v/>
      </c>
      <c r="C328" s="17">
        <f>IF(Calc!$B328,Calc!O328,"")</f>
        <v/>
      </c>
    </row>
    <row r="329">
      <c r="A329" s="16">
        <f>IF(Calc!$B329,Calc!E329,"")</f>
        <v/>
      </c>
      <c r="B329">
        <f>IF(Calc!$B329,INDEX(MineNames,Calc!C329),"")</f>
        <v/>
      </c>
      <c r="C329" s="17">
        <f>IF(Calc!$B329,Calc!O329,"")</f>
        <v/>
      </c>
    </row>
    <row r="330">
      <c r="A330" s="16">
        <f>IF(Calc!$B330,Calc!E330,"")</f>
        <v/>
      </c>
      <c r="B330">
        <f>IF(Calc!$B330,INDEX(MineNames,Calc!C330),"")</f>
        <v/>
      </c>
      <c r="C330" s="17">
        <f>IF(Calc!$B330,Calc!O330,"")</f>
        <v/>
      </c>
    </row>
    <row r="331">
      <c r="A331" s="16">
        <f>IF(Calc!$B331,Calc!E331,"")</f>
        <v/>
      </c>
      <c r="B331">
        <f>IF(Calc!$B331,INDEX(MineNames,Calc!C331),"")</f>
        <v/>
      </c>
      <c r="C331" s="17">
        <f>IF(Calc!$B331,Calc!O331,"")</f>
        <v/>
      </c>
    </row>
    <row r="332">
      <c r="A332" s="16">
        <f>IF(Calc!$B332,Calc!E332,"")</f>
        <v/>
      </c>
      <c r="B332">
        <f>IF(Calc!$B332,INDEX(MineNames,Calc!C332),"")</f>
        <v/>
      </c>
      <c r="C332" s="17">
        <f>IF(Calc!$B332,Calc!O332,"")</f>
        <v/>
      </c>
    </row>
    <row r="333">
      <c r="A333" s="16">
        <f>IF(Calc!$B333,Calc!E333,"")</f>
        <v/>
      </c>
      <c r="B333">
        <f>IF(Calc!$B333,INDEX(MineNames,Calc!C333),"")</f>
        <v/>
      </c>
      <c r="C333" s="17">
        <f>IF(Calc!$B333,Calc!O333,"")</f>
        <v/>
      </c>
    </row>
    <row r="334">
      <c r="A334" s="16">
        <f>IF(Calc!$B334,Calc!E334,"")</f>
        <v/>
      </c>
      <c r="B334">
        <f>IF(Calc!$B334,INDEX(MineNames,Calc!C334),"")</f>
        <v/>
      </c>
      <c r="C334" s="17">
        <f>IF(Calc!$B334,Calc!O334,"")</f>
        <v/>
      </c>
    </row>
    <row r="335">
      <c r="A335" s="16">
        <f>IF(Calc!$B335,Calc!E335,"")</f>
        <v/>
      </c>
      <c r="B335">
        <f>IF(Calc!$B335,INDEX(MineNames,Calc!C335),"")</f>
        <v/>
      </c>
      <c r="C335" s="17">
        <f>IF(Calc!$B335,Calc!O335,"")</f>
        <v/>
      </c>
    </row>
    <row r="336">
      <c r="A336" s="16">
        <f>IF(Calc!$B336,Calc!E336,"")</f>
        <v/>
      </c>
      <c r="B336">
        <f>IF(Calc!$B336,INDEX(MineNames,Calc!C336),"")</f>
        <v/>
      </c>
      <c r="C336" s="17">
        <f>IF(Calc!$B336,Calc!O336,"")</f>
        <v/>
      </c>
    </row>
    <row r="337">
      <c r="A337" s="16">
        <f>IF(Calc!$B337,Calc!E337,"")</f>
        <v/>
      </c>
      <c r="B337">
        <f>IF(Calc!$B337,INDEX(MineNames,Calc!C337),"")</f>
        <v/>
      </c>
      <c r="C337" s="17">
        <f>IF(Calc!$B337,Calc!O337,"")</f>
        <v/>
      </c>
    </row>
    <row r="338">
      <c r="A338" s="16">
        <f>IF(Calc!$B338,Calc!E338,"")</f>
        <v/>
      </c>
      <c r="B338">
        <f>IF(Calc!$B338,INDEX(MineNames,Calc!C338),"")</f>
        <v/>
      </c>
      <c r="C338" s="17">
        <f>IF(Calc!$B338,Calc!O338,"")</f>
        <v/>
      </c>
    </row>
    <row r="339">
      <c r="A339" s="16">
        <f>IF(Calc!$B339,Calc!E339,"")</f>
        <v/>
      </c>
      <c r="B339">
        <f>IF(Calc!$B339,INDEX(MineNames,Calc!C339),"")</f>
        <v/>
      </c>
      <c r="C339" s="17">
        <f>IF(Calc!$B339,Calc!O339,"")</f>
        <v/>
      </c>
    </row>
    <row r="340">
      <c r="A340" s="16">
        <f>IF(Calc!$B340,Calc!E340,"")</f>
        <v/>
      </c>
      <c r="B340">
        <f>IF(Calc!$B340,INDEX(MineNames,Calc!C340),"")</f>
        <v/>
      </c>
      <c r="C340" s="17">
        <f>IF(Calc!$B340,Calc!O340,"")</f>
        <v/>
      </c>
    </row>
    <row r="341">
      <c r="A341" s="16">
        <f>IF(Calc!$B341,Calc!E341,"")</f>
        <v/>
      </c>
      <c r="B341">
        <f>IF(Calc!$B341,INDEX(MineNames,Calc!C341),"")</f>
        <v/>
      </c>
      <c r="C341" s="17">
        <f>IF(Calc!$B341,Calc!O341,"")</f>
        <v/>
      </c>
    </row>
    <row r="342">
      <c r="A342" s="16">
        <f>IF(Calc!$B342,Calc!E342,"")</f>
        <v/>
      </c>
      <c r="B342">
        <f>IF(Calc!$B342,INDEX(MineNames,Calc!C342),"")</f>
        <v/>
      </c>
      <c r="C342" s="17">
        <f>IF(Calc!$B342,Calc!O342,"")</f>
        <v/>
      </c>
    </row>
    <row r="343">
      <c r="A343" s="16">
        <f>IF(Calc!$B343,Calc!E343,"")</f>
        <v/>
      </c>
      <c r="B343">
        <f>IF(Calc!$B343,INDEX(MineNames,Calc!C343),"")</f>
        <v/>
      </c>
      <c r="C343" s="17">
        <f>IF(Calc!$B343,Calc!O343,"")</f>
        <v/>
      </c>
    </row>
    <row r="344">
      <c r="A344" s="16">
        <f>IF(Calc!$B344,Calc!E344,"")</f>
        <v/>
      </c>
      <c r="B344">
        <f>IF(Calc!$B344,INDEX(MineNames,Calc!C344),"")</f>
        <v/>
      </c>
      <c r="C344" s="17">
        <f>IF(Calc!$B344,Calc!O344,"")</f>
        <v/>
      </c>
    </row>
    <row r="345">
      <c r="A345" s="16">
        <f>IF(Calc!$B345,Calc!E345,"")</f>
        <v/>
      </c>
      <c r="B345">
        <f>IF(Calc!$B345,INDEX(MineNames,Calc!C345),"")</f>
        <v/>
      </c>
      <c r="C345" s="17">
        <f>IF(Calc!$B345,Calc!O345,"")</f>
        <v/>
      </c>
    </row>
    <row r="346">
      <c r="A346" s="16">
        <f>IF(Calc!$B346,Calc!E346,"")</f>
        <v/>
      </c>
      <c r="B346">
        <f>IF(Calc!$B346,INDEX(MineNames,Calc!C346),"")</f>
        <v/>
      </c>
      <c r="C346" s="17">
        <f>IF(Calc!$B346,Calc!O346,"")</f>
        <v/>
      </c>
    </row>
    <row r="347">
      <c r="A347" s="16">
        <f>IF(Calc!$B347,Calc!E347,"")</f>
        <v/>
      </c>
      <c r="B347">
        <f>IF(Calc!$B347,INDEX(MineNames,Calc!C347),"")</f>
        <v/>
      </c>
      <c r="C347" s="17">
        <f>IF(Calc!$B347,Calc!O347,"")</f>
        <v/>
      </c>
    </row>
    <row r="348">
      <c r="A348" s="16">
        <f>IF(Calc!$B348,Calc!E348,"")</f>
        <v/>
      </c>
      <c r="B348">
        <f>IF(Calc!$B348,INDEX(MineNames,Calc!C348),"")</f>
        <v/>
      </c>
      <c r="C348" s="17">
        <f>IF(Calc!$B348,Calc!O348,"")</f>
        <v/>
      </c>
    </row>
    <row r="349">
      <c r="A349" s="16">
        <f>IF(Calc!$B349,Calc!E349,"")</f>
        <v/>
      </c>
      <c r="B349">
        <f>IF(Calc!$B349,INDEX(MineNames,Calc!C349),"")</f>
        <v/>
      </c>
      <c r="C349" s="17">
        <f>IF(Calc!$B349,Calc!O349,"")</f>
        <v/>
      </c>
    </row>
    <row r="350">
      <c r="A350" s="16">
        <f>IF(Calc!$B350,Calc!E350,"")</f>
        <v/>
      </c>
      <c r="B350">
        <f>IF(Calc!$B350,INDEX(MineNames,Calc!C350),"")</f>
        <v/>
      </c>
      <c r="C350" s="17">
        <f>IF(Calc!$B350,Calc!O350,"")</f>
        <v/>
      </c>
    </row>
    <row r="351">
      <c r="A351" s="16">
        <f>IF(Calc!$B351,Calc!E351,"")</f>
        <v/>
      </c>
      <c r="B351">
        <f>IF(Calc!$B351,INDEX(MineNames,Calc!C351),"")</f>
        <v/>
      </c>
      <c r="C351" s="17">
        <f>IF(Calc!$B351,Calc!O351,"")</f>
        <v/>
      </c>
    </row>
    <row r="352">
      <c r="A352" s="16">
        <f>IF(Calc!$B352,Calc!E352,"")</f>
        <v/>
      </c>
      <c r="B352">
        <f>IF(Calc!$B352,INDEX(MineNames,Calc!C352),"")</f>
        <v/>
      </c>
      <c r="C352" s="17">
        <f>IF(Calc!$B352,Calc!O352,"")</f>
        <v/>
      </c>
    </row>
    <row r="353">
      <c r="A353" s="16">
        <f>IF(Calc!$B353,Calc!E353,"")</f>
        <v/>
      </c>
      <c r="B353">
        <f>IF(Calc!$B353,INDEX(MineNames,Calc!C353),"")</f>
        <v/>
      </c>
      <c r="C353" s="17">
        <f>IF(Calc!$B353,Calc!O353,"")</f>
        <v/>
      </c>
    </row>
    <row r="354">
      <c r="A354" s="16">
        <f>IF(Calc!$B354,Calc!E354,"")</f>
        <v/>
      </c>
      <c r="B354">
        <f>IF(Calc!$B354,INDEX(MineNames,Calc!C354),"")</f>
        <v/>
      </c>
      <c r="C354" s="17">
        <f>IF(Calc!$B354,Calc!O354,"")</f>
        <v/>
      </c>
    </row>
    <row r="355">
      <c r="A355" s="16">
        <f>IF(Calc!$B355,Calc!E355,"")</f>
        <v/>
      </c>
      <c r="B355">
        <f>IF(Calc!$B355,INDEX(MineNames,Calc!C355),"")</f>
        <v/>
      </c>
      <c r="C355" s="17">
        <f>IF(Calc!$B355,Calc!O355,"")</f>
        <v/>
      </c>
    </row>
    <row r="356">
      <c r="A356" s="16">
        <f>IF(Calc!$B356,Calc!E356,"")</f>
        <v/>
      </c>
      <c r="B356">
        <f>IF(Calc!$B356,INDEX(MineNames,Calc!C356),"")</f>
        <v/>
      </c>
      <c r="C356" s="17">
        <f>IF(Calc!$B356,Calc!O356,"")</f>
        <v/>
      </c>
    </row>
    <row r="357">
      <c r="A357" s="16">
        <f>IF(Calc!$B357,Calc!E357,"")</f>
        <v/>
      </c>
      <c r="B357">
        <f>IF(Calc!$B357,INDEX(MineNames,Calc!C357),"")</f>
        <v/>
      </c>
      <c r="C357" s="17">
        <f>IF(Calc!$B357,Calc!O357,"")</f>
        <v/>
      </c>
    </row>
    <row r="358">
      <c r="A358" s="16">
        <f>IF(Calc!$B358,Calc!E358,"")</f>
        <v/>
      </c>
      <c r="B358">
        <f>IF(Calc!$B358,INDEX(MineNames,Calc!C358),"")</f>
        <v/>
      </c>
      <c r="C358" s="17">
        <f>IF(Calc!$B358,Calc!O358,"")</f>
        <v/>
      </c>
    </row>
    <row r="359">
      <c r="A359" s="16">
        <f>IF(Calc!$B359,Calc!E359,"")</f>
        <v/>
      </c>
      <c r="B359">
        <f>IF(Calc!$B359,INDEX(MineNames,Calc!C359),"")</f>
        <v/>
      </c>
      <c r="C359" s="17">
        <f>IF(Calc!$B359,Calc!O359,"")</f>
        <v/>
      </c>
    </row>
    <row r="360">
      <c r="A360" s="16">
        <f>IF(Calc!$B360,Calc!E360,"")</f>
        <v/>
      </c>
      <c r="B360">
        <f>IF(Calc!$B360,INDEX(MineNames,Calc!C360),"")</f>
        <v/>
      </c>
      <c r="C360" s="17">
        <f>IF(Calc!$B360,Calc!O360,"")</f>
        <v/>
      </c>
    </row>
    <row r="361">
      <c r="A361" s="16">
        <f>IF(Calc!$B361,Calc!E361,"")</f>
        <v/>
      </c>
      <c r="B361">
        <f>IF(Calc!$B361,INDEX(MineNames,Calc!C361),"")</f>
        <v/>
      </c>
      <c r="C361" s="17">
        <f>IF(Calc!$B361,Calc!O361,"")</f>
        <v/>
      </c>
    </row>
    <row r="362">
      <c r="A362" s="16">
        <f>IF(Calc!$B362,Calc!E362,"")</f>
        <v/>
      </c>
      <c r="B362">
        <f>IF(Calc!$B362,INDEX(MineNames,Calc!C362),"")</f>
        <v/>
      </c>
      <c r="C362" s="17">
        <f>IF(Calc!$B362,Calc!O362,"")</f>
        <v/>
      </c>
    </row>
    <row r="363">
      <c r="A363" s="16">
        <f>IF(Calc!$B363,Calc!E363,"")</f>
        <v/>
      </c>
      <c r="B363">
        <f>IF(Calc!$B363,INDEX(MineNames,Calc!C363),"")</f>
        <v/>
      </c>
      <c r="C363" s="17">
        <f>IF(Calc!$B363,Calc!O363,"")</f>
        <v/>
      </c>
    </row>
    <row r="364">
      <c r="A364" s="16">
        <f>IF(Calc!$B364,Calc!E364,"")</f>
        <v/>
      </c>
      <c r="B364">
        <f>IF(Calc!$B364,INDEX(MineNames,Calc!C364),"")</f>
        <v/>
      </c>
      <c r="C364" s="17">
        <f>IF(Calc!$B364,Calc!O364,"")</f>
        <v/>
      </c>
    </row>
    <row r="365">
      <c r="A365" s="16">
        <f>IF(Calc!$B365,Calc!E365,"")</f>
        <v/>
      </c>
      <c r="B365">
        <f>IF(Calc!$B365,INDEX(MineNames,Calc!C365),"")</f>
        <v/>
      </c>
      <c r="C365" s="17">
        <f>IF(Calc!$B365,Calc!O365,"")</f>
        <v/>
      </c>
    </row>
    <row r="366">
      <c r="A366" s="16">
        <f>IF(Calc!$B366,Calc!E366,"")</f>
        <v/>
      </c>
      <c r="B366">
        <f>IF(Calc!$B366,INDEX(MineNames,Calc!C366),"")</f>
        <v/>
      </c>
      <c r="C366" s="17">
        <f>IF(Calc!$B366,Calc!O366,"")</f>
        <v/>
      </c>
    </row>
    <row r="367">
      <c r="A367" s="16">
        <f>IF(Calc!$B367,Calc!E367,"")</f>
        <v/>
      </c>
      <c r="B367">
        <f>IF(Calc!$B367,INDEX(MineNames,Calc!C367),"")</f>
        <v/>
      </c>
      <c r="C367" s="17">
        <f>IF(Calc!$B367,Calc!O367,"")</f>
        <v/>
      </c>
    </row>
    <row r="368">
      <c r="A368" s="16">
        <f>IF(Calc!$B368,Calc!E368,"")</f>
        <v/>
      </c>
      <c r="B368">
        <f>IF(Calc!$B368,INDEX(MineNames,Calc!C368),"")</f>
        <v/>
      </c>
      <c r="C368" s="17">
        <f>IF(Calc!$B368,Calc!O368,"")</f>
        <v/>
      </c>
    </row>
    <row r="369">
      <c r="A369" s="16">
        <f>IF(Calc!$B369,Calc!E369,"")</f>
        <v/>
      </c>
      <c r="B369">
        <f>IF(Calc!$B369,INDEX(MineNames,Calc!C369),"")</f>
        <v/>
      </c>
      <c r="C369" s="17">
        <f>IF(Calc!$B369,Calc!O369,"")</f>
        <v/>
      </c>
    </row>
    <row r="370">
      <c r="A370" s="16">
        <f>IF(Calc!$B370,Calc!E370,"")</f>
        <v/>
      </c>
      <c r="B370">
        <f>IF(Calc!$B370,INDEX(MineNames,Calc!C370),"")</f>
        <v/>
      </c>
      <c r="C370" s="17">
        <f>IF(Calc!$B370,Calc!O370,"")</f>
        <v/>
      </c>
    </row>
    <row r="371">
      <c r="A371" s="16">
        <f>IF(Calc!$B371,Calc!E371,"")</f>
        <v/>
      </c>
      <c r="B371">
        <f>IF(Calc!$B371,INDEX(MineNames,Calc!C371),"")</f>
        <v/>
      </c>
      <c r="C371" s="17">
        <f>IF(Calc!$B371,Calc!O371,"")</f>
        <v/>
      </c>
    </row>
    <row r="372">
      <c r="A372" s="16">
        <f>IF(Calc!$B372,Calc!E372,"")</f>
        <v/>
      </c>
      <c r="B372">
        <f>IF(Calc!$B372,INDEX(MineNames,Calc!C372),"")</f>
        <v/>
      </c>
      <c r="C372" s="17">
        <f>IF(Calc!$B372,Calc!O372,"")</f>
        <v/>
      </c>
    </row>
    <row r="373">
      <c r="A373" s="16">
        <f>IF(Calc!$B373,Calc!E373,"")</f>
        <v/>
      </c>
      <c r="B373">
        <f>IF(Calc!$B373,INDEX(MineNames,Calc!C373),"")</f>
        <v/>
      </c>
      <c r="C373" s="17">
        <f>IF(Calc!$B373,Calc!O373,"")</f>
        <v/>
      </c>
    </row>
    <row r="374">
      <c r="A374" s="16">
        <f>IF(Calc!$B374,Calc!E374,"")</f>
        <v/>
      </c>
      <c r="B374">
        <f>IF(Calc!$B374,INDEX(MineNames,Calc!C374),"")</f>
        <v/>
      </c>
      <c r="C374" s="17">
        <f>IF(Calc!$B374,Calc!O374,"")</f>
        <v/>
      </c>
    </row>
    <row r="375">
      <c r="A375" s="16">
        <f>IF(Calc!$B375,Calc!E375,"")</f>
        <v/>
      </c>
      <c r="B375">
        <f>IF(Calc!$B375,INDEX(MineNames,Calc!C375),"")</f>
        <v/>
      </c>
      <c r="C375" s="17">
        <f>IF(Calc!$B375,Calc!O375,"")</f>
        <v/>
      </c>
    </row>
    <row r="376">
      <c r="A376" s="16">
        <f>IF(Calc!$B376,Calc!E376,"")</f>
        <v/>
      </c>
      <c r="B376">
        <f>IF(Calc!$B376,INDEX(MineNames,Calc!C376),"")</f>
        <v/>
      </c>
      <c r="C376" s="17">
        <f>IF(Calc!$B376,Calc!O376,"")</f>
        <v/>
      </c>
    </row>
    <row r="377">
      <c r="A377" s="16">
        <f>IF(Calc!$B377,Calc!E377,"")</f>
        <v/>
      </c>
      <c r="B377">
        <f>IF(Calc!$B377,INDEX(MineNames,Calc!C377),"")</f>
        <v/>
      </c>
      <c r="C377" s="17">
        <f>IF(Calc!$B377,Calc!O377,"")</f>
        <v/>
      </c>
    </row>
    <row r="378">
      <c r="A378" s="16">
        <f>IF(Calc!$B378,Calc!E378,"")</f>
        <v/>
      </c>
      <c r="B378">
        <f>IF(Calc!$B378,INDEX(MineNames,Calc!C378),"")</f>
        <v/>
      </c>
      <c r="C378" s="17">
        <f>IF(Calc!$B378,Calc!O378,"")</f>
        <v/>
      </c>
    </row>
    <row r="379">
      <c r="A379" s="16">
        <f>IF(Calc!$B379,Calc!E379,"")</f>
        <v/>
      </c>
      <c r="B379">
        <f>IF(Calc!$B379,INDEX(MineNames,Calc!C379),"")</f>
        <v/>
      </c>
      <c r="C379" s="17">
        <f>IF(Calc!$B379,Calc!O379,"")</f>
        <v/>
      </c>
    </row>
    <row r="380">
      <c r="A380" s="16">
        <f>IF(Calc!$B380,Calc!E380,"")</f>
        <v/>
      </c>
      <c r="B380">
        <f>IF(Calc!$B380,INDEX(MineNames,Calc!C380),"")</f>
        <v/>
      </c>
      <c r="C380" s="17">
        <f>IF(Calc!$B380,Calc!O380,"")</f>
        <v/>
      </c>
    </row>
    <row r="381">
      <c r="A381" s="16">
        <f>IF(Calc!$B381,Calc!E381,"")</f>
        <v/>
      </c>
      <c r="B381">
        <f>IF(Calc!$B381,INDEX(MineNames,Calc!C381),"")</f>
        <v/>
      </c>
      <c r="C381" s="17">
        <f>IF(Calc!$B381,Calc!O381,"")</f>
        <v/>
      </c>
    </row>
    <row r="382">
      <c r="A382" s="16">
        <f>IF(Calc!$B382,Calc!E382,"")</f>
        <v/>
      </c>
      <c r="B382">
        <f>IF(Calc!$B382,INDEX(MineNames,Calc!C382),"")</f>
        <v/>
      </c>
      <c r="C382" s="17">
        <f>IF(Calc!$B382,Calc!O382,"")</f>
        <v/>
      </c>
    </row>
    <row r="383">
      <c r="A383" s="16">
        <f>IF(Calc!$B383,Calc!E383,"")</f>
        <v/>
      </c>
      <c r="B383">
        <f>IF(Calc!$B383,INDEX(MineNames,Calc!C383),"")</f>
        <v/>
      </c>
      <c r="C383" s="17">
        <f>IF(Calc!$B383,Calc!O383,"")</f>
        <v/>
      </c>
    </row>
    <row r="384">
      <c r="A384" s="16">
        <f>IF(Calc!$B384,Calc!E384,"")</f>
        <v/>
      </c>
      <c r="B384">
        <f>IF(Calc!$B384,INDEX(MineNames,Calc!C384),"")</f>
        <v/>
      </c>
      <c r="C384" s="17">
        <f>IF(Calc!$B384,Calc!O384,"")</f>
        <v/>
      </c>
    </row>
    <row r="385">
      <c r="A385" s="16">
        <f>IF(Calc!$B385,Calc!E385,"")</f>
        <v/>
      </c>
      <c r="B385">
        <f>IF(Calc!$B385,INDEX(MineNames,Calc!C385),"")</f>
        <v/>
      </c>
      <c r="C385" s="17">
        <f>IF(Calc!$B385,Calc!O385,"")</f>
        <v/>
      </c>
    </row>
    <row r="386">
      <c r="A386" s="16">
        <f>IF(Calc!$B386,Calc!E386,"")</f>
        <v/>
      </c>
      <c r="B386">
        <f>IF(Calc!$B386,INDEX(MineNames,Calc!C386),"")</f>
        <v/>
      </c>
      <c r="C386" s="17">
        <f>IF(Calc!$B386,Calc!O386,"")</f>
        <v/>
      </c>
    </row>
    <row r="387">
      <c r="A387" s="16">
        <f>IF(Calc!$B387,Calc!E387,"")</f>
        <v/>
      </c>
      <c r="B387">
        <f>IF(Calc!$B387,INDEX(MineNames,Calc!C387),"")</f>
        <v/>
      </c>
      <c r="C387" s="17">
        <f>IF(Calc!$B387,Calc!O387,"")</f>
        <v/>
      </c>
    </row>
    <row r="388">
      <c r="A388" s="16">
        <f>IF(Calc!$B388,Calc!E388,"")</f>
        <v/>
      </c>
      <c r="B388">
        <f>IF(Calc!$B388,INDEX(MineNames,Calc!C388),"")</f>
        <v/>
      </c>
      <c r="C388" s="17">
        <f>IF(Calc!$B388,Calc!O388,"")</f>
        <v/>
      </c>
    </row>
    <row r="389">
      <c r="A389" s="16">
        <f>IF(Calc!$B389,Calc!E389,"")</f>
        <v/>
      </c>
      <c r="B389">
        <f>IF(Calc!$B389,INDEX(MineNames,Calc!C389),"")</f>
        <v/>
      </c>
      <c r="C389" s="17">
        <f>IF(Calc!$B389,Calc!O389,"")</f>
        <v/>
      </c>
    </row>
    <row r="390">
      <c r="A390" s="16">
        <f>IF(Calc!$B390,Calc!E390,"")</f>
        <v/>
      </c>
      <c r="B390">
        <f>IF(Calc!$B390,INDEX(MineNames,Calc!C390),"")</f>
        <v/>
      </c>
      <c r="C390" s="17">
        <f>IF(Calc!$B390,Calc!O390,"")</f>
        <v/>
      </c>
    </row>
    <row r="391">
      <c r="A391" s="16">
        <f>IF(Calc!$B391,Calc!E391,"")</f>
        <v/>
      </c>
      <c r="B391">
        <f>IF(Calc!$B391,INDEX(MineNames,Calc!C391),"")</f>
        <v/>
      </c>
      <c r="C391" s="17">
        <f>IF(Calc!$B391,Calc!O391,"")</f>
        <v/>
      </c>
    </row>
    <row r="392">
      <c r="A392" s="16">
        <f>IF(Calc!$B392,Calc!E392,"")</f>
        <v/>
      </c>
      <c r="B392">
        <f>IF(Calc!$B392,INDEX(MineNames,Calc!C392),"")</f>
        <v/>
      </c>
      <c r="C392" s="17">
        <f>IF(Calc!$B392,Calc!O392,"")</f>
        <v/>
      </c>
    </row>
    <row r="393">
      <c r="A393" s="16">
        <f>IF(Calc!$B393,Calc!E393,"")</f>
        <v/>
      </c>
      <c r="B393">
        <f>IF(Calc!$B393,INDEX(MineNames,Calc!C393),"")</f>
        <v/>
      </c>
      <c r="C393" s="17">
        <f>IF(Calc!$B393,Calc!O393,"")</f>
        <v/>
      </c>
    </row>
    <row r="394">
      <c r="A394" s="16">
        <f>IF(Calc!$B394,Calc!E394,"")</f>
        <v/>
      </c>
      <c r="B394">
        <f>IF(Calc!$B394,INDEX(MineNames,Calc!C394),"")</f>
        <v/>
      </c>
      <c r="C394" s="17">
        <f>IF(Calc!$B394,Calc!O394,"")</f>
        <v/>
      </c>
    </row>
    <row r="395">
      <c r="A395" s="16">
        <f>IF(Calc!$B395,Calc!E395,"")</f>
        <v/>
      </c>
      <c r="B395">
        <f>IF(Calc!$B395,INDEX(MineNames,Calc!C395),"")</f>
        <v/>
      </c>
      <c r="C395" s="17">
        <f>IF(Calc!$B395,Calc!O395,"")</f>
        <v/>
      </c>
    </row>
    <row r="396">
      <c r="A396" s="16">
        <f>IF(Calc!$B396,Calc!E396,"")</f>
        <v/>
      </c>
      <c r="B396">
        <f>IF(Calc!$B396,INDEX(MineNames,Calc!C396),"")</f>
        <v/>
      </c>
      <c r="C396" s="17">
        <f>IF(Calc!$B396,Calc!O396,"")</f>
        <v/>
      </c>
    </row>
    <row r="397">
      <c r="A397" s="16">
        <f>IF(Calc!$B397,Calc!E397,"")</f>
        <v/>
      </c>
      <c r="B397">
        <f>IF(Calc!$B397,INDEX(MineNames,Calc!C397),"")</f>
        <v/>
      </c>
      <c r="C397" s="17">
        <f>IF(Calc!$B397,Calc!O397,"")</f>
        <v/>
      </c>
    </row>
    <row r="398">
      <c r="A398" s="16">
        <f>IF(Calc!$B398,Calc!E398,"")</f>
        <v/>
      </c>
      <c r="B398">
        <f>IF(Calc!$B398,INDEX(MineNames,Calc!C398),"")</f>
        <v/>
      </c>
      <c r="C398" s="17">
        <f>IF(Calc!$B398,Calc!O398,"")</f>
        <v/>
      </c>
    </row>
    <row r="399">
      <c r="A399" s="16">
        <f>IF(Calc!$B399,Calc!E399,"")</f>
        <v/>
      </c>
      <c r="B399">
        <f>IF(Calc!$B399,INDEX(MineNames,Calc!C399),"")</f>
        <v/>
      </c>
      <c r="C399" s="17">
        <f>IF(Calc!$B399,Calc!O399,"")</f>
        <v/>
      </c>
    </row>
    <row r="400">
      <c r="A400" s="16">
        <f>IF(Calc!$B400,Calc!E400,"")</f>
        <v/>
      </c>
      <c r="B400">
        <f>IF(Calc!$B400,INDEX(MineNames,Calc!C400),"")</f>
        <v/>
      </c>
      <c r="C400" s="17">
        <f>IF(Calc!$B400,Calc!O400,"")</f>
        <v/>
      </c>
    </row>
    <row r="401">
      <c r="A401" s="16">
        <f>IF(Calc!$B401,Calc!E401,"")</f>
        <v/>
      </c>
      <c r="B401">
        <f>IF(Calc!$B401,INDEX(MineNames,Calc!C401),"")</f>
        <v/>
      </c>
      <c r="C401" s="17">
        <f>IF(Calc!$B401,Calc!O401,"")</f>
        <v/>
      </c>
    </row>
    <row r="402">
      <c r="A402" s="16">
        <f>IF(Calc!$B402,Calc!E402,"")</f>
        <v/>
      </c>
      <c r="B402">
        <f>IF(Calc!$B402,INDEX(MineNames,Calc!C402),"")</f>
        <v/>
      </c>
      <c r="C402" s="17">
        <f>IF(Calc!$B402,Calc!O402,"")</f>
        <v/>
      </c>
    </row>
    <row r="403">
      <c r="A403" s="16">
        <f>IF(Calc!$B403,Calc!E403,"")</f>
        <v/>
      </c>
      <c r="B403">
        <f>IF(Calc!$B403,INDEX(MineNames,Calc!C403),"")</f>
        <v/>
      </c>
      <c r="C403" s="17">
        <f>IF(Calc!$B403,Calc!O403,"")</f>
        <v/>
      </c>
    </row>
    <row r="404">
      <c r="A404" s="16">
        <f>IF(Calc!$B404,Calc!E404,"")</f>
        <v/>
      </c>
      <c r="B404">
        <f>IF(Calc!$B404,INDEX(MineNames,Calc!C404),"")</f>
        <v/>
      </c>
      <c r="C404" s="17">
        <f>IF(Calc!$B404,Calc!O404,"")</f>
        <v/>
      </c>
    </row>
    <row r="405">
      <c r="A405" s="16">
        <f>IF(Calc!$B405,Calc!E405,"")</f>
        <v/>
      </c>
      <c r="B405">
        <f>IF(Calc!$B405,INDEX(MineNames,Calc!C405),"")</f>
        <v/>
      </c>
      <c r="C405" s="17">
        <f>IF(Calc!$B405,Calc!O405,"")</f>
        <v/>
      </c>
    </row>
    <row r="406">
      <c r="A406" s="16">
        <f>IF(Calc!$B406,Calc!E406,"")</f>
        <v/>
      </c>
      <c r="B406">
        <f>IF(Calc!$B406,INDEX(MineNames,Calc!C406),"")</f>
        <v/>
      </c>
      <c r="C406" s="17">
        <f>IF(Calc!$B406,Calc!O406,"")</f>
        <v/>
      </c>
    </row>
    <row r="407">
      <c r="A407" s="16">
        <f>IF(Calc!$B407,Calc!E407,"")</f>
        <v/>
      </c>
      <c r="B407">
        <f>IF(Calc!$B407,INDEX(MineNames,Calc!C407),"")</f>
        <v/>
      </c>
      <c r="C407" s="17">
        <f>IF(Calc!$B407,Calc!O407,"")</f>
        <v/>
      </c>
    </row>
    <row r="408">
      <c r="A408" s="16">
        <f>IF(Calc!$B408,Calc!E408,"")</f>
        <v/>
      </c>
      <c r="B408">
        <f>IF(Calc!$B408,INDEX(MineNames,Calc!C408),"")</f>
        <v/>
      </c>
      <c r="C408" s="17">
        <f>IF(Calc!$B408,Calc!O408,"")</f>
        <v/>
      </c>
    </row>
    <row r="409">
      <c r="A409" s="16">
        <f>IF(Calc!$B409,Calc!E409,"")</f>
        <v/>
      </c>
      <c r="B409">
        <f>IF(Calc!$B409,INDEX(MineNames,Calc!C409),"")</f>
        <v/>
      </c>
      <c r="C409" s="17">
        <f>IF(Calc!$B409,Calc!O409,"")</f>
        <v/>
      </c>
    </row>
    <row r="410">
      <c r="A410" s="16">
        <f>IF(Calc!$B410,Calc!E410,"")</f>
        <v/>
      </c>
      <c r="B410">
        <f>IF(Calc!$B410,INDEX(MineNames,Calc!C410),"")</f>
        <v/>
      </c>
      <c r="C410" s="17">
        <f>IF(Calc!$B410,Calc!O410,"")</f>
        <v/>
      </c>
    </row>
    <row r="411">
      <c r="A411" s="16">
        <f>IF(Calc!$B411,Calc!E411,"")</f>
        <v/>
      </c>
      <c r="B411">
        <f>IF(Calc!$B411,INDEX(MineNames,Calc!C411),"")</f>
        <v/>
      </c>
      <c r="C411" s="17">
        <f>IF(Calc!$B411,Calc!O411,"")</f>
        <v/>
      </c>
    </row>
    <row r="412">
      <c r="A412" s="16">
        <f>IF(Calc!$B412,Calc!E412,"")</f>
        <v/>
      </c>
      <c r="B412">
        <f>IF(Calc!$B412,INDEX(MineNames,Calc!C412),"")</f>
        <v/>
      </c>
      <c r="C412" s="17">
        <f>IF(Calc!$B412,Calc!O412,"")</f>
        <v/>
      </c>
    </row>
    <row r="413">
      <c r="A413" s="16">
        <f>IF(Calc!$B413,Calc!E413,"")</f>
        <v/>
      </c>
      <c r="B413">
        <f>IF(Calc!$B413,INDEX(MineNames,Calc!C413),"")</f>
        <v/>
      </c>
      <c r="C413" s="17">
        <f>IF(Calc!$B413,Calc!O413,"")</f>
        <v/>
      </c>
    </row>
    <row r="414">
      <c r="A414" s="16">
        <f>IF(Calc!$B414,Calc!E414,"")</f>
        <v/>
      </c>
      <c r="B414">
        <f>IF(Calc!$B414,INDEX(MineNames,Calc!C414),"")</f>
        <v/>
      </c>
      <c r="C414" s="17">
        <f>IF(Calc!$B414,Calc!O414,"")</f>
        <v/>
      </c>
    </row>
    <row r="415">
      <c r="A415" s="16">
        <f>IF(Calc!$B415,Calc!E415,"")</f>
        <v/>
      </c>
      <c r="B415">
        <f>IF(Calc!$B415,INDEX(MineNames,Calc!C415),"")</f>
        <v/>
      </c>
      <c r="C415" s="17">
        <f>IF(Calc!$B415,Calc!O415,"")</f>
        <v/>
      </c>
    </row>
    <row r="416">
      <c r="A416" s="16">
        <f>IF(Calc!$B416,Calc!E416,"")</f>
        <v/>
      </c>
      <c r="B416">
        <f>IF(Calc!$B416,INDEX(MineNames,Calc!C416),"")</f>
        <v/>
      </c>
      <c r="C416" s="17">
        <f>IF(Calc!$B416,Calc!O416,"")</f>
        <v/>
      </c>
    </row>
    <row r="417">
      <c r="A417" s="16">
        <f>IF(Calc!$B417,Calc!E417,"")</f>
        <v/>
      </c>
      <c r="B417">
        <f>IF(Calc!$B417,INDEX(MineNames,Calc!C417),"")</f>
        <v/>
      </c>
      <c r="C417" s="17">
        <f>IF(Calc!$B417,Calc!O417,"")</f>
        <v/>
      </c>
    </row>
    <row r="418">
      <c r="A418" s="16">
        <f>IF(Calc!$B418,Calc!E418,"")</f>
        <v/>
      </c>
      <c r="B418">
        <f>IF(Calc!$B418,INDEX(MineNames,Calc!C418),"")</f>
        <v/>
      </c>
      <c r="C418" s="17">
        <f>IF(Calc!$B418,Calc!O418,"")</f>
        <v/>
      </c>
    </row>
    <row r="419">
      <c r="A419" s="16">
        <f>IF(Calc!$B419,Calc!E419,"")</f>
        <v/>
      </c>
      <c r="B419">
        <f>IF(Calc!$B419,INDEX(MineNames,Calc!C419),"")</f>
        <v/>
      </c>
      <c r="C419" s="17">
        <f>IF(Calc!$B419,Calc!O419,"")</f>
        <v/>
      </c>
    </row>
    <row r="420">
      <c r="A420" s="16">
        <f>IF(Calc!$B420,Calc!E420,"")</f>
        <v/>
      </c>
      <c r="B420">
        <f>IF(Calc!$B420,INDEX(MineNames,Calc!C420),"")</f>
        <v/>
      </c>
      <c r="C420" s="17">
        <f>IF(Calc!$B420,Calc!O420,"")</f>
        <v/>
      </c>
    </row>
    <row r="421">
      <c r="A421" s="16">
        <f>IF(Calc!$B421,Calc!E421,"")</f>
        <v/>
      </c>
      <c r="B421">
        <f>IF(Calc!$B421,INDEX(MineNames,Calc!C421),"")</f>
        <v/>
      </c>
      <c r="C421" s="17">
        <f>IF(Calc!$B421,Calc!O421,"")</f>
        <v/>
      </c>
    </row>
    <row r="422">
      <c r="A422" s="16">
        <f>IF(Calc!$B422,Calc!E422,"")</f>
        <v/>
      </c>
      <c r="B422">
        <f>IF(Calc!$B422,INDEX(MineNames,Calc!C422),"")</f>
        <v/>
      </c>
      <c r="C422" s="17">
        <f>IF(Calc!$B422,Calc!O422,"")</f>
        <v/>
      </c>
    </row>
    <row r="423">
      <c r="A423" s="16">
        <f>IF(Calc!$B423,Calc!E423,"")</f>
        <v/>
      </c>
      <c r="B423">
        <f>IF(Calc!$B423,INDEX(MineNames,Calc!C423),"")</f>
        <v/>
      </c>
      <c r="C423" s="17">
        <f>IF(Calc!$B423,Calc!O423,"")</f>
        <v/>
      </c>
    </row>
    <row r="424">
      <c r="A424" s="16">
        <f>IF(Calc!$B424,Calc!E424,"")</f>
        <v/>
      </c>
      <c r="B424">
        <f>IF(Calc!$B424,INDEX(MineNames,Calc!C424),"")</f>
        <v/>
      </c>
      <c r="C424" s="17">
        <f>IF(Calc!$B424,Calc!O424,"")</f>
        <v/>
      </c>
    </row>
    <row r="425">
      <c r="A425" s="16">
        <f>IF(Calc!$B425,Calc!E425,"")</f>
        <v/>
      </c>
      <c r="B425">
        <f>IF(Calc!$B425,INDEX(MineNames,Calc!C425),"")</f>
        <v/>
      </c>
      <c r="C425" s="17">
        <f>IF(Calc!$B425,Calc!O425,"")</f>
        <v/>
      </c>
    </row>
    <row r="426">
      <c r="A426" s="16">
        <f>IF(Calc!$B426,Calc!E426,"")</f>
        <v/>
      </c>
      <c r="B426">
        <f>IF(Calc!$B426,INDEX(MineNames,Calc!C426),"")</f>
        <v/>
      </c>
      <c r="C426" s="17">
        <f>IF(Calc!$B426,Calc!O426,"")</f>
        <v/>
      </c>
    </row>
    <row r="427">
      <c r="A427" s="16">
        <f>IF(Calc!$B427,Calc!E427,"")</f>
        <v/>
      </c>
      <c r="B427">
        <f>IF(Calc!$B427,INDEX(MineNames,Calc!C427),"")</f>
        <v/>
      </c>
      <c r="C427" s="17">
        <f>IF(Calc!$B427,Calc!O427,"")</f>
        <v/>
      </c>
    </row>
    <row r="428">
      <c r="A428" s="16">
        <f>IF(Calc!$B428,Calc!E428,"")</f>
        <v/>
      </c>
      <c r="B428">
        <f>IF(Calc!$B428,INDEX(MineNames,Calc!C428),"")</f>
        <v/>
      </c>
      <c r="C428" s="17">
        <f>IF(Calc!$B428,Calc!O428,"")</f>
        <v/>
      </c>
    </row>
    <row r="429">
      <c r="A429" s="16">
        <f>IF(Calc!$B429,Calc!E429,"")</f>
        <v/>
      </c>
      <c r="B429">
        <f>IF(Calc!$B429,INDEX(MineNames,Calc!C429),"")</f>
        <v/>
      </c>
      <c r="C429" s="17">
        <f>IF(Calc!$B429,Calc!O429,"")</f>
        <v/>
      </c>
    </row>
    <row r="430">
      <c r="A430" s="16">
        <f>IF(Calc!$B430,Calc!E430,"")</f>
        <v/>
      </c>
      <c r="B430">
        <f>IF(Calc!$B430,INDEX(MineNames,Calc!C430),"")</f>
        <v/>
      </c>
      <c r="C430" s="17">
        <f>IF(Calc!$B430,Calc!O430,"")</f>
        <v/>
      </c>
    </row>
    <row r="431">
      <c r="A431" s="16">
        <f>IF(Calc!$B431,Calc!E431,"")</f>
        <v/>
      </c>
      <c r="B431">
        <f>IF(Calc!$B431,INDEX(MineNames,Calc!C431),"")</f>
        <v/>
      </c>
      <c r="C431" s="17">
        <f>IF(Calc!$B431,Calc!O431,"")</f>
        <v/>
      </c>
    </row>
    <row r="432">
      <c r="A432" s="16">
        <f>IF(Calc!$B432,Calc!E432,"")</f>
        <v/>
      </c>
      <c r="B432">
        <f>IF(Calc!$B432,INDEX(MineNames,Calc!C432),"")</f>
        <v/>
      </c>
      <c r="C432" s="17">
        <f>IF(Calc!$B432,Calc!O432,"")</f>
        <v/>
      </c>
    </row>
    <row r="433">
      <c r="A433" s="16">
        <f>IF(Calc!$B433,Calc!E433,"")</f>
        <v/>
      </c>
      <c r="B433">
        <f>IF(Calc!$B433,INDEX(MineNames,Calc!C433),"")</f>
        <v/>
      </c>
      <c r="C433" s="17">
        <f>IF(Calc!$B433,Calc!O433,"")</f>
        <v/>
      </c>
    </row>
    <row r="434">
      <c r="A434" s="16">
        <f>IF(Calc!$B434,Calc!E434,"")</f>
        <v/>
      </c>
      <c r="B434">
        <f>IF(Calc!$B434,INDEX(MineNames,Calc!C434),"")</f>
        <v/>
      </c>
      <c r="C434" s="17">
        <f>IF(Calc!$B434,Calc!O434,"")</f>
        <v/>
      </c>
    </row>
    <row r="435">
      <c r="A435" s="16">
        <f>IF(Calc!$B435,Calc!E435,"")</f>
        <v/>
      </c>
      <c r="B435">
        <f>IF(Calc!$B435,INDEX(MineNames,Calc!C435),"")</f>
        <v/>
      </c>
      <c r="C435" s="17">
        <f>IF(Calc!$B435,Calc!O435,"")</f>
        <v/>
      </c>
    </row>
    <row r="436">
      <c r="A436" s="16">
        <f>IF(Calc!$B436,Calc!E436,"")</f>
        <v/>
      </c>
      <c r="B436">
        <f>IF(Calc!$B436,INDEX(MineNames,Calc!C436),"")</f>
        <v/>
      </c>
      <c r="C436" s="17">
        <f>IF(Calc!$B436,Calc!O436,"")</f>
        <v/>
      </c>
    </row>
    <row r="437">
      <c r="A437" s="16">
        <f>IF(Calc!$B437,Calc!E437,"")</f>
        <v/>
      </c>
      <c r="B437">
        <f>IF(Calc!$B437,INDEX(MineNames,Calc!C437),"")</f>
        <v/>
      </c>
      <c r="C437" s="17">
        <f>IF(Calc!$B437,Calc!O437,"")</f>
        <v/>
      </c>
    </row>
    <row r="438">
      <c r="A438" s="16">
        <f>IF(Calc!$B438,Calc!E438,"")</f>
        <v/>
      </c>
      <c r="B438">
        <f>IF(Calc!$B438,INDEX(MineNames,Calc!C438),"")</f>
        <v/>
      </c>
      <c r="C438" s="17">
        <f>IF(Calc!$B438,Calc!O438,"")</f>
        <v/>
      </c>
    </row>
    <row r="439">
      <c r="A439" s="16">
        <f>IF(Calc!$B439,Calc!E439,"")</f>
        <v/>
      </c>
      <c r="B439">
        <f>IF(Calc!$B439,INDEX(MineNames,Calc!C439),"")</f>
        <v/>
      </c>
      <c r="C439" s="17">
        <f>IF(Calc!$B439,Calc!O439,"")</f>
        <v/>
      </c>
    </row>
    <row r="440">
      <c r="A440" s="16">
        <f>IF(Calc!$B440,Calc!E440,"")</f>
        <v/>
      </c>
      <c r="B440">
        <f>IF(Calc!$B440,INDEX(MineNames,Calc!C440),"")</f>
        <v/>
      </c>
      <c r="C440" s="17">
        <f>IF(Calc!$B440,Calc!O440,"")</f>
        <v/>
      </c>
    </row>
    <row r="441">
      <c r="A441" s="16">
        <f>IF(Calc!$B441,Calc!E441,"")</f>
        <v/>
      </c>
      <c r="B441">
        <f>IF(Calc!$B441,INDEX(MineNames,Calc!C441),"")</f>
        <v/>
      </c>
      <c r="C441" s="17">
        <f>IF(Calc!$B441,Calc!O441,"")</f>
        <v/>
      </c>
    </row>
    <row r="442">
      <c r="A442" s="16">
        <f>IF(Calc!$B442,Calc!E442,"")</f>
        <v/>
      </c>
      <c r="B442">
        <f>IF(Calc!$B442,INDEX(MineNames,Calc!C442),"")</f>
        <v/>
      </c>
      <c r="C442" s="17">
        <f>IF(Calc!$B442,Calc!O442,"")</f>
        <v/>
      </c>
    </row>
    <row r="443">
      <c r="A443" s="16">
        <f>IF(Calc!$B443,Calc!E443,"")</f>
        <v/>
      </c>
      <c r="B443">
        <f>IF(Calc!$B443,INDEX(MineNames,Calc!C443),"")</f>
        <v/>
      </c>
      <c r="C443" s="17">
        <f>IF(Calc!$B443,Calc!O443,"")</f>
        <v/>
      </c>
    </row>
    <row r="444">
      <c r="A444" s="16">
        <f>IF(Calc!$B444,Calc!E444,"")</f>
        <v/>
      </c>
      <c r="B444">
        <f>IF(Calc!$B444,INDEX(MineNames,Calc!C444),"")</f>
        <v/>
      </c>
      <c r="C444" s="17">
        <f>IF(Calc!$B444,Calc!O444,"")</f>
        <v/>
      </c>
    </row>
    <row r="445">
      <c r="A445" s="16">
        <f>IF(Calc!$B445,Calc!E445,"")</f>
        <v/>
      </c>
      <c r="B445">
        <f>IF(Calc!$B445,INDEX(MineNames,Calc!C445),"")</f>
        <v/>
      </c>
      <c r="C445" s="17">
        <f>IF(Calc!$B445,Calc!O445,"")</f>
        <v/>
      </c>
    </row>
    <row r="446">
      <c r="A446" s="16">
        <f>IF(Calc!$B446,Calc!E446,"")</f>
        <v/>
      </c>
      <c r="B446">
        <f>IF(Calc!$B446,INDEX(MineNames,Calc!C446),"")</f>
        <v/>
      </c>
      <c r="C446" s="17">
        <f>IF(Calc!$B446,Calc!O446,"")</f>
        <v/>
      </c>
    </row>
    <row r="447">
      <c r="A447" s="16">
        <f>IF(Calc!$B447,Calc!E447,"")</f>
        <v/>
      </c>
      <c r="B447">
        <f>IF(Calc!$B447,INDEX(MineNames,Calc!C447),"")</f>
        <v/>
      </c>
      <c r="C447" s="17">
        <f>IF(Calc!$B447,Calc!O447,"")</f>
        <v/>
      </c>
    </row>
    <row r="448">
      <c r="A448" s="16">
        <f>IF(Calc!$B448,Calc!E448,"")</f>
        <v/>
      </c>
      <c r="B448">
        <f>IF(Calc!$B448,INDEX(MineNames,Calc!C448),"")</f>
        <v/>
      </c>
      <c r="C448" s="17">
        <f>IF(Calc!$B448,Calc!O448,"")</f>
        <v/>
      </c>
    </row>
    <row r="449">
      <c r="A449" s="16">
        <f>IF(Calc!$B449,Calc!E449,"")</f>
        <v/>
      </c>
      <c r="B449">
        <f>IF(Calc!$B449,INDEX(MineNames,Calc!C449),"")</f>
        <v/>
      </c>
      <c r="C449" s="17">
        <f>IF(Calc!$B449,Calc!O449,"")</f>
        <v/>
      </c>
    </row>
    <row r="450">
      <c r="A450" s="16">
        <f>IF(Calc!$B450,Calc!E450,"")</f>
        <v/>
      </c>
      <c r="B450">
        <f>IF(Calc!$B450,INDEX(MineNames,Calc!C450),"")</f>
        <v/>
      </c>
      <c r="C450" s="17">
        <f>IF(Calc!$B450,Calc!O450,"")</f>
        <v/>
      </c>
    </row>
    <row r="451">
      <c r="A451" s="16">
        <f>IF(Calc!$B451,Calc!E451,"")</f>
        <v/>
      </c>
      <c r="B451">
        <f>IF(Calc!$B451,INDEX(MineNames,Calc!C451),"")</f>
        <v/>
      </c>
      <c r="C451" s="17">
        <f>IF(Calc!$B451,Calc!O451,"")</f>
        <v/>
      </c>
    </row>
    <row r="452">
      <c r="A452" s="16">
        <f>IF(Calc!$B452,Calc!E452,"")</f>
        <v/>
      </c>
      <c r="B452">
        <f>IF(Calc!$B452,INDEX(MineNames,Calc!C452),"")</f>
        <v/>
      </c>
      <c r="C452" s="17">
        <f>IF(Calc!$B452,Calc!O452,"")</f>
        <v/>
      </c>
    </row>
    <row r="453">
      <c r="A453" s="16">
        <f>IF(Calc!$B453,Calc!E453,"")</f>
        <v/>
      </c>
      <c r="B453">
        <f>IF(Calc!$B453,INDEX(MineNames,Calc!C453),"")</f>
        <v/>
      </c>
      <c r="C453" s="17">
        <f>IF(Calc!$B453,Calc!O453,"")</f>
        <v/>
      </c>
    </row>
    <row r="454">
      <c r="A454" s="16">
        <f>IF(Calc!$B454,Calc!E454,"")</f>
        <v/>
      </c>
      <c r="B454">
        <f>IF(Calc!$B454,INDEX(MineNames,Calc!C454),"")</f>
        <v/>
      </c>
      <c r="C454" s="17">
        <f>IF(Calc!$B454,Calc!O454,"")</f>
        <v/>
      </c>
    </row>
    <row r="455">
      <c r="A455" s="16">
        <f>IF(Calc!$B455,Calc!E455,"")</f>
        <v/>
      </c>
      <c r="B455">
        <f>IF(Calc!$B455,INDEX(MineNames,Calc!C455),"")</f>
        <v/>
      </c>
      <c r="C455" s="17">
        <f>IF(Calc!$B455,Calc!O455,"")</f>
        <v/>
      </c>
    </row>
    <row r="456">
      <c r="A456" s="16">
        <f>IF(Calc!$B456,Calc!E456,"")</f>
        <v/>
      </c>
      <c r="B456">
        <f>IF(Calc!$B456,INDEX(MineNames,Calc!C456),"")</f>
        <v/>
      </c>
      <c r="C456" s="17">
        <f>IF(Calc!$B456,Calc!O456,"")</f>
        <v/>
      </c>
    </row>
    <row r="457">
      <c r="A457" s="16">
        <f>IF(Calc!$B457,Calc!E457,"")</f>
        <v/>
      </c>
      <c r="B457">
        <f>IF(Calc!$B457,INDEX(MineNames,Calc!C457),"")</f>
        <v/>
      </c>
      <c r="C457" s="17">
        <f>IF(Calc!$B457,Calc!O457,"")</f>
        <v/>
      </c>
    </row>
    <row r="458">
      <c r="A458" s="16">
        <f>IF(Calc!$B458,Calc!E458,"")</f>
        <v/>
      </c>
      <c r="B458">
        <f>IF(Calc!$B458,INDEX(MineNames,Calc!C458),"")</f>
        <v/>
      </c>
      <c r="C458" s="17">
        <f>IF(Calc!$B458,Calc!O458,"")</f>
        <v/>
      </c>
    </row>
    <row r="459">
      <c r="A459" s="16">
        <f>IF(Calc!$B459,Calc!E459,"")</f>
        <v/>
      </c>
      <c r="B459">
        <f>IF(Calc!$B459,INDEX(MineNames,Calc!C459),"")</f>
        <v/>
      </c>
      <c r="C459" s="17">
        <f>IF(Calc!$B459,Calc!O459,"")</f>
        <v/>
      </c>
    </row>
    <row r="460">
      <c r="A460" s="16">
        <f>IF(Calc!$B460,Calc!E460,"")</f>
        <v/>
      </c>
      <c r="B460">
        <f>IF(Calc!$B460,INDEX(MineNames,Calc!C460),"")</f>
        <v/>
      </c>
      <c r="C460" s="17">
        <f>IF(Calc!$B460,Calc!O460,"")</f>
        <v/>
      </c>
    </row>
    <row r="461">
      <c r="A461" s="16">
        <f>IF(Calc!$B461,Calc!E461,"")</f>
        <v/>
      </c>
      <c r="B461">
        <f>IF(Calc!$B461,INDEX(MineNames,Calc!C461),"")</f>
        <v/>
      </c>
      <c r="C461" s="17">
        <f>IF(Calc!$B461,Calc!O461,"")</f>
        <v/>
      </c>
    </row>
    <row r="462">
      <c r="A462" s="16">
        <f>IF(Calc!$B462,Calc!E462,"")</f>
        <v/>
      </c>
      <c r="B462">
        <f>IF(Calc!$B462,INDEX(MineNames,Calc!C462),"")</f>
        <v/>
      </c>
      <c r="C462" s="17">
        <f>IF(Calc!$B462,Calc!O462,"")</f>
        <v/>
      </c>
    </row>
    <row r="463">
      <c r="A463" s="16">
        <f>IF(Calc!$B463,Calc!E463,"")</f>
        <v/>
      </c>
      <c r="B463">
        <f>IF(Calc!$B463,INDEX(MineNames,Calc!C463),"")</f>
        <v/>
      </c>
      <c r="C463" s="17">
        <f>IF(Calc!$B463,Calc!O463,"")</f>
        <v/>
      </c>
    </row>
    <row r="464">
      <c r="A464" s="16">
        <f>IF(Calc!$B464,Calc!E464,"")</f>
        <v/>
      </c>
      <c r="B464">
        <f>IF(Calc!$B464,INDEX(MineNames,Calc!C464),"")</f>
        <v/>
      </c>
      <c r="C464" s="17">
        <f>IF(Calc!$B464,Calc!O464,"")</f>
        <v/>
      </c>
    </row>
    <row r="465">
      <c r="A465" s="16">
        <f>IF(Calc!$B465,Calc!E465,"")</f>
        <v/>
      </c>
      <c r="B465">
        <f>IF(Calc!$B465,INDEX(MineNames,Calc!C465),"")</f>
        <v/>
      </c>
      <c r="C465" s="17">
        <f>IF(Calc!$B465,Calc!O465,"")</f>
        <v/>
      </c>
    </row>
    <row r="466">
      <c r="A466" s="16">
        <f>IF(Calc!$B466,Calc!E466,"")</f>
        <v/>
      </c>
      <c r="B466">
        <f>IF(Calc!$B466,INDEX(MineNames,Calc!C466),"")</f>
        <v/>
      </c>
      <c r="C466" s="17">
        <f>IF(Calc!$B466,Calc!O466,"")</f>
        <v/>
      </c>
    </row>
    <row r="467">
      <c r="A467" s="16">
        <f>IF(Calc!$B467,Calc!E467,"")</f>
        <v/>
      </c>
      <c r="B467">
        <f>IF(Calc!$B467,INDEX(MineNames,Calc!C467),"")</f>
        <v/>
      </c>
      <c r="C467" s="17">
        <f>IF(Calc!$B467,Calc!O467,"")</f>
        <v/>
      </c>
    </row>
    <row r="468">
      <c r="A468" s="16">
        <f>IF(Calc!$B468,Calc!E468,"")</f>
        <v/>
      </c>
      <c r="B468">
        <f>IF(Calc!$B468,INDEX(MineNames,Calc!C468),"")</f>
        <v/>
      </c>
      <c r="C468" s="17">
        <f>IF(Calc!$B468,Calc!O468,"")</f>
        <v/>
      </c>
    </row>
    <row r="469">
      <c r="A469" s="16">
        <f>IF(Calc!$B469,Calc!E469,"")</f>
        <v/>
      </c>
      <c r="B469">
        <f>IF(Calc!$B469,INDEX(MineNames,Calc!C469),"")</f>
        <v/>
      </c>
      <c r="C469" s="17">
        <f>IF(Calc!$B469,Calc!O469,"")</f>
        <v/>
      </c>
    </row>
    <row r="470">
      <c r="A470" s="16">
        <f>IF(Calc!$B470,Calc!E470,"")</f>
        <v/>
      </c>
      <c r="B470">
        <f>IF(Calc!$B470,INDEX(MineNames,Calc!C470),"")</f>
        <v/>
      </c>
      <c r="C470" s="17">
        <f>IF(Calc!$B470,Calc!O470,"")</f>
        <v/>
      </c>
    </row>
    <row r="471">
      <c r="A471" s="16">
        <f>IF(Calc!$B471,Calc!E471,"")</f>
        <v/>
      </c>
      <c r="B471">
        <f>IF(Calc!$B471,INDEX(MineNames,Calc!C471),"")</f>
        <v/>
      </c>
      <c r="C471" s="17">
        <f>IF(Calc!$B471,Calc!O471,"")</f>
        <v/>
      </c>
    </row>
    <row r="472">
      <c r="A472" s="16">
        <f>IF(Calc!$B472,Calc!E472,"")</f>
        <v/>
      </c>
      <c r="B472">
        <f>IF(Calc!$B472,INDEX(MineNames,Calc!C472),"")</f>
        <v/>
      </c>
      <c r="C472" s="17">
        <f>IF(Calc!$B472,Calc!O472,"")</f>
        <v/>
      </c>
    </row>
    <row r="473">
      <c r="A473" s="16">
        <f>IF(Calc!$B473,Calc!E473,"")</f>
        <v/>
      </c>
      <c r="B473">
        <f>IF(Calc!$B473,INDEX(MineNames,Calc!C473),"")</f>
        <v/>
      </c>
      <c r="C473" s="17">
        <f>IF(Calc!$B473,Calc!O473,"")</f>
        <v/>
      </c>
    </row>
    <row r="474">
      <c r="A474" s="16">
        <f>IF(Calc!$B474,Calc!E474,"")</f>
        <v/>
      </c>
      <c r="B474">
        <f>IF(Calc!$B474,INDEX(MineNames,Calc!C474),"")</f>
        <v/>
      </c>
      <c r="C474" s="17">
        <f>IF(Calc!$B474,Calc!O474,"")</f>
        <v/>
      </c>
    </row>
    <row r="475">
      <c r="A475" s="16">
        <f>IF(Calc!$B475,Calc!E475,"")</f>
        <v/>
      </c>
      <c r="B475">
        <f>IF(Calc!$B475,INDEX(MineNames,Calc!C475),"")</f>
        <v/>
      </c>
      <c r="C475" s="17">
        <f>IF(Calc!$B475,Calc!O475,"")</f>
        <v/>
      </c>
    </row>
    <row r="476">
      <c r="A476" s="16">
        <f>IF(Calc!$B476,Calc!E476,"")</f>
        <v/>
      </c>
      <c r="B476">
        <f>IF(Calc!$B476,INDEX(MineNames,Calc!C476),"")</f>
        <v/>
      </c>
      <c r="C476" s="17">
        <f>IF(Calc!$B476,Calc!O476,"")</f>
        <v/>
      </c>
    </row>
    <row r="477">
      <c r="A477" s="16">
        <f>IF(Calc!$B477,Calc!E477,"")</f>
        <v/>
      </c>
      <c r="B477">
        <f>IF(Calc!$B477,INDEX(MineNames,Calc!C477),"")</f>
        <v/>
      </c>
      <c r="C477" s="17">
        <f>IF(Calc!$B477,Calc!O477,"")</f>
        <v/>
      </c>
    </row>
    <row r="478">
      <c r="A478" s="16">
        <f>IF(Calc!$B478,Calc!E478,"")</f>
        <v/>
      </c>
      <c r="B478">
        <f>IF(Calc!$B478,INDEX(MineNames,Calc!C478),"")</f>
        <v/>
      </c>
      <c r="C478" s="17">
        <f>IF(Calc!$B478,Calc!O478,"")</f>
        <v/>
      </c>
    </row>
    <row r="479">
      <c r="A479" s="16">
        <f>IF(Calc!$B479,Calc!E479,"")</f>
        <v/>
      </c>
      <c r="B479">
        <f>IF(Calc!$B479,INDEX(MineNames,Calc!C479),"")</f>
        <v/>
      </c>
      <c r="C479" s="17">
        <f>IF(Calc!$B479,Calc!O479,"")</f>
        <v/>
      </c>
    </row>
    <row r="480">
      <c r="A480" s="16">
        <f>IF(Calc!$B480,Calc!E480,"")</f>
        <v/>
      </c>
      <c r="B480">
        <f>IF(Calc!$B480,INDEX(MineNames,Calc!C480),"")</f>
        <v/>
      </c>
      <c r="C480" s="17">
        <f>IF(Calc!$B480,Calc!O480,"")</f>
        <v/>
      </c>
    </row>
    <row r="481">
      <c r="A481" s="16">
        <f>IF(Calc!$B481,Calc!E481,"")</f>
        <v/>
      </c>
      <c r="B481">
        <f>IF(Calc!$B481,INDEX(MineNames,Calc!C481),"")</f>
        <v/>
      </c>
      <c r="C481" s="17">
        <f>IF(Calc!$B481,Calc!O481,"")</f>
        <v/>
      </c>
    </row>
    <row r="482">
      <c r="A482" s="16">
        <f>IF(Calc!$B482,Calc!E482,"")</f>
        <v/>
      </c>
      <c r="B482">
        <f>IF(Calc!$B482,INDEX(MineNames,Calc!C482),"")</f>
        <v/>
      </c>
      <c r="C482" s="17">
        <f>IF(Calc!$B482,Calc!O482,"")</f>
        <v/>
      </c>
    </row>
    <row r="483">
      <c r="A483" s="16">
        <f>IF(Calc!$B483,Calc!E483,"")</f>
        <v/>
      </c>
      <c r="B483">
        <f>IF(Calc!$B483,INDEX(MineNames,Calc!C483),"")</f>
        <v/>
      </c>
      <c r="C483" s="17">
        <f>IF(Calc!$B483,Calc!O483,"")</f>
        <v/>
      </c>
    </row>
    <row r="484">
      <c r="A484" s="16">
        <f>IF(Calc!$B484,Calc!E484,"")</f>
        <v/>
      </c>
      <c r="B484">
        <f>IF(Calc!$B484,INDEX(MineNames,Calc!C484),"")</f>
        <v/>
      </c>
      <c r="C484" s="17">
        <f>IF(Calc!$B484,Calc!O484,"")</f>
        <v/>
      </c>
    </row>
    <row r="485">
      <c r="A485" s="16">
        <f>IF(Calc!$B485,Calc!E485,"")</f>
        <v/>
      </c>
      <c r="B485">
        <f>IF(Calc!$B485,INDEX(MineNames,Calc!C485),"")</f>
        <v/>
      </c>
      <c r="C485" s="17">
        <f>IF(Calc!$B485,Calc!O485,"")</f>
        <v/>
      </c>
    </row>
    <row r="486">
      <c r="A486" s="16">
        <f>IF(Calc!$B486,Calc!E486,"")</f>
        <v/>
      </c>
      <c r="B486">
        <f>IF(Calc!$B486,INDEX(MineNames,Calc!C486),"")</f>
        <v/>
      </c>
      <c r="C486" s="17">
        <f>IF(Calc!$B486,Calc!O486,"")</f>
        <v/>
      </c>
    </row>
    <row r="487">
      <c r="A487" s="16">
        <f>IF(Calc!$B487,Calc!E487,"")</f>
        <v/>
      </c>
      <c r="B487">
        <f>IF(Calc!$B487,INDEX(MineNames,Calc!C487),"")</f>
        <v/>
      </c>
      <c r="C487" s="17">
        <f>IF(Calc!$B487,Calc!O487,"")</f>
        <v/>
      </c>
    </row>
    <row r="488">
      <c r="A488" s="16">
        <f>IF(Calc!$B488,Calc!E488,"")</f>
        <v/>
      </c>
      <c r="B488">
        <f>IF(Calc!$B488,INDEX(MineNames,Calc!C488),"")</f>
        <v/>
      </c>
      <c r="C488" s="17">
        <f>IF(Calc!$B488,Calc!O488,"")</f>
        <v/>
      </c>
    </row>
    <row r="489">
      <c r="A489" s="16">
        <f>IF(Calc!$B489,Calc!E489,"")</f>
        <v/>
      </c>
      <c r="B489">
        <f>IF(Calc!$B489,INDEX(MineNames,Calc!C489),"")</f>
        <v/>
      </c>
      <c r="C489" s="17">
        <f>IF(Calc!$B489,Calc!O489,"")</f>
        <v/>
      </c>
    </row>
    <row r="490">
      <c r="A490" s="16">
        <f>IF(Calc!$B490,Calc!E490,"")</f>
        <v/>
      </c>
      <c r="B490">
        <f>IF(Calc!$B490,INDEX(MineNames,Calc!C490),"")</f>
        <v/>
      </c>
      <c r="C490" s="17">
        <f>IF(Calc!$B490,Calc!O490,"")</f>
        <v/>
      </c>
    </row>
    <row r="491">
      <c r="A491" s="16">
        <f>IF(Calc!$B491,Calc!E491,"")</f>
        <v/>
      </c>
      <c r="B491">
        <f>IF(Calc!$B491,INDEX(MineNames,Calc!C491),"")</f>
        <v/>
      </c>
      <c r="C491" s="17">
        <f>IF(Calc!$B491,Calc!O491,"")</f>
        <v/>
      </c>
    </row>
    <row r="492">
      <c r="A492" s="16">
        <f>IF(Calc!$B492,Calc!E492,"")</f>
        <v/>
      </c>
      <c r="B492">
        <f>IF(Calc!$B492,INDEX(MineNames,Calc!C492),"")</f>
        <v/>
      </c>
      <c r="C492" s="17">
        <f>IF(Calc!$B492,Calc!O492,"")</f>
        <v/>
      </c>
    </row>
    <row r="493">
      <c r="A493" s="16">
        <f>IF(Calc!$B493,Calc!E493,"")</f>
        <v/>
      </c>
      <c r="B493">
        <f>IF(Calc!$B493,INDEX(MineNames,Calc!C493),"")</f>
        <v/>
      </c>
      <c r="C493" s="17">
        <f>IF(Calc!$B493,Calc!O493,"")</f>
        <v/>
      </c>
    </row>
    <row r="494">
      <c r="A494" s="16">
        <f>IF(Calc!$B494,Calc!E494,"")</f>
        <v/>
      </c>
      <c r="B494">
        <f>IF(Calc!$B494,INDEX(MineNames,Calc!C494),"")</f>
        <v/>
      </c>
      <c r="C494" s="17">
        <f>IF(Calc!$B494,Calc!O494,"")</f>
        <v/>
      </c>
    </row>
    <row r="495">
      <c r="A495" s="16">
        <f>IF(Calc!$B495,Calc!E495,"")</f>
        <v/>
      </c>
      <c r="B495">
        <f>IF(Calc!$B495,INDEX(MineNames,Calc!C495),"")</f>
        <v/>
      </c>
      <c r="C495" s="17">
        <f>IF(Calc!$B495,Calc!O495,"")</f>
        <v/>
      </c>
    </row>
    <row r="496">
      <c r="A496" s="16">
        <f>IF(Calc!$B496,Calc!E496,"")</f>
        <v/>
      </c>
      <c r="B496">
        <f>IF(Calc!$B496,INDEX(MineNames,Calc!C496),"")</f>
        <v/>
      </c>
      <c r="C496" s="17">
        <f>IF(Calc!$B496,Calc!O496,"")</f>
        <v/>
      </c>
    </row>
    <row r="497">
      <c r="A497" s="16">
        <f>IF(Calc!$B497,Calc!E497,"")</f>
        <v/>
      </c>
      <c r="B497">
        <f>IF(Calc!$B497,INDEX(MineNames,Calc!C497),"")</f>
        <v/>
      </c>
      <c r="C497" s="17">
        <f>IF(Calc!$B497,Calc!O497,"")</f>
        <v/>
      </c>
    </row>
    <row r="498">
      <c r="A498" s="16">
        <f>IF(Calc!$B498,Calc!E498,"")</f>
        <v/>
      </c>
      <c r="B498">
        <f>IF(Calc!$B498,INDEX(MineNames,Calc!C498),"")</f>
        <v/>
      </c>
      <c r="C498" s="17">
        <f>IF(Calc!$B498,Calc!O498,"")</f>
        <v/>
      </c>
    </row>
    <row r="499">
      <c r="A499" s="16">
        <f>IF(Calc!$B499,Calc!E499,"")</f>
        <v/>
      </c>
      <c r="B499">
        <f>IF(Calc!$B499,INDEX(MineNames,Calc!C499),"")</f>
        <v/>
      </c>
      <c r="C499" s="17">
        <f>IF(Calc!$B499,Calc!O499,"")</f>
        <v/>
      </c>
    </row>
    <row r="500">
      <c r="A500" s="16">
        <f>IF(Calc!$B500,Calc!E500,"")</f>
        <v/>
      </c>
      <c r="B500">
        <f>IF(Calc!$B500,INDEX(MineNames,Calc!C500),"")</f>
        <v/>
      </c>
      <c r="C500" s="17">
        <f>IF(Calc!$B500,Calc!O500,"")</f>
        <v/>
      </c>
    </row>
    <row r="501">
      <c r="A501" s="16">
        <f>IF(Calc!$B501,Calc!E501,"")</f>
        <v/>
      </c>
      <c r="B501">
        <f>IF(Calc!$B501,INDEX(MineNames,Calc!C501),"")</f>
        <v/>
      </c>
      <c r="C501" s="17">
        <f>IF(Calc!$B501,Calc!O501,"")</f>
        <v/>
      </c>
    </row>
    <row r="502">
      <c r="A502" s="16">
        <f>IF(Calc!$B502,Calc!E502,"")</f>
        <v/>
      </c>
      <c r="B502">
        <f>IF(Calc!$B502,INDEX(MineNames,Calc!C502),"")</f>
        <v/>
      </c>
      <c r="C502" s="17">
        <f>IF(Calc!$B502,Calc!O502,"")</f>
        <v/>
      </c>
    </row>
    <row r="503">
      <c r="A503" s="16">
        <f>IF(Calc!$B503,Calc!E503,"")</f>
        <v/>
      </c>
      <c r="B503">
        <f>IF(Calc!$B503,INDEX(MineNames,Calc!C503),"")</f>
        <v/>
      </c>
      <c r="C503" s="17">
        <f>IF(Calc!$B503,Calc!O503,"")</f>
        <v/>
      </c>
    </row>
    <row r="504">
      <c r="A504" s="16">
        <f>IF(Calc!$B504,Calc!E504,"")</f>
        <v/>
      </c>
      <c r="B504">
        <f>IF(Calc!$B504,INDEX(MineNames,Calc!C504),"")</f>
        <v/>
      </c>
      <c r="C504" s="17">
        <f>IF(Calc!$B504,Calc!O504,"")</f>
        <v/>
      </c>
    </row>
    <row r="505">
      <c r="A505" s="16">
        <f>IF(Calc!$B505,Calc!E505,"")</f>
        <v/>
      </c>
      <c r="B505">
        <f>IF(Calc!$B505,INDEX(MineNames,Calc!C505),"")</f>
        <v/>
      </c>
      <c r="C505" s="17">
        <f>IF(Calc!$B505,Calc!O505,"")</f>
        <v/>
      </c>
    </row>
    <row r="506">
      <c r="A506" s="16">
        <f>IF(Calc!$B506,Calc!E506,"")</f>
        <v/>
      </c>
      <c r="B506">
        <f>IF(Calc!$B506,INDEX(MineNames,Calc!C506),"")</f>
        <v/>
      </c>
      <c r="C506" s="17">
        <f>IF(Calc!$B506,Calc!O506,"")</f>
        <v/>
      </c>
    </row>
    <row r="507">
      <c r="A507" s="16">
        <f>IF(Calc!$B507,Calc!E507,"")</f>
        <v/>
      </c>
      <c r="B507">
        <f>IF(Calc!$B507,INDEX(MineNames,Calc!C507),"")</f>
        <v/>
      </c>
      <c r="C507" s="17">
        <f>IF(Calc!$B507,Calc!O507,"")</f>
        <v/>
      </c>
    </row>
    <row r="508">
      <c r="A508" s="16">
        <f>IF(Calc!$B508,Calc!E508,"")</f>
        <v/>
      </c>
      <c r="B508">
        <f>IF(Calc!$B508,INDEX(MineNames,Calc!C508),"")</f>
        <v/>
      </c>
      <c r="C508" s="17">
        <f>IF(Calc!$B508,Calc!O508,"")</f>
        <v/>
      </c>
    </row>
    <row r="509">
      <c r="A509" s="16">
        <f>IF(Calc!$B509,Calc!E509,"")</f>
        <v/>
      </c>
      <c r="B509">
        <f>IF(Calc!$B509,INDEX(MineNames,Calc!C509),"")</f>
        <v/>
      </c>
      <c r="C509" s="17">
        <f>IF(Calc!$B509,Calc!O509,"")</f>
        <v/>
      </c>
    </row>
    <row r="510">
      <c r="A510" s="16">
        <f>IF(Calc!$B510,Calc!E510,"")</f>
        <v/>
      </c>
      <c r="B510">
        <f>IF(Calc!$B510,INDEX(MineNames,Calc!C510),"")</f>
        <v/>
      </c>
      <c r="C510" s="17">
        <f>IF(Calc!$B510,Calc!O510,"")</f>
        <v/>
      </c>
    </row>
    <row r="511">
      <c r="A511" s="16">
        <f>IF(Calc!$B511,Calc!E511,"")</f>
        <v/>
      </c>
      <c r="B511">
        <f>IF(Calc!$B511,INDEX(MineNames,Calc!C511),"")</f>
        <v/>
      </c>
      <c r="C511" s="17">
        <f>IF(Calc!$B511,Calc!O511,"")</f>
        <v/>
      </c>
    </row>
    <row r="512">
      <c r="A512" s="16">
        <f>IF(Calc!$B512,Calc!E512,"")</f>
        <v/>
      </c>
      <c r="B512">
        <f>IF(Calc!$B512,INDEX(MineNames,Calc!C512),"")</f>
        <v/>
      </c>
      <c r="C512" s="17">
        <f>IF(Calc!$B512,Calc!O512,"")</f>
        <v/>
      </c>
    </row>
    <row r="513">
      <c r="A513" s="16">
        <f>IF(Calc!$B513,Calc!E513,"")</f>
        <v/>
      </c>
      <c r="B513">
        <f>IF(Calc!$B513,INDEX(MineNames,Calc!C513),"")</f>
        <v/>
      </c>
      <c r="C513" s="17">
        <f>IF(Calc!$B513,Calc!O513,"")</f>
        <v/>
      </c>
    </row>
    <row r="514">
      <c r="A514" s="16">
        <f>IF(Calc!$B514,Calc!E514,"")</f>
        <v/>
      </c>
      <c r="B514">
        <f>IF(Calc!$B514,INDEX(MineNames,Calc!C514),"")</f>
        <v/>
      </c>
      <c r="C514" s="17">
        <f>IF(Calc!$B514,Calc!O514,"")</f>
        <v/>
      </c>
    </row>
    <row r="515">
      <c r="A515" s="16">
        <f>IF(Calc!$B515,Calc!E515,"")</f>
        <v/>
      </c>
      <c r="B515">
        <f>IF(Calc!$B515,INDEX(MineNames,Calc!C515),"")</f>
        <v/>
      </c>
      <c r="C515" s="17">
        <f>IF(Calc!$B515,Calc!O515,"")</f>
        <v/>
      </c>
    </row>
    <row r="516">
      <c r="A516" s="16">
        <f>IF(Calc!$B516,Calc!E516,"")</f>
        <v/>
      </c>
      <c r="B516">
        <f>IF(Calc!$B516,INDEX(MineNames,Calc!C516),"")</f>
        <v/>
      </c>
      <c r="C516" s="17">
        <f>IF(Calc!$B516,Calc!O516,"")</f>
        <v/>
      </c>
    </row>
    <row r="517">
      <c r="A517" s="16">
        <f>IF(Calc!$B517,Calc!E517,"")</f>
        <v/>
      </c>
      <c r="B517">
        <f>IF(Calc!$B517,INDEX(MineNames,Calc!C517),"")</f>
        <v/>
      </c>
      <c r="C517" s="17">
        <f>IF(Calc!$B517,Calc!O517,"")</f>
        <v/>
      </c>
    </row>
    <row r="518">
      <c r="A518" s="16">
        <f>IF(Calc!$B518,Calc!E518,"")</f>
        <v/>
      </c>
      <c r="B518">
        <f>IF(Calc!$B518,INDEX(MineNames,Calc!C518),"")</f>
        <v/>
      </c>
      <c r="C518" s="17">
        <f>IF(Calc!$B518,Calc!O518,"")</f>
        <v/>
      </c>
    </row>
    <row r="519">
      <c r="A519" s="16">
        <f>IF(Calc!$B519,Calc!E519,"")</f>
        <v/>
      </c>
      <c r="B519">
        <f>IF(Calc!$B519,INDEX(MineNames,Calc!C519),"")</f>
        <v/>
      </c>
      <c r="C519" s="17">
        <f>IF(Calc!$B519,Calc!O519,"")</f>
        <v/>
      </c>
    </row>
    <row r="520">
      <c r="A520" s="16">
        <f>IF(Calc!$B520,Calc!E520,"")</f>
        <v/>
      </c>
      <c r="B520">
        <f>IF(Calc!$B520,INDEX(MineNames,Calc!C520),"")</f>
        <v/>
      </c>
      <c r="C520" s="17">
        <f>IF(Calc!$B520,Calc!O520,"")</f>
        <v/>
      </c>
    </row>
    <row r="521">
      <c r="A521" s="16">
        <f>IF(Calc!$B521,Calc!E521,"")</f>
        <v/>
      </c>
      <c r="B521">
        <f>IF(Calc!$B521,INDEX(MineNames,Calc!C521),"")</f>
        <v/>
      </c>
      <c r="C521" s="17">
        <f>IF(Calc!$B521,Calc!O521,"")</f>
        <v/>
      </c>
    </row>
    <row r="522">
      <c r="A522" s="16">
        <f>IF(Calc!$B522,Calc!E522,"")</f>
        <v/>
      </c>
      <c r="B522">
        <f>IF(Calc!$B522,INDEX(MineNames,Calc!C522),"")</f>
        <v/>
      </c>
      <c r="C522" s="17">
        <f>IF(Calc!$B522,Calc!O522,"")</f>
        <v/>
      </c>
    </row>
    <row r="523">
      <c r="A523" s="16">
        <f>IF(Calc!$B523,Calc!E523,"")</f>
        <v/>
      </c>
      <c r="B523">
        <f>IF(Calc!$B523,INDEX(MineNames,Calc!C523),"")</f>
        <v/>
      </c>
      <c r="C523" s="17">
        <f>IF(Calc!$B523,Calc!O523,"")</f>
        <v/>
      </c>
    </row>
    <row r="524">
      <c r="A524" s="16">
        <f>IF(Calc!$B524,Calc!E524,"")</f>
        <v/>
      </c>
      <c r="B524">
        <f>IF(Calc!$B524,INDEX(MineNames,Calc!C524),"")</f>
        <v/>
      </c>
      <c r="C524" s="17">
        <f>IF(Calc!$B524,Calc!O524,"")</f>
        <v/>
      </c>
    </row>
    <row r="525">
      <c r="A525" s="16">
        <f>IF(Calc!$B525,Calc!E525,"")</f>
        <v/>
      </c>
      <c r="B525">
        <f>IF(Calc!$B525,INDEX(MineNames,Calc!C525),"")</f>
        <v/>
      </c>
      <c r="C525" s="17">
        <f>IF(Calc!$B525,Calc!O525,"")</f>
        <v/>
      </c>
    </row>
    <row r="526">
      <c r="A526" s="16">
        <f>IF(Calc!$B526,Calc!E526,"")</f>
        <v/>
      </c>
      <c r="B526">
        <f>IF(Calc!$B526,INDEX(MineNames,Calc!C526),"")</f>
        <v/>
      </c>
      <c r="C526" s="17">
        <f>IF(Calc!$B526,Calc!O526,"")</f>
        <v/>
      </c>
    </row>
    <row r="527">
      <c r="A527" s="16">
        <f>IF(Calc!$B527,Calc!E527,"")</f>
        <v/>
      </c>
      <c r="B527">
        <f>IF(Calc!$B527,INDEX(MineNames,Calc!C527),"")</f>
        <v/>
      </c>
      <c r="C527" s="17">
        <f>IF(Calc!$B527,Calc!O527,"")</f>
        <v/>
      </c>
    </row>
    <row r="528">
      <c r="A528" s="16">
        <f>IF(Calc!$B528,Calc!E528,"")</f>
        <v/>
      </c>
      <c r="B528">
        <f>IF(Calc!$B528,INDEX(MineNames,Calc!C528),"")</f>
        <v/>
      </c>
      <c r="C528" s="17">
        <f>IF(Calc!$B528,Calc!O528,"")</f>
        <v/>
      </c>
    </row>
    <row r="529">
      <c r="A529" s="16">
        <f>IF(Calc!$B529,Calc!E529,"")</f>
        <v/>
      </c>
      <c r="B529">
        <f>IF(Calc!$B529,INDEX(MineNames,Calc!C529),"")</f>
        <v/>
      </c>
      <c r="C529" s="17">
        <f>IF(Calc!$B529,Calc!O529,"")</f>
        <v/>
      </c>
    </row>
    <row r="530">
      <c r="A530" s="16">
        <f>IF(Calc!$B530,Calc!E530,"")</f>
        <v/>
      </c>
      <c r="B530">
        <f>IF(Calc!$B530,INDEX(MineNames,Calc!C530),"")</f>
        <v/>
      </c>
      <c r="C530" s="17">
        <f>IF(Calc!$B530,Calc!O530,"")</f>
        <v/>
      </c>
    </row>
    <row r="531">
      <c r="A531" s="16">
        <f>IF(Calc!$B531,Calc!E531,"")</f>
        <v/>
      </c>
      <c r="B531">
        <f>IF(Calc!$B531,INDEX(MineNames,Calc!C531),"")</f>
        <v/>
      </c>
      <c r="C531" s="17">
        <f>IF(Calc!$B531,Calc!O531,"")</f>
        <v/>
      </c>
    </row>
    <row r="532">
      <c r="A532" s="16">
        <f>IF(Calc!$B532,Calc!E532,"")</f>
        <v/>
      </c>
      <c r="B532">
        <f>IF(Calc!$B532,INDEX(MineNames,Calc!C532),"")</f>
        <v/>
      </c>
      <c r="C532" s="17">
        <f>IF(Calc!$B532,Calc!O532,"")</f>
        <v/>
      </c>
    </row>
    <row r="533">
      <c r="A533" s="16">
        <f>IF(Calc!$B533,Calc!E533,"")</f>
        <v/>
      </c>
      <c r="B533">
        <f>IF(Calc!$B533,INDEX(MineNames,Calc!C533),"")</f>
        <v/>
      </c>
      <c r="C533" s="17">
        <f>IF(Calc!$B533,Calc!O533,"")</f>
        <v/>
      </c>
    </row>
    <row r="534">
      <c r="A534" s="16">
        <f>IF(Calc!$B534,Calc!E534,"")</f>
        <v/>
      </c>
      <c r="B534">
        <f>IF(Calc!$B534,INDEX(MineNames,Calc!C534),"")</f>
        <v/>
      </c>
      <c r="C534" s="17">
        <f>IF(Calc!$B534,Calc!O534,"")</f>
        <v/>
      </c>
    </row>
    <row r="535">
      <c r="A535" s="16">
        <f>IF(Calc!$B535,Calc!E535,"")</f>
        <v/>
      </c>
      <c r="B535">
        <f>IF(Calc!$B535,INDEX(MineNames,Calc!C535),"")</f>
        <v/>
      </c>
      <c r="C535" s="17">
        <f>IF(Calc!$B535,Calc!O535,"")</f>
        <v/>
      </c>
    </row>
    <row r="536">
      <c r="A536" s="16">
        <f>IF(Calc!$B536,Calc!E536,"")</f>
        <v/>
      </c>
      <c r="B536">
        <f>IF(Calc!$B536,INDEX(MineNames,Calc!C536),"")</f>
        <v/>
      </c>
      <c r="C536" s="17">
        <f>IF(Calc!$B536,Calc!O536,"")</f>
        <v/>
      </c>
    </row>
    <row r="537">
      <c r="A537" s="16">
        <f>IF(Calc!$B537,Calc!E537,"")</f>
        <v/>
      </c>
      <c r="B537">
        <f>IF(Calc!$B537,INDEX(MineNames,Calc!C537),"")</f>
        <v/>
      </c>
      <c r="C537" s="17">
        <f>IF(Calc!$B537,Calc!O537,"")</f>
        <v/>
      </c>
    </row>
    <row r="538">
      <c r="A538" s="16">
        <f>IF(Calc!$B538,Calc!E538,"")</f>
        <v/>
      </c>
      <c r="B538">
        <f>IF(Calc!$B538,INDEX(MineNames,Calc!C538),"")</f>
        <v/>
      </c>
      <c r="C538" s="17">
        <f>IF(Calc!$B538,Calc!O538,"")</f>
        <v/>
      </c>
    </row>
    <row r="539">
      <c r="A539" s="16">
        <f>IF(Calc!$B539,Calc!E539,"")</f>
        <v/>
      </c>
      <c r="B539">
        <f>IF(Calc!$B539,INDEX(MineNames,Calc!C539),"")</f>
        <v/>
      </c>
      <c r="C539" s="17">
        <f>IF(Calc!$B539,Calc!O539,"")</f>
        <v/>
      </c>
    </row>
    <row r="540">
      <c r="A540" s="16">
        <f>IF(Calc!$B540,Calc!E540,"")</f>
        <v/>
      </c>
      <c r="B540">
        <f>IF(Calc!$B540,INDEX(MineNames,Calc!C540),"")</f>
        <v/>
      </c>
      <c r="C540" s="17">
        <f>IF(Calc!$B540,Calc!O540,"")</f>
        <v/>
      </c>
    </row>
    <row r="541">
      <c r="A541" s="16">
        <f>IF(Calc!$B541,Calc!E541,"")</f>
        <v/>
      </c>
      <c r="B541">
        <f>IF(Calc!$B541,INDEX(MineNames,Calc!C541),"")</f>
        <v/>
      </c>
      <c r="C541" s="17">
        <f>IF(Calc!$B541,Calc!O541,"")</f>
        <v/>
      </c>
    </row>
    <row r="542">
      <c r="A542" s="16">
        <f>IF(Calc!$B542,Calc!E542,"")</f>
        <v/>
      </c>
      <c r="B542">
        <f>IF(Calc!$B542,INDEX(MineNames,Calc!C542),"")</f>
        <v/>
      </c>
      <c r="C542" s="17">
        <f>IF(Calc!$B542,Calc!O542,"")</f>
        <v/>
      </c>
    </row>
    <row r="543">
      <c r="A543" s="16">
        <f>IF(Calc!$B543,Calc!E543,"")</f>
        <v/>
      </c>
      <c r="B543">
        <f>IF(Calc!$B543,INDEX(MineNames,Calc!C543),"")</f>
        <v/>
      </c>
      <c r="C543" s="17">
        <f>IF(Calc!$B543,Calc!O543,"")</f>
        <v/>
      </c>
    </row>
    <row r="544">
      <c r="A544" s="16">
        <f>IF(Calc!$B544,Calc!E544,"")</f>
        <v/>
      </c>
      <c r="B544">
        <f>IF(Calc!$B544,INDEX(MineNames,Calc!C544),"")</f>
        <v/>
      </c>
      <c r="C544" s="17">
        <f>IF(Calc!$B544,Calc!O544,"")</f>
        <v/>
      </c>
    </row>
    <row r="545">
      <c r="A545" s="16">
        <f>IF(Calc!$B545,Calc!E545,"")</f>
        <v/>
      </c>
      <c r="B545">
        <f>IF(Calc!$B545,INDEX(MineNames,Calc!C545),"")</f>
        <v/>
      </c>
      <c r="C545" s="17">
        <f>IF(Calc!$B545,Calc!O545,"")</f>
        <v/>
      </c>
    </row>
    <row r="546">
      <c r="A546" s="16">
        <f>IF(Calc!$B546,Calc!E546,"")</f>
        <v/>
      </c>
      <c r="B546">
        <f>IF(Calc!$B546,INDEX(MineNames,Calc!C546),"")</f>
        <v/>
      </c>
      <c r="C546" s="17">
        <f>IF(Calc!$B546,Calc!O546,"")</f>
        <v/>
      </c>
    </row>
    <row r="547">
      <c r="A547" s="16">
        <f>IF(Calc!$B547,Calc!E547,"")</f>
        <v/>
      </c>
      <c r="B547">
        <f>IF(Calc!$B547,INDEX(MineNames,Calc!C547),"")</f>
        <v/>
      </c>
      <c r="C547" s="17">
        <f>IF(Calc!$B547,Calc!O547,"")</f>
        <v/>
      </c>
    </row>
    <row r="548">
      <c r="A548" s="16">
        <f>IF(Calc!$B548,Calc!E548,"")</f>
        <v/>
      </c>
      <c r="B548">
        <f>IF(Calc!$B548,INDEX(MineNames,Calc!C548),"")</f>
        <v/>
      </c>
      <c r="C548" s="17">
        <f>IF(Calc!$B548,Calc!O548,"")</f>
        <v/>
      </c>
    </row>
    <row r="549">
      <c r="A549" s="16">
        <f>IF(Calc!$B549,Calc!E549,"")</f>
        <v/>
      </c>
      <c r="B549">
        <f>IF(Calc!$B549,INDEX(MineNames,Calc!C549),"")</f>
        <v/>
      </c>
      <c r="C549" s="17">
        <f>IF(Calc!$B549,Calc!O549,"")</f>
        <v/>
      </c>
    </row>
    <row r="550">
      <c r="A550" s="16">
        <f>IF(Calc!$B550,Calc!E550,"")</f>
        <v/>
      </c>
      <c r="B550">
        <f>IF(Calc!$B550,INDEX(MineNames,Calc!C550),"")</f>
        <v/>
      </c>
      <c r="C550" s="17">
        <f>IF(Calc!$B550,Calc!O550,"")</f>
        <v/>
      </c>
    </row>
    <row r="551">
      <c r="A551" s="16">
        <f>IF(Calc!$B551,Calc!E551,"")</f>
        <v/>
      </c>
      <c r="B551">
        <f>IF(Calc!$B551,INDEX(MineNames,Calc!C551),"")</f>
        <v/>
      </c>
      <c r="C551" s="17">
        <f>IF(Calc!$B551,Calc!O551,"")</f>
        <v/>
      </c>
    </row>
    <row r="552">
      <c r="A552" s="16">
        <f>IF(Calc!$B552,Calc!E552,"")</f>
        <v/>
      </c>
      <c r="B552">
        <f>IF(Calc!$B552,INDEX(MineNames,Calc!C552),"")</f>
        <v/>
      </c>
      <c r="C552" s="17">
        <f>IF(Calc!$B552,Calc!O552,"")</f>
        <v/>
      </c>
    </row>
    <row r="553">
      <c r="A553" s="16">
        <f>IF(Calc!$B553,Calc!E553,"")</f>
        <v/>
      </c>
      <c r="B553">
        <f>IF(Calc!$B553,INDEX(MineNames,Calc!C553),"")</f>
        <v/>
      </c>
      <c r="C553" s="17">
        <f>IF(Calc!$B553,Calc!O553,"")</f>
        <v/>
      </c>
    </row>
    <row r="554">
      <c r="A554" s="16">
        <f>IF(Calc!$B554,Calc!E554,"")</f>
        <v/>
      </c>
      <c r="B554">
        <f>IF(Calc!$B554,INDEX(MineNames,Calc!C554),"")</f>
        <v/>
      </c>
      <c r="C554" s="17">
        <f>IF(Calc!$B554,Calc!O554,"")</f>
        <v/>
      </c>
    </row>
    <row r="555">
      <c r="A555" s="16">
        <f>IF(Calc!$B555,Calc!E555,"")</f>
        <v/>
      </c>
      <c r="B555">
        <f>IF(Calc!$B555,INDEX(MineNames,Calc!C555),"")</f>
        <v/>
      </c>
      <c r="C555" s="17">
        <f>IF(Calc!$B555,Calc!O555,"")</f>
        <v/>
      </c>
    </row>
    <row r="556">
      <c r="A556" s="16">
        <f>IF(Calc!$B556,Calc!E556,"")</f>
        <v/>
      </c>
      <c r="B556">
        <f>IF(Calc!$B556,INDEX(MineNames,Calc!C556),"")</f>
        <v/>
      </c>
      <c r="C556" s="17">
        <f>IF(Calc!$B556,Calc!O556,"")</f>
        <v/>
      </c>
    </row>
    <row r="557">
      <c r="A557" s="16">
        <f>IF(Calc!$B557,Calc!E557,"")</f>
        <v/>
      </c>
      <c r="B557">
        <f>IF(Calc!$B557,INDEX(MineNames,Calc!C557),"")</f>
        <v/>
      </c>
      <c r="C557" s="17">
        <f>IF(Calc!$B557,Calc!O557,"")</f>
        <v/>
      </c>
    </row>
    <row r="558">
      <c r="A558" s="16">
        <f>IF(Calc!$B558,Calc!E558,"")</f>
        <v/>
      </c>
      <c r="B558">
        <f>IF(Calc!$B558,INDEX(MineNames,Calc!C558),"")</f>
        <v/>
      </c>
      <c r="C558" s="17">
        <f>IF(Calc!$B558,Calc!O558,"")</f>
        <v/>
      </c>
    </row>
    <row r="559">
      <c r="A559" s="16">
        <f>IF(Calc!$B559,Calc!E559,"")</f>
        <v/>
      </c>
      <c r="B559">
        <f>IF(Calc!$B559,INDEX(MineNames,Calc!C559),"")</f>
        <v/>
      </c>
      <c r="C559" s="17">
        <f>IF(Calc!$B559,Calc!O559,"")</f>
        <v/>
      </c>
    </row>
    <row r="560">
      <c r="A560" s="16">
        <f>IF(Calc!$B560,Calc!E560,"")</f>
        <v/>
      </c>
      <c r="B560">
        <f>IF(Calc!$B560,INDEX(MineNames,Calc!C560),"")</f>
        <v/>
      </c>
      <c r="C560" s="17">
        <f>IF(Calc!$B560,Calc!O560,"")</f>
        <v/>
      </c>
    </row>
    <row r="561">
      <c r="A561" s="16">
        <f>IF(Calc!$B561,Calc!E561,"")</f>
        <v/>
      </c>
      <c r="B561">
        <f>IF(Calc!$B561,INDEX(MineNames,Calc!C561),"")</f>
        <v/>
      </c>
      <c r="C561" s="17">
        <f>IF(Calc!$B561,Calc!O561,"")</f>
        <v/>
      </c>
    </row>
    <row r="562">
      <c r="A562" s="16">
        <f>IF(Calc!$B562,Calc!E562,"")</f>
        <v/>
      </c>
      <c r="B562">
        <f>IF(Calc!$B562,INDEX(MineNames,Calc!C562),"")</f>
        <v/>
      </c>
      <c r="C562" s="17">
        <f>IF(Calc!$B562,Calc!O562,"")</f>
        <v/>
      </c>
    </row>
    <row r="563">
      <c r="A563" s="16">
        <f>IF(Calc!$B563,Calc!E563,"")</f>
        <v/>
      </c>
      <c r="B563">
        <f>IF(Calc!$B563,INDEX(MineNames,Calc!C563),"")</f>
        <v/>
      </c>
      <c r="C563" s="17">
        <f>IF(Calc!$B563,Calc!O563,"")</f>
        <v/>
      </c>
    </row>
    <row r="564">
      <c r="A564" s="16">
        <f>IF(Calc!$B564,Calc!E564,"")</f>
        <v/>
      </c>
      <c r="B564">
        <f>IF(Calc!$B564,INDEX(MineNames,Calc!C564),"")</f>
        <v/>
      </c>
      <c r="C564" s="17">
        <f>IF(Calc!$B564,Calc!O564,"")</f>
        <v/>
      </c>
    </row>
    <row r="565">
      <c r="A565" s="16">
        <f>IF(Calc!$B565,Calc!E565,"")</f>
        <v/>
      </c>
      <c r="B565">
        <f>IF(Calc!$B565,INDEX(MineNames,Calc!C565),"")</f>
        <v/>
      </c>
      <c r="C565" s="17">
        <f>IF(Calc!$B565,Calc!O565,"")</f>
        <v/>
      </c>
    </row>
    <row r="566">
      <c r="A566" s="16">
        <f>IF(Calc!$B566,Calc!E566,"")</f>
        <v/>
      </c>
      <c r="B566">
        <f>IF(Calc!$B566,INDEX(MineNames,Calc!C566),"")</f>
        <v/>
      </c>
      <c r="C566" s="17">
        <f>IF(Calc!$B566,Calc!O566,"")</f>
        <v/>
      </c>
    </row>
    <row r="567">
      <c r="A567" s="16">
        <f>IF(Calc!$B567,Calc!E567,"")</f>
        <v/>
      </c>
      <c r="B567">
        <f>IF(Calc!$B567,INDEX(MineNames,Calc!C567),"")</f>
        <v/>
      </c>
      <c r="C567" s="17">
        <f>IF(Calc!$B567,Calc!O567,"")</f>
        <v/>
      </c>
    </row>
    <row r="568">
      <c r="A568" s="16">
        <f>IF(Calc!$B568,Calc!E568,"")</f>
        <v/>
      </c>
      <c r="B568">
        <f>IF(Calc!$B568,INDEX(MineNames,Calc!C568),"")</f>
        <v/>
      </c>
      <c r="C568" s="17">
        <f>IF(Calc!$B568,Calc!O568,"")</f>
        <v/>
      </c>
    </row>
    <row r="569">
      <c r="A569" s="16">
        <f>IF(Calc!$B569,Calc!E569,"")</f>
        <v/>
      </c>
      <c r="B569">
        <f>IF(Calc!$B569,INDEX(MineNames,Calc!C569),"")</f>
        <v/>
      </c>
      <c r="C569" s="17">
        <f>IF(Calc!$B569,Calc!O569,"")</f>
        <v/>
      </c>
    </row>
    <row r="570">
      <c r="A570" s="16">
        <f>IF(Calc!$B570,Calc!E570,"")</f>
        <v/>
      </c>
      <c r="B570">
        <f>IF(Calc!$B570,INDEX(MineNames,Calc!C570),"")</f>
        <v/>
      </c>
      <c r="C570" s="17">
        <f>IF(Calc!$B570,Calc!O570,"")</f>
        <v/>
      </c>
    </row>
    <row r="571">
      <c r="A571" s="16">
        <f>IF(Calc!$B571,Calc!E571,"")</f>
        <v/>
      </c>
      <c r="B571">
        <f>IF(Calc!$B571,INDEX(MineNames,Calc!C571),"")</f>
        <v/>
      </c>
      <c r="C571" s="17">
        <f>IF(Calc!$B571,Calc!O571,"")</f>
        <v/>
      </c>
    </row>
    <row r="572">
      <c r="A572" s="16">
        <f>IF(Calc!$B572,Calc!E572,"")</f>
        <v/>
      </c>
      <c r="B572">
        <f>IF(Calc!$B572,INDEX(MineNames,Calc!C572),"")</f>
        <v/>
      </c>
      <c r="C572" s="17">
        <f>IF(Calc!$B572,Calc!O572,"")</f>
        <v/>
      </c>
    </row>
    <row r="573">
      <c r="A573" s="16">
        <f>IF(Calc!$B573,Calc!E573,"")</f>
        <v/>
      </c>
      <c r="B573">
        <f>IF(Calc!$B573,INDEX(MineNames,Calc!C573),"")</f>
        <v/>
      </c>
      <c r="C573" s="17">
        <f>IF(Calc!$B573,Calc!O573,"")</f>
        <v/>
      </c>
    </row>
    <row r="574">
      <c r="A574" s="16">
        <f>IF(Calc!$B574,Calc!E574,"")</f>
        <v/>
      </c>
      <c r="B574">
        <f>IF(Calc!$B574,INDEX(MineNames,Calc!C574),"")</f>
        <v/>
      </c>
      <c r="C574" s="17">
        <f>IF(Calc!$B574,Calc!O574,"")</f>
        <v/>
      </c>
    </row>
    <row r="575">
      <c r="A575" s="16">
        <f>IF(Calc!$B575,Calc!E575,"")</f>
        <v/>
      </c>
      <c r="B575">
        <f>IF(Calc!$B575,INDEX(MineNames,Calc!C575),"")</f>
        <v/>
      </c>
      <c r="C575" s="17">
        <f>IF(Calc!$B575,Calc!O575,"")</f>
        <v/>
      </c>
    </row>
    <row r="576">
      <c r="A576" s="16">
        <f>IF(Calc!$B576,Calc!E576,"")</f>
        <v/>
      </c>
      <c r="B576">
        <f>IF(Calc!$B576,INDEX(MineNames,Calc!C576),"")</f>
        <v/>
      </c>
      <c r="C576" s="17">
        <f>IF(Calc!$B576,Calc!O576,"")</f>
        <v/>
      </c>
    </row>
    <row r="577">
      <c r="A577" s="16">
        <f>IF(Calc!$B577,Calc!E577,"")</f>
        <v/>
      </c>
      <c r="B577">
        <f>IF(Calc!$B577,INDEX(MineNames,Calc!C577),"")</f>
        <v/>
      </c>
      <c r="C577" s="17">
        <f>IF(Calc!$B577,Calc!O577,"")</f>
        <v/>
      </c>
    </row>
    <row r="578">
      <c r="A578" s="16">
        <f>IF(Calc!$B578,Calc!E578,"")</f>
        <v/>
      </c>
      <c r="B578">
        <f>IF(Calc!$B578,INDEX(MineNames,Calc!C578),"")</f>
        <v/>
      </c>
      <c r="C578" s="17">
        <f>IF(Calc!$B578,Calc!O578,"")</f>
        <v/>
      </c>
    </row>
    <row r="579">
      <c r="A579" s="16">
        <f>IF(Calc!$B579,Calc!E579,"")</f>
        <v/>
      </c>
      <c r="B579">
        <f>IF(Calc!$B579,INDEX(MineNames,Calc!C579),"")</f>
        <v/>
      </c>
      <c r="C579" s="17">
        <f>IF(Calc!$B579,Calc!O579,"")</f>
        <v/>
      </c>
    </row>
    <row r="580">
      <c r="A580" s="16">
        <f>IF(Calc!$B580,Calc!E580,"")</f>
        <v/>
      </c>
      <c r="B580">
        <f>IF(Calc!$B580,INDEX(MineNames,Calc!C580),"")</f>
        <v/>
      </c>
      <c r="C580" s="17">
        <f>IF(Calc!$B580,Calc!O580,"")</f>
        <v/>
      </c>
    </row>
    <row r="581">
      <c r="A581" s="16">
        <f>IF(Calc!$B581,Calc!E581,"")</f>
        <v/>
      </c>
      <c r="B581">
        <f>IF(Calc!$B581,INDEX(MineNames,Calc!C581),"")</f>
        <v/>
      </c>
      <c r="C581" s="17">
        <f>IF(Calc!$B581,Calc!O581,"")</f>
        <v/>
      </c>
    </row>
    <row r="582">
      <c r="A582" s="16">
        <f>IF(Calc!$B582,Calc!E582,"")</f>
        <v/>
      </c>
      <c r="B582">
        <f>IF(Calc!$B582,INDEX(MineNames,Calc!C582),"")</f>
        <v/>
      </c>
      <c r="C582" s="17">
        <f>IF(Calc!$B582,Calc!O582,"")</f>
        <v/>
      </c>
    </row>
    <row r="583">
      <c r="A583" s="16">
        <f>IF(Calc!$B583,Calc!E583,"")</f>
        <v/>
      </c>
      <c r="B583">
        <f>IF(Calc!$B583,INDEX(MineNames,Calc!C583),"")</f>
        <v/>
      </c>
      <c r="C583" s="17">
        <f>IF(Calc!$B583,Calc!O583,"")</f>
        <v/>
      </c>
    </row>
    <row r="584">
      <c r="A584" s="16">
        <f>IF(Calc!$B584,Calc!E584,"")</f>
        <v/>
      </c>
      <c r="B584">
        <f>IF(Calc!$B584,INDEX(MineNames,Calc!C584),"")</f>
        <v/>
      </c>
      <c r="C584" s="17">
        <f>IF(Calc!$B584,Calc!O584,"")</f>
        <v/>
      </c>
    </row>
    <row r="585">
      <c r="A585" s="16">
        <f>IF(Calc!$B585,Calc!E585,"")</f>
        <v/>
      </c>
      <c r="B585">
        <f>IF(Calc!$B585,INDEX(MineNames,Calc!C585),"")</f>
        <v/>
      </c>
      <c r="C585" s="17">
        <f>IF(Calc!$B585,Calc!O585,"")</f>
        <v/>
      </c>
    </row>
    <row r="586">
      <c r="A586" s="16">
        <f>IF(Calc!$B586,Calc!E586,"")</f>
        <v/>
      </c>
      <c r="B586">
        <f>IF(Calc!$B586,INDEX(MineNames,Calc!C586),"")</f>
        <v/>
      </c>
      <c r="C586" s="17">
        <f>IF(Calc!$B586,Calc!O586,"")</f>
        <v/>
      </c>
    </row>
    <row r="587">
      <c r="A587" s="16">
        <f>IF(Calc!$B587,Calc!E587,"")</f>
        <v/>
      </c>
      <c r="B587">
        <f>IF(Calc!$B587,INDEX(MineNames,Calc!C587),"")</f>
        <v/>
      </c>
      <c r="C587" s="17">
        <f>IF(Calc!$B587,Calc!O587,"")</f>
        <v/>
      </c>
    </row>
    <row r="588">
      <c r="A588" s="16">
        <f>IF(Calc!$B588,Calc!E588,"")</f>
        <v/>
      </c>
      <c r="B588">
        <f>IF(Calc!$B588,INDEX(MineNames,Calc!C588),"")</f>
        <v/>
      </c>
      <c r="C588" s="17">
        <f>IF(Calc!$B588,Calc!O588,"")</f>
        <v/>
      </c>
    </row>
    <row r="589">
      <c r="A589" s="16">
        <f>IF(Calc!$B589,Calc!E589,"")</f>
        <v/>
      </c>
      <c r="B589">
        <f>IF(Calc!$B589,INDEX(MineNames,Calc!C589),"")</f>
        <v/>
      </c>
      <c r="C589" s="17">
        <f>IF(Calc!$B589,Calc!O589,"")</f>
        <v/>
      </c>
    </row>
    <row r="590">
      <c r="A590" s="16">
        <f>IF(Calc!$B590,Calc!E590,"")</f>
        <v/>
      </c>
      <c r="B590">
        <f>IF(Calc!$B590,INDEX(MineNames,Calc!C590),"")</f>
        <v/>
      </c>
      <c r="C590" s="17">
        <f>IF(Calc!$B590,Calc!O590,"")</f>
        <v/>
      </c>
    </row>
    <row r="591">
      <c r="A591" s="16">
        <f>IF(Calc!$B591,Calc!E591,"")</f>
        <v/>
      </c>
      <c r="B591">
        <f>IF(Calc!$B591,INDEX(MineNames,Calc!C591),"")</f>
        <v/>
      </c>
      <c r="C591" s="17">
        <f>IF(Calc!$B591,Calc!O591,"")</f>
        <v/>
      </c>
    </row>
    <row r="592">
      <c r="A592" s="16">
        <f>IF(Calc!$B592,Calc!E592,"")</f>
        <v/>
      </c>
      <c r="B592">
        <f>IF(Calc!$B592,INDEX(MineNames,Calc!C592),"")</f>
        <v/>
      </c>
      <c r="C592" s="17">
        <f>IF(Calc!$B592,Calc!O592,"")</f>
        <v/>
      </c>
    </row>
    <row r="593">
      <c r="A593" s="16">
        <f>IF(Calc!$B593,Calc!E593,"")</f>
        <v/>
      </c>
      <c r="B593">
        <f>IF(Calc!$B593,INDEX(MineNames,Calc!C593),"")</f>
        <v/>
      </c>
      <c r="C593" s="17">
        <f>IF(Calc!$B593,Calc!O593,"")</f>
        <v/>
      </c>
    </row>
    <row r="594">
      <c r="A594" s="16">
        <f>IF(Calc!$B594,Calc!E594,"")</f>
        <v/>
      </c>
      <c r="B594">
        <f>IF(Calc!$B594,INDEX(MineNames,Calc!C594),"")</f>
        <v/>
      </c>
      <c r="C594" s="17">
        <f>IF(Calc!$B594,Calc!O594,"")</f>
        <v/>
      </c>
    </row>
    <row r="595">
      <c r="A595" s="16">
        <f>IF(Calc!$B595,Calc!E595,"")</f>
        <v/>
      </c>
      <c r="B595">
        <f>IF(Calc!$B595,INDEX(MineNames,Calc!C595),"")</f>
        <v/>
      </c>
      <c r="C595" s="17">
        <f>IF(Calc!$B595,Calc!O595,"")</f>
        <v/>
      </c>
    </row>
    <row r="596">
      <c r="A596" s="16">
        <f>IF(Calc!$B596,Calc!E596,"")</f>
        <v/>
      </c>
      <c r="B596">
        <f>IF(Calc!$B596,INDEX(MineNames,Calc!C596),"")</f>
        <v/>
      </c>
      <c r="C596" s="17">
        <f>IF(Calc!$B596,Calc!O596,"")</f>
        <v/>
      </c>
    </row>
    <row r="597">
      <c r="A597" s="16">
        <f>IF(Calc!$B597,Calc!E597,"")</f>
        <v/>
      </c>
      <c r="B597">
        <f>IF(Calc!$B597,INDEX(MineNames,Calc!C597),"")</f>
        <v/>
      </c>
      <c r="C597" s="17">
        <f>IF(Calc!$B597,Calc!O597,"")</f>
        <v/>
      </c>
    </row>
    <row r="598">
      <c r="A598" s="16">
        <f>IF(Calc!$B598,Calc!E598,"")</f>
        <v/>
      </c>
      <c r="B598">
        <f>IF(Calc!$B598,INDEX(MineNames,Calc!C598),"")</f>
        <v/>
      </c>
      <c r="C598" s="17">
        <f>IF(Calc!$B598,Calc!O598,"")</f>
        <v/>
      </c>
    </row>
    <row r="599">
      <c r="A599" s="16">
        <f>IF(Calc!$B599,Calc!E599,"")</f>
        <v/>
      </c>
      <c r="B599">
        <f>IF(Calc!$B599,INDEX(MineNames,Calc!C599),"")</f>
        <v/>
      </c>
      <c r="C599" s="17">
        <f>IF(Calc!$B599,Calc!O599,"")</f>
        <v/>
      </c>
    </row>
    <row r="600">
      <c r="A600" s="16">
        <f>IF(Calc!$B600,Calc!E600,"")</f>
        <v/>
      </c>
      <c r="B600">
        <f>IF(Calc!$B600,INDEX(MineNames,Calc!C600),"")</f>
        <v/>
      </c>
      <c r="C600" s="17">
        <f>IF(Calc!$B600,Calc!O600,"")</f>
        <v/>
      </c>
    </row>
    <row r="601">
      <c r="A601" s="16">
        <f>IF(Calc!$B601,Calc!E601,"")</f>
        <v/>
      </c>
      <c r="B601">
        <f>IF(Calc!$B601,INDEX(MineNames,Calc!C601),"")</f>
        <v/>
      </c>
      <c r="C601" s="17">
        <f>IF(Calc!$B601,Calc!O601,"")</f>
        <v/>
      </c>
    </row>
    <row r="602">
      <c r="A602" s="16">
        <f>IF(Calc!$B602,Calc!E602,"")</f>
        <v/>
      </c>
      <c r="B602">
        <f>IF(Calc!$B602,INDEX(MineNames,Calc!C602),"")</f>
        <v/>
      </c>
      <c r="C602" s="17">
        <f>IF(Calc!$B602,Calc!O602,"")</f>
        <v/>
      </c>
    </row>
    <row r="603">
      <c r="A603" s="16">
        <f>IF(Calc!$B603,Calc!E603,"")</f>
        <v/>
      </c>
      <c r="B603">
        <f>IF(Calc!$B603,INDEX(MineNames,Calc!C603),"")</f>
        <v/>
      </c>
      <c r="C603" s="17">
        <f>IF(Calc!$B603,Calc!O603,"")</f>
        <v/>
      </c>
    </row>
    <row r="604">
      <c r="A604" s="16">
        <f>IF(Calc!$B604,Calc!E604,"")</f>
        <v/>
      </c>
      <c r="B604">
        <f>IF(Calc!$B604,INDEX(MineNames,Calc!C604),"")</f>
        <v/>
      </c>
      <c r="C604" s="17">
        <f>IF(Calc!$B604,Calc!O604,"")</f>
        <v/>
      </c>
    </row>
    <row r="605">
      <c r="A605" s="16">
        <f>IF(Calc!$B605,Calc!E605,"")</f>
        <v/>
      </c>
      <c r="B605">
        <f>IF(Calc!$B605,INDEX(MineNames,Calc!C605),"")</f>
        <v/>
      </c>
      <c r="C605" s="17">
        <f>IF(Calc!$B605,Calc!O605,"")</f>
        <v/>
      </c>
    </row>
    <row r="606">
      <c r="A606" s="16">
        <f>IF(Calc!$B606,Calc!E606,"")</f>
        <v/>
      </c>
      <c r="B606">
        <f>IF(Calc!$B606,INDEX(MineNames,Calc!C606),"")</f>
        <v/>
      </c>
      <c r="C606" s="17">
        <f>IF(Calc!$B606,Calc!O606,"")</f>
        <v/>
      </c>
    </row>
    <row r="607">
      <c r="A607" s="16">
        <f>IF(Calc!$B607,Calc!E607,"")</f>
        <v/>
      </c>
      <c r="B607">
        <f>IF(Calc!$B607,INDEX(MineNames,Calc!C607),"")</f>
        <v/>
      </c>
      <c r="C607" s="17">
        <f>IF(Calc!$B607,Calc!O607,"")</f>
        <v/>
      </c>
    </row>
    <row r="608">
      <c r="A608" s="16">
        <f>IF(Calc!$B608,Calc!E608,"")</f>
        <v/>
      </c>
      <c r="B608">
        <f>IF(Calc!$B608,INDEX(MineNames,Calc!C608),"")</f>
        <v/>
      </c>
      <c r="C608" s="17">
        <f>IF(Calc!$B608,Calc!O608,"")</f>
        <v/>
      </c>
    </row>
    <row r="609">
      <c r="A609" s="16">
        <f>IF(Calc!$B609,Calc!E609,"")</f>
        <v/>
      </c>
      <c r="B609">
        <f>IF(Calc!$B609,INDEX(MineNames,Calc!C609),"")</f>
        <v/>
      </c>
      <c r="C609" s="17">
        <f>IF(Calc!$B609,Calc!O609,"")</f>
        <v/>
      </c>
    </row>
    <row r="610">
      <c r="A610" s="16">
        <f>IF(Calc!$B610,Calc!E610,"")</f>
        <v/>
      </c>
      <c r="B610">
        <f>IF(Calc!$B610,INDEX(MineNames,Calc!C610),"")</f>
        <v/>
      </c>
      <c r="C610" s="17">
        <f>IF(Calc!$B610,Calc!O610,"")</f>
        <v/>
      </c>
    </row>
    <row r="611">
      <c r="A611" s="16">
        <f>IF(Calc!$B611,Calc!E611,"")</f>
        <v/>
      </c>
      <c r="B611">
        <f>IF(Calc!$B611,INDEX(MineNames,Calc!C611),"")</f>
        <v/>
      </c>
      <c r="C611" s="17">
        <f>IF(Calc!$B611,Calc!O611,"")</f>
        <v/>
      </c>
    </row>
    <row r="612">
      <c r="A612" s="16">
        <f>IF(Calc!$B612,Calc!E612,"")</f>
        <v/>
      </c>
      <c r="B612">
        <f>IF(Calc!$B612,INDEX(MineNames,Calc!C612),"")</f>
        <v/>
      </c>
      <c r="C612" s="17">
        <f>IF(Calc!$B612,Calc!O612,"")</f>
        <v/>
      </c>
    </row>
    <row r="613">
      <c r="A613" s="16">
        <f>IF(Calc!$B613,Calc!E613,"")</f>
        <v/>
      </c>
      <c r="B613">
        <f>IF(Calc!$B613,INDEX(MineNames,Calc!C613),"")</f>
        <v/>
      </c>
      <c r="C613" s="17">
        <f>IF(Calc!$B613,Calc!O613,"")</f>
        <v/>
      </c>
    </row>
    <row r="614">
      <c r="A614" s="16">
        <f>IF(Calc!$B614,Calc!E614,"")</f>
        <v/>
      </c>
      <c r="B614">
        <f>IF(Calc!$B614,INDEX(MineNames,Calc!C614),"")</f>
        <v/>
      </c>
      <c r="C614" s="17">
        <f>IF(Calc!$B614,Calc!O614,"")</f>
        <v/>
      </c>
    </row>
    <row r="615">
      <c r="A615" s="16">
        <f>IF(Calc!$B615,Calc!E615,"")</f>
        <v/>
      </c>
      <c r="B615">
        <f>IF(Calc!$B615,INDEX(MineNames,Calc!C615),"")</f>
        <v/>
      </c>
      <c r="C615" s="17">
        <f>IF(Calc!$B615,Calc!O615,"")</f>
        <v/>
      </c>
    </row>
    <row r="616">
      <c r="A616" s="16">
        <f>IF(Calc!$B616,Calc!E616,"")</f>
        <v/>
      </c>
      <c r="B616">
        <f>IF(Calc!$B616,INDEX(MineNames,Calc!C616),"")</f>
        <v/>
      </c>
      <c r="C616" s="17">
        <f>IF(Calc!$B616,Calc!O616,"")</f>
        <v/>
      </c>
    </row>
    <row r="617">
      <c r="A617" s="16">
        <f>IF(Calc!$B617,Calc!E617,"")</f>
        <v/>
      </c>
      <c r="B617">
        <f>IF(Calc!$B617,INDEX(MineNames,Calc!C617),"")</f>
        <v/>
      </c>
      <c r="C617" s="17">
        <f>IF(Calc!$B617,Calc!O617,"")</f>
        <v/>
      </c>
    </row>
    <row r="618">
      <c r="A618" s="16">
        <f>IF(Calc!$B618,Calc!E618,"")</f>
        <v/>
      </c>
      <c r="B618">
        <f>IF(Calc!$B618,INDEX(MineNames,Calc!C618),"")</f>
        <v/>
      </c>
      <c r="C618" s="17">
        <f>IF(Calc!$B618,Calc!O618,"")</f>
        <v/>
      </c>
    </row>
    <row r="619">
      <c r="A619" s="16">
        <f>IF(Calc!$B619,Calc!E619,"")</f>
        <v/>
      </c>
      <c r="B619">
        <f>IF(Calc!$B619,INDEX(MineNames,Calc!C619),"")</f>
        <v/>
      </c>
      <c r="C619" s="17">
        <f>IF(Calc!$B619,Calc!O619,"")</f>
        <v/>
      </c>
    </row>
    <row r="620">
      <c r="A620" s="16">
        <f>IF(Calc!$B620,Calc!E620,"")</f>
        <v/>
      </c>
      <c r="B620">
        <f>IF(Calc!$B620,INDEX(MineNames,Calc!C620),"")</f>
        <v/>
      </c>
      <c r="C620" s="17">
        <f>IF(Calc!$B620,Calc!O620,"")</f>
        <v/>
      </c>
    </row>
    <row r="621">
      <c r="A621" s="16">
        <f>IF(Calc!$B621,Calc!E621,"")</f>
        <v/>
      </c>
      <c r="B621">
        <f>IF(Calc!$B621,INDEX(MineNames,Calc!C621),"")</f>
        <v/>
      </c>
      <c r="C621" s="17">
        <f>IF(Calc!$B621,Calc!O621,"")</f>
        <v/>
      </c>
    </row>
    <row r="622">
      <c r="A622" s="16">
        <f>IF(Calc!$B622,Calc!E622,"")</f>
        <v/>
      </c>
      <c r="B622">
        <f>IF(Calc!$B622,INDEX(MineNames,Calc!C622),"")</f>
        <v/>
      </c>
      <c r="C622" s="17">
        <f>IF(Calc!$B622,Calc!O622,"")</f>
        <v/>
      </c>
    </row>
    <row r="623">
      <c r="A623" s="16">
        <f>IF(Calc!$B623,Calc!E623,"")</f>
        <v/>
      </c>
      <c r="B623">
        <f>IF(Calc!$B623,INDEX(MineNames,Calc!C623),"")</f>
        <v/>
      </c>
      <c r="C623" s="17">
        <f>IF(Calc!$B623,Calc!O623,"")</f>
        <v/>
      </c>
    </row>
    <row r="624">
      <c r="A624" s="16">
        <f>IF(Calc!$B624,Calc!E624,"")</f>
        <v/>
      </c>
      <c r="B624">
        <f>IF(Calc!$B624,INDEX(MineNames,Calc!C624),"")</f>
        <v/>
      </c>
      <c r="C624" s="17">
        <f>IF(Calc!$B624,Calc!O624,"")</f>
        <v/>
      </c>
    </row>
    <row r="625">
      <c r="A625" s="16">
        <f>IF(Calc!$B625,Calc!E625,"")</f>
        <v/>
      </c>
      <c r="B625">
        <f>IF(Calc!$B625,INDEX(MineNames,Calc!C625),"")</f>
        <v/>
      </c>
      <c r="C625" s="17">
        <f>IF(Calc!$B625,Calc!O625,"")</f>
        <v/>
      </c>
    </row>
    <row r="626">
      <c r="A626" s="16">
        <f>IF(Calc!$B626,Calc!E626,"")</f>
        <v/>
      </c>
      <c r="B626">
        <f>IF(Calc!$B626,INDEX(MineNames,Calc!C626),"")</f>
        <v/>
      </c>
      <c r="C626" s="17">
        <f>IF(Calc!$B626,Calc!O626,"")</f>
        <v/>
      </c>
    </row>
    <row r="627">
      <c r="A627" s="16">
        <f>IF(Calc!$B627,Calc!E627,"")</f>
        <v/>
      </c>
      <c r="B627">
        <f>IF(Calc!$B627,INDEX(MineNames,Calc!C627),"")</f>
        <v/>
      </c>
      <c r="C627" s="17">
        <f>IF(Calc!$B627,Calc!O627,"")</f>
        <v/>
      </c>
    </row>
    <row r="628">
      <c r="A628" s="16">
        <f>IF(Calc!$B628,Calc!E628,"")</f>
        <v/>
      </c>
      <c r="B628">
        <f>IF(Calc!$B628,INDEX(MineNames,Calc!C628),"")</f>
        <v/>
      </c>
      <c r="C628" s="17">
        <f>IF(Calc!$B628,Calc!O628,"")</f>
        <v/>
      </c>
    </row>
    <row r="629">
      <c r="A629" s="16">
        <f>IF(Calc!$B629,Calc!E629,"")</f>
        <v/>
      </c>
      <c r="B629">
        <f>IF(Calc!$B629,INDEX(MineNames,Calc!C629),"")</f>
        <v/>
      </c>
      <c r="C629" s="17">
        <f>IF(Calc!$B629,Calc!O629,"")</f>
        <v/>
      </c>
    </row>
    <row r="630">
      <c r="A630" s="16">
        <f>IF(Calc!$B630,Calc!E630,"")</f>
        <v/>
      </c>
      <c r="B630">
        <f>IF(Calc!$B630,INDEX(MineNames,Calc!C630),"")</f>
        <v/>
      </c>
      <c r="C630" s="17">
        <f>IF(Calc!$B630,Calc!O630,"")</f>
        <v/>
      </c>
    </row>
    <row r="631">
      <c r="A631" s="16">
        <f>IF(Calc!$B631,Calc!E631,"")</f>
        <v/>
      </c>
      <c r="B631">
        <f>IF(Calc!$B631,INDEX(MineNames,Calc!C631),"")</f>
        <v/>
      </c>
      <c r="C631" s="17">
        <f>IF(Calc!$B631,Calc!O631,"")</f>
        <v/>
      </c>
    </row>
    <row r="632">
      <c r="A632" s="16">
        <f>IF(Calc!$B632,Calc!E632,"")</f>
        <v/>
      </c>
      <c r="B632">
        <f>IF(Calc!$B632,INDEX(MineNames,Calc!C632),"")</f>
        <v/>
      </c>
      <c r="C632" s="17">
        <f>IF(Calc!$B632,Calc!O632,"")</f>
        <v/>
      </c>
    </row>
    <row r="633">
      <c r="A633" s="16">
        <f>IF(Calc!$B633,Calc!E633,"")</f>
        <v/>
      </c>
      <c r="B633">
        <f>IF(Calc!$B633,INDEX(MineNames,Calc!C633),"")</f>
        <v/>
      </c>
      <c r="C633" s="17">
        <f>IF(Calc!$B633,Calc!O633,"")</f>
        <v/>
      </c>
    </row>
    <row r="634">
      <c r="A634" s="16">
        <f>IF(Calc!$B634,Calc!E634,"")</f>
        <v/>
      </c>
      <c r="B634">
        <f>IF(Calc!$B634,INDEX(MineNames,Calc!C634),"")</f>
        <v/>
      </c>
      <c r="C634" s="17">
        <f>IF(Calc!$B634,Calc!O634,"")</f>
        <v/>
      </c>
    </row>
    <row r="635">
      <c r="A635" s="16">
        <f>IF(Calc!$B635,Calc!E635,"")</f>
        <v/>
      </c>
      <c r="B635">
        <f>IF(Calc!$B635,INDEX(MineNames,Calc!C635),"")</f>
        <v/>
      </c>
      <c r="C635" s="17">
        <f>IF(Calc!$B635,Calc!O635,"")</f>
        <v/>
      </c>
    </row>
    <row r="636">
      <c r="A636" s="16">
        <f>IF(Calc!$B636,Calc!E636,"")</f>
        <v/>
      </c>
      <c r="B636">
        <f>IF(Calc!$B636,INDEX(MineNames,Calc!C636),"")</f>
        <v/>
      </c>
      <c r="C636" s="17">
        <f>IF(Calc!$B636,Calc!O636,"")</f>
        <v/>
      </c>
    </row>
    <row r="637">
      <c r="A637" s="16">
        <f>IF(Calc!$B637,Calc!E637,"")</f>
        <v/>
      </c>
      <c r="B637">
        <f>IF(Calc!$B637,INDEX(MineNames,Calc!C637),"")</f>
        <v/>
      </c>
      <c r="C637" s="17">
        <f>IF(Calc!$B637,Calc!O637,"")</f>
        <v/>
      </c>
    </row>
    <row r="638">
      <c r="A638" s="16">
        <f>IF(Calc!$B638,Calc!E638,"")</f>
        <v/>
      </c>
      <c r="B638">
        <f>IF(Calc!$B638,INDEX(MineNames,Calc!C638),"")</f>
        <v/>
      </c>
      <c r="C638" s="17">
        <f>IF(Calc!$B638,Calc!O638,"")</f>
        <v/>
      </c>
    </row>
    <row r="639">
      <c r="A639" s="16">
        <f>IF(Calc!$B639,Calc!E639,"")</f>
        <v/>
      </c>
      <c r="B639">
        <f>IF(Calc!$B639,INDEX(MineNames,Calc!C639),"")</f>
        <v/>
      </c>
      <c r="C639" s="17">
        <f>IF(Calc!$B639,Calc!O639,"")</f>
        <v/>
      </c>
    </row>
    <row r="640">
      <c r="A640" s="16">
        <f>IF(Calc!$B640,Calc!E640,"")</f>
        <v/>
      </c>
      <c r="B640">
        <f>IF(Calc!$B640,INDEX(MineNames,Calc!C640),"")</f>
        <v/>
      </c>
      <c r="C640" s="17">
        <f>IF(Calc!$B640,Calc!O640,"")</f>
        <v/>
      </c>
    </row>
    <row r="641">
      <c r="A641" s="16">
        <f>IF(Calc!$B641,Calc!E641,"")</f>
        <v/>
      </c>
      <c r="B641">
        <f>IF(Calc!$B641,INDEX(MineNames,Calc!C641),"")</f>
        <v/>
      </c>
      <c r="C641" s="17">
        <f>IF(Calc!$B641,Calc!O641,"")</f>
        <v/>
      </c>
    </row>
    <row r="642">
      <c r="A642" s="16">
        <f>IF(Calc!$B642,Calc!E642,"")</f>
        <v/>
      </c>
      <c r="B642">
        <f>IF(Calc!$B642,INDEX(MineNames,Calc!C642),"")</f>
        <v/>
      </c>
      <c r="C642" s="17">
        <f>IF(Calc!$B642,Calc!O642,"")</f>
        <v/>
      </c>
    </row>
    <row r="643">
      <c r="A643" s="16">
        <f>IF(Calc!$B643,Calc!E643,"")</f>
        <v/>
      </c>
      <c r="B643">
        <f>IF(Calc!$B643,INDEX(MineNames,Calc!C643),"")</f>
        <v/>
      </c>
      <c r="C643" s="17">
        <f>IF(Calc!$B643,Calc!O643,"")</f>
        <v/>
      </c>
    </row>
    <row r="644">
      <c r="A644" s="16">
        <f>IF(Calc!$B644,Calc!E644,"")</f>
        <v/>
      </c>
      <c r="B644">
        <f>IF(Calc!$B644,INDEX(MineNames,Calc!C644),"")</f>
        <v/>
      </c>
      <c r="C644" s="17">
        <f>IF(Calc!$B644,Calc!O644,"")</f>
        <v/>
      </c>
    </row>
    <row r="645">
      <c r="A645" s="16">
        <f>IF(Calc!$B645,Calc!E645,"")</f>
        <v/>
      </c>
      <c r="B645">
        <f>IF(Calc!$B645,INDEX(MineNames,Calc!C645),"")</f>
        <v/>
      </c>
      <c r="C645" s="17">
        <f>IF(Calc!$B645,Calc!O645,"")</f>
        <v/>
      </c>
    </row>
    <row r="646">
      <c r="A646" s="16">
        <f>IF(Calc!$B646,Calc!E646,"")</f>
        <v/>
      </c>
      <c r="B646">
        <f>IF(Calc!$B646,INDEX(MineNames,Calc!C646),"")</f>
        <v/>
      </c>
      <c r="C646" s="17">
        <f>IF(Calc!$B646,Calc!O646,"")</f>
        <v/>
      </c>
    </row>
    <row r="647">
      <c r="A647" s="16">
        <f>IF(Calc!$B647,Calc!E647,"")</f>
        <v/>
      </c>
      <c r="B647">
        <f>IF(Calc!$B647,INDEX(MineNames,Calc!C647),"")</f>
        <v/>
      </c>
      <c r="C647" s="17">
        <f>IF(Calc!$B647,Calc!O647,"")</f>
        <v/>
      </c>
    </row>
    <row r="648">
      <c r="A648" s="16">
        <f>IF(Calc!$B648,Calc!E648,"")</f>
        <v/>
      </c>
      <c r="B648">
        <f>IF(Calc!$B648,INDEX(MineNames,Calc!C648),"")</f>
        <v/>
      </c>
      <c r="C648" s="17">
        <f>IF(Calc!$B648,Calc!O648,"")</f>
        <v/>
      </c>
    </row>
    <row r="649">
      <c r="A649" s="16">
        <f>IF(Calc!$B649,Calc!E649,"")</f>
        <v/>
      </c>
      <c r="B649">
        <f>IF(Calc!$B649,INDEX(MineNames,Calc!C649),"")</f>
        <v/>
      </c>
      <c r="C649" s="17">
        <f>IF(Calc!$B649,Calc!O649,"")</f>
        <v/>
      </c>
    </row>
    <row r="650">
      <c r="A650" s="16">
        <f>IF(Calc!$B650,Calc!E650,"")</f>
        <v/>
      </c>
      <c r="B650">
        <f>IF(Calc!$B650,INDEX(MineNames,Calc!C650),"")</f>
        <v/>
      </c>
      <c r="C650" s="17">
        <f>IF(Calc!$B650,Calc!O650,"")</f>
        <v/>
      </c>
    </row>
    <row r="651">
      <c r="A651" s="16">
        <f>IF(Calc!$B651,Calc!E651,"")</f>
        <v/>
      </c>
      <c r="B651">
        <f>IF(Calc!$B651,INDEX(MineNames,Calc!C651),"")</f>
        <v/>
      </c>
      <c r="C651" s="17">
        <f>IF(Calc!$B651,Calc!O651,"")</f>
        <v/>
      </c>
    </row>
    <row r="652">
      <c r="A652" s="16">
        <f>IF(Calc!$B652,Calc!E652,"")</f>
        <v/>
      </c>
      <c r="B652">
        <f>IF(Calc!$B652,INDEX(MineNames,Calc!C652),"")</f>
        <v/>
      </c>
      <c r="C652" s="17">
        <f>IF(Calc!$B652,Calc!O652,"")</f>
        <v/>
      </c>
    </row>
    <row r="653">
      <c r="A653" s="16">
        <f>IF(Calc!$B653,Calc!E653,"")</f>
        <v/>
      </c>
      <c r="B653">
        <f>IF(Calc!$B653,INDEX(MineNames,Calc!C653),"")</f>
        <v/>
      </c>
      <c r="C653" s="17">
        <f>IF(Calc!$B653,Calc!O653,"")</f>
        <v/>
      </c>
    </row>
    <row r="654">
      <c r="A654" s="16">
        <f>IF(Calc!$B654,Calc!E654,"")</f>
        <v/>
      </c>
      <c r="B654">
        <f>IF(Calc!$B654,INDEX(MineNames,Calc!C654),"")</f>
        <v/>
      </c>
      <c r="C654" s="17">
        <f>IF(Calc!$B654,Calc!O654,"")</f>
        <v/>
      </c>
    </row>
    <row r="655">
      <c r="A655" s="16">
        <f>IF(Calc!$B655,Calc!E655,"")</f>
        <v/>
      </c>
      <c r="B655">
        <f>IF(Calc!$B655,INDEX(MineNames,Calc!C655),"")</f>
        <v/>
      </c>
      <c r="C655" s="17">
        <f>IF(Calc!$B655,Calc!O655,"")</f>
        <v/>
      </c>
    </row>
    <row r="656">
      <c r="A656" s="16">
        <f>IF(Calc!$B656,Calc!E656,"")</f>
        <v/>
      </c>
      <c r="B656">
        <f>IF(Calc!$B656,INDEX(MineNames,Calc!C656),"")</f>
        <v/>
      </c>
      <c r="C656" s="17">
        <f>IF(Calc!$B656,Calc!O656,"")</f>
        <v/>
      </c>
    </row>
    <row r="657">
      <c r="A657" s="16">
        <f>IF(Calc!$B657,Calc!E657,"")</f>
        <v/>
      </c>
      <c r="B657">
        <f>IF(Calc!$B657,INDEX(MineNames,Calc!C657),"")</f>
        <v/>
      </c>
      <c r="C657" s="17">
        <f>IF(Calc!$B657,Calc!O657,"")</f>
        <v/>
      </c>
    </row>
    <row r="658">
      <c r="A658" s="16">
        <f>IF(Calc!$B658,Calc!E658,"")</f>
        <v/>
      </c>
      <c r="B658">
        <f>IF(Calc!$B658,INDEX(MineNames,Calc!C658),"")</f>
        <v/>
      </c>
      <c r="C658" s="17">
        <f>IF(Calc!$B658,Calc!O658,"")</f>
        <v/>
      </c>
    </row>
    <row r="659">
      <c r="A659" s="16">
        <f>IF(Calc!$B659,Calc!E659,"")</f>
        <v/>
      </c>
      <c r="B659">
        <f>IF(Calc!$B659,INDEX(MineNames,Calc!C659),"")</f>
        <v/>
      </c>
      <c r="C659" s="17">
        <f>IF(Calc!$B659,Calc!O659,"")</f>
        <v/>
      </c>
    </row>
    <row r="660">
      <c r="A660" s="16">
        <f>IF(Calc!$B660,Calc!E660,"")</f>
        <v/>
      </c>
      <c r="B660">
        <f>IF(Calc!$B660,INDEX(MineNames,Calc!C660),"")</f>
        <v/>
      </c>
      <c r="C660" s="17">
        <f>IF(Calc!$B660,Calc!O660,"")</f>
        <v/>
      </c>
    </row>
    <row r="661">
      <c r="A661" s="16">
        <f>IF(Calc!$B661,Calc!E661,"")</f>
        <v/>
      </c>
      <c r="B661">
        <f>IF(Calc!$B661,INDEX(MineNames,Calc!C661),"")</f>
        <v/>
      </c>
      <c r="C661" s="17">
        <f>IF(Calc!$B661,Calc!O661,"")</f>
        <v/>
      </c>
    </row>
    <row r="662">
      <c r="A662" s="16">
        <f>IF(Calc!$B662,Calc!E662,"")</f>
        <v/>
      </c>
      <c r="B662">
        <f>IF(Calc!$B662,INDEX(MineNames,Calc!C662),"")</f>
        <v/>
      </c>
      <c r="C662" s="17">
        <f>IF(Calc!$B662,Calc!O662,"")</f>
        <v/>
      </c>
    </row>
    <row r="663">
      <c r="A663" s="16">
        <f>IF(Calc!$B663,Calc!E663,"")</f>
        <v/>
      </c>
      <c r="B663">
        <f>IF(Calc!$B663,INDEX(MineNames,Calc!C663),"")</f>
        <v/>
      </c>
      <c r="C663" s="17">
        <f>IF(Calc!$B663,Calc!O663,"")</f>
        <v/>
      </c>
    </row>
    <row r="664">
      <c r="A664" s="16">
        <f>IF(Calc!$B664,Calc!E664,"")</f>
        <v/>
      </c>
      <c r="B664">
        <f>IF(Calc!$B664,INDEX(MineNames,Calc!C664),"")</f>
        <v/>
      </c>
      <c r="C664" s="17">
        <f>IF(Calc!$B664,Calc!O664,"")</f>
        <v/>
      </c>
    </row>
    <row r="665">
      <c r="A665" s="16">
        <f>IF(Calc!$B665,Calc!E665,"")</f>
        <v/>
      </c>
      <c r="B665">
        <f>IF(Calc!$B665,INDEX(MineNames,Calc!C665),"")</f>
        <v/>
      </c>
      <c r="C665" s="17">
        <f>IF(Calc!$B665,Calc!O665,"")</f>
        <v/>
      </c>
    </row>
    <row r="666">
      <c r="A666" s="16">
        <f>IF(Calc!$B666,Calc!E666,"")</f>
        <v/>
      </c>
      <c r="B666">
        <f>IF(Calc!$B666,INDEX(MineNames,Calc!C666),"")</f>
        <v/>
      </c>
      <c r="C666" s="17">
        <f>IF(Calc!$B666,Calc!O666,"")</f>
        <v/>
      </c>
    </row>
    <row r="667">
      <c r="A667" s="16">
        <f>IF(Calc!$B667,Calc!E667,"")</f>
        <v/>
      </c>
      <c r="B667">
        <f>IF(Calc!$B667,INDEX(MineNames,Calc!C667),"")</f>
        <v/>
      </c>
      <c r="C667" s="17">
        <f>IF(Calc!$B667,Calc!O667,"")</f>
        <v/>
      </c>
    </row>
    <row r="668">
      <c r="A668" s="16">
        <f>IF(Calc!$B668,Calc!E668,"")</f>
        <v/>
      </c>
      <c r="B668">
        <f>IF(Calc!$B668,INDEX(MineNames,Calc!C668),"")</f>
        <v/>
      </c>
      <c r="C668" s="17">
        <f>IF(Calc!$B668,Calc!O668,"")</f>
        <v/>
      </c>
    </row>
    <row r="669">
      <c r="A669" s="16">
        <f>IF(Calc!$B669,Calc!E669,"")</f>
        <v/>
      </c>
      <c r="B669">
        <f>IF(Calc!$B669,INDEX(MineNames,Calc!C669),"")</f>
        <v/>
      </c>
      <c r="C669" s="17">
        <f>IF(Calc!$B669,Calc!O669,"")</f>
        <v/>
      </c>
    </row>
    <row r="670">
      <c r="A670" s="16">
        <f>IF(Calc!$B670,Calc!E670,"")</f>
        <v/>
      </c>
      <c r="B670">
        <f>IF(Calc!$B670,INDEX(MineNames,Calc!C670),"")</f>
        <v/>
      </c>
      <c r="C670" s="17">
        <f>IF(Calc!$B670,Calc!O670,"")</f>
        <v/>
      </c>
    </row>
    <row r="671">
      <c r="A671" s="16">
        <f>IF(Calc!$B671,Calc!E671,"")</f>
        <v/>
      </c>
      <c r="B671">
        <f>IF(Calc!$B671,INDEX(MineNames,Calc!C671),"")</f>
        <v/>
      </c>
      <c r="C671" s="17">
        <f>IF(Calc!$B671,Calc!O671,"")</f>
        <v/>
      </c>
    </row>
    <row r="672">
      <c r="A672" s="16">
        <f>IF(Calc!$B672,Calc!E672,"")</f>
        <v/>
      </c>
      <c r="B672">
        <f>IF(Calc!$B672,INDEX(MineNames,Calc!C672),"")</f>
        <v/>
      </c>
      <c r="C672" s="17">
        <f>IF(Calc!$B672,Calc!O672,"")</f>
        <v/>
      </c>
    </row>
    <row r="673">
      <c r="A673" s="16">
        <f>IF(Calc!$B673,Calc!E673,"")</f>
        <v/>
      </c>
      <c r="B673">
        <f>IF(Calc!$B673,INDEX(MineNames,Calc!C673),"")</f>
        <v/>
      </c>
      <c r="C673" s="17">
        <f>IF(Calc!$B673,Calc!O673,"")</f>
        <v/>
      </c>
    </row>
    <row r="674">
      <c r="A674" s="16">
        <f>IF(Calc!$B674,Calc!E674,"")</f>
        <v/>
      </c>
      <c r="B674">
        <f>IF(Calc!$B674,INDEX(MineNames,Calc!C674),"")</f>
        <v/>
      </c>
      <c r="C674" s="17">
        <f>IF(Calc!$B674,Calc!O674,"")</f>
        <v/>
      </c>
    </row>
    <row r="675">
      <c r="A675" s="16">
        <f>IF(Calc!$B675,Calc!E675,"")</f>
        <v/>
      </c>
      <c r="B675">
        <f>IF(Calc!$B675,INDEX(MineNames,Calc!C675),"")</f>
        <v/>
      </c>
      <c r="C675" s="17">
        <f>IF(Calc!$B675,Calc!O675,"")</f>
        <v/>
      </c>
    </row>
    <row r="676">
      <c r="A676" s="16">
        <f>IF(Calc!$B676,Calc!E676,"")</f>
        <v/>
      </c>
      <c r="B676">
        <f>IF(Calc!$B676,INDEX(MineNames,Calc!C676),"")</f>
        <v/>
      </c>
      <c r="C676" s="17">
        <f>IF(Calc!$B676,Calc!O676,"")</f>
        <v/>
      </c>
    </row>
    <row r="677">
      <c r="A677" s="16">
        <f>IF(Calc!$B677,Calc!E677,"")</f>
        <v/>
      </c>
      <c r="B677">
        <f>IF(Calc!$B677,INDEX(MineNames,Calc!C677),"")</f>
        <v/>
      </c>
      <c r="C677" s="17">
        <f>IF(Calc!$B677,Calc!O677,"")</f>
        <v/>
      </c>
    </row>
    <row r="678">
      <c r="A678" s="16">
        <f>IF(Calc!$B678,Calc!E678,"")</f>
        <v/>
      </c>
      <c r="B678">
        <f>IF(Calc!$B678,INDEX(MineNames,Calc!C678),"")</f>
        <v/>
      </c>
      <c r="C678" s="17">
        <f>IF(Calc!$B678,Calc!O678,"")</f>
        <v/>
      </c>
    </row>
    <row r="679">
      <c r="A679" s="16">
        <f>IF(Calc!$B679,Calc!E679,"")</f>
        <v/>
      </c>
      <c r="B679">
        <f>IF(Calc!$B679,INDEX(MineNames,Calc!C679),"")</f>
        <v/>
      </c>
      <c r="C679" s="17">
        <f>IF(Calc!$B679,Calc!O679,"")</f>
        <v/>
      </c>
    </row>
    <row r="680">
      <c r="A680" s="16">
        <f>IF(Calc!$B680,Calc!E680,"")</f>
        <v/>
      </c>
      <c r="B680">
        <f>IF(Calc!$B680,INDEX(MineNames,Calc!C680),"")</f>
        <v/>
      </c>
      <c r="C680" s="17">
        <f>IF(Calc!$B680,Calc!O680,"")</f>
        <v/>
      </c>
    </row>
    <row r="681">
      <c r="A681" s="16">
        <f>IF(Calc!$B681,Calc!E681,"")</f>
        <v/>
      </c>
      <c r="B681">
        <f>IF(Calc!$B681,INDEX(MineNames,Calc!C681),"")</f>
        <v/>
      </c>
      <c r="C681" s="17">
        <f>IF(Calc!$B681,Calc!O681,"")</f>
        <v/>
      </c>
    </row>
    <row r="682">
      <c r="A682" s="16">
        <f>IF(Calc!$B682,Calc!E682,"")</f>
        <v/>
      </c>
      <c r="B682">
        <f>IF(Calc!$B682,INDEX(MineNames,Calc!C682),"")</f>
        <v/>
      </c>
      <c r="C682" s="17">
        <f>IF(Calc!$B682,Calc!O682,"")</f>
        <v/>
      </c>
    </row>
    <row r="683">
      <c r="A683" s="16">
        <f>IF(Calc!$B683,Calc!E683,"")</f>
        <v/>
      </c>
      <c r="B683">
        <f>IF(Calc!$B683,INDEX(MineNames,Calc!C683),"")</f>
        <v/>
      </c>
      <c r="C683" s="17">
        <f>IF(Calc!$B683,Calc!O683,"")</f>
        <v/>
      </c>
    </row>
    <row r="684">
      <c r="A684" s="16">
        <f>IF(Calc!$B684,Calc!E684,"")</f>
        <v/>
      </c>
      <c r="B684">
        <f>IF(Calc!$B684,INDEX(MineNames,Calc!C684),"")</f>
        <v/>
      </c>
      <c r="C684" s="17">
        <f>IF(Calc!$B684,Calc!O684,"")</f>
        <v/>
      </c>
    </row>
    <row r="685">
      <c r="A685" s="16">
        <f>IF(Calc!$B685,Calc!E685,"")</f>
        <v/>
      </c>
      <c r="B685">
        <f>IF(Calc!$B685,INDEX(MineNames,Calc!C685),"")</f>
        <v/>
      </c>
      <c r="C685" s="17">
        <f>IF(Calc!$B685,Calc!O685,"")</f>
        <v/>
      </c>
    </row>
    <row r="686">
      <c r="A686" s="16">
        <f>IF(Calc!$B686,Calc!E686,"")</f>
        <v/>
      </c>
      <c r="B686">
        <f>IF(Calc!$B686,INDEX(MineNames,Calc!C686),"")</f>
        <v/>
      </c>
      <c r="C686" s="17">
        <f>IF(Calc!$B686,Calc!O686,"")</f>
        <v/>
      </c>
    </row>
    <row r="687">
      <c r="A687" s="16">
        <f>IF(Calc!$B687,Calc!E687,"")</f>
        <v/>
      </c>
      <c r="B687">
        <f>IF(Calc!$B687,INDEX(MineNames,Calc!C687),"")</f>
        <v/>
      </c>
      <c r="C687" s="17">
        <f>IF(Calc!$B687,Calc!O687,"")</f>
        <v/>
      </c>
    </row>
    <row r="688">
      <c r="A688" s="16">
        <f>IF(Calc!$B688,Calc!E688,"")</f>
        <v/>
      </c>
      <c r="B688">
        <f>IF(Calc!$B688,INDEX(MineNames,Calc!C688),"")</f>
        <v/>
      </c>
      <c r="C688" s="17">
        <f>IF(Calc!$B688,Calc!O688,"")</f>
        <v/>
      </c>
    </row>
    <row r="689">
      <c r="A689" s="16">
        <f>IF(Calc!$B689,Calc!E689,"")</f>
        <v/>
      </c>
      <c r="B689">
        <f>IF(Calc!$B689,INDEX(MineNames,Calc!C689),"")</f>
        <v/>
      </c>
      <c r="C689" s="17">
        <f>IF(Calc!$B689,Calc!O689,"")</f>
        <v/>
      </c>
    </row>
    <row r="690">
      <c r="A690" s="16">
        <f>IF(Calc!$B690,Calc!E690,"")</f>
        <v/>
      </c>
      <c r="B690">
        <f>IF(Calc!$B690,INDEX(MineNames,Calc!C690),"")</f>
        <v/>
      </c>
      <c r="C690" s="17">
        <f>IF(Calc!$B690,Calc!O690,"")</f>
        <v/>
      </c>
    </row>
    <row r="691">
      <c r="A691" s="16">
        <f>IF(Calc!$B691,Calc!E691,"")</f>
        <v/>
      </c>
      <c r="B691">
        <f>IF(Calc!$B691,INDEX(MineNames,Calc!C691),"")</f>
        <v/>
      </c>
      <c r="C691" s="17">
        <f>IF(Calc!$B691,Calc!O691,"")</f>
        <v/>
      </c>
    </row>
    <row r="692">
      <c r="A692" s="16">
        <f>IF(Calc!$B692,Calc!E692,"")</f>
        <v/>
      </c>
      <c r="B692">
        <f>IF(Calc!$B692,INDEX(MineNames,Calc!C692),"")</f>
        <v/>
      </c>
      <c r="C692" s="17">
        <f>IF(Calc!$B692,Calc!O692,"")</f>
        <v/>
      </c>
    </row>
    <row r="693">
      <c r="A693" s="16">
        <f>IF(Calc!$B693,Calc!E693,"")</f>
        <v/>
      </c>
      <c r="B693">
        <f>IF(Calc!$B693,INDEX(MineNames,Calc!C693),"")</f>
        <v/>
      </c>
      <c r="C693" s="17">
        <f>IF(Calc!$B693,Calc!O693,"")</f>
        <v/>
      </c>
    </row>
    <row r="694">
      <c r="A694" s="16">
        <f>IF(Calc!$B694,Calc!E694,"")</f>
        <v/>
      </c>
      <c r="B694">
        <f>IF(Calc!$B694,INDEX(MineNames,Calc!C694),"")</f>
        <v/>
      </c>
      <c r="C694" s="17">
        <f>IF(Calc!$B694,Calc!O694,"")</f>
        <v/>
      </c>
    </row>
    <row r="695">
      <c r="A695" s="16">
        <f>IF(Calc!$B695,Calc!E695,"")</f>
        <v/>
      </c>
      <c r="B695">
        <f>IF(Calc!$B695,INDEX(MineNames,Calc!C695),"")</f>
        <v/>
      </c>
      <c r="C695" s="17">
        <f>IF(Calc!$B695,Calc!O695,"")</f>
        <v/>
      </c>
    </row>
    <row r="696">
      <c r="A696" s="16">
        <f>IF(Calc!$B696,Calc!E696,"")</f>
        <v/>
      </c>
      <c r="B696">
        <f>IF(Calc!$B696,INDEX(MineNames,Calc!C696),"")</f>
        <v/>
      </c>
      <c r="C696" s="17">
        <f>IF(Calc!$B696,Calc!O696,"")</f>
        <v/>
      </c>
    </row>
    <row r="697">
      <c r="A697" s="16">
        <f>IF(Calc!$B697,Calc!E697,"")</f>
        <v/>
      </c>
      <c r="B697">
        <f>IF(Calc!$B697,INDEX(MineNames,Calc!C697),"")</f>
        <v/>
      </c>
      <c r="C697" s="17">
        <f>IF(Calc!$B697,Calc!O697,"")</f>
        <v/>
      </c>
    </row>
    <row r="698">
      <c r="A698" s="16">
        <f>IF(Calc!$B698,Calc!E698,"")</f>
        <v/>
      </c>
      <c r="B698">
        <f>IF(Calc!$B698,INDEX(MineNames,Calc!C698),"")</f>
        <v/>
      </c>
      <c r="C698" s="17">
        <f>IF(Calc!$B698,Calc!O698,"")</f>
        <v/>
      </c>
    </row>
    <row r="699">
      <c r="A699" s="16">
        <f>IF(Calc!$B699,Calc!E699,"")</f>
        <v/>
      </c>
      <c r="B699">
        <f>IF(Calc!$B699,INDEX(MineNames,Calc!C699),"")</f>
        <v/>
      </c>
      <c r="C699" s="17">
        <f>IF(Calc!$B699,Calc!O699,"")</f>
        <v/>
      </c>
    </row>
    <row r="700">
      <c r="A700" s="16">
        <f>IF(Calc!$B700,Calc!E700,"")</f>
        <v/>
      </c>
      <c r="B700">
        <f>IF(Calc!$B700,INDEX(MineNames,Calc!C700),"")</f>
        <v/>
      </c>
      <c r="C700" s="17">
        <f>IF(Calc!$B700,Calc!O700,"")</f>
        <v/>
      </c>
    </row>
    <row r="701">
      <c r="A701" s="16">
        <f>IF(Calc!$B701,Calc!E701,"")</f>
        <v/>
      </c>
      <c r="B701">
        <f>IF(Calc!$B701,INDEX(MineNames,Calc!C701),"")</f>
        <v/>
      </c>
      <c r="C701" s="17">
        <f>IF(Calc!$B701,Calc!O701,"")</f>
        <v/>
      </c>
    </row>
    <row r="702">
      <c r="A702" s="16">
        <f>IF(Calc!$B702,Calc!E702,"")</f>
        <v/>
      </c>
      <c r="B702">
        <f>IF(Calc!$B702,INDEX(MineNames,Calc!C702),"")</f>
        <v/>
      </c>
      <c r="C702" s="17">
        <f>IF(Calc!$B702,Calc!O702,"")</f>
        <v/>
      </c>
    </row>
    <row r="703">
      <c r="A703" s="16">
        <f>IF(Calc!$B703,Calc!E703,"")</f>
        <v/>
      </c>
      <c r="B703">
        <f>IF(Calc!$B703,INDEX(MineNames,Calc!C703),"")</f>
        <v/>
      </c>
      <c r="C703" s="17">
        <f>IF(Calc!$B703,Calc!O703,"")</f>
        <v/>
      </c>
    </row>
    <row r="704">
      <c r="A704" s="16">
        <f>IF(Calc!$B704,Calc!E704,"")</f>
        <v/>
      </c>
      <c r="B704">
        <f>IF(Calc!$B704,INDEX(MineNames,Calc!C704),"")</f>
        <v/>
      </c>
      <c r="C704" s="17">
        <f>IF(Calc!$B704,Calc!O704,"")</f>
        <v/>
      </c>
    </row>
    <row r="705">
      <c r="A705" s="16">
        <f>IF(Calc!$B705,Calc!E705,"")</f>
        <v/>
      </c>
      <c r="B705">
        <f>IF(Calc!$B705,INDEX(MineNames,Calc!C705),"")</f>
        <v/>
      </c>
      <c r="C705" s="17">
        <f>IF(Calc!$B705,Calc!O705,"")</f>
        <v/>
      </c>
    </row>
    <row r="706">
      <c r="A706" s="16">
        <f>IF(Calc!$B706,Calc!E706,"")</f>
        <v/>
      </c>
      <c r="B706">
        <f>IF(Calc!$B706,INDEX(MineNames,Calc!C706),"")</f>
        <v/>
      </c>
      <c r="C706" s="17">
        <f>IF(Calc!$B706,Calc!O706,"")</f>
        <v/>
      </c>
    </row>
    <row r="707">
      <c r="A707" s="16">
        <f>IF(Calc!$B707,Calc!E707,"")</f>
        <v/>
      </c>
      <c r="B707">
        <f>IF(Calc!$B707,INDEX(MineNames,Calc!C707),"")</f>
        <v/>
      </c>
      <c r="C707" s="17">
        <f>IF(Calc!$B707,Calc!O707,"")</f>
        <v/>
      </c>
    </row>
    <row r="708">
      <c r="A708" s="16">
        <f>IF(Calc!$B708,Calc!E708,"")</f>
        <v/>
      </c>
      <c r="B708">
        <f>IF(Calc!$B708,INDEX(MineNames,Calc!C708),"")</f>
        <v/>
      </c>
      <c r="C708" s="17">
        <f>IF(Calc!$B708,Calc!O708,"")</f>
        <v/>
      </c>
    </row>
    <row r="709">
      <c r="A709" s="16">
        <f>IF(Calc!$B709,Calc!E709,"")</f>
        <v/>
      </c>
      <c r="B709">
        <f>IF(Calc!$B709,INDEX(MineNames,Calc!C709),"")</f>
        <v/>
      </c>
      <c r="C709" s="17">
        <f>IF(Calc!$B709,Calc!O709,"")</f>
        <v/>
      </c>
    </row>
    <row r="710">
      <c r="A710" s="16">
        <f>IF(Calc!$B710,Calc!E710,"")</f>
        <v/>
      </c>
      <c r="B710">
        <f>IF(Calc!$B710,INDEX(MineNames,Calc!C710),"")</f>
        <v/>
      </c>
      <c r="C710" s="17">
        <f>IF(Calc!$B710,Calc!O710,"")</f>
        <v/>
      </c>
    </row>
    <row r="711">
      <c r="A711" s="16">
        <f>IF(Calc!$B711,Calc!E711,"")</f>
        <v/>
      </c>
      <c r="B711">
        <f>IF(Calc!$B711,INDEX(MineNames,Calc!C711),"")</f>
        <v/>
      </c>
      <c r="C711" s="17">
        <f>IF(Calc!$B711,Calc!O711,"")</f>
        <v/>
      </c>
    </row>
    <row r="712">
      <c r="A712" s="16">
        <f>IF(Calc!$B712,Calc!E712,"")</f>
        <v/>
      </c>
      <c r="B712">
        <f>IF(Calc!$B712,INDEX(MineNames,Calc!C712),"")</f>
        <v/>
      </c>
      <c r="C712" s="17">
        <f>IF(Calc!$B712,Calc!O712,"")</f>
        <v/>
      </c>
    </row>
    <row r="713">
      <c r="A713" s="16">
        <f>IF(Calc!$B713,Calc!E713,"")</f>
        <v/>
      </c>
      <c r="B713">
        <f>IF(Calc!$B713,INDEX(MineNames,Calc!C713),"")</f>
        <v/>
      </c>
      <c r="C713" s="17">
        <f>IF(Calc!$B713,Calc!O713,"")</f>
        <v/>
      </c>
    </row>
    <row r="714">
      <c r="A714" s="16">
        <f>IF(Calc!$B714,Calc!E714,"")</f>
        <v/>
      </c>
      <c r="B714">
        <f>IF(Calc!$B714,INDEX(MineNames,Calc!C714),"")</f>
        <v/>
      </c>
      <c r="C714" s="17">
        <f>IF(Calc!$B714,Calc!O714,"")</f>
        <v/>
      </c>
    </row>
    <row r="715">
      <c r="A715" s="16">
        <f>IF(Calc!$B715,Calc!E715,"")</f>
        <v/>
      </c>
      <c r="B715">
        <f>IF(Calc!$B715,INDEX(MineNames,Calc!C715),"")</f>
        <v/>
      </c>
      <c r="C715" s="17">
        <f>IF(Calc!$B715,Calc!O715,"")</f>
        <v/>
      </c>
    </row>
    <row r="716">
      <c r="A716" s="16">
        <f>IF(Calc!$B716,Calc!E716,"")</f>
        <v/>
      </c>
      <c r="B716">
        <f>IF(Calc!$B716,INDEX(MineNames,Calc!C716),"")</f>
        <v/>
      </c>
      <c r="C716" s="17">
        <f>IF(Calc!$B716,Calc!O716,"")</f>
        <v/>
      </c>
    </row>
    <row r="717">
      <c r="A717" s="16">
        <f>IF(Calc!$B717,Calc!E717,"")</f>
        <v/>
      </c>
      <c r="B717">
        <f>IF(Calc!$B717,INDEX(MineNames,Calc!C717),"")</f>
        <v/>
      </c>
      <c r="C717" s="17">
        <f>IF(Calc!$B717,Calc!O717,"")</f>
        <v/>
      </c>
    </row>
    <row r="718">
      <c r="A718" s="16">
        <f>IF(Calc!$B718,Calc!E718,"")</f>
        <v/>
      </c>
      <c r="B718">
        <f>IF(Calc!$B718,INDEX(MineNames,Calc!C718),"")</f>
        <v/>
      </c>
      <c r="C718" s="17">
        <f>IF(Calc!$B718,Calc!O718,"")</f>
        <v/>
      </c>
    </row>
    <row r="719">
      <c r="A719" s="16">
        <f>IF(Calc!$B719,Calc!E719,"")</f>
        <v/>
      </c>
      <c r="B719">
        <f>IF(Calc!$B719,INDEX(MineNames,Calc!C719),"")</f>
        <v/>
      </c>
      <c r="C719" s="17">
        <f>IF(Calc!$B719,Calc!O719,"")</f>
        <v/>
      </c>
    </row>
    <row r="720">
      <c r="A720" s="16">
        <f>IF(Calc!$B720,Calc!E720,"")</f>
        <v/>
      </c>
      <c r="B720">
        <f>IF(Calc!$B720,INDEX(MineNames,Calc!C720),"")</f>
        <v/>
      </c>
      <c r="C720" s="17">
        <f>IF(Calc!$B720,Calc!O720,"")</f>
        <v/>
      </c>
    </row>
    <row r="721">
      <c r="A721" s="16">
        <f>IF(Calc!$B721,Calc!E721,"")</f>
        <v/>
      </c>
      <c r="B721">
        <f>IF(Calc!$B721,INDEX(MineNames,Calc!C721),"")</f>
        <v/>
      </c>
      <c r="C721" s="17">
        <f>IF(Calc!$B721,Calc!O721,"")</f>
        <v/>
      </c>
    </row>
    <row r="722">
      <c r="A722" s="16">
        <f>IF(Calc!$B722,Calc!E722,"")</f>
        <v/>
      </c>
      <c r="B722">
        <f>IF(Calc!$B722,INDEX(MineNames,Calc!C722),"")</f>
        <v/>
      </c>
      <c r="C722" s="17">
        <f>IF(Calc!$B722,Calc!O722,"")</f>
        <v/>
      </c>
    </row>
    <row r="723">
      <c r="A723" s="16">
        <f>IF(Calc!$B723,Calc!E723,"")</f>
        <v/>
      </c>
      <c r="B723">
        <f>IF(Calc!$B723,INDEX(MineNames,Calc!C723),"")</f>
        <v/>
      </c>
      <c r="C723" s="17">
        <f>IF(Calc!$B723,Calc!O723,"")</f>
        <v/>
      </c>
    </row>
    <row r="724">
      <c r="A724" s="16">
        <f>IF(Calc!$B724,Calc!E724,"")</f>
        <v/>
      </c>
      <c r="B724">
        <f>IF(Calc!$B724,INDEX(MineNames,Calc!C724),"")</f>
        <v/>
      </c>
      <c r="C724" s="17">
        <f>IF(Calc!$B724,Calc!O724,"")</f>
        <v/>
      </c>
    </row>
    <row r="725">
      <c r="A725" s="16">
        <f>IF(Calc!$B725,Calc!E725,"")</f>
        <v/>
      </c>
      <c r="B725">
        <f>IF(Calc!$B725,INDEX(MineNames,Calc!C725),"")</f>
        <v/>
      </c>
      <c r="C725" s="17">
        <f>IF(Calc!$B725,Calc!O725,"")</f>
        <v/>
      </c>
    </row>
    <row r="726">
      <c r="A726" s="16">
        <f>IF(Calc!$B726,Calc!E726,"")</f>
        <v/>
      </c>
      <c r="B726">
        <f>IF(Calc!$B726,INDEX(MineNames,Calc!C726),"")</f>
        <v/>
      </c>
      <c r="C726" s="17">
        <f>IF(Calc!$B726,Calc!O726,"")</f>
        <v/>
      </c>
    </row>
    <row r="727">
      <c r="A727" s="16">
        <f>IF(Calc!$B727,Calc!E727,"")</f>
        <v/>
      </c>
      <c r="B727">
        <f>IF(Calc!$B727,INDEX(MineNames,Calc!C727),"")</f>
        <v/>
      </c>
      <c r="C727" s="17">
        <f>IF(Calc!$B727,Calc!O727,"")</f>
        <v/>
      </c>
    </row>
    <row r="728">
      <c r="A728" s="16">
        <f>IF(Calc!$B728,Calc!E728,"")</f>
        <v/>
      </c>
      <c r="B728">
        <f>IF(Calc!$B728,INDEX(MineNames,Calc!C728),"")</f>
        <v/>
      </c>
      <c r="C728" s="17">
        <f>IF(Calc!$B728,Calc!O728,"")</f>
        <v/>
      </c>
    </row>
    <row r="729">
      <c r="A729" s="16">
        <f>IF(Calc!$B729,Calc!E729,"")</f>
        <v/>
      </c>
      <c r="B729">
        <f>IF(Calc!$B729,INDEX(MineNames,Calc!C729),"")</f>
        <v/>
      </c>
      <c r="C729" s="17">
        <f>IF(Calc!$B729,Calc!O729,"")</f>
        <v/>
      </c>
    </row>
    <row r="730">
      <c r="A730" s="16">
        <f>IF(Calc!$B730,Calc!E730,"")</f>
        <v/>
      </c>
      <c r="B730">
        <f>IF(Calc!$B730,INDEX(MineNames,Calc!C730),"")</f>
        <v/>
      </c>
      <c r="C730" s="17">
        <f>IF(Calc!$B730,Calc!O730,"")</f>
        <v/>
      </c>
    </row>
    <row r="731">
      <c r="A731" s="16">
        <f>IF(Calc!$B731,Calc!E731,"")</f>
        <v/>
      </c>
      <c r="B731">
        <f>IF(Calc!$B731,INDEX(MineNames,Calc!C731),"")</f>
        <v/>
      </c>
      <c r="C731" s="17">
        <f>IF(Calc!$B731,Calc!O731,"")</f>
        <v/>
      </c>
    </row>
    <row r="732">
      <c r="A732" s="16">
        <f>IF(Calc!$B732,Calc!E732,"")</f>
        <v/>
      </c>
      <c r="B732">
        <f>IF(Calc!$B732,INDEX(MineNames,Calc!C732),"")</f>
        <v/>
      </c>
      <c r="C732" s="17">
        <f>IF(Calc!$B732,Calc!O732,"")</f>
        <v/>
      </c>
    </row>
    <row r="733">
      <c r="A733" s="16">
        <f>IF(Calc!$B733,Calc!E733,"")</f>
        <v/>
      </c>
      <c r="B733">
        <f>IF(Calc!$B733,INDEX(MineNames,Calc!C733),"")</f>
        <v/>
      </c>
      <c r="C733" s="17">
        <f>IF(Calc!$B733,Calc!O733,"")</f>
        <v/>
      </c>
    </row>
    <row r="734">
      <c r="A734" s="16">
        <f>IF(Calc!$B734,Calc!E734,"")</f>
        <v/>
      </c>
      <c r="B734">
        <f>IF(Calc!$B734,INDEX(MineNames,Calc!C734),"")</f>
        <v/>
      </c>
      <c r="C734" s="17">
        <f>IF(Calc!$B734,Calc!O734,"")</f>
        <v/>
      </c>
    </row>
    <row r="735">
      <c r="A735" s="16">
        <f>IF(Calc!$B735,Calc!E735,"")</f>
        <v/>
      </c>
      <c r="B735">
        <f>IF(Calc!$B735,INDEX(MineNames,Calc!C735),"")</f>
        <v/>
      </c>
      <c r="C735" s="17">
        <f>IF(Calc!$B735,Calc!O735,"")</f>
        <v/>
      </c>
    </row>
    <row r="736">
      <c r="A736" s="16">
        <f>IF(Calc!$B736,Calc!E736,"")</f>
        <v/>
      </c>
      <c r="B736">
        <f>IF(Calc!$B736,INDEX(MineNames,Calc!C736),"")</f>
        <v/>
      </c>
      <c r="C736" s="17">
        <f>IF(Calc!$B736,Calc!O736,"")</f>
        <v/>
      </c>
    </row>
    <row r="737">
      <c r="A737" s="16">
        <f>IF(Calc!$B737,Calc!E737,"")</f>
        <v/>
      </c>
      <c r="B737">
        <f>IF(Calc!$B737,INDEX(MineNames,Calc!C737),"")</f>
        <v/>
      </c>
      <c r="C737" s="17">
        <f>IF(Calc!$B737,Calc!O737,"")</f>
        <v/>
      </c>
    </row>
    <row r="738">
      <c r="A738" s="16">
        <f>IF(Calc!$B738,Calc!E738,"")</f>
        <v/>
      </c>
      <c r="B738">
        <f>IF(Calc!$B738,INDEX(MineNames,Calc!C738),"")</f>
        <v/>
      </c>
      <c r="C738" s="17">
        <f>IF(Calc!$B738,Calc!O738,"")</f>
        <v/>
      </c>
    </row>
    <row r="739">
      <c r="A739" s="16">
        <f>IF(Calc!$B739,Calc!E739,"")</f>
        <v/>
      </c>
      <c r="B739">
        <f>IF(Calc!$B739,INDEX(MineNames,Calc!C739),"")</f>
        <v/>
      </c>
      <c r="C739" s="17">
        <f>IF(Calc!$B739,Calc!O739,"")</f>
        <v/>
      </c>
    </row>
    <row r="740">
      <c r="A740" s="16">
        <f>IF(Calc!$B740,Calc!E740,"")</f>
        <v/>
      </c>
      <c r="B740">
        <f>IF(Calc!$B740,INDEX(MineNames,Calc!C740),"")</f>
        <v/>
      </c>
      <c r="C740" s="17">
        <f>IF(Calc!$B740,Calc!O740,"")</f>
        <v/>
      </c>
    </row>
    <row r="741">
      <c r="A741" s="16">
        <f>IF(Calc!$B741,Calc!E741,"")</f>
        <v/>
      </c>
      <c r="B741">
        <f>IF(Calc!$B741,INDEX(MineNames,Calc!C741),"")</f>
        <v/>
      </c>
      <c r="C741" s="17">
        <f>IF(Calc!$B741,Calc!O741,"")</f>
        <v/>
      </c>
    </row>
    <row r="742">
      <c r="A742" s="16">
        <f>IF(Calc!$B742,Calc!E742,"")</f>
        <v/>
      </c>
      <c r="B742">
        <f>IF(Calc!$B742,INDEX(MineNames,Calc!C742),"")</f>
        <v/>
      </c>
      <c r="C742" s="17">
        <f>IF(Calc!$B742,Calc!O742,"")</f>
        <v/>
      </c>
    </row>
    <row r="743">
      <c r="A743" s="16">
        <f>IF(Calc!$B743,Calc!E743,"")</f>
        <v/>
      </c>
      <c r="B743">
        <f>IF(Calc!$B743,INDEX(MineNames,Calc!C743),"")</f>
        <v/>
      </c>
      <c r="C743" s="17">
        <f>IF(Calc!$B743,Calc!O743,"")</f>
        <v/>
      </c>
    </row>
    <row r="744">
      <c r="A744" s="16">
        <f>IF(Calc!$B744,Calc!E744,"")</f>
        <v/>
      </c>
      <c r="B744">
        <f>IF(Calc!$B744,INDEX(MineNames,Calc!C744),"")</f>
        <v/>
      </c>
      <c r="C744" s="17">
        <f>IF(Calc!$B744,Calc!O744,"")</f>
        <v/>
      </c>
    </row>
    <row r="745">
      <c r="A745" s="16">
        <f>IF(Calc!$B745,Calc!E745,"")</f>
        <v/>
      </c>
      <c r="B745">
        <f>IF(Calc!$B745,INDEX(MineNames,Calc!C745),"")</f>
        <v/>
      </c>
      <c r="C745" s="17">
        <f>IF(Calc!$B745,Calc!O745,"")</f>
        <v/>
      </c>
    </row>
    <row r="746">
      <c r="A746" s="16">
        <f>IF(Calc!$B746,Calc!E746,"")</f>
        <v/>
      </c>
      <c r="B746">
        <f>IF(Calc!$B746,INDEX(MineNames,Calc!C746),"")</f>
        <v/>
      </c>
      <c r="C746" s="17">
        <f>IF(Calc!$B746,Calc!O746,"")</f>
        <v/>
      </c>
    </row>
    <row r="747">
      <c r="A747" s="16">
        <f>IF(Calc!$B747,Calc!E747,"")</f>
        <v/>
      </c>
      <c r="B747">
        <f>IF(Calc!$B747,INDEX(MineNames,Calc!C747),"")</f>
        <v/>
      </c>
      <c r="C747" s="17">
        <f>IF(Calc!$B747,Calc!O747,"")</f>
        <v/>
      </c>
    </row>
    <row r="748">
      <c r="A748" s="16">
        <f>IF(Calc!$B748,Calc!E748,"")</f>
        <v/>
      </c>
      <c r="B748">
        <f>IF(Calc!$B748,INDEX(MineNames,Calc!C748),"")</f>
        <v/>
      </c>
      <c r="C748" s="17">
        <f>IF(Calc!$B748,Calc!O748,"")</f>
        <v/>
      </c>
    </row>
    <row r="749">
      <c r="A749" s="16">
        <f>IF(Calc!$B749,Calc!E749,"")</f>
        <v/>
      </c>
      <c r="B749">
        <f>IF(Calc!$B749,INDEX(MineNames,Calc!C749),"")</f>
        <v/>
      </c>
      <c r="C749" s="17">
        <f>IF(Calc!$B749,Calc!O749,"")</f>
        <v/>
      </c>
    </row>
    <row r="750">
      <c r="A750" s="16">
        <f>IF(Calc!$B750,Calc!E750,"")</f>
        <v/>
      </c>
      <c r="B750">
        <f>IF(Calc!$B750,INDEX(MineNames,Calc!C750),"")</f>
        <v/>
      </c>
      <c r="C750" s="17">
        <f>IF(Calc!$B750,Calc!O750,"")</f>
        <v/>
      </c>
    </row>
    <row r="751">
      <c r="A751" s="16">
        <f>IF(Calc!$B751,Calc!E751,"")</f>
        <v/>
      </c>
      <c r="B751">
        <f>IF(Calc!$B751,INDEX(MineNames,Calc!C751),"")</f>
        <v/>
      </c>
      <c r="C751" s="17">
        <f>IF(Calc!$B751,Calc!O751,"")</f>
        <v/>
      </c>
    </row>
    <row r="752">
      <c r="A752" s="16">
        <f>IF(Calc!$B752,Calc!E752,"")</f>
        <v/>
      </c>
      <c r="B752">
        <f>IF(Calc!$B752,INDEX(MineNames,Calc!C752),"")</f>
        <v/>
      </c>
      <c r="C752" s="17">
        <f>IF(Calc!$B752,Calc!O752,"")</f>
        <v/>
      </c>
    </row>
    <row r="753">
      <c r="A753" s="16">
        <f>IF(Calc!$B753,Calc!E753,"")</f>
        <v/>
      </c>
      <c r="B753">
        <f>IF(Calc!$B753,INDEX(MineNames,Calc!C753),"")</f>
        <v/>
      </c>
      <c r="C753" s="17">
        <f>IF(Calc!$B753,Calc!O753,"")</f>
        <v/>
      </c>
    </row>
    <row r="754">
      <c r="A754" s="16">
        <f>IF(Calc!$B754,Calc!E754,"")</f>
        <v/>
      </c>
      <c r="B754">
        <f>IF(Calc!$B754,INDEX(MineNames,Calc!C754),"")</f>
        <v/>
      </c>
      <c r="C754" s="17">
        <f>IF(Calc!$B754,Calc!O754,"")</f>
        <v/>
      </c>
    </row>
    <row r="755">
      <c r="A755" s="16">
        <f>IF(Calc!$B755,Calc!E755,"")</f>
        <v/>
      </c>
      <c r="B755">
        <f>IF(Calc!$B755,INDEX(MineNames,Calc!C755),"")</f>
        <v/>
      </c>
      <c r="C755" s="17">
        <f>IF(Calc!$B755,Calc!O755,"")</f>
        <v/>
      </c>
    </row>
    <row r="756">
      <c r="A756" s="16">
        <f>IF(Calc!$B756,Calc!E756,"")</f>
        <v/>
      </c>
      <c r="B756">
        <f>IF(Calc!$B756,INDEX(MineNames,Calc!C756),"")</f>
        <v/>
      </c>
      <c r="C756" s="17">
        <f>IF(Calc!$B756,Calc!O756,"")</f>
        <v/>
      </c>
    </row>
    <row r="757">
      <c r="A757" s="16">
        <f>IF(Calc!$B757,Calc!E757,"")</f>
        <v/>
      </c>
      <c r="B757">
        <f>IF(Calc!$B757,INDEX(MineNames,Calc!C757),"")</f>
        <v/>
      </c>
      <c r="C757" s="17">
        <f>IF(Calc!$B757,Calc!O757,"")</f>
        <v/>
      </c>
    </row>
    <row r="758">
      <c r="A758" s="16">
        <f>IF(Calc!$B758,Calc!E758,"")</f>
        <v/>
      </c>
      <c r="B758">
        <f>IF(Calc!$B758,INDEX(MineNames,Calc!C758),"")</f>
        <v/>
      </c>
      <c r="C758" s="17">
        <f>IF(Calc!$B758,Calc!O758,"")</f>
        <v/>
      </c>
    </row>
    <row r="759">
      <c r="A759" s="16">
        <f>IF(Calc!$B759,Calc!E759,"")</f>
        <v/>
      </c>
      <c r="B759">
        <f>IF(Calc!$B759,INDEX(MineNames,Calc!C759),"")</f>
        <v/>
      </c>
      <c r="C759" s="17">
        <f>IF(Calc!$B759,Calc!O759,"")</f>
        <v/>
      </c>
    </row>
    <row r="760">
      <c r="A760" s="16">
        <f>IF(Calc!$B760,Calc!E760,"")</f>
        <v/>
      </c>
      <c r="B760">
        <f>IF(Calc!$B760,INDEX(MineNames,Calc!C760),"")</f>
        <v/>
      </c>
      <c r="C760" s="17">
        <f>IF(Calc!$B760,Calc!O760,"")</f>
        <v/>
      </c>
    </row>
    <row r="761">
      <c r="A761" s="16">
        <f>IF(Calc!$B761,Calc!E761,"")</f>
        <v/>
      </c>
      <c r="B761">
        <f>IF(Calc!$B761,INDEX(MineNames,Calc!C761),"")</f>
        <v/>
      </c>
      <c r="C761" s="17">
        <f>IF(Calc!$B761,Calc!O761,"")</f>
        <v/>
      </c>
    </row>
    <row r="762">
      <c r="A762" s="16">
        <f>IF(Calc!$B762,Calc!E762,"")</f>
        <v/>
      </c>
      <c r="B762">
        <f>IF(Calc!$B762,INDEX(MineNames,Calc!C762),"")</f>
        <v/>
      </c>
      <c r="C762" s="17">
        <f>IF(Calc!$B762,Calc!O762,"")</f>
        <v/>
      </c>
    </row>
    <row r="763">
      <c r="A763" s="16">
        <f>IF(Calc!$B763,Calc!E763,"")</f>
        <v/>
      </c>
      <c r="B763">
        <f>IF(Calc!$B763,INDEX(MineNames,Calc!C763),"")</f>
        <v/>
      </c>
      <c r="C763" s="17">
        <f>IF(Calc!$B763,Calc!O763,"")</f>
        <v/>
      </c>
    </row>
    <row r="764">
      <c r="A764" s="16">
        <f>IF(Calc!$B764,Calc!E764,"")</f>
        <v/>
      </c>
      <c r="B764">
        <f>IF(Calc!$B764,INDEX(MineNames,Calc!C764),"")</f>
        <v/>
      </c>
      <c r="C764" s="17">
        <f>IF(Calc!$B764,Calc!O764,"")</f>
        <v/>
      </c>
    </row>
    <row r="765">
      <c r="A765" s="16">
        <f>IF(Calc!$B765,Calc!E765,"")</f>
        <v/>
      </c>
      <c r="B765">
        <f>IF(Calc!$B765,INDEX(MineNames,Calc!C765),"")</f>
        <v/>
      </c>
      <c r="C765" s="17">
        <f>IF(Calc!$B765,Calc!O765,"")</f>
        <v/>
      </c>
    </row>
    <row r="766">
      <c r="A766" s="16">
        <f>IF(Calc!$B766,Calc!E766,"")</f>
        <v/>
      </c>
      <c r="B766">
        <f>IF(Calc!$B766,INDEX(MineNames,Calc!C766),"")</f>
        <v/>
      </c>
      <c r="C766" s="17">
        <f>IF(Calc!$B766,Calc!O766,"")</f>
        <v/>
      </c>
    </row>
    <row r="767">
      <c r="A767" s="16">
        <f>IF(Calc!$B767,Calc!E767,"")</f>
        <v/>
      </c>
      <c r="B767">
        <f>IF(Calc!$B767,INDEX(MineNames,Calc!C767),"")</f>
        <v/>
      </c>
      <c r="C767" s="17">
        <f>IF(Calc!$B767,Calc!O767,"")</f>
        <v/>
      </c>
    </row>
    <row r="768">
      <c r="A768" s="16">
        <f>IF(Calc!$B768,Calc!E768,"")</f>
        <v/>
      </c>
      <c r="B768">
        <f>IF(Calc!$B768,INDEX(MineNames,Calc!C768),"")</f>
        <v/>
      </c>
      <c r="C768" s="17">
        <f>IF(Calc!$B768,Calc!O768,"")</f>
        <v/>
      </c>
    </row>
    <row r="769">
      <c r="A769" s="16">
        <f>IF(Calc!$B769,Calc!E769,"")</f>
        <v/>
      </c>
      <c r="B769">
        <f>IF(Calc!$B769,INDEX(MineNames,Calc!C769),"")</f>
        <v/>
      </c>
      <c r="C769" s="17">
        <f>IF(Calc!$B769,Calc!O769,"")</f>
        <v/>
      </c>
    </row>
    <row r="770">
      <c r="A770" s="16">
        <f>IF(Calc!$B770,Calc!E770,"")</f>
        <v/>
      </c>
      <c r="B770">
        <f>IF(Calc!$B770,INDEX(MineNames,Calc!C770),"")</f>
        <v/>
      </c>
      <c r="C770" s="17">
        <f>IF(Calc!$B770,Calc!O770,"")</f>
        <v/>
      </c>
    </row>
    <row r="771">
      <c r="A771" s="16">
        <f>IF(Calc!$B771,Calc!E771,"")</f>
        <v/>
      </c>
      <c r="B771">
        <f>IF(Calc!$B771,INDEX(MineNames,Calc!C771),"")</f>
        <v/>
      </c>
      <c r="C771" s="17">
        <f>IF(Calc!$B771,Calc!O771,"")</f>
        <v/>
      </c>
    </row>
    <row r="772">
      <c r="A772" s="16">
        <f>IF(Calc!$B772,Calc!E772,"")</f>
        <v/>
      </c>
      <c r="B772">
        <f>IF(Calc!$B772,INDEX(MineNames,Calc!C772),"")</f>
        <v/>
      </c>
      <c r="C772" s="17">
        <f>IF(Calc!$B772,Calc!O772,"")</f>
        <v/>
      </c>
    </row>
    <row r="773">
      <c r="A773" s="16">
        <f>IF(Calc!$B773,Calc!E773,"")</f>
        <v/>
      </c>
      <c r="B773">
        <f>IF(Calc!$B773,INDEX(MineNames,Calc!C773),"")</f>
        <v/>
      </c>
      <c r="C773" s="17">
        <f>IF(Calc!$B773,Calc!O773,"")</f>
        <v/>
      </c>
    </row>
    <row r="774">
      <c r="A774" s="16">
        <f>IF(Calc!$B774,Calc!E774,"")</f>
        <v/>
      </c>
      <c r="B774">
        <f>IF(Calc!$B774,INDEX(MineNames,Calc!C774),"")</f>
        <v/>
      </c>
      <c r="C774" s="17">
        <f>IF(Calc!$B774,Calc!O774,"")</f>
        <v/>
      </c>
    </row>
    <row r="775">
      <c r="A775" s="16">
        <f>IF(Calc!$B775,Calc!E775,"")</f>
        <v/>
      </c>
      <c r="B775">
        <f>IF(Calc!$B775,INDEX(MineNames,Calc!C775),"")</f>
        <v/>
      </c>
      <c r="C775" s="17">
        <f>IF(Calc!$B775,Calc!O775,"")</f>
        <v/>
      </c>
    </row>
    <row r="776">
      <c r="A776" s="16">
        <f>IF(Calc!$B776,Calc!E776,"")</f>
        <v/>
      </c>
      <c r="B776">
        <f>IF(Calc!$B776,INDEX(MineNames,Calc!C776),"")</f>
        <v/>
      </c>
      <c r="C776" s="17">
        <f>IF(Calc!$B776,Calc!O776,"")</f>
        <v/>
      </c>
    </row>
    <row r="777">
      <c r="A777" s="16">
        <f>IF(Calc!$B777,Calc!E777,"")</f>
        <v/>
      </c>
      <c r="B777">
        <f>IF(Calc!$B777,INDEX(MineNames,Calc!C777),"")</f>
        <v/>
      </c>
      <c r="C777" s="17">
        <f>IF(Calc!$B777,Calc!O777,"")</f>
        <v/>
      </c>
    </row>
    <row r="778">
      <c r="A778" s="16">
        <f>IF(Calc!$B778,Calc!E778,"")</f>
        <v/>
      </c>
      <c r="B778">
        <f>IF(Calc!$B778,INDEX(MineNames,Calc!C778),"")</f>
        <v/>
      </c>
      <c r="C778" s="17">
        <f>IF(Calc!$B778,Calc!O778,"")</f>
        <v/>
      </c>
    </row>
    <row r="779">
      <c r="A779" s="16">
        <f>IF(Calc!$B779,Calc!E779,"")</f>
        <v/>
      </c>
      <c r="B779">
        <f>IF(Calc!$B779,INDEX(MineNames,Calc!C779),"")</f>
        <v/>
      </c>
      <c r="C779" s="17">
        <f>IF(Calc!$B779,Calc!O779,"")</f>
        <v/>
      </c>
    </row>
    <row r="780">
      <c r="A780" s="16">
        <f>IF(Calc!$B780,Calc!E780,"")</f>
        <v/>
      </c>
      <c r="B780">
        <f>IF(Calc!$B780,INDEX(MineNames,Calc!C780),"")</f>
        <v/>
      </c>
      <c r="C780" s="17">
        <f>IF(Calc!$B780,Calc!O780,"")</f>
        <v/>
      </c>
    </row>
    <row r="781">
      <c r="A781" s="16">
        <f>IF(Calc!$B781,Calc!E781,"")</f>
        <v/>
      </c>
      <c r="B781">
        <f>IF(Calc!$B781,INDEX(MineNames,Calc!C781),"")</f>
        <v/>
      </c>
      <c r="C781" s="17">
        <f>IF(Calc!$B781,Calc!O781,"")</f>
        <v/>
      </c>
    </row>
    <row r="782">
      <c r="A782" s="16">
        <f>IF(Calc!$B782,Calc!E782,"")</f>
        <v/>
      </c>
      <c r="B782">
        <f>IF(Calc!$B782,INDEX(MineNames,Calc!C782),"")</f>
        <v/>
      </c>
      <c r="C782" s="17">
        <f>IF(Calc!$B782,Calc!O782,"")</f>
        <v/>
      </c>
    </row>
    <row r="783">
      <c r="A783" s="16">
        <f>IF(Calc!$B783,Calc!E783,"")</f>
        <v/>
      </c>
      <c r="B783">
        <f>IF(Calc!$B783,INDEX(MineNames,Calc!C783),"")</f>
        <v/>
      </c>
      <c r="C783" s="17">
        <f>IF(Calc!$B783,Calc!O783,"")</f>
        <v/>
      </c>
    </row>
    <row r="784">
      <c r="A784" s="16">
        <f>IF(Calc!$B784,Calc!E784,"")</f>
        <v/>
      </c>
      <c r="B784">
        <f>IF(Calc!$B784,INDEX(MineNames,Calc!C784),"")</f>
        <v/>
      </c>
      <c r="C784" s="17">
        <f>IF(Calc!$B784,Calc!O784,"")</f>
        <v/>
      </c>
    </row>
    <row r="785">
      <c r="A785" s="16">
        <f>IF(Calc!$B785,Calc!E785,"")</f>
        <v/>
      </c>
      <c r="B785">
        <f>IF(Calc!$B785,INDEX(MineNames,Calc!C785),"")</f>
        <v/>
      </c>
      <c r="C785" s="17">
        <f>IF(Calc!$B785,Calc!O785,"")</f>
        <v/>
      </c>
    </row>
    <row r="786">
      <c r="A786" s="16">
        <f>IF(Calc!$B786,Calc!E786,"")</f>
        <v/>
      </c>
      <c r="B786">
        <f>IF(Calc!$B786,INDEX(MineNames,Calc!C786),"")</f>
        <v/>
      </c>
      <c r="C786" s="17">
        <f>IF(Calc!$B786,Calc!O786,"")</f>
        <v/>
      </c>
    </row>
    <row r="787">
      <c r="A787" s="16">
        <f>IF(Calc!$B787,Calc!E787,"")</f>
        <v/>
      </c>
      <c r="B787">
        <f>IF(Calc!$B787,INDEX(MineNames,Calc!C787),"")</f>
        <v/>
      </c>
      <c r="C787" s="17">
        <f>IF(Calc!$B787,Calc!O787,"")</f>
        <v/>
      </c>
    </row>
    <row r="788">
      <c r="A788" s="16">
        <f>IF(Calc!$B788,Calc!E788,"")</f>
        <v/>
      </c>
      <c r="B788">
        <f>IF(Calc!$B788,INDEX(MineNames,Calc!C788),"")</f>
        <v/>
      </c>
      <c r="C788" s="17">
        <f>IF(Calc!$B788,Calc!O788,"")</f>
        <v/>
      </c>
    </row>
    <row r="789">
      <c r="A789" s="16">
        <f>IF(Calc!$B789,Calc!E789,"")</f>
        <v/>
      </c>
      <c r="B789">
        <f>IF(Calc!$B789,INDEX(MineNames,Calc!C789),"")</f>
        <v/>
      </c>
      <c r="C789" s="17">
        <f>IF(Calc!$B789,Calc!O789,"")</f>
        <v/>
      </c>
    </row>
    <row r="790">
      <c r="A790" s="16">
        <f>IF(Calc!$B790,Calc!E790,"")</f>
        <v/>
      </c>
      <c r="B790">
        <f>IF(Calc!$B790,INDEX(MineNames,Calc!C790),"")</f>
        <v/>
      </c>
      <c r="C790" s="17">
        <f>IF(Calc!$B790,Calc!O790,"")</f>
        <v/>
      </c>
    </row>
    <row r="791">
      <c r="A791" s="16">
        <f>IF(Calc!$B791,Calc!E791,"")</f>
        <v/>
      </c>
      <c r="B791">
        <f>IF(Calc!$B791,INDEX(MineNames,Calc!C791),"")</f>
        <v/>
      </c>
      <c r="C791" s="17">
        <f>IF(Calc!$B791,Calc!O791,"")</f>
        <v/>
      </c>
    </row>
    <row r="792">
      <c r="A792" s="16">
        <f>IF(Calc!$B792,Calc!E792,"")</f>
        <v/>
      </c>
      <c r="B792">
        <f>IF(Calc!$B792,INDEX(MineNames,Calc!C792),"")</f>
        <v/>
      </c>
      <c r="C792" s="17">
        <f>IF(Calc!$B792,Calc!O792,"")</f>
        <v/>
      </c>
    </row>
    <row r="793">
      <c r="A793" s="16">
        <f>IF(Calc!$B793,Calc!E793,"")</f>
        <v/>
      </c>
      <c r="B793">
        <f>IF(Calc!$B793,INDEX(MineNames,Calc!C793),"")</f>
        <v/>
      </c>
      <c r="C793" s="17">
        <f>IF(Calc!$B793,Calc!O793,"")</f>
        <v/>
      </c>
    </row>
    <row r="794">
      <c r="A794" s="16">
        <f>IF(Calc!$B794,Calc!E794,"")</f>
        <v/>
      </c>
      <c r="B794">
        <f>IF(Calc!$B794,INDEX(MineNames,Calc!C794),"")</f>
        <v/>
      </c>
      <c r="C794" s="17">
        <f>IF(Calc!$B794,Calc!O794,"")</f>
        <v/>
      </c>
    </row>
    <row r="795">
      <c r="A795" s="16">
        <f>IF(Calc!$B795,Calc!E795,"")</f>
        <v/>
      </c>
      <c r="B795">
        <f>IF(Calc!$B795,INDEX(MineNames,Calc!C795),"")</f>
        <v/>
      </c>
      <c r="C795" s="17">
        <f>IF(Calc!$B795,Calc!O795,"")</f>
        <v/>
      </c>
    </row>
    <row r="796">
      <c r="A796" s="16">
        <f>IF(Calc!$B796,Calc!E796,"")</f>
        <v/>
      </c>
      <c r="B796">
        <f>IF(Calc!$B796,INDEX(MineNames,Calc!C796),"")</f>
        <v/>
      </c>
      <c r="C796" s="17">
        <f>IF(Calc!$B796,Calc!O796,"")</f>
        <v/>
      </c>
    </row>
    <row r="797">
      <c r="A797" s="16">
        <f>IF(Calc!$B797,Calc!E797,"")</f>
        <v/>
      </c>
      <c r="B797">
        <f>IF(Calc!$B797,INDEX(MineNames,Calc!C797),"")</f>
        <v/>
      </c>
      <c r="C797" s="17">
        <f>IF(Calc!$B797,Calc!O797,"")</f>
        <v/>
      </c>
    </row>
    <row r="798">
      <c r="A798" s="16">
        <f>IF(Calc!$B798,Calc!E798,"")</f>
        <v/>
      </c>
      <c r="B798">
        <f>IF(Calc!$B798,INDEX(MineNames,Calc!C798),"")</f>
        <v/>
      </c>
      <c r="C798" s="17">
        <f>IF(Calc!$B798,Calc!O798,"")</f>
        <v/>
      </c>
    </row>
    <row r="799">
      <c r="A799" s="16">
        <f>IF(Calc!$B799,Calc!E799,"")</f>
        <v/>
      </c>
      <c r="B799">
        <f>IF(Calc!$B799,INDEX(MineNames,Calc!C799),"")</f>
        <v/>
      </c>
      <c r="C799" s="17">
        <f>IF(Calc!$B799,Calc!O799,"")</f>
        <v/>
      </c>
    </row>
    <row r="800">
      <c r="A800" s="16">
        <f>IF(Calc!$B800,Calc!E800,"")</f>
        <v/>
      </c>
      <c r="B800">
        <f>IF(Calc!$B800,INDEX(MineNames,Calc!C800),"")</f>
        <v/>
      </c>
      <c r="C800" s="17">
        <f>IF(Calc!$B800,Calc!O800,"")</f>
        <v/>
      </c>
    </row>
    <row r="801">
      <c r="A801" s="16">
        <f>IF(Calc!$B801,Calc!E801,"")</f>
        <v/>
      </c>
      <c r="B801">
        <f>IF(Calc!$B801,INDEX(MineNames,Calc!C801),"")</f>
        <v/>
      </c>
      <c r="C801" s="17">
        <f>IF(Calc!$B801,Calc!O801,"")</f>
        <v/>
      </c>
    </row>
    <row r="802">
      <c r="A802" s="16">
        <f>IF(Calc!$B802,Calc!E802,"")</f>
        <v/>
      </c>
      <c r="B802">
        <f>IF(Calc!$B802,INDEX(MineNames,Calc!C802),"")</f>
        <v/>
      </c>
      <c r="C802" s="17">
        <f>IF(Calc!$B802,Calc!O802,"")</f>
        <v/>
      </c>
    </row>
    <row r="803">
      <c r="A803" s="16">
        <f>IF(Calc!$B803,Calc!E803,"")</f>
        <v/>
      </c>
      <c r="B803">
        <f>IF(Calc!$B803,INDEX(MineNames,Calc!C803),"")</f>
        <v/>
      </c>
      <c r="C803" s="17">
        <f>IF(Calc!$B803,Calc!O803,"")</f>
        <v/>
      </c>
    </row>
    <row r="804">
      <c r="A804" s="16">
        <f>IF(Calc!$B804,Calc!E804,"")</f>
        <v/>
      </c>
      <c r="B804">
        <f>IF(Calc!$B804,INDEX(MineNames,Calc!C804),"")</f>
        <v/>
      </c>
      <c r="C804" s="17">
        <f>IF(Calc!$B804,Calc!O804,"")</f>
        <v/>
      </c>
    </row>
    <row r="805">
      <c r="A805" s="16">
        <f>IF(Calc!$B805,Calc!E805,"")</f>
        <v/>
      </c>
      <c r="B805">
        <f>IF(Calc!$B805,INDEX(MineNames,Calc!C805),"")</f>
        <v/>
      </c>
      <c r="C805" s="17">
        <f>IF(Calc!$B805,Calc!O805,"")</f>
        <v/>
      </c>
    </row>
    <row r="806">
      <c r="A806" s="16">
        <f>IF(Calc!$B806,Calc!E806,"")</f>
        <v/>
      </c>
      <c r="B806">
        <f>IF(Calc!$B806,INDEX(MineNames,Calc!C806),"")</f>
        <v/>
      </c>
      <c r="C806" s="17">
        <f>IF(Calc!$B806,Calc!O806,"")</f>
        <v/>
      </c>
    </row>
    <row r="807">
      <c r="A807" s="16">
        <f>IF(Calc!$B807,Calc!E807,"")</f>
        <v/>
      </c>
      <c r="B807">
        <f>IF(Calc!$B807,INDEX(MineNames,Calc!C807),"")</f>
        <v/>
      </c>
      <c r="C807" s="17">
        <f>IF(Calc!$B807,Calc!O807,"")</f>
        <v/>
      </c>
    </row>
    <row r="808">
      <c r="A808" s="16">
        <f>IF(Calc!$B808,Calc!E808,"")</f>
        <v/>
      </c>
      <c r="B808">
        <f>IF(Calc!$B808,INDEX(MineNames,Calc!C808),"")</f>
        <v/>
      </c>
      <c r="C808" s="17">
        <f>IF(Calc!$B808,Calc!O808,"")</f>
        <v/>
      </c>
    </row>
    <row r="809">
      <c r="A809" s="16">
        <f>IF(Calc!$B809,Calc!E809,"")</f>
        <v/>
      </c>
      <c r="B809">
        <f>IF(Calc!$B809,INDEX(MineNames,Calc!C809),"")</f>
        <v/>
      </c>
      <c r="C809" s="17">
        <f>IF(Calc!$B809,Calc!O809,"")</f>
        <v/>
      </c>
    </row>
    <row r="810">
      <c r="A810" s="16">
        <f>IF(Calc!$B810,Calc!E810,"")</f>
        <v/>
      </c>
      <c r="B810">
        <f>IF(Calc!$B810,INDEX(MineNames,Calc!C810),"")</f>
        <v/>
      </c>
      <c r="C810" s="17">
        <f>IF(Calc!$B810,Calc!O810,"")</f>
        <v/>
      </c>
    </row>
    <row r="811">
      <c r="A811" s="16">
        <f>IF(Calc!$B811,Calc!E811,"")</f>
        <v/>
      </c>
      <c r="B811">
        <f>IF(Calc!$B811,INDEX(MineNames,Calc!C811),"")</f>
        <v/>
      </c>
      <c r="C811" s="17">
        <f>IF(Calc!$B811,Calc!O811,"")</f>
        <v/>
      </c>
    </row>
    <row r="812">
      <c r="A812" s="16">
        <f>IF(Calc!$B812,Calc!E812,"")</f>
        <v/>
      </c>
      <c r="B812">
        <f>IF(Calc!$B812,INDEX(MineNames,Calc!C812),"")</f>
        <v/>
      </c>
      <c r="C812" s="17">
        <f>IF(Calc!$B812,Calc!O812,"")</f>
        <v/>
      </c>
    </row>
    <row r="813">
      <c r="A813" s="16">
        <f>IF(Calc!$B813,Calc!E813,"")</f>
        <v/>
      </c>
      <c r="B813">
        <f>IF(Calc!$B813,INDEX(MineNames,Calc!C813),"")</f>
        <v/>
      </c>
      <c r="C813" s="17">
        <f>IF(Calc!$B813,Calc!O813,"")</f>
        <v/>
      </c>
    </row>
    <row r="814">
      <c r="A814" s="16">
        <f>IF(Calc!$B814,Calc!E814,"")</f>
        <v/>
      </c>
      <c r="B814">
        <f>IF(Calc!$B814,INDEX(MineNames,Calc!C814),"")</f>
        <v/>
      </c>
      <c r="C814" s="17">
        <f>IF(Calc!$B814,Calc!O814,"")</f>
        <v/>
      </c>
    </row>
    <row r="815">
      <c r="A815" s="16">
        <f>IF(Calc!$B815,Calc!E815,"")</f>
        <v/>
      </c>
      <c r="B815">
        <f>IF(Calc!$B815,INDEX(MineNames,Calc!C815),"")</f>
        <v/>
      </c>
      <c r="C815" s="17">
        <f>IF(Calc!$B815,Calc!O815,"")</f>
        <v/>
      </c>
    </row>
    <row r="816">
      <c r="A816" s="16">
        <f>IF(Calc!$B816,Calc!E816,"")</f>
        <v/>
      </c>
      <c r="B816">
        <f>IF(Calc!$B816,INDEX(MineNames,Calc!C816),"")</f>
        <v/>
      </c>
      <c r="C816" s="17">
        <f>IF(Calc!$B816,Calc!O816,"")</f>
        <v/>
      </c>
    </row>
    <row r="817">
      <c r="A817" s="16">
        <f>IF(Calc!$B817,Calc!E817,"")</f>
        <v/>
      </c>
      <c r="B817">
        <f>IF(Calc!$B817,INDEX(MineNames,Calc!C817),"")</f>
        <v/>
      </c>
      <c r="C817" s="17">
        <f>IF(Calc!$B817,Calc!O817,"")</f>
        <v/>
      </c>
    </row>
    <row r="818">
      <c r="A818" s="16">
        <f>IF(Calc!$B818,Calc!E818,"")</f>
        <v/>
      </c>
      <c r="B818">
        <f>IF(Calc!$B818,INDEX(MineNames,Calc!C818),"")</f>
        <v/>
      </c>
      <c r="C818" s="17">
        <f>IF(Calc!$B818,Calc!O818,"")</f>
        <v/>
      </c>
    </row>
    <row r="819">
      <c r="A819" s="16">
        <f>IF(Calc!$B819,Calc!E819,"")</f>
        <v/>
      </c>
      <c r="B819">
        <f>IF(Calc!$B819,INDEX(MineNames,Calc!C819),"")</f>
        <v/>
      </c>
      <c r="C819" s="17">
        <f>IF(Calc!$B819,Calc!O819,"")</f>
        <v/>
      </c>
    </row>
    <row r="820">
      <c r="A820" s="16">
        <f>IF(Calc!$B820,Calc!E820,"")</f>
        <v/>
      </c>
      <c r="B820">
        <f>IF(Calc!$B820,INDEX(MineNames,Calc!C820),"")</f>
        <v/>
      </c>
      <c r="C820" s="17">
        <f>IF(Calc!$B820,Calc!O820,"")</f>
        <v/>
      </c>
    </row>
    <row r="821">
      <c r="A821" s="16">
        <f>IF(Calc!$B821,Calc!E821,"")</f>
        <v/>
      </c>
      <c r="B821">
        <f>IF(Calc!$B821,INDEX(MineNames,Calc!C821),"")</f>
        <v/>
      </c>
      <c r="C821" s="17">
        <f>IF(Calc!$B821,Calc!O821,"")</f>
        <v/>
      </c>
    </row>
    <row r="822">
      <c r="A822" s="16">
        <f>IF(Calc!$B822,Calc!E822,"")</f>
        <v/>
      </c>
      <c r="B822">
        <f>IF(Calc!$B822,INDEX(MineNames,Calc!C822),"")</f>
        <v/>
      </c>
      <c r="C822" s="17">
        <f>IF(Calc!$B822,Calc!O822,"")</f>
        <v/>
      </c>
    </row>
    <row r="823">
      <c r="A823" s="16">
        <f>IF(Calc!$B823,Calc!E823,"")</f>
        <v/>
      </c>
      <c r="B823">
        <f>IF(Calc!$B823,INDEX(MineNames,Calc!C823),"")</f>
        <v/>
      </c>
      <c r="C823" s="17">
        <f>IF(Calc!$B823,Calc!O823,"")</f>
        <v/>
      </c>
    </row>
    <row r="824">
      <c r="A824" s="16">
        <f>IF(Calc!$B824,Calc!E824,"")</f>
        <v/>
      </c>
      <c r="B824">
        <f>IF(Calc!$B824,INDEX(MineNames,Calc!C824),"")</f>
        <v/>
      </c>
      <c r="C824" s="17">
        <f>IF(Calc!$B824,Calc!O824,"")</f>
        <v/>
      </c>
    </row>
    <row r="825">
      <c r="A825" s="16">
        <f>IF(Calc!$B825,Calc!E825,"")</f>
        <v/>
      </c>
      <c r="B825">
        <f>IF(Calc!$B825,INDEX(MineNames,Calc!C825),"")</f>
        <v/>
      </c>
      <c r="C825" s="17">
        <f>IF(Calc!$B825,Calc!O825,"")</f>
        <v/>
      </c>
    </row>
    <row r="826">
      <c r="A826" s="16">
        <f>IF(Calc!$B826,Calc!E826,"")</f>
        <v/>
      </c>
      <c r="B826">
        <f>IF(Calc!$B826,INDEX(MineNames,Calc!C826),"")</f>
        <v/>
      </c>
      <c r="C826" s="17">
        <f>IF(Calc!$B826,Calc!O826,"")</f>
        <v/>
      </c>
    </row>
    <row r="827">
      <c r="A827" s="16">
        <f>IF(Calc!$B827,Calc!E827,"")</f>
        <v/>
      </c>
      <c r="B827">
        <f>IF(Calc!$B827,INDEX(MineNames,Calc!C827),"")</f>
        <v/>
      </c>
      <c r="C827" s="17">
        <f>IF(Calc!$B827,Calc!O827,"")</f>
        <v/>
      </c>
    </row>
    <row r="828">
      <c r="A828" s="16">
        <f>IF(Calc!$B828,Calc!E828,"")</f>
        <v/>
      </c>
      <c r="B828">
        <f>IF(Calc!$B828,INDEX(MineNames,Calc!C828),"")</f>
        <v/>
      </c>
      <c r="C828" s="17">
        <f>IF(Calc!$B828,Calc!O828,"")</f>
        <v/>
      </c>
    </row>
    <row r="829">
      <c r="A829" s="16">
        <f>IF(Calc!$B829,Calc!E829,"")</f>
        <v/>
      </c>
      <c r="B829">
        <f>IF(Calc!$B829,INDEX(MineNames,Calc!C829),"")</f>
        <v/>
      </c>
      <c r="C829" s="17">
        <f>IF(Calc!$B829,Calc!O829,"")</f>
        <v/>
      </c>
    </row>
    <row r="830">
      <c r="A830" s="16">
        <f>IF(Calc!$B830,Calc!E830,"")</f>
        <v/>
      </c>
      <c r="B830">
        <f>IF(Calc!$B830,INDEX(MineNames,Calc!C830),"")</f>
        <v/>
      </c>
      <c r="C830" s="17">
        <f>IF(Calc!$B830,Calc!O830,"")</f>
        <v/>
      </c>
    </row>
    <row r="831">
      <c r="A831" s="16">
        <f>IF(Calc!$B831,Calc!E831,"")</f>
        <v/>
      </c>
      <c r="B831">
        <f>IF(Calc!$B831,INDEX(MineNames,Calc!C831),"")</f>
        <v/>
      </c>
      <c r="C831" s="17">
        <f>IF(Calc!$B831,Calc!O831,"")</f>
        <v/>
      </c>
    </row>
    <row r="832">
      <c r="A832" s="16">
        <f>IF(Calc!$B832,Calc!E832,"")</f>
        <v/>
      </c>
      <c r="B832">
        <f>IF(Calc!$B832,INDEX(MineNames,Calc!C832),"")</f>
        <v/>
      </c>
      <c r="C832" s="17">
        <f>IF(Calc!$B832,Calc!O832,"")</f>
        <v/>
      </c>
    </row>
    <row r="833">
      <c r="A833" s="16">
        <f>IF(Calc!$B833,Calc!E833,"")</f>
        <v/>
      </c>
      <c r="B833">
        <f>IF(Calc!$B833,INDEX(MineNames,Calc!C833),"")</f>
        <v/>
      </c>
      <c r="C833" s="17">
        <f>IF(Calc!$B833,Calc!O833,"")</f>
        <v/>
      </c>
    </row>
    <row r="834">
      <c r="A834" s="16">
        <f>IF(Calc!$B834,Calc!E834,"")</f>
        <v/>
      </c>
      <c r="B834">
        <f>IF(Calc!$B834,INDEX(MineNames,Calc!C834),"")</f>
        <v/>
      </c>
      <c r="C834" s="17">
        <f>IF(Calc!$B834,Calc!O834,"")</f>
        <v/>
      </c>
    </row>
    <row r="835">
      <c r="A835" s="16">
        <f>IF(Calc!$B835,Calc!E835,"")</f>
        <v/>
      </c>
      <c r="B835">
        <f>IF(Calc!$B835,INDEX(MineNames,Calc!C835),"")</f>
        <v/>
      </c>
      <c r="C835" s="17">
        <f>IF(Calc!$B835,Calc!O835,"")</f>
        <v/>
      </c>
    </row>
    <row r="836">
      <c r="A836" s="16">
        <f>IF(Calc!$B836,Calc!E836,"")</f>
        <v/>
      </c>
      <c r="B836">
        <f>IF(Calc!$B836,INDEX(MineNames,Calc!C836),"")</f>
        <v/>
      </c>
      <c r="C836" s="17">
        <f>IF(Calc!$B836,Calc!O836,"")</f>
        <v/>
      </c>
    </row>
    <row r="837">
      <c r="A837" s="16">
        <f>IF(Calc!$B837,Calc!E837,"")</f>
        <v/>
      </c>
      <c r="B837">
        <f>IF(Calc!$B837,INDEX(MineNames,Calc!C837),"")</f>
        <v/>
      </c>
      <c r="C837" s="17">
        <f>IF(Calc!$B837,Calc!O837,"")</f>
        <v/>
      </c>
    </row>
    <row r="838">
      <c r="A838" s="16">
        <f>IF(Calc!$B838,Calc!E838,"")</f>
        <v/>
      </c>
      <c r="B838">
        <f>IF(Calc!$B838,INDEX(MineNames,Calc!C838),"")</f>
        <v/>
      </c>
      <c r="C838" s="17">
        <f>IF(Calc!$B838,Calc!O838,"")</f>
        <v/>
      </c>
    </row>
    <row r="839">
      <c r="A839" s="16">
        <f>IF(Calc!$B839,Calc!E839,"")</f>
        <v/>
      </c>
      <c r="B839">
        <f>IF(Calc!$B839,INDEX(MineNames,Calc!C839),"")</f>
        <v/>
      </c>
      <c r="C839" s="17">
        <f>IF(Calc!$B839,Calc!O839,"")</f>
        <v/>
      </c>
    </row>
    <row r="840">
      <c r="A840" s="16">
        <f>IF(Calc!$B840,Calc!E840,"")</f>
        <v/>
      </c>
      <c r="B840">
        <f>IF(Calc!$B840,INDEX(MineNames,Calc!C840),"")</f>
        <v/>
      </c>
      <c r="C840" s="17">
        <f>IF(Calc!$B840,Calc!O840,"")</f>
        <v/>
      </c>
    </row>
    <row r="841">
      <c r="A841" s="16">
        <f>IF(Calc!$B841,Calc!E841,"")</f>
        <v/>
      </c>
      <c r="B841">
        <f>IF(Calc!$B841,INDEX(MineNames,Calc!C841),"")</f>
        <v/>
      </c>
      <c r="C841" s="17">
        <f>IF(Calc!$B841,Calc!O841,"")</f>
        <v/>
      </c>
    </row>
    <row r="842">
      <c r="A842" s="16">
        <f>IF(Calc!$B842,Calc!E842,"")</f>
        <v/>
      </c>
      <c r="B842">
        <f>IF(Calc!$B842,INDEX(MineNames,Calc!C842),"")</f>
        <v/>
      </c>
      <c r="C842" s="17">
        <f>IF(Calc!$B842,Calc!O842,"")</f>
        <v/>
      </c>
    </row>
    <row r="843">
      <c r="A843" s="16">
        <f>IF(Calc!$B843,Calc!E843,"")</f>
        <v/>
      </c>
      <c r="B843">
        <f>IF(Calc!$B843,INDEX(MineNames,Calc!C843),"")</f>
        <v/>
      </c>
      <c r="C843" s="17">
        <f>IF(Calc!$B843,Calc!O843,"")</f>
        <v/>
      </c>
    </row>
    <row r="844">
      <c r="A844" s="16">
        <f>IF(Calc!$B844,Calc!E844,"")</f>
        <v/>
      </c>
      <c r="B844">
        <f>IF(Calc!$B844,INDEX(MineNames,Calc!C844),"")</f>
        <v/>
      </c>
      <c r="C844" s="17">
        <f>IF(Calc!$B844,Calc!O844,"")</f>
        <v/>
      </c>
    </row>
    <row r="845">
      <c r="A845" s="16">
        <f>IF(Calc!$B845,Calc!E845,"")</f>
        <v/>
      </c>
      <c r="B845">
        <f>IF(Calc!$B845,INDEX(MineNames,Calc!C845),"")</f>
        <v/>
      </c>
      <c r="C845" s="17">
        <f>IF(Calc!$B845,Calc!O845,"")</f>
        <v/>
      </c>
    </row>
    <row r="846">
      <c r="A846" s="16">
        <f>IF(Calc!$B846,Calc!E846,"")</f>
        <v/>
      </c>
      <c r="B846">
        <f>IF(Calc!$B846,INDEX(MineNames,Calc!C846),"")</f>
        <v/>
      </c>
      <c r="C846" s="17">
        <f>IF(Calc!$B846,Calc!O846,"")</f>
        <v/>
      </c>
    </row>
    <row r="847">
      <c r="A847" s="16">
        <f>IF(Calc!$B847,Calc!E847,"")</f>
        <v/>
      </c>
      <c r="B847">
        <f>IF(Calc!$B847,INDEX(MineNames,Calc!C847),"")</f>
        <v/>
      </c>
      <c r="C847" s="17">
        <f>IF(Calc!$B847,Calc!O847,"")</f>
        <v/>
      </c>
    </row>
    <row r="848">
      <c r="A848" s="16">
        <f>IF(Calc!$B848,Calc!E848,"")</f>
        <v/>
      </c>
      <c r="B848">
        <f>IF(Calc!$B848,INDEX(MineNames,Calc!C848),"")</f>
        <v/>
      </c>
      <c r="C848" s="17">
        <f>IF(Calc!$B848,Calc!O848,"")</f>
        <v/>
      </c>
    </row>
    <row r="849">
      <c r="A849" s="16">
        <f>IF(Calc!$B849,Calc!E849,"")</f>
        <v/>
      </c>
      <c r="B849">
        <f>IF(Calc!$B849,INDEX(MineNames,Calc!C849),"")</f>
        <v/>
      </c>
      <c r="C849" s="17">
        <f>IF(Calc!$B849,Calc!O849,"")</f>
        <v/>
      </c>
    </row>
    <row r="850">
      <c r="A850" s="16">
        <f>IF(Calc!$B850,Calc!E850,"")</f>
        <v/>
      </c>
      <c r="B850">
        <f>IF(Calc!$B850,INDEX(MineNames,Calc!C850),"")</f>
        <v/>
      </c>
      <c r="C850" s="17">
        <f>IF(Calc!$B850,Calc!O850,"")</f>
        <v/>
      </c>
    </row>
    <row r="851">
      <c r="A851" s="16">
        <f>IF(Calc!$B851,Calc!E851,"")</f>
        <v/>
      </c>
      <c r="B851">
        <f>IF(Calc!$B851,INDEX(MineNames,Calc!C851),"")</f>
        <v/>
      </c>
      <c r="C851" s="17">
        <f>IF(Calc!$B851,Calc!O851,"")</f>
        <v/>
      </c>
    </row>
    <row r="852">
      <c r="A852" s="16">
        <f>IF(Calc!$B852,Calc!E852,"")</f>
        <v/>
      </c>
      <c r="B852">
        <f>IF(Calc!$B852,INDEX(MineNames,Calc!C852),"")</f>
        <v/>
      </c>
      <c r="C852" s="17">
        <f>IF(Calc!$B852,Calc!O852,"")</f>
        <v/>
      </c>
    </row>
    <row r="853">
      <c r="A853" s="16">
        <f>IF(Calc!$B853,Calc!E853,"")</f>
        <v/>
      </c>
      <c r="B853">
        <f>IF(Calc!$B853,INDEX(MineNames,Calc!C853),"")</f>
        <v/>
      </c>
      <c r="C853" s="17">
        <f>IF(Calc!$B853,Calc!O853,"")</f>
        <v/>
      </c>
    </row>
    <row r="854">
      <c r="A854" s="16">
        <f>IF(Calc!$B854,Calc!E854,"")</f>
        <v/>
      </c>
      <c r="B854">
        <f>IF(Calc!$B854,INDEX(MineNames,Calc!C854),"")</f>
        <v/>
      </c>
      <c r="C854" s="17">
        <f>IF(Calc!$B854,Calc!O854,"")</f>
        <v/>
      </c>
    </row>
    <row r="855">
      <c r="A855" s="16">
        <f>IF(Calc!$B855,Calc!E855,"")</f>
        <v/>
      </c>
      <c r="B855">
        <f>IF(Calc!$B855,INDEX(MineNames,Calc!C855),"")</f>
        <v/>
      </c>
      <c r="C855" s="17">
        <f>IF(Calc!$B855,Calc!O855,"")</f>
        <v/>
      </c>
    </row>
    <row r="856">
      <c r="A856" s="16">
        <f>IF(Calc!$B856,Calc!E856,"")</f>
        <v/>
      </c>
      <c r="B856">
        <f>IF(Calc!$B856,INDEX(MineNames,Calc!C856),"")</f>
        <v/>
      </c>
      <c r="C856" s="17">
        <f>IF(Calc!$B856,Calc!O856,"")</f>
        <v/>
      </c>
    </row>
    <row r="857">
      <c r="A857" s="16">
        <f>IF(Calc!$B857,Calc!E857,"")</f>
        <v/>
      </c>
      <c r="B857">
        <f>IF(Calc!$B857,INDEX(MineNames,Calc!C857),"")</f>
        <v/>
      </c>
      <c r="C857" s="17">
        <f>IF(Calc!$B857,Calc!O857,"")</f>
        <v/>
      </c>
    </row>
    <row r="858">
      <c r="A858" s="16">
        <f>IF(Calc!$B858,Calc!E858,"")</f>
        <v/>
      </c>
      <c r="B858">
        <f>IF(Calc!$B858,INDEX(MineNames,Calc!C858),"")</f>
        <v/>
      </c>
      <c r="C858" s="17">
        <f>IF(Calc!$B858,Calc!O858,"")</f>
        <v/>
      </c>
    </row>
    <row r="859">
      <c r="A859" s="16">
        <f>IF(Calc!$B859,Calc!E859,"")</f>
        <v/>
      </c>
      <c r="B859">
        <f>IF(Calc!$B859,INDEX(MineNames,Calc!C859),"")</f>
        <v/>
      </c>
      <c r="C859" s="17">
        <f>IF(Calc!$B859,Calc!O859,"")</f>
        <v/>
      </c>
    </row>
    <row r="860">
      <c r="A860" s="16">
        <f>IF(Calc!$B860,Calc!E860,"")</f>
        <v/>
      </c>
      <c r="B860">
        <f>IF(Calc!$B860,INDEX(MineNames,Calc!C860),"")</f>
        <v/>
      </c>
      <c r="C860" s="17">
        <f>IF(Calc!$B860,Calc!O860,"")</f>
        <v/>
      </c>
    </row>
    <row r="861">
      <c r="A861" s="16">
        <f>IF(Calc!$B861,Calc!E861,"")</f>
        <v/>
      </c>
      <c r="B861">
        <f>IF(Calc!$B861,INDEX(MineNames,Calc!C861),"")</f>
        <v/>
      </c>
      <c r="C861" s="17">
        <f>IF(Calc!$B861,Calc!O861,"")</f>
        <v/>
      </c>
    </row>
    <row r="862">
      <c r="A862" s="16">
        <f>IF(Calc!$B862,Calc!E862,"")</f>
        <v/>
      </c>
      <c r="B862">
        <f>IF(Calc!$B862,INDEX(MineNames,Calc!C862),"")</f>
        <v/>
      </c>
      <c r="C862" s="17">
        <f>IF(Calc!$B862,Calc!O862,"")</f>
        <v/>
      </c>
    </row>
    <row r="863">
      <c r="A863" s="16">
        <f>IF(Calc!$B863,Calc!E863,"")</f>
        <v/>
      </c>
      <c r="B863">
        <f>IF(Calc!$B863,INDEX(MineNames,Calc!C863),"")</f>
        <v/>
      </c>
      <c r="C863" s="17">
        <f>IF(Calc!$B863,Calc!O863,"")</f>
        <v/>
      </c>
    </row>
    <row r="864">
      <c r="A864" s="16">
        <f>IF(Calc!$B864,Calc!E864,"")</f>
        <v/>
      </c>
      <c r="B864">
        <f>IF(Calc!$B864,INDEX(MineNames,Calc!C864),"")</f>
        <v/>
      </c>
      <c r="C864" s="17">
        <f>IF(Calc!$B864,Calc!O864,"")</f>
        <v/>
      </c>
    </row>
    <row r="865">
      <c r="A865" s="16">
        <f>IF(Calc!$B865,Calc!E865,"")</f>
        <v/>
      </c>
      <c r="B865">
        <f>IF(Calc!$B865,INDEX(MineNames,Calc!C865),"")</f>
        <v/>
      </c>
      <c r="C865" s="17">
        <f>IF(Calc!$B865,Calc!O865,"")</f>
        <v/>
      </c>
    </row>
    <row r="866">
      <c r="A866" s="16">
        <f>IF(Calc!$B866,Calc!E866,"")</f>
        <v/>
      </c>
      <c r="B866">
        <f>IF(Calc!$B866,INDEX(MineNames,Calc!C866),"")</f>
        <v/>
      </c>
      <c r="C866" s="17">
        <f>IF(Calc!$B866,Calc!O866,"")</f>
        <v/>
      </c>
    </row>
    <row r="867">
      <c r="A867" s="16">
        <f>IF(Calc!$B867,Calc!E867,"")</f>
        <v/>
      </c>
      <c r="B867">
        <f>IF(Calc!$B867,INDEX(MineNames,Calc!C867),"")</f>
        <v/>
      </c>
      <c r="C867" s="17">
        <f>IF(Calc!$B867,Calc!O867,"")</f>
        <v/>
      </c>
    </row>
    <row r="868">
      <c r="A868" s="16">
        <f>IF(Calc!$B868,Calc!E868,"")</f>
        <v/>
      </c>
      <c r="B868">
        <f>IF(Calc!$B868,INDEX(MineNames,Calc!C868),"")</f>
        <v/>
      </c>
      <c r="C868" s="17">
        <f>IF(Calc!$B868,Calc!O868,"")</f>
        <v/>
      </c>
    </row>
    <row r="869">
      <c r="A869" s="16">
        <f>IF(Calc!$B869,Calc!E869,"")</f>
        <v/>
      </c>
      <c r="B869">
        <f>IF(Calc!$B869,INDEX(MineNames,Calc!C869),"")</f>
        <v/>
      </c>
      <c r="C869" s="17">
        <f>IF(Calc!$B869,Calc!O869,"")</f>
        <v/>
      </c>
    </row>
    <row r="870">
      <c r="A870" s="16">
        <f>IF(Calc!$B870,Calc!E870,"")</f>
        <v/>
      </c>
      <c r="B870">
        <f>IF(Calc!$B870,INDEX(MineNames,Calc!C870),"")</f>
        <v/>
      </c>
      <c r="C870" s="17">
        <f>IF(Calc!$B870,Calc!O870,"")</f>
        <v/>
      </c>
    </row>
    <row r="871">
      <c r="A871" s="16">
        <f>IF(Calc!$B871,Calc!E871,"")</f>
        <v/>
      </c>
      <c r="B871">
        <f>IF(Calc!$B871,INDEX(MineNames,Calc!C871),"")</f>
        <v/>
      </c>
      <c r="C871" s="17">
        <f>IF(Calc!$B871,Calc!O871,"")</f>
        <v/>
      </c>
    </row>
    <row r="872">
      <c r="A872" s="16">
        <f>IF(Calc!$B872,Calc!E872,"")</f>
        <v/>
      </c>
      <c r="B872">
        <f>IF(Calc!$B872,INDEX(MineNames,Calc!C872),"")</f>
        <v/>
      </c>
      <c r="C872" s="17">
        <f>IF(Calc!$B872,Calc!O872,"")</f>
        <v/>
      </c>
    </row>
    <row r="873">
      <c r="A873" s="16">
        <f>IF(Calc!$B873,Calc!E873,"")</f>
        <v/>
      </c>
      <c r="B873">
        <f>IF(Calc!$B873,INDEX(MineNames,Calc!C873),"")</f>
        <v/>
      </c>
      <c r="C873" s="17">
        <f>IF(Calc!$B873,Calc!O873,"")</f>
        <v/>
      </c>
    </row>
    <row r="874">
      <c r="A874" s="16">
        <f>IF(Calc!$B874,Calc!E874,"")</f>
        <v/>
      </c>
      <c r="B874">
        <f>IF(Calc!$B874,INDEX(MineNames,Calc!C874),"")</f>
        <v/>
      </c>
      <c r="C874" s="17">
        <f>IF(Calc!$B874,Calc!O874,"")</f>
        <v/>
      </c>
    </row>
    <row r="875">
      <c r="A875" s="16">
        <f>IF(Calc!$B875,Calc!E875,"")</f>
        <v/>
      </c>
      <c r="B875">
        <f>IF(Calc!$B875,INDEX(MineNames,Calc!C875),"")</f>
        <v/>
      </c>
      <c r="C875" s="17">
        <f>IF(Calc!$B875,Calc!O875,"")</f>
        <v/>
      </c>
    </row>
    <row r="876">
      <c r="A876" s="16">
        <f>IF(Calc!$B876,Calc!E876,"")</f>
        <v/>
      </c>
      <c r="B876">
        <f>IF(Calc!$B876,INDEX(MineNames,Calc!C876),"")</f>
        <v/>
      </c>
      <c r="C876" s="17">
        <f>IF(Calc!$B876,Calc!O876,"")</f>
        <v/>
      </c>
    </row>
    <row r="877">
      <c r="A877" s="16">
        <f>IF(Calc!$B877,Calc!E877,"")</f>
        <v/>
      </c>
      <c r="B877">
        <f>IF(Calc!$B877,INDEX(MineNames,Calc!C877),"")</f>
        <v/>
      </c>
      <c r="C877" s="17">
        <f>IF(Calc!$B877,Calc!O877,"")</f>
        <v/>
      </c>
    </row>
    <row r="878">
      <c r="A878" s="16">
        <f>IF(Calc!$B878,Calc!E878,"")</f>
        <v/>
      </c>
      <c r="B878">
        <f>IF(Calc!$B878,INDEX(MineNames,Calc!C878),"")</f>
        <v/>
      </c>
      <c r="C878" s="17">
        <f>IF(Calc!$B878,Calc!O878,"")</f>
        <v/>
      </c>
    </row>
    <row r="879">
      <c r="A879" s="16">
        <f>IF(Calc!$B879,Calc!E879,"")</f>
        <v/>
      </c>
      <c r="B879">
        <f>IF(Calc!$B879,INDEX(MineNames,Calc!C879),"")</f>
        <v/>
      </c>
      <c r="C879" s="17">
        <f>IF(Calc!$B879,Calc!O879,"")</f>
        <v/>
      </c>
    </row>
    <row r="880">
      <c r="A880" s="16">
        <f>IF(Calc!$B880,Calc!E880,"")</f>
        <v/>
      </c>
      <c r="B880">
        <f>IF(Calc!$B880,INDEX(MineNames,Calc!C880),"")</f>
        <v/>
      </c>
      <c r="C880" s="17">
        <f>IF(Calc!$B880,Calc!O880,"")</f>
        <v/>
      </c>
    </row>
    <row r="881">
      <c r="A881" s="16">
        <f>IF(Calc!$B881,Calc!E881,"")</f>
        <v/>
      </c>
      <c r="B881">
        <f>IF(Calc!$B881,INDEX(MineNames,Calc!C881),"")</f>
        <v/>
      </c>
      <c r="C881" s="17">
        <f>IF(Calc!$B881,Calc!O881,"")</f>
        <v/>
      </c>
    </row>
    <row r="882">
      <c r="A882" s="16">
        <f>IF(Calc!$B882,Calc!E882,"")</f>
        <v/>
      </c>
      <c r="B882">
        <f>IF(Calc!$B882,INDEX(MineNames,Calc!C882),"")</f>
        <v/>
      </c>
      <c r="C882" s="17">
        <f>IF(Calc!$B882,Calc!O882,"")</f>
        <v/>
      </c>
    </row>
    <row r="883">
      <c r="A883" s="16">
        <f>IF(Calc!$B883,Calc!E883,"")</f>
        <v/>
      </c>
      <c r="B883">
        <f>IF(Calc!$B883,INDEX(MineNames,Calc!C883),"")</f>
        <v/>
      </c>
      <c r="C883" s="17">
        <f>IF(Calc!$B883,Calc!O883,"")</f>
        <v/>
      </c>
    </row>
    <row r="884">
      <c r="A884" s="16">
        <f>IF(Calc!$B884,Calc!E884,"")</f>
        <v/>
      </c>
      <c r="B884">
        <f>IF(Calc!$B884,INDEX(MineNames,Calc!C884),"")</f>
        <v/>
      </c>
      <c r="C884" s="17">
        <f>IF(Calc!$B884,Calc!O884,"")</f>
        <v/>
      </c>
    </row>
    <row r="885">
      <c r="A885" s="16">
        <f>IF(Calc!$B885,Calc!E885,"")</f>
        <v/>
      </c>
      <c r="B885">
        <f>IF(Calc!$B885,INDEX(MineNames,Calc!C885),"")</f>
        <v/>
      </c>
      <c r="C885" s="17">
        <f>IF(Calc!$B885,Calc!O885,"")</f>
        <v/>
      </c>
    </row>
    <row r="886">
      <c r="A886" s="16">
        <f>IF(Calc!$B886,Calc!E886,"")</f>
        <v/>
      </c>
      <c r="B886">
        <f>IF(Calc!$B886,INDEX(MineNames,Calc!C886),"")</f>
        <v/>
      </c>
      <c r="C886" s="17">
        <f>IF(Calc!$B886,Calc!O886,"")</f>
        <v/>
      </c>
    </row>
    <row r="887">
      <c r="A887" s="16">
        <f>IF(Calc!$B887,Calc!E887,"")</f>
        <v/>
      </c>
      <c r="B887">
        <f>IF(Calc!$B887,INDEX(MineNames,Calc!C887),"")</f>
        <v/>
      </c>
      <c r="C887" s="17">
        <f>IF(Calc!$B887,Calc!O887,"")</f>
        <v/>
      </c>
    </row>
    <row r="888">
      <c r="A888" s="16">
        <f>IF(Calc!$B888,Calc!E888,"")</f>
        <v/>
      </c>
      <c r="B888">
        <f>IF(Calc!$B888,INDEX(MineNames,Calc!C888),"")</f>
        <v/>
      </c>
      <c r="C888" s="17">
        <f>IF(Calc!$B888,Calc!O888,"")</f>
        <v/>
      </c>
    </row>
    <row r="889">
      <c r="A889" s="16">
        <f>IF(Calc!$B889,Calc!E889,"")</f>
        <v/>
      </c>
      <c r="B889">
        <f>IF(Calc!$B889,INDEX(MineNames,Calc!C889),"")</f>
        <v/>
      </c>
      <c r="C889" s="17">
        <f>IF(Calc!$B889,Calc!O889,"")</f>
        <v/>
      </c>
    </row>
    <row r="890">
      <c r="A890" s="16">
        <f>IF(Calc!$B890,Calc!E890,"")</f>
        <v/>
      </c>
      <c r="B890">
        <f>IF(Calc!$B890,INDEX(MineNames,Calc!C890),"")</f>
        <v/>
      </c>
      <c r="C890" s="17">
        <f>IF(Calc!$B890,Calc!O890,"")</f>
        <v/>
      </c>
    </row>
    <row r="891">
      <c r="A891" s="16">
        <f>IF(Calc!$B891,Calc!E891,"")</f>
        <v/>
      </c>
      <c r="B891">
        <f>IF(Calc!$B891,INDEX(MineNames,Calc!C891),"")</f>
        <v/>
      </c>
      <c r="C891" s="17">
        <f>IF(Calc!$B891,Calc!O891,"")</f>
        <v/>
      </c>
    </row>
    <row r="892">
      <c r="A892" s="16">
        <f>IF(Calc!$B892,Calc!E892,"")</f>
        <v/>
      </c>
      <c r="B892">
        <f>IF(Calc!$B892,INDEX(MineNames,Calc!C892),"")</f>
        <v/>
      </c>
      <c r="C892" s="17">
        <f>IF(Calc!$B892,Calc!O892,"")</f>
        <v/>
      </c>
    </row>
    <row r="893">
      <c r="A893" s="16">
        <f>IF(Calc!$B893,Calc!E893,"")</f>
        <v/>
      </c>
      <c r="B893">
        <f>IF(Calc!$B893,INDEX(MineNames,Calc!C893),"")</f>
        <v/>
      </c>
      <c r="C893" s="17">
        <f>IF(Calc!$B893,Calc!O893,"")</f>
        <v/>
      </c>
    </row>
    <row r="894">
      <c r="A894" s="16">
        <f>IF(Calc!$B894,Calc!E894,"")</f>
        <v/>
      </c>
      <c r="B894">
        <f>IF(Calc!$B894,INDEX(MineNames,Calc!C894),"")</f>
        <v/>
      </c>
      <c r="C894" s="17">
        <f>IF(Calc!$B894,Calc!O894,"")</f>
        <v/>
      </c>
    </row>
    <row r="895">
      <c r="A895" s="16">
        <f>IF(Calc!$B895,Calc!E895,"")</f>
        <v/>
      </c>
      <c r="B895">
        <f>IF(Calc!$B895,INDEX(MineNames,Calc!C895),"")</f>
        <v/>
      </c>
      <c r="C895" s="17">
        <f>IF(Calc!$B895,Calc!O895,"")</f>
        <v/>
      </c>
    </row>
    <row r="896">
      <c r="A896" s="16">
        <f>IF(Calc!$B896,Calc!E896,"")</f>
        <v/>
      </c>
      <c r="B896">
        <f>IF(Calc!$B896,INDEX(MineNames,Calc!C896),"")</f>
        <v/>
      </c>
      <c r="C896" s="17">
        <f>IF(Calc!$B896,Calc!O896,"")</f>
        <v/>
      </c>
    </row>
    <row r="897">
      <c r="A897" s="16">
        <f>IF(Calc!$B897,Calc!E897,"")</f>
        <v/>
      </c>
      <c r="B897">
        <f>IF(Calc!$B897,INDEX(MineNames,Calc!C897),"")</f>
        <v/>
      </c>
      <c r="C897" s="17">
        <f>IF(Calc!$B897,Calc!O897,"")</f>
        <v/>
      </c>
    </row>
    <row r="898">
      <c r="A898" s="16">
        <f>IF(Calc!$B898,Calc!E898,"")</f>
        <v/>
      </c>
      <c r="B898">
        <f>IF(Calc!$B898,INDEX(MineNames,Calc!C898),"")</f>
        <v/>
      </c>
      <c r="C898" s="17">
        <f>IF(Calc!$B898,Calc!O898,"")</f>
        <v/>
      </c>
    </row>
    <row r="899">
      <c r="A899" s="16">
        <f>IF(Calc!$B899,Calc!E899,"")</f>
        <v/>
      </c>
      <c r="B899">
        <f>IF(Calc!$B899,INDEX(MineNames,Calc!C899),"")</f>
        <v/>
      </c>
      <c r="C899" s="17">
        <f>IF(Calc!$B899,Calc!O899,"")</f>
        <v/>
      </c>
    </row>
    <row r="900">
      <c r="A900" s="16">
        <f>IF(Calc!$B900,Calc!E900,"")</f>
        <v/>
      </c>
      <c r="B900">
        <f>IF(Calc!$B900,INDEX(MineNames,Calc!C900),"")</f>
        <v/>
      </c>
      <c r="C900" s="17">
        <f>IF(Calc!$B900,Calc!O900,"")</f>
        <v/>
      </c>
    </row>
    <row r="901">
      <c r="A901" s="16">
        <f>IF(Calc!$B901,Calc!E901,"")</f>
        <v/>
      </c>
      <c r="B901">
        <f>IF(Calc!$B901,INDEX(MineNames,Calc!C901),"")</f>
        <v/>
      </c>
      <c r="C901" s="17">
        <f>IF(Calc!$B901,Calc!O901,"")</f>
        <v/>
      </c>
    </row>
    <row r="902">
      <c r="A902" s="16">
        <f>IF(Calc!$B902,Calc!E902,"")</f>
        <v/>
      </c>
      <c r="B902">
        <f>IF(Calc!$B902,INDEX(MineNames,Calc!C902),"")</f>
        <v/>
      </c>
      <c r="C902" s="17">
        <f>IF(Calc!$B902,Calc!O902,"")</f>
        <v/>
      </c>
    </row>
    <row r="903">
      <c r="A903" s="16">
        <f>IF(Calc!$B903,Calc!E903,"")</f>
        <v/>
      </c>
      <c r="B903">
        <f>IF(Calc!$B903,INDEX(MineNames,Calc!C903),"")</f>
        <v/>
      </c>
      <c r="C903" s="17">
        <f>IF(Calc!$B903,Calc!O903,"")</f>
        <v/>
      </c>
    </row>
    <row r="904">
      <c r="A904" s="16">
        <f>IF(Calc!$B904,Calc!E904,"")</f>
        <v/>
      </c>
      <c r="B904">
        <f>IF(Calc!$B904,INDEX(MineNames,Calc!C904),"")</f>
        <v/>
      </c>
      <c r="C904" s="17">
        <f>IF(Calc!$B904,Calc!O904,"")</f>
        <v/>
      </c>
    </row>
    <row r="905">
      <c r="A905" s="16">
        <f>IF(Calc!$B905,Calc!E905,"")</f>
        <v/>
      </c>
      <c r="B905">
        <f>IF(Calc!$B905,INDEX(MineNames,Calc!C905),"")</f>
        <v/>
      </c>
      <c r="C905" s="17">
        <f>IF(Calc!$B905,Calc!O905,"")</f>
        <v/>
      </c>
    </row>
    <row r="906">
      <c r="A906" s="16">
        <f>IF(Calc!$B906,Calc!E906,"")</f>
        <v/>
      </c>
      <c r="B906">
        <f>IF(Calc!$B906,INDEX(MineNames,Calc!C906),"")</f>
        <v/>
      </c>
      <c r="C906" s="17">
        <f>IF(Calc!$B906,Calc!O906,"")</f>
        <v/>
      </c>
    </row>
    <row r="907">
      <c r="A907" s="16">
        <f>IF(Calc!$B907,Calc!E907,"")</f>
        <v/>
      </c>
      <c r="B907">
        <f>IF(Calc!$B907,INDEX(MineNames,Calc!C907),"")</f>
        <v/>
      </c>
      <c r="C907" s="17">
        <f>IF(Calc!$B907,Calc!O907,"")</f>
        <v/>
      </c>
    </row>
    <row r="908">
      <c r="A908" s="16">
        <f>IF(Calc!$B908,Calc!E908,"")</f>
        <v/>
      </c>
      <c r="B908">
        <f>IF(Calc!$B908,INDEX(MineNames,Calc!C908),"")</f>
        <v/>
      </c>
      <c r="C908" s="17">
        <f>IF(Calc!$B908,Calc!O908,"")</f>
        <v/>
      </c>
    </row>
    <row r="909">
      <c r="A909" s="16">
        <f>IF(Calc!$B909,Calc!E909,"")</f>
        <v/>
      </c>
      <c r="B909">
        <f>IF(Calc!$B909,INDEX(MineNames,Calc!C909),"")</f>
        <v/>
      </c>
      <c r="C909" s="17">
        <f>IF(Calc!$B909,Calc!O909,"")</f>
        <v/>
      </c>
    </row>
    <row r="910">
      <c r="A910" s="16">
        <f>IF(Calc!$B910,Calc!E910,"")</f>
        <v/>
      </c>
      <c r="B910">
        <f>IF(Calc!$B910,INDEX(MineNames,Calc!C910),"")</f>
        <v/>
      </c>
      <c r="C910" s="17">
        <f>IF(Calc!$B910,Calc!O910,"")</f>
        <v/>
      </c>
    </row>
    <row r="911">
      <c r="A911" s="16">
        <f>IF(Calc!$B911,Calc!E911,"")</f>
        <v/>
      </c>
      <c r="B911">
        <f>IF(Calc!$B911,INDEX(MineNames,Calc!C911),"")</f>
        <v/>
      </c>
      <c r="C911" s="17">
        <f>IF(Calc!$B911,Calc!O911,"")</f>
        <v/>
      </c>
    </row>
    <row r="912">
      <c r="A912" s="16">
        <f>IF(Calc!$B912,Calc!E912,"")</f>
        <v/>
      </c>
      <c r="B912">
        <f>IF(Calc!$B912,INDEX(MineNames,Calc!C912),"")</f>
        <v/>
      </c>
      <c r="C912" s="17">
        <f>IF(Calc!$B912,Calc!O912,"")</f>
        <v/>
      </c>
    </row>
    <row r="913">
      <c r="A913" s="16">
        <f>IF(Calc!$B913,Calc!E913,"")</f>
        <v/>
      </c>
      <c r="B913">
        <f>IF(Calc!$B913,INDEX(MineNames,Calc!C913),"")</f>
        <v/>
      </c>
      <c r="C913" s="17">
        <f>IF(Calc!$B913,Calc!O913,"")</f>
        <v/>
      </c>
    </row>
    <row r="914">
      <c r="A914" s="16">
        <f>IF(Calc!$B914,Calc!E914,"")</f>
        <v/>
      </c>
      <c r="B914">
        <f>IF(Calc!$B914,INDEX(MineNames,Calc!C914),"")</f>
        <v/>
      </c>
      <c r="C914" s="17">
        <f>IF(Calc!$B914,Calc!O914,"")</f>
        <v/>
      </c>
    </row>
    <row r="915">
      <c r="A915" s="16">
        <f>IF(Calc!$B915,Calc!E915,"")</f>
        <v/>
      </c>
      <c r="B915">
        <f>IF(Calc!$B915,INDEX(MineNames,Calc!C915),"")</f>
        <v/>
      </c>
      <c r="C915" s="17">
        <f>IF(Calc!$B915,Calc!O915,"")</f>
        <v/>
      </c>
    </row>
    <row r="916">
      <c r="A916" s="16">
        <f>IF(Calc!$B916,Calc!E916,"")</f>
        <v/>
      </c>
      <c r="B916">
        <f>IF(Calc!$B916,INDEX(MineNames,Calc!C916),"")</f>
        <v/>
      </c>
      <c r="C916" s="17">
        <f>IF(Calc!$B916,Calc!O916,"")</f>
        <v/>
      </c>
    </row>
    <row r="917">
      <c r="A917" s="16">
        <f>IF(Calc!$B917,Calc!E917,"")</f>
        <v/>
      </c>
      <c r="B917">
        <f>IF(Calc!$B917,INDEX(MineNames,Calc!C917),"")</f>
        <v/>
      </c>
      <c r="C917" s="17">
        <f>IF(Calc!$B917,Calc!O917,"")</f>
        <v/>
      </c>
    </row>
    <row r="918">
      <c r="A918" s="16">
        <f>IF(Calc!$B918,Calc!E918,"")</f>
        <v/>
      </c>
      <c r="B918">
        <f>IF(Calc!$B918,INDEX(MineNames,Calc!C918),"")</f>
        <v/>
      </c>
      <c r="C918" s="17">
        <f>IF(Calc!$B918,Calc!O918,"")</f>
        <v/>
      </c>
    </row>
    <row r="919">
      <c r="A919" s="16">
        <f>IF(Calc!$B919,Calc!E919,"")</f>
        <v/>
      </c>
      <c r="B919">
        <f>IF(Calc!$B919,INDEX(MineNames,Calc!C919),"")</f>
        <v/>
      </c>
      <c r="C919" s="17">
        <f>IF(Calc!$B919,Calc!O919,"")</f>
        <v/>
      </c>
    </row>
    <row r="920">
      <c r="A920" s="16">
        <f>IF(Calc!$B920,Calc!E920,"")</f>
        <v/>
      </c>
      <c r="B920">
        <f>IF(Calc!$B920,INDEX(MineNames,Calc!C920),"")</f>
        <v/>
      </c>
      <c r="C920" s="17">
        <f>IF(Calc!$B920,Calc!O920,"")</f>
        <v/>
      </c>
    </row>
    <row r="921">
      <c r="A921" s="16">
        <f>IF(Calc!$B921,Calc!E921,"")</f>
        <v/>
      </c>
      <c r="B921">
        <f>IF(Calc!$B921,INDEX(MineNames,Calc!C921),"")</f>
        <v/>
      </c>
      <c r="C921" s="17">
        <f>IF(Calc!$B921,Calc!O921,"")</f>
        <v/>
      </c>
    </row>
    <row r="922">
      <c r="A922" s="16">
        <f>IF(Calc!$B922,Calc!E922,"")</f>
        <v/>
      </c>
      <c r="B922">
        <f>IF(Calc!$B922,INDEX(MineNames,Calc!C922),"")</f>
        <v/>
      </c>
      <c r="C922" s="17">
        <f>IF(Calc!$B922,Calc!O922,"")</f>
        <v/>
      </c>
    </row>
    <row r="923">
      <c r="A923" s="16">
        <f>IF(Calc!$B923,Calc!E923,"")</f>
        <v/>
      </c>
      <c r="B923">
        <f>IF(Calc!$B923,INDEX(MineNames,Calc!C923),"")</f>
        <v/>
      </c>
      <c r="C923" s="17">
        <f>IF(Calc!$B923,Calc!O923,"")</f>
        <v/>
      </c>
    </row>
    <row r="924">
      <c r="A924" s="16">
        <f>IF(Calc!$B924,Calc!E924,"")</f>
        <v/>
      </c>
      <c r="B924">
        <f>IF(Calc!$B924,INDEX(MineNames,Calc!C924),"")</f>
        <v/>
      </c>
      <c r="C924" s="17">
        <f>IF(Calc!$B924,Calc!O924,"")</f>
        <v/>
      </c>
    </row>
    <row r="925">
      <c r="A925" s="16">
        <f>IF(Calc!$B925,Calc!E925,"")</f>
        <v/>
      </c>
      <c r="B925">
        <f>IF(Calc!$B925,INDEX(MineNames,Calc!C925),"")</f>
        <v/>
      </c>
      <c r="C925" s="17">
        <f>IF(Calc!$B925,Calc!O925,"")</f>
        <v/>
      </c>
    </row>
    <row r="926">
      <c r="A926" s="16">
        <f>IF(Calc!$B926,Calc!E926,"")</f>
        <v/>
      </c>
      <c r="B926">
        <f>IF(Calc!$B926,INDEX(MineNames,Calc!C926),"")</f>
        <v/>
      </c>
      <c r="C926" s="17">
        <f>IF(Calc!$B926,Calc!O926,"")</f>
        <v/>
      </c>
    </row>
    <row r="927">
      <c r="A927" s="16">
        <f>IF(Calc!$B927,Calc!E927,"")</f>
        <v/>
      </c>
      <c r="B927">
        <f>IF(Calc!$B927,INDEX(MineNames,Calc!C927),"")</f>
        <v/>
      </c>
      <c r="C927" s="17">
        <f>IF(Calc!$B927,Calc!O927,"")</f>
        <v/>
      </c>
    </row>
    <row r="928">
      <c r="A928" s="16">
        <f>IF(Calc!$B928,Calc!E928,"")</f>
        <v/>
      </c>
      <c r="B928">
        <f>IF(Calc!$B928,INDEX(MineNames,Calc!C928),"")</f>
        <v/>
      </c>
      <c r="C928" s="17">
        <f>IF(Calc!$B928,Calc!O928,"")</f>
        <v/>
      </c>
    </row>
    <row r="929">
      <c r="A929" s="16">
        <f>IF(Calc!$B929,Calc!E929,"")</f>
        <v/>
      </c>
      <c r="B929">
        <f>IF(Calc!$B929,INDEX(MineNames,Calc!C929),"")</f>
        <v/>
      </c>
      <c r="C929" s="17">
        <f>IF(Calc!$B929,Calc!O929,"")</f>
        <v/>
      </c>
    </row>
    <row r="930">
      <c r="A930" s="16">
        <f>IF(Calc!$B930,Calc!E930,"")</f>
        <v/>
      </c>
      <c r="B930">
        <f>IF(Calc!$B930,INDEX(MineNames,Calc!C930),"")</f>
        <v/>
      </c>
      <c r="C930" s="17">
        <f>IF(Calc!$B930,Calc!O930,"")</f>
        <v/>
      </c>
    </row>
    <row r="931">
      <c r="A931" s="16">
        <f>IF(Calc!$B931,Calc!E931,"")</f>
        <v/>
      </c>
      <c r="B931">
        <f>IF(Calc!$B931,INDEX(MineNames,Calc!C931),"")</f>
        <v/>
      </c>
      <c r="C931" s="17">
        <f>IF(Calc!$B931,Calc!O931,"")</f>
        <v/>
      </c>
    </row>
    <row r="932">
      <c r="A932" s="16">
        <f>IF(Calc!$B932,Calc!E932,"")</f>
        <v/>
      </c>
      <c r="B932">
        <f>IF(Calc!$B932,INDEX(MineNames,Calc!C932),"")</f>
        <v/>
      </c>
      <c r="C932" s="17">
        <f>IF(Calc!$B932,Calc!O932,"")</f>
        <v/>
      </c>
    </row>
    <row r="933">
      <c r="A933" s="16">
        <f>IF(Calc!$B933,Calc!E933,"")</f>
        <v/>
      </c>
      <c r="B933">
        <f>IF(Calc!$B933,INDEX(MineNames,Calc!C933),"")</f>
        <v/>
      </c>
      <c r="C933" s="17">
        <f>IF(Calc!$B933,Calc!O933,"")</f>
        <v/>
      </c>
    </row>
    <row r="934">
      <c r="A934" s="16">
        <f>IF(Calc!$B934,Calc!E934,"")</f>
        <v/>
      </c>
      <c r="B934">
        <f>IF(Calc!$B934,INDEX(MineNames,Calc!C934),"")</f>
        <v/>
      </c>
      <c r="C934" s="17">
        <f>IF(Calc!$B934,Calc!O934,"")</f>
        <v/>
      </c>
    </row>
    <row r="935">
      <c r="A935" s="16">
        <f>IF(Calc!$B935,Calc!E935,"")</f>
        <v/>
      </c>
      <c r="B935">
        <f>IF(Calc!$B935,INDEX(MineNames,Calc!C935),"")</f>
        <v/>
      </c>
      <c r="C935" s="17">
        <f>IF(Calc!$B935,Calc!O935,"")</f>
        <v/>
      </c>
    </row>
    <row r="936">
      <c r="A936" s="16">
        <f>IF(Calc!$B936,Calc!E936,"")</f>
        <v/>
      </c>
      <c r="B936">
        <f>IF(Calc!$B936,INDEX(MineNames,Calc!C936),"")</f>
        <v/>
      </c>
      <c r="C936" s="17">
        <f>IF(Calc!$B936,Calc!O936,"")</f>
        <v/>
      </c>
    </row>
    <row r="937">
      <c r="A937" s="16">
        <f>IF(Calc!$B937,Calc!E937,"")</f>
        <v/>
      </c>
      <c r="B937">
        <f>IF(Calc!$B937,INDEX(MineNames,Calc!C937),"")</f>
        <v/>
      </c>
      <c r="C937" s="17">
        <f>IF(Calc!$B937,Calc!O937,"")</f>
        <v/>
      </c>
    </row>
    <row r="938">
      <c r="A938" s="16">
        <f>IF(Calc!$B938,Calc!E938,"")</f>
        <v/>
      </c>
      <c r="B938">
        <f>IF(Calc!$B938,INDEX(MineNames,Calc!C938),"")</f>
        <v/>
      </c>
      <c r="C938" s="17">
        <f>IF(Calc!$B938,Calc!O938,"")</f>
        <v/>
      </c>
    </row>
    <row r="939">
      <c r="A939" s="16">
        <f>IF(Calc!$B939,Calc!E939,"")</f>
        <v/>
      </c>
      <c r="B939">
        <f>IF(Calc!$B939,INDEX(MineNames,Calc!C939),"")</f>
        <v/>
      </c>
      <c r="C939" s="17">
        <f>IF(Calc!$B939,Calc!O939,"")</f>
        <v/>
      </c>
    </row>
    <row r="940">
      <c r="A940" s="16">
        <f>IF(Calc!$B940,Calc!E940,"")</f>
        <v/>
      </c>
      <c r="B940">
        <f>IF(Calc!$B940,INDEX(MineNames,Calc!C940),"")</f>
        <v/>
      </c>
      <c r="C940" s="17">
        <f>IF(Calc!$B940,Calc!O940,"")</f>
        <v/>
      </c>
    </row>
    <row r="941">
      <c r="A941" s="16">
        <f>IF(Calc!$B941,Calc!E941,"")</f>
        <v/>
      </c>
      <c r="B941">
        <f>IF(Calc!$B941,INDEX(MineNames,Calc!C941),"")</f>
        <v/>
      </c>
      <c r="C941" s="17">
        <f>IF(Calc!$B941,Calc!O941,"")</f>
        <v/>
      </c>
    </row>
    <row r="942">
      <c r="A942" s="16">
        <f>IF(Calc!$B942,Calc!E942,"")</f>
        <v/>
      </c>
      <c r="B942">
        <f>IF(Calc!$B942,INDEX(MineNames,Calc!C942),"")</f>
        <v/>
      </c>
      <c r="C942" s="17">
        <f>IF(Calc!$B942,Calc!O942,"")</f>
        <v/>
      </c>
    </row>
    <row r="943">
      <c r="A943" s="16">
        <f>IF(Calc!$B943,Calc!E943,"")</f>
        <v/>
      </c>
      <c r="B943">
        <f>IF(Calc!$B943,INDEX(MineNames,Calc!C943),"")</f>
        <v/>
      </c>
      <c r="C943" s="17">
        <f>IF(Calc!$B943,Calc!O943,"")</f>
        <v/>
      </c>
    </row>
    <row r="944">
      <c r="A944" s="16">
        <f>IF(Calc!$B944,Calc!E944,"")</f>
        <v/>
      </c>
      <c r="B944">
        <f>IF(Calc!$B944,INDEX(MineNames,Calc!C944),"")</f>
        <v/>
      </c>
      <c r="C944" s="17">
        <f>IF(Calc!$B944,Calc!O944,"")</f>
        <v/>
      </c>
    </row>
    <row r="945">
      <c r="A945" s="16">
        <f>IF(Calc!$B945,Calc!E945,"")</f>
        <v/>
      </c>
      <c r="B945">
        <f>IF(Calc!$B945,INDEX(MineNames,Calc!C945),"")</f>
        <v/>
      </c>
      <c r="C945" s="17">
        <f>IF(Calc!$B945,Calc!O945,"")</f>
        <v/>
      </c>
    </row>
    <row r="946">
      <c r="A946" s="16">
        <f>IF(Calc!$B946,Calc!E946,"")</f>
        <v/>
      </c>
      <c r="B946">
        <f>IF(Calc!$B946,INDEX(MineNames,Calc!C946),"")</f>
        <v/>
      </c>
      <c r="C946" s="17">
        <f>IF(Calc!$B946,Calc!O946,"")</f>
        <v/>
      </c>
    </row>
    <row r="947">
      <c r="A947" s="16">
        <f>IF(Calc!$B947,Calc!E947,"")</f>
        <v/>
      </c>
      <c r="B947">
        <f>IF(Calc!$B947,INDEX(MineNames,Calc!C947),"")</f>
        <v/>
      </c>
      <c r="C947" s="17">
        <f>IF(Calc!$B947,Calc!O947,"")</f>
        <v/>
      </c>
    </row>
    <row r="948">
      <c r="A948" s="16">
        <f>IF(Calc!$B948,Calc!E948,"")</f>
        <v/>
      </c>
      <c r="B948">
        <f>IF(Calc!$B948,INDEX(MineNames,Calc!C948),"")</f>
        <v/>
      </c>
      <c r="C948" s="17">
        <f>IF(Calc!$B948,Calc!O948,"")</f>
        <v/>
      </c>
    </row>
    <row r="949">
      <c r="A949" s="16">
        <f>IF(Calc!$B949,Calc!E949,"")</f>
        <v/>
      </c>
      <c r="B949">
        <f>IF(Calc!$B949,INDEX(MineNames,Calc!C949),"")</f>
        <v/>
      </c>
      <c r="C949" s="17">
        <f>IF(Calc!$B949,Calc!O949,"")</f>
        <v/>
      </c>
    </row>
    <row r="950">
      <c r="A950" s="16">
        <f>IF(Calc!$B950,Calc!E950,"")</f>
        <v/>
      </c>
      <c r="B950">
        <f>IF(Calc!$B950,INDEX(MineNames,Calc!C950),"")</f>
        <v/>
      </c>
      <c r="C950" s="17">
        <f>IF(Calc!$B950,Calc!O950,"")</f>
        <v/>
      </c>
    </row>
    <row r="951">
      <c r="A951" s="16">
        <f>IF(Calc!$B951,Calc!E951,"")</f>
        <v/>
      </c>
      <c r="B951">
        <f>IF(Calc!$B951,INDEX(MineNames,Calc!C951),"")</f>
        <v/>
      </c>
      <c r="C951" s="17">
        <f>IF(Calc!$B951,Calc!O951,"")</f>
        <v/>
      </c>
    </row>
    <row r="952">
      <c r="A952" s="16">
        <f>IF(Calc!$B952,Calc!E952,"")</f>
        <v/>
      </c>
      <c r="B952">
        <f>IF(Calc!$B952,INDEX(MineNames,Calc!C952),"")</f>
        <v/>
      </c>
      <c r="C952" s="17">
        <f>IF(Calc!$B952,Calc!O952,"")</f>
        <v/>
      </c>
    </row>
    <row r="953">
      <c r="A953" s="16">
        <f>IF(Calc!$B953,Calc!E953,"")</f>
        <v/>
      </c>
      <c r="B953">
        <f>IF(Calc!$B953,INDEX(MineNames,Calc!C953),"")</f>
        <v/>
      </c>
      <c r="C953" s="17">
        <f>IF(Calc!$B953,Calc!O953,"")</f>
        <v/>
      </c>
    </row>
    <row r="954">
      <c r="A954" s="16">
        <f>IF(Calc!$B954,Calc!E954,"")</f>
        <v/>
      </c>
      <c r="B954">
        <f>IF(Calc!$B954,INDEX(MineNames,Calc!C954),"")</f>
        <v/>
      </c>
      <c r="C954" s="17">
        <f>IF(Calc!$B954,Calc!O954,"")</f>
        <v/>
      </c>
    </row>
    <row r="955">
      <c r="A955" s="16">
        <f>IF(Calc!$B955,Calc!E955,"")</f>
        <v/>
      </c>
      <c r="B955">
        <f>IF(Calc!$B955,INDEX(MineNames,Calc!C955),"")</f>
        <v/>
      </c>
      <c r="C955" s="17">
        <f>IF(Calc!$B955,Calc!O955,"")</f>
        <v/>
      </c>
    </row>
    <row r="956">
      <c r="A956" s="16">
        <f>IF(Calc!$B956,Calc!E956,"")</f>
        <v/>
      </c>
      <c r="B956">
        <f>IF(Calc!$B956,INDEX(MineNames,Calc!C956),"")</f>
        <v/>
      </c>
      <c r="C956" s="17">
        <f>IF(Calc!$B956,Calc!O956,"")</f>
        <v/>
      </c>
    </row>
    <row r="957">
      <c r="A957" s="16">
        <f>IF(Calc!$B957,Calc!E957,"")</f>
        <v/>
      </c>
      <c r="B957">
        <f>IF(Calc!$B957,INDEX(MineNames,Calc!C957),"")</f>
        <v/>
      </c>
      <c r="C957" s="17">
        <f>IF(Calc!$B957,Calc!O957,"")</f>
        <v/>
      </c>
    </row>
    <row r="958">
      <c r="A958" s="16">
        <f>IF(Calc!$B958,Calc!E958,"")</f>
        <v/>
      </c>
      <c r="B958">
        <f>IF(Calc!$B958,INDEX(MineNames,Calc!C958),"")</f>
        <v/>
      </c>
      <c r="C958" s="17">
        <f>IF(Calc!$B958,Calc!O958,"")</f>
        <v/>
      </c>
    </row>
    <row r="959">
      <c r="A959" s="16">
        <f>IF(Calc!$B959,Calc!E959,"")</f>
        <v/>
      </c>
      <c r="B959">
        <f>IF(Calc!$B959,INDEX(MineNames,Calc!C959),"")</f>
        <v/>
      </c>
      <c r="C959" s="17">
        <f>IF(Calc!$B959,Calc!O959,"")</f>
        <v/>
      </c>
    </row>
    <row r="960">
      <c r="A960" s="16">
        <f>IF(Calc!$B960,Calc!E960,"")</f>
        <v/>
      </c>
      <c r="B960">
        <f>IF(Calc!$B960,INDEX(MineNames,Calc!C960),"")</f>
        <v/>
      </c>
      <c r="C960" s="17">
        <f>IF(Calc!$B960,Calc!O960,"")</f>
        <v/>
      </c>
    </row>
    <row r="961">
      <c r="A961" s="16">
        <f>IF(Calc!$B961,Calc!E961,"")</f>
        <v/>
      </c>
      <c r="B961">
        <f>IF(Calc!$B961,INDEX(MineNames,Calc!C961),"")</f>
        <v/>
      </c>
      <c r="C961" s="17">
        <f>IF(Calc!$B961,Calc!O961,"")</f>
        <v/>
      </c>
    </row>
    <row r="962">
      <c r="A962" s="16">
        <f>IF(Calc!$B962,Calc!E962,"")</f>
        <v/>
      </c>
      <c r="B962">
        <f>IF(Calc!$B962,INDEX(MineNames,Calc!C962),"")</f>
        <v/>
      </c>
      <c r="C962" s="17">
        <f>IF(Calc!$B962,Calc!O962,"")</f>
        <v/>
      </c>
    </row>
    <row r="963">
      <c r="A963" s="16">
        <f>IF(Calc!$B963,Calc!E963,"")</f>
        <v/>
      </c>
      <c r="B963">
        <f>IF(Calc!$B963,INDEX(MineNames,Calc!C963),"")</f>
        <v/>
      </c>
      <c r="C963" s="17">
        <f>IF(Calc!$B963,Calc!O963,"")</f>
        <v/>
      </c>
    </row>
    <row r="964">
      <c r="A964" s="16">
        <f>IF(Calc!$B964,Calc!E964,"")</f>
        <v/>
      </c>
      <c r="B964">
        <f>IF(Calc!$B964,INDEX(MineNames,Calc!C964),"")</f>
        <v/>
      </c>
      <c r="C964" s="17">
        <f>IF(Calc!$B964,Calc!O964,"")</f>
        <v/>
      </c>
    </row>
    <row r="965">
      <c r="A965" s="16">
        <f>IF(Calc!$B965,Calc!E965,"")</f>
        <v/>
      </c>
      <c r="B965">
        <f>IF(Calc!$B965,INDEX(MineNames,Calc!C965),"")</f>
        <v/>
      </c>
      <c r="C965" s="17">
        <f>IF(Calc!$B965,Calc!O965,"")</f>
        <v/>
      </c>
    </row>
    <row r="966">
      <c r="A966" s="16">
        <f>IF(Calc!$B966,Calc!E966,"")</f>
        <v/>
      </c>
      <c r="B966">
        <f>IF(Calc!$B966,INDEX(MineNames,Calc!C966),"")</f>
        <v/>
      </c>
      <c r="C966" s="17">
        <f>IF(Calc!$B966,Calc!O966,"")</f>
        <v/>
      </c>
    </row>
    <row r="967">
      <c r="A967" s="16">
        <f>IF(Calc!$B967,Calc!E967,"")</f>
        <v/>
      </c>
      <c r="B967">
        <f>IF(Calc!$B967,INDEX(MineNames,Calc!C967),"")</f>
        <v/>
      </c>
      <c r="C967" s="17">
        <f>IF(Calc!$B967,Calc!O967,"")</f>
        <v/>
      </c>
    </row>
    <row r="968">
      <c r="A968" s="16">
        <f>IF(Calc!$B968,Calc!E968,"")</f>
        <v/>
      </c>
      <c r="B968">
        <f>IF(Calc!$B968,INDEX(MineNames,Calc!C968),"")</f>
        <v/>
      </c>
      <c r="C968" s="17">
        <f>IF(Calc!$B968,Calc!O968,"")</f>
        <v/>
      </c>
    </row>
    <row r="969">
      <c r="A969" s="16">
        <f>IF(Calc!$B969,Calc!E969,"")</f>
        <v/>
      </c>
      <c r="B969">
        <f>IF(Calc!$B969,INDEX(MineNames,Calc!C969),"")</f>
        <v/>
      </c>
      <c r="C969" s="17">
        <f>IF(Calc!$B969,Calc!O969,"")</f>
        <v/>
      </c>
    </row>
    <row r="970">
      <c r="A970" s="16">
        <f>IF(Calc!$B970,Calc!E970,"")</f>
        <v/>
      </c>
      <c r="B970">
        <f>IF(Calc!$B970,INDEX(MineNames,Calc!C970),"")</f>
        <v/>
      </c>
      <c r="C970" s="17">
        <f>IF(Calc!$B970,Calc!O970,"")</f>
        <v/>
      </c>
    </row>
    <row r="971">
      <c r="A971" s="16">
        <f>IF(Calc!$B971,Calc!E971,"")</f>
        <v/>
      </c>
      <c r="B971">
        <f>IF(Calc!$B971,INDEX(MineNames,Calc!C971),"")</f>
        <v/>
      </c>
      <c r="C971" s="17">
        <f>IF(Calc!$B971,Calc!O971,"")</f>
        <v/>
      </c>
    </row>
    <row r="972">
      <c r="A972" s="16">
        <f>IF(Calc!$B972,Calc!E972,"")</f>
        <v/>
      </c>
      <c r="B972">
        <f>IF(Calc!$B972,INDEX(MineNames,Calc!C972),"")</f>
        <v/>
      </c>
      <c r="C972" s="17">
        <f>IF(Calc!$B972,Calc!O972,"")</f>
        <v/>
      </c>
    </row>
    <row r="973">
      <c r="A973" s="16">
        <f>IF(Calc!$B973,Calc!E973,"")</f>
        <v/>
      </c>
      <c r="B973">
        <f>IF(Calc!$B973,INDEX(MineNames,Calc!C973),"")</f>
        <v/>
      </c>
      <c r="C973" s="17">
        <f>IF(Calc!$B973,Calc!O973,"")</f>
        <v/>
      </c>
    </row>
    <row r="974">
      <c r="A974" s="16">
        <f>IF(Calc!$B974,Calc!E974,"")</f>
        <v/>
      </c>
      <c r="B974">
        <f>IF(Calc!$B974,INDEX(MineNames,Calc!C974),"")</f>
        <v/>
      </c>
      <c r="C974" s="17">
        <f>IF(Calc!$B974,Calc!O974,"")</f>
        <v/>
      </c>
    </row>
    <row r="975">
      <c r="A975" s="16">
        <f>IF(Calc!$B975,Calc!E975,"")</f>
        <v/>
      </c>
      <c r="B975">
        <f>IF(Calc!$B975,INDEX(MineNames,Calc!C975),"")</f>
        <v/>
      </c>
      <c r="C975" s="17">
        <f>IF(Calc!$B975,Calc!O975,"")</f>
        <v/>
      </c>
    </row>
    <row r="976">
      <c r="A976" s="16">
        <f>IF(Calc!$B976,Calc!E976,"")</f>
        <v/>
      </c>
      <c r="B976">
        <f>IF(Calc!$B976,INDEX(MineNames,Calc!C976),"")</f>
        <v/>
      </c>
      <c r="C976" s="17">
        <f>IF(Calc!$B976,Calc!O976,"")</f>
        <v/>
      </c>
    </row>
    <row r="977">
      <c r="A977" s="16">
        <f>IF(Calc!$B977,Calc!E977,"")</f>
        <v/>
      </c>
      <c r="B977">
        <f>IF(Calc!$B977,INDEX(MineNames,Calc!C977),"")</f>
        <v/>
      </c>
      <c r="C977" s="17">
        <f>IF(Calc!$B977,Calc!O977,"")</f>
        <v/>
      </c>
    </row>
    <row r="978">
      <c r="A978" s="16">
        <f>IF(Calc!$B978,Calc!E978,"")</f>
        <v/>
      </c>
      <c r="B978">
        <f>IF(Calc!$B978,INDEX(MineNames,Calc!C978),"")</f>
        <v/>
      </c>
      <c r="C978" s="17">
        <f>IF(Calc!$B978,Calc!O978,"")</f>
        <v/>
      </c>
    </row>
    <row r="979">
      <c r="A979" s="16">
        <f>IF(Calc!$B979,Calc!E979,"")</f>
        <v/>
      </c>
      <c r="B979">
        <f>IF(Calc!$B979,INDEX(MineNames,Calc!C979),"")</f>
        <v/>
      </c>
      <c r="C979" s="17">
        <f>IF(Calc!$B979,Calc!O979,"")</f>
        <v/>
      </c>
    </row>
    <row r="980">
      <c r="A980" s="16">
        <f>IF(Calc!$B980,Calc!E980,"")</f>
        <v/>
      </c>
      <c r="B980">
        <f>IF(Calc!$B980,INDEX(MineNames,Calc!C980),"")</f>
        <v/>
      </c>
      <c r="C980" s="17">
        <f>IF(Calc!$B980,Calc!O980,"")</f>
        <v/>
      </c>
    </row>
    <row r="981">
      <c r="A981" s="16">
        <f>IF(Calc!$B981,Calc!E981,"")</f>
        <v/>
      </c>
      <c r="B981">
        <f>IF(Calc!$B981,INDEX(MineNames,Calc!C981),"")</f>
        <v/>
      </c>
      <c r="C981" s="17">
        <f>IF(Calc!$B981,Calc!O981,"")</f>
        <v/>
      </c>
    </row>
    <row r="982">
      <c r="A982" s="16">
        <f>IF(Calc!$B982,Calc!E982,"")</f>
        <v/>
      </c>
      <c r="B982">
        <f>IF(Calc!$B982,INDEX(MineNames,Calc!C982),"")</f>
        <v/>
      </c>
      <c r="C982" s="17">
        <f>IF(Calc!$B982,Calc!O982,"")</f>
        <v/>
      </c>
    </row>
    <row r="983">
      <c r="A983" s="16">
        <f>IF(Calc!$B983,Calc!E983,"")</f>
        <v/>
      </c>
      <c r="B983">
        <f>IF(Calc!$B983,INDEX(MineNames,Calc!C983),"")</f>
        <v/>
      </c>
      <c r="C983" s="17">
        <f>IF(Calc!$B983,Calc!O983,"")</f>
        <v/>
      </c>
    </row>
    <row r="984">
      <c r="A984" s="16">
        <f>IF(Calc!$B984,Calc!E984,"")</f>
        <v/>
      </c>
      <c r="B984">
        <f>IF(Calc!$B984,INDEX(MineNames,Calc!C984),"")</f>
        <v/>
      </c>
      <c r="C984" s="17">
        <f>IF(Calc!$B984,Calc!O984,"")</f>
        <v/>
      </c>
    </row>
    <row r="985">
      <c r="A985" s="16">
        <f>IF(Calc!$B985,Calc!E985,"")</f>
        <v/>
      </c>
      <c r="B985">
        <f>IF(Calc!$B985,INDEX(MineNames,Calc!C985),"")</f>
        <v/>
      </c>
      <c r="C985" s="17">
        <f>IF(Calc!$B985,Calc!O985,"")</f>
        <v/>
      </c>
    </row>
    <row r="986">
      <c r="A986" s="16">
        <f>IF(Calc!$B986,Calc!E986,"")</f>
        <v/>
      </c>
      <c r="B986">
        <f>IF(Calc!$B986,INDEX(MineNames,Calc!C986),"")</f>
        <v/>
      </c>
      <c r="C986" s="17">
        <f>IF(Calc!$B986,Calc!O986,"")</f>
        <v/>
      </c>
    </row>
    <row r="987">
      <c r="A987" s="16">
        <f>IF(Calc!$B987,Calc!E987,"")</f>
        <v/>
      </c>
      <c r="B987">
        <f>IF(Calc!$B987,INDEX(MineNames,Calc!C987),"")</f>
        <v/>
      </c>
      <c r="C987" s="17">
        <f>IF(Calc!$B987,Calc!O987,"")</f>
        <v/>
      </c>
    </row>
    <row r="988">
      <c r="A988" s="16">
        <f>IF(Calc!$B988,Calc!E988,"")</f>
        <v/>
      </c>
      <c r="B988">
        <f>IF(Calc!$B988,INDEX(MineNames,Calc!C988),"")</f>
        <v/>
      </c>
      <c r="C988" s="17">
        <f>IF(Calc!$B988,Calc!O988,"")</f>
        <v/>
      </c>
    </row>
    <row r="989">
      <c r="A989" s="16">
        <f>IF(Calc!$B989,Calc!E989,"")</f>
        <v/>
      </c>
      <c r="B989">
        <f>IF(Calc!$B989,INDEX(MineNames,Calc!C989),"")</f>
        <v/>
      </c>
      <c r="C989" s="17">
        <f>IF(Calc!$B989,Calc!O989,"")</f>
        <v/>
      </c>
    </row>
    <row r="990">
      <c r="A990" s="16">
        <f>IF(Calc!$B990,Calc!E990,"")</f>
        <v/>
      </c>
      <c r="B990">
        <f>IF(Calc!$B990,INDEX(MineNames,Calc!C990),"")</f>
        <v/>
      </c>
      <c r="C990" s="17">
        <f>IF(Calc!$B990,Calc!O990,"")</f>
        <v/>
      </c>
    </row>
    <row r="991">
      <c r="A991" s="16">
        <f>IF(Calc!$B991,Calc!E991,"")</f>
        <v/>
      </c>
      <c r="B991">
        <f>IF(Calc!$B991,INDEX(MineNames,Calc!C991),"")</f>
        <v/>
      </c>
      <c r="C991" s="17">
        <f>IF(Calc!$B991,Calc!O991,"")</f>
        <v/>
      </c>
    </row>
    <row r="992">
      <c r="A992" s="16">
        <f>IF(Calc!$B992,Calc!E992,"")</f>
        <v/>
      </c>
      <c r="B992">
        <f>IF(Calc!$B992,INDEX(MineNames,Calc!C992),"")</f>
        <v/>
      </c>
      <c r="C992" s="17">
        <f>IF(Calc!$B992,Calc!O992,"")</f>
        <v/>
      </c>
    </row>
    <row r="993">
      <c r="A993" s="16">
        <f>IF(Calc!$B993,Calc!E993,"")</f>
        <v/>
      </c>
      <c r="B993">
        <f>IF(Calc!$B993,INDEX(MineNames,Calc!C993),"")</f>
        <v/>
      </c>
      <c r="C993" s="17">
        <f>IF(Calc!$B993,Calc!O993,"")</f>
        <v/>
      </c>
    </row>
    <row r="994">
      <c r="A994" s="16">
        <f>IF(Calc!$B994,Calc!E994,"")</f>
        <v/>
      </c>
      <c r="B994">
        <f>IF(Calc!$B994,INDEX(MineNames,Calc!C994),"")</f>
        <v/>
      </c>
      <c r="C994" s="17">
        <f>IF(Calc!$B994,Calc!O994,"")</f>
        <v/>
      </c>
    </row>
    <row r="995">
      <c r="A995" s="16">
        <f>IF(Calc!$B995,Calc!E995,"")</f>
        <v/>
      </c>
      <c r="B995">
        <f>IF(Calc!$B995,INDEX(MineNames,Calc!C995),"")</f>
        <v/>
      </c>
      <c r="C995" s="17">
        <f>IF(Calc!$B995,Calc!O995,"")</f>
        <v/>
      </c>
    </row>
    <row r="996">
      <c r="A996" s="16">
        <f>IF(Calc!$B996,Calc!E996,"")</f>
        <v/>
      </c>
      <c r="B996">
        <f>IF(Calc!$B996,INDEX(MineNames,Calc!C996),"")</f>
        <v/>
      </c>
      <c r="C996" s="17">
        <f>IF(Calc!$B996,Calc!O996,"")</f>
        <v/>
      </c>
    </row>
    <row r="997">
      <c r="A997" s="16">
        <f>IF(Calc!$B997,Calc!E997,"")</f>
        <v/>
      </c>
      <c r="B997">
        <f>IF(Calc!$B997,INDEX(MineNames,Calc!C997),"")</f>
        <v/>
      </c>
      <c r="C997" s="17">
        <f>IF(Calc!$B997,Calc!O997,"")</f>
        <v/>
      </c>
    </row>
    <row r="998">
      <c r="A998" s="16">
        <f>IF(Calc!$B998,Calc!E998,"")</f>
        <v/>
      </c>
      <c r="B998">
        <f>IF(Calc!$B998,INDEX(MineNames,Calc!C998),"")</f>
        <v/>
      </c>
      <c r="C998" s="17">
        <f>IF(Calc!$B998,Calc!O998,"")</f>
        <v/>
      </c>
    </row>
    <row r="999">
      <c r="A999" s="16">
        <f>IF(Calc!$B999,Calc!E999,"")</f>
        <v/>
      </c>
      <c r="B999">
        <f>IF(Calc!$B999,INDEX(MineNames,Calc!C999),"")</f>
        <v/>
      </c>
      <c r="C999" s="17">
        <f>IF(Calc!$B999,Calc!O999,"")</f>
        <v/>
      </c>
    </row>
    <row r="1000">
      <c r="A1000" s="16">
        <f>IF(Calc!$B1000,Calc!E1000,"")</f>
        <v/>
      </c>
      <c r="B1000">
        <f>IF(Calc!$B1000,INDEX(MineNames,Calc!C1000),"")</f>
        <v/>
      </c>
      <c r="C1000" s="17">
        <f>IF(Calc!$B1000,Calc!O1000,"")</f>
        <v/>
      </c>
    </row>
    <row r="1001">
      <c r="A1001" s="16">
        <f>IF(Calc!$B1001,Calc!E1001,"")</f>
        <v/>
      </c>
      <c r="B1001">
        <f>IF(Calc!$B1001,INDEX(MineNames,Calc!C1001),"")</f>
        <v/>
      </c>
      <c r="C1001" s="17">
        <f>IF(Calc!$B1001,Calc!O1001,"")</f>
        <v/>
      </c>
    </row>
    <row r="1002">
      <c r="A1002" s="16">
        <f>IF(Calc!$B1002,Calc!E1002,"")</f>
        <v/>
      </c>
      <c r="B1002">
        <f>IF(Calc!$B1002,INDEX(MineNames,Calc!C1002),"")</f>
        <v/>
      </c>
      <c r="C1002" s="17">
        <f>IF(Calc!$B1002,Calc!O1002,"")</f>
        <v/>
      </c>
    </row>
    <row r="1003">
      <c r="A1003" s="16">
        <f>IF(Calc!$B1003,Calc!E1003,"")</f>
        <v/>
      </c>
      <c r="B1003">
        <f>IF(Calc!$B1003,INDEX(MineNames,Calc!C1003),"")</f>
        <v/>
      </c>
      <c r="C1003" s="17">
        <f>IF(Calc!$B1003,Calc!O1003,"")</f>
        <v/>
      </c>
    </row>
    <row r="1004">
      <c r="A1004" s="16">
        <f>IF(Calc!$B1004,Calc!E1004,"")</f>
        <v/>
      </c>
      <c r="B1004">
        <f>IF(Calc!$B1004,INDEX(MineNames,Calc!C1004),"")</f>
        <v/>
      </c>
      <c r="C1004" s="17">
        <f>IF(Calc!$B1004,Calc!O1004,"")</f>
        <v/>
      </c>
    </row>
    <row r="1005">
      <c r="A1005" s="16">
        <f>IF(Calc!$B1005,Calc!E1005,"")</f>
        <v/>
      </c>
      <c r="B1005">
        <f>IF(Calc!$B1005,INDEX(MineNames,Calc!C1005),"")</f>
        <v/>
      </c>
      <c r="C1005" s="17">
        <f>IF(Calc!$B1005,Calc!O1005,"")</f>
        <v/>
      </c>
    </row>
    <row r="1006">
      <c r="A1006" s="16">
        <f>IF(Calc!$B1006,Calc!E1006,"")</f>
        <v/>
      </c>
      <c r="B1006">
        <f>IF(Calc!$B1006,INDEX(MineNames,Calc!C1006),"")</f>
        <v/>
      </c>
      <c r="C1006" s="17">
        <f>IF(Calc!$B1006,Calc!O1006,"")</f>
        <v/>
      </c>
    </row>
    <row r="1007">
      <c r="A1007" s="16">
        <f>IF(Calc!$B1007,Calc!E1007,"")</f>
        <v/>
      </c>
      <c r="B1007">
        <f>IF(Calc!$B1007,INDEX(MineNames,Calc!C1007),"")</f>
        <v/>
      </c>
      <c r="C1007" s="17">
        <f>IF(Calc!$B1007,Calc!O1007,"")</f>
        <v/>
      </c>
    </row>
    <row r="1008">
      <c r="A1008" s="16">
        <f>IF(Calc!$B1008,Calc!E1008,"")</f>
        <v/>
      </c>
      <c r="B1008">
        <f>IF(Calc!$B1008,INDEX(MineNames,Calc!C1008),"")</f>
        <v/>
      </c>
      <c r="C1008" s="17">
        <f>IF(Calc!$B1008,Calc!O1008,"")</f>
        <v/>
      </c>
    </row>
    <row r="1009">
      <c r="A1009" s="16">
        <f>IF(Calc!$B1009,Calc!E1009,"")</f>
        <v/>
      </c>
      <c r="B1009">
        <f>IF(Calc!$B1009,INDEX(MineNames,Calc!C1009),"")</f>
        <v/>
      </c>
      <c r="C1009" s="17">
        <f>IF(Calc!$B1009,Calc!O1009,"")</f>
        <v/>
      </c>
    </row>
    <row r="1010">
      <c r="A1010" s="16">
        <f>IF(Calc!$B1010,Calc!E1010,"")</f>
        <v/>
      </c>
      <c r="B1010">
        <f>IF(Calc!$B1010,INDEX(MineNames,Calc!C1010),"")</f>
        <v/>
      </c>
      <c r="C1010" s="17">
        <f>IF(Calc!$B1010,Calc!O1010,"")</f>
        <v/>
      </c>
    </row>
    <row r="1011">
      <c r="A1011" s="16">
        <f>IF(Calc!$B1011,Calc!E1011,"")</f>
        <v/>
      </c>
      <c r="B1011">
        <f>IF(Calc!$B1011,INDEX(MineNames,Calc!C1011),"")</f>
        <v/>
      </c>
      <c r="C1011" s="17">
        <f>IF(Calc!$B1011,Calc!O1011,"")</f>
        <v/>
      </c>
    </row>
    <row r="1012">
      <c r="A1012" s="16">
        <f>IF(Calc!$B1012,Calc!E1012,"")</f>
        <v/>
      </c>
      <c r="B1012">
        <f>IF(Calc!$B1012,INDEX(MineNames,Calc!C1012),"")</f>
        <v/>
      </c>
      <c r="C1012" s="17">
        <f>IF(Calc!$B1012,Calc!O1012,"")</f>
        <v/>
      </c>
    </row>
    <row r="1013">
      <c r="A1013" s="16">
        <f>IF(Calc!$B1013,Calc!E1013,"")</f>
        <v/>
      </c>
      <c r="B1013">
        <f>IF(Calc!$B1013,INDEX(MineNames,Calc!C1013),"")</f>
        <v/>
      </c>
      <c r="C1013" s="17">
        <f>IF(Calc!$B1013,Calc!O1013,"")</f>
        <v/>
      </c>
    </row>
    <row r="1014">
      <c r="A1014" s="16">
        <f>IF(Calc!$B1014,Calc!E1014,"")</f>
        <v/>
      </c>
      <c r="B1014">
        <f>IF(Calc!$B1014,INDEX(MineNames,Calc!C1014),"")</f>
        <v/>
      </c>
      <c r="C1014" s="17">
        <f>IF(Calc!$B1014,Calc!O1014,"")</f>
        <v/>
      </c>
    </row>
    <row r="1015">
      <c r="A1015" s="16">
        <f>IF(Calc!$B1015,Calc!E1015,"")</f>
        <v/>
      </c>
      <c r="B1015">
        <f>IF(Calc!$B1015,INDEX(MineNames,Calc!C1015),"")</f>
        <v/>
      </c>
      <c r="C1015" s="17">
        <f>IF(Calc!$B1015,Calc!O1015,"")</f>
        <v/>
      </c>
    </row>
    <row r="1016">
      <c r="A1016" s="16">
        <f>IF(Calc!$B1016,Calc!E1016,"")</f>
        <v/>
      </c>
      <c r="B1016">
        <f>IF(Calc!$B1016,INDEX(MineNames,Calc!C1016),"")</f>
        <v/>
      </c>
      <c r="C1016" s="17">
        <f>IF(Calc!$B1016,Calc!O1016,"")</f>
        <v/>
      </c>
    </row>
    <row r="1017">
      <c r="A1017" s="16">
        <f>IF(Calc!$B1017,Calc!E1017,"")</f>
        <v/>
      </c>
      <c r="B1017">
        <f>IF(Calc!$B1017,INDEX(MineNames,Calc!C1017),"")</f>
        <v/>
      </c>
      <c r="C1017" s="17">
        <f>IF(Calc!$B1017,Calc!O1017,"")</f>
        <v/>
      </c>
    </row>
    <row r="1018">
      <c r="A1018" s="16">
        <f>IF(Calc!$B1018,Calc!E1018,"")</f>
        <v/>
      </c>
      <c r="B1018">
        <f>IF(Calc!$B1018,INDEX(MineNames,Calc!C1018),"")</f>
        <v/>
      </c>
      <c r="C1018" s="17">
        <f>IF(Calc!$B1018,Calc!O1018,"")</f>
        <v/>
      </c>
    </row>
    <row r="1019">
      <c r="A1019" s="16">
        <f>IF(Calc!$B1019,Calc!E1019,"")</f>
        <v/>
      </c>
      <c r="B1019">
        <f>IF(Calc!$B1019,INDEX(MineNames,Calc!C1019),"")</f>
        <v/>
      </c>
      <c r="C1019" s="17">
        <f>IF(Calc!$B1019,Calc!O1019,"")</f>
        <v/>
      </c>
    </row>
    <row r="1020">
      <c r="A1020" s="16">
        <f>IF(Calc!$B1020,Calc!E1020,"")</f>
        <v/>
      </c>
      <c r="B1020">
        <f>IF(Calc!$B1020,INDEX(MineNames,Calc!C1020),"")</f>
        <v/>
      </c>
      <c r="C1020" s="17">
        <f>IF(Calc!$B1020,Calc!O1020,"")</f>
        <v/>
      </c>
    </row>
    <row r="1021">
      <c r="A1021" s="16">
        <f>IF(Calc!$B1021,Calc!E1021,"")</f>
        <v/>
      </c>
      <c r="B1021">
        <f>IF(Calc!$B1021,INDEX(MineNames,Calc!C1021),"")</f>
        <v/>
      </c>
      <c r="C1021" s="17">
        <f>IF(Calc!$B1021,Calc!O1021,"")</f>
        <v/>
      </c>
    </row>
    <row r="1022">
      <c r="A1022" s="16">
        <f>IF(Calc!$B1022,Calc!E1022,"")</f>
        <v/>
      </c>
      <c r="B1022">
        <f>IF(Calc!$B1022,INDEX(MineNames,Calc!C1022),"")</f>
        <v/>
      </c>
      <c r="C1022" s="17">
        <f>IF(Calc!$B1022,Calc!O1022,"")</f>
        <v/>
      </c>
    </row>
    <row r="1023">
      <c r="A1023" s="16">
        <f>IF(Calc!$B1023,Calc!E1023,"")</f>
        <v/>
      </c>
      <c r="B1023">
        <f>IF(Calc!$B1023,INDEX(MineNames,Calc!C1023),"")</f>
        <v/>
      </c>
      <c r="C1023" s="17">
        <f>IF(Calc!$B1023,Calc!O1023,"")</f>
        <v/>
      </c>
    </row>
    <row r="1024">
      <c r="A1024" s="16">
        <f>IF(Calc!$B1024,Calc!E1024,"")</f>
        <v/>
      </c>
      <c r="B1024">
        <f>IF(Calc!$B1024,INDEX(MineNames,Calc!C1024),"")</f>
        <v/>
      </c>
      <c r="C1024" s="17">
        <f>IF(Calc!$B1024,Calc!O1024,"")</f>
        <v/>
      </c>
    </row>
    <row r="1025">
      <c r="A1025" s="16">
        <f>IF(Calc!$B1025,Calc!E1025,"")</f>
        <v/>
      </c>
      <c r="B1025">
        <f>IF(Calc!$B1025,INDEX(MineNames,Calc!C1025),"")</f>
        <v/>
      </c>
      <c r="C1025" s="17">
        <f>IF(Calc!$B1025,Calc!O1025,"")</f>
        <v/>
      </c>
    </row>
    <row r="1026">
      <c r="A1026" s="16">
        <f>IF(Calc!$B1026,Calc!E1026,"")</f>
        <v/>
      </c>
      <c r="B1026">
        <f>IF(Calc!$B1026,INDEX(MineNames,Calc!C1026),"")</f>
        <v/>
      </c>
      <c r="C1026" s="17">
        <f>IF(Calc!$B1026,Calc!O1026,"")</f>
        <v/>
      </c>
    </row>
    <row r="1027">
      <c r="A1027" s="16">
        <f>IF(Calc!$B1027,Calc!E1027,"")</f>
        <v/>
      </c>
      <c r="B1027">
        <f>IF(Calc!$B1027,INDEX(MineNames,Calc!C1027),"")</f>
        <v/>
      </c>
      <c r="C1027" s="17">
        <f>IF(Calc!$B1027,Calc!O1027,"")</f>
        <v/>
      </c>
    </row>
    <row r="1028">
      <c r="A1028" s="16">
        <f>IF(Calc!$B1028,Calc!E1028,"")</f>
        <v/>
      </c>
      <c r="B1028">
        <f>IF(Calc!$B1028,INDEX(MineNames,Calc!C1028),"")</f>
        <v/>
      </c>
      <c r="C1028" s="17">
        <f>IF(Calc!$B1028,Calc!O1028,"")</f>
        <v/>
      </c>
    </row>
    <row r="1029">
      <c r="A1029" s="16">
        <f>IF(Calc!$B1029,Calc!E1029,"")</f>
        <v/>
      </c>
      <c r="B1029">
        <f>IF(Calc!$B1029,INDEX(MineNames,Calc!C1029),"")</f>
        <v/>
      </c>
      <c r="C1029" s="17">
        <f>IF(Calc!$B1029,Calc!O1029,"")</f>
        <v/>
      </c>
    </row>
    <row r="1030">
      <c r="A1030" s="16">
        <f>IF(Calc!$B1030,Calc!E1030,"")</f>
        <v/>
      </c>
      <c r="B1030">
        <f>IF(Calc!$B1030,INDEX(MineNames,Calc!C1030),"")</f>
        <v/>
      </c>
      <c r="C1030" s="17">
        <f>IF(Calc!$B1030,Calc!O1030,"")</f>
        <v/>
      </c>
    </row>
    <row r="1031">
      <c r="A1031" s="16">
        <f>IF(Calc!$B1031,Calc!E1031,"")</f>
        <v/>
      </c>
      <c r="B1031">
        <f>IF(Calc!$B1031,INDEX(MineNames,Calc!C1031),"")</f>
        <v/>
      </c>
      <c r="C1031" s="17">
        <f>IF(Calc!$B1031,Calc!O1031,"")</f>
        <v/>
      </c>
    </row>
    <row r="1032">
      <c r="A1032" s="16">
        <f>IF(Calc!$B1032,Calc!E1032,"")</f>
        <v/>
      </c>
      <c r="B1032">
        <f>IF(Calc!$B1032,INDEX(MineNames,Calc!C1032),"")</f>
        <v/>
      </c>
      <c r="C1032" s="17">
        <f>IF(Calc!$B1032,Calc!O1032,"")</f>
        <v/>
      </c>
    </row>
    <row r="1033">
      <c r="A1033" s="16">
        <f>IF(Calc!$B1033,Calc!E1033,"")</f>
        <v/>
      </c>
      <c r="B1033">
        <f>IF(Calc!$B1033,INDEX(MineNames,Calc!C1033),"")</f>
        <v/>
      </c>
      <c r="C1033" s="17">
        <f>IF(Calc!$B1033,Calc!O1033,"")</f>
        <v/>
      </c>
    </row>
    <row r="1034">
      <c r="A1034" s="16">
        <f>IF(Calc!$B1034,Calc!E1034,"")</f>
        <v/>
      </c>
      <c r="B1034">
        <f>IF(Calc!$B1034,INDEX(MineNames,Calc!C1034),"")</f>
        <v/>
      </c>
      <c r="C1034" s="17">
        <f>IF(Calc!$B1034,Calc!O1034,"")</f>
        <v/>
      </c>
    </row>
    <row r="1035">
      <c r="A1035" s="16">
        <f>IF(Calc!$B1035,Calc!E1035,"")</f>
        <v/>
      </c>
      <c r="B1035">
        <f>IF(Calc!$B1035,INDEX(MineNames,Calc!C1035),"")</f>
        <v/>
      </c>
      <c r="C1035" s="17">
        <f>IF(Calc!$B1035,Calc!O1035,"")</f>
        <v/>
      </c>
    </row>
    <row r="1036">
      <c r="A1036" s="16">
        <f>IF(Calc!$B1036,Calc!E1036,"")</f>
        <v/>
      </c>
      <c r="B1036">
        <f>IF(Calc!$B1036,INDEX(MineNames,Calc!C1036),"")</f>
        <v/>
      </c>
      <c r="C1036" s="17">
        <f>IF(Calc!$B1036,Calc!O1036,"")</f>
        <v/>
      </c>
    </row>
    <row r="1037">
      <c r="A1037" s="16">
        <f>IF(Calc!$B1037,Calc!E1037,"")</f>
        <v/>
      </c>
      <c r="B1037">
        <f>IF(Calc!$B1037,INDEX(MineNames,Calc!C1037),"")</f>
        <v/>
      </c>
      <c r="C1037" s="17">
        <f>IF(Calc!$B1037,Calc!O1037,"")</f>
        <v/>
      </c>
    </row>
    <row r="1038">
      <c r="A1038" s="16">
        <f>IF(Calc!$B1038,Calc!E1038,"")</f>
        <v/>
      </c>
      <c r="B1038">
        <f>IF(Calc!$B1038,INDEX(MineNames,Calc!C1038),"")</f>
        <v/>
      </c>
      <c r="C1038" s="17">
        <f>IF(Calc!$B1038,Calc!O1038,"")</f>
        <v/>
      </c>
    </row>
    <row r="1039">
      <c r="A1039" s="16">
        <f>IF(Calc!$B1039,Calc!E1039,"")</f>
        <v/>
      </c>
      <c r="B1039">
        <f>IF(Calc!$B1039,INDEX(MineNames,Calc!C1039),"")</f>
        <v/>
      </c>
      <c r="C1039" s="17">
        <f>IF(Calc!$B1039,Calc!O1039,"")</f>
        <v/>
      </c>
    </row>
    <row r="1040">
      <c r="A1040" s="16">
        <f>IF(Calc!$B1040,Calc!E1040,"")</f>
        <v/>
      </c>
      <c r="B1040">
        <f>IF(Calc!$B1040,INDEX(MineNames,Calc!C1040),"")</f>
        <v/>
      </c>
      <c r="C1040" s="17">
        <f>IF(Calc!$B1040,Calc!O1040,"")</f>
        <v/>
      </c>
    </row>
    <row r="1041">
      <c r="A1041" s="16">
        <f>IF(Calc!$B1041,Calc!E1041,"")</f>
        <v/>
      </c>
      <c r="B1041">
        <f>IF(Calc!$B1041,INDEX(MineNames,Calc!C1041),"")</f>
        <v/>
      </c>
      <c r="C1041" s="17">
        <f>IF(Calc!$B1041,Calc!O1041,"")</f>
        <v/>
      </c>
    </row>
    <row r="1042">
      <c r="A1042" s="16">
        <f>IF(Calc!$B1042,Calc!E1042,"")</f>
        <v/>
      </c>
      <c r="B1042">
        <f>IF(Calc!$B1042,INDEX(MineNames,Calc!C1042),"")</f>
        <v/>
      </c>
      <c r="C1042" s="17">
        <f>IF(Calc!$B1042,Calc!O1042,"")</f>
        <v/>
      </c>
    </row>
    <row r="1043">
      <c r="A1043" s="16">
        <f>IF(Calc!$B1043,Calc!E1043,"")</f>
        <v/>
      </c>
      <c r="B1043">
        <f>IF(Calc!$B1043,INDEX(MineNames,Calc!C1043),"")</f>
        <v/>
      </c>
      <c r="C1043" s="17">
        <f>IF(Calc!$B1043,Calc!O1043,"")</f>
        <v/>
      </c>
    </row>
    <row r="1044">
      <c r="A1044" s="16">
        <f>IF(Calc!$B1044,Calc!E1044,"")</f>
        <v/>
      </c>
      <c r="B1044">
        <f>IF(Calc!$B1044,INDEX(MineNames,Calc!C1044),"")</f>
        <v/>
      </c>
      <c r="C1044" s="17">
        <f>IF(Calc!$B1044,Calc!O1044,"")</f>
        <v/>
      </c>
    </row>
    <row r="1045">
      <c r="A1045" s="16">
        <f>IF(Calc!$B1045,Calc!E1045,"")</f>
        <v/>
      </c>
      <c r="B1045">
        <f>IF(Calc!$B1045,INDEX(MineNames,Calc!C1045),"")</f>
        <v/>
      </c>
      <c r="C1045" s="17">
        <f>IF(Calc!$B1045,Calc!O1045,"")</f>
        <v/>
      </c>
    </row>
    <row r="1046">
      <c r="A1046" s="16">
        <f>IF(Calc!$B1046,Calc!E1046,"")</f>
        <v/>
      </c>
      <c r="B1046">
        <f>IF(Calc!$B1046,INDEX(MineNames,Calc!C1046),"")</f>
        <v/>
      </c>
      <c r="C1046" s="17">
        <f>IF(Calc!$B1046,Calc!O1046,"")</f>
        <v/>
      </c>
    </row>
    <row r="1047">
      <c r="A1047" s="16">
        <f>IF(Calc!$B1047,Calc!E1047,"")</f>
        <v/>
      </c>
      <c r="B1047">
        <f>IF(Calc!$B1047,INDEX(MineNames,Calc!C1047),"")</f>
        <v/>
      </c>
      <c r="C1047" s="17">
        <f>IF(Calc!$B1047,Calc!O1047,"")</f>
        <v/>
      </c>
    </row>
    <row r="1048">
      <c r="A1048" s="16">
        <f>IF(Calc!$B1048,Calc!E1048,"")</f>
        <v/>
      </c>
      <c r="B1048">
        <f>IF(Calc!$B1048,INDEX(MineNames,Calc!C1048),"")</f>
        <v/>
      </c>
      <c r="C1048" s="17">
        <f>IF(Calc!$B1048,Calc!O1048,"")</f>
        <v/>
      </c>
    </row>
    <row r="1049">
      <c r="A1049" s="16">
        <f>IF(Calc!$B1049,Calc!E1049,"")</f>
        <v/>
      </c>
      <c r="B1049">
        <f>IF(Calc!$B1049,INDEX(MineNames,Calc!C1049),"")</f>
        <v/>
      </c>
      <c r="C1049" s="17">
        <f>IF(Calc!$B1049,Calc!O1049,"")</f>
        <v/>
      </c>
    </row>
    <row r="1050">
      <c r="A1050" s="16">
        <f>IF(Calc!$B1050,Calc!E1050,"")</f>
        <v/>
      </c>
      <c r="B1050">
        <f>IF(Calc!$B1050,INDEX(MineNames,Calc!C1050),"")</f>
        <v/>
      </c>
      <c r="C1050" s="17">
        <f>IF(Calc!$B1050,Calc!O1050,"")</f>
        <v/>
      </c>
    </row>
    <row r="1051">
      <c r="A1051" s="16">
        <f>IF(Calc!$B1051,Calc!E1051,"")</f>
        <v/>
      </c>
      <c r="B1051">
        <f>IF(Calc!$B1051,INDEX(MineNames,Calc!C1051),"")</f>
        <v/>
      </c>
      <c r="C1051" s="17">
        <f>IF(Calc!$B1051,Calc!O1051,"")</f>
        <v/>
      </c>
    </row>
    <row r="1052">
      <c r="A1052" s="16">
        <f>IF(Calc!$B1052,Calc!E1052,"")</f>
        <v/>
      </c>
      <c r="B1052">
        <f>IF(Calc!$B1052,INDEX(MineNames,Calc!C1052),"")</f>
        <v/>
      </c>
      <c r="C1052" s="17">
        <f>IF(Calc!$B1052,Calc!O1052,"")</f>
        <v/>
      </c>
    </row>
    <row r="1053">
      <c r="A1053" s="16">
        <f>IF(Calc!$B1053,Calc!E1053,"")</f>
        <v/>
      </c>
      <c r="B1053">
        <f>IF(Calc!$B1053,INDEX(MineNames,Calc!C1053),"")</f>
        <v/>
      </c>
      <c r="C1053" s="17">
        <f>IF(Calc!$B1053,Calc!O1053,"")</f>
        <v/>
      </c>
    </row>
    <row r="1054">
      <c r="A1054" s="16">
        <f>IF(Calc!$B1054,Calc!E1054,"")</f>
        <v/>
      </c>
      <c r="B1054">
        <f>IF(Calc!$B1054,INDEX(MineNames,Calc!C1054),"")</f>
        <v/>
      </c>
      <c r="C1054" s="17">
        <f>IF(Calc!$B1054,Calc!O1054,"")</f>
        <v/>
      </c>
    </row>
    <row r="1055">
      <c r="A1055" s="16">
        <f>IF(Calc!$B1055,Calc!E1055,"")</f>
        <v/>
      </c>
      <c r="B1055">
        <f>IF(Calc!$B1055,INDEX(MineNames,Calc!C1055),"")</f>
        <v/>
      </c>
      <c r="C1055" s="17">
        <f>IF(Calc!$B1055,Calc!O1055,"")</f>
        <v/>
      </c>
    </row>
    <row r="1056">
      <c r="A1056" s="16">
        <f>IF(Calc!$B1056,Calc!E1056,"")</f>
        <v/>
      </c>
      <c r="B1056">
        <f>IF(Calc!$B1056,INDEX(MineNames,Calc!C1056),"")</f>
        <v/>
      </c>
      <c r="C1056" s="17">
        <f>IF(Calc!$B1056,Calc!O1056,"")</f>
        <v/>
      </c>
    </row>
    <row r="1057">
      <c r="A1057" s="16">
        <f>IF(Calc!$B1057,Calc!E1057,"")</f>
        <v/>
      </c>
      <c r="B1057">
        <f>IF(Calc!$B1057,INDEX(MineNames,Calc!C1057),"")</f>
        <v/>
      </c>
      <c r="C1057" s="17">
        <f>IF(Calc!$B1057,Calc!O1057,"")</f>
        <v/>
      </c>
    </row>
    <row r="1058">
      <c r="A1058" s="16">
        <f>IF(Calc!$B1058,Calc!E1058,"")</f>
        <v/>
      </c>
      <c r="B1058">
        <f>IF(Calc!$B1058,INDEX(MineNames,Calc!C1058),"")</f>
        <v/>
      </c>
      <c r="C1058" s="17">
        <f>IF(Calc!$B1058,Calc!O1058,"")</f>
        <v/>
      </c>
    </row>
    <row r="1059">
      <c r="A1059" s="16">
        <f>IF(Calc!$B1059,Calc!E1059,"")</f>
        <v/>
      </c>
      <c r="B1059">
        <f>IF(Calc!$B1059,INDEX(MineNames,Calc!C1059),"")</f>
        <v/>
      </c>
      <c r="C1059" s="17">
        <f>IF(Calc!$B1059,Calc!O1059,"")</f>
        <v/>
      </c>
    </row>
    <row r="1060">
      <c r="A1060" s="16">
        <f>IF(Calc!$B1060,Calc!E1060,"")</f>
        <v/>
      </c>
      <c r="B1060">
        <f>IF(Calc!$B1060,INDEX(MineNames,Calc!C1060),"")</f>
        <v/>
      </c>
      <c r="C1060" s="17">
        <f>IF(Calc!$B1060,Calc!O1060,"")</f>
        <v/>
      </c>
    </row>
    <row r="1061">
      <c r="A1061" s="16">
        <f>IF(Calc!$B1061,Calc!E1061,"")</f>
        <v/>
      </c>
      <c r="B1061">
        <f>IF(Calc!$B1061,INDEX(MineNames,Calc!C1061),"")</f>
        <v/>
      </c>
      <c r="C1061" s="17">
        <f>IF(Calc!$B1061,Calc!O1061,"")</f>
        <v/>
      </c>
    </row>
    <row r="1062">
      <c r="A1062" s="16">
        <f>IF(Calc!$B1062,Calc!E1062,"")</f>
        <v/>
      </c>
      <c r="B1062">
        <f>IF(Calc!$B1062,INDEX(MineNames,Calc!C1062),"")</f>
        <v/>
      </c>
      <c r="C1062" s="17">
        <f>IF(Calc!$B1062,Calc!O1062,"")</f>
        <v/>
      </c>
    </row>
    <row r="1063">
      <c r="A1063" s="16">
        <f>IF(Calc!$B1063,Calc!E1063,"")</f>
        <v/>
      </c>
      <c r="B1063">
        <f>IF(Calc!$B1063,INDEX(MineNames,Calc!C1063),"")</f>
        <v/>
      </c>
      <c r="C1063" s="17">
        <f>IF(Calc!$B1063,Calc!O1063,"")</f>
        <v/>
      </c>
    </row>
    <row r="1064">
      <c r="A1064" s="16">
        <f>IF(Calc!$B1064,Calc!E1064,"")</f>
        <v/>
      </c>
      <c r="B1064">
        <f>IF(Calc!$B1064,INDEX(MineNames,Calc!C1064),"")</f>
        <v/>
      </c>
      <c r="C1064" s="17">
        <f>IF(Calc!$B1064,Calc!O1064,"")</f>
        <v/>
      </c>
    </row>
    <row r="1065">
      <c r="A1065" s="16">
        <f>IF(Calc!$B1065,Calc!E1065,"")</f>
        <v/>
      </c>
      <c r="B1065">
        <f>IF(Calc!$B1065,INDEX(MineNames,Calc!C1065),"")</f>
        <v/>
      </c>
      <c r="C1065" s="17">
        <f>IF(Calc!$B1065,Calc!O1065,"")</f>
        <v/>
      </c>
    </row>
    <row r="1066">
      <c r="A1066" s="16">
        <f>IF(Calc!$B1066,Calc!E1066,"")</f>
        <v/>
      </c>
      <c r="B1066">
        <f>IF(Calc!$B1066,INDEX(MineNames,Calc!C1066),"")</f>
        <v/>
      </c>
      <c r="C1066" s="17">
        <f>IF(Calc!$B1066,Calc!O1066,"")</f>
        <v/>
      </c>
    </row>
    <row r="1067">
      <c r="A1067" s="16">
        <f>IF(Calc!$B1067,Calc!E1067,"")</f>
        <v/>
      </c>
      <c r="B1067">
        <f>IF(Calc!$B1067,INDEX(MineNames,Calc!C1067),"")</f>
        <v/>
      </c>
      <c r="C1067" s="17">
        <f>IF(Calc!$B1067,Calc!O1067,"")</f>
        <v/>
      </c>
    </row>
    <row r="1068">
      <c r="A1068" s="16">
        <f>IF(Calc!$B1068,Calc!E1068,"")</f>
        <v/>
      </c>
      <c r="B1068">
        <f>IF(Calc!$B1068,INDEX(MineNames,Calc!C1068),"")</f>
        <v/>
      </c>
      <c r="C1068" s="17">
        <f>IF(Calc!$B1068,Calc!O1068,"")</f>
        <v/>
      </c>
    </row>
    <row r="1069">
      <c r="A1069" s="16">
        <f>IF(Calc!$B1069,Calc!E1069,"")</f>
        <v/>
      </c>
      <c r="B1069">
        <f>IF(Calc!$B1069,INDEX(MineNames,Calc!C1069),"")</f>
        <v/>
      </c>
      <c r="C1069" s="17">
        <f>IF(Calc!$B1069,Calc!O1069,"")</f>
        <v/>
      </c>
    </row>
    <row r="1070">
      <c r="A1070" s="16">
        <f>IF(Calc!$B1070,Calc!E1070,"")</f>
        <v/>
      </c>
      <c r="B1070">
        <f>IF(Calc!$B1070,INDEX(MineNames,Calc!C1070),"")</f>
        <v/>
      </c>
      <c r="C1070" s="17">
        <f>IF(Calc!$B1070,Calc!O1070,"")</f>
        <v/>
      </c>
    </row>
    <row r="1071">
      <c r="A1071" s="16">
        <f>IF(Calc!$B1071,Calc!E1071,"")</f>
        <v/>
      </c>
      <c r="B1071">
        <f>IF(Calc!$B1071,INDEX(MineNames,Calc!C1071),"")</f>
        <v/>
      </c>
      <c r="C1071" s="17">
        <f>IF(Calc!$B1071,Calc!O1071,"")</f>
        <v/>
      </c>
    </row>
    <row r="1072">
      <c r="A1072" s="16">
        <f>IF(Calc!$B1072,Calc!E1072,"")</f>
        <v/>
      </c>
      <c r="B1072">
        <f>IF(Calc!$B1072,INDEX(MineNames,Calc!C1072),"")</f>
        <v/>
      </c>
      <c r="C1072" s="17">
        <f>IF(Calc!$B1072,Calc!O1072,"")</f>
        <v/>
      </c>
    </row>
    <row r="1073">
      <c r="A1073" s="16">
        <f>IF(Calc!$B1073,Calc!E1073,"")</f>
        <v/>
      </c>
      <c r="B1073">
        <f>IF(Calc!$B1073,INDEX(MineNames,Calc!C1073),"")</f>
        <v/>
      </c>
      <c r="C1073" s="17">
        <f>IF(Calc!$B1073,Calc!O1073,"")</f>
        <v/>
      </c>
    </row>
    <row r="1074">
      <c r="A1074" s="16">
        <f>IF(Calc!$B1074,Calc!E1074,"")</f>
        <v/>
      </c>
      <c r="B1074">
        <f>IF(Calc!$B1074,INDEX(MineNames,Calc!C1074),"")</f>
        <v/>
      </c>
      <c r="C1074" s="17">
        <f>IF(Calc!$B1074,Calc!O1074,"")</f>
        <v/>
      </c>
    </row>
    <row r="1075">
      <c r="A1075" s="16">
        <f>IF(Calc!$B1075,Calc!E1075,"")</f>
        <v/>
      </c>
      <c r="B1075">
        <f>IF(Calc!$B1075,INDEX(MineNames,Calc!C1075),"")</f>
        <v/>
      </c>
      <c r="C1075" s="17">
        <f>IF(Calc!$B1075,Calc!O1075,"")</f>
        <v/>
      </c>
    </row>
    <row r="1076">
      <c r="A1076" s="16">
        <f>IF(Calc!$B1076,Calc!E1076,"")</f>
        <v/>
      </c>
      <c r="B1076">
        <f>IF(Calc!$B1076,INDEX(MineNames,Calc!C1076),"")</f>
        <v/>
      </c>
      <c r="C1076" s="17">
        <f>IF(Calc!$B1076,Calc!O1076,"")</f>
        <v/>
      </c>
    </row>
    <row r="1077">
      <c r="A1077" s="16">
        <f>IF(Calc!$B1077,Calc!E1077,"")</f>
        <v/>
      </c>
      <c r="B1077">
        <f>IF(Calc!$B1077,INDEX(MineNames,Calc!C1077),"")</f>
        <v/>
      </c>
      <c r="C1077" s="17">
        <f>IF(Calc!$B1077,Calc!O1077,"")</f>
        <v/>
      </c>
    </row>
    <row r="1078">
      <c r="A1078" s="16">
        <f>IF(Calc!$B1078,Calc!E1078,"")</f>
        <v/>
      </c>
      <c r="B1078">
        <f>IF(Calc!$B1078,INDEX(MineNames,Calc!C1078),"")</f>
        <v/>
      </c>
      <c r="C1078" s="17">
        <f>IF(Calc!$B1078,Calc!O1078,"")</f>
        <v/>
      </c>
    </row>
    <row r="1079">
      <c r="A1079" s="16">
        <f>IF(Calc!$B1079,Calc!E1079,"")</f>
        <v/>
      </c>
      <c r="B1079">
        <f>IF(Calc!$B1079,INDEX(MineNames,Calc!C1079),"")</f>
        <v/>
      </c>
      <c r="C1079" s="17">
        <f>IF(Calc!$B1079,Calc!O1079,"")</f>
        <v/>
      </c>
    </row>
    <row r="1080">
      <c r="A1080" s="16">
        <f>IF(Calc!$B1080,Calc!E1080,"")</f>
        <v/>
      </c>
      <c r="B1080">
        <f>IF(Calc!$B1080,INDEX(MineNames,Calc!C1080),"")</f>
        <v/>
      </c>
      <c r="C1080" s="17">
        <f>IF(Calc!$B1080,Calc!O1080,"")</f>
        <v/>
      </c>
    </row>
    <row r="1081">
      <c r="A1081" s="16">
        <f>IF(Calc!$B1081,Calc!E1081,"")</f>
        <v/>
      </c>
      <c r="B1081">
        <f>IF(Calc!$B1081,INDEX(MineNames,Calc!C1081),"")</f>
        <v/>
      </c>
      <c r="C1081" s="17">
        <f>IF(Calc!$B1081,Calc!O1081,"")</f>
        <v/>
      </c>
    </row>
    <row r="1082">
      <c r="A1082" s="16">
        <f>IF(Calc!$B1082,Calc!E1082,"")</f>
        <v/>
      </c>
      <c r="B1082">
        <f>IF(Calc!$B1082,INDEX(MineNames,Calc!C1082),"")</f>
        <v/>
      </c>
      <c r="C1082" s="17">
        <f>IF(Calc!$B1082,Calc!O1082,"")</f>
        <v/>
      </c>
    </row>
    <row r="1083">
      <c r="A1083" s="16">
        <f>IF(Calc!$B1083,Calc!E1083,"")</f>
        <v/>
      </c>
      <c r="B1083">
        <f>IF(Calc!$B1083,INDEX(MineNames,Calc!C1083),"")</f>
        <v/>
      </c>
      <c r="C1083" s="17">
        <f>IF(Calc!$B1083,Calc!O1083,"")</f>
        <v/>
      </c>
    </row>
    <row r="1084">
      <c r="A1084" s="16">
        <f>IF(Calc!$B1084,Calc!E1084,"")</f>
        <v/>
      </c>
      <c r="B1084">
        <f>IF(Calc!$B1084,INDEX(MineNames,Calc!C1084),"")</f>
        <v/>
      </c>
      <c r="C1084" s="17">
        <f>IF(Calc!$B1084,Calc!O1084,"")</f>
        <v/>
      </c>
    </row>
    <row r="1085">
      <c r="A1085" s="16">
        <f>IF(Calc!$B1085,Calc!E1085,"")</f>
        <v/>
      </c>
      <c r="B1085">
        <f>IF(Calc!$B1085,INDEX(MineNames,Calc!C1085),"")</f>
        <v/>
      </c>
      <c r="C1085" s="17">
        <f>IF(Calc!$B1085,Calc!O1085,"")</f>
        <v/>
      </c>
    </row>
    <row r="1086">
      <c r="A1086" s="16">
        <f>IF(Calc!$B1086,Calc!E1086,"")</f>
        <v/>
      </c>
      <c r="B1086">
        <f>IF(Calc!$B1086,INDEX(MineNames,Calc!C1086),"")</f>
        <v/>
      </c>
      <c r="C1086" s="17">
        <f>IF(Calc!$B1086,Calc!O1086,"")</f>
        <v/>
      </c>
    </row>
    <row r="1087">
      <c r="A1087" s="16">
        <f>IF(Calc!$B1087,Calc!E1087,"")</f>
        <v/>
      </c>
      <c r="B1087">
        <f>IF(Calc!$B1087,INDEX(MineNames,Calc!C1087),"")</f>
        <v/>
      </c>
      <c r="C1087" s="17">
        <f>IF(Calc!$B1087,Calc!O1087,"")</f>
        <v/>
      </c>
    </row>
    <row r="1088">
      <c r="A1088" s="16">
        <f>IF(Calc!$B1088,Calc!E1088,"")</f>
        <v/>
      </c>
      <c r="B1088">
        <f>IF(Calc!$B1088,INDEX(MineNames,Calc!C1088),"")</f>
        <v/>
      </c>
      <c r="C1088" s="17">
        <f>IF(Calc!$B1088,Calc!O1088,"")</f>
        <v/>
      </c>
    </row>
    <row r="1089">
      <c r="A1089" s="16">
        <f>IF(Calc!$B1089,Calc!E1089,"")</f>
        <v/>
      </c>
      <c r="B1089">
        <f>IF(Calc!$B1089,INDEX(MineNames,Calc!C1089),"")</f>
        <v/>
      </c>
      <c r="C1089" s="17">
        <f>IF(Calc!$B1089,Calc!O1089,"")</f>
        <v/>
      </c>
    </row>
    <row r="1090">
      <c r="A1090" s="16">
        <f>IF(Calc!$B1090,Calc!E1090,"")</f>
        <v/>
      </c>
      <c r="B1090">
        <f>IF(Calc!$B1090,INDEX(MineNames,Calc!C1090),"")</f>
        <v/>
      </c>
      <c r="C1090" s="17">
        <f>IF(Calc!$B1090,Calc!O1090,"")</f>
        <v/>
      </c>
    </row>
    <row r="1091">
      <c r="A1091" s="16">
        <f>IF(Calc!$B1091,Calc!E1091,"")</f>
        <v/>
      </c>
      <c r="B1091">
        <f>IF(Calc!$B1091,INDEX(MineNames,Calc!C1091),"")</f>
        <v/>
      </c>
      <c r="C1091" s="17">
        <f>IF(Calc!$B1091,Calc!O1091,"")</f>
        <v/>
      </c>
    </row>
    <row r="1092">
      <c r="A1092" s="16">
        <f>IF(Calc!$B1092,Calc!E1092,"")</f>
        <v/>
      </c>
      <c r="B1092">
        <f>IF(Calc!$B1092,INDEX(MineNames,Calc!C1092),"")</f>
        <v/>
      </c>
      <c r="C1092" s="17">
        <f>IF(Calc!$B1092,Calc!O1092,"")</f>
        <v/>
      </c>
    </row>
    <row r="1093">
      <c r="A1093" s="16">
        <f>IF(Calc!$B1093,Calc!E1093,"")</f>
        <v/>
      </c>
      <c r="B1093">
        <f>IF(Calc!$B1093,INDEX(MineNames,Calc!C1093),"")</f>
        <v/>
      </c>
      <c r="C1093" s="17">
        <f>IF(Calc!$B1093,Calc!O1093,"")</f>
        <v/>
      </c>
    </row>
    <row r="1094">
      <c r="A1094" s="16">
        <f>IF(Calc!$B1094,Calc!E1094,"")</f>
        <v/>
      </c>
      <c r="B1094">
        <f>IF(Calc!$B1094,INDEX(MineNames,Calc!C1094),"")</f>
        <v/>
      </c>
      <c r="C1094" s="17">
        <f>IF(Calc!$B1094,Calc!O1094,"")</f>
        <v/>
      </c>
    </row>
    <row r="1095">
      <c r="A1095" s="16">
        <f>IF(Calc!$B1095,Calc!E1095,"")</f>
        <v/>
      </c>
      <c r="B1095">
        <f>IF(Calc!$B1095,INDEX(MineNames,Calc!C1095),"")</f>
        <v/>
      </c>
      <c r="C1095" s="17">
        <f>IF(Calc!$B1095,Calc!O1095,"")</f>
        <v/>
      </c>
    </row>
    <row r="1096">
      <c r="A1096" s="16">
        <f>IF(Calc!$B1096,Calc!E1096,"")</f>
        <v/>
      </c>
      <c r="B1096">
        <f>IF(Calc!$B1096,INDEX(MineNames,Calc!C1096),"")</f>
        <v/>
      </c>
      <c r="C1096" s="17">
        <f>IF(Calc!$B1096,Calc!O1096,"")</f>
        <v/>
      </c>
    </row>
    <row r="1097">
      <c r="A1097" s="16">
        <f>IF(Calc!$B1097,Calc!E1097,"")</f>
        <v/>
      </c>
      <c r="B1097">
        <f>IF(Calc!$B1097,INDEX(MineNames,Calc!C1097),"")</f>
        <v/>
      </c>
      <c r="C1097" s="17">
        <f>IF(Calc!$B1097,Calc!O1097,"")</f>
        <v/>
      </c>
    </row>
    <row r="1098">
      <c r="A1098" s="16">
        <f>IF(Calc!$B1098,Calc!E1098,"")</f>
        <v/>
      </c>
      <c r="B1098">
        <f>IF(Calc!$B1098,INDEX(MineNames,Calc!C1098),"")</f>
        <v/>
      </c>
      <c r="C1098" s="17">
        <f>IF(Calc!$B1098,Calc!O1098,"")</f>
        <v/>
      </c>
    </row>
    <row r="1099">
      <c r="A1099" s="16">
        <f>IF(Calc!$B1099,Calc!E1099,"")</f>
        <v/>
      </c>
      <c r="B1099">
        <f>IF(Calc!$B1099,INDEX(MineNames,Calc!C1099),"")</f>
        <v/>
      </c>
      <c r="C1099" s="17">
        <f>IF(Calc!$B1099,Calc!O1099,"")</f>
        <v/>
      </c>
    </row>
    <row r="1100">
      <c r="A1100" s="16">
        <f>IF(Calc!$B1100,Calc!E1100,"")</f>
        <v/>
      </c>
      <c r="B1100">
        <f>IF(Calc!$B1100,INDEX(MineNames,Calc!C1100),"")</f>
        <v/>
      </c>
      <c r="C1100" s="17">
        <f>IF(Calc!$B1100,Calc!O1100,"")</f>
        <v/>
      </c>
    </row>
    <row r="1101">
      <c r="A1101" s="16">
        <f>IF(Calc!$B1101,Calc!E1101,"")</f>
        <v/>
      </c>
      <c r="B1101">
        <f>IF(Calc!$B1101,INDEX(MineNames,Calc!C1101),"")</f>
        <v/>
      </c>
      <c r="C1101" s="17">
        <f>IF(Calc!$B1101,Calc!O1101,"")</f>
        <v/>
      </c>
    </row>
    <row r="1102">
      <c r="A1102" s="16">
        <f>IF(Calc!$B1102,Calc!E1102,"")</f>
        <v/>
      </c>
      <c r="B1102">
        <f>IF(Calc!$B1102,INDEX(MineNames,Calc!C1102),"")</f>
        <v/>
      </c>
      <c r="C1102" s="17">
        <f>IF(Calc!$B1102,Calc!O1102,"")</f>
        <v/>
      </c>
    </row>
    <row r="1103">
      <c r="A1103" s="16">
        <f>IF(Calc!$B1103,Calc!E1103,"")</f>
        <v/>
      </c>
      <c r="B1103">
        <f>IF(Calc!$B1103,INDEX(MineNames,Calc!C1103),"")</f>
        <v/>
      </c>
      <c r="C1103" s="17">
        <f>IF(Calc!$B1103,Calc!O1103,"")</f>
        <v/>
      </c>
    </row>
    <row r="1104">
      <c r="A1104" s="16">
        <f>IF(Calc!$B1104,Calc!E1104,"")</f>
        <v/>
      </c>
      <c r="B1104">
        <f>IF(Calc!$B1104,INDEX(MineNames,Calc!C1104),"")</f>
        <v/>
      </c>
      <c r="C1104" s="17">
        <f>IF(Calc!$B1104,Calc!O1104,"")</f>
        <v/>
      </c>
    </row>
    <row r="1105">
      <c r="A1105" s="16">
        <f>IF(Calc!$B1105,Calc!E1105,"")</f>
        <v/>
      </c>
      <c r="B1105">
        <f>IF(Calc!$B1105,INDEX(MineNames,Calc!C1105),"")</f>
        <v/>
      </c>
      <c r="C1105" s="17">
        <f>IF(Calc!$B1105,Calc!O1105,"")</f>
        <v/>
      </c>
    </row>
    <row r="1106">
      <c r="A1106" s="16">
        <f>IF(Calc!$B1106,Calc!E1106,"")</f>
        <v/>
      </c>
      <c r="B1106">
        <f>IF(Calc!$B1106,INDEX(MineNames,Calc!C1106),"")</f>
        <v/>
      </c>
      <c r="C1106" s="17">
        <f>IF(Calc!$B1106,Calc!O1106,"")</f>
        <v/>
      </c>
    </row>
    <row r="1107">
      <c r="A1107" s="16">
        <f>IF(Calc!$B1107,Calc!E1107,"")</f>
        <v/>
      </c>
      <c r="B1107">
        <f>IF(Calc!$B1107,INDEX(MineNames,Calc!C1107),"")</f>
        <v/>
      </c>
      <c r="C1107" s="17">
        <f>IF(Calc!$B1107,Calc!O1107,"")</f>
        <v/>
      </c>
    </row>
    <row r="1108">
      <c r="A1108" s="16">
        <f>IF(Calc!$B1108,Calc!E1108,"")</f>
        <v/>
      </c>
      <c r="B1108">
        <f>IF(Calc!$B1108,INDEX(MineNames,Calc!C1108),"")</f>
        <v/>
      </c>
      <c r="C1108" s="17">
        <f>IF(Calc!$B1108,Calc!O1108,"")</f>
        <v/>
      </c>
    </row>
    <row r="1109">
      <c r="A1109" s="16">
        <f>IF(Calc!$B1109,Calc!E1109,"")</f>
        <v/>
      </c>
      <c r="B1109">
        <f>IF(Calc!$B1109,INDEX(MineNames,Calc!C1109),"")</f>
        <v/>
      </c>
      <c r="C1109" s="17">
        <f>IF(Calc!$B1109,Calc!O1109,"")</f>
        <v/>
      </c>
    </row>
    <row r="1110">
      <c r="A1110" s="16">
        <f>IF(Calc!$B1110,Calc!E1110,"")</f>
        <v/>
      </c>
      <c r="B1110">
        <f>IF(Calc!$B1110,INDEX(MineNames,Calc!C1110),"")</f>
        <v/>
      </c>
      <c r="C1110" s="17">
        <f>IF(Calc!$B1110,Calc!O1110,"")</f>
        <v/>
      </c>
    </row>
    <row r="1111">
      <c r="A1111" s="16">
        <f>IF(Calc!$B1111,Calc!E1111,"")</f>
        <v/>
      </c>
      <c r="B1111">
        <f>IF(Calc!$B1111,INDEX(MineNames,Calc!C1111),"")</f>
        <v/>
      </c>
      <c r="C1111" s="17">
        <f>IF(Calc!$B1111,Calc!O1111,"")</f>
        <v/>
      </c>
    </row>
    <row r="1112">
      <c r="A1112" s="16">
        <f>IF(Calc!$B1112,Calc!E1112,"")</f>
        <v/>
      </c>
      <c r="B1112">
        <f>IF(Calc!$B1112,INDEX(MineNames,Calc!C1112),"")</f>
        <v/>
      </c>
      <c r="C1112" s="17">
        <f>IF(Calc!$B1112,Calc!O1112,"")</f>
        <v/>
      </c>
    </row>
    <row r="1113">
      <c r="A1113" s="16">
        <f>IF(Calc!$B1113,Calc!E1113,"")</f>
        <v/>
      </c>
      <c r="B1113">
        <f>IF(Calc!$B1113,INDEX(MineNames,Calc!C1113),"")</f>
        <v/>
      </c>
      <c r="C1113" s="17">
        <f>IF(Calc!$B1113,Calc!O1113,"")</f>
        <v/>
      </c>
    </row>
    <row r="1114">
      <c r="A1114" s="16">
        <f>IF(Calc!$B1114,Calc!E1114,"")</f>
        <v/>
      </c>
      <c r="B1114">
        <f>IF(Calc!$B1114,INDEX(MineNames,Calc!C1114),"")</f>
        <v/>
      </c>
      <c r="C1114" s="17">
        <f>IF(Calc!$B1114,Calc!O1114,"")</f>
        <v/>
      </c>
    </row>
    <row r="1115">
      <c r="A1115" s="16">
        <f>IF(Calc!$B1115,Calc!E1115,"")</f>
        <v/>
      </c>
      <c r="B1115">
        <f>IF(Calc!$B1115,INDEX(MineNames,Calc!C1115),"")</f>
        <v/>
      </c>
      <c r="C1115" s="17">
        <f>IF(Calc!$B1115,Calc!O1115,"")</f>
        <v/>
      </c>
    </row>
    <row r="1116">
      <c r="A1116" s="16">
        <f>IF(Calc!$B1116,Calc!E1116,"")</f>
        <v/>
      </c>
      <c r="B1116">
        <f>IF(Calc!$B1116,INDEX(MineNames,Calc!C1116),"")</f>
        <v/>
      </c>
      <c r="C1116" s="17">
        <f>IF(Calc!$B1116,Calc!O1116,"")</f>
        <v/>
      </c>
    </row>
    <row r="1117">
      <c r="A1117" s="16">
        <f>IF(Calc!$B1117,Calc!E1117,"")</f>
        <v/>
      </c>
      <c r="B1117">
        <f>IF(Calc!$B1117,INDEX(MineNames,Calc!C1117),"")</f>
        <v/>
      </c>
      <c r="C1117" s="17">
        <f>IF(Calc!$B1117,Calc!O1117,"")</f>
        <v/>
      </c>
    </row>
    <row r="1118">
      <c r="A1118" s="16">
        <f>IF(Calc!$B1118,Calc!E1118,"")</f>
        <v/>
      </c>
      <c r="B1118">
        <f>IF(Calc!$B1118,INDEX(MineNames,Calc!C1118),"")</f>
        <v/>
      </c>
      <c r="C1118" s="17">
        <f>IF(Calc!$B1118,Calc!O1118,"")</f>
        <v/>
      </c>
    </row>
    <row r="1119">
      <c r="A1119" s="16">
        <f>IF(Calc!$B1119,Calc!E1119,"")</f>
        <v/>
      </c>
      <c r="B1119">
        <f>IF(Calc!$B1119,INDEX(MineNames,Calc!C1119),"")</f>
        <v/>
      </c>
      <c r="C1119" s="17">
        <f>IF(Calc!$B1119,Calc!O1119,"")</f>
        <v/>
      </c>
    </row>
    <row r="1120">
      <c r="A1120" s="16">
        <f>IF(Calc!$B1120,Calc!E1120,"")</f>
        <v/>
      </c>
      <c r="B1120">
        <f>IF(Calc!$B1120,INDEX(MineNames,Calc!C1120),"")</f>
        <v/>
      </c>
      <c r="C1120" s="17">
        <f>IF(Calc!$B1120,Calc!O1120,"")</f>
        <v/>
      </c>
    </row>
    <row r="1121">
      <c r="A1121" s="16">
        <f>IF(Calc!$B1121,Calc!E1121,"")</f>
        <v/>
      </c>
      <c r="B1121">
        <f>IF(Calc!$B1121,INDEX(MineNames,Calc!C1121),"")</f>
        <v/>
      </c>
      <c r="C1121" s="17">
        <f>IF(Calc!$B1121,Calc!O1121,"")</f>
        <v/>
      </c>
    </row>
    <row r="1122">
      <c r="A1122" s="16">
        <f>IF(Calc!$B1122,Calc!E1122,"")</f>
        <v/>
      </c>
      <c r="B1122">
        <f>IF(Calc!$B1122,INDEX(MineNames,Calc!C1122),"")</f>
        <v/>
      </c>
      <c r="C1122" s="17">
        <f>IF(Calc!$B1122,Calc!O1122,"")</f>
        <v/>
      </c>
    </row>
    <row r="1123">
      <c r="A1123" s="16">
        <f>IF(Calc!$B1123,Calc!E1123,"")</f>
        <v/>
      </c>
      <c r="B1123">
        <f>IF(Calc!$B1123,INDEX(MineNames,Calc!C1123),"")</f>
        <v/>
      </c>
      <c r="C1123" s="17">
        <f>IF(Calc!$B1123,Calc!O1123,"")</f>
        <v/>
      </c>
    </row>
    <row r="1124">
      <c r="A1124" s="16">
        <f>IF(Calc!$B1124,Calc!E1124,"")</f>
        <v/>
      </c>
      <c r="B1124">
        <f>IF(Calc!$B1124,INDEX(MineNames,Calc!C1124),"")</f>
        <v/>
      </c>
      <c r="C1124" s="17">
        <f>IF(Calc!$B1124,Calc!O1124,"")</f>
        <v/>
      </c>
    </row>
    <row r="1125">
      <c r="A1125" s="16">
        <f>IF(Calc!$B1125,Calc!E1125,"")</f>
        <v/>
      </c>
      <c r="B1125">
        <f>IF(Calc!$B1125,INDEX(MineNames,Calc!C1125),"")</f>
        <v/>
      </c>
      <c r="C1125" s="17">
        <f>IF(Calc!$B1125,Calc!O1125,"")</f>
        <v/>
      </c>
    </row>
    <row r="1126">
      <c r="A1126" s="16">
        <f>IF(Calc!$B1126,Calc!E1126,"")</f>
        <v/>
      </c>
      <c r="B1126">
        <f>IF(Calc!$B1126,INDEX(MineNames,Calc!C1126),"")</f>
        <v/>
      </c>
      <c r="C1126" s="17">
        <f>IF(Calc!$B1126,Calc!O1126,"")</f>
        <v/>
      </c>
    </row>
    <row r="1127">
      <c r="A1127" s="16">
        <f>IF(Calc!$B1127,Calc!E1127,"")</f>
        <v/>
      </c>
      <c r="B1127">
        <f>IF(Calc!$B1127,INDEX(MineNames,Calc!C1127),"")</f>
        <v/>
      </c>
      <c r="C1127" s="17">
        <f>IF(Calc!$B1127,Calc!O1127,"")</f>
        <v/>
      </c>
    </row>
    <row r="1128">
      <c r="A1128" s="16">
        <f>IF(Calc!$B1128,Calc!E1128,"")</f>
        <v/>
      </c>
      <c r="B1128">
        <f>IF(Calc!$B1128,INDEX(MineNames,Calc!C1128),"")</f>
        <v/>
      </c>
      <c r="C1128" s="17">
        <f>IF(Calc!$B1128,Calc!O1128,"")</f>
        <v/>
      </c>
    </row>
    <row r="1129">
      <c r="A1129" s="16">
        <f>IF(Calc!$B1129,Calc!E1129,"")</f>
        <v/>
      </c>
      <c r="B1129">
        <f>IF(Calc!$B1129,INDEX(MineNames,Calc!C1129),"")</f>
        <v/>
      </c>
      <c r="C1129" s="17">
        <f>IF(Calc!$B1129,Calc!O1129,"")</f>
        <v/>
      </c>
    </row>
    <row r="1130">
      <c r="A1130" s="16">
        <f>IF(Calc!$B1130,Calc!E1130,"")</f>
        <v/>
      </c>
      <c r="B1130">
        <f>IF(Calc!$B1130,INDEX(MineNames,Calc!C1130),"")</f>
        <v/>
      </c>
      <c r="C1130" s="17">
        <f>IF(Calc!$B1130,Calc!O1130,"")</f>
        <v/>
      </c>
    </row>
    <row r="1131">
      <c r="A1131" s="16">
        <f>IF(Calc!$B1131,Calc!E1131,"")</f>
        <v/>
      </c>
      <c r="B1131">
        <f>IF(Calc!$B1131,INDEX(MineNames,Calc!C1131),"")</f>
        <v/>
      </c>
      <c r="C1131" s="17">
        <f>IF(Calc!$B1131,Calc!O1131,"")</f>
        <v/>
      </c>
    </row>
    <row r="1132">
      <c r="A1132" s="16">
        <f>IF(Calc!$B1132,Calc!E1132,"")</f>
        <v/>
      </c>
      <c r="B1132">
        <f>IF(Calc!$B1132,INDEX(MineNames,Calc!C1132),"")</f>
        <v/>
      </c>
      <c r="C1132" s="17">
        <f>IF(Calc!$B1132,Calc!O1132,"")</f>
        <v/>
      </c>
    </row>
    <row r="1133">
      <c r="A1133" s="16">
        <f>IF(Calc!$B1133,Calc!E1133,"")</f>
        <v/>
      </c>
      <c r="B1133">
        <f>IF(Calc!$B1133,INDEX(MineNames,Calc!C1133),"")</f>
        <v/>
      </c>
      <c r="C1133" s="17">
        <f>IF(Calc!$B1133,Calc!O1133,"")</f>
        <v/>
      </c>
    </row>
    <row r="1134">
      <c r="A1134" s="16">
        <f>IF(Calc!$B1134,Calc!E1134,"")</f>
        <v/>
      </c>
      <c r="B1134">
        <f>IF(Calc!$B1134,INDEX(MineNames,Calc!C1134),"")</f>
        <v/>
      </c>
      <c r="C1134" s="17">
        <f>IF(Calc!$B1134,Calc!O1134,"")</f>
        <v/>
      </c>
    </row>
    <row r="1135">
      <c r="A1135" s="16">
        <f>IF(Calc!$B1135,Calc!E1135,"")</f>
        <v/>
      </c>
      <c r="B1135">
        <f>IF(Calc!$B1135,INDEX(MineNames,Calc!C1135),"")</f>
        <v/>
      </c>
      <c r="C1135" s="17">
        <f>IF(Calc!$B1135,Calc!O1135,"")</f>
        <v/>
      </c>
    </row>
    <row r="1136">
      <c r="A1136" s="16">
        <f>IF(Calc!$B1136,Calc!E1136,"")</f>
        <v/>
      </c>
      <c r="B1136">
        <f>IF(Calc!$B1136,INDEX(MineNames,Calc!C1136),"")</f>
        <v/>
      </c>
      <c r="C1136" s="17">
        <f>IF(Calc!$B1136,Calc!O1136,"")</f>
        <v/>
      </c>
    </row>
    <row r="1137">
      <c r="A1137" s="16">
        <f>IF(Calc!$B1137,Calc!E1137,"")</f>
        <v/>
      </c>
      <c r="B1137">
        <f>IF(Calc!$B1137,INDEX(MineNames,Calc!C1137),"")</f>
        <v/>
      </c>
      <c r="C1137" s="17">
        <f>IF(Calc!$B1137,Calc!O1137,"")</f>
        <v/>
      </c>
    </row>
    <row r="1138">
      <c r="A1138" s="16">
        <f>IF(Calc!$B1138,Calc!E1138,"")</f>
        <v/>
      </c>
      <c r="B1138">
        <f>IF(Calc!$B1138,INDEX(MineNames,Calc!C1138),"")</f>
        <v/>
      </c>
      <c r="C1138" s="17">
        <f>IF(Calc!$B1138,Calc!O1138,"")</f>
        <v/>
      </c>
    </row>
    <row r="1139">
      <c r="A1139" s="16">
        <f>IF(Calc!$B1139,Calc!E1139,"")</f>
        <v/>
      </c>
      <c r="B1139">
        <f>IF(Calc!$B1139,INDEX(MineNames,Calc!C1139),"")</f>
        <v/>
      </c>
      <c r="C1139" s="17">
        <f>IF(Calc!$B1139,Calc!O1139,"")</f>
        <v/>
      </c>
    </row>
    <row r="1140">
      <c r="A1140" s="16">
        <f>IF(Calc!$B1140,Calc!E1140,"")</f>
        <v/>
      </c>
      <c r="B1140">
        <f>IF(Calc!$B1140,INDEX(MineNames,Calc!C1140),"")</f>
        <v/>
      </c>
      <c r="C1140" s="17">
        <f>IF(Calc!$B1140,Calc!O1140,"")</f>
        <v/>
      </c>
    </row>
    <row r="1141">
      <c r="A1141" s="16">
        <f>IF(Calc!$B1141,Calc!E1141,"")</f>
        <v/>
      </c>
      <c r="B1141">
        <f>IF(Calc!$B1141,INDEX(MineNames,Calc!C1141),"")</f>
        <v/>
      </c>
      <c r="C1141" s="17">
        <f>IF(Calc!$B1141,Calc!O1141,"")</f>
        <v/>
      </c>
    </row>
    <row r="1142">
      <c r="A1142" s="16">
        <f>IF(Calc!$B1142,Calc!E1142,"")</f>
        <v/>
      </c>
      <c r="B1142">
        <f>IF(Calc!$B1142,INDEX(MineNames,Calc!C1142),"")</f>
        <v/>
      </c>
      <c r="C1142" s="17">
        <f>IF(Calc!$B1142,Calc!O1142,"")</f>
        <v/>
      </c>
    </row>
    <row r="1143">
      <c r="A1143" s="16">
        <f>IF(Calc!$B1143,Calc!E1143,"")</f>
        <v/>
      </c>
      <c r="B1143">
        <f>IF(Calc!$B1143,INDEX(MineNames,Calc!C1143),"")</f>
        <v/>
      </c>
      <c r="C1143" s="17">
        <f>IF(Calc!$B1143,Calc!O1143,"")</f>
        <v/>
      </c>
    </row>
    <row r="1144">
      <c r="A1144" s="16">
        <f>IF(Calc!$B1144,Calc!E1144,"")</f>
        <v/>
      </c>
      <c r="B1144">
        <f>IF(Calc!$B1144,INDEX(MineNames,Calc!C1144),"")</f>
        <v/>
      </c>
      <c r="C1144" s="17">
        <f>IF(Calc!$B1144,Calc!O1144,"")</f>
        <v/>
      </c>
    </row>
    <row r="1145">
      <c r="A1145" s="16">
        <f>IF(Calc!$B1145,Calc!E1145,"")</f>
        <v/>
      </c>
      <c r="B1145">
        <f>IF(Calc!$B1145,INDEX(MineNames,Calc!C1145),"")</f>
        <v/>
      </c>
      <c r="C1145" s="17">
        <f>IF(Calc!$B1145,Calc!O1145,"")</f>
        <v/>
      </c>
    </row>
    <row r="1146">
      <c r="A1146" s="16">
        <f>IF(Calc!$B1146,Calc!E1146,"")</f>
        <v/>
      </c>
      <c r="B1146">
        <f>IF(Calc!$B1146,INDEX(MineNames,Calc!C1146),"")</f>
        <v/>
      </c>
      <c r="C1146" s="17">
        <f>IF(Calc!$B1146,Calc!O1146,"")</f>
        <v/>
      </c>
    </row>
    <row r="1147">
      <c r="A1147" s="16">
        <f>IF(Calc!$B1147,Calc!E1147,"")</f>
        <v/>
      </c>
      <c r="B1147">
        <f>IF(Calc!$B1147,INDEX(MineNames,Calc!C1147),"")</f>
        <v/>
      </c>
      <c r="C1147" s="17">
        <f>IF(Calc!$B1147,Calc!O1147,"")</f>
        <v/>
      </c>
    </row>
    <row r="1148">
      <c r="A1148" s="16">
        <f>IF(Calc!$B1148,Calc!E1148,"")</f>
        <v/>
      </c>
      <c r="B1148">
        <f>IF(Calc!$B1148,INDEX(MineNames,Calc!C1148),"")</f>
        <v/>
      </c>
      <c r="C1148" s="17">
        <f>IF(Calc!$B1148,Calc!O1148,"")</f>
        <v/>
      </c>
    </row>
    <row r="1149">
      <c r="A1149" s="16">
        <f>IF(Calc!$B1149,Calc!E1149,"")</f>
        <v/>
      </c>
      <c r="B1149">
        <f>IF(Calc!$B1149,INDEX(MineNames,Calc!C1149),"")</f>
        <v/>
      </c>
      <c r="C1149" s="17">
        <f>IF(Calc!$B1149,Calc!O1149,"")</f>
        <v/>
      </c>
    </row>
    <row r="1150">
      <c r="A1150" s="16">
        <f>IF(Calc!$B1150,Calc!E1150,"")</f>
        <v/>
      </c>
      <c r="B1150">
        <f>IF(Calc!$B1150,INDEX(MineNames,Calc!C1150),"")</f>
        <v/>
      </c>
      <c r="C1150" s="17">
        <f>IF(Calc!$B1150,Calc!O1150,"")</f>
        <v/>
      </c>
    </row>
    <row r="1151">
      <c r="A1151" s="16">
        <f>IF(Calc!$B1151,Calc!E1151,"")</f>
        <v/>
      </c>
      <c r="B1151">
        <f>IF(Calc!$B1151,INDEX(MineNames,Calc!C1151),"")</f>
        <v/>
      </c>
      <c r="C1151" s="17">
        <f>IF(Calc!$B1151,Calc!O1151,"")</f>
        <v/>
      </c>
    </row>
    <row r="1152">
      <c r="A1152" s="16">
        <f>IF(Calc!$B1152,Calc!E1152,"")</f>
        <v/>
      </c>
      <c r="B1152">
        <f>IF(Calc!$B1152,INDEX(MineNames,Calc!C1152),"")</f>
        <v/>
      </c>
      <c r="C1152" s="17">
        <f>IF(Calc!$B1152,Calc!O1152,"")</f>
        <v/>
      </c>
    </row>
    <row r="1153">
      <c r="A1153" s="16">
        <f>IF(Calc!$B1153,Calc!E1153,"")</f>
        <v/>
      </c>
      <c r="B1153">
        <f>IF(Calc!$B1153,INDEX(MineNames,Calc!C1153),"")</f>
        <v/>
      </c>
      <c r="C1153" s="17">
        <f>IF(Calc!$B1153,Calc!O1153,"")</f>
        <v/>
      </c>
    </row>
    <row r="1154">
      <c r="A1154" s="16">
        <f>IF(Calc!$B1154,Calc!E1154,"")</f>
        <v/>
      </c>
      <c r="B1154">
        <f>IF(Calc!$B1154,INDEX(MineNames,Calc!C1154),"")</f>
        <v/>
      </c>
      <c r="C1154" s="17">
        <f>IF(Calc!$B1154,Calc!O1154,"")</f>
        <v/>
      </c>
    </row>
    <row r="1155">
      <c r="A1155" s="16">
        <f>IF(Calc!$B1155,Calc!E1155,"")</f>
        <v/>
      </c>
      <c r="B1155">
        <f>IF(Calc!$B1155,INDEX(MineNames,Calc!C1155),"")</f>
        <v/>
      </c>
      <c r="C1155" s="17">
        <f>IF(Calc!$B1155,Calc!O1155,"")</f>
        <v/>
      </c>
    </row>
    <row r="1156">
      <c r="A1156" s="16">
        <f>IF(Calc!$B1156,Calc!E1156,"")</f>
        <v/>
      </c>
      <c r="B1156">
        <f>IF(Calc!$B1156,INDEX(MineNames,Calc!C1156),"")</f>
        <v/>
      </c>
      <c r="C1156" s="17">
        <f>IF(Calc!$B1156,Calc!O1156,"")</f>
        <v/>
      </c>
    </row>
    <row r="1157">
      <c r="A1157" s="16">
        <f>IF(Calc!$B1157,Calc!E1157,"")</f>
        <v/>
      </c>
      <c r="B1157">
        <f>IF(Calc!$B1157,INDEX(MineNames,Calc!C1157),"")</f>
        <v/>
      </c>
      <c r="C1157" s="17">
        <f>IF(Calc!$B1157,Calc!O1157,"")</f>
        <v/>
      </c>
    </row>
    <row r="1158">
      <c r="A1158" s="16">
        <f>IF(Calc!$B1158,Calc!E1158,"")</f>
        <v/>
      </c>
      <c r="B1158">
        <f>IF(Calc!$B1158,INDEX(MineNames,Calc!C1158),"")</f>
        <v/>
      </c>
      <c r="C1158" s="17">
        <f>IF(Calc!$B1158,Calc!O1158,"")</f>
        <v/>
      </c>
    </row>
    <row r="1159">
      <c r="A1159" s="16">
        <f>IF(Calc!$B1159,Calc!E1159,"")</f>
        <v/>
      </c>
      <c r="B1159">
        <f>IF(Calc!$B1159,INDEX(MineNames,Calc!C1159),"")</f>
        <v/>
      </c>
      <c r="C1159" s="17">
        <f>IF(Calc!$B1159,Calc!O1159,"")</f>
        <v/>
      </c>
    </row>
    <row r="1160">
      <c r="A1160" s="16">
        <f>IF(Calc!$B1160,Calc!E1160,"")</f>
        <v/>
      </c>
      <c r="B1160">
        <f>IF(Calc!$B1160,INDEX(MineNames,Calc!C1160),"")</f>
        <v/>
      </c>
      <c r="C1160" s="17">
        <f>IF(Calc!$B1160,Calc!O1160,"")</f>
        <v/>
      </c>
    </row>
    <row r="1161">
      <c r="A1161" s="16">
        <f>IF(Calc!$B1161,Calc!E1161,"")</f>
        <v/>
      </c>
      <c r="B1161">
        <f>IF(Calc!$B1161,INDEX(MineNames,Calc!C1161),"")</f>
        <v/>
      </c>
      <c r="C1161" s="17">
        <f>IF(Calc!$B1161,Calc!O1161,"")</f>
        <v/>
      </c>
    </row>
    <row r="1162">
      <c r="A1162" s="16">
        <f>IF(Calc!$B1162,Calc!E1162,"")</f>
        <v/>
      </c>
      <c r="B1162">
        <f>IF(Calc!$B1162,INDEX(MineNames,Calc!C1162),"")</f>
        <v/>
      </c>
      <c r="C1162" s="17">
        <f>IF(Calc!$B1162,Calc!O1162,"")</f>
        <v/>
      </c>
    </row>
    <row r="1163">
      <c r="A1163" s="16">
        <f>IF(Calc!$B1163,Calc!E1163,"")</f>
        <v/>
      </c>
      <c r="B1163">
        <f>IF(Calc!$B1163,INDEX(MineNames,Calc!C1163),"")</f>
        <v/>
      </c>
      <c r="C1163" s="17">
        <f>IF(Calc!$B1163,Calc!O1163,"")</f>
        <v/>
      </c>
    </row>
    <row r="1164">
      <c r="A1164" s="16">
        <f>IF(Calc!$B1164,Calc!E1164,"")</f>
        <v/>
      </c>
      <c r="B1164">
        <f>IF(Calc!$B1164,INDEX(MineNames,Calc!C1164),"")</f>
        <v/>
      </c>
      <c r="C1164" s="17">
        <f>IF(Calc!$B1164,Calc!O1164,"")</f>
        <v/>
      </c>
    </row>
    <row r="1165">
      <c r="A1165" s="16">
        <f>IF(Calc!$B1165,Calc!E1165,"")</f>
        <v/>
      </c>
      <c r="B1165">
        <f>IF(Calc!$B1165,INDEX(MineNames,Calc!C1165),"")</f>
        <v/>
      </c>
      <c r="C1165" s="17">
        <f>IF(Calc!$B1165,Calc!O1165,"")</f>
        <v/>
      </c>
    </row>
    <row r="1166">
      <c r="A1166" s="16">
        <f>IF(Calc!$B1166,Calc!E1166,"")</f>
        <v/>
      </c>
      <c r="B1166">
        <f>IF(Calc!$B1166,INDEX(MineNames,Calc!C1166),"")</f>
        <v/>
      </c>
      <c r="C1166" s="17">
        <f>IF(Calc!$B1166,Calc!O1166,"")</f>
        <v/>
      </c>
    </row>
    <row r="1167">
      <c r="A1167" s="16">
        <f>IF(Calc!$B1167,Calc!E1167,"")</f>
        <v/>
      </c>
      <c r="B1167">
        <f>IF(Calc!$B1167,INDEX(MineNames,Calc!C1167),"")</f>
        <v/>
      </c>
      <c r="C1167" s="17">
        <f>IF(Calc!$B1167,Calc!O1167,"")</f>
        <v/>
      </c>
    </row>
    <row r="1168">
      <c r="A1168" s="16">
        <f>IF(Calc!$B1168,Calc!E1168,"")</f>
        <v/>
      </c>
      <c r="B1168">
        <f>IF(Calc!$B1168,INDEX(MineNames,Calc!C1168),"")</f>
        <v/>
      </c>
      <c r="C1168" s="17">
        <f>IF(Calc!$B1168,Calc!O1168,"")</f>
        <v/>
      </c>
    </row>
    <row r="1169">
      <c r="A1169" s="16">
        <f>IF(Calc!$B1169,Calc!E1169,"")</f>
        <v/>
      </c>
      <c r="B1169">
        <f>IF(Calc!$B1169,INDEX(MineNames,Calc!C1169),"")</f>
        <v/>
      </c>
      <c r="C1169" s="17">
        <f>IF(Calc!$B1169,Calc!O1169,"")</f>
        <v/>
      </c>
    </row>
    <row r="1170">
      <c r="A1170" s="16">
        <f>IF(Calc!$B1170,Calc!E1170,"")</f>
        <v/>
      </c>
      <c r="B1170">
        <f>IF(Calc!$B1170,INDEX(MineNames,Calc!C1170),"")</f>
        <v/>
      </c>
      <c r="C1170" s="17">
        <f>IF(Calc!$B1170,Calc!O1170,"")</f>
        <v/>
      </c>
    </row>
    <row r="1171">
      <c r="A1171" s="16">
        <f>IF(Calc!$B1171,Calc!E1171,"")</f>
        <v/>
      </c>
      <c r="B1171">
        <f>IF(Calc!$B1171,INDEX(MineNames,Calc!C1171),"")</f>
        <v/>
      </c>
      <c r="C1171" s="17">
        <f>IF(Calc!$B1171,Calc!O1171,"")</f>
        <v/>
      </c>
    </row>
    <row r="1172">
      <c r="A1172" s="16">
        <f>IF(Calc!$B1172,Calc!E1172,"")</f>
        <v/>
      </c>
      <c r="B1172">
        <f>IF(Calc!$B1172,INDEX(MineNames,Calc!C1172),"")</f>
        <v/>
      </c>
      <c r="C1172" s="17">
        <f>IF(Calc!$B1172,Calc!O1172,"")</f>
        <v/>
      </c>
    </row>
    <row r="1173">
      <c r="A1173" s="16">
        <f>IF(Calc!$B1173,Calc!E1173,"")</f>
        <v/>
      </c>
      <c r="B1173">
        <f>IF(Calc!$B1173,INDEX(MineNames,Calc!C1173),"")</f>
        <v/>
      </c>
      <c r="C1173" s="17">
        <f>IF(Calc!$B1173,Calc!O1173,"")</f>
        <v/>
      </c>
    </row>
    <row r="1174">
      <c r="A1174" s="16">
        <f>IF(Calc!$B1174,Calc!E1174,"")</f>
        <v/>
      </c>
      <c r="B1174">
        <f>IF(Calc!$B1174,INDEX(MineNames,Calc!C1174),"")</f>
        <v/>
      </c>
      <c r="C1174" s="17">
        <f>IF(Calc!$B1174,Calc!O1174,"")</f>
        <v/>
      </c>
    </row>
    <row r="1175">
      <c r="A1175" s="16">
        <f>IF(Calc!$B1175,Calc!E1175,"")</f>
        <v/>
      </c>
      <c r="B1175">
        <f>IF(Calc!$B1175,INDEX(MineNames,Calc!C1175),"")</f>
        <v/>
      </c>
      <c r="C1175" s="17">
        <f>IF(Calc!$B1175,Calc!O1175,"")</f>
        <v/>
      </c>
    </row>
    <row r="1176">
      <c r="A1176" s="16">
        <f>IF(Calc!$B1176,Calc!E1176,"")</f>
        <v/>
      </c>
      <c r="B1176">
        <f>IF(Calc!$B1176,INDEX(MineNames,Calc!C1176),"")</f>
        <v/>
      </c>
      <c r="C1176" s="17">
        <f>IF(Calc!$B1176,Calc!O1176,"")</f>
        <v/>
      </c>
    </row>
    <row r="1177">
      <c r="A1177" s="16">
        <f>IF(Calc!$B1177,Calc!E1177,"")</f>
        <v/>
      </c>
      <c r="B1177">
        <f>IF(Calc!$B1177,INDEX(MineNames,Calc!C1177),"")</f>
        <v/>
      </c>
      <c r="C1177" s="17">
        <f>IF(Calc!$B1177,Calc!O1177,"")</f>
        <v/>
      </c>
    </row>
    <row r="1178">
      <c r="A1178" s="16">
        <f>IF(Calc!$B1178,Calc!E1178,"")</f>
        <v/>
      </c>
      <c r="B1178">
        <f>IF(Calc!$B1178,INDEX(MineNames,Calc!C1178),"")</f>
        <v/>
      </c>
      <c r="C1178" s="17">
        <f>IF(Calc!$B1178,Calc!O1178,"")</f>
        <v/>
      </c>
    </row>
    <row r="1179">
      <c r="A1179" s="16">
        <f>IF(Calc!$B1179,Calc!E1179,"")</f>
        <v/>
      </c>
      <c r="B1179">
        <f>IF(Calc!$B1179,INDEX(MineNames,Calc!C1179),"")</f>
        <v/>
      </c>
      <c r="C1179" s="17">
        <f>IF(Calc!$B1179,Calc!O1179,"")</f>
        <v/>
      </c>
    </row>
    <row r="1180">
      <c r="A1180" s="16">
        <f>IF(Calc!$B1180,Calc!E1180,"")</f>
        <v/>
      </c>
      <c r="B1180">
        <f>IF(Calc!$B1180,INDEX(MineNames,Calc!C1180),"")</f>
        <v/>
      </c>
      <c r="C1180" s="17">
        <f>IF(Calc!$B1180,Calc!O1180,"")</f>
        <v/>
      </c>
    </row>
    <row r="1181">
      <c r="A1181" s="16">
        <f>IF(Calc!$B1181,Calc!E1181,"")</f>
        <v/>
      </c>
      <c r="B1181">
        <f>IF(Calc!$B1181,INDEX(MineNames,Calc!C1181),"")</f>
        <v/>
      </c>
      <c r="C1181" s="17">
        <f>IF(Calc!$B1181,Calc!O1181,"")</f>
        <v/>
      </c>
    </row>
    <row r="1182">
      <c r="A1182" s="16">
        <f>IF(Calc!$B1182,Calc!E1182,"")</f>
        <v/>
      </c>
      <c r="B1182">
        <f>IF(Calc!$B1182,INDEX(MineNames,Calc!C1182),"")</f>
        <v/>
      </c>
      <c r="C1182" s="17">
        <f>IF(Calc!$B1182,Calc!O1182,"")</f>
        <v/>
      </c>
    </row>
    <row r="1183">
      <c r="A1183" s="16">
        <f>IF(Calc!$B1183,Calc!E1183,"")</f>
        <v/>
      </c>
      <c r="B1183">
        <f>IF(Calc!$B1183,INDEX(MineNames,Calc!C1183),"")</f>
        <v/>
      </c>
      <c r="C1183" s="17">
        <f>IF(Calc!$B1183,Calc!O1183,"")</f>
        <v/>
      </c>
    </row>
    <row r="1184">
      <c r="A1184" s="16">
        <f>IF(Calc!$B1184,Calc!E1184,"")</f>
        <v/>
      </c>
      <c r="B1184">
        <f>IF(Calc!$B1184,INDEX(MineNames,Calc!C1184),"")</f>
        <v/>
      </c>
      <c r="C1184" s="17">
        <f>IF(Calc!$B1184,Calc!O1184,"")</f>
        <v/>
      </c>
    </row>
    <row r="1185">
      <c r="A1185" s="16">
        <f>IF(Calc!$B1185,Calc!E1185,"")</f>
        <v/>
      </c>
      <c r="B1185">
        <f>IF(Calc!$B1185,INDEX(MineNames,Calc!C1185),"")</f>
        <v/>
      </c>
      <c r="C1185" s="17">
        <f>IF(Calc!$B1185,Calc!O1185,"")</f>
        <v/>
      </c>
    </row>
    <row r="1186">
      <c r="A1186" s="16">
        <f>IF(Calc!$B1186,Calc!E1186,"")</f>
        <v/>
      </c>
      <c r="B1186">
        <f>IF(Calc!$B1186,INDEX(MineNames,Calc!C1186),"")</f>
        <v/>
      </c>
      <c r="C1186" s="17">
        <f>IF(Calc!$B1186,Calc!O1186,"")</f>
        <v/>
      </c>
    </row>
    <row r="1187">
      <c r="A1187" s="16">
        <f>IF(Calc!$B1187,Calc!E1187,"")</f>
        <v/>
      </c>
      <c r="B1187">
        <f>IF(Calc!$B1187,INDEX(MineNames,Calc!C1187),"")</f>
        <v/>
      </c>
      <c r="C1187" s="17">
        <f>IF(Calc!$B1187,Calc!O1187,"")</f>
        <v/>
      </c>
    </row>
    <row r="1188">
      <c r="A1188" s="16">
        <f>IF(Calc!$B1188,Calc!E1188,"")</f>
        <v/>
      </c>
      <c r="B1188">
        <f>IF(Calc!$B1188,INDEX(MineNames,Calc!C1188),"")</f>
        <v/>
      </c>
      <c r="C1188" s="17">
        <f>IF(Calc!$B1188,Calc!O1188,"")</f>
        <v/>
      </c>
    </row>
    <row r="1189">
      <c r="A1189" s="16">
        <f>IF(Calc!$B1189,Calc!E1189,"")</f>
        <v/>
      </c>
      <c r="B1189">
        <f>IF(Calc!$B1189,INDEX(MineNames,Calc!C1189),"")</f>
        <v/>
      </c>
      <c r="C1189" s="17">
        <f>IF(Calc!$B1189,Calc!O1189,"")</f>
        <v/>
      </c>
    </row>
    <row r="1190">
      <c r="A1190" s="16">
        <f>IF(Calc!$B1190,Calc!E1190,"")</f>
        <v/>
      </c>
      <c r="B1190">
        <f>IF(Calc!$B1190,INDEX(MineNames,Calc!C1190),"")</f>
        <v/>
      </c>
      <c r="C1190" s="17">
        <f>IF(Calc!$B1190,Calc!O1190,"")</f>
        <v/>
      </c>
    </row>
    <row r="1191">
      <c r="A1191" s="16">
        <f>IF(Calc!$B1191,Calc!E1191,"")</f>
        <v/>
      </c>
      <c r="B1191">
        <f>IF(Calc!$B1191,INDEX(MineNames,Calc!C1191),"")</f>
        <v/>
      </c>
      <c r="C1191" s="17">
        <f>IF(Calc!$B1191,Calc!O1191,"")</f>
        <v/>
      </c>
    </row>
    <row r="1192">
      <c r="A1192" s="16">
        <f>IF(Calc!$B1192,Calc!E1192,"")</f>
        <v/>
      </c>
      <c r="B1192">
        <f>IF(Calc!$B1192,INDEX(MineNames,Calc!C1192),"")</f>
        <v/>
      </c>
      <c r="C1192" s="17">
        <f>IF(Calc!$B1192,Calc!O1192,"")</f>
        <v/>
      </c>
    </row>
    <row r="1193">
      <c r="A1193" s="16">
        <f>IF(Calc!$B1193,Calc!E1193,"")</f>
        <v/>
      </c>
      <c r="B1193">
        <f>IF(Calc!$B1193,INDEX(MineNames,Calc!C1193),"")</f>
        <v/>
      </c>
      <c r="C1193" s="17">
        <f>IF(Calc!$B1193,Calc!O1193,"")</f>
        <v/>
      </c>
    </row>
    <row r="1194">
      <c r="A1194" s="16">
        <f>IF(Calc!$B1194,Calc!E1194,"")</f>
        <v/>
      </c>
      <c r="B1194">
        <f>IF(Calc!$B1194,INDEX(MineNames,Calc!C1194),"")</f>
        <v/>
      </c>
      <c r="C1194" s="17">
        <f>IF(Calc!$B1194,Calc!O1194,"")</f>
        <v/>
      </c>
    </row>
    <row r="1195">
      <c r="A1195" s="16">
        <f>IF(Calc!$B1195,Calc!E1195,"")</f>
        <v/>
      </c>
      <c r="B1195">
        <f>IF(Calc!$B1195,INDEX(MineNames,Calc!C1195),"")</f>
        <v/>
      </c>
      <c r="C1195" s="17">
        <f>IF(Calc!$B1195,Calc!O1195,"")</f>
        <v/>
      </c>
    </row>
    <row r="1196">
      <c r="A1196" s="16">
        <f>IF(Calc!$B1196,Calc!E1196,"")</f>
        <v/>
      </c>
      <c r="B1196">
        <f>IF(Calc!$B1196,INDEX(MineNames,Calc!C1196),"")</f>
        <v/>
      </c>
      <c r="C1196" s="17">
        <f>IF(Calc!$B1196,Calc!O1196,"")</f>
        <v/>
      </c>
    </row>
    <row r="1197">
      <c r="A1197" s="16">
        <f>IF(Calc!$B1197,Calc!E1197,"")</f>
        <v/>
      </c>
      <c r="B1197">
        <f>IF(Calc!$B1197,INDEX(MineNames,Calc!C1197),"")</f>
        <v/>
      </c>
      <c r="C1197" s="17">
        <f>IF(Calc!$B1197,Calc!O1197,"")</f>
        <v/>
      </c>
    </row>
    <row r="1198">
      <c r="A1198" s="16">
        <f>IF(Calc!$B1198,Calc!E1198,"")</f>
        <v/>
      </c>
      <c r="B1198">
        <f>IF(Calc!$B1198,INDEX(MineNames,Calc!C1198),"")</f>
        <v/>
      </c>
      <c r="C1198" s="17">
        <f>IF(Calc!$B1198,Calc!O1198,"")</f>
        <v/>
      </c>
    </row>
    <row r="1199">
      <c r="A1199" s="16">
        <f>IF(Calc!$B1199,Calc!E1199,"")</f>
        <v/>
      </c>
      <c r="B1199">
        <f>IF(Calc!$B1199,INDEX(MineNames,Calc!C1199),"")</f>
        <v/>
      </c>
      <c r="C1199" s="17">
        <f>IF(Calc!$B1199,Calc!O1199,"")</f>
        <v/>
      </c>
    </row>
    <row r="1200">
      <c r="A1200" s="16">
        <f>IF(Calc!$B1200,Calc!E1200,"")</f>
        <v/>
      </c>
      <c r="B1200">
        <f>IF(Calc!$B1200,INDEX(MineNames,Calc!C1200),"")</f>
        <v/>
      </c>
      <c r="C1200" s="17">
        <f>IF(Calc!$B1200,Calc!O1200,"")</f>
        <v/>
      </c>
    </row>
    <row r="1201">
      <c r="A1201" s="16">
        <f>IF(Calc!$B1201,Calc!E1201,"")</f>
        <v/>
      </c>
      <c r="B1201">
        <f>IF(Calc!$B1201,INDEX(MineNames,Calc!C1201),"")</f>
        <v/>
      </c>
      <c r="C1201" s="17">
        <f>IF(Calc!$B1201,Calc!O1201,"")</f>
        <v/>
      </c>
    </row>
    <row r="1202">
      <c r="A1202" s="16">
        <f>IF(Calc!$B1202,Calc!E1202,"")</f>
        <v/>
      </c>
      <c r="B1202">
        <f>IF(Calc!$B1202,INDEX(MineNames,Calc!C1202),"")</f>
        <v/>
      </c>
      <c r="C1202" s="17">
        <f>IF(Calc!$B1202,Calc!O1202,"")</f>
        <v/>
      </c>
    </row>
    <row r="1203">
      <c r="A1203" s="16">
        <f>IF(Calc!$B1203,Calc!E1203,"")</f>
        <v/>
      </c>
      <c r="B1203">
        <f>IF(Calc!$B1203,INDEX(MineNames,Calc!C1203),"")</f>
        <v/>
      </c>
      <c r="C1203" s="17">
        <f>IF(Calc!$B1203,Calc!O1203,"")</f>
        <v/>
      </c>
    </row>
    <row r="1204">
      <c r="A1204" s="16">
        <f>IF(Calc!$B1204,Calc!E1204,"")</f>
        <v/>
      </c>
      <c r="B1204">
        <f>IF(Calc!$B1204,INDEX(MineNames,Calc!C1204),"")</f>
        <v/>
      </c>
      <c r="C1204" s="17">
        <f>IF(Calc!$B1204,Calc!O1204,"")</f>
        <v/>
      </c>
    </row>
    <row r="1205">
      <c r="A1205" s="16">
        <f>IF(Calc!$B1205,Calc!E1205,"")</f>
        <v/>
      </c>
      <c r="B1205">
        <f>IF(Calc!$B1205,INDEX(MineNames,Calc!C1205),"")</f>
        <v/>
      </c>
      <c r="C1205" s="17">
        <f>IF(Calc!$B1205,Calc!O1205,"")</f>
        <v/>
      </c>
    </row>
    <row r="1206">
      <c r="A1206" s="16">
        <f>IF(Calc!$B1206,Calc!E1206,"")</f>
        <v/>
      </c>
      <c r="B1206">
        <f>IF(Calc!$B1206,INDEX(MineNames,Calc!C1206),"")</f>
        <v/>
      </c>
      <c r="C1206" s="17">
        <f>IF(Calc!$B1206,Calc!O1206,"")</f>
        <v/>
      </c>
    </row>
    <row r="1207">
      <c r="A1207" s="16">
        <f>IF(Calc!$B1207,Calc!E1207,"")</f>
        <v/>
      </c>
      <c r="B1207">
        <f>IF(Calc!$B1207,INDEX(MineNames,Calc!C1207),"")</f>
        <v/>
      </c>
      <c r="C1207" s="17">
        <f>IF(Calc!$B1207,Calc!O1207,"")</f>
        <v/>
      </c>
    </row>
    <row r="1208">
      <c r="A1208" s="16">
        <f>IF(Calc!$B1208,Calc!E1208,"")</f>
        <v/>
      </c>
      <c r="B1208">
        <f>IF(Calc!$B1208,INDEX(MineNames,Calc!C1208),"")</f>
        <v/>
      </c>
      <c r="C1208" s="17">
        <f>IF(Calc!$B1208,Calc!O1208,"")</f>
        <v/>
      </c>
    </row>
    <row r="1209">
      <c r="A1209" s="16">
        <f>IF(Calc!$B1209,Calc!E1209,"")</f>
        <v/>
      </c>
      <c r="B1209">
        <f>IF(Calc!$B1209,INDEX(MineNames,Calc!C1209),"")</f>
        <v/>
      </c>
      <c r="C1209" s="17">
        <f>IF(Calc!$B1209,Calc!O1209,"")</f>
        <v/>
      </c>
    </row>
    <row r="1210">
      <c r="A1210" s="16">
        <f>IF(Calc!$B1210,Calc!E1210,"")</f>
        <v/>
      </c>
      <c r="B1210">
        <f>IF(Calc!$B1210,INDEX(MineNames,Calc!C1210),"")</f>
        <v/>
      </c>
      <c r="C1210" s="17">
        <f>IF(Calc!$B1210,Calc!O1210,"")</f>
        <v/>
      </c>
    </row>
    <row r="1211">
      <c r="A1211" s="16">
        <f>IF(Calc!$B1211,Calc!E1211,"")</f>
        <v/>
      </c>
      <c r="B1211">
        <f>IF(Calc!$B1211,INDEX(MineNames,Calc!C1211),"")</f>
        <v/>
      </c>
      <c r="C1211" s="17">
        <f>IF(Calc!$B1211,Calc!O1211,"")</f>
        <v/>
      </c>
    </row>
    <row r="1212">
      <c r="A1212" s="16">
        <f>IF(Calc!$B1212,Calc!E1212,"")</f>
        <v/>
      </c>
      <c r="B1212">
        <f>IF(Calc!$B1212,INDEX(MineNames,Calc!C1212),"")</f>
        <v/>
      </c>
      <c r="C1212" s="17">
        <f>IF(Calc!$B1212,Calc!O1212,"")</f>
        <v/>
      </c>
    </row>
    <row r="1213">
      <c r="A1213" s="16">
        <f>IF(Calc!$B1213,Calc!E1213,"")</f>
        <v/>
      </c>
      <c r="B1213">
        <f>IF(Calc!$B1213,INDEX(MineNames,Calc!C1213),"")</f>
        <v/>
      </c>
      <c r="C1213" s="17">
        <f>IF(Calc!$B1213,Calc!O1213,"")</f>
        <v/>
      </c>
    </row>
    <row r="1214">
      <c r="A1214" s="16">
        <f>IF(Calc!$B1214,Calc!E1214,"")</f>
        <v/>
      </c>
      <c r="B1214">
        <f>IF(Calc!$B1214,INDEX(MineNames,Calc!C1214),"")</f>
        <v/>
      </c>
      <c r="C1214" s="17">
        <f>IF(Calc!$B1214,Calc!O1214,"")</f>
        <v/>
      </c>
    </row>
    <row r="1215">
      <c r="A1215" s="16">
        <f>IF(Calc!$B1215,Calc!E1215,"")</f>
        <v/>
      </c>
      <c r="B1215">
        <f>IF(Calc!$B1215,INDEX(MineNames,Calc!C1215),"")</f>
        <v/>
      </c>
      <c r="C1215" s="17">
        <f>IF(Calc!$B1215,Calc!O1215,"")</f>
        <v/>
      </c>
    </row>
    <row r="1216">
      <c r="A1216" s="16">
        <f>IF(Calc!$B1216,Calc!E1216,"")</f>
        <v/>
      </c>
      <c r="B1216">
        <f>IF(Calc!$B1216,INDEX(MineNames,Calc!C1216),"")</f>
        <v/>
      </c>
      <c r="C1216" s="17">
        <f>IF(Calc!$B1216,Calc!O1216,"")</f>
        <v/>
      </c>
    </row>
    <row r="1217">
      <c r="A1217" s="16">
        <f>IF(Calc!$B1217,Calc!E1217,"")</f>
        <v/>
      </c>
      <c r="B1217">
        <f>IF(Calc!$B1217,INDEX(MineNames,Calc!C1217),"")</f>
        <v/>
      </c>
      <c r="C1217" s="17">
        <f>IF(Calc!$B1217,Calc!O1217,"")</f>
        <v/>
      </c>
    </row>
    <row r="1218">
      <c r="A1218" s="16">
        <f>IF(Calc!$B1218,Calc!E1218,"")</f>
        <v/>
      </c>
      <c r="B1218">
        <f>IF(Calc!$B1218,INDEX(MineNames,Calc!C1218),"")</f>
        <v/>
      </c>
      <c r="C1218" s="17">
        <f>IF(Calc!$B1218,Calc!O1218,"")</f>
        <v/>
      </c>
    </row>
    <row r="1219">
      <c r="A1219" s="16">
        <f>IF(Calc!$B1219,Calc!E1219,"")</f>
        <v/>
      </c>
      <c r="B1219">
        <f>IF(Calc!$B1219,INDEX(MineNames,Calc!C1219),"")</f>
        <v/>
      </c>
      <c r="C1219" s="17">
        <f>IF(Calc!$B1219,Calc!O1219,"")</f>
        <v/>
      </c>
    </row>
    <row r="1220">
      <c r="A1220" s="16">
        <f>IF(Calc!$B1220,Calc!E1220,"")</f>
        <v/>
      </c>
      <c r="B1220">
        <f>IF(Calc!$B1220,INDEX(MineNames,Calc!C1220),"")</f>
        <v/>
      </c>
      <c r="C1220" s="17">
        <f>IF(Calc!$B1220,Calc!O1220,"")</f>
        <v/>
      </c>
    </row>
    <row r="1221">
      <c r="A1221" s="16">
        <f>IF(Calc!$B1221,Calc!E1221,"")</f>
        <v/>
      </c>
      <c r="B1221">
        <f>IF(Calc!$B1221,INDEX(MineNames,Calc!C1221),"")</f>
        <v/>
      </c>
      <c r="C1221" s="17">
        <f>IF(Calc!$B1221,Calc!O1221,"")</f>
        <v/>
      </c>
    </row>
    <row r="1222">
      <c r="A1222" s="16">
        <f>IF(Calc!$B1222,Calc!E1222,"")</f>
        <v/>
      </c>
      <c r="B1222">
        <f>IF(Calc!$B1222,INDEX(MineNames,Calc!C1222),"")</f>
        <v/>
      </c>
      <c r="C1222" s="17">
        <f>IF(Calc!$B1222,Calc!O1222,"")</f>
        <v/>
      </c>
    </row>
    <row r="1223">
      <c r="A1223" s="16">
        <f>IF(Calc!$B1223,Calc!E1223,"")</f>
        <v/>
      </c>
      <c r="B1223">
        <f>IF(Calc!$B1223,INDEX(MineNames,Calc!C1223),"")</f>
        <v/>
      </c>
      <c r="C1223" s="17">
        <f>IF(Calc!$B1223,Calc!O1223,"")</f>
        <v/>
      </c>
    </row>
    <row r="1224">
      <c r="A1224" s="16">
        <f>IF(Calc!$B1224,Calc!E1224,"")</f>
        <v/>
      </c>
      <c r="B1224">
        <f>IF(Calc!$B1224,INDEX(MineNames,Calc!C1224),"")</f>
        <v/>
      </c>
      <c r="C1224" s="17">
        <f>IF(Calc!$B1224,Calc!O1224,"")</f>
        <v/>
      </c>
    </row>
    <row r="1225">
      <c r="A1225" s="16">
        <f>IF(Calc!$B1225,Calc!E1225,"")</f>
        <v/>
      </c>
      <c r="B1225">
        <f>IF(Calc!$B1225,INDEX(MineNames,Calc!C1225),"")</f>
        <v/>
      </c>
      <c r="C1225" s="17">
        <f>IF(Calc!$B1225,Calc!O1225,"")</f>
        <v/>
      </c>
    </row>
    <row r="1226">
      <c r="A1226" s="16">
        <f>IF(Calc!$B1226,Calc!E1226,"")</f>
        <v/>
      </c>
      <c r="B1226">
        <f>IF(Calc!$B1226,INDEX(MineNames,Calc!C1226),"")</f>
        <v/>
      </c>
      <c r="C1226" s="17">
        <f>IF(Calc!$B1226,Calc!O1226,"")</f>
        <v/>
      </c>
    </row>
    <row r="1227">
      <c r="A1227" s="16">
        <f>IF(Calc!$B1227,Calc!E1227,"")</f>
        <v/>
      </c>
      <c r="B1227">
        <f>IF(Calc!$B1227,INDEX(MineNames,Calc!C1227),"")</f>
        <v/>
      </c>
      <c r="C1227" s="17">
        <f>IF(Calc!$B1227,Calc!O1227,"")</f>
        <v/>
      </c>
    </row>
    <row r="1228">
      <c r="A1228" s="16">
        <f>IF(Calc!$B1228,Calc!E1228,"")</f>
        <v/>
      </c>
      <c r="B1228">
        <f>IF(Calc!$B1228,INDEX(MineNames,Calc!C1228),"")</f>
        <v/>
      </c>
      <c r="C1228" s="17">
        <f>IF(Calc!$B1228,Calc!O1228,"")</f>
        <v/>
      </c>
    </row>
    <row r="1229">
      <c r="A1229" s="16">
        <f>IF(Calc!$B1229,Calc!E1229,"")</f>
        <v/>
      </c>
      <c r="B1229">
        <f>IF(Calc!$B1229,INDEX(MineNames,Calc!C1229),"")</f>
        <v/>
      </c>
      <c r="C1229" s="17">
        <f>IF(Calc!$B1229,Calc!O1229,"")</f>
        <v/>
      </c>
    </row>
    <row r="1230">
      <c r="A1230" s="16">
        <f>IF(Calc!$B1230,Calc!E1230,"")</f>
        <v/>
      </c>
      <c r="B1230">
        <f>IF(Calc!$B1230,INDEX(MineNames,Calc!C1230),"")</f>
        <v/>
      </c>
      <c r="C1230" s="17">
        <f>IF(Calc!$B1230,Calc!O1230,"")</f>
        <v/>
      </c>
    </row>
    <row r="1231">
      <c r="A1231" s="16">
        <f>IF(Calc!$B1231,Calc!E1231,"")</f>
        <v/>
      </c>
      <c r="B1231">
        <f>IF(Calc!$B1231,INDEX(MineNames,Calc!C1231),"")</f>
        <v/>
      </c>
      <c r="C1231" s="17">
        <f>IF(Calc!$B1231,Calc!O1231,"")</f>
        <v/>
      </c>
    </row>
    <row r="1232">
      <c r="A1232" s="16">
        <f>IF(Calc!$B1232,Calc!E1232,"")</f>
        <v/>
      </c>
      <c r="B1232">
        <f>IF(Calc!$B1232,INDEX(MineNames,Calc!C1232),"")</f>
        <v/>
      </c>
      <c r="C1232" s="17">
        <f>IF(Calc!$B1232,Calc!O1232,"")</f>
        <v/>
      </c>
    </row>
    <row r="1233">
      <c r="A1233" s="16">
        <f>IF(Calc!$B1233,Calc!E1233,"")</f>
        <v/>
      </c>
      <c r="B1233">
        <f>IF(Calc!$B1233,INDEX(MineNames,Calc!C1233),"")</f>
        <v/>
      </c>
      <c r="C1233" s="17">
        <f>IF(Calc!$B1233,Calc!O1233,"")</f>
        <v/>
      </c>
    </row>
    <row r="1234">
      <c r="A1234" s="16">
        <f>IF(Calc!$B1234,Calc!E1234,"")</f>
        <v/>
      </c>
      <c r="B1234">
        <f>IF(Calc!$B1234,INDEX(MineNames,Calc!C1234),"")</f>
        <v/>
      </c>
      <c r="C1234" s="17">
        <f>IF(Calc!$B1234,Calc!O1234,"")</f>
        <v/>
      </c>
    </row>
    <row r="1235">
      <c r="A1235" s="16">
        <f>IF(Calc!$B1235,Calc!E1235,"")</f>
        <v/>
      </c>
      <c r="B1235">
        <f>IF(Calc!$B1235,INDEX(MineNames,Calc!C1235),"")</f>
        <v/>
      </c>
      <c r="C1235" s="17">
        <f>IF(Calc!$B1235,Calc!O1235,"")</f>
        <v/>
      </c>
    </row>
    <row r="1236">
      <c r="A1236" s="16">
        <f>IF(Calc!$B1236,Calc!E1236,"")</f>
        <v/>
      </c>
      <c r="B1236">
        <f>IF(Calc!$B1236,INDEX(MineNames,Calc!C1236),"")</f>
        <v/>
      </c>
      <c r="C1236" s="17">
        <f>IF(Calc!$B1236,Calc!O1236,"")</f>
        <v/>
      </c>
    </row>
    <row r="1237">
      <c r="A1237" s="16">
        <f>IF(Calc!$B1237,Calc!E1237,"")</f>
        <v/>
      </c>
      <c r="B1237">
        <f>IF(Calc!$B1237,INDEX(MineNames,Calc!C1237),"")</f>
        <v/>
      </c>
      <c r="C1237" s="17">
        <f>IF(Calc!$B1237,Calc!O1237,"")</f>
        <v/>
      </c>
    </row>
    <row r="1238">
      <c r="A1238" s="16">
        <f>IF(Calc!$B1238,Calc!E1238,"")</f>
        <v/>
      </c>
      <c r="B1238">
        <f>IF(Calc!$B1238,INDEX(MineNames,Calc!C1238),"")</f>
        <v/>
      </c>
      <c r="C1238" s="17">
        <f>IF(Calc!$B1238,Calc!O1238,"")</f>
        <v/>
      </c>
    </row>
    <row r="1239">
      <c r="A1239" s="16">
        <f>IF(Calc!$B1239,Calc!E1239,"")</f>
        <v/>
      </c>
      <c r="B1239">
        <f>IF(Calc!$B1239,INDEX(MineNames,Calc!C1239),"")</f>
        <v/>
      </c>
      <c r="C1239" s="17">
        <f>IF(Calc!$B1239,Calc!O1239,"")</f>
        <v/>
      </c>
    </row>
    <row r="1240">
      <c r="A1240" s="16">
        <f>IF(Calc!$B1240,Calc!E1240,"")</f>
        <v/>
      </c>
      <c r="B1240">
        <f>IF(Calc!$B1240,INDEX(MineNames,Calc!C1240),"")</f>
        <v/>
      </c>
      <c r="C1240" s="17">
        <f>IF(Calc!$B1240,Calc!O1240,"")</f>
        <v/>
      </c>
    </row>
    <row r="1241">
      <c r="A1241" s="16">
        <f>IF(Calc!$B1241,Calc!E1241,"")</f>
        <v/>
      </c>
      <c r="B1241">
        <f>IF(Calc!$B1241,INDEX(MineNames,Calc!C1241),"")</f>
        <v/>
      </c>
      <c r="C1241" s="17">
        <f>IF(Calc!$B1241,Calc!O1241,"")</f>
        <v/>
      </c>
    </row>
    <row r="1242">
      <c r="A1242" s="16">
        <f>IF(Calc!$B1242,Calc!E1242,"")</f>
        <v/>
      </c>
      <c r="B1242">
        <f>IF(Calc!$B1242,INDEX(MineNames,Calc!C1242),"")</f>
        <v/>
      </c>
      <c r="C1242" s="17">
        <f>IF(Calc!$B1242,Calc!O1242,"")</f>
        <v/>
      </c>
    </row>
    <row r="1243">
      <c r="A1243" s="16">
        <f>IF(Calc!$B1243,Calc!E1243,"")</f>
        <v/>
      </c>
      <c r="B1243">
        <f>IF(Calc!$B1243,INDEX(MineNames,Calc!C1243),"")</f>
        <v/>
      </c>
      <c r="C1243" s="17">
        <f>IF(Calc!$B1243,Calc!O1243,"")</f>
        <v/>
      </c>
    </row>
    <row r="1244">
      <c r="A1244" s="16">
        <f>IF(Calc!$B1244,Calc!E1244,"")</f>
        <v/>
      </c>
      <c r="B1244">
        <f>IF(Calc!$B1244,INDEX(MineNames,Calc!C1244),"")</f>
        <v/>
      </c>
      <c r="C1244" s="17">
        <f>IF(Calc!$B1244,Calc!O1244,"")</f>
        <v/>
      </c>
    </row>
    <row r="1245">
      <c r="A1245" s="16">
        <f>IF(Calc!$B1245,Calc!E1245,"")</f>
        <v/>
      </c>
      <c r="B1245">
        <f>IF(Calc!$B1245,INDEX(MineNames,Calc!C1245),"")</f>
        <v/>
      </c>
      <c r="C1245" s="17">
        <f>IF(Calc!$B1245,Calc!O1245,"")</f>
        <v/>
      </c>
    </row>
    <row r="1246">
      <c r="A1246" s="16">
        <f>IF(Calc!$B1246,Calc!E1246,"")</f>
        <v/>
      </c>
      <c r="B1246">
        <f>IF(Calc!$B1246,INDEX(MineNames,Calc!C1246),"")</f>
        <v/>
      </c>
      <c r="C1246" s="17">
        <f>IF(Calc!$B1246,Calc!O1246,"")</f>
        <v/>
      </c>
    </row>
    <row r="1247">
      <c r="A1247" s="16">
        <f>IF(Calc!$B1247,Calc!E1247,"")</f>
        <v/>
      </c>
      <c r="B1247">
        <f>IF(Calc!$B1247,INDEX(MineNames,Calc!C1247),"")</f>
        <v/>
      </c>
      <c r="C1247" s="17">
        <f>IF(Calc!$B1247,Calc!O1247,"")</f>
        <v/>
      </c>
    </row>
    <row r="1248">
      <c r="A1248" s="16">
        <f>IF(Calc!$B1248,Calc!E1248,"")</f>
        <v/>
      </c>
      <c r="B1248">
        <f>IF(Calc!$B1248,INDEX(MineNames,Calc!C1248),"")</f>
        <v/>
      </c>
      <c r="C1248" s="17">
        <f>IF(Calc!$B1248,Calc!O1248,"")</f>
        <v/>
      </c>
    </row>
    <row r="1249">
      <c r="A1249" s="16">
        <f>IF(Calc!$B1249,Calc!E1249,"")</f>
        <v/>
      </c>
      <c r="B1249">
        <f>IF(Calc!$B1249,INDEX(MineNames,Calc!C1249),"")</f>
        <v/>
      </c>
      <c r="C1249" s="17">
        <f>IF(Calc!$B1249,Calc!O1249,"")</f>
        <v/>
      </c>
    </row>
    <row r="1250">
      <c r="A1250" s="16">
        <f>IF(Calc!$B1250,Calc!E1250,"")</f>
        <v/>
      </c>
      <c r="B1250">
        <f>IF(Calc!$B1250,INDEX(MineNames,Calc!C1250),"")</f>
        <v/>
      </c>
      <c r="C1250" s="17">
        <f>IF(Calc!$B1250,Calc!O1250,"")</f>
        <v/>
      </c>
    </row>
    <row r="1251">
      <c r="A1251" s="16">
        <f>IF(Calc!$B1251,Calc!E1251,"")</f>
        <v/>
      </c>
      <c r="B1251">
        <f>IF(Calc!$B1251,INDEX(MineNames,Calc!C1251),"")</f>
        <v/>
      </c>
      <c r="C1251" s="17">
        <f>IF(Calc!$B1251,Calc!O1251,"")</f>
        <v/>
      </c>
    </row>
    <row r="1252">
      <c r="A1252" s="16">
        <f>IF(Calc!$B1252,Calc!E1252,"")</f>
        <v/>
      </c>
      <c r="B1252">
        <f>IF(Calc!$B1252,INDEX(MineNames,Calc!C1252),"")</f>
        <v/>
      </c>
      <c r="C1252" s="17">
        <f>IF(Calc!$B1252,Calc!O1252,"")</f>
        <v/>
      </c>
    </row>
    <row r="1253">
      <c r="A1253" s="16">
        <f>IF(Calc!$B1253,Calc!E1253,"")</f>
        <v/>
      </c>
      <c r="B1253">
        <f>IF(Calc!$B1253,INDEX(MineNames,Calc!C1253),"")</f>
        <v/>
      </c>
      <c r="C1253" s="17">
        <f>IF(Calc!$B1253,Calc!O1253,"")</f>
        <v/>
      </c>
    </row>
    <row r="1254">
      <c r="A1254" s="16">
        <f>IF(Calc!$B1254,Calc!E1254,"")</f>
        <v/>
      </c>
      <c r="B1254">
        <f>IF(Calc!$B1254,INDEX(MineNames,Calc!C1254),"")</f>
        <v/>
      </c>
      <c r="C1254" s="17">
        <f>IF(Calc!$B1254,Calc!O1254,"")</f>
        <v/>
      </c>
    </row>
    <row r="1255">
      <c r="A1255" s="16">
        <f>IF(Calc!$B1255,Calc!E1255,"")</f>
        <v/>
      </c>
      <c r="B1255">
        <f>IF(Calc!$B1255,INDEX(MineNames,Calc!C1255),"")</f>
        <v/>
      </c>
      <c r="C1255" s="17">
        <f>IF(Calc!$B1255,Calc!O1255,"")</f>
        <v/>
      </c>
    </row>
    <row r="1256">
      <c r="A1256" s="16">
        <f>IF(Calc!$B1256,Calc!E1256,"")</f>
        <v/>
      </c>
      <c r="B1256">
        <f>IF(Calc!$B1256,INDEX(MineNames,Calc!C1256),"")</f>
        <v/>
      </c>
      <c r="C1256" s="17">
        <f>IF(Calc!$B1256,Calc!O1256,"")</f>
        <v/>
      </c>
    </row>
    <row r="1257">
      <c r="A1257" s="16">
        <f>IF(Calc!$B1257,Calc!E1257,"")</f>
        <v/>
      </c>
      <c r="B1257">
        <f>IF(Calc!$B1257,INDEX(MineNames,Calc!C1257),"")</f>
        <v/>
      </c>
      <c r="C1257" s="17">
        <f>IF(Calc!$B1257,Calc!O1257,"")</f>
        <v/>
      </c>
    </row>
    <row r="1258">
      <c r="A1258" s="16">
        <f>IF(Calc!$B1258,Calc!E1258,"")</f>
        <v/>
      </c>
      <c r="B1258">
        <f>IF(Calc!$B1258,INDEX(MineNames,Calc!C1258),"")</f>
        <v/>
      </c>
      <c r="C1258" s="17">
        <f>IF(Calc!$B1258,Calc!O1258,"")</f>
        <v/>
      </c>
    </row>
    <row r="1259">
      <c r="A1259" s="16">
        <f>IF(Calc!$B1259,Calc!E1259,"")</f>
        <v/>
      </c>
      <c r="B1259">
        <f>IF(Calc!$B1259,INDEX(MineNames,Calc!C1259),"")</f>
        <v/>
      </c>
      <c r="C1259" s="17">
        <f>IF(Calc!$B1259,Calc!O1259,"")</f>
        <v/>
      </c>
    </row>
    <row r="1260">
      <c r="A1260" s="16">
        <f>IF(Calc!$B1260,Calc!E1260,"")</f>
        <v/>
      </c>
      <c r="B1260">
        <f>IF(Calc!$B1260,INDEX(MineNames,Calc!C1260),"")</f>
        <v/>
      </c>
      <c r="C1260" s="17">
        <f>IF(Calc!$B1260,Calc!O1260,"")</f>
        <v/>
      </c>
    </row>
    <row r="1261">
      <c r="A1261" s="16">
        <f>IF(Calc!$B1261,Calc!E1261,"")</f>
        <v/>
      </c>
      <c r="B1261">
        <f>IF(Calc!$B1261,INDEX(MineNames,Calc!C1261),"")</f>
        <v/>
      </c>
      <c r="C1261" s="17">
        <f>IF(Calc!$B1261,Calc!O1261,"")</f>
        <v/>
      </c>
    </row>
    <row r="1262">
      <c r="A1262" s="16">
        <f>IF(Calc!$B1262,Calc!E1262,"")</f>
        <v/>
      </c>
      <c r="B1262">
        <f>IF(Calc!$B1262,INDEX(MineNames,Calc!C1262),"")</f>
        <v/>
      </c>
      <c r="C1262" s="17">
        <f>IF(Calc!$B1262,Calc!O1262,"")</f>
        <v/>
      </c>
    </row>
    <row r="1263">
      <c r="A1263" s="16">
        <f>IF(Calc!$B1263,Calc!E1263,"")</f>
        <v/>
      </c>
      <c r="B1263">
        <f>IF(Calc!$B1263,INDEX(MineNames,Calc!C1263),"")</f>
        <v/>
      </c>
      <c r="C1263" s="17">
        <f>IF(Calc!$B1263,Calc!O1263,"")</f>
        <v/>
      </c>
    </row>
    <row r="1264">
      <c r="A1264" s="16">
        <f>IF(Calc!$B1264,Calc!E1264,"")</f>
        <v/>
      </c>
      <c r="B1264">
        <f>IF(Calc!$B1264,INDEX(MineNames,Calc!C1264),"")</f>
        <v/>
      </c>
      <c r="C1264" s="17">
        <f>IF(Calc!$B1264,Calc!O1264,"")</f>
        <v/>
      </c>
    </row>
    <row r="1265">
      <c r="A1265" s="16">
        <f>IF(Calc!$B1265,Calc!E1265,"")</f>
        <v/>
      </c>
      <c r="B1265">
        <f>IF(Calc!$B1265,INDEX(MineNames,Calc!C1265),"")</f>
        <v/>
      </c>
      <c r="C1265" s="17">
        <f>IF(Calc!$B1265,Calc!O1265,"")</f>
        <v/>
      </c>
    </row>
    <row r="1266">
      <c r="A1266" s="16">
        <f>IF(Calc!$B1266,Calc!E1266,"")</f>
        <v/>
      </c>
      <c r="B1266">
        <f>IF(Calc!$B1266,INDEX(MineNames,Calc!C1266),"")</f>
        <v/>
      </c>
      <c r="C1266" s="17">
        <f>IF(Calc!$B1266,Calc!O1266,"")</f>
        <v/>
      </c>
    </row>
    <row r="1267">
      <c r="A1267" s="16">
        <f>IF(Calc!$B1267,Calc!E1267,"")</f>
        <v/>
      </c>
      <c r="B1267">
        <f>IF(Calc!$B1267,INDEX(MineNames,Calc!C1267),"")</f>
        <v/>
      </c>
      <c r="C1267" s="17">
        <f>IF(Calc!$B1267,Calc!O1267,"")</f>
        <v/>
      </c>
    </row>
    <row r="1268">
      <c r="A1268" s="16">
        <f>IF(Calc!$B1268,Calc!E1268,"")</f>
        <v/>
      </c>
      <c r="B1268">
        <f>IF(Calc!$B1268,INDEX(MineNames,Calc!C1268),"")</f>
        <v/>
      </c>
      <c r="C1268" s="17">
        <f>IF(Calc!$B1268,Calc!O1268,"")</f>
        <v/>
      </c>
    </row>
    <row r="1269">
      <c r="A1269" s="16">
        <f>IF(Calc!$B1269,Calc!E1269,"")</f>
        <v/>
      </c>
      <c r="B1269">
        <f>IF(Calc!$B1269,INDEX(MineNames,Calc!C1269),"")</f>
        <v/>
      </c>
      <c r="C1269" s="17">
        <f>IF(Calc!$B1269,Calc!O1269,"")</f>
        <v/>
      </c>
    </row>
    <row r="1270">
      <c r="A1270" s="16">
        <f>IF(Calc!$B1270,Calc!E1270,"")</f>
        <v/>
      </c>
      <c r="B1270">
        <f>IF(Calc!$B1270,INDEX(MineNames,Calc!C1270),"")</f>
        <v/>
      </c>
      <c r="C1270" s="17">
        <f>IF(Calc!$B1270,Calc!O1270,"")</f>
        <v/>
      </c>
    </row>
    <row r="1271">
      <c r="A1271" s="16">
        <f>IF(Calc!$B1271,Calc!E1271,"")</f>
        <v/>
      </c>
      <c r="B1271">
        <f>IF(Calc!$B1271,INDEX(MineNames,Calc!C1271),"")</f>
        <v/>
      </c>
      <c r="C1271" s="17">
        <f>IF(Calc!$B1271,Calc!O1271,"")</f>
        <v/>
      </c>
    </row>
    <row r="1272">
      <c r="A1272" s="16">
        <f>IF(Calc!$B1272,Calc!E1272,"")</f>
        <v/>
      </c>
      <c r="B1272">
        <f>IF(Calc!$B1272,INDEX(MineNames,Calc!C1272),"")</f>
        <v/>
      </c>
      <c r="C1272" s="17">
        <f>IF(Calc!$B1272,Calc!O1272,"")</f>
        <v/>
      </c>
    </row>
    <row r="1273">
      <c r="A1273" s="16">
        <f>IF(Calc!$B1273,Calc!E1273,"")</f>
        <v/>
      </c>
      <c r="B1273">
        <f>IF(Calc!$B1273,INDEX(MineNames,Calc!C1273),"")</f>
        <v/>
      </c>
      <c r="C1273" s="17">
        <f>IF(Calc!$B1273,Calc!O1273,"")</f>
        <v/>
      </c>
    </row>
    <row r="1274">
      <c r="A1274" s="16">
        <f>IF(Calc!$B1274,Calc!E1274,"")</f>
        <v/>
      </c>
      <c r="B1274">
        <f>IF(Calc!$B1274,INDEX(MineNames,Calc!C1274),"")</f>
        <v/>
      </c>
      <c r="C1274" s="17">
        <f>IF(Calc!$B1274,Calc!O1274,"")</f>
        <v/>
      </c>
    </row>
    <row r="1275">
      <c r="A1275" s="16">
        <f>IF(Calc!$B1275,Calc!E1275,"")</f>
        <v/>
      </c>
      <c r="B1275">
        <f>IF(Calc!$B1275,INDEX(MineNames,Calc!C1275),"")</f>
        <v/>
      </c>
      <c r="C1275" s="17">
        <f>IF(Calc!$B1275,Calc!O1275,"")</f>
        <v/>
      </c>
    </row>
    <row r="1276">
      <c r="A1276" s="16">
        <f>IF(Calc!$B1276,Calc!E1276,"")</f>
        <v/>
      </c>
      <c r="B1276">
        <f>IF(Calc!$B1276,INDEX(MineNames,Calc!C1276),"")</f>
        <v/>
      </c>
      <c r="C1276" s="17">
        <f>IF(Calc!$B1276,Calc!O1276,"")</f>
        <v/>
      </c>
    </row>
    <row r="1277">
      <c r="A1277" s="16">
        <f>IF(Calc!$B1277,Calc!E1277,"")</f>
        <v/>
      </c>
      <c r="B1277">
        <f>IF(Calc!$B1277,INDEX(MineNames,Calc!C1277),"")</f>
        <v/>
      </c>
      <c r="C1277" s="17">
        <f>IF(Calc!$B1277,Calc!O1277,"")</f>
        <v/>
      </c>
    </row>
    <row r="1278">
      <c r="A1278" s="16">
        <f>IF(Calc!$B1278,Calc!E1278,"")</f>
        <v/>
      </c>
      <c r="B1278">
        <f>IF(Calc!$B1278,INDEX(MineNames,Calc!C1278),"")</f>
        <v/>
      </c>
      <c r="C1278" s="17">
        <f>IF(Calc!$B1278,Calc!O1278,"")</f>
        <v/>
      </c>
    </row>
    <row r="1279">
      <c r="A1279" s="16">
        <f>IF(Calc!$B1279,Calc!E1279,"")</f>
        <v/>
      </c>
      <c r="B1279">
        <f>IF(Calc!$B1279,INDEX(MineNames,Calc!C1279),"")</f>
        <v/>
      </c>
      <c r="C1279" s="17">
        <f>IF(Calc!$B1279,Calc!O1279,"")</f>
        <v/>
      </c>
    </row>
    <row r="1280">
      <c r="A1280" s="16">
        <f>IF(Calc!$B1280,Calc!E1280,"")</f>
        <v/>
      </c>
      <c r="B1280">
        <f>IF(Calc!$B1280,INDEX(MineNames,Calc!C1280),"")</f>
        <v/>
      </c>
      <c r="C1280" s="17">
        <f>IF(Calc!$B1280,Calc!O1280,"")</f>
        <v/>
      </c>
    </row>
    <row r="1281">
      <c r="A1281" s="16">
        <f>IF(Calc!$B1281,Calc!E1281,"")</f>
        <v/>
      </c>
      <c r="B1281">
        <f>IF(Calc!$B1281,INDEX(MineNames,Calc!C1281),"")</f>
        <v/>
      </c>
      <c r="C1281" s="17">
        <f>IF(Calc!$B1281,Calc!O1281,"")</f>
        <v/>
      </c>
    </row>
    <row r="1282">
      <c r="A1282" s="16">
        <f>IF(Calc!$B1282,Calc!E1282,"")</f>
        <v/>
      </c>
      <c r="B1282">
        <f>IF(Calc!$B1282,INDEX(MineNames,Calc!C1282),"")</f>
        <v/>
      </c>
      <c r="C1282" s="17">
        <f>IF(Calc!$B1282,Calc!O1282,"")</f>
        <v/>
      </c>
    </row>
    <row r="1283">
      <c r="A1283" s="16">
        <f>IF(Calc!$B1283,Calc!E1283,"")</f>
        <v/>
      </c>
      <c r="B1283">
        <f>IF(Calc!$B1283,INDEX(MineNames,Calc!C1283),"")</f>
        <v/>
      </c>
      <c r="C1283" s="17">
        <f>IF(Calc!$B1283,Calc!O1283,"")</f>
        <v/>
      </c>
    </row>
    <row r="1284">
      <c r="A1284" s="16">
        <f>IF(Calc!$B1284,Calc!E1284,"")</f>
        <v/>
      </c>
      <c r="B1284">
        <f>IF(Calc!$B1284,INDEX(MineNames,Calc!C1284),"")</f>
        <v/>
      </c>
      <c r="C1284" s="17">
        <f>IF(Calc!$B1284,Calc!O1284,"")</f>
        <v/>
      </c>
    </row>
    <row r="1285">
      <c r="A1285" s="16">
        <f>IF(Calc!$B1285,Calc!E1285,"")</f>
        <v/>
      </c>
      <c r="B1285">
        <f>IF(Calc!$B1285,INDEX(MineNames,Calc!C1285),"")</f>
        <v/>
      </c>
      <c r="C1285" s="17">
        <f>IF(Calc!$B1285,Calc!O1285,"")</f>
        <v/>
      </c>
    </row>
    <row r="1286">
      <c r="A1286" s="16">
        <f>IF(Calc!$B1286,Calc!E1286,"")</f>
        <v/>
      </c>
      <c r="B1286">
        <f>IF(Calc!$B1286,INDEX(MineNames,Calc!C1286),"")</f>
        <v/>
      </c>
      <c r="C1286" s="17">
        <f>IF(Calc!$B1286,Calc!O1286,"")</f>
        <v/>
      </c>
    </row>
    <row r="1287">
      <c r="A1287" s="16">
        <f>IF(Calc!$B1287,Calc!E1287,"")</f>
        <v/>
      </c>
      <c r="B1287">
        <f>IF(Calc!$B1287,INDEX(MineNames,Calc!C1287),"")</f>
        <v/>
      </c>
      <c r="C1287" s="17">
        <f>IF(Calc!$B1287,Calc!O1287,"")</f>
        <v/>
      </c>
    </row>
    <row r="1288">
      <c r="A1288" s="16">
        <f>IF(Calc!$B1288,Calc!E1288,"")</f>
        <v/>
      </c>
      <c r="B1288">
        <f>IF(Calc!$B1288,INDEX(MineNames,Calc!C1288),"")</f>
        <v/>
      </c>
      <c r="C1288" s="17">
        <f>IF(Calc!$B1288,Calc!O1288,"")</f>
        <v/>
      </c>
    </row>
    <row r="1289">
      <c r="A1289" s="16">
        <f>IF(Calc!$B1289,Calc!E1289,"")</f>
        <v/>
      </c>
      <c r="B1289">
        <f>IF(Calc!$B1289,INDEX(MineNames,Calc!C1289),"")</f>
        <v/>
      </c>
      <c r="C1289" s="17">
        <f>IF(Calc!$B1289,Calc!O1289,"")</f>
        <v/>
      </c>
    </row>
    <row r="1290">
      <c r="A1290" s="16">
        <f>IF(Calc!$B1290,Calc!E1290,"")</f>
        <v/>
      </c>
      <c r="B1290">
        <f>IF(Calc!$B1290,INDEX(MineNames,Calc!C1290),"")</f>
        <v/>
      </c>
      <c r="C1290" s="17">
        <f>IF(Calc!$B1290,Calc!O1290,"")</f>
        <v/>
      </c>
    </row>
    <row r="1291">
      <c r="A1291" s="16">
        <f>IF(Calc!$B1291,Calc!E1291,"")</f>
        <v/>
      </c>
      <c r="B1291">
        <f>IF(Calc!$B1291,INDEX(MineNames,Calc!C1291),"")</f>
        <v/>
      </c>
      <c r="C1291" s="17">
        <f>IF(Calc!$B1291,Calc!O1291,"")</f>
        <v/>
      </c>
    </row>
    <row r="1292">
      <c r="A1292" s="16">
        <f>IF(Calc!$B1292,Calc!E1292,"")</f>
        <v/>
      </c>
      <c r="B1292">
        <f>IF(Calc!$B1292,INDEX(MineNames,Calc!C1292),"")</f>
        <v/>
      </c>
      <c r="C1292" s="17">
        <f>IF(Calc!$B1292,Calc!O1292,"")</f>
        <v/>
      </c>
    </row>
    <row r="1293">
      <c r="A1293" s="16">
        <f>IF(Calc!$B1293,Calc!E1293,"")</f>
        <v/>
      </c>
      <c r="B1293">
        <f>IF(Calc!$B1293,INDEX(MineNames,Calc!C1293),"")</f>
        <v/>
      </c>
      <c r="C1293" s="17">
        <f>IF(Calc!$B1293,Calc!O1293,"")</f>
        <v/>
      </c>
    </row>
    <row r="1294">
      <c r="A1294" s="16">
        <f>IF(Calc!$B1294,Calc!E1294,"")</f>
        <v/>
      </c>
      <c r="B1294">
        <f>IF(Calc!$B1294,INDEX(MineNames,Calc!C1294),"")</f>
        <v/>
      </c>
      <c r="C1294" s="17">
        <f>IF(Calc!$B1294,Calc!O1294,"")</f>
        <v/>
      </c>
    </row>
    <row r="1295">
      <c r="A1295" s="16">
        <f>IF(Calc!$B1295,Calc!E1295,"")</f>
        <v/>
      </c>
      <c r="B1295">
        <f>IF(Calc!$B1295,INDEX(MineNames,Calc!C1295),"")</f>
        <v/>
      </c>
      <c r="C1295" s="17">
        <f>IF(Calc!$B1295,Calc!O1295,"")</f>
        <v/>
      </c>
    </row>
    <row r="1296">
      <c r="A1296" s="16">
        <f>IF(Calc!$B1296,Calc!E1296,"")</f>
        <v/>
      </c>
      <c r="B1296">
        <f>IF(Calc!$B1296,INDEX(MineNames,Calc!C1296),"")</f>
        <v/>
      </c>
      <c r="C1296" s="17">
        <f>IF(Calc!$B1296,Calc!O1296,"")</f>
        <v/>
      </c>
    </row>
    <row r="1297">
      <c r="A1297" s="16">
        <f>IF(Calc!$B1297,Calc!E1297,"")</f>
        <v/>
      </c>
      <c r="B1297">
        <f>IF(Calc!$B1297,INDEX(MineNames,Calc!C1297),"")</f>
        <v/>
      </c>
      <c r="C1297" s="17">
        <f>IF(Calc!$B1297,Calc!O1297,"")</f>
        <v/>
      </c>
    </row>
    <row r="1298">
      <c r="A1298" s="16">
        <f>IF(Calc!$B1298,Calc!E1298,"")</f>
        <v/>
      </c>
      <c r="B1298">
        <f>IF(Calc!$B1298,INDEX(MineNames,Calc!C1298),"")</f>
        <v/>
      </c>
      <c r="C1298" s="17">
        <f>IF(Calc!$B1298,Calc!O1298,"")</f>
        <v/>
      </c>
    </row>
    <row r="1299">
      <c r="A1299" s="16">
        <f>IF(Calc!$B1299,Calc!E1299,"")</f>
        <v/>
      </c>
      <c r="B1299">
        <f>IF(Calc!$B1299,INDEX(MineNames,Calc!C1299),"")</f>
        <v/>
      </c>
      <c r="C1299" s="17">
        <f>IF(Calc!$B1299,Calc!O1299,"")</f>
        <v/>
      </c>
    </row>
    <row r="1300">
      <c r="A1300" s="16">
        <f>IF(Calc!$B1300,Calc!E1300,"")</f>
        <v/>
      </c>
      <c r="B1300">
        <f>IF(Calc!$B1300,INDEX(MineNames,Calc!C1300),"")</f>
        <v/>
      </c>
      <c r="C1300" s="17">
        <f>IF(Calc!$B1300,Calc!O1300,"")</f>
        <v/>
      </c>
    </row>
    <row r="1301">
      <c r="A1301" s="16">
        <f>IF(Calc!$B1301,Calc!E1301,"")</f>
        <v/>
      </c>
      <c r="B1301">
        <f>IF(Calc!$B1301,INDEX(MineNames,Calc!C1301),"")</f>
        <v/>
      </c>
      <c r="C1301" s="17">
        <f>IF(Calc!$B1301,Calc!O1301,"")</f>
        <v/>
      </c>
    </row>
    <row r="1302">
      <c r="A1302" s="16">
        <f>IF(Calc!$B1302,Calc!E1302,"")</f>
        <v/>
      </c>
      <c r="B1302">
        <f>IF(Calc!$B1302,INDEX(MineNames,Calc!C1302),"")</f>
        <v/>
      </c>
      <c r="C1302" s="17">
        <f>IF(Calc!$B1302,Calc!O1302,"")</f>
        <v/>
      </c>
    </row>
    <row r="1303">
      <c r="A1303" s="16">
        <f>IF(Calc!$B1303,Calc!E1303,"")</f>
        <v/>
      </c>
      <c r="B1303">
        <f>IF(Calc!$B1303,INDEX(MineNames,Calc!C1303),"")</f>
        <v/>
      </c>
      <c r="C1303" s="17">
        <f>IF(Calc!$B1303,Calc!O1303,"")</f>
        <v/>
      </c>
    </row>
    <row r="1304">
      <c r="A1304" s="16">
        <f>IF(Calc!$B1304,Calc!E1304,"")</f>
        <v/>
      </c>
      <c r="B1304">
        <f>IF(Calc!$B1304,INDEX(MineNames,Calc!C1304),"")</f>
        <v/>
      </c>
      <c r="C1304" s="17">
        <f>IF(Calc!$B1304,Calc!O1304,"")</f>
        <v/>
      </c>
    </row>
    <row r="1305">
      <c r="A1305" s="16">
        <f>IF(Calc!$B1305,Calc!E1305,"")</f>
        <v/>
      </c>
      <c r="B1305">
        <f>IF(Calc!$B1305,INDEX(MineNames,Calc!C1305),"")</f>
        <v/>
      </c>
      <c r="C1305" s="17">
        <f>IF(Calc!$B1305,Calc!O1305,"")</f>
        <v/>
      </c>
    </row>
    <row r="1306">
      <c r="A1306" s="16">
        <f>IF(Calc!$B1306,Calc!E1306,"")</f>
        <v/>
      </c>
      <c r="B1306">
        <f>IF(Calc!$B1306,INDEX(MineNames,Calc!C1306),"")</f>
        <v/>
      </c>
      <c r="C1306" s="17">
        <f>IF(Calc!$B1306,Calc!O1306,"")</f>
        <v/>
      </c>
    </row>
    <row r="1307">
      <c r="A1307" s="16">
        <f>IF(Calc!$B1307,Calc!E1307,"")</f>
        <v/>
      </c>
      <c r="B1307">
        <f>IF(Calc!$B1307,INDEX(MineNames,Calc!C1307),"")</f>
        <v/>
      </c>
      <c r="C1307" s="17">
        <f>IF(Calc!$B1307,Calc!O1307,"")</f>
        <v/>
      </c>
    </row>
    <row r="1308">
      <c r="A1308" s="16">
        <f>IF(Calc!$B1308,Calc!E1308,"")</f>
        <v/>
      </c>
      <c r="B1308">
        <f>IF(Calc!$B1308,INDEX(MineNames,Calc!C1308),"")</f>
        <v/>
      </c>
      <c r="C1308" s="17">
        <f>IF(Calc!$B1308,Calc!O1308,"")</f>
        <v/>
      </c>
    </row>
    <row r="1309">
      <c r="A1309" s="16">
        <f>IF(Calc!$B1309,Calc!E1309,"")</f>
        <v/>
      </c>
      <c r="B1309">
        <f>IF(Calc!$B1309,INDEX(MineNames,Calc!C1309),"")</f>
        <v/>
      </c>
      <c r="C1309" s="17">
        <f>IF(Calc!$B1309,Calc!O1309,"")</f>
        <v/>
      </c>
    </row>
    <row r="1310">
      <c r="A1310" s="16">
        <f>IF(Calc!$B1310,Calc!E1310,"")</f>
        <v/>
      </c>
      <c r="B1310">
        <f>IF(Calc!$B1310,INDEX(MineNames,Calc!C1310),"")</f>
        <v/>
      </c>
      <c r="C1310" s="17">
        <f>IF(Calc!$B1310,Calc!O1310,"")</f>
        <v/>
      </c>
    </row>
    <row r="1311">
      <c r="A1311" s="16">
        <f>IF(Calc!$B1311,Calc!E1311,"")</f>
        <v/>
      </c>
      <c r="B1311">
        <f>IF(Calc!$B1311,INDEX(MineNames,Calc!C1311),"")</f>
        <v/>
      </c>
      <c r="C1311" s="17">
        <f>IF(Calc!$B1311,Calc!O1311,"")</f>
        <v/>
      </c>
    </row>
    <row r="1312">
      <c r="A1312" s="16">
        <f>IF(Calc!$B1312,Calc!E1312,"")</f>
        <v/>
      </c>
      <c r="B1312">
        <f>IF(Calc!$B1312,INDEX(MineNames,Calc!C1312),"")</f>
        <v/>
      </c>
      <c r="C1312" s="17">
        <f>IF(Calc!$B1312,Calc!O1312,"")</f>
        <v/>
      </c>
    </row>
    <row r="1313">
      <c r="A1313" s="16">
        <f>IF(Calc!$B1313,Calc!E1313,"")</f>
        <v/>
      </c>
      <c r="B1313">
        <f>IF(Calc!$B1313,INDEX(MineNames,Calc!C1313),"")</f>
        <v/>
      </c>
      <c r="C1313" s="17">
        <f>IF(Calc!$B1313,Calc!O1313,"")</f>
        <v/>
      </c>
    </row>
    <row r="1314">
      <c r="A1314" s="16">
        <f>IF(Calc!$B1314,Calc!E1314,"")</f>
        <v/>
      </c>
      <c r="B1314">
        <f>IF(Calc!$B1314,INDEX(MineNames,Calc!C1314),"")</f>
        <v/>
      </c>
      <c r="C1314" s="17">
        <f>IF(Calc!$B1314,Calc!O1314,"")</f>
        <v/>
      </c>
    </row>
    <row r="1315">
      <c r="A1315" s="16">
        <f>IF(Calc!$B1315,Calc!E1315,"")</f>
        <v/>
      </c>
      <c r="B1315">
        <f>IF(Calc!$B1315,INDEX(MineNames,Calc!C1315),"")</f>
        <v/>
      </c>
      <c r="C1315" s="17">
        <f>IF(Calc!$B1315,Calc!O1315,"")</f>
        <v/>
      </c>
    </row>
    <row r="1316">
      <c r="A1316" s="16">
        <f>IF(Calc!$B1316,Calc!E1316,"")</f>
        <v/>
      </c>
      <c r="B1316">
        <f>IF(Calc!$B1316,INDEX(MineNames,Calc!C1316),"")</f>
        <v/>
      </c>
      <c r="C1316" s="17">
        <f>IF(Calc!$B1316,Calc!O1316,"")</f>
        <v/>
      </c>
    </row>
    <row r="1317">
      <c r="A1317" s="16">
        <f>IF(Calc!$B1317,Calc!E1317,"")</f>
        <v/>
      </c>
      <c r="B1317">
        <f>IF(Calc!$B1317,INDEX(MineNames,Calc!C1317),"")</f>
        <v/>
      </c>
      <c r="C1317" s="17">
        <f>IF(Calc!$B1317,Calc!O1317,"")</f>
        <v/>
      </c>
    </row>
    <row r="1318">
      <c r="A1318" s="16">
        <f>IF(Calc!$B1318,Calc!E1318,"")</f>
        <v/>
      </c>
      <c r="B1318">
        <f>IF(Calc!$B1318,INDEX(MineNames,Calc!C1318),"")</f>
        <v/>
      </c>
      <c r="C1318" s="17">
        <f>IF(Calc!$B1318,Calc!O1318,"")</f>
        <v/>
      </c>
    </row>
    <row r="1319">
      <c r="A1319" s="16">
        <f>IF(Calc!$B1319,Calc!E1319,"")</f>
        <v/>
      </c>
      <c r="B1319">
        <f>IF(Calc!$B1319,INDEX(MineNames,Calc!C1319),"")</f>
        <v/>
      </c>
      <c r="C1319" s="17">
        <f>IF(Calc!$B1319,Calc!O1319,"")</f>
        <v/>
      </c>
    </row>
    <row r="1320">
      <c r="A1320" s="16">
        <f>IF(Calc!$B1320,Calc!E1320,"")</f>
        <v/>
      </c>
      <c r="B1320">
        <f>IF(Calc!$B1320,INDEX(MineNames,Calc!C1320),"")</f>
        <v/>
      </c>
      <c r="C1320" s="17">
        <f>IF(Calc!$B1320,Calc!O1320,"")</f>
        <v/>
      </c>
    </row>
    <row r="1321">
      <c r="A1321" s="16">
        <f>IF(Calc!$B1321,Calc!E1321,"")</f>
        <v/>
      </c>
      <c r="B1321">
        <f>IF(Calc!$B1321,INDEX(MineNames,Calc!C1321),"")</f>
        <v/>
      </c>
      <c r="C1321" s="17">
        <f>IF(Calc!$B1321,Calc!O1321,"")</f>
        <v/>
      </c>
    </row>
    <row r="1322">
      <c r="A1322" s="16">
        <f>IF(Calc!$B1322,Calc!E1322,"")</f>
        <v/>
      </c>
      <c r="B1322">
        <f>IF(Calc!$B1322,INDEX(MineNames,Calc!C1322),"")</f>
        <v/>
      </c>
      <c r="C1322" s="17">
        <f>IF(Calc!$B1322,Calc!O1322,"")</f>
        <v/>
      </c>
    </row>
    <row r="1323">
      <c r="A1323" s="16">
        <f>IF(Calc!$B1323,Calc!E1323,"")</f>
        <v/>
      </c>
      <c r="B1323">
        <f>IF(Calc!$B1323,INDEX(MineNames,Calc!C1323),"")</f>
        <v/>
      </c>
      <c r="C1323" s="17">
        <f>IF(Calc!$B1323,Calc!O1323,"")</f>
        <v/>
      </c>
    </row>
    <row r="1324">
      <c r="A1324" s="16">
        <f>IF(Calc!$B1324,Calc!E1324,"")</f>
        <v/>
      </c>
      <c r="B1324">
        <f>IF(Calc!$B1324,INDEX(MineNames,Calc!C1324),"")</f>
        <v/>
      </c>
      <c r="C1324" s="17">
        <f>IF(Calc!$B1324,Calc!O1324,"")</f>
        <v/>
      </c>
    </row>
    <row r="1325">
      <c r="A1325" s="16">
        <f>IF(Calc!$B1325,Calc!E1325,"")</f>
        <v/>
      </c>
      <c r="B1325">
        <f>IF(Calc!$B1325,INDEX(MineNames,Calc!C1325),"")</f>
        <v/>
      </c>
      <c r="C1325" s="17">
        <f>IF(Calc!$B1325,Calc!O1325,"")</f>
        <v/>
      </c>
    </row>
    <row r="1326">
      <c r="A1326" s="16">
        <f>IF(Calc!$B1326,Calc!E1326,"")</f>
        <v/>
      </c>
      <c r="B1326">
        <f>IF(Calc!$B1326,INDEX(MineNames,Calc!C1326),"")</f>
        <v/>
      </c>
      <c r="C1326" s="17">
        <f>IF(Calc!$B1326,Calc!O1326,"")</f>
        <v/>
      </c>
    </row>
    <row r="1327">
      <c r="A1327" s="16">
        <f>IF(Calc!$B1327,Calc!E1327,"")</f>
        <v/>
      </c>
      <c r="B1327">
        <f>IF(Calc!$B1327,INDEX(MineNames,Calc!C1327),"")</f>
        <v/>
      </c>
      <c r="C1327" s="17">
        <f>IF(Calc!$B1327,Calc!O1327,"")</f>
        <v/>
      </c>
    </row>
    <row r="1328">
      <c r="A1328" s="16">
        <f>IF(Calc!$B1328,Calc!E1328,"")</f>
        <v/>
      </c>
      <c r="B1328">
        <f>IF(Calc!$B1328,INDEX(MineNames,Calc!C1328),"")</f>
        <v/>
      </c>
      <c r="C1328" s="17">
        <f>IF(Calc!$B1328,Calc!O1328,"")</f>
        <v/>
      </c>
    </row>
    <row r="1329">
      <c r="A1329" s="16">
        <f>IF(Calc!$B1329,Calc!E1329,"")</f>
        <v/>
      </c>
      <c r="B1329">
        <f>IF(Calc!$B1329,INDEX(MineNames,Calc!C1329),"")</f>
        <v/>
      </c>
      <c r="C1329" s="17">
        <f>IF(Calc!$B1329,Calc!O1329,"")</f>
        <v/>
      </c>
    </row>
    <row r="1330">
      <c r="A1330" s="16">
        <f>IF(Calc!$B1330,Calc!E1330,"")</f>
        <v/>
      </c>
      <c r="B1330">
        <f>IF(Calc!$B1330,INDEX(MineNames,Calc!C1330),"")</f>
        <v/>
      </c>
      <c r="C1330" s="17">
        <f>IF(Calc!$B1330,Calc!O1330,"")</f>
        <v/>
      </c>
    </row>
    <row r="1331">
      <c r="A1331" s="16">
        <f>IF(Calc!$B1331,Calc!E1331,"")</f>
        <v/>
      </c>
      <c r="B1331">
        <f>IF(Calc!$B1331,INDEX(MineNames,Calc!C1331),"")</f>
        <v/>
      </c>
      <c r="C1331" s="17">
        <f>IF(Calc!$B1331,Calc!O1331,"")</f>
        <v/>
      </c>
    </row>
    <row r="1332">
      <c r="A1332" s="16">
        <f>IF(Calc!$B1332,Calc!E1332,"")</f>
        <v/>
      </c>
      <c r="B1332">
        <f>IF(Calc!$B1332,INDEX(MineNames,Calc!C1332),"")</f>
        <v/>
      </c>
      <c r="C1332" s="17">
        <f>IF(Calc!$B1332,Calc!O1332,"")</f>
        <v/>
      </c>
    </row>
    <row r="1333">
      <c r="A1333" s="16">
        <f>IF(Calc!$B1333,Calc!E1333,"")</f>
        <v/>
      </c>
      <c r="B1333">
        <f>IF(Calc!$B1333,INDEX(MineNames,Calc!C1333),"")</f>
        <v/>
      </c>
      <c r="C1333" s="17">
        <f>IF(Calc!$B1333,Calc!O1333,"")</f>
        <v/>
      </c>
    </row>
    <row r="1334">
      <c r="A1334" s="16">
        <f>IF(Calc!$B1334,Calc!E1334,"")</f>
        <v/>
      </c>
      <c r="B1334">
        <f>IF(Calc!$B1334,INDEX(MineNames,Calc!C1334),"")</f>
        <v/>
      </c>
      <c r="C1334" s="17">
        <f>IF(Calc!$B1334,Calc!O1334,"")</f>
        <v/>
      </c>
    </row>
    <row r="1335">
      <c r="A1335" s="16">
        <f>IF(Calc!$B1335,Calc!E1335,"")</f>
        <v/>
      </c>
      <c r="B1335">
        <f>IF(Calc!$B1335,INDEX(MineNames,Calc!C1335),"")</f>
        <v/>
      </c>
      <c r="C1335" s="17">
        <f>IF(Calc!$B1335,Calc!O1335,"")</f>
        <v/>
      </c>
    </row>
    <row r="1336">
      <c r="A1336" s="16">
        <f>IF(Calc!$B1336,Calc!E1336,"")</f>
        <v/>
      </c>
      <c r="B1336">
        <f>IF(Calc!$B1336,INDEX(MineNames,Calc!C1336),"")</f>
        <v/>
      </c>
      <c r="C1336" s="17">
        <f>IF(Calc!$B1336,Calc!O1336,"")</f>
        <v/>
      </c>
    </row>
    <row r="1337">
      <c r="A1337" s="16">
        <f>IF(Calc!$B1337,Calc!E1337,"")</f>
        <v/>
      </c>
      <c r="B1337">
        <f>IF(Calc!$B1337,INDEX(MineNames,Calc!C1337),"")</f>
        <v/>
      </c>
      <c r="C1337" s="17">
        <f>IF(Calc!$B1337,Calc!O1337,"")</f>
        <v/>
      </c>
    </row>
    <row r="1338">
      <c r="A1338" s="16">
        <f>IF(Calc!$B1338,Calc!E1338,"")</f>
        <v/>
      </c>
      <c r="B1338">
        <f>IF(Calc!$B1338,INDEX(MineNames,Calc!C1338),"")</f>
        <v/>
      </c>
      <c r="C1338" s="17">
        <f>IF(Calc!$B1338,Calc!O1338,"")</f>
        <v/>
      </c>
    </row>
    <row r="1339">
      <c r="A1339" s="16">
        <f>IF(Calc!$B1339,Calc!E1339,"")</f>
        <v/>
      </c>
      <c r="B1339">
        <f>IF(Calc!$B1339,INDEX(MineNames,Calc!C1339),"")</f>
        <v/>
      </c>
      <c r="C1339" s="17">
        <f>IF(Calc!$B1339,Calc!O1339,"")</f>
        <v/>
      </c>
    </row>
    <row r="1340">
      <c r="A1340" s="16">
        <f>IF(Calc!$B1340,Calc!E1340,"")</f>
        <v/>
      </c>
      <c r="B1340">
        <f>IF(Calc!$B1340,INDEX(MineNames,Calc!C1340),"")</f>
        <v/>
      </c>
      <c r="C1340" s="17">
        <f>IF(Calc!$B1340,Calc!O1340,"")</f>
        <v/>
      </c>
    </row>
    <row r="1341">
      <c r="A1341" s="16">
        <f>IF(Calc!$B1341,Calc!E1341,"")</f>
        <v/>
      </c>
      <c r="B1341">
        <f>IF(Calc!$B1341,INDEX(MineNames,Calc!C1341),"")</f>
        <v/>
      </c>
      <c r="C1341" s="17">
        <f>IF(Calc!$B1341,Calc!O1341,"")</f>
        <v/>
      </c>
    </row>
    <row r="1342">
      <c r="A1342" s="16">
        <f>IF(Calc!$B1342,Calc!E1342,"")</f>
        <v/>
      </c>
      <c r="B1342">
        <f>IF(Calc!$B1342,INDEX(MineNames,Calc!C1342),"")</f>
        <v/>
      </c>
      <c r="C1342" s="17">
        <f>IF(Calc!$B1342,Calc!O1342,"")</f>
        <v/>
      </c>
    </row>
    <row r="1343">
      <c r="A1343" s="16">
        <f>IF(Calc!$B1343,Calc!E1343,"")</f>
        <v/>
      </c>
      <c r="B1343">
        <f>IF(Calc!$B1343,INDEX(MineNames,Calc!C1343),"")</f>
        <v/>
      </c>
      <c r="C1343" s="17">
        <f>IF(Calc!$B1343,Calc!O1343,"")</f>
        <v/>
      </c>
    </row>
    <row r="1344">
      <c r="A1344" s="16">
        <f>IF(Calc!$B1344,Calc!E1344,"")</f>
        <v/>
      </c>
      <c r="B1344">
        <f>IF(Calc!$B1344,INDEX(MineNames,Calc!C1344),"")</f>
        <v/>
      </c>
      <c r="C1344" s="17">
        <f>IF(Calc!$B1344,Calc!O1344,"")</f>
        <v/>
      </c>
    </row>
    <row r="1345">
      <c r="A1345" s="16">
        <f>IF(Calc!$B1345,Calc!E1345,"")</f>
        <v/>
      </c>
      <c r="B1345">
        <f>IF(Calc!$B1345,INDEX(MineNames,Calc!C1345),"")</f>
        <v/>
      </c>
      <c r="C1345" s="17">
        <f>IF(Calc!$B1345,Calc!O1345,"")</f>
        <v/>
      </c>
    </row>
    <row r="1346">
      <c r="A1346" s="16">
        <f>IF(Calc!$B1346,Calc!E1346,"")</f>
        <v/>
      </c>
      <c r="B1346">
        <f>IF(Calc!$B1346,INDEX(MineNames,Calc!C1346),"")</f>
        <v/>
      </c>
      <c r="C1346" s="17">
        <f>IF(Calc!$B1346,Calc!O1346,"")</f>
        <v/>
      </c>
    </row>
    <row r="1347">
      <c r="A1347" s="16">
        <f>IF(Calc!$B1347,Calc!E1347,"")</f>
        <v/>
      </c>
      <c r="B1347">
        <f>IF(Calc!$B1347,INDEX(MineNames,Calc!C1347),"")</f>
        <v/>
      </c>
      <c r="C1347" s="17">
        <f>IF(Calc!$B1347,Calc!O1347,"")</f>
        <v/>
      </c>
    </row>
    <row r="1348">
      <c r="A1348" s="16">
        <f>IF(Calc!$B1348,Calc!E1348,"")</f>
        <v/>
      </c>
      <c r="B1348">
        <f>IF(Calc!$B1348,INDEX(MineNames,Calc!C1348),"")</f>
        <v/>
      </c>
      <c r="C1348" s="17">
        <f>IF(Calc!$B1348,Calc!O1348,"")</f>
        <v/>
      </c>
    </row>
    <row r="1349">
      <c r="A1349" s="16">
        <f>IF(Calc!$B1349,Calc!E1349,"")</f>
        <v/>
      </c>
      <c r="B1349">
        <f>IF(Calc!$B1349,INDEX(MineNames,Calc!C1349),"")</f>
        <v/>
      </c>
      <c r="C1349" s="17">
        <f>IF(Calc!$B1349,Calc!O1349,"")</f>
        <v/>
      </c>
    </row>
    <row r="1350">
      <c r="A1350" s="16">
        <f>IF(Calc!$B1350,Calc!E1350,"")</f>
        <v/>
      </c>
      <c r="B1350">
        <f>IF(Calc!$B1350,INDEX(MineNames,Calc!C1350),"")</f>
        <v/>
      </c>
      <c r="C1350" s="17">
        <f>IF(Calc!$B1350,Calc!O1350,"")</f>
        <v/>
      </c>
    </row>
    <row r="1351">
      <c r="A1351" s="16">
        <f>IF(Calc!$B1351,Calc!E1351,"")</f>
        <v/>
      </c>
      <c r="B1351">
        <f>IF(Calc!$B1351,INDEX(MineNames,Calc!C1351),"")</f>
        <v/>
      </c>
      <c r="C1351" s="17">
        <f>IF(Calc!$B1351,Calc!O1351,"")</f>
        <v/>
      </c>
    </row>
    <row r="1352">
      <c r="A1352" s="16">
        <f>IF(Calc!$B1352,Calc!E1352,"")</f>
        <v/>
      </c>
      <c r="B1352">
        <f>IF(Calc!$B1352,INDEX(MineNames,Calc!C1352),"")</f>
        <v/>
      </c>
      <c r="C1352" s="17">
        <f>IF(Calc!$B1352,Calc!O1352,"")</f>
        <v/>
      </c>
    </row>
    <row r="1353">
      <c r="A1353" s="16">
        <f>IF(Calc!$B1353,Calc!E1353,"")</f>
        <v/>
      </c>
      <c r="B1353">
        <f>IF(Calc!$B1353,INDEX(MineNames,Calc!C1353),"")</f>
        <v/>
      </c>
      <c r="C1353" s="17">
        <f>IF(Calc!$B1353,Calc!O1353,"")</f>
        <v/>
      </c>
    </row>
    <row r="1354">
      <c r="A1354" s="16">
        <f>IF(Calc!$B1354,Calc!E1354,"")</f>
        <v/>
      </c>
      <c r="B1354">
        <f>IF(Calc!$B1354,INDEX(MineNames,Calc!C1354),"")</f>
        <v/>
      </c>
      <c r="C1354" s="17">
        <f>IF(Calc!$B1354,Calc!O1354,"")</f>
        <v/>
      </c>
    </row>
    <row r="1355">
      <c r="A1355" s="16">
        <f>IF(Calc!$B1355,Calc!E1355,"")</f>
        <v/>
      </c>
      <c r="B1355">
        <f>IF(Calc!$B1355,INDEX(MineNames,Calc!C1355),"")</f>
        <v/>
      </c>
      <c r="C1355" s="17">
        <f>IF(Calc!$B1355,Calc!O1355,"")</f>
        <v/>
      </c>
    </row>
    <row r="1356">
      <c r="A1356" s="16">
        <f>IF(Calc!$B1356,Calc!E1356,"")</f>
        <v/>
      </c>
      <c r="B1356">
        <f>IF(Calc!$B1356,INDEX(MineNames,Calc!C1356),"")</f>
        <v/>
      </c>
      <c r="C1356" s="17">
        <f>IF(Calc!$B1356,Calc!O1356,"")</f>
        <v/>
      </c>
    </row>
    <row r="1357">
      <c r="A1357" s="16">
        <f>IF(Calc!$B1357,Calc!E1357,"")</f>
        <v/>
      </c>
      <c r="B1357">
        <f>IF(Calc!$B1357,INDEX(MineNames,Calc!C1357),"")</f>
        <v/>
      </c>
      <c r="C1357" s="17">
        <f>IF(Calc!$B1357,Calc!O1357,"")</f>
        <v/>
      </c>
    </row>
    <row r="1358">
      <c r="A1358" s="16">
        <f>IF(Calc!$B1358,Calc!E1358,"")</f>
        <v/>
      </c>
      <c r="B1358">
        <f>IF(Calc!$B1358,INDEX(MineNames,Calc!C1358),"")</f>
        <v/>
      </c>
      <c r="C1358" s="17">
        <f>IF(Calc!$B1358,Calc!O1358,"")</f>
        <v/>
      </c>
    </row>
    <row r="1359">
      <c r="A1359" s="16">
        <f>IF(Calc!$B1359,Calc!E1359,"")</f>
        <v/>
      </c>
      <c r="B1359">
        <f>IF(Calc!$B1359,INDEX(MineNames,Calc!C1359),"")</f>
        <v/>
      </c>
      <c r="C1359" s="17">
        <f>IF(Calc!$B1359,Calc!O1359,"")</f>
        <v/>
      </c>
    </row>
    <row r="1360">
      <c r="A1360" s="16">
        <f>IF(Calc!$B1360,Calc!E1360,"")</f>
        <v/>
      </c>
      <c r="B1360">
        <f>IF(Calc!$B1360,INDEX(MineNames,Calc!C1360),"")</f>
        <v/>
      </c>
      <c r="C1360" s="17">
        <f>IF(Calc!$B1360,Calc!O1360,"")</f>
        <v/>
      </c>
    </row>
    <row r="1361">
      <c r="A1361" s="16">
        <f>IF(Calc!$B1361,Calc!E1361,"")</f>
        <v/>
      </c>
      <c r="B1361">
        <f>IF(Calc!$B1361,INDEX(MineNames,Calc!C1361),"")</f>
        <v/>
      </c>
      <c r="C1361" s="17">
        <f>IF(Calc!$B1361,Calc!O1361,"")</f>
        <v/>
      </c>
    </row>
    <row r="1362">
      <c r="A1362" s="16">
        <f>IF(Calc!$B1362,Calc!E1362,"")</f>
        <v/>
      </c>
      <c r="B1362">
        <f>IF(Calc!$B1362,INDEX(MineNames,Calc!C1362),"")</f>
        <v/>
      </c>
      <c r="C1362" s="17">
        <f>IF(Calc!$B1362,Calc!O1362,"")</f>
        <v/>
      </c>
    </row>
    <row r="1363">
      <c r="A1363" s="16">
        <f>IF(Calc!$B1363,Calc!E1363,"")</f>
        <v/>
      </c>
      <c r="B1363">
        <f>IF(Calc!$B1363,INDEX(MineNames,Calc!C1363),"")</f>
        <v/>
      </c>
      <c r="C1363" s="17">
        <f>IF(Calc!$B1363,Calc!O1363,"")</f>
        <v/>
      </c>
    </row>
    <row r="1364">
      <c r="A1364" s="16">
        <f>IF(Calc!$B1364,Calc!E1364,"")</f>
        <v/>
      </c>
      <c r="B1364">
        <f>IF(Calc!$B1364,INDEX(MineNames,Calc!C1364),"")</f>
        <v/>
      </c>
      <c r="C1364" s="17">
        <f>IF(Calc!$B1364,Calc!O1364,"")</f>
        <v/>
      </c>
    </row>
    <row r="1365">
      <c r="A1365" s="16">
        <f>IF(Calc!$B1365,Calc!E1365,"")</f>
        <v/>
      </c>
      <c r="B1365">
        <f>IF(Calc!$B1365,INDEX(MineNames,Calc!C1365),"")</f>
        <v/>
      </c>
      <c r="C1365" s="17">
        <f>IF(Calc!$B1365,Calc!O1365,"")</f>
        <v/>
      </c>
    </row>
    <row r="1366">
      <c r="A1366" s="16">
        <f>IF(Calc!$B1366,Calc!E1366,"")</f>
        <v/>
      </c>
      <c r="B1366">
        <f>IF(Calc!$B1366,INDEX(MineNames,Calc!C1366),"")</f>
        <v/>
      </c>
      <c r="C1366" s="17">
        <f>IF(Calc!$B1366,Calc!O1366,"")</f>
        <v/>
      </c>
    </row>
    <row r="1367">
      <c r="A1367" s="16">
        <f>IF(Calc!$B1367,Calc!E1367,"")</f>
        <v/>
      </c>
      <c r="B1367">
        <f>IF(Calc!$B1367,INDEX(MineNames,Calc!C1367),"")</f>
        <v/>
      </c>
      <c r="C1367" s="17">
        <f>IF(Calc!$B1367,Calc!O1367,"")</f>
        <v/>
      </c>
    </row>
    <row r="1368">
      <c r="A1368" s="16">
        <f>IF(Calc!$B1368,Calc!E1368,"")</f>
        <v/>
      </c>
      <c r="B1368">
        <f>IF(Calc!$B1368,INDEX(MineNames,Calc!C1368),"")</f>
        <v/>
      </c>
      <c r="C1368" s="17">
        <f>IF(Calc!$B1368,Calc!O1368,"")</f>
        <v/>
      </c>
    </row>
    <row r="1369">
      <c r="A1369" s="16">
        <f>IF(Calc!$B1369,Calc!E1369,"")</f>
        <v/>
      </c>
      <c r="B1369">
        <f>IF(Calc!$B1369,INDEX(MineNames,Calc!C1369),"")</f>
        <v/>
      </c>
      <c r="C1369" s="17">
        <f>IF(Calc!$B1369,Calc!O1369,"")</f>
        <v/>
      </c>
    </row>
    <row r="1370">
      <c r="A1370" s="16">
        <f>IF(Calc!$B1370,Calc!E1370,"")</f>
        <v/>
      </c>
      <c r="B1370">
        <f>IF(Calc!$B1370,INDEX(MineNames,Calc!C1370),"")</f>
        <v/>
      </c>
      <c r="C1370" s="17">
        <f>IF(Calc!$B1370,Calc!O1370,"")</f>
        <v/>
      </c>
    </row>
    <row r="1371">
      <c r="A1371" s="16">
        <f>IF(Calc!$B1371,Calc!E1371,"")</f>
        <v/>
      </c>
      <c r="B1371">
        <f>IF(Calc!$B1371,INDEX(MineNames,Calc!C1371),"")</f>
        <v/>
      </c>
      <c r="C1371" s="17">
        <f>IF(Calc!$B1371,Calc!O1371,"")</f>
        <v/>
      </c>
    </row>
    <row r="1372">
      <c r="A1372" s="16">
        <f>IF(Calc!$B1372,Calc!E1372,"")</f>
        <v/>
      </c>
      <c r="B1372">
        <f>IF(Calc!$B1372,INDEX(MineNames,Calc!C1372),"")</f>
        <v/>
      </c>
      <c r="C1372" s="17">
        <f>IF(Calc!$B1372,Calc!O1372,"")</f>
        <v/>
      </c>
    </row>
    <row r="1373">
      <c r="A1373" s="16">
        <f>IF(Calc!$B1373,Calc!E1373,"")</f>
        <v/>
      </c>
      <c r="B1373">
        <f>IF(Calc!$B1373,INDEX(MineNames,Calc!C1373),"")</f>
        <v/>
      </c>
      <c r="C1373" s="17">
        <f>IF(Calc!$B1373,Calc!O1373,"")</f>
        <v/>
      </c>
    </row>
    <row r="1374">
      <c r="A1374" s="16">
        <f>IF(Calc!$B1374,Calc!E1374,"")</f>
        <v/>
      </c>
      <c r="B1374">
        <f>IF(Calc!$B1374,INDEX(MineNames,Calc!C1374),"")</f>
        <v/>
      </c>
      <c r="C1374" s="17">
        <f>IF(Calc!$B1374,Calc!O1374,"")</f>
        <v/>
      </c>
    </row>
    <row r="1375">
      <c r="A1375" s="16">
        <f>IF(Calc!$B1375,Calc!E1375,"")</f>
        <v/>
      </c>
      <c r="B1375">
        <f>IF(Calc!$B1375,INDEX(MineNames,Calc!C1375),"")</f>
        <v/>
      </c>
      <c r="C1375" s="17">
        <f>IF(Calc!$B1375,Calc!O1375,"")</f>
        <v/>
      </c>
    </row>
    <row r="1376">
      <c r="A1376" s="16">
        <f>IF(Calc!$B1376,Calc!E1376,"")</f>
        <v/>
      </c>
      <c r="B1376">
        <f>IF(Calc!$B1376,INDEX(MineNames,Calc!C1376),"")</f>
        <v/>
      </c>
      <c r="C1376" s="17">
        <f>IF(Calc!$B1376,Calc!O1376,"")</f>
        <v/>
      </c>
    </row>
    <row r="1377">
      <c r="A1377" s="16">
        <f>IF(Calc!$B1377,Calc!E1377,"")</f>
        <v/>
      </c>
      <c r="B1377">
        <f>IF(Calc!$B1377,INDEX(MineNames,Calc!C1377),"")</f>
        <v/>
      </c>
      <c r="C1377" s="17">
        <f>IF(Calc!$B1377,Calc!O1377,"")</f>
        <v/>
      </c>
    </row>
    <row r="1378">
      <c r="A1378" s="16">
        <f>IF(Calc!$B1378,Calc!E1378,"")</f>
        <v/>
      </c>
      <c r="B1378">
        <f>IF(Calc!$B1378,INDEX(MineNames,Calc!C1378),"")</f>
        <v/>
      </c>
      <c r="C1378" s="17">
        <f>IF(Calc!$B1378,Calc!O1378,"")</f>
        <v/>
      </c>
    </row>
    <row r="1379">
      <c r="A1379" s="16">
        <f>IF(Calc!$B1379,Calc!E1379,"")</f>
        <v/>
      </c>
      <c r="B1379">
        <f>IF(Calc!$B1379,INDEX(MineNames,Calc!C1379),"")</f>
        <v/>
      </c>
      <c r="C1379" s="17">
        <f>IF(Calc!$B1379,Calc!O1379,"")</f>
        <v/>
      </c>
    </row>
    <row r="1380">
      <c r="A1380" s="16">
        <f>IF(Calc!$B1380,Calc!E1380,"")</f>
        <v/>
      </c>
      <c r="B1380">
        <f>IF(Calc!$B1380,INDEX(MineNames,Calc!C1380),"")</f>
        <v/>
      </c>
      <c r="C1380" s="17">
        <f>IF(Calc!$B1380,Calc!O1380,"")</f>
        <v/>
      </c>
    </row>
    <row r="1381">
      <c r="A1381" s="16">
        <f>IF(Calc!$B1381,Calc!E1381,"")</f>
        <v/>
      </c>
      <c r="B1381">
        <f>IF(Calc!$B1381,INDEX(MineNames,Calc!C1381),"")</f>
        <v/>
      </c>
      <c r="C1381" s="17">
        <f>IF(Calc!$B1381,Calc!O1381,"")</f>
        <v/>
      </c>
    </row>
    <row r="1382">
      <c r="A1382" s="16">
        <f>IF(Calc!$B1382,Calc!E1382,"")</f>
        <v/>
      </c>
      <c r="B1382">
        <f>IF(Calc!$B1382,INDEX(MineNames,Calc!C1382),"")</f>
        <v/>
      </c>
      <c r="C1382" s="17">
        <f>IF(Calc!$B1382,Calc!O1382,"")</f>
        <v/>
      </c>
    </row>
    <row r="1383">
      <c r="A1383" s="16">
        <f>IF(Calc!$B1383,Calc!E1383,"")</f>
        <v/>
      </c>
      <c r="B1383">
        <f>IF(Calc!$B1383,INDEX(MineNames,Calc!C1383),"")</f>
        <v/>
      </c>
      <c r="C1383" s="17">
        <f>IF(Calc!$B1383,Calc!O1383,"")</f>
        <v/>
      </c>
    </row>
    <row r="1384">
      <c r="A1384" s="16">
        <f>IF(Calc!$B1384,Calc!E1384,"")</f>
        <v/>
      </c>
      <c r="B1384">
        <f>IF(Calc!$B1384,INDEX(MineNames,Calc!C1384),"")</f>
        <v/>
      </c>
      <c r="C1384" s="17">
        <f>IF(Calc!$B1384,Calc!O1384,"")</f>
        <v/>
      </c>
    </row>
    <row r="1385">
      <c r="A1385" s="16">
        <f>IF(Calc!$B1385,Calc!E1385,"")</f>
        <v/>
      </c>
      <c r="B1385">
        <f>IF(Calc!$B1385,INDEX(MineNames,Calc!C1385),"")</f>
        <v/>
      </c>
      <c r="C1385" s="17">
        <f>IF(Calc!$B1385,Calc!O1385,"")</f>
        <v/>
      </c>
    </row>
    <row r="1386">
      <c r="A1386" s="16">
        <f>IF(Calc!$B1386,Calc!E1386,"")</f>
        <v/>
      </c>
      <c r="B1386">
        <f>IF(Calc!$B1386,INDEX(MineNames,Calc!C1386),"")</f>
        <v/>
      </c>
      <c r="C1386" s="17">
        <f>IF(Calc!$B1386,Calc!O1386,"")</f>
        <v/>
      </c>
    </row>
    <row r="1387">
      <c r="A1387" s="16">
        <f>IF(Calc!$B1387,Calc!E1387,"")</f>
        <v/>
      </c>
      <c r="B1387">
        <f>IF(Calc!$B1387,INDEX(MineNames,Calc!C1387),"")</f>
        <v/>
      </c>
      <c r="C1387" s="17">
        <f>IF(Calc!$B1387,Calc!O1387,"")</f>
        <v/>
      </c>
    </row>
    <row r="1388">
      <c r="A1388" s="16">
        <f>IF(Calc!$B1388,Calc!E1388,"")</f>
        <v/>
      </c>
      <c r="B1388">
        <f>IF(Calc!$B1388,INDEX(MineNames,Calc!C1388),"")</f>
        <v/>
      </c>
      <c r="C1388" s="17">
        <f>IF(Calc!$B1388,Calc!O1388,"")</f>
        <v/>
      </c>
    </row>
    <row r="1389">
      <c r="A1389" s="16">
        <f>IF(Calc!$B1389,Calc!E1389,"")</f>
        <v/>
      </c>
      <c r="B1389">
        <f>IF(Calc!$B1389,INDEX(MineNames,Calc!C1389),"")</f>
        <v/>
      </c>
      <c r="C1389" s="17">
        <f>IF(Calc!$B1389,Calc!O1389,"")</f>
        <v/>
      </c>
    </row>
    <row r="1390">
      <c r="A1390" s="16">
        <f>IF(Calc!$B1390,Calc!E1390,"")</f>
        <v/>
      </c>
      <c r="B1390">
        <f>IF(Calc!$B1390,INDEX(MineNames,Calc!C1390),"")</f>
        <v/>
      </c>
      <c r="C1390" s="17">
        <f>IF(Calc!$B1390,Calc!O1390,"")</f>
        <v/>
      </c>
    </row>
    <row r="1391">
      <c r="A1391" s="16">
        <f>IF(Calc!$B1391,Calc!E1391,"")</f>
        <v/>
      </c>
      <c r="B1391">
        <f>IF(Calc!$B1391,INDEX(MineNames,Calc!C1391),"")</f>
        <v/>
      </c>
      <c r="C1391" s="17">
        <f>IF(Calc!$B1391,Calc!O1391,"")</f>
        <v/>
      </c>
    </row>
    <row r="1392">
      <c r="A1392" s="16">
        <f>IF(Calc!$B1392,Calc!E1392,"")</f>
        <v/>
      </c>
      <c r="B1392">
        <f>IF(Calc!$B1392,INDEX(MineNames,Calc!C1392),"")</f>
        <v/>
      </c>
      <c r="C1392" s="17">
        <f>IF(Calc!$B1392,Calc!O1392,"")</f>
        <v/>
      </c>
    </row>
    <row r="1393">
      <c r="A1393" s="16">
        <f>IF(Calc!$B1393,Calc!E1393,"")</f>
        <v/>
      </c>
      <c r="B1393">
        <f>IF(Calc!$B1393,INDEX(MineNames,Calc!C1393),"")</f>
        <v/>
      </c>
      <c r="C1393" s="17">
        <f>IF(Calc!$B1393,Calc!O1393,"")</f>
        <v/>
      </c>
    </row>
    <row r="1394">
      <c r="A1394" s="16">
        <f>IF(Calc!$B1394,Calc!E1394,"")</f>
        <v/>
      </c>
      <c r="B1394">
        <f>IF(Calc!$B1394,INDEX(MineNames,Calc!C1394),"")</f>
        <v/>
      </c>
      <c r="C1394" s="17">
        <f>IF(Calc!$B1394,Calc!O1394,"")</f>
        <v/>
      </c>
    </row>
    <row r="1395">
      <c r="A1395" s="16">
        <f>IF(Calc!$B1395,Calc!E1395,"")</f>
        <v/>
      </c>
      <c r="B1395">
        <f>IF(Calc!$B1395,INDEX(MineNames,Calc!C1395),"")</f>
        <v/>
      </c>
      <c r="C1395" s="17">
        <f>IF(Calc!$B1395,Calc!O1395,"")</f>
        <v/>
      </c>
    </row>
    <row r="1396">
      <c r="A1396" s="16">
        <f>IF(Calc!$B1396,Calc!E1396,"")</f>
        <v/>
      </c>
      <c r="B1396">
        <f>IF(Calc!$B1396,INDEX(MineNames,Calc!C1396),"")</f>
        <v/>
      </c>
      <c r="C1396" s="17">
        <f>IF(Calc!$B1396,Calc!O1396,"")</f>
        <v/>
      </c>
    </row>
    <row r="1397">
      <c r="A1397" s="16">
        <f>IF(Calc!$B1397,Calc!E1397,"")</f>
        <v/>
      </c>
      <c r="B1397">
        <f>IF(Calc!$B1397,INDEX(MineNames,Calc!C1397),"")</f>
        <v/>
      </c>
      <c r="C1397" s="17">
        <f>IF(Calc!$B1397,Calc!O1397,"")</f>
        <v/>
      </c>
    </row>
    <row r="1398">
      <c r="A1398" s="16">
        <f>IF(Calc!$B1398,Calc!E1398,"")</f>
        <v/>
      </c>
      <c r="B1398">
        <f>IF(Calc!$B1398,INDEX(MineNames,Calc!C1398),"")</f>
        <v/>
      </c>
      <c r="C1398" s="17">
        <f>IF(Calc!$B1398,Calc!O1398,"")</f>
        <v/>
      </c>
    </row>
    <row r="1399">
      <c r="A1399" s="16">
        <f>IF(Calc!$B1399,Calc!E1399,"")</f>
        <v/>
      </c>
      <c r="B1399">
        <f>IF(Calc!$B1399,INDEX(MineNames,Calc!C1399),"")</f>
        <v/>
      </c>
      <c r="C1399" s="17">
        <f>IF(Calc!$B1399,Calc!O1399,"")</f>
        <v/>
      </c>
    </row>
    <row r="1400">
      <c r="A1400" s="16">
        <f>IF(Calc!$B1400,Calc!E1400,"")</f>
        <v/>
      </c>
      <c r="B1400">
        <f>IF(Calc!$B1400,INDEX(MineNames,Calc!C1400),"")</f>
        <v/>
      </c>
      <c r="C1400" s="17">
        <f>IF(Calc!$B1400,Calc!O1400,"")</f>
        <v/>
      </c>
    </row>
    <row r="1401">
      <c r="A1401" s="16">
        <f>IF(Calc!$B1401,Calc!E1401,"")</f>
        <v/>
      </c>
      <c r="B1401">
        <f>IF(Calc!$B1401,INDEX(MineNames,Calc!C1401),"")</f>
        <v/>
      </c>
      <c r="C1401" s="17">
        <f>IF(Calc!$B1401,Calc!O1401,"")</f>
        <v/>
      </c>
    </row>
    <row r="1402">
      <c r="A1402" s="16">
        <f>IF(Calc!$B1402,Calc!E1402,"")</f>
        <v/>
      </c>
      <c r="B1402">
        <f>IF(Calc!$B1402,INDEX(MineNames,Calc!C1402),"")</f>
        <v/>
      </c>
      <c r="C1402" s="17">
        <f>IF(Calc!$B1402,Calc!O1402,"")</f>
        <v/>
      </c>
    </row>
    <row r="1403">
      <c r="A1403" s="16">
        <f>IF(Calc!$B1403,Calc!E1403,"")</f>
        <v/>
      </c>
      <c r="B1403">
        <f>IF(Calc!$B1403,INDEX(MineNames,Calc!C1403),"")</f>
        <v/>
      </c>
      <c r="C1403" s="17">
        <f>IF(Calc!$B1403,Calc!O1403,"")</f>
        <v/>
      </c>
    </row>
    <row r="1404">
      <c r="A1404" s="16">
        <f>IF(Calc!$B1404,Calc!E1404,"")</f>
        <v/>
      </c>
      <c r="B1404">
        <f>IF(Calc!$B1404,INDEX(MineNames,Calc!C1404),"")</f>
        <v/>
      </c>
      <c r="C1404" s="17">
        <f>IF(Calc!$B1404,Calc!O1404,"")</f>
        <v/>
      </c>
    </row>
    <row r="1405">
      <c r="A1405" s="16">
        <f>IF(Calc!$B1405,Calc!E1405,"")</f>
        <v/>
      </c>
      <c r="B1405">
        <f>IF(Calc!$B1405,INDEX(MineNames,Calc!C1405),"")</f>
        <v/>
      </c>
      <c r="C1405" s="17">
        <f>IF(Calc!$B1405,Calc!O1405,"")</f>
        <v/>
      </c>
    </row>
    <row r="1406">
      <c r="A1406" s="16">
        <f>IF(Calc!$B1406,Calc!E1406,"")</f>
        <v/>
      </c>
      <c r="B1406">
        <f>IF(Calc!$B1406,INDEX(MineNames,Calc!C1406),"")</f>
        <v/>
      </c>
      <c r="C1406" s="17">
        <f>IF(Calc!$B1406,Calc!O1406,"")</f>
        <v/>
      </c>
    </row>
    <row r="1407">
      <c r="A1407" s="16">
        <f>IF(Calc!$B1407,Calc!E1407,"")</f>
        <v/>
      </c>
      <c r="B1407">
        <f>IF(Calc!$B1407,INDEX(MineNames,Calc!C1407),"")</f>
        <v/>
      </c>
      <c r="C1407" s="17">
        <f>IF(Calc!$B1407,Calc!O1407,"")</f>
        <v/>
      </c>
    </row>
    <row r="1408">
      <c r="A1408" s="16">
        <f>IF(Calc!$B1408,Calc!E1408,"")</f>
        <v/>
      </c>
      <c r="B1408">
        <f>IF(Calc!$B1408,INDEX(MineNames,Calc!C1408),"")</f>
        <v/>
      </c>
      <c r="C1408" s="17">
        <f>IF(Calc!$B1408,Calc!O1408,"")</f>
        <v/>
      </c>
    </row>
    <row r="1409">
      <c r="A1409" s="16">
        <f>IF(Calc!$B1409,Calc!E1409,"")</f>
        <v/>
      </c>
      <c r="B1409">
        <f>IF(Calc!$B1409,INDEX(MineNames,Calc!C1409),"")</f>
        <v/>
      </c>
      <c r="C1409" s="17">
        <f>IF(Calc!$B1409,Calc!O1409,"")</f>
        <v/>
      </c>
    </row>
    <row r="1410">
      <c r="A1410" s="16">
        <f>IF(Calc!$B1410,Calc!E1410,"")</f>
        <v/>
      </c>
      <c r="B1410">
        <f>IF(Calc!$B1410,INDEX(MineNames,Calc!C1410),"")</f>
        <v/>
      </c>
      <c r="C1410" s="17">
        <f>IF(Calc!$B1410,Calc!O1410,"")</f>
        <v/>
      </c>
    </row>
    <row r="1411">
      <c r="A1411" s="16">
        <f>IF(Calc!$B1411,Calc!E1411,"")</f>
        <v/>
      </c>
      <c r="B1411">
        <f>IF(Calc!$B1411,INDEX(MineNames,Calc!C1411),"")</f>
        <v/>
      </c>
      <c r="C1411" s="17">
        <f>IF(Calc!$B1411,Calc!O1411,"")</f>
        <v/>
      </c>
    </row>
    <row r="1412">
      <c r="A1412" s="16">
        <f>IF(Calc!$B1412,Calc!E1412,"")</f>
        <v/>
      </c>
      <c r="B1412">
        <f>IF(Calc!$B1412,INDEX(MineNames,Calc!C1412),"")</f>
        <v/>
      </c>
      <c r="C1412" s="17">
        <f>IF(Calc!$B1412,Calc!O1412,"")</f>
        <v/>
      </c>
    </row>
    <row r="1413">
      <c r="A1413" s="16">
        <f>IF(Calc!$B1413,Calc!E1413,"")</f>
        <v/>
      </c>
      <c r="B1413">
        <f>IF(Calc!$B1413,INDEX(MineNames,Calc!C1413),"")</f>
        <v/>
      </c>
      <c r="C1413" s="17">
        <f>IF(Calc!$B1413,Calc!O1413,"")</f>
        <v/>
      </c>
    </row>
    <row r="1414">
      <c r="A1414" s="16">
        <f>IF(Calc!$B1414,Calc!E1414,"")</f>
        <v/>
      </c>
      <c r="B1414">
        <f>IF(Calc!$B1414,INDEX(MineNames,Calc!C1414),"")</f>
        <v/>
      </c>
      <c r="C1414" s="17">
        <f>IF(Calc!$B1414,Calc!O1414,"")</f>
        <v/>
      </c>
    </row>
    <row r="1415">
      <c r="A1415" s="16">
        <f>IF(Calc!$B1415,Calc!E1415,"")</f>
        <v/>
      </c>
      <c r="B1415">
        <f>IF(Calc!$B1415,INDEX(MineNames,Calc!C1415),"")</f>
        <v/>
      </c>
      <c r="C1415" s="17">
        <f>IF(Calc!$B1415,Calc!O1415,"")</f>
        <v/>
      </c>
    </row>
    <row r="1416">
      <c r="A1416" s="16">
        <f>IF(Calc!$B1416,Calc!E1416,"")</f>
        <v/>
      </c>
      <c r="B1416">
        <f>IF(Calc!$B1416,INDEX(MineNames,Calc!C1416),"")</f>
        <v/>
      </c>
      <c r="C1416" s="17">
        <f>IF(Calc!$B1416,Calc!O1416,"")</f>
        <v/>
      </c>
    </row>
    <row r="1417">
      <c r="A1417" s="16">
        <f>IF(Calc!$B1417,Calc!E1417,"")</f>
        <v/>
      </c>
      <c r="B1417">
        <f>IF(Calc!$B1417,INDEX(MineNames,Calc!C1417),"")</f>
        <v/>
      </c>
      <c r="C1417" s="17">
        <f>IF(Calc!$B1417,Calc!O1417,"")</f>
        <v/>
      </c>
    </row>
    <row r="1418">
      <c r="A1418" s="16">
        <f>IF(Calc!$B1418,Calc!E1418,"")</f>
        <v/>
      </c>
      <c r="B1418">
        <f>IF(Calc!$B1418,INDEX(MineNames,Calc!C1418),"")</f>
        <v/>
      </c>
      <c r="C1418" s="17">
        <f>IF(Calc!$B1418,Calc!O1418,"")</f>
        <v/>
      </c>
    </row>
    <row r="1419">
      <c r="A1419" s="16">
        <f>IF(Calc!$B1419,Calc!E1419,"")</f>
        <v/>
      </c>
      <c r="B1419">
        <f>IF(Calc!$B1419,INDEX(MineNames,Calc!C1419),"")</f>
        <v/>
      </c>
      <c r="C1419" s="17">
        <f>IF(Calc!$B1419,Calc!O1419,"")</f>
        <v/>
      </c>
    </row>
    <row r="1420">
      <c r="A1420" s="16">
        <f>IF(Calc!$B1420,Calc!E1420,"")</f>
        <v/>
      </c>
      <c r="B1420">
        <f>IF(Calc!$B1420,INDEX(MineNames,Calc!C1420),"")</f>
        <v/>
      </c>
      <c r="C1420" s="17">
        <f>IF(Calc!$B1420,Calc!O1420,"")</f>
        <v/>
      </c>
    </row>
    <row r="1421">
      <c r="A1421" s="16">
        <f>IF(Calc!$B1421,Calc!E1421,"")</f>
        <v/>
      </c>
      <c r="B1421">
        <f>IF(Calc!$B1421,INDEX(MineNames,Calc!C1421),"")</f>
        <v/>
      </c>
      <c r="C1421" s="17">
        <f>IF(Calc!$B1421,Calc!O1421,"")</f>
        <v/>
      </c>
    </row>
    <row r="1422">
      <c r="A1422" s="16">
        <f>IF(Calc!$B1422,Calc!E1422,"")</f>
        <v/>
      </c>
      <c r="B1422">
        <f>IF(Calc!$B1422,INDEX(MineNames,Calc!C1422),"")</f>
        <v/>
      </c>
      <c r="C1422" s="17">
        <f>IF(Calc!$B1422,Calc!O1422,"")</f>
        <v/>
      </c>
    </row>
    <row r="1423">
      <c r="A1423" s="16">
        <f>IF(Calc!$B1423,Calc!E1423,"")</f>
        <v/>
      </c>
      <c r="B1423">
        <f>IF(Calc!$B1423,INDEX(MineNames,Calc!C1423),"")</f>
        <v/>
      </c>
      <c r="C1423" s="17">
        <f>IF(Calc!$B1423,Calc!O1423,"")</f>
        <v/>
      </c>
    </row>
    <row r="1424">
      <c r="A1424" s="16">
        <f>IF(Calc!$B1424,Calc!E1424,"")</f>
        <v/>
      </c>
      <c r="B1424">
        <f>IF(Calc!$B1424,INDEX(MineNames,Calc!C1424),"")</f>
        <v/>
      </c>
      <c r="C1424" s="17">
        <f>IF(Calc!$B1424,Calc!O1424,"")</f>
        <v/>
      </c>
    </row>
    <row r="1425">
      <c r="A1425" s="16">
        <f>IF(Calc!$B1425,Calc!E1425,"")</f>
        <v/>
      </c>
      <c r="B1425">
        <f>IF(Calc!$B1425,INDEX(MineNames,Calc!C1425),"")</f>
        <v/>
      </c>
      <c r="C1425" s="17">
        <f>IF(Calc!$B1425,Calc!O1425,"")</f>
        <v/>
      </c>
    </row>
    <row r="1426">
      <c r="A1426" s="16">
        <f>IF(Calc!$B1426,Calc!E1426,"")</f>
        <v/>
      </c>
      <c r="B1426">
        <f>IF(Calc!$B1426,INDEX(MineNames,Calc!C1426),"")</f>
        <v/>
      </c>
      <c r="C1426" s="17">
        <f>IF(Calc!$B1426,Calc!O1426,"")</f>
        <v/>
      </c>
    </row>
    <row r="1427">
      <c r="A1427" s="16">
        <f>IF(Calc!$B1427,Calc!E1427,"")</f>
        <v/>
      </c>
      <c r="B1427">
        <f>IF(Calc!$B1427,INDEX(MineNames,Calc!C1427),"")</f>
        <v/>
      </c>
      <c r="C1427" s="17">
        <f>IF(Calc!$B1427,Calc!O1427,"")</f>
        <v/>
      </c>
    </row>
    <row r="1428">
      <c r="A1428" s="16">
        <f>IF(Calc!$B1428,Calc!E1428,"")</f>
        <v/>
      </c>
      <c r="B1428">
        <f>IF(Calc!$B1428,INDEX(MineNames,Calc!C1428),"")</f>
        <v/>
      </c>
      <c r="C1428" s="17">
        <f>IF(Calc!$B1428,Calc!O1428,"")</f>
        <v/>
      </c>
    </row>
    <row r="1429">
      <c r="A1429" s="16">
        <f>IF(Calc!$B1429,Calc!E1429,"")</f>
        <v/>
      </c>
      <c r="B1429">
        <f>IF(Calc!$B1429,INDEX(MineNames,Calc!C1429),"")</f>
        <v/>
      </c>
      <c r="C1429" s="17">
        <f>IF(Calc!$B1429,Calc!O1429,"")</f>
        <v/>
      </c>
    </row>
    <row r="1430">
      <c r="A1430" s="16">
        <f>IF(Calc!$B1430,Calc!E1430,"")</f>
        <v/>
      </c>
      <c r="B1430">
        <f>IF(Calc!$B1430,INDEX(MineNames,Calc!C1430),"")</f>
        <v/>
      </c>
      <c r="C1430" s="17">
        <f>IF(Calc!$B1430,Calc!O1430,"")</f>
        <v/>
      </c>
    </row>
    <row r="1431">
      <c r="A1431" s="16">
        <f>IF(Calc!$B1431,Calc!E1431,"")</f>
        <v/>
      </c>
      <c r="B1431">
        <f>IF(Calc!$B1431,INDEX(MineNames,Calc!C1431),"")</f>
        <v/>
      </c>
      <c r="C1431" s="17">
        <f>IF(Calc!$B1431,Calc!O1431,"")</f>
        <v/>
      </c>
    </row>
    <row r="1432">
      <c r="A1432" s="16">
        <f>IF(Calc!$B1432,Calc!E1432,"")</f>
        <v/>
      </c>
      <c r="B1432">
        <f>IF(Calc!$B1432,INDEX(MineNames,Calc!C1432),"")</f>
        <v/>
      </c>
      <c r="C1432" s="17">
        <f>IF(Calc!$B1432,Calc!O1432,"")</f>
        <v/>
      </c>
    </row>
    <row r="1433">
      <c r="A1433" s="16">
        <f>IF(Calc!$B1433,Calc!E1433,"")</f>
        <v/>
      </c>
      <c r="B1433">
        <f>IF(Calc!$B1433,INDEX(MineNames,Calc!C1433),"")</f>
        <v/>
      </c>
      <c r="C1433" s="17">
        <f>IF(Calc!$B1433,Calc!O1433,"")</f>
        <v/>
      </c>
    </row>
    <row r="1434">
      <c r="A1434" s="16">
        <f>IF(Calc!$B1434,Calc!E1434,"")</f>
        <v/>
      </c>
      <c r="B1434">
        <f>IF(Calc!$B1434,INDEX(MineNames,Calc!C1434),"")</f>
        <v/>
      </c>
      <c r="C1434" s="17">
        <f>IF(Calc!$B1434,Calc!O1434,"")</f>
        <v/>
      </c>
    </row>
    <row r="1435">
      <c r="A1435" s="16">
        <f>IF(Calc!$B1435,Calc!E1435,"")</f>
        <v/>
      </c>
      <c r="B1435">
        <f>IF(Calc!$B1435,INDEX(MineNames,Calc!C1435),"")</f>
        <v/>
      </c>
      <c r="C1435" s="17">
        <f>IF(Calc!$B1435,Calc!O1435,"")</f>
        <v/>
      </c>
    </row>
    <row r="1436">
      <c r="A1436" s="16">
        <f>IF(Calc!$B1436,Calc!E1436,"")</f>
        <v/>
      </c>
      <c r="B1436">
        <f>IF(Calc!$B1436,INDEX(MineNames,Calc!C1436),"")</f>
        <v/>
      </c>
      <c r="C1436" s="17">
        <f>IF(Calc!$B1436,Calc!O1436,"")</f>
        <v/>
      </c>
    </row>
    <row r="1437">
      <c r="A1437" s="16">
        <f>IF(Calc!$B1437,Calc!E1437,"")</f>
        <v/>
      </c>
      <c r="B1437">
        <f>IF(Calc!$B1437,INDEX(MineNames,Calc!C1437),"")</f>
        <v/>
      </c>
      <c r="C1437" s="17">
        <f>IF(Calc!$B1437,Calc!O1437,"")</f>
        <v/>
      </c>
    </row>
    <row r="1438">
      <c r="A1438" s="16">
        <f>IF(Calc!$B1438,Calc!E1438,"")</f>
        <v/>
      </c>
      <c r="B1438">
        <f>IF(Calc!$B1438,INDEX(MineNames,Calc!C1438),"")</f>
        <v/>
      </c>
      <c r="C1438" s="17">
        <f>IF(Calc!$B1438,Calc!O1438,"")</f>
        <v/>
      </c>
    </row>
    <row r="1439">
      <c r="A1439" s="16">
        <f>IF(Calc!$B1439,Calc!E1439,"")</f>
        <v/>
      </c>
      <c r="B1439">
        <f>IF(Calc!$B1439,INDEX(MineNames,Calc!C1439),"")</f>
        <v/>
      </c>
      <c r="C1439" s="17">
        <f>IF(Calc!$B1439,Calc!O1439,"")</f>
        <v/>
      </c>
    </row>
    <row r="1440">
      <c r="A1440" s="16">
        <f>IF(Calc!$B1440,Calc!E1440,"")</f>
        <v/>
      </c>
      <c r="B1440">
        <f>IF(Calc!$B1440,INDEX(MineNames,Calc!C1440),"")</f>
        <v/>
      </c>
      <c r="C1440" s="17">
        <f>IF(Calc!$B1440,Calc!O1440,"")</f>
        <v/>
      </c>
    </row>
    <row r="1441">
      <c r="A1441" s="16">
        <f>IF(Calc!$B1441,Calc!E1441,"")</f>
        <v/>
      </c>
      <c r="B1441">
        <f>IF(Calc!$B1441,INDEX(MineNames,Calc!C1441),"")</f>
        <v/>
      </c>
      <c r="C1441" s="17">
        <f>IF(Calc!$B1441,Calc!O1441,"")</f>
        <v/>
      </c>
    </row>
    <row r="1442">
      <c r="A1442" s="16">
        <f>IF(Calc!$B1442,Calc!E1442,"")</f>
        <v/>
      </c>
      <c r="B1442">
        <f>IF(Calc!$B1442,INDEX(MineNames,Calc!C1442),"")</f>
        <v/>
      </c>
      <c r="C1442" s="17">
        <f>IF(Calc!$B1442,Calc!O1442,"")</f>
        <v/>
      </c>
    </row>
    <row r="1443">
      <c r="A1443" s="16">
        <f>IF(Calc!$B1443,Calc!E1443,"")</f>
        <v/>
      </c>
      <c r="B1443">
        <f>IF(Calc!$B1443,INDEX(MineNames,Calc!C1443),"")</f>
        <v/>
      </c>
      <c r="C1443" s="17">
        <f>IF(Calc!$B1443,Calc!O1443,"")</f>
        <v/>
      </c>
    </row>
    <row r="1444">
      <c r="A1444" s="16">
        <f>IF(Calc!$B1444,Calc!E1444,"")</f>
        <v/>
      </c>
      <c r="B1444">
        <f>IF(Calc!$B1444,INDEX(MineNames,Calc!C1444),"")</f>
        <v/>
      </c>
      <c r="C1444" s="17">
        <f>IF(Calc!$B1444,Calc!O1444,"")</f>
        <v/>
      </c>
    </row>
    <row r="1445">
      <c r="A1445" s="16">
        <f>IF(Calc!$B1445,Calc!E1445,"")</f>
        <v/>
      </c>
      <c r="B1445">
        <f>IF(Calc!$B1445,INDEX(MineNames,Calc!C1445),"")</f>
        <v/>
      </c>
      <c r="C1445" s="17">
        <f>IF(Calc!$B1445,Calc!O1445,"")</f>
        <v/>
      </c>
    </row>
    <row r="1446">
      <c r="A1446" s="16">
        <f>IF(Calc!$B1446,Calc!E1446,"")</f>
        <v/>
      </c>
      <c r="B1446">
        <f>IF(Calc!$B1446,INDEX(MineNames,Calc!C1446),"")</f>
        <v/>
      </c>
      <c r="C1446" s="17">
        <f>IF(Calc!$B1446,Calc!O1446,"")</f>
        <v/>
      </c>
    </row>
    <row r="1447">
      <c r="A1447" s="16">
        <f>IF(Calc!$B1447,Calc!E1447,"")</f>
        <v/>
      </c>
      <c r="B1447">
        <f>IF(Calc!$B1447,INDEX(MineNames,Calc!C1447),"")</f>
        <v/>
      </c>
      <c r="C1447" s="17">
        <f>IF(Calc!$B1447,Calc!O1447,"")</f>
        <v/>
      </c>
    </row>
    <row r="1448">
      <c r="A1448" s="16">
        <f>IF(Calc!$B1448,Calc!E1448,"")</f>
        <v/>
      </c>
      <c r="B1448">
        <f>IF(Calc!$B1448,INDEX(MineNames,Calc!C1448),"")</f>
        <v/>
      </c>
      <c r="C1448" s="17">
        <f>IF(Calc!$B1448,Calc!O1448,"")</f>
        <v/>
      </c>
    </row>
    <row r="1449">
      <c r="A1449" s="16">
        <f>IF(Calc!$B1449,Calc!E1449,"")</f>
        <v/>
      </c>
      <c r="B1449">
        <f>IF(Calc!$B1449,INDEX(MineNames,Calc!C1449),"")</f>
        <v/>
      </c>
      <c r="C1449" s="17">
        <f>IF(Calc!$B1449,Calc!O1449,"")</f>
        <v/>
      </c>
    </row>
    <row r="1450">
      <c r="A1450" s="16">
        <f>IF(Calc!$B1450,Calc!E1450,"")</f>
        <v/>
      </c>
      <c r="B1450">
        <f>IF(Calc!$B1450,INDEX(MineNames,Calc!C1450),"")</f>
        <v/>
      </c>
      <c r="C1450" s="17">
        <f>IF(Calc!$B1450,Calc!O1450,"")</f>
        <v/>
      </c>
    </row>
    <row r="1451">
      <c r="A1451" s="16">
        <f>IF(Calc!$B1451,Calc!E1451,"")</f>
        <v/>
      </c>
      <c r="B1451">
        <f>IF(Calc!$B1451,INDEX(MineNames,Calc!C1451),"")</f>
        <v/>
      </c>
      <c r="C1451" s="17">
        <f>IF(Calc!$B1451,Calc!O1451,"")</f>
        <v/>
      </c>
    </row>
    <row r="1452">
      <c r="A1452" s="16">
        <f>IF(Calc!$B1452,Calc!E1452,"")</f>
        <v/>
      </c>
      <c r="B1452">
        <f>IF(Calc!$B1452,INDEX(MineNames,Calc!C1452),"")</f>
        <v/>
      </c>
      <c r="C1452" s="17">
        <f>IF(Calc!$B1452,Calc!O1452,"")</f>
        <v/>
      </c>
    </row>
    <row r="1453">
      <c r="A1453" s="16">
        <f>IF(Calc!$B1453,Calc!E1453,"")</f>
        <v/>
      </c>
      <c r="B1453">
        <f>IF(Calc!$B1453,INDEX(MineNames,Calc!C1453),"")</f>
        <v/>
      </c>
      <c r="C1453" s="17">
        <f>IF(Calc!$B1453,Calc!O1453,"")</f>
        <v/>
      </c>
    </row>
    <row r="1454">
      <c r="A1454" s="16">
        <f>IF(Calc!$B1454,Calc!E1454,"")</f>
        <v/>
      </c>
      <c r="B1454">
        <f>IF(Calc!$B1454,INDEX(MineNames,Calc!C1454),"")</f>
        <v/>
      </c>
      <c r="C1454" s="17">
        <f>IF(Calc!$B1454,Calc!O1454,"")</f>
        <v/>
      </c>
    </row>
    <row r="1455">
      <c r="A1455" s="16">
        <f>IF(Calc!$B1455,Calc!E1455,"")</f>
        <v/>
      </c>
      <c r="B1455">
        <f>IF(Calc!$B1455,INDEX(MineNames,Calc!C1455),"")</f>
        <v/>
      </c>
      <c r="C1455" s="17">
        <f>IF(Calc!$B1455,Calc!O1455,"")</f>
        <v/>
      </c>
    </row>
    <row r="1456">
      <c r="A1456" s="16">
        <f>IF(Calc!$B1456,Calc!E1456,"")</f>
        <v/>
      </c>
      <c r="B1456">
        <f>IF(Calc!$B1456,INDEX(MineNames,Calc!C1456),"")</f>
        <v/>
      </c>
      <c r="C1456" s="17">
        <f>IF(Calc!$B1456,Calc!O1456,"")</f>
        <v/>
      </c>
    </row>
    <row r="1457">
      <c r="A1457" s="16">
        <f>IF(Calc!$B1457,Calc!E1457,"")</f>
        <v/>
      </c>
      <c r="B1457">
        <f>IF(Calc!$B1457,INDEX(MineNames,Calc!C1457),"")</f>
        <v/>
      </c>
      <c r="C1457" s="17">
        <f>IF(Calc!$B1457,Calc!O1457,"")</f>
        <v/>
      </c>
    </row>
    <row r="1458">
      <c r="A1458" s="16">
        <f>IF(Calc!$B1458,Calc!E1458,"")</f>
        <v/>
      </c>
      <c r="B1458">
        <f>IF(Calc!$B1458,INDEX(MineNames,Calc!C1458),"")</f>
        <v/>
      </c>
      <c r="C1458" s="17">
        <f>IF(Calc!$B1458,Calc!O1458,"")</f>
        <v/>
      </c>
    </row>
    <row r="1459">
      <c r="A1459" s="16">
        <f>IF(Calc!$B1459,Calc!E1459,"")</f>
        <v/>
      </c>
      <c r="B1459">
        <f>IF(Calc!$B1459,INDEX(MineNames,Calc!C1459),"")</f>
        <v/>
      </c>
      <c r="C1459" s="17">
        <f>IF(Calc!$B1459,Calc!O1459,"")</f>
        <v/>
      </c>
    </row>
    <row r="1460">
      <c r="A1460" s="16">
        <f>IF(Calc!$B1460,Calc!E1460,"")</f>
        <v/>
      </c>
      <c r="B1460">
        <f>IF(Calc!$B1460,INDEX(MineNames,Calc!C1460),"")</f>
        <v/>
      </c>
      <c r="C1460" s="17">
        <f>IF(Calc!$B1460,Calc!O1460,"")</f>
        <v/>
      </c>
    </row>
    <row r="1461">
      <c r="A1461" s="16">
        <f>IF(Calc!$B1461,Calc!E1461,"")</f>
        <v/>
      </c>
      <c r="B1461">
        <f>IF(Calc!$B1461,INDEX(MineNames,Calc!C1461),"")</f>
        <v/>
      </c>
      <c r="C1461" s="17">
        <f>IF(Calc!$B1461,Calc!O1461,"")</f>
        <v/>
      </c>
    </row>
    <row r="1462">
      <c r="A1462" s="16">
        <f>IF(Calc!$B1462,Calc!E1462,"")</f>
        <v/>
      </c>
      <c r="B1462">
        <f>IF(Calc!$B1462,INDEX(MineNames,Calc!C1462),"")</f>
        <v/>
      </c>
      <c r="C1462" s="17">
        <f>IF(Calc!$B1462,Calc!O1462,"")</f>
        <v/>
      </c>
    </row>
    <row r="1463">
      <c r="A1463" s="16">
        <f>IF(Calc!$B1463,Calc!E1463,"")</f>
        <v/>
      </c>
      <c r="B1463">
        <f>IF(Calc!$B1463,INDEX(MineNames,Calc!C1463),"")</f>
        <v/>
      </c>
      <c r="C1463" s="17">
        <f>IF(Calc!$B1463,Calc!O1463,"")</f>
        <v/>
      </c>
    </row>
    <row r="1464">
      <c r="A1464" s="16">
        <f>IF(Calc!$B1464,Calc!E1464,"")</f>
        <v/>
      </c>
      <c r="B1464">
        <f>IF(Calc!$B1464,INDEX(MineNames,Calc!C1464),"")</f>
        <v/>
      </c>
      <c r="C1464" s="17">
        <f>IF(Calc!$B1464,Calc!O1464,"")</f>
        <v/>
      </c>
    </row>
    <row r="1465">
      <c r="A1465" s="16">
        <f>IF(Calc!$B1465,Calc!E1465,"")</f>
        <v/>
      </c>
      <c r="B1465">
        <f>IF(Calc!$B1465,INDEX(MineNames,Calc!C1465),"")</f>
        <v/>
      </c>
      <c r="C1465" s="17">
        <f>IF(Calc!$B1465,Calc!O1465,"")</f>
        <v/>
      </c>
    </row>
    <row r="1466">
      <c r="A1466" s="16">
        <f>IF(Calc!$B1466,Calc!E1466,"")</f>
        <v/>
      </c>
      <c r="B1466">
        <f>IF(Calc!$B1466,INDEX(MineNames,Calc!C1466),"")</f>
        <v/>
      </c>
      <c r="C1466" s="17">
        <f>IF(Calc!$B1466,Calc!O1466,"")</f>
        <v/>
      </c>
    </row>
    <row r="1467">
      <c r="A1467" s="16">
        <f>IF(Calc!$B1467,Calc!E1467,"")</f>
        <v/>
      </c>
      <c r="B1467">
        <f>IF(Calc!$B1467,INDEX(MineNames,Calc!C1467),"")</f>
        <v/>
      </c>
      <c r="C1467" s="17">
        <f>IF(Calc!$B1467,Calc!O1467,"")</f>
        <v/>
      </c>
    </row>
    <row r="1468">
      <c r="A1468" s="16">
        <f>IF(Calc!$B1468,Calc!E1468,"")</f>
        <v/>
      </c>
      <c r="B1468">
        <f>IF(Calc!$B1468,INDEX(MineNames,Calc!C1468),"")</f>
        <v/>
      </c>
      <c r="C1468" s="17">
        <f>IF(Calc!$B1468,Calc!O1468,"")</f>
        <v/>
      </c>
    </row>
    <row r="1469">
      <c r="A1469" s="16">
        <f>IF(Calc!$B1469,Calc!E1469,"")</f>
        <v/>
      </c>
      <c r="B1469">
        <f>IF(Calc!$B1469,INDEX(MineNames,Calc!C1469),"")</f>
        <v/>
      </c>
      <c r="C1469" s="17">
        <f>IF(Calc!$B1469,Calc!O1469,"")</f>
        <v/>
      </c>
    </row>
    <row r="1470">
      <c r="A1470" s="16">
        <f>IF(Calc!$B1470,Calc!E1470,"")</f>
        <v/>
      </c>
      <c r="B1470">
        <f>IF(Calc!$B1470,INDEX(MineNames,Calc!C1470),"")</f>
        <v/>
      </c>
      <c r="C1470" s="17">
        <f>IF(Calc!$B1470,Calc!O1470,"")</f>
        <v/>
      </c>
    </row>
    <row r="1471">
      <c r="A1471" s="16">
        <f>IF(Calc!$B1471,Calc!E1471,"")</f>
        <v/>
      </c>
      <c r="B1471">
        <f>IF(Calc!$B1471,INDEX(MineNames,Calc!C1471),"")</f>
        <v/>
      </c>
      <c r="C1471" s="17">
        <f>IF(Calc!$B1471,Calc!O1471,"")</f>
        <v/>
      </c>
    </row>
    <row r="1472">
      <c r="A1472" s="16">
        <f>IF(Calc!$B1472,Calc!E1472,"")</f>
        <v/>
      </c>
      <c r="B1472">
        <f>IF(Calc!$B1472,INDEX(MineNames,Calc!C1472),"")</f>
        <v/>
      </c>
      <c r="C1472" s="17">
        <f>IF(Calc!$B1472,Calc!O1472,"")</f>
        <v/>
      </c>
    </row>
    <row r="1473">
      <c r="A1473" s="16">
        <f>IF(Calc!$B1473,Calc!E1473,"")</f>
        <v/>
      </c>
      <c r="B1473">
        <f>IF(Calc!$B1473,INDEX(MineNames,Calc!C1473),"")</f>
        <v/>
      </c>
      <c r="C1473" s="17">
        <f>IF(Calc!$B1473,Calc!O1473,"")</f>
        <v/>
      </c>
    </row>
    <row r="1474">
      <c r="A1474" s="16">
        <f>IF(Calc!$B1474,Calc!E1474,"")</f>
        <v/>
      </c>
      <c r="B1474">
        <f>IF(Calc!$B1474,INDEX(MineNames,Calc!C1474),"")</f>
        <v/>
      </c>
      <c r="C1474" s="17">
        <f>IF(Calc!$B1474,Calc!O1474,"")</f>
        <v/>
      </c>
    </row>
    <row r="1475">
      <c r="A1475" s="16">
        <f>IF(Calc!$B1475,Calc!E1475,"")</f>
        <v/>
      </c>
      <c r="B1475">
        <f>IF(Calc!$B1475,INDEX(MineNames,Calc!C1475),"")</f>
        <v/>
      </c>
      <c r="C1475" s="17">
        <f>IF(Calc!$B1475,Calc!O1475,"")</f>
        <v/>
      </c>
    </row>
    <row r="1476">
      <c r="A1476" s="16">
        <f>IF(Calc!$B1476,Calc!E1476,"")</f>
        <v/>
      </c>
      <c r="B1476">
        <f>IF(Calc!$B1476,INDEX(MineNames,Calc!C1476),"")</f>
        <v/>
      </c>
      <c r="C1476" s="17">
        <f>IF(Calc!$B1476,Calc!O1476,"")</f>
        <v/>
      </c>
    </row>
    <row r="1477">
      <c r="A1477" s="16">
        <f>IF(Calc!$B1477,Calc!E1477,"")</f>
        <v/>
      </c>
      <c r="B1477">
        <f>IF(Calc!$B1477,INDEX(MineNames,Calc!C1477),"")</f>
        <v/>
      </c>
      <c r="C1477" s="17">
        <f>IF(Calc!$B1477,Calc!O1477,"")</f>
        <v/>
      </c>
    </row>
    <row r="1478">
      <c r="A1478" s="16">
        <f>IF(Calc!$B1478,Calc!E1478,"")</f>
        <v/>
      </c>
      <c r="B1478">
        <f>IF(Calc!$B1478,INDEX(MineNames,Calc!C1478),"")</f>
        <v/>
      </c>
      <c r="C1478" s="17">
        <f>IF(Calc!$B1478,Calc!O1478,"")</f>
        <v/>
      </c>
    </row>
    <row r="1479">
      <c r="A1479" s="16">
        <f>IF(Calc!$B1479,Calc!E1479,"")</f>
        <v/>
      </c>
      <c r="B1479">
        <f>IF(Calc!$B1479,INDEX(MineNames,Calc!C1479),"")</f>
        <v/>
      </c>
      <c r="C1479" s="17">
        <f>IF(Calc!$B1479,Calc!O1479,"")</f>
        <v/>
      </c>
    </row>
    <row r="1480">
      <c r="A1480" s="16">
        <f>IF(Calc!$B1480,Calc!E1480,"")</f>
        <v/>
      </c>
      <c r="B1480">
        <f>IF(Calc!$B1480,INDEX(MineNames,Calc!C1480),"")</f>
        <v/>
      </c>
      <c r="C1480" s="17">
        <f>IF(Calc!$B1480,Calc!O1480,"")</f>
        <v/>
      </c>
    </row>
    <row r="1481">
      <c r="A1481" s="16">
        <f>IF(Calc!$B1481,Calc!E1481,"")</f>
        <v/>
      </c>
      <c r="B1481">
        <f>IF(Calc!$B1481,INDEX(MineNames,Calc!C1481),"")</f>
        <v/>
      </c>
      <c r="C1481" s="17">
        <f>IF(Calc!$B1481,Calc!O1481,"")</f>
        <v/>
      </c>
    </row>
    <row r="1482">
      <c r="A1482" s="16">
        <f>IF(Calc!$B1482,Calc!E1482,"")</f>
        <v/>
      </c>
      <c r="B1482">
        <f>IF(Calc!$B1482,INDEX(MineNames,Calc!C1482),"")</f>
        <v/>
      </c>
      <c r="C1482" s="17">
        <f>IF(Calc!$B1482,Calc!O1482,"")</f>
        <v/>
      </c>
    </row>
    <row r="1483">
      <c r="A1483" s="16">
        <f>IF(Calc!$B1483,Calc!E1483,"")</f>
        <v/>
      </c>
      <c r="B1483">
        <f>IF(Calc!$B1483,INDEX(MineNames,Calc!C1483),"")</f>
        <v/>
      </c>
      <c r="C1483" s="17">
        <f>IF(Calc!$B1483,Calc!O1483,"")</f>
        <v/>
      </c>
    </row>
    <row r="1484">
      <c r="A1484" s="16">
        <f>IF(Calc!$B1484,Calc!E1484,"")</f>
        <v/>
      </c>
      <c r="B1484">
        <f>IF(Calc!$B1484,INDEX(MineNames,Calc!C1484),"")</f>
        <v/>
      </c>
      <c r="C1484" s="17">
        <f>IF(Calc!$B1484,Calc!O1484,"")</f>
        <v/>
      </c>
    </row>
    <row r="1485">
      <c r="A1485" s="16">
        <f>IF(Calc!$B1485,Calc!E1485,"")</f>
        <v/>
      </c>
      <c r="B1485">
        <f>IF(Calc!$B1485,INDEX(MineNames,Calc!C1485),"")</f>
        <v/>
      </c>
      <c r="C1485" s="17">
        <f>IF(Calc!$B1485,Calc!O1485,"")</f>
        <v/>
      </c>
    </row>
    <row r="1486">
      <c r="A1486" s="16">
        <f>IF(Calc!$B1486,Calc!E1486,"")</f>
        <v/>
      </c>
      <c r="B1486">
        <f>IF(Calc!$B1486,INDEX(MineNames,Calc!C1486),"")</f>
        <v/>
      </c>
      <c r="C1486" s="17">
        <f>IF(Calc!$B1486,Calc!O1486,"")</f>
        <v/>
      </c>
    </row>
    <row r="1487">
      <c r="A1487" s="16">
        <f>IF(Calc!$B1487,Calc!E1487,"")</f>
        <v/>
      </c>
      <c r="B1487">
        <f>IF(Calc!$B1487,INDEX(MineNames,Calc!C1487),"")</f>
        <v/>
      </c>
      <c r="C1487" s="17">
        <f>IF(Calc!$B1487,Calc!O1487,"")</f>
        <v/>
      </c>
    </row>
    <row r="1488">
      <c r="A1488" s="16">
        <f>IF(Calc!$B1488,Calc!E1488,"")</f>
        <v/>
      </c>
      <c r="B1488">
        <f>IF(Calc!$B1488,INDEX(MineNames,Calc!C1488),"")</f>
        <v/>
      </c>
      <c r="C1488" s="17">
        <f>IF(Calc!$B1488,Calc!O1488,"")</f>
        <v/>
      </c>
    </row>
    <row r="1489">
      <c r="A1489" s="16">
        <f>IF(Calc!$B1489,Calc!E1489,"")</f>
        <v/>
      </c>
      <c r="B1489">
        <f>IF(Calc!$B1489,INDEX(MineNames,Calc!C1489),"")</f>
        <v/>
      </c>
      <c r="C1489" s="17">
        <f>IF(Calc!$B1489,Calc!O1489,"")</f>
        <v/>
      </c>
    </row>
    <row r="1490">
      <c r="A1490" s="16">
        <f>IF(Calc!$B1490,Calc!E1490,"")</f>
        <v/>
      </c>
      <c r="B1490">
        <f>IF(Calc!$B1490,INDEX(MineNames,Calc!C1490),"")</f>
        <v/>
      </c>
      <c r="C1490" s="17">
        <f>IF(Calc!$B1490,Calc!O1490,"")</f>
        <v/>
      </c>
    </row>
    <row r="1491">
      <c r="A1491" s="16">
        <f>IF(Calc!$B1491,Calc!E1491,"")</f>
        <v/>
      </c>
      <c r="B1491">
        <f>IF(Calc!$B1491,INDEX(MineNames,Calc!C1491),"")</f>
        <v/>
      </c>
      <c r="C1491" s="17">
        <f>IF(Calc!$B1491,Calc!O1491,"")</f>
        <v/>
      </c>
    </row>
    <row r="1492">
      <c r="A1492" s="16">
        <f>IF(Calc!$B1492,Calc!E1492,"")</f>
        <v/>
      </c>
      <c r="B1492">
        <f>IF(Calc!$B1492,INDEX(MineNames,Calc!C1492),"")</f>
        <v/>
      </c>
      <c r="C1492" s="17">
        <f>IF(Calc!$B1492,Calc!O1492,"")</f>
        <v/>
      </c>
    </row>
    <row r="1493">
      <c r="A1493" s="16">
        <f>IF(Calc!$B1493,Calc!E1493,"")</f>
        <v/>
      </c>
      <c r="B1493">
        <f>IF(Calc!$B1493,INDEX(MineNames,Calc!C1493),"")</f>
        <v/>
      </c>
      <c r="C1493" s="17">
        <f>IF(Calc!$B1493,Calc!O1493,"")</f>
        <v/>
      </c>
    </row>
    <row r="1494">
      <c r="A1494" s="16">
        <f>IF(Calc!$B1494,Calc!E1494,"")</f>
        <v/>
      </c>
      <c r="B1494">
        <f>IF(Calc!$B1494,INDEX(MineNames,Calc!C1494),"")</f>
        <v/>
      </c>
      <c r="C1494" s="17">
        <f>IF(Calc!$B1494,Calc!O1494,"")</f>
        <v/>
      </c>
    </row>
    <row r="1495">
      <c r="A1495" s="16">
        <f>IF(Calc!$B1495,Calc!E1495,"")</f>
        <v/>
      </c>
      <c r="B1495">
        <f>IF(Calc!$B1495,INDEX(MineNames,Calc!C1495),"")</f>
        <v/>
      </c>
      <c r="C1495" s="17">
        <f>IF(Calc!$B1495,Calc!O1495,"")</f>
        <v/>
      </c>
    </row>
    <row r="1496">
      <c r="A1496" s="16">
        <f>IF(Calc!$B1496,Calc!E1496,"")</f>
        <v/>
      </c>
      <c r="B1496">
        <f>IF(Calc!$B1496,INDEX(MineNames,Calc!C1496),"")</f>
        <v/>
      </c>
      <c r="C1496" s="17">
        <f>IF(Calc!$B1496,Calc!O1496,"")</f>
        <v/>
      </c>
    </row>
    <row r="1497">
      <c r="A1497" s="16">
        <f>IF(Calc!$B1497,Calc!E1497,"")</f>
        <v/>
      </c>
      <c r="B1497">
        <f>IF(Calc!$B1497,INDEX(MineNames,Calc!C1497),"")</f>
        <v/>
      </c>
      <c r="C1497" s="17">
        <f>IF(Calc!$B1497,Calc!O1497,"")</f>
        <v/>
      </c>
    </row>
    <row r="1498">
      <c r="A1498" s="16">
        <f>IF(Calc!$B1498,Calc!E1498,"")</f>
        <v/>
      </c>
      <c r="B1498">
        <f>IF(Calc!$B1498,INDEX(MineNames,Calc!C1498),"")</f>
        <v/>
      </c>
      <c r="C1498" s="17">
        <f>IF(Calc!$B1498,Calc!O1498,"")</f>
        <v/>
      </c>
    </row>
    <row r="1499">
      <c r="A1499" s="16">
        <f>IF(Calc!$B1499,Calc!E1499,"")</f>
        <v/>
      </c>
      <c r="B1499">
        <f>IF(Calc!$B1499,INDEX(MineNames,Calc!C1499),"")</f>
        <v/>
      </c>
      <c r="C1499" s="17">
        <f>IF(Calc!$B1499,Calc!O1499,"")</f>
        <v/>
      </c>
    </row>
    <row r="1500">
      <c r="A1500" s="16">
        <f>IF(Calc!$B1500,Calc!E1500,"")</f>
        <v/>
      </c>
      <c r="B1500">
        <f>IF(Calc!$B1500,INDEX(MineNames,Calc!C1500),"")</f>
        <v/>
      </c>
      <c r="C1500" s="17">
        <f>IF(Calc!$B1500,Calc!O1500,"")</f>
        <v/>
      </c>
    </row>
    <row r="1501">
      <c r="A1501" s="16">
        <f>IF(Calc!$B1501,Calc!E1501,"")</f>
        <v/>
      </c>
      <c r="B1501">
        <f>IF(Calc!$B1501,INDEX(MineNames,Calc!C1501),"")</f>
        <v/>
      </c>
      <c r="C1501" s="17">
        <f>IF(Calc!$B1501,Calc!O1501,"")</f>
        <v/>
      </c>
    </row>
    <row r="1502">
      <c r="A1502" s="16">
        <f>IF(Calc!$B1502,Calc!E1502,"")</f>
        <v/>
      </c>
      <c r="B1502">
        <f>IF(Calc!$B1502,INDEX(MineNames,Calc!C1502),"")</f>
        <v/>
      </c>
      <c r="C1502" s="17">
        <f>IF(Calc!$B1502,Calc!O1502,"")</f>
        <v/>
      </c>
    </row>
    <row r="1503">
      <c r="A1503" s="16">
        <f>IF(Calc!$B1503,Calc!E1503,"")</f>
        <v/>
      </c>
      <c r="B1503">
        <f>IF(Calc!$B1503,INDEX(MineNames,Calc!C1503),"")</f>
        <v/>
      </c>
      <c r="C1503" s="17">
        <f>IF(Calc!$B1503,Calc!O1503,"")</f>
        <v/>
      </c>
    </row>
    <row r="1504">
      <c r="A1504" s="16">
        <f>IF(Calc!$B1504,Calc!E1504,"")</f>
        <v/>
      </c>
      <c r="B1504">
        <f>IF(Calc!$B1504,INDEX(MineNames,Calc!C1504),"")</f>
        <v/>
      </c>
      <c r="C1504" s="17">
        <f>IF(Calc!$B1504,Calc!O1504,"")</f>
        <v/>
      </c>
    </row>
    <row r="1505">
      <c r="A1505" s="16">
        <f>IF(Calc!$B1505,Calc!E1505,"")</f>
        <v/>
      </c>
      <c r="B1505">
        <f>IF(Calc!$B1505,INDEX(MineNames,Calc!C1505),"")</f>
        <v/>
      </c>
      <c r="C1505" s="17">
        <f>IF(Calc!$B1505,Calc!O1505,"")</f>
        <v/>
      </c>
    </row>
    <row r="1506">
      <c r="A1506" s="16">
        <f>IF(Calc!$B1506,Calc!E1506,"")</f>
        <v/>
      </c>
      <c r="B1506">
        <f>IF(Calc!$B1506,INDEX(MineNames,Calc!C1506),"")</f>
        <v/>
      </c>
      <c r="C1506" s="17">
        <f>IF(Calc!$B1506,Calc!O1506,"")</f>
        <v/>
      </c>
    </row>
    <row r="1507">
      <c r="A1507" s="16">
        <f>IF(Calc!$B1507,Calc!E1507,"")</f>
        <v/>
      </c>
      <c r="B1507">
        <f>IF(Calc!$B1507,INDEX(MineNames,Calc!C1507),"")</f>
        <v/>
      </c>
      <c r="C1507" s="17">
        <f>IF(Calc!$B1507,Calc!O1507,"")</f>
        <v/>
      </c>
    </row>
    <row r="1508">
      <c r="A1508" s="16">
        <f>IF(Calc!$B1508,Calc!E1508,"")</f>
        <v/>
      </c>
      <c r="B1508">
        <f>IF(Calc!$B1508,INDEX(MineNames,Calc!C1508),"")</f>
        <v/>
      </c>
      <c r="C1508" s="17">
        <f>IF(Calc!$B1508,Calc!O1508,"")</f>
        <v/>
      </c>
    </row>
    <row r="1509">
      <c r="A1509" s="16">
        <f>IF(Calc!$B1509,Calc!E1509,"")</f>
        <v/>
      </c>
      <c r="B1509">
        <f>IF(Calc!$B1509,INDEX(MineNames,Calc!C1509),"")</f>
        <v/>
      </c>
      <c r="C1509" s="17">
        <f>IF(Calc!$B1509,Calc!O1509,"")</f>
        <v/>
      </c>
    </row>
    <row r="1510">
      <c r="A1510" s="16">
        <f>IF(Calc!$B1510,Calc!E1510,"")</f>
        <v/>
      </c>
      <c r="B1510">
        <f>IF(Calc!$B1510,INDEX(MineNames,Calc!C1510),"")</f>
        <v/>
      </c>
      <c r="C1510" s="17">
        <f>IF(Calc!$B1510,Calc!O1510,"")</f>
        <v/>
      </c>
    </row>
    <row r="1511">
      <c r="A1511" s="16">
        <f>IF(Calc!$B1511,Calc!E1511,"")</f>
        <v/>
      </c>
      <c r="B1511">
        <f>IF(Calc!$B1511,INDEX(MineNames,Calc!C1511),"")</f>
        <v/>
      </c>
      <c r="C1511" s="17">
        <f>IF(Calc!$B1511,Calc!O1511,"")</f>
        <v/>
      </c>
    </row>
    <row r="1512">
      <c r="A1512" s="16">
        <f>IF(Calc!$B1512,Calc!E1512,"")</f>
        <v/>
      </c>
      <c r="B1512">
        <f>IF(Calc!$B1512,INDEX(MineNames,Calc!C1512),"")</f>
        <v/>
      </c>
      <c r="C1512" s="17">
        <f>IF(Calc!$B1512,Calc!O1512,"")</f>
        <v/>
      </c>
    </row>
    <row r="1513">
      <c r="A1513" s="16">
        <f>IF(Calc!$B1513,Calc!E1513,"")</f>
        <v/>
      </c>
      <c r="B1513">
        <f>IF(Calc!$B1513,INDEX(MineNames,Calc!C1513),"")</f>
        <v/>
      </c>
      <c r="C1513" s="17">
        <f>IF(Calc!$B1513,Calc!O1513,"")</f>
        <v/>
      </c>
    </row>
    <row r="1514">
      <c r="A1514" s="16">
        <f>IF(Calc!$B1514,Calc!E1514,"")</f>
        <v/>
      </c>
      <c r="B1514">
        <f>IF(Calc!$B1514,INDEX(MineNames,Calc!C1514),"")</f>
        <v/>
      </c>
      <c r="C1514" s="17">
        <f>IF(Calc!$B1514,Calc!O1514,"")</f>
        <v/>
      </c>
    </row>
    <row r="1515">
      <c r="A1515" s="16">
        <f>IF(Calc!$B1515,Calc!E1515,"")</f>
        <v/>
      </c>
      <c r="B1515">
        <f>IF(Calc!$B1515,INDEX(MineNames,Calc!C1515),"")</f>
        <v/>
      </c>
      <c r="C1515" s="17">
        <f>IF(Calc!$B1515,Calc!O1515,"")</f>
        <v/>
      </c>
    </row>
    <row r="1516">
      <c r="A1516" s="16">
        <f>IF(Calc!$B1516,Calc!E1516,"")</f>
        <v/>
      </c>
      <c r="B1516">
        <f>IF(Calc!$B1516,INDEX(MineNames,Calc!C1516),"")</f>
        <v/>
      </c>
      <c r="C1516" s="17">
        <f>IF(Calc!$B1516,Calc!O1516,"")</f>
        <v/>
      </c>
    </row>
    <row r="1517">
      <c r="A1517" s="16">
        <f>IF(Calc!$B1517,Calc!E1517,"")</f>
        <v/>
      </c>
      <c r="B1517">
        <f>IF(Calc!$B1517,INDEX(MineNames,Calc!C1517),"")</f>
        <v/>
      </c>
      <c r="C1517" s="17">
        <f>IF(Calc!$B1517,Calc!O1517,"")</f>
        <v/>
      </c>
    </row>
    <row r="1518">
      <c r="A1518" s="16">
        <f>IF(Calc!$B1518,Calc!E1518,"")</f>
        <v/>
      </c>
      <c r="B1518">
        <f>IF(Calc!$B1518,INDEX(MineNames,Calc!C1518),"")</f>
        <v/>
      </c>
      <c r="C1518" s="17">
        <f>IF(Calc!$B1518,Calc!O1518,"")</f>
        <v/>
      </c>
    </row>
    <row r="1519">
      <c r="A1519" s="16">
        <f>IF(Calc!$B1519,Calc!E1519,"")</f>
        <v/>
      </c>
      <c r="B1519">
        <f>IF(Calc!$B1519,INDEX(MineNames,Calc!C1519),"")</f>
        <v/>
      </c>
      <c r="C1519" s="17">
        <f>IF(Calc!$B1519,Calc!O1519,"")</f>
        <v/>
      </c>
    </row>
    <row r="1520">
      <c r="A1520" s="16">
        <f>IF(Calc!$B1520,Calc!E1520,"")</f>
        <v/>
      </c>
      <c r="B1520">
        <f>IF(Calc!$B1520,INDEX(MineNames,Calc!C1520),"")</f>
        <v/>
      </c>
      <c r="C1520" s="17">
        <f>IF(Calc!$B1520,Calc!O1520,"")</f>
        <v/>
      </c>
    </row>
    <row r="1521">
      <c r="A1521" s="16">
        <f>IF(Calc!$B1521,Calc!E1521,"")</f>
        <v/>
      </c>
      <c r="B1521">
        <f>IF(Calc!$B1521,INDEX(MineNames,Calc!C1521),"")</f>
        <v/>
      </c>
      <c r="C1521" s="17">
        <f>IF(Calc!$B1521,Calc!O1521,"")</f>
        <v/>
      </c>
    </row>
    <row r="1522">
      <c r="A1522" s="16">
        <f>IF(Calc!$B1522,Calc!E1522,"")</f>
        <v/>
      </c>
      <c r="B1522">
        <f>IF(Calc!$B1522,INDEX(MineNames,Calc!C1522),"")</f>
        <v/>
      </c>
      <c r="C1522" s="17">
        <f>IF(Calc!$B1522,Calc!O1522,"")</f>
        <v/>
      </c>
    </row>
    <row r="1523">
      <c r="A1523" s="16">
        <f>IF(Calc!$B1523,Calc!E1523,"")</f>
        <v/>
      </c>
      <c r="B1523">
        <f>IF(Calc!$B1523,INDEX(MineNames,Calc!C1523),"")</f>
        <v/>
      </c>
      <c r="C1523" s="17">
        <f>IF(Calc!$B1523,Calc!O1523,"")</f>
        <v/>
      </c>
    </row>
    <row r="1524">
      <c r="A1524" s="16">
        <f>IF(Calc!$B1524,Calc!E1524,"")</f>
        <v/>
      </c>
      <c r="B1524">
        <f>IF(Calc!$B1524,INDEX(MineNames,Calc!C1524),"")</f>
        <v/>
      </c>
      <c r="C1524" s="17">
        <f>IF(Calc!$B1524,Calc!O1524,"")</f>
        <v/>
      </c>
    </row>
    <row r="1525">
      <c r="A1525" s="16">
        <f>IF(Calc!$B1525,Calc!E1525,"")</f>
        <v/>
      </c>
      <c r="B1525">
        <f>IF(Calc!$B1525,INDEX(MineNames,Calc!C1525),"")</f>
        <v/>
      </c>
      <c r="C1525" s="17">
        <f>IF(Calc!$B1525,Calc!O1525,"")</f>
        <v/>
      </c>
    </row>
    <row r="1526">
      <c r="A1526" s="16">
        <f>IF(Calc!$B1526,Calc!E1526,"")</f>
        <v/>
      </c>
      <c r="B1526">
        <f>IF(Calc!$B1526,INDEX(MineNames,Calc!C1526),"")</f>
        <v/>
      </c>
      <c r="C1526" s="17">
        <f>IF(Calc!$B1526,Calc!O1526,"")</f>
        <v/>
      </c>
    </row>
    <row r="1527">
      <c r="A1527" s="16">
        <f>IF(Calc!$B1527,Calc!E1527,"")</f>
        <v/>
      </c>
      <c r="B1527">
        <f>IF(Calc!$B1527,INDEX(MineNames,Calc!C1527),"")</f>
        <v/>
      </c>
      <c r="C1527" s="17">
        <f>IF(Calc!$B1527,Calc!O1527,"")</f>
        <v/>
      </c>
    </row>
    <row r="1528">
      <c r="A1528" s="16">
        <f>IF(Calc!$B1528,Calc!E1528,"")</f>
        <v/>
      </c>
      <c r="B1528">
        <f>IF(Calc!$B1528,INDEX(MineNames,Calc!C1528),"")</f>
        <v/>
      </c>
      <c r="C1528" s="17">
        <f>IF(Calc!$B1528,Calc!O1528,"")</f>
        <v/>
      </c>
    </row>
    <row r="1529">
      <c r="A1529" s="16">
        <f>IF(Calc!$B1529,Calc!E1529,"")</f>
        <v/>
      </c>
      <c r="B1529">
        <f>IF(Calc!$B1529,INDEX(MineNames,Calc!C1529),"")</f>
        <v/>
      </c>
      <c r="C1529" s="17">
        <f>IF(Calc!$B1529,Calc!O1529,"")</f>
        <v/>
      </c>
    </row>
    <row r="1530">
      <c r="A1530" s="16">
        <f>IF(Calc!$B1530,Calc!E1530,"")</f>
        <v/>
      </c>
      <c r="B1530">
        <f>IF(Calc!$B1530,INDEX(MineNames,Calc!C1530),"")</f>
        <v/>
      </c>
      <c r="C1530" s="17">
        <f>IF(Calc!$B1530,Calc!O1530,"")</f>
        <v/>
      </c>
    </row>
    <row r="1531">
      <c r="A1531" s="16">
        <f>IF(Calc!$B1531,Calc!E1531,"")</f>
        <v/>
      </c>
      <c r="B1531">
        <f>IF(Calc!$B1531,INDEX(MineNames,Calc!C1531),"")</f>
        <v/>
      </c>
      <c r="C1531" s="17">
        <f>IF(Calc!$B1531,Calc!O1531,"")</f>
        <v/>
      </c>
    </row>
    <row r="1532">
      <c r="A1532" s="16">
        <f>IF(Calc!$B1532,Calc!E1532,"")</f>
        <v/>
      </c>
      <c r="B1532">
        <f>IF(Calc!$B1532,INDEX(MineNames,Calc!C1532),"")</f>
        <v/>
      </c>
      <c r="C1532" s="17">
        <f>IF(Calc!$B1532,Calc!O1532,"")</f>
        <v/>
      </c>
    </row>
    <row r="1533">
      <c r="A1533" s="16">
        <f>IF(Calc!$B1533,Calc!E1533,"")</f>
        <v/>
      </c>
      <c r="B1533">
        <f>IF(Calc!$B1533,INDEX(MineNames,Calc!C1533),"")</f>
        <v/>
      </c>
      <c r="C1533" s="17">
        <f>IF(Calc!$B1533,Calc!O1533,"")</f>
        <v/>
      </c>
    </row>
    <row r="1534">
      <c r="A1534" s="16">
        <f>IF(Calc!$B1534,Calc!E1534,"")</f>
        <v/>
      </c>
      <c r="B1534">
        <f>IF(Calc!$B1534,INDEX(MineNames,Calc!C1534),"")</f>
        <v/>
      </c>
      <c r="C1534" s="17">
        <f>IF(Calc!$B1534,Calc!O1534,"")</f>
        <v/>
      </c>
    </row>
    <row r="1535">
      <c r="A1535" s="16">
        <f>IF(Calc!$B1535,Calc!E1535,"")</f>
        <v/>
      </c>
      <c r="B1535">
        <f>IF(Calc!$B1535,INDEX(MineNames,Calc!C1535),"")</f>
        <v/>
      </c>
      <c r="C1535" s="17">
        <f>IF(Calc!$B1535,Calc!O1535,"")</f>
        <v/>
      </c>
    </row>
    <row r="1536">
      <c r="A1536" s="16">
        <f>IF(Calc!$B1536,Calc!E1536,"")</f>
        <v/>
      </c>
      <c r="B1536">
        <f>IF(Calc!$B1536,INDEX(MineNames,Calc!C1536),"")</f>
        <v/>
      </c>
      <c r="C1536" s="17">
        <f>IF(Calc!$B1536,Calc!O1536,"")</f>
        <v/>
      </c>
    </row>
    <row r="1537">
      <c r="A1537" s="16">
        <f>IF(Calc!$B1537,Calc!E1537,"")</f>
        <v/>
      </c>
      <c r="B1537">
        <f>IF(Calc!$B1537,INDEX(MineNames,Calc!C1537),"")</f>
        <v/>
      </c>
      <c r="C1537" s="17">
        <f>IF(Calc!$B1537,Calc!O1537,"")</f>
        <v/>
      </c>
    </row>
    <row r="1538">
      <c r="A1538" s="16">
        <f>IF(Calc!$B1538,Calc!E1538,"")</f>
        <v/>
      </c>
      <c r="B1538">
        <f>IF(Calc!$B1538,INDEX(MineNames,Calc!C1538),"")</f>
        <v/>
      </c>
      <c r="C1538" s="17">
        <f>IF(Calc!$B1538,Calc!O1538,"")</f>
        <v/>
      </c>
    </row>
    <row r="1539">
      <c r="A1539" s="16">
        <f>IF(Calc!$B1539,Calc!E1539,"")</f>
        <v/>
      </c>
      <c r="B1539">
        <f>IF(Calc!$B1539,INDEX(MineNames,Calc!C1539),"")</f>
        <v/>
      </c>
      <c r="C1539" s="17">
        <f>IF(Calc!$B1539,Calc!O1539,"")</f>
        <v/>
      </c>
    </row>
    <row r="1540">
      <c r="A1540" s="16">
        <f>IF(Calc!$B1540,Calc!E1540,"")</f>
        <v/>
      </c>
      <c r="B1540">
        <f>IF(Calc!$B1540,INDEX(MineNames,Calc!C1540),"")</f>
        <v/>
      </c>
      <c r="C1540" s="17">
        <f>IF(Calc!$B1540,Calc!O1540,"")</f>
        <v/>
      </c>
    </row>
    <row r="1541">
      <c r="A1541" s="16">
        <f>IF(Calc!$B1541,Calc!E1541,"")</f>
        <v/>
      </c>
      <c r="B1541">
        <f>IF(Calc!$B1541,INDEX(MineNames,Calc!C1541),"")</f>
        <v/>
      </c>
      <c r="C1541" s="17">
        <f>IF(Calc!$B1541,Calc!O1541,"")</f>
        <v/>
      </c>
    </row>
    <row r="1542">
      <c r="A1542" s="16">
        <f>IF(Calc!$B1542,Calc!E1542,"")</f>
        <v/>
      </c>
      <c r="B1542">
        <f>IF(Calc!$B1542,INDEX(MineNames,Calc!C1542),"")</f>
        <v/>
      </c>
      <c r="C1542" s="17">
        <f>IF(Calc!$B1542,Calc!O1542,"")</f>
        <v/>
      </c>
    </row>
    <row r="1543">
      <c r="A1543" s="16">
        <f>IF(Calc!$B1543,Calc!E1543,"")</f>
        <v/>
      </c>
      <c r="B1543">
        <f>IF(Calc!$B1543,INDEX(MineNames,Calc!C1543),"")</f>
        <v/>
      </c>
      <c r="C1543" s="17">
        <f>IF(Calc!$B1543,Calc!O1543,"")</f>
        <v/>
      </c>
    </row>
    <row r="1544">
      <c r="A1544" s="16">
        <f>IF(Calc!$B1544,Calc!E1544,"")</f>
        <v/>
      </c>
      <c r="B1544">
        <f>IF(Calc!$B1544,INDEX(MineNames,Calc!C1544),"")</f>
        <v/>
      </c>
      <c r="C1544" s="17">
        <f>IF(Calc!$B1544,Calc!O1544,"")</f>
        <v/>
      </c>
    </row>
    <row r="1545">
      <c r="A1545" s="16">
        <f>IF(Calc!$B1545,Calc!E1545,"")</f>
        <v/>
      </c>
      <c r="B1545">
        <f>IF(Calc!$B1545,INDEX(MineNames,Calc!C1545),"")</f>
        <v/>
      </c>
      <c r="C1545" s="17">
        <f>IF(Calc!$B1545,Calc!O1545,"")</f>
        <v/>
      </c>
    </row>
    <row r="1546">
      <c r="A1546" s="16">
        <f>IF(Calc!$B1546,Calc!E1546,"")</f>
        <v/>
      </c>
      <c r="B1546">
        <f>IF(Calc!$B1546,INDEX(MineNames,Calc!C1546),"")</f>
        <v/>
      </c>
      <c r="C1546" s="17">
        <f>IF(Calc!$B1546,Calc!O1546,"")</f>
        <v/>
      </c>
    </row>
    <row r="1547">
      <c r="A1547" s="16">
        <f>IF(Calc!$B1547,Calc!E1547,"")</f>
        <v/>
      </c>
      <c r="B1547">
        <f>IF(Calc!$B1547,INDEX(MineNames,Calc!C1547),"")</f>
        <v/>
      </c>
      <c r="C1547" s="17">
        <f>IF(Calc!$B1547,Calc!O1547,"")</f>
        <v/>
      </c>
    </row>
    <row r="1548">
      <c r="A1548" s="16">
        <f>IF(Calc!$B1548,Calc!E1548,"")</f>
        <v/>
      </c>
      <c r="B1548">
        <f>IF(Calc!$B1548,INDEX(MineNames,Calc!C1548),"")</f>
        <v/>
      </c>
      <c r="C1548" s="17">
        <f>IF(Calc!$B1548,Calc!O1548,"")</f>
        <v/>
      </c>
    </row>
    <row r="1549">
      <c r="A1549" s="16">
        <f>IF(Calc!$B1549,Calc!E1549,"")</f>
        <v/>
      </c>
      <c r="B1549">
        <f>IF(Calc!$B1549,INDEX(MineNames,Calc!C1549),"")</f>
        <v/>
      </c>
      <c r="C1549" s="17">
        <f>IF(Calc!$B1549,Calc!O1549,"")</f>
        <v/>
      </c>
    </row>
    <row r="1550">
      <c r="A1550" s="16">
        <f>IF(Calc!$B1550,Calc!E1550,"")</f>
        <v/>
      </c>
      <c r="B1550">
        <f>IF(Calc!$B1550,INDEX(MineNames,Calc!C1550),"")</f>
        <v/>
      </c>
      <c r="C1550" s="17">
        <f>IF(Calc!$B1550,Calc!O1550,"")</f>
        <v/>
      </c>
    </row>
    <row r="1551">
      <c r="A1551" s="16">
        <f>IF(Calc!$B1551,Calc!E1551,"")</f>
        <v/>
      </c>
      <c r="B1551">
        <f>IF(Calc!$B1551,INDEX(MineNames,Calc!C1551),"")</f>
        <v/>
      </c>
      <c r="C1551" s="17">
        <f>IF(Calc!$B1551,Calc!O1551,"")</f>
        <v/>
      </c>
    </row>
    <row r="1552">
      <c r="A1552" s="16">
        <f>IF(Calc!$B1552,Calc!E1552,"")</f>
        <v/>
      </c>
      <c r="B1552">
        <f>IF(Calc!$B1552,INDEX(MineNames,Calc!C1552),"")</f>
        <v/>
      </c>
      <c r="C1552" s="17">
        <f>IF(Calc!$B1552,Calc!O1552,"")</f>
        <v/>
      </c>
    </row>
    <row r="1553">
      <c r="A1553" s="16">
        <f>IF(Calc!$B1553,Calc!E1553,"")</f>
        <v/>
      </c>
      <c r="B1553">
        <f>IF(Calc!$B1553,INDEX(MineNames,Calc!C1553),"")</f>
        <v/>
      </c>
      <c r="C1553" s="17">
        <f>IF(Calc!$B1553,Calc!O1553,"")</f>
        <v/>
      </c>
    </row>
    <row r="1554">
      <c r="A1554" s="16">
        <f>IF(Calc!$B1554,Calc!E1554,"")</f>
        <v/>
      </c>
      <c r="B1554">
        <f>IF(Calc!$B1554,INDEX(MineNames,Calc!C1554),"")</f>
        <v/>
      </c>
      <c r="C1554" s="17">
        <f>IF(Calc!$B1554,Calc!O1554,"")</f>
        <v/>
      </c>
    </row>
    <row r="1555">
      <c r="A1555" s="16">
        <f>IF(Calc!$B1555,Calc!E1555,"")</f>
        <v/>
      </c>
      <c r="B1555">
        <f>IF(Calc!$B1555,INDEX(MineNames,Calc!C1555),"")</f>
        <v/>
      </c>
      <c r="C1555" s="17">
        <f>IF(Calc!$B1555,Calc!O1555,"")</f>
        <v/>
      </c>
    </row>
    <row r="1556">
      <c r="A1556" s="16">
        <f>IF(Calc!$B1556,Calc!E1556,"")</f>
        <v/>
      </c>
      <c r="B1556">
        <f>IF(Calc!$B1556,INDEX(MineNames,Calc!C1556),"")</f>
        <v/>
      </c>
      <c r="C1556" s="17">
        <f>IF(Calc!$B1556,Calc!O1556,"")</f>
        <v/>
      </c>
    </row>
    <row r="1557">
      <c r="A1557" s="16">
        <f>IF(Calc!$B1557,Calc!E1557,"")</f>
        <v/>
      </c>
      <c r="B1557">
        <f>IF(Calc!$B1557,INDEX(MineNames,Calc!C1557),"")</f>
        <v/>
      </c>
      <c r="C1557" s="17">
        <f>IF(Calc!$B1557,Calc!O1557,"")</f>
        <v/>
      </c>
    </row>
    <row r="1558">
      <c r="A1558" s="16">
        <f>IF(Calc!$B1558,Calc!E1558,"")</f>
        <v/>
      </c>
      <c r="B1558">
        <f>IF(Calc!$B1558,INDEX(MineNames,Calc!C1558),"")</f>
        <v/>
      </c>
      <c r="C1558" s="17">
        <f>IF(Calc!$B1558,Calc!O1558,"")</f>
        <v/>
      </c>
    </row>
    <row r="1559">
      <c r="A1559" s="16">
        <f>IF(Calc!$B1559,Calc!E1559,"")</f>
        <v/>
      </c>
      <c r="B1559">
        <f>IF(Calc!$B1559,INDEX(MineNames,Calc!C1559),"")</f>
        <v/>
      </c>
      <c r="C1559" s="17">
        <f>IF(Calc!$B1559,Calc!O1559,"")</f>
        <v/>
      </c>
    </row>
    <row r="1560">
      <c r="A1560" s="16">
        <f>IF(Calc!$B1560,Calc!E1560,"")</f>
        <v/>
      </c>
      <c r="B1560">
        <f>IF(Calc!$B1560,INDEX(MineNames,Calc!C1560),"")</f>
        <v/>
      </c>
      <c r="C1560" s="17">
        <f>IF(Calc!$B1560,Calc!O1560,"")</f>
        <v/>
      </c>
    </row>
    <row r="1561">
      <c r="A1561" s="16">
        <f>IF(Calc!$B1561,Calc!E1561,"")</f>
        <v/>
      </c>
      <c r="B1561">
        <f>IF(Calc!$B1561,INDEX(MineNames,Calc!C1561),"")</f>
        <v/>
      </c>
      <c r="C1561" s="17">
        <f>IF(Calc!$B1561,Calc!O1561,"")</f>
        <v/>
      </c>
    </row>
    <row r="1562">
      <c r="A1562" s="16">
        <f>IF(Calc!$B1562,Calc!E1562,"")</f>
        <v/>
      </c>
      <c r="B1562">
        <f>IF(Calc!$B1562,INDEX(MineNames,Calc!C1562),"")</f>
        <v/>
      </c>
      <c r="C1562" s="17">
        <f>IF(Calc!$B1562,Calc!O1562,"")</f>
        <v/>
      </c>
    </row>
    <row r="1563">
      <c r="A1563" s="16">
        <f>IF(Calc!$B1563,Calc!E1563,"")</f>
        <v/>
      </c>
      <c r="B1563">
        <f>IF(Calc!$B1563,INDEX(MineNames,Calc!C1563),"")</f>
        <v/>
      </c>
      <c r="C1563" s="17">
        <f>IF(Calc!$B1563,Calc!O1563,"")</f>
        <v/>
      </c>
    </row>
    <row r="1564">
      <c r="A1564" s="16">
        <f>IF(Calc!$B1564,Calc!E1564,"")</f>
        <v/>
      </c>
      <c r="B1564">
        <f>IF(Calc!$B1564,INDEX(MineNames,Calc!C1564),"")</f>
        <v/>
      </c>
      <c r="C1564" s="17">
        <f>IF(Calc!$B1564,Calc!O1564,"")</f>
        <v/>
      </c>
    </row>
    <row r="1565">
      <c r="A1565" s="16">
        <f>IF(Calc!$B1565,Calc!E1565,"")</f>
        <v/>
      </c>
      <c r="B1565">
        <f>IF(Calc!$B1565,INDEX(MineNames,Calc!C1565),"")</f>
        <v/>
      </c>
      <c r="C1565" s="17">
        <f>IF(Calc!$B1565,Calc!O1565,"")</f>
        <v/>
      </c>
    </row>
    <row r="1566">
      <c r="A1566" s="16">
        <f>IF(Calc!$B1566,Calc!E1566,"")</f>
        <v/>
      </c>
      <c r="B1566">
        <f>IF(Calc!$B1566,INDEX(MineNames,Calc!C1566),"")</f>
        <v/>
      </c>
      <c r="C1566" s="17">
        <f>IF(Calc!$B1566,Calc!O1566,"")</f>
        <v/>
      </c>
    </row>
    <row r="1567">
      <c r="A1567" s="16">
        <f>IF(Calc!$B1567,Calc!E1567,"")</f>
        <v/>
      </c>
      <c r="B1567">
        <f>IF(Calc!$B1567,INDEX(MineNames,Calc!C1567),"")</f>
        <v/>
      </c>
      <c r="C1567" s="17">
        <f>IF(Calc!$B1567,Calc!O1567,"")</f>
        <v/>
      </c>
    </row>
    <row r="1568">
      <c r="A1568" s="16">
        <f>IF(Calc!$B1568,Calc!E1568,"")</f>
        <v/>
      </c>
      <c r="B1568">
        <f>IF(Calc!$B1568,INDEX(MineNames,Calc!C1568),"")</f>
        <v/>
      </c>
      <c r="C1568" s="17">
        <f>IF(Calc!$B1568,Calc!O1568,"")</f>
        <v/>
      </c>
    </row>
    <row r="1569">
      <c r="A1569" s="16">
        <f>IF(Calc!$B1569,Calc!E1569,"")</f>
        <v/>
      </c>
      <c r="B1569">
        <f>IF(Calc!$B1569,INDEX(MineNames,Calc!C1569),"")</f>
        <v/>
      </c>
      <c r="C1569" s="17">
        <f>IF(Calc!$B1569,Calc!O1569,"")</f>
        <v/>
      </c>
    </row>
    <row r="1570">
      <c r="A1570" s="16">
        <f>IF(Calc!$B1570,Calc!E1570,"")</f>
        <v/>
      </c>
      <c r="B1570">
        <f>IF(Calc!$B1570,INDEX(MineNames,Calc!C1570),"")</f>
        <v/>
      </c>
      <c r="C1570" s="17">
        <f>IF(Calc!$B1570,Calc!O1570,"")</f>
        <v/>
      </c>
    </row>
    <row r="1571">
      <c r="A1571" s="16">
        <f>IF(Calc!$B1571,Calc!E1571,"")</f>
        <v/>
      </c>
      <c r="B1571">
        <f>IF(Calc!$B1571,INDEX(MineNames,Calc!C1571),"")</f>
        <v/>
      </c>
      <c r="C1571" s="17">
        <f>IF(Calc!$B1571,Calc!O1571,"")</f>
        <v/>
      </c>
    </row>
    <row r="1572">
      <c r="A1572" s="16">
        <f>IF(Calc!$B1572,Calc!E1572,"")</f>
        <v/>
      </c>
      <c r="B1572">
        <f>IF(Calc!$B1572,INDEX(MineNames,Calc!C1572),"")</f>
        <v/>
      </c>
      <c r="C1572" s="17">
        <f>IF(Calc!$B1572,Calc!O1572,"")</f>
        <v/>
      </c>
    </row>
    <row r="1573">
      <c r="A1573" s="16">
        <f>IF(Calc!$B1573,Calc!E1573,"")</f>
        <v/>
      </c>
      <c r="B1573">
        <f>IF(Calc!$B1573,INDEX(MineNames,Calc!C1573),"")</f>
        <v/>
      </c>
      <c r="C1573" s="17">
        <f>IF(Calc!$B1573,Calc!O1573,"")</f>
        <v/>
      </c>
    </row>
    <row r="1574">
      <c r="A1574" s="16">
        <f>IF(Calc!$B1574,Calc!E1574,"")</f>
        <v/>
      </c>
      <c r="B1574">
        <f>IF(Calc!$B1574,INDEX(MineNames,Calc!C1574),"")</f>
        <v/>
      </c>
      <c r="C1574" s="17">
        <f>IF(Calc!$B1574,Calc!O1574,"")</f>
        <v/>
      </c>
    </row>
    <row r="1575">
      <c r="A1575" s="16">
        <f>IF(Calc!$B1575,Calc!E1575,"")</f>
        <v/>
      </c>
      <c r="B1575">
        <f>IF(Calc!$B1575,INDEX(MineNames,Calc!C1575),"")</f>
        <v/>
      </c>
      <c r="C1575" s="17">
        <f>IF(Calc!$B1575,Calc!O1575,"")</f>
        <v/>
      </c>
    </row>
    <row r="1576">
      <c r="A1576" s="16">
        <f>IF(Calc!$B1576,Calc!E1576,"")</f>
        <v/>
      </c>
      <c r="B1576">
        <f>IF(Calc!$B1576,INDEX(MineNames,Calc!C1576),"")</f>
        <v/>
      </c>
      <c r="C1576" s="17">
        <f>IF(Calc!$B1576,Calc!O1576,"")</f>
        <v/>
      </c>
    </row>
    <row r="1577">
      <c r="A1577" s="16">
        <f>IF(Calc!$B1577,Calc!E1577,"")</f>
        <v/>
      </c>
      <c r="B1577">
        <f>IF(Calc!$B1577,INDEX(MineNames,Calc!C1577),"")</f>
        <v/>
      </c>
      <c r="C1577" s="17">
        <f>IF(Calc!$B1577,Calc!O1577,"")</f>
        <v/>
      </c>
    </row>
    <row r="1578">
      <c r="A1578" s="16">
        <f>IF(Calc!$B1578,Calc!E1578,"")</f>
        <v/>
      </c>
      <c r="B1578">
        <f>IF(Calc!$B1578,INDEX(MineNames,Calc!C1578),"")</f>
        <v/>
      </c>
      <c r="C1578" s="17">
        <f>IF(Calc!$B1578,Calc!O1578,"")</f>
        <v/>
      </c>
    </row>
    <row r="1579">
      <c r="A1579" s="16">
        <f>IF(Calc!$B1579,Calc!E1579,"")</f>
        <v/>
      </c>
      <c r="B1579">
        <f>IF(Calc!$B1579,INDEX(MineNames,Calc!C1579),"")</f>
        <v/>
      </c>
      <c r="C1579" s="17">
        <f>IF(Calc!$B1579,Calc!O1579,"")</f>
        <v/>
      </c>
    </row>
    <row r="1580">
      <c r="A1580" s="16">
        <f>IF(Calc!$B1580,Calc!E1580,"")</f>
        <v/>
      </c>
      <c r="B1580">
        <f>IF(Calc!$B1580,INDEX(MineNames,Calc!C1580),"")</f>
        <v/>
      </c>
      <c r="C1580" s="17">
        <f>IF(Calc!$B1580,Calc!O1580,"")</f>
        <v/>
      </c>
    </row>
    <row r="1581">
      <c r="A1581" s="16">
        <f>IF(Calc!$B1581,Calc!E1581,"")</f>
        <v/>
      </c>
      <c r="B1581">
        <f>IF(Calc!$B1581,INDEX(MineNames,Calc!C1581),"")</f>
        <v/>
      </c>
      <c r="C1581" s="17">
        <f>IF(Calc!$B1581,Calc!O1581,"")</f>
        <v/>
      </c>
    </row>
    <row r="1582">
      <c r="A1582" s="16">
        <f>IF(Calc!$B1582,Calc!E1582,"")</f>
        <v/>
      </c>
      <c r="B1582">
        <f>IF(Calc!$B1582,INDEX(MineNames,Calc!C1582),"")</f>
        <v/>
      </c>
      <c r="C1582" s="17">
        <f>IF(Calc!$B1582,Calc!O1582,"")</f>
        <v/>
      </c>
    </row>
    <row r="1583">
      <c r="A1583" s="16">
        <f>IF(Calc!$B1583,Calc!E1583,"")</f>
        <v/>
      </c>
      <c r="B1583">
        <f>IF(Calc!$B1583,INDEX(MineNames,Calc!C1583),"")</f>
        <v/>
      </c>
      <c r="C1583" s="17">
        <f>IF(Calc!$B1583,Calc!O1583,"")</f>
        <v/>
      </c>
    </row>
    <row r="1584">
      <c r="A1584" s="16">
        <f>IF(Calc!$B1584,Calc!E1584,"")</f>
        <v/>
      </c>
      <c r="B1584">
        <f>IF(Calc!$B1584,INDEX(MineNames,Calc!C1584),"")</f>
        <v/>
      </c>
      <c r="C1584" s="17">
        <f>IF(Calc!$B1584,Calc!O1584,"")</f>
        <v/>
      </c>
    </row>
    <row r="1585">
      <c r="A1585" s="16">
        <f>IF(Calc!$B1585,Calc!E1585,"")</f>
        <v/>
      </c>
      <c r="B1585">
        <f>IF(Calc!$B1585,INDEX(MineNames,Calc!C1585),"")</f>
        <v/>
      </c>
      <c r="C1585" s="17">
        <f>IF(Calc!$B1585,Calc!O1585,"")</f>
        <v/>
      </c>
    </row>
    <row r="1586">
      <c r="A1586" s="16">
        <f>IF(Calc!$B1586,Calc!E1586,"")</f>
        <v/>
      </c>
      <c r="B1586">
        <f>IF(Calc!$B1586,INDEX(MineNames,Calc!C1586),"")</f>
        <v/>
      </c>
      <c r="C1586" s="17">
        <f>IF(Calc!$B1586,Calc!O1586,"")</f>
        <v/>
      </c>
    </row>
    <row r="1587">
      <c r="A1587" s="16">
        <f>IF(Calc!$B1587,Calc!E1587,"")</f>
        <v/>
      </c>
      <c r="B1587">
        <f>IF(Calc!$B1587,INDEX(MineNames,Calc!C1587),"")</f>
        <v/>
      </c>
      <c r="C1587" s="17">
        <f>IF(Calc!$B1587,Calc!O1587,"")</f>
        <v/>
      </c>
    </row>
    <row r="1588">
      <c r="A1588" s="16">
        <f>IF(Calc!$B1588,Calc!E1588,"")</f>
        <v/>
      </c>
      <c r="B1588">
        <f>IF(Calc!$B1588,INDEX(MineNames,Calc!C1588),"")</f>
        <v/>
      </c>
      <c r="C1588" s="17">
        <f>IF(Calc!$B1588,Calc!O1588,"")</f>
        <v/>
      </c>
    </row>
    <row r="1589">
      <c r="A1589" s="16">
        <f>IF(Calc!$B1589,Calc!E1589,"")</f>
        <v/>
      </c>
      <c r="B1589">
        <f>IF(Calc!$B1589,INDEX(MineNames,Calc!C1589),"")</f>
        <v/>
      </c>
      <c r="C1589" s="17">
        <f>IF(Calc!$B1589,Calc!O1589,"")</f>
        <v/>
      </c>
    </row>
    <row r="1590">
      <c r="A1590" s="16">
        <f>IF(Calc!$B1590,Calc!E1590,"")</f>
        <v/>
      </c>
      <c r="B1590">
        <f>IF(Calc!$B1590,INDEX(MineNames,Calc!C1590),"")</f>
        <v/>
      </c>
      <c r="C1590" s="17">
        <f>IF(Calc!$B1590,Calc!O1590,"")</f>
        <v/>
      </c>
    </row>
    <row r="1591">
      <c r="A1591" s="16">
        <f>IF(Calc!$B1591,Calc!E1591,"")</f>
        <v/>
      </c>
      <c r="B1591">
        <f>IF(Calc!$B1591,INDEX(MineNames,Calc!C1591),"")</f>
        <v/>
      </c>
      <c r="C1591" s="17">
        <f>IF(Calc!$B1591,Calc!O1591,"")</f>
        <v/>
      </c>
    </row>
    <row r="1592">
      <c r="A1592" s="16">
        <f>IF(Calc!$B1592,Calc!E1592,"")</f>
        <v/>
      </c>
      <c r="B1592">
        <f>IF(Calc!$B1592,INDEX(MineNames,Calc!C1592),"")</f>
        <v/>
      </c>
      <c r="C1592" s="17">
        <f>IF(Calc!$B1592,Calc!O1592,"")</f>
        <v/>
      </c>
    </row>
    <row r="1593">
      <c r="A1593" s="16">
        <f>IF(Calc!$B1593,Calc!E1593,"")</f>
        <v/>
      </c>
      <c r="B1593">
        <f>IF(Calc!$B1593,INDEX(MineNames,Calc!C1593),"")</f>
        <v/>
      </c>
      <c r="C1593" s="17">
        <f>IF(Calc!$B1593,Calc!O1593,"")</f>
        <v/>
      </c>
    </row>
    <row r="1594">
      <c r="A1594" s="16">
        <f>IF(Calc!$B1594,Calc!E1594,"")</f>
        <v/>
      </c>
      <c r="B1594">
        <f>IF(Calc!$B1594,INDEX(MineNames,Calc!C1594),"")</f>
        <v/>
      </c>
      <c r="C1594" s="17">
        <f>IF(Calc!$B1594,Calc!O1594,"")</f>
        <v/>
      </c>
    </row>
    <row r="1595">
      <c r="A1595" s="16">
        <f>IF(Calc!$B1595,Calc!E1595,"")</f>
        <v/>
      </c>
      <c r="B1595">
        <f>IF(Calc!$B1595,INDEX(MineNames,Calc!C1595),"")</f>
        <v/>
      </c>
      <c r="C1595" s="17">
        <f>IF(Calc!$B1595,Calc!O1595,"")</f>
        <v/>
      </c>
    </row>
    <row r="1596">
      <c r="A1596" s="16">
        <f>IF(Calc!$B1596,Calc!E1596,"")</f>
        <v/>
      </c>
      <c r="B1596">
        <f>IF(Calc!$B1596,INDEX(MineNames,Calc!C1596),"")</f>
        <v/>
      </c>
      <c r="C1596" s="17">
        <f>IF(Calc!$B1596,Calc!O1596,"")</f>
        <v/>
      </c>
    </row>
    <row r="1597">
      <c r="A1597" s="16">
        <f>IF(Calc!$B1597,Calc!E1597,"")</f>
        <v/>
      </c>
      <c r="B1597">
        <f>IF(Calc!$B1597,INDEX(MineNames,Calc!C1597),"")</f>
        <v/>
      </c>
      <c r="C1597" s="17">
        <f>IF(Calc!$B1597,Calc!O1597,"")</f>
        <v/>
      </c>
    </row>
    <row r="1598">
      <c r="A1598" s="16">
        <f>IF(Calc!$B1598,Calc!E1598,"")</f>
        <v/>
      </c>
      <c r="B1598">
        <f>IF(Calc!$B1598,INDEX(MineNames,Calc!C1598),"")</f>
        <v/>
      </c>
      <c r="C1598" s="17">
        <f>IF(Calc!$B1598,Calc!O1598,"")</f>
        <v/>
      </c>
    </row>
    <row r="1599">
      <c r="A1599" s="16">
        <f>IF(Calc!$B1599,Calc!E1599,"")</f>
        <v/>
      </c>
      <c r="B1599">
        <f>IF(Calc!$B1599,INDEX(MineNames,Calc!C1599),"")</f>
        <v/>
      </c>
      <c r="C1599" s="17">
        <f>IF(Calc!$B1599,Calc!O1599,"")</f>
        <v/>
      </c>
    </row>
    <row r="1600">
      <c r="A1600" s="16">
        <f>IF(Calc!$B1600,Calc!E1600,"")</f>
        <v/>
      </c>
      <c r="B1600">
        <f>IF(Calc!$B1600,INDEX(MineNames,Calc!C1600),"")</f>
        <v/>
      </c>
      <c r="C1600" s="17">
        <f>IF(Calc!$B1600,Calc!O1600,"")</f>
        <v/>
      </c>
    </row>
    <row r="1601">
      <c r="A1601" s="16">
        <f>IF(Calc!$B1601,Calc!E1601,"")</f>
        <v/>
      </c>
      <c r="B1601">
        <f>IF(Calc!$B1601,INDEX(MineNames,Calc!C1601),"")</f>
        <v/>
      </c>
      <c r="C1601" s="17">
        <f>IF(Calc!$B1601,Calc!O1601,"")</f>
        <v/>
      </c>
    </row>
    <row r="1602">
      <c r="A1602" s="16">
        <f>IF(Calc!$B1602,Calc!E1602,"")</f>
        <v/>
      </c>
      <c r="B1602">
        <f>IF(Calc!$B1602,INDEX(MineNames,Calc!C1602),"")</f>
        <v/>
      </c>
      <c r="C1602" s="17">
        <f>IF(Calc!$B1602,Calc!O1602,"")</f>
        <v/>
      </c>
    </row>
    <row r="1603">
      <c r="A1603" s="16">
        <f>IF(Calc!$B1603,Calc!E1603,"")</f>
        <v/>
      </c>
      <c r="B1603">
        <f>IF(Calc!$B1603,INDEX(MineNames,Calc!C1603),"")</f>
        <v/>
      </c>
      <c r="C1603" s="17">
        <f>IF(Calc!$B1603,Calc!O1603,"")</f>
        <v/>
      </c>
    </row>
    <row r="1604">
      <c r="A1604" s="16">
        <f>IF(Calc!$B1604,Calc!E1604,"")</f>
        <v/>
      </c>
      <c r="B1604">
        <f>IF(Calc!$B1604,INDEX(MineNames,Calc!C1604),"")</f>
        <v/>
      </c>
      <c r="C1604" s="17">
        <f>IF(Calc!$B1604,Calc!O1604,"")</f>
        <v/>
      </c>
    </row>
    <row r="1605">
      <c r="A1605" s="16">
        <f>IF(Calc!$B1605,Calc!E1605,"")</f>
        <v/>
      </c>
      <c r="B1605">
        <f>IF(Calc!$B1605,INDEX(MineNames,Calc!C1605),"")</f>
        <v/>
      </c>
      <c r="C1605" s="17">
        <f>IF(Calc!$B1605,Calc!O1605,"")</f>
        <v/>
      </c>
    </row>
    <row r="1606">
      <c r="A1606" s="16">
        <f>IF(Calc!$B1606,Calc!E1606,"")</f>
        <v/>
      </c>
      <c r="B1606">
        <f>IF(Calc!$B1606,INDEX(MineNames,Calc!C1606),"")</f>
        <v/>
      </c>
      <c r="C1606" s="17">
        <f>IF(Calc!$B1606,Calc!O1606,"")</f>
        <v/>
      </c>
    </row>
    <row r="1607">
      <c r="A1607" s="16">
        <f>IF(Calc!$B1607,Calc!E1607,"")</f>
        <v/>
      </c>
      <c r="B1607">
        <f>IF(Calc!$B1607,INDEX(MineNames,Calc!C1607),"")</f>
        <v/>
      </c>
      <c r="C1607" s="17">
        <f>IF(Calc!$B1607,Calc!O1607,"")</f>
        <v/>
      </c>
    </row>
    <row r="1608">
      <c r="A1608" s="16">
        <f>IF(Calc!$B1608,Calc!E1608,"")</f>
        <v/>
      </c>
      <c r="B1608">
        <f>IF(Calc!$B1608,INDEX(MineNames,Calc!C1608),"")</f>
        <v/>
      </c>
      <c r="C1608" s="17">
        <f>IF(Calc!$B1608,Calc!O1608,"")</f>
        <v/>
      </c>
    </row>
    <row r="1609">
      <c r="A1609" s="16">
        <f>IF(Calc!$B1609,Calc!E1609,"")</f>
        <v/>
      </c>
      <c r="B1609">
        <f>IF(Calc!$B1609,INDEX(MineNames,Calc!C1609),"")</f>
        <v/>
      </c>
      <c r="C1609" s="17">
        <f>IF(Calc!$B1609,Calc!O1609,"")</f>
        <v/>
      </c>
    </row>
    <row r="1610">
      <c r="A1610" s="16">
        <f>IF(Calc!$B1610,Calc!E1610,"")</f>
        <v/>
      </c>
      <c r="B1610">
        <f>IF(Calc!$B1610,INDEX(MineNames,Calc!C1610),"")</f>
        <v/>
      </c>
      <c r="C1610" s="17">
        <f>IF(Calc!$B1610,Calc!O1610,"")</f>
        <v/>
      </c>
    </row>
    <row r="1611">
      <c r="A1611" s="16">
        <f>IF(Calc!$B1611,Calc!E1611,"")</f>
        <v/>
      </c>
      <c r="B1611">
        <f>IF(Calc!$B1611,INDEX(MineNames,Calc!C1611),"")</f>
        <v/>
      </c>
      <c r="C1611" s="17">
        <f>IF(Calc!$B1611,Calc!O1611,"")</f>
        <v/>
      </c>
    </row>
    <row r="1612">
      <c r="A1612" s="16">
        <f>IF(Calc!$B1612,Calc!E1612,"")</f>
        <v/>
      </c>
      <c r="B1612">
        <f>IF(Calc!$B1612,INDEX(MineNames,Calc!C1612),"")</f>
        <v/>
      </c>
      <c r="C1612" s="17">
        <f>IF(Calc!$B1612,Calc!O1612,"")</f>
        <v/>
      </c>
    </row>
    <row r="1613">
      <c r="A1613" s="16">
        <f>IF(Calc!$B1613,Calc!E1613,"")</f>
        <v/>
      </c>
      <c r="B1613">
        <f>IF(Calc!$B1613,INDEX(MineNames,Calc!C1613),"")</f>
        <v/>
      </c>
      <c r="C1613" s="17">
        <f>IF(Calc!$B1613,Calc!O1613,"")</f>
        <v/>
      </c>
    </row>
    <row r="1614">
      <c r="A1614" s="16">
        <f>IF(Calc!$B1614,Calc!E1614,"")</f>
        <v/>
      </c>
      <c r="B1614">
        <f>IF(Calc!$B1614,INDEX(MineNames,Calc!C1614),"")</f>
        <v/>
      </c>
      <c r="C1614" s="17">
        <f>IF(Calc!$B1614,Calc!O1614,"")</f>
        <v/>
      </c>
    </row>
    <row r="1615">
      <c r="A1615" s="16">
        <f>IF(Calc!$B1615,Calc!E1615,"")</f>
        <v/>
      </c>
      <c r="B1615">
        <f>IF(Calc!$B1615,INDEX(MineNames,Calc!C1615),"")</f>
        <v/>
      </c>
      <c r="C1615" s="17">
        <f>IF(Calc!$B1615,Calc!O1615,"")</f>
        <v/>
      </c>
    </row>
    <row r="1616">
      <c r="A1616" s="16">
        <f>IF(Calc!$B1616,Calc!E1616,"")</f>
        <v/>
      </c>
      <c r="B1616">
        <f>IF(Calc!$B1616,INDEX(MineNames,Calc!C1616),"")</f>
        <v/>
      </c>
      <c r="C1616" s="17">
        <f>IF(Calc!$B1616,Calc!O1616,"")</f>
        <v/>
      </c>
    </row>
    <row r="1617">
      <c r="A1617" s="16">
        <f>IF(Calc!$B1617,Calc!E1617,"")</f>
        <v/>
      </c>
      <c r="B1617">
        <f>IF(Calc!$B1617,INDEX(MineNames,Calc!C1617),"")</f>
        <v/>
      </c>
      <c r="C1617" s="17">
        <f>IF(Calc!$B1617,Calc!O1617,"")</f>
        <v/>
      </c>
    </row>
    <row r="1618">
      <c r="A1618" s="16">
        <f>IF(Calc!$B1618,Calc!E1618,"")</f>
        <v/>
      </c>
      <c r="B1618">
        <f>IF(Calc!$B1618,INDEX(MineNames,Calc!C1618),"")</f>
        <v/>
      </c>
      <c r="C1618" s="17">
        <f>IF(Calc!$B1618,Calc!O1618,"")</f>
        <v/>
      </c>
    </row>
    <row r="1619">
      <c r="A1619" s="16">
        <f>IF(Calc!$B1619,Calc!E1619,"")</f>
        <v/>
      </c>
      <c r="B1619">
        <f>IF(Calc!$B1619,INDEX(MineNames,Calc!C1619),"")</f>
        <v/>
      </c>
      <c r="C1619" s="17">
        <f>IF(Calc!$B1619,Calc!O1619,"")</f>
        <v/>
      </c>
    </row>
    <row r="1620">
      <c r="A1620" s="16">
        <f>IF(Calc!$B1620,Calc!E1620,"")</f>
        <v/>
      </c>
      <c r="B1620">
        <f>IF(Calc!$B1620,INDEX(MineNames,Calc!C1620),"")</f>
        <v/>
      </c>
      <c r="C1620" s="17">
        <f>IF(Calc!$B1620,Calc!O1620,"")</f>
        <v/>
      </c>
    </row>
    <row r="1621">
      <c r="A1621" s="16">
        <f>IF(Calc!$B1621,Calc!E1621,"")</f>
        <v/>
      </c>
      <c r="B1621">
        <f>IF(Calc!$B1621,INDEX(MineNames,Calc!C1621),"")</f>
        <v/>
      </c>
      <c r="C1621" s="17">
        <f>IF(Calc!$B1621,Calc!O1621,"")</f>
        <v/>
      </c>
    </row>
    <row r="1622">
      <c r="A1622" s="16">
        <f>IF(Calc!$B1622,Calc!E1622,"")</f>
        <v/>
      </c>
      <c r="B1622">
        <f>IF(Calc!$B1622,INDEX(MineNames,Calc!C1622),"")</f>
        <v/>
      </c>
      <c r="C1622" s="17">
        <f>IF(Calc!$B1622,Calc!O1622,"")</f>
        <v/>
      </c>
    </row>
    <row r="1623">
      <c r="A1623" s="16">
        <f>IF(Calc!$B1623,Calc!E1623,"")</f>
        <v/>
      </c>
      <c r="B1623">
        <f>IF(Calc!$B1623,INDEX(MineNames,Calc!C1623),"")</f>
        <v/>
      </c>
      <c r="C1623" s="17">
        <f>IF(Calc!$B1623,Calc!O1623,"")</f>
        <v/>
      </c>
    </row>
    <row r="1624">
      <c r="A1624" s="16">
        <f>IF(Calc!$B1624,Calc!E1624,"")</f>
        <v/>
      </c>
      <c r="B1624">
        <f>IF(Calc!$B1624,INDEX(MineNames,Calc!C1624),"")</f>
        <v/>
      </c>
      <c r="C1624" s="17">
        <f>IF(Calc!$B1624,Calc!O1624,"")</f>
        <v/>
      </c>
    </row>
    <row r="1625">
      <c r="A1625" s="16">
        <f>IF(Calc!$B1625,Calc!E1625,"")</f>
        <v/>
      </c>
      <c r="B1625">
        <f>IF(Calc!$B1625,INDEX(MineNames,Calc!C1625),"")</f>
        <v/>
      </c>
      <c r="C1625" s="17">
        <f>IF(Calc!$B1625,Calc!O1625,"")</f>
        <v/>
      </c>
    </row>
    <row r="1626">
      <c r="A1626" s="16">
        <f>IF(Calc!$B1626,Calc!E1626,"")</f>
        <v/>
      </c>
      <c r="B1626">
        <f>IF(Calc!$B1626,INDEX(MineNames,Calc!C1626),"")</f>
        <v/>
      </c>
      <c r="C1626" s="17">
        <f>IF(Calc!$B1626,Calc!O1626,"")</f>
        <v/>
      </c>
    </row>
    <row r="1627">
      <c r="A1627" s="16">
        <f>IF(Calc!$B1627,Calc!E1627,"")</f>
        <v/>
      </c>
      <c r="B1627">
        <f>IF(Calc!$B1627,INDEX(MineNames,Calc!C1627),"")</f>
        <v/>
      </c>
      <c r="C1627" s="17">
        <f>IF(Calc!$B1627,Calc!O1627,"")</f>
        <v/>
      </c>
    </row>
    <row r="1628">
      <c r="A1628" s="16">
        <f>IF(Calc!$B1628,Calc!E1628,"")</f>
        <v/>
      </c>
      <c r="B1628">
        <f>IF(Calc!$B1628,INDEX(MineNames,Calc!C1628),"")</f>
        <v/>
      </c>
      <c r="C1628" s="17">
        <f>IF(Calc!$B1628,Calc!O1628,"")</f>
        <v/>
      </c>
    </row>
    <row r="1629">
      <c r="A1629" s="16">
        <f>IF(Calc!$B1629,Calc!E1629,"")</f>
        <v/>
      </c>
      <c r="B1629">
        <f>IF(Calc!$B1629,INDEX(MineNames,Calc!C1629),"")</f>
        <v/>
      </c>
      <c r="C1629" s="17">
        <f>IF(Calc!$B1629,Calc!O1629,"")</f>
        <v/>
      </c>
    </row>
    <row r="1630">
      <c r="A1630" s="16">
        <f>IF(Calc!$B1630,Calc!E1630,"")</f>
        <v/>
      </c>
      <c r="B1630">
        <f>IF(Calc!$B1630,INDEX(MineNames,Calc!C1630),"")</f>
        <v/>
      </c>
      <c r="C1630" s="17">
        <f>IF(Calc!$B1630,Calc!O1630,"")</f>
        <v/>
      </c>
    </row>
    <row r="1631">
      <c r="A1631" s="16">
        <f>IF(Calc!$B1631,Calc!E1631,"")</f>
        <v/>
      </c>
      <c r="B1631">
        <f>IF(Calc!$B1631,INDEX(MineNames,Calc!C1631),"")</f>
        <v/>
      </c>
      <c r="C1631" s="17">
        <f>IF(Calc!$B1631,Calc!O1631,"")</f>
        <v/>
      </c>
    </row>
    <row r="1632">
      <c r="A1632" s="16">
        <f>IF(Calc!$B1632,Calc!E1632,"")</f>
        <v/>
      </c>
      <c r="B1632">
        <f>IF(Calc!$B1632,INDEX(MineNames,Calc!C1632),"")</f>
        <v/>
      </c>
      <c r="C1632" s="17">
        <f>IF(Calc!$B1632,Calc!O1632,"")</f>
        <v/>
      </c>
    </row>
    <row r="1633">
      <c r="A1633" s="16">
        <f>IF(Calc!$B1633,Calc!E1633,"")</f>
        <v/>
      </c>
      <c r="B1633">
        <f>IF(Calc!$B1633,INDEX(MineNames,Calc!C1633),"")</f>
        <v/>
      </c>
      <c r="C1633" s="17">
        <f>IF(Calc!$B1633,Calc!O1633,"")</f>
        <v/>
      </c>
    </row>
    <row r="1634">
      <c r="A1634" s="16">
        <f>IF(Calc!$B1634,Calc!E1634,"")</f>
        <v/>
      </c>
      <c r="B1634">
        <f>IF(Calc!$B1634,INDEX(MineNames,Calc!C1634),"")</f>
        <v/>
      </c>
      <c r="C1634" s="17">
        <f>IF(Calc!$B1634,Calc!O1634,"")</f>
        <v/>
      </c>
    </row>
    <row r="1635">
      <c r="A1635" s="16">
        <f>IF(Calc!$B1635,Calc!E1635,"")</f>
        <v/>
      </c>
      <c r="B1635">
        <f>IF(Calc!$B1635,INDEX(MineNames,Calc!C1635),"")</f>
        <v/>
      </c>
      <c r="C1635" s="17">
        <f>IF(Calc!$B1635,Calc!O1635,"")</f>
        <v/>
      </c>
    </row>
    <row r="1636">
      <c r="A1636" s="16">
        <f>IF(Calc!$B1636,Calc!E1636,"")</f>
        <v/>
      </c>
      <c r="B1636">
        <f>IF(Calc!$B1636,INDEX(MineNames,Calc!C1636),"")</f>
        <v/>
      </c>
      <c r="C1636" s="17">
        <f>IF(Calc!$B1636,Calc!O1636,"")</f>
        <v/>
      </c>
    </row>
    <row r="1637">
      <c r="A1637" s="16">
        <f>IF(Calc!$B1637,Calc!E1637,"")</f>
        <v/>
      </c>
      <c r="B1637">
        <f>IF(Calc!$B1637,INDEX(MineNames,Calc!C1637),"")</f>
        <v/>
      </c>
      <c r="C1637" s="17">
        <f>IF(Calc!$B1637,Calc!O1637,"")</f>
        <v/>
      </c>
    </row>
    <row r="1638">
      <c r="A1638" s="16">
        <f>IF(Calc!$B1638,Calc!E1638,"")</f>
        <v/>
      </c>
      <c r="B1638">
        <f>IF(Calc!$B1638,INDEX(MineNames,Calc!C1638),"")</f>
        <v/>
      </c>
      <c r="C1638" s="17">
        <f>IF(Calc!$B1638,Calc!O1638,"")</f>
        <v/>
      </c>
    </row>
    <row r="1639">
      <c r="A1639" s="16">
        <f>IF(Calc!$B1639,Calc!E1639,"")</f>
        <v/>
      </c>
      <c r="B1639">
        <f>IF(Calc!$B1639,INDEX(MineNames,Calc!C1639),"")</f>
        <v/>
      </c>
      <c r="C1639" s="17">
        <f>IF(Calc!$B1639,Calc!O1639,"")</f>
        <v/>
      </c>
    </row>
    <row r="1640">
      <c r="A1640" s="16">
        <f>IF(Calc!$B1640,Calc!E1640,"")</f>
        <v/>
      </c>
      <c r="B1640">
        <f>IF(Calc!$B1640,INDEX(MineNames,Calc!C1640),"")</f>
        <v/>
      </c>
      <c r="C1640" s="17">
        <f>IF(Calc!$B1640,Calc!O1640,"")</f>
        <v/>
      </c>
    </row>
    <row r="1641">
      <c r="A1641" s="16">
        <f>IF(Calc!$B1641,Calc!E1641,"")</f>
        <v/>
      </c>
      <c r="B1641">
        <f>IF(Calc!$B1641,INDEX(MineNames,Calc!C1641),"")</f>
        <v/>
      </c>
      <c r="C1641" s="17">
        <f>IF(Calc!$B1641,Calc!O1641,"")</f>
        <v/>
      </c>
    </row>
    <row r="1642">
      <c r="A1642" s="16">
        <f>IF(Calc!$B1642,Calc!E1642,"")</f>
        <v/>
      </c>
      <c r="B1642">
        <f>IF(Calc!$B1642,INDEX(MineNames,Calc!C1642),"")</f>
        <v/>
      </c>
      <c r="C1642" s="17">
        <f>IF(Calc!$B1642,Calc!O1642,"")</f>
        <v/>
      </c>
    </row>
    <row r="1643">
      <c r="A1643" s="16">
        <f>IF(Calc!$B1643,Calc!E1643,"")</f>
        <v/>
      </c>
      <c r="B1643">
        <f>IF(Calc!$B1643,INDEX(MineNames,Calc!C1643),"")</f>
        <v/>
      </c>
      <c r="C1643" s="17">
        <f>IF(Calc!$B1643,Calc!O1643,"")</f>
        <v/>
      </c>
    </row>
    <row r="1644">
      <c r="A1644" s="16">
        <f>IF(Calc!$B1644,Calc!E1644,"")</f>
        <v/>
      </c>
      <c r="B1644">
        <f>IF(Calc!$B1644,INDEX(MineNames,Calc!C1644),"")</f>
        <v/>
      </c>
      <c r="C1644" s="17">
        <f>IF(Calc!$B1644,Calc!O1644,"")</f>
        <v/>
      </c>
    </row>
    <row r="1645">
      <c r="A1645" s="16">
        <f>IF(Calc!$B1645,Calc!E1645,"")</f>
        <v/>
      </c>
      <c r="B1645">
        <f>IF(Calc!$B1645,INDEX(MineNames,Calc!C1645),"")</f>
        <v/>
      </c>
      <c r="C1645" s="17">
        <f>IF(Calc!$B1645,Calc!O1645,"")</f>
        <v/>
      </c>
    </row>
    <row r="1646">
      <c r="A1646" s="16">
        <f>IF(Calc!$B1646,Calc!E1646,"")</f>
        <v/>
      </c>
      <c r="B1646">
        <f>IF(Calc!$B1646,INDEX(MineNames,Calc!C1646),"")</f>
        <v/>
      </c>
      <c r="C1646" s="17">
        <f>IF(Calc!$B1646,Calc!O1646,"")</f>
        <v/>
      </c>
    </row>
    <row r="1647">
      <c r="A1647" s="16">
        <f>IF(Calc!$B1647,Calc!E1647,"")</f>
        <v/>
      </c>
      <c r="B1647">
        <f>IF(Calc!$B1647,INDEX(MineNames,Calc!C1647),"")</f>
        <v/>
      </c>
      <c r="C1647" s="17">
        <f>IF(Calc!$B1647,Calc!O1647,"")</f>
        <v/>
      </c>
    </row>
    <row r="1648">
      <c r="A1648" s="16">
        <f>IF(Calc!$B1648,Calc!E1648,"")</f>
        <v/>
      </c>
      <c r="B1648">
        <f>IF(Calc!$B1648,INDEX(MineNames,Calc!C1648),"")</f>
        <v/>
      </c>
      <c r="C1648" s="17">
        <f>IF(Calc!$B1648,Calc!O1648,"")</f>
        <v/>
      </c>
    </row>
    <row r="1649">
      <c r="A1649" s="16">
        <f>IF(Calc!$B1649,Calc!E1649,"")</f>
        <v/>
      </c>
      <c r="B1649">
        <f>IF(Calc!$B1649,INDEX(MineNames,Calc!C1649),"")</f>
        <v/>
      </c>
      <c r="C1649" s="17">
        <f>IF(Calc!$B1649,Calc!O1649,"")</f>
        <v/>
      </c>
    </row>
    <row r="1650">
      <c r="A1650" s="16">
        <f>IF(Calc!$B1650,Calc!E1650,"")</f>
        <v/>
      </c>
      <c r="B1650">
        <f>IF(Calc!$B1650,INDEX(MineNames,Calc!C1650),"")</f>
        <v/>
      </c>
      <c r="C1650" s="17">
        <f>IF(Calc!$B1650,Calc!O1650,"")</f>
        <v/>
      </c>
    </row>
    <row r="1651">
      <c r="A1651" s="16">
        <f>IF(Calc!$B1651,Calc!E1651,"")</f>
        <v/>
      </c>
      <c r="B1651">
        <f>IF(Calc!$B1651,INDEX(MineNames,Calc!C1651),"")</f>
        <v/>
      </c>
      <c r="C1651" s="17">
        <f>IF(Calc!$B1651,Calc!O1651,"")</f>
        <v/>
      </c>
    </row>
    <row r="1652">
      <c r="A1652" s="16">
        <f>IF(Calc!$B1652,Calc!E1652,"")</f>
        <v/>
      </c>
      <c r="B1652">
        <f>IF(Calc!$B1652,INDEX(MineNames,Calc!C1652),"")</f>
        <v/>
      </c>
      <c r="C1652" s="17">
        <f>IF(Calc!$B1652,Calc!O1652,"")</f>
        <v/>
      </c>
    </row>
    <row r="1653">
      <c r="A1653" s="16">
        <f>IF(Calc!$B1653,Calc!E1653,"")</f>
        <v/>
      </c>
      <c r="B1653">
        <f>IF(Calc!$B1653,INDEX(MineNames,Calc!C1653),"")</f>
        <v/>
      </c>
      <c r="C1653" s="17">
        <f>IF(Calc!$B1653,Calc!O1653,"")</f>
        <v/>
      </c>
    </row>
    <row r="1654">
      <c r="A1654" s="16">
        <f>IF(Calc!$B1654,Calc!E1654,"")</f>
        <v/>
      </c>
      <c r="B1654">
        <f>IF(Calc!$B1654,INDEX(MineNames,Calc!C1654),"")</f>
        <v/>
      </c>
      <c r="C1654" s="17">
        <f>IF(Calc!$B1654,Calc!O1654,"")</f>
        <v/>
      </c>
    </row>
    <row r="1655">
      <c r="A1655" s="16">
        <f>IF(Calc!$B1655,Calc!E1655,"")</f>
        <v/>
      </c>
      <c r="B1655">
        <f>IF(Calc!$B1655,INDEX(MineNames,Calc!C1655),"")</f>
        <v/>
      </c>
      <c r="C1655" s="17">
        <f>IF(Calc!$B1655,Calc!O1655,"")</f>
        <v/>
      </c>
    </row>
    <row r="1656">
      <c r="A1656" s="16">
        <f>IF(Calc!$B1656,Calc!E1656,"")</f>
        <v/>
      </c>
      <c r="B1656">
        <f>IF(Calc!$B1656,INDEX(MineNames,Calc!C1656),"")</f>
        <v/>
      </c>
      <c r="C1656" s="17">
        <f>IF(Calc!$B1656,Calc!O1656,"")</f>
        <v/>
      </c>
    </row>
    <row r="1657">
      <c r="A1657" s="16">
        <f>IF(Calc!$B1657,Calc!E1657,"")</f>
        <v/>
      </c>
      <c r="B1657">
        <f>IF(Calc!$B1657,INDEX(MineNames,Calc!C1657),"")</f>
        <v/>
      </c>
      <c r="C1657" s="17">
        <f>IF(Calc!$B1657,Calc!O1657,"")</f>
        <v/>
      </c>
    </row>
    <row r="1658">
      <c r="A1658" s="16">
        <f>IF(Calc!$B1658,Calc!E1658,"")</f>
        <v/>
      </c>
      <c r="B1658">
        <f>IF(Calc!$B1658,INDEX(MineNames,Calc!C1658),"")</f>
        <v/>
      </c>
      <c r="C1658" s="17">
        <f>IF(Calc!$B1658,Calc!O1658,"")</f>
        <v/>
      </c>
    </row>
    <row r="1659">
      <c r="A1659" s="16">
        <f>IF(Calc!$B1659,Calc!E1659,"")</f>
        <v/>
      </c>
      <c r="B1659">
        <f>IF(Calc!$B1659,INDEX(MineNames,Calc!C1659),"")</f>
        <v/>
      </c>
      <c r="C1659" s="17">
        <f>IF(Calc!$B1659,Calc!O1659,"")</f>
        <v/>
      </c>
    </row>
    <row r="1660">
      <c r="A1660" s="16">
        <f>IF(Calc!$B1660,Calc!E1660,"")</f>
        <v/>
      </c>
      <c r="B1660">
        <f>IF(Calc!$B1660,INDEX(MineNames,Calc!C1660),"")</f>
        <v/>
      </c>
      <c r="C1660" s="17">
        <f>IF(Calc!$B1660,Calc!O1660,"")</f>
        <v/>
      </c>
    </row>
    <row r="1661">
      <c r="A1661" s="16">
        <f>IF(Calc!$B1661,Calc!E1661,"")</f>
        <v/>
      </c>
      <c r="B1661">
        <f>IF(Calc!$B1661,INDEX(MineNames,Calc!C1661),"")</f>
        <v/>
      </c>
      <c r="C1661" s="17">
        <f>IF(Calc!$B1661,Calc!O1661,"")</f>
        <v/>
      </c>
    </row>
    <row r="1662">
      <c r="A1662" s="16">
        <f>IF(Calc!$B1662,Calc!E1662,"")</f>
        <v/>
      </c>
      <c r="B1662">
        <f>IF(Calc!$B1662,INDEX(MineNames,Calc!C1662),"")</f>
        <v/>
      </c>
      <c r="C1662" s="17">
        <f>IF(Calc!$B1662,Calc!O1662,"")</f>
        <v/>
      </c>
    </row>
    <row r="1663">
      <c r="A1663" s="16">
        <f>IF(Calc!$B1663,Calc!E1663,"")</f>
        <v/>
      </c>
      <c r="B1663">
        <f>IF(Calc!$B1663,INDEX(MineNames,Calc!C1663),"")</f>
        <v/>
      </c>
      <c r="C1663" s="17">
        <f>IF(Calc!$B1663,Calc!O1663,"")</f>
        <v/>
      </c>
    </row>
    <row r="1664">
      <c r="A1664" s="16">
        <f>IF(Calc!$B1664,Calc!E1664,"")</f>
        <v/>
      </c>
      <c r="B1664">
        <f>IF(Calc!$B1664,INDEX(MineNames,Calc!C1664),"")</f>
        <v/>
      </c>
      <c r="C1664" s="17">
        <f>IF(Calc!$B1664,Calc!O1664,"")</f>
        <v/>
      </c>
    </row>
    <row r="1665">
      <c r="A1665" s="16">
        <f>IF(Calc!$B1665,Calc!E1665,"")</f>
        <v/>
      </c>
      <c r="B1665">
        <f>IF(Calc!$B1665,INDEX(MineNames,Calc!C1665),"")</f>
        <v/>
      </c>
      <c r="C1665" s="17">
        <f>IF(Calc!$B1665,Calc!O1665,"")</f>
        <v/>
      </c>
    </row>
    <row r="1666">
      <c r="A1666" s="16">
        <f>IF(Calc!$B1666,Calc!E1666,"")</f>
        <v/>
      </c>
      <c r="B1666">
        <f>IF(Calc!$B1666,INDEX(MineNames,Calc!C1666),"")</f>
        <v/>
      </c>
      <c r="C1666" s="17">
        <f>IF(Calc!$B1666,Calc!O1666,"")</f>
        <v/>
      </c>
    </row>
    <row r="1667">
      <c r="A1667" s="16">
        <f>IF(Calc!$B1667,Calc!E1667,"")</f>
        <v/>
      </c>
      <c r="B1667">
        <f>IF(Calc!$B1667,INDEX(MineNames,Calc!C1667),"")</f>
        <v/>
      </c>
      <c r="C1667" s="17">
        <f>IF(Calc!$B1667,Calc!O1667,"")</f>
        <v/>
      </c>
    </row>
    <row r="1668">
      <c r="A1668" s="16">
        <f>IF(Calc!$B1668,Calc!E1668,"")</f>
        <v/>
      </c>
      <c r="B1668">
        <f>IF(Calc!$B1668,INDEX(MineNames,Calc!C1668),"")</f>
        <v/>
      </c>
      <c r="C1668" s="17">
        <f>IF(Calc!$B1668,Calc!O1668,"")</f>
        <v/>
      </c>
    </row>
    <row r="1669">
      <c r="A1669" s="16">
        <f>IF(Calc!$B1669,Calc!E1669,"")</f>
        <v/>
      </c>
      <c r="B1669">
        <f>IF(Calc!$B1669,INDEX(MineNames,Calc!C1669),"")</f>
        <v/>
      </c>
      <c r="C1669" s="17">
        <f>IF(Calc!$B1669,Calc!O1669,"")</f>
        <v/>
      </c>
    </row>
    <row r="1670">
      <c r="A1670" s="16">
        <f>IF(Calc!$B1670,Calc!E1670,"")</f>
        <v/>
      </c>
      <c r="B1670">
        <f>IF(Calc!$B1670,INDEX(MineNames,Calc!C1670),"")</f>
        <v/>
      </c>
      <c r="C1670" s="17">
        <f>IF(Calc!$B1670,Calc!O1670,"")</f>
        <v/>
      </c>
    </row>
    <row r="1671">
      <c r="A1671" s="16">
        <f>IF(Calc!$B1671,Calc!E1671,"")</f>
        <v/>
      </c>
      <c r="B1671">
        <f>IF(Calc!$B1671,INDEX(MineNames,Calc!C1671),"")</f>
        <v/>
      </c>
      <c r="C1671" s="17">
        <f>IF(Calc!$B1671,Calc!O1671,"")</f>
        <v/>
      </c>
    </row>
    <row r="1672">
      <c r="A1672" s="16">
        <f>IF(Calc!$B1672,Calc!E1672,"")</f>
        <v/>
      </c>
      <c r="B1672">
        <f>IF(Calc!$B1672,INDEX(MineNames,Calc!C1672),"")</f>
        <v/>
      </c>
      <c r="C1672" s="17">
        <f>IF(Calc!$B1672,Calc!O1672,"")</f>
        <v/>
      </c>
    </row>
    <row r="1673">
      <c r="A1673" s="16">
        <f>IF(Calc!$B1673,Calc!E1673,"")</f>
        <v/>
      </c>
      <c r="B1673">
        <f>IF(Calc!$B1673,INDEX(MineNames,Calc!C1673),"")</f>
        <v/>
      </c>
      <c r="C1673" s="17">
        <f>IF(Calc!$B1673,Calc!O1673,"")</f>
        <v/>
      </c>
    </row>
    <row r="1674">
      <c r="A1674" s="16">
        <f>IF(Calc!$B1674,Calc!E1674,"")</f>
        <v/>
      </c>
      <c r="B1674">
        <f>IF(Calc!$B1674,INDEX(MineNames,Calc!C1674),"")</f>
        <v/>
      </c>
      <c r="C1674" s="17">
        <f>IF(Calc!$B1674,Calc!O1674,"")</f>
        <v/>
      </c>
    </row>
    <row r="1675">
      <c r="A1675" s="16">
        <f>IF(Calc!$B1675,Calc!E1675,"")</f>
        <v/>
      </c>
      <c r="B1675">
        <f>IF(Calc!$B1675,INDEX(MineNames,Calc!C1675),"")</f>
        <v/>
      </c>
      <c r="C1675" s="17">
        <f>IF(Calc!$B1675,Calc!O1675,"")</f>
        <v/>
      </c>
    </row>
    <row r="1676">
      <c r="A1676" s="16">
        <f>IF(Calc!$B1676,Calc!E1676,"")</f>
        <v/>
      </c>
      <c r="B1676">
        <f>IF(Calc!$B1676,INDEX(MineNames,Calc!C1676),"")</f>
        <v/>
      </c>
      <c r="C1676" s="17">
        <f>IF(Calc!$B1676,Calc!O1676,"")</f>
        <v/>
      </c>
    </row>
    <row r="1677">
      <c r="A1677" s="16">
        <f>IF(Calc!$B1677,Calc!E1677,"")</f>
        <v/>
      </c>
      <c r="B1677">
        <f>IF(Calc!$B1677,INDEX(MineNames,Calc!C1677),"")</f>
        <v/>
      </c>
      <c r="C1677" s="17">
        <f>IF(Calc!$B1677,Calc!O1677,"")</f>
        <v/>
      </c>
    </row>
    <row r="1678">
      <c r="A1678" s="16">
        <f>IF(Calc!$B1678,Calc!E1678,"")</f>
        <v/>
      </c>
      <c r="B1678">
        <f>IF(Calc!$B1678,INDEX(MineNames,Calc!C1678),"")</f>
        <v/>
      </c>
      <c r="C1678" s="17">
        <f>IF(Calc!$B1678,Calc!O1678,"")</f>
        <v/>
      </c>
    </row>
    <row r="1679">
      <c r="A1679" s="16">
        <f>IF(Calc!$B1679,Calc!E1679,"")</f>
        <v/>
      </c>
      <c r="B1679">
        <f>IF(Calc!$B1679,INDEX(MineNames,Calc!C1679),"")</f>
        <v/>
      </c>
      <c r="C1679" s="17">
        <f>IF(Calc!$B1679,Calc!O1679,"")</f>
        <v/>
      </c>
    </row>
    <row r="1680">
      <c r="A1680" s="16">
        <f>IF(Calc!$B1680,Calc!E1680,"")</f>
        <v/>
      </c>
      <c r="B1680">
        <f>IF(Calc!$B1680,INDEX(MineNames,Calc!C1680),"")</f>
        <v/>
      </c>
      <c r="C1680" s="17">
        <f>IF(Calc!$B1680,Calc!O1680,"")</f>
        <v/>
      </c>
    </row>
    <row r="1681">
      <c r="A1681" s="16">
        <f>IF(Calc!$B1681,Calc!E1681,"")</f>
        <v/>
      </c>
      <c r="B1681">
        <f>IF(Calc!$B1681,INDEX(MineNames,Calc!C1681),"")</f>
        <v/>
      </c>
      <c r="C1681" s="17">
        <f>IF(Calc!$B1681,Calc!O1681,"")</f>
        <v/>
      </c>
    </row>
    <row r="1682">
      <c r="A1682" s="16">
        <f>IF(Calc!$B1682,Calc!E1682,"")</f>
        <v/>
      </c>
      <c r="B1682">
        <f>IF(Calc!$B1682,INDEX(MineNames,Calc!C1682),"")</f>
        <v/>
      </c>
      <c r="C1682" s="17">
        <f>IF(Calc!$B1682,Calc!O1682,"")</f>
        <v/>
      </c>
    </row>
    <row r="1683">
      <c r="A1683" s="16">
        <f>IF(Calc!$B1683,Calc!E1683,"")</f>
        <v/>
      </c>
      <c r="B1683">
        <f>IF(Calc!$B1683,INDEX(MineNames,Calc!C1683),"")</f>
        <v/>
      </c>
      <c r="C1683" s="17">
        <f>IF(Calc!$B1683,Calc!O1683,"")</f>
        <v/>
      </c>
    </row>
    <row r="1684">
      <c r="A1684" s="16">
        <f>IF(Calc!$B1684,Calc!E1684,"")</f>
        <v/>
      </c>
      <c r="B1684">
        <f>IF(Calc!$B1684,INDEX(MineNames,Calc!C1684),"")</f>
        <v/>
      </c>
      <c r="C1684" s="17">
        <f>IF(Calc!$B1684,Calc!O1684,"")</f>
        <v/>
      </c>
    </row>
    <row r="1685">
      <c r="A1685" s="16">
        <f>IF(Calc!$B1685,Calc!E1685,"")</f>
        <v/>
      </c>
      <c r="B1685">
        <f>IF(Calc!$B1685,INDEX(MineNames,Calc!C1685),"")</f>
        <v/>
      </c>
      <c r="C1685" s="17">
        <f>IF(Calc!$B1685,Calc!O1685,"")</f>
        <v/>
      </c>
    </row>
    <row r="1686">
      <c r="A1686" s="16">
        <f>IF(Calc!$B1686,Calc!E1686,"")</f>
        <v/>
      </c>
      <c r="B1686">
        <f>IF(Calc!$B1686,INDEX(MineNames,Calc!C1686),"")</f>
        <v/>
      </c>
      <c r="C1686" s="17">
        <f>IF(Calc!$B1686,Calc!O1686,"")</f>
        <v/>
      </c>
    </row>
    <row r="1687">
      <c r="A1687" s="16">
        <f>IF(Calc!$B1687,Calc!E1687,"")</f>
        <v/>
      </c>
      <c r="B1687">
        <f>IF(Calc!$B1687,INDEX(MineNames,Calc!C1687),"")</f>
        <v/>
      </c>
      <c r="C1687" s="17">
        <f>IF(Calc!$B1687,Calc!O1687,"")</f>
        <v/>
      </c>
    </row>
    <row r="1688">
      <c r="A1688" s="16">
        <f>IF(Calc!$B1688,Calc!E1688,"")</f>
        <v/>
      </c>
      <c r="B1688">
        <f>IF(Calc!$B1688,INDEX(MineNames,Calc!C1688),"")</f>
        <v/>
      </c>
      <c r="C1688" s="17">
        <f>IF(Calc!$B1688,Calc!O1688,"")</f>
        <v/>
      </c>
    </row>
    <row r="1689">
      <c r="A1689" s="16">
        <f>IF(Calc!$B1689,Calc!E1689,"")</f>
        <v/>
      </c>
      <c r="B1689">
        <f>IF(Calc!$B1689,INDEX(MineNames,Calc!C1689),"")</f>
        <v/>
      </c>
      <c r="C1689" s="17">
        <f>IF(Calc!$B1689,Calc!O1689,"")</f>
        <v/>
      </c>
    </row>
    <row r="1690">
      <c r="A1690" s="16">
        <f>IF(Calc!$B1690,Calc!E1690,"")</f>
        <v/>
      </c>
      <c r="B1690">
        <f>IF(Calc!$B1690,INDEX(MineNames,Calc!C1690),"")</f>
        <v/>
      </c>
      <c r="C1690" s="17">
        <f>IF(Calc!$B1690,Calc!O1690,"")</f>
        <v/>
      </c>
    </row>
    <row r="1691">
      <c r="A1691" s="16">
        <f>IF(Calc!$B1691,Calc!E1691,"")</f>
        <v/>
      </c>
      <c r="B1691">
        <f>IF(Calc!$B1691,INDEX(MineNames,Calc!C1691),"")</f>
        <v/>
      </c>
      <c r="C1691" s="17">
        <f>IF(Calc!$B1691,Calc!O1691,"")</f>
        <v/>
      </c>
    </row>
    <row r="1692">
      <c r="A1692" s="16">
        <f>IF(Calc!$B1692,Calc!E1692,"")</f>
        <v/>
      </c>
      <c r="B1692">
        <f>IF(Calc!$B1692,INDEX(MineNames,Calc!C1692),"")</f>
        <v/>
      </c>
      <c r="C1692" s="17">
        <f>IF(Calc!$B1692,Calc!O1692,"")</f>
        <v/>
      </c>
    </row>
    <row r="1693">
      <c r="A1693" s="16">
        <f>IF(Calc!$B1693,Calc!E1693,"")</f>
        <v/>
      </c>
      <c r="B1693">
        <f>IF(Calc!$B1693,INDEX(MineNames,Calc!C1693),"")</f>
        <v/>
      </c>
      <c r="C1693" s="17">
        <f>IF(Calc!$B1693,Calc!O1693,"")</f>
        <v/>
      </c>
    </row>
    <row r="1694">
      <c r="A1694" s="16">
        <f>IF(Calc!$B1694,Calc!E1694,"")</f>
        <v/>
      </c>
      <c r="B1694">
        <f>IF(Calc!$B1694,INDEX(MineNames,Calc!C1694),"")</f>
        <v/>
      </c>
      <c r="C1694" s="17">
        <f>IF(Calc!$B1694,Calc!O1694,"")</f>
        <v/>
      </c>
    </row>
    <row r="1695">
      <c r="A1695" s="16">
        <f>IF(Calc!$B1695,Calc!E1695,"")</f>
        <v/>
      </c>
      <c r="B1695">
        <f>IF(Calc!$B1695,INDEX(MineNames,Calc!C1695),"")</f>
        <v/>
      </c>
      <c r="C1695" s="17">
        <f>IF(Calc!$B1695,Calc!O1695,"")</f>
        <v/>
      </c>
    </row>
    <row r="1696">
      <c r="A1696" s="16">
        <f>IF(Calc!$B1696,Calc!E1696,"")</f>
        <v/>
      </c>
      <c r="B1696">
        <f>IF(Calc!$B1696,INDEX(MineNames,Calc!C1696),"")</f>
        <v/>
      </c>
      <c r="C1696" s="17">
        <f>IF(Calc!$B1696,Calc!O1696,"")</f>
        <v/>
      </c>
    </row>
    <row r="1697">
      <c r="A1697" s="16">
        <f>IF(Calc!$B1697,Calc!E1697,"")</f>
        <v/>
      </c>
      <c r="B1697">
        <f>IF(Calc!$B1697,INDEX(MineNames,Calc!C1697),"")</f>
        <v/>
      </c>
      <c r="C1697" s="17">
        <f>IF(Calc!$B1697,Calc!O1697,"")</f>
        <v/>
      </c>
    </row>
    <row r="1698">
      <c r="A1698" s="16">
        <f>IF(Calc!$B1698,Calc!E1698,"")</f>
        <v/>
      </c>
      <c r="B1698">
        <f>IF(Calc!$B1698,INDEX(MineNames,Calc!C1698),"")</f>
        <v/>
      </c>
      <c r="C1698" s="17">
        <f>IF(Calc!$B1698,Calc!O1698,"")</f>
        <v/>
      </c>
    </row>
    <row r="1699">
      <c r="A1699" s="16">
        <f>IF(Calc!$B1699,Calc!E1699,"")</f>
        <v/>
      </c>
      <c r="B1699">
        <f>IF(Calc!$B1699,INDEX(MineNames,Calc!C1699),"")</f>
        <v/>
      </c>
      <c r="C1699" s="17">
        <f>IF(Calc!$B1699,Calc!O1699,"")</f>
        <v/>
      </c>
    </row>
    <row r="1700">
      <c r="A1700" s="16">
        <f>IF(Calc!$B1700,Calc!E1700,"")</f>
        <v/>
      </c>
      <c r="B1700">
        <f>IF(Calc!$B1700,INDEX(MineNames,Calc!C1700),"")</f>
        <v/>
      </c>
      <c r="C1700" s="17">
        <f>IF(Calc!$B1700,Calc!O1700,"")</f>
        <v/>
      </c>
    </row>
    <row r="1701">
      <c r="A1701" s="16">
        <f>IF(Calc!$B1701,Calc!E1701,"")</f>
        <v/>
      </c>
      <c r="B1701">
        <f>IF(Calc!$B1701,INDEX(MineNames,Calc!C1701),"")</f>
        <v/>
      </c>
      <c r="C1701" s="17">
        <f>IF(Calc!$B1701,Calc!O1701,"")</f>
        <v/>
      </c>
    </row>
    <row r="1702">
      <c r="A1702" s="16">
        <f>IF(Calc!$B1702,Calc!E1702,"")</f>
        <v/>
      </c>
      <c r="B1702">
        <f>IF(Calc!$B1702,INDEX(MineNames,Calc!C1702),"")</f>
        <v/>
      </c>
      <c r="C1702" s="17">
        <f>IF(Calc!$B1702,Calc!O1702,"")</f>
        <v/>
      </c>
    </row>
    <row r="1703">
      <c r="A1703" s="16">
        <f>IF(Calc!$B1703,Calc!E1703,"")</f>
        <v/>
      </c>
      <c r="B1703">
        <f>IF(Calc!$B1703,INDEX(MineNames,Calc!C1703),"")</f>
        <v/>
      </c>
      <c r="C1703" s="17">
        <f>IF(Calc!$B1703,Calc!O1703,"")</f>
        <v/>
      </c>
    </row>
    <row r="1704">
      <c r="A1704" s="16">
        <f>IF(Calc!$B1704,Calc!E1704,"")</f>
        <v/>
      </c>
      <c r="B1704">
        <f>IF(Calc!$B1704,INDEX(MineNames,Calc!C1704),"")</f>
        <v/>
      </c>
      <c r="C1704" s="17">
        <f>IF(Calc!$B1704,Calc!O1704,"")</f>
        <v/>
      </c>
    </row>
    <row r="1705">
      <c r="A1705" s="16">
        <f>IF(Calc!$B1705,Calc!E1705,"")</f>
        <v/>
      </c>
      <c r="B1705">
        <f>IF(Calc!$B1705,INDEX(MineNames,Calc!C1705),"")</f>
        <v/>
      </c>
      <c r="C1705" s="17">
        <f>IF(Calc!$B1705,Calc!O1705,"")</f>
        <v/>
      </c>
    </row>
    <row r="1706">
      <c r="A1706" s="16">
        <f>IF(Calc!$B1706,Calc!E1706,"")</f>
        <v/>
      </c>
      <c r="B1706">
        <f>IF(Calc!$B1706,INDEX(MineNames,Calc!C1706),"")</f>
        <v/>
      </c>
      <c r="C1706" s="17">
        <f>IF(Calc!$B1706,Calc!O1706,"")</f>
        <v/>
      </c>
    </row>
    <row r="1707">
      <c r="A1707" s="16">
        <f>IF(Calc!$B1707,Calc!E1707,"")</f>
        <v/>
      </c>
      <c r="B1707">
        <f>IF(Calc!$B1707,INDEX(MineNames,Calc!C1707),"")</f>
        <v/>
      </c>
      <c r="C1707" s="17">
        <f>IF(Calc!$B1707,Calc!O1707,"")</f>
        <v/>
      </c>
    </row>
    <row r="1708">
      <c r="A1708" s="16">
        <f>IF(Calc!$B1708,Calc!E1708,"")</f>
        <v/>
      </c>
      <c r="B1708">
        <f>IF(Calc!$B1708,INDEX(MineNames,Calc!C1708),"")</f>
        <v/>
      </c>
      <c r="C1708" s="17">
        <f>IF(Calc!$B1708,Calc!O1708,"")</f>
        <v/>
      </c>
    </row>
    <row r="1709">
      <c r="A1709" s="16">
        <f>IF(Calc!$B1709,Calc!E1709,"")</f>
        <v/>
      </c>
      <c r="B1709">
        <f>IF(Calc!$B1709,INDEX(MineNames,Calc!C1709),"")</f>
        <v/>
      </c>
      <c r="C1709" s="17">
        <f>IF(Calc!$B1709,Calc!O1709,"")</f>
        <v/>
      </c>
    </row>
    <row r="1710">
      <c r="A1710" s="16">
        <f>IF(Calc!$B1710,Calc!E1710,"")</f>
        <v/>
      </c>
      <c r="B1710">
        <f>IF(Calc!$B1710,INDEX(MineNames,Calc!C1710),"")</f>
        <v/>
      </c>
      <c r="C1710" s="17">
        <f>IF(Calc!$B1710,Calc!O1710,"")</f>
        <v/>
      </c>
    </row>
    <row r="1711">
      <c r="A1711" s="16">
        <f>IF(Calc!$B1711,Calc!E1711,"")</f>
        <v/>
      </c>
      <c r="B1711">
        <f>IF(Calc!$B1711,INDEX(MineNames,Calc!C1711),"")</f>
        <v/>
      </c>
      <c r="C1711" s="17">
        <f>IF(Calc!$B1711,Calc!O1711,"")</f>
        <v/>
      </c>
    </row>
    <row r="1712">
      <c r="A1712" s="16">
        <f>IF(Calc!$B1712,Calc!E1712,"")</f>
        <v/>
      </c>
      <c r="B1712">
        <f>IF(Calc!$B1712,INDEX(MineNames,Calc!C1712),"")</f>
        <v/>
      </c>
      <c r="C1712" s="17">
        <f>IF(Calc!$B1712,Calc!O1712,"")</f>
        <v/>
      </c>
    </row>
    <row r="1713">
      <c r="A1713" s="16">
        <f>IF(Calc!$B1713,Calc!E1713,"")</f>
        <v/>
      </c>
      <c r="B1713">
        <f>IF(Calc!$B1713,INDEX(MineNames,Calc!C1713),"")</f>
        <v/>
      </c>
      <c r="C1713" s="17">
        <f>IF(Calc!$B1713,Calc!O1713,"")</f>
        <v/>
      </c>
    </row>
    <row r="1714">
      <c r="A1714" s="16">
        <f>IF(Calc!$B1714,Calc!E1714,"")</f>
        <v/>
      </c>
      <c r="B1714">
        <f>IF(Calc!$B1714,INDEX(MineNames,Calc!C1714),"")</f>
        <v/>
      </c>
      <c r="C1714" s="17">
        <f>IF(Calc!$B1714,Calc!O1714,"")</f>
        <v/>
      </c>
    </row>
    <row r="1715">
      <c r="A1715" s="16">
        <f>IF(Calc!$B1715,Calc!E1715,"")</f>
        <v/>
      </c>
      <c r="B1715">
        <f>IF(Calc!$B1715,INDEX(MineNames,Calc!C1715),"")</f>
        <v/>
      </c>
      <c r="C1715" s="17">
        <f>IF(Calc!$B1715,Calc!O1715,"")</f>
        <v/>
      </c>
    </row>
    <row r="1716">
      <c r="A1716" s="16">
        <f>IF(Calc!$B1716,Calc!E1716,"")</f>
        <v/>
      </c>
      <c r="B1716">
        <f>IF(Calc!$B1716,INDEX(MineNames,Calc!C1716),"")</f>
        <v/>
      </c>
      <c r="C1716" s="17">
        <f>IF(Calc!$B1716,Calc!O1716,"")</f>
        <v/>
      </c>
    </row>
    <row r="1717">
      <c r="A1717" s="16">
        <f>IF(Calc!$B1717,Calc!E1717,"")</f>
        <v/>
      </c>
      <c r="B1717">
        <f>IF(Calc!$B1717,INDEX(MineNames,Calc!C1717),"")</f>
        <v/>
      </c>
      <c r="C1717" s="17">
        <f>IF(Calc!$B1717,Calc!O1717,"")</f>
        <v/>
      </c>
    </row>
    <row r="1718">
      <c r="A1718" s="16">
        <f>IF(Calc!$B1718,Calc!E1718,"")</f>
        <v/>
      </c>
      <c r="B1718">
        <f>IF(Calc!$B1718,INDEX(MineNames,Calc!C1718),"")</f>
        <v/>
      </c>
      <c r="C1718" s="17">
        <f>IF(Calc!$B1718,Calc!O1718,"")</f>
        <v/>
      </c>
    </row>
    <row r="1719">
      <c r="A1719" s="16">
        <f>IF(Calc!$B1719,Calc!E1719,"")</f>
        <v/>
      </c>
      <c r="B1719">
        <f>IF(Calc!$B1719,INDEX(MineNames,Calc!C1719),"")</f>
        <v/>
      </c>
      <c r="C1719" s="17">
        <f>IF(Calc!$B1719,Calc!O1719,"")</f>
        <v/>
      </c>
    </row>
    <row r="1720">
      <c r="A1720" s="16">
        <f>IF(Calc!$B1720,Calc!E1720,"")</f>
        <v/>
      </c>
      <c r="B1720">
        <f>IF(Calc!$B1720,INDEX(MineNames,Calc!C1720),"")</f>
        <v/>
      </c>
      <c r="C1720" s="17">
        <f>IF(Calc!$B1720,Calc!O1720,"")</f>
        <v/>
      </c>
    </row>
    <row r="1721">
      <c r="A1721" s="16">
        <f>IF(Calc!$B1721,Calc!E1721,"")</f>
        <v/>
      </c>
      <c r="B1721">
        <f>IF(Calc!$B1721,INDEX(MineNames,Calc!C1721),"")</f>
        <v/>
      </c>
      <c r="C1721" s="17">
        <f>IF(Calc!$B1721,Calc!O1721,"")</f>
        <v/>
      </c>
    </row>
    <row r="1722">
      <c r="A1722" s="16">
        <f>IF(Calc!$B1722,Calc!E1722,"")</f>
        <v/>
      </c>
      <c r="B1722">
        <f>IF(Calc!$B1722,INDEX(MineNames,Calc!C1722),"")</f>
        <v/>
      </c>
      <c r="C1722" s="17">
        <f>IF(Calc!$B1722,Calc!O1722,"")</f>
        <v/>
      </c>
    </row>
    <row r="1723">
      <c r="A1723" s="16">
        <f>IF(Calc!$B1723,Calc!E1723,"")</f>
        <v/>
      </c>
      <c r="B1723">
        <f>IF(Calc!$B1723,INDEX(MineNames,Calc!C1723),"")</f>
        <v/>
      </c>
      <c r="C1723" s="17">
        <f>IF(Calc!$B1723,Calc!O1723,"")</f>
        <v/>
      </c>
    </row>
    <row r="1724">
      <c r="A1724" s="16">
        <f>IF(Calc!$B1724,Calc!E1724,"")</f>
        <v/>
      </c>
      <c r="B1724">
        <f>IF(Calc!$B1724,INDEX(MineNames,Calc!C1724),"")</f>
        <v/>
      </c>
      <c r="C1724" s="17">
        <f>IF(Calc!$B1724,Calc!O1724,"")</f>
        <v/>
      </c>
    </row>
    <row r="1725">
      <c r="A1725" s="16">
        <f>IF(Calc!$B1725,Calc!E1725,"")</f>
        <v/>
      </c>
      <c r="B1725">
        <f>IF(Calc!$B1725,INDEX(MineNames,Calc!C1725),"")</f>
        <v/>
      </c>
      <c r="C1725" s="17">
        <f>IF(Calc!$B1725,Calc!O1725,"")</f>
        <v/>
      </c>
    </row>
    <row r="1726">
      <c r="A1726" s="16">
        <f>IF(Calc!$B1726,Calc!E1726,"")</f>
        <v/>
      </c>
      <c r="B1726">
        <f>IF(Calc!$B1726,INDEX(MineNames,Calc!C1726),"")</f>
        <v/>
      </c>
      <c r="C1726" s="17">
        <f>IF(Calc!$B1726,Calc!O1726,"")</f>
        <v/>
      </c>
    </row>
    <row r="1727">
      <c r="A1727" s="16">
        <f>IF(Calc!$B1727,Calc!E1727,"")</f>
        <v/>
      </c>
      <c r="B1727">
        <f>IF(Calc!$B1727,INDEX(MineNames,Calc!C1727),"")</f>
        <v/>
      </c>
      <c r="C1727" s="17">
        <f>IF(Calc!$B1727,Calc!O1727,"")</f>
        <v/>
      </c>
    </row>
    <row r="1728">
      <c r="A1728" s="16">
        <f>IF(Calc!$B1728,Calc!E1728,"")</f>
        <v/>
      </c>
      <c r="B1728">
        <f>IF(Calc!$B1728,INDEX(MineNames,Calc!C1728),"")</f>
        <v/>
      </c>
      <c r="C1728" s="17">
        <f>IF(Calc!$B1728,Calc!O1728,"")</f>
        <v/>
      </c>
    </row>
    <row r="1729">
      <c r="A1729" s="16">
        <f>IF(Calc!$B1729,Calc!E1729,"")</f>
        <v/>
      </c>
      <c r="B1729">
        <f>IF(Calc!$B1729,INDEX(MineNames,Calc!C1729),"")</f>
        <v/>
      </c>
      <c r="C1729" s="17">
        <f>IF(Calc!$B1729,Calc!O1729,"")</f>
        <v/>
      </c>
    </row>
    <row r="1730">
      <c r="A1730" s="16">
        <f>IF(Calc!$B1730,Calc!E1730,"")</f>
        <v/>
      </c>
      <c r="B1730">
        <f>IF(Calc!$B1730,INDEX(MineNames,Calc!C1730),"")</f>
        <v/>
      </c>
      <c r="C1730" s="17">
        <f>IF(Calc!$B1730,Calc!O1730,"")</f>
        <v/>
      </c>
    </row>
    <row r="1731">
      <c r="A1731" s="16">
        <f>IF(Calc!$B1731,Calc!E1731,"")</f>
        <v/>
      </c>
      <c r="B1731">
        <f>IF(Calc!$B1731,INDEX(MineNames,Calc!C1731),"")</f>
        <v/>
      </c>
      <c r="C1731" s="17">
        <f>IF(Calc!$B1731,Calc!O1731,"")</f>
        <v/>
      </c>
    </row>
    <row r="1732">
      <c r="A1732" s="16">
        <f>IF(Calc!$B1732,Calc!E1732,"")</f>
        <v/>
      </c>
      <c r="B1732">
        <f>IF(Calc!$B1732,INDEX(MineNames,Calc!C1732),"")</f>
        <v/>
      </c>
      <c r="C1732" s="17">
        <f>IF(Calc!$B1732,Calc!O1732,"")</f>
        <v/>
      </c>
    </row>
    <row r="1733">
      <c r="A1733" s="16">
        <f>IF(Calc!$B1733,Calc!E1733,"")</f>
        <v/>
      </c>
      <c r="B1733">
        <f>IF(Calc!$B1733,INDEX(MineNames,Calc!C1733),"")</f>
        <v/>
      </c>
      <c r="C1733" s="17">
        <f>IF(Calc!$B1733,Calc!O1733,"")</f>
        <v/>
      </c>
    </row>
    <row r="1734">
      <c r="A1734" s="16">
        <f>IF(Calc!$B1734,Calc!E1734,"")</f>
        <v/>
      </c>
      <c r="B1734">
        <f>IF(Calc!$B1734,INDEX(MineNames,Calc!C1734),"")</f>
        <v/>
      </c>
      <c r="C1734" s="17">
        <f>IF(Calc!$B1734,Calc!O1734,"")</f>
        <v/>
      </c>
    </row>
    <row r="1735">
      <c r="A1735" s="16">
        <f>IF(Calc!$B1735,Calc!E1735,"")</f>
        <v/>
      </c>
      <c r="B1735">
        <f>IF(Calc!$B1735,INDEX(MineNames,Calc!C1735),"")</f>
        <v/>
      </c>
      <c r="C1735" s="17">
        <f>IF(Calc!$B1735,Calc!O1735,"")</f>
        <v/>
      </c>
    </row>
    <row r="1736">
      <c r="A1736" s="16">
        <f>IF(Calc!$B1736,Calc!E1736,"")</f>
        <v/>
      </c>
      <c r="B1736">
        <f>IF(Calc!$B1736,INDEX(MineNames,Calc!C1736),"")</f>
        <v/>
      </c>
      <c r="C1736" s="17">
        <f>IF(Calc!$B1736,Calc!O1736,"")</f>
        <v/>
      </c>
    </row>
    <row r="1737">
      <c r="A1737" s="16">
        <f>IF(Calc!$B1737,Calc!E1737,"")</f>
        <v/>
      </c>
      <c r="B1737">
        <f>IF(Calc!$B1737,INDEX(MineNames,Calc!C1737),"")</f>
        <v/>
      </c>
      <c r="C1737" s="17">
        <f>IF(Calc!$B1737,Calc!O1737,"")</f>
        <v/>
      </c>
    </row>
    <row r="1738">
      <c r="A1738" s="16">
        <f>IF(Calc!$B1738,Calc!E1738,"")</f>
        <v/>
      </c>
      <c r="B1738">
        <f>IF(Calc!$B1738,INDEX(MineNames,Calc!C1738),"")</f>
        <v/>
      </c>
      <c r="C1738" s="17">
        <f>IF(Calc!$B1738,Calc!O1738,"")</f>
        <v/>
      </c>
    </row>
    <row r="1739">
      <c r="A1739" s="16">
        <f>IF(Calc!$B1739,Calc!E1739,"")</f>
        <v/>
      </c>
      <c r="B1739">
        <f>IF(Calc!$B1739,INDEX(MineNames,Calc!C1739),"")</f>
        <v/>
      </c>
      <c r="C1739" s="17">
        <f>IF(Calc!$B1739,Calc!O1739,"")</f>
        <v/>
      </c>
    </row>
    <row r="1740">
      <c r="A1740" s="16">
        <f>IF(Calc!$B1740,Calc!E1740,"")</f>
        <v/>
      </c>
      <c r="B1740">
        <f>IF(Calc!$B1740,INDEX(MineNames,Calc!C1740),"")</f>
        <v/>
      </c>
      <c r="C1740" s="17">
        <f>IF(Calc!$B1740,Calc!O1740,"")</f>
        <v/>
      </c>
    </row>
    <row r="1741">
      <c r="A1741" s="16">
        <f>IF(Calc!$B1741,Calc!E1741,"")</f>
        <v/>
      </c>
      <c r="B1741">
        <f>IF(Calc!$B1741,INDEX(MineNames,Calc!C1741),"")</f>
        <v/>
      </c>
      <c r="C1741" s="17">
        <f>IF(Calc!$B1741,Calc!O1741,"")</f>
        <v/>
      </c>
    </row>
    <row r="1742">
      <c r="A1742" s="16">
        <f>IF(Calc!$B1742,Calc!E1742,"")</f>
        <v/>
      </c>
      <c r="B1742">
        <f>IF(Calc!$B1742,INDEX(MineNames,Calc!C1742),"")</f>
        <v/>
      </c>
      <c r="C1742" s="17">
        <f>IF(Calc!$B1742,Calc!O1742,"")</f>
        <v/>
      </c>
    </row>
    <row r="1743">
      <c r="A1743" s="16">
        <f>IF(Calc!$B1743,Calc!E1743,"")</f>
        <v/>
      </c>
      <c r="B1743">
        <f>IF(Calc!$B1743,INDEX(MineNames,Calc!C1743),"")</f>
        <v/>
      </c>
      <c r="C1743" s="17">
        <f>IF(Calc!$B1743,Calc!O1743,"")</f>
        <v/>
      </c>
    </row>
    <row r="1744">
      <c r="A1744" s="16">
        <f>IF(Calc!$B1744,Calc!E1744,"")</f>
        <v/>
      </c>
      <c r="B1744">
        <f>IF(Calc!$B1744,INDEX(MineNames,Calc!C1744),"")</f>
        <v/>
      </c>
      <c r="C1744" s="17">
        <f>IF(Calc!$B1744,Calc!O1744,"")</f>
        <v/>
      </c>
    </row>
    <row r="1745">
      <c r="A1745" s="16">
        <f>IF(Calc!$B1745,Calc!E1745,"")</f>
        <v/>
      </c>
      <c r="B1745">
        <f>IF(Calc!$B1745,INDEX(MineNames,Calc!C1745),"")</f>
        <v/>
      </c>
      <c r="C1745" s="17">
        <f>IF(Calc!$B1745,Calc!O1745,"")</f>
        <v/>
      </c>
    </row>
    <row r="1746">
      <c r="A1746" s="16">
        <f>IF(Calc!$B1746,Calc!E1746,"")</f>
        <v/>
      </c>
      <c r="B1746">
        <f>IF(Calc!$B1746,INDEX(MineNames,Calc!C1746),"")</f>
        <v/>
      </c>
      <c r="C1746" s="17">
        <f>IF(Calc!$B1746,Calc!O1746,"")</f>
        <v/>
      </c>
    </row>
    <row r="1747">
      <c r="A1747" s="16">
        <f>IF(Calc!$B1747,Calc!E1747,"")</f>
        <v/>
      </c>
      <c r="B1747">
        <f>IF(Calc!$B1747,INDEX(MineNames,Calc!C1747),"")</f>
        <v/>
      </c>
      <c r="C1747" s="17">
        <f>IF(Calc!$B1747,Calc!O1747,"")</f>
        <v/>
      </c>
    </row>
    <row r="1748">
      <c r="A1748" s="16">
        <f>IF(Calc!$B1748,Calc!E1748,"")</f>
        <v/>
      </c>
      <c r="B1748">
        <f>IF(Calc!$B1748,INDEX(MineNames,Calc!C1748),"")</f>
        <v/>
      </c>
      <c r="C1748" s="17">
        <f>IF(Calc!$B1748,Calc!O1748,"")</f>
        <v/>
      </c>
    </row>
    <row r="1749">
      <c r="A1749" s="16">
        <f>IF(Calc!$B1749,Calc!E1749,"")</f>
        <v/>
      </c>
      <c r="B1749">
        <f>IF(Calc!$B1749,INDEX(MineNames,Calc!C1749),"")</f>
        <v/>
      </c>
      <c r="C1749" s="17">
        <f>IF(Calc!$B1749,Calc!O1749,"")</f>
        <v/>
      </c>
    </row>
    <row r="1750">
      <c r="A1750" s="16">
        <f>IF(Calc!$B1750,Calc!E1750,"")</f>
        <v/>
      </c>
      <c r="B1750">
        <f>IF(Calc!$B1750,INDEX(MineNames,Calc!C1750),"")</f>
        <v/>
      </c>
      <c r="C1750" s="17">
        <f>IF(Calc!$B1750,Calc!O1750,"")</f>
        <v/>
      </c>
    </row>
    <row r="1751">
      <c r="A1751" s="16">
        <f>IF(Calc!$B1751,Calc!E1751,"")</f>
        <v/>
      </c>
      <c r="B1751">
        <f>IF(Calc!$B1751,INDEX(MineNames,Calc!C1751),"")</f>
        <v/>
      </c>
      <c r="C1751" s="17">
        <f>IF(Calc!$B1751,Calc!O1751,"")</f>
        <v/>
      </c>
    </row>
    <row r="1752">
      <c r="A1752" s="16">
        <f>IF(Calc!$B1752,Calc!E1752,"")</f>
        <v/>
      </c>
      <c r="B1752">
        <f>IF(Calc!$B1752,INDEX(MineNames,Calc!C1752),"")</f>
        <v/>
      </c>
      <c r="C1752" s="17">
        <f>IF(Calc!$B1752,Calc!O1752,"")</f>
        <v/>
      </c>
    </row>
    <row r="1753">
      <c r="A1753" s="16">
        <f>IF(Calc!$B1753,Calc!E1753,"")</f>
        <v/>
      </c>
      <c r="B1753">
        <f>IF(Calc!$B1753,INDEX(MineNames,Calc!C1753),"")</f>
        <v/>
      </c>
      <c r="C1753" s="17">
        <f>IF(Calc!$B1753,Calc!O1753,"")</f>
        <v/>
      </c>
    </row>
    <row r="1754">
      <c r="A1754" s="16">
        <f>IF(Calc!$B1754,Calc!E1754,"")</f>
        <v/>
      </c>
      <c r="B1754">
        <f>IF(Calc!$B1754,INDEX(MineNames,Calc!C1754),"")</f>
        <v/>
      </c>
      <c r="C1754" s="17">
        <f>IF(Calc!$B1754,Calc!O1754,"")</f>
        <v/>
      </c>
    </row>
    <row r="1755">
      <c r="A1755" s="16">
        <f>IF(Calc!$B1755,Calc!E1755,"")</f>
        <v/>
      </c>
      <c r="B1755">
        <f>IF(Calc!$B1755,INDEX(MineNames,Calc!C1755),"")</f>
        <v/>
      </c>
      <c r="C1755" s="17">
        <f>IF(Calc!$B1755,Calc!O1755,"")</f>
        <v/>
      </c>
    </row>
    <row r="1756">
      <c r="A1756" s="16">
        <f>IF(Calc!$B1756,Calc!E1756,"")</f>
        <v/>
      </c>
      <c r="B1756">
        <f>IF(Calc!$B1756,INDEX(MineNames,Calc!C1756),"")</f>
        <v/>
      </c>
      <c r="C1756" s="17">
        <f>IF(Calc!$B1756,Calc!O1756,"")</f>
        <v/>
      </c>
    </row>
    <row r="1757">
      <c r="A1757" s="16">
        <f>IF(Calc!$B1757,Calc!E1757,"")</f>
        <v/>
      </c>
      <c r="B1757">
        <f>IF(Calc!$B1757,INDEX(MineNames,Calc!C1757),"")</f>
        <v/>
      </c>
      <c r="C1757" s="17">
        <f>IF(Calc!$B1757,Calc!O1757,"")</f>
        <v/>
      </c>
    </row>
    <row r="1758">
      <c r="A1758" s="16">
        <f>IF(Calc!$B1758,Calc!E1758,"")</f>
        <v/>
      </c>
      <c r="B1758">
        <f>IF(Calc!$B1758,INDEX(MineNames,Calc!C1758),"")</f>
        <v/>
      </c>
      <c r="C1758" s="17">
        <f>IF(Calc!$B1758,Calc!O1758,"")</f>
        <v/>
      </c>
    </row>
    <row r="1759">
      <c r="A1759" s="16">
        <f>IF(Calc!$B1759,Calc!E1759,"")</f>
        <v/>
      </c>
      <c r="B1759">
        <f>IF(Calc!$B1759,INDEX(MineNames,Calc!C1759),"")</f>
        <v/>
      </c>
      <c r="C1759" s="17">
        <f>IF(Calc!$B1759,Calc!O1759,"")</f>
        <v/>
      </c>
    </row>
    <row r="1760">
      <c r="A1760" s="16">
        <f>IF(Calc!$B1760,Calc!E1760,"")</f>
        <v/>
      </c>
      <c r="B1760">
        <f>IF(Calc!$B1760,INDEX(MineNames,Calc!C1760),"")</f>
        <v/>
      </c>
      <c r="C1760" s="17">
        <f>IF(Calc!$B1760,Calc!O1760,"")</f>
        <v/>
      </c>
    </row>
    <row r="1761">
      <c r="A1761" s="16">
        <f>IF(Calc!$B1761,Calc!E1761,"")</f>
        <v/>
      </c>
      <c r="B1761">
        <f>IF(Calc!$B1761,INDEX(MineNames,Calc!C1761),"")</f>
        <v/>
      </c>
      <c r="C1761" s="17">
        <f>IF(Calc!$B1761,Calc!O1761,"")</f>
        <v/>
      </c>
    </row>
    <row r="1762">
      <c r="A1762" s="16">
        <f>IF(Calc!$B1762,Calc!E1762,"")</f>
        <v/>
      </c>
      <c r="B1762">
        <f>IF(Calc!$B1762,INDEX(MineNames,Calc!C1762),"")</f>
        <v/>
      </c>
      <c r="C1762" s="17">
        <f>IF(Calc!$B1762,Calc!O1762,"")</f>
        <v/>
      </c>
    </row>
    <row r="1763">
      <c r="A1763" s="16">
        <f>IF(Calc!$B1763,Calc!E1763,"")</f>
        <v/>
      </c>
      <c r="B1763">
        <f>IF(Calc!$B1763,INDEX(MineNames,Calc!C1763),"")</f>
        <v/>
      </c>
      <c r="C1763" s="17">
        <f>IF(Calc!$B1763,Calc!O1763,"")</f>
        <v/>
      </c>
    </row>
    <row r="1764">
      <c r="A1764" s="16">
        <f>IF(Calc!$B1764,Calc!E1764,"")</f>
        <v/>
      </c>
      <c r="B1764">
        <f>IF(Calc!$B1764,INDEX(MineNames,Calc!C1764),"")</f>
        <v/>
      </c>
      <c r="C1764" s="17">
        <f>IF(Calc!$B1764,Calc!O1764,"")</f>
        <v/>
      </c>
    </row>
    <row r="1765">
      <c r="A1765" s="16">
        <f>IF(Calc!$B1765,Calc!E1765,"")</f>
        <v/>
      </c>
      <c r="B1765">
        <f>IF(Calc!$B1765,INDEX(MineNames,Calc!C1765),"")</f>
        <v/>
      </c>
      <c r="C1765" s="17">
        <f>IF(Calc!$B1765,Calc!O1765,"")</f>
        <v/>
      </c>
    </row>
    <row r="1766">
      <c r="A1766" s="16">
        <f>IF(Calc!$B1766,Calc!E1766,"")</f>
        <v/>
      </c>
      <c r="B1766">
        <f>IF(Calc!$B1766,INDEX(MineNames,Calc!C1766),"")</f>
        <v/>
      </c>
      <c r="C1766" s="17">
        <f>IF(Calc!$B1766,Calc!O1766,"")</f>
        <v/>
      </c>
    </row>
    <row r="1767">
      <c r="A1767" s="16">
        <f>IF(Calc!$B1767,Calc!E1767,"")</f>
        <v/>
      </c>
      <c r="B1767">
        <f>IF(Calc!$B1767,INDEX(MineNames,Calc!C1767),"")</f>
        <v/>
      </c>
      <c r="C1767" s="17">
        <f>IF(Calc!$B1767,Calc!O1767,"")</f>
        <v/>
      </c>
    </row>
    <row r="1768">
      <c r="A1768" s="16">
        <f>IF(Calc!$B1768,Calc!E1768,"")</f>
        <v/>
      </c>
      <c r="B1768">
        <f>IF(Calc!$B1768,INDEX(MineNames,Calc!C1768),"")</f>
        <v/>
      </c>
      <c r="C1768" s="17">
        <f>IF(Calc!$B1768,Calc!O1768,"")</f>
        <v/>
      </c>
    </row>
    <row r="1769">
      <c r="A1769" s="16">
        <f>IF(Calc!$B1769,Calc!E1769,"")</f>
        <v/>
      </c>
      <c r="B1769">
        <f>IF(Calc!$B1769,INDEX(MineNames,Calc!C1769),"")</f>
        <v/>
      </c>
      <c r="C1769" s="17">
        <f>IF(Calc!$B1769,Calc!O1769,"")</f>
        <v/>
      </c>
    </row>
    <row r="1770">
      <c r="A1770" s="16">
        <f>IF(Calc!$B1770,Calc!E1770,"")</f>
        <v/>
      </c>
      <c r="B1770">
        <f>IF(Calc!$B1770,INDEX(MineNames,Calc!C1770),"")</f>
        <v/>
      </c>
      <c r="C1770" s="17">
        <f>IF(Calc!$B1770,Calc!O1770,"")</f>
        <v/>
      </c>
    </row>
    <row r="1771">
      <c r="A1771" s="16">
        <f>IF(Calc!$B1771,Calc!E1771,"")</f>
        <v/>
      </c>
      <c r="B1771">
        <f>IF(Calc!$B1771,INDEX(MineNames,Calc!C1771),"")</f>
        <v/>
      </c>
      <c r="C1771" s="17">
        <f>IF(Calc!$B1771,Calc!O1771,"")</f>
        <v/>
      </c>
    </row>
    <row r="1772">
      <c r="A1772" s="16">
        <f>IF(Calc!$B1772,Calc!E1772,"")</f>
        <v/>
      </c>
      <c r="B1772">
        <f>IF(Calc!$B1772,INDEX(MineNames,Calc!C1772),"")</f>
        <v/>
      </c>
      <c r="C1772" s="17">
        <f>IF(Calc!$B1772,Calc!O1772,"")</f>
        <v/>
      </c>
    </row>
    <row r="1773">
      <c r="A1773" s="16">
        <f>IF(Calc!$B1773,Calc!E1773,"")</f>
        <v/>
      </c>
      <c r="B1773">
        <f>IF(Calc!$B1773,INDEX(MineNames,Calc!C1773),"")</f>
        <v/>
      </c>
      <c r="C1773" s="17">
        <f>IF(Calc!$B1773,Calc!O1773,"")</f>
        <v/>
      </c>
    </row>
    <row r="1774">
      <c r="A1774" s="16">
        <f>IF(Calc!$B1774,Calc!E1774,"")</f>
        <v/>
      </c>
      <c r="B1774">
        <f>IF(Calc!$B1774,INDEX(MineNames,Calc!C1774),"")</f>
        <v/>
      </c>
      <c r="C1774" s="17">
        <f>IF(Calc!$B1774,Calc!O1774,"")</f>
        <v/>
      </c>
    </row>
    <row r="1775">
      <c r="A1775" s="16">
        <f>IF(Calc!$B1775,Calc!E1775,"")</f>
        <v/>
      </c>
      <c r="B1775">
        <f>IF(Calc!$B1775,INDEX(MineNames,Calc!C1775),"")</f>
        <v/>
      </c>
      <c r="C1775" s="17">
        <f>IF(Calc!$B1775,Calc!O1775,"")</f>
        <v/>
      </c>
    </row>
    <row r="1776">
      <c r="A1776" s="16">
        <f>IF(Calc!$B1776,Calc!E1776,"")</f>
        <v/>
      </c>
      <c r="B1776">
        <f>IF(Calc!$B1776,INDEX(MineNames,Calc!C1776),"")</f>
        <v/>
      </c>
      <c r="C1776" s="17">
        <f>IF(Calc!$B1776,Calc!O1776,"")</f>
        <v/>
      </c>
    </row>
    <row r="1777">
      <c r="A1777" s="16">
        <f>IF(Calc!$B1777,Calc!E1777,"")</f>
        <v/>
      </c>
      <c r="B1777">
        <f>IF(Calc!$B1777,INDEX(MineNames,Calc!C1777),"")</f>
        <v/>
      </c>
      <c r="C1777" s="17">
        <f>IF(Calc!$B1777,Calc!O1777,"")</f>
        <v/>
      </c>
    </row>
    <row r="1778">
      <c r="A1778" s="16">
        <f>IF(Calc!$B1778,Calc!E1778,"")</f>
        <v/>
      </c>
      <c r="B1778">
        <f>IF(Calc!$B1778,INDEX(MineNames,Calc!C1778),"")</f>
        <v/>
      </c>
      <c r="C1778" s="17">
        <f>IF(Calc!$B1778,Calc!O1778,"")</f>
        <v/>
      </c>
    </row>
    <row r="1779">
      <c r="A1779" s="16">
        <f>IF(Calc!$B1779,Calc!E1779,"")</f>
        <v/>
      </c>
      <c r="B1779">
        <f>IF(Calc!$B1779,INDEX(MineNames,Calc!C1779),"")</f>
        <v/>
      </c>
      <c r="C1779" s="17">
        <f>IF(Calc!$B1779,Calc!O1779,"")</f>
        <v/>
      </c>
    </row>
    <row r="1780">
      <c r="A1780" s="16">
        <f>IF(Calc!$B1780,Calc!E1780,"")</f>
        <v/>
      </c>
      <c r="B1780">
        <f>IF(Calc!$B1780,INDEX(MineNames,Calc!C1780),"")</f>
        <v/>
      </c>
      <c r="C1780" s="17">
        <f>IF(Calc!$B1780,Calc!O1780,"")</f>
        <v/>
      </c>
    </row>
    <row r="1781">
      <c r="A1781" s="16">
        <f>IF(Calc!$B1781,Calc!E1781,"")</f>
        <v/>
      </c>
      <c r="B1781">
        <f>IF(Calc!$B1781,INDEX(MineNames,Calc!C1781),"")</f>
        <v/>
      </c>
      <c r="C1781" s="17">
        <f>IF(Calc!$B1781,Calc!O1781,"")</f>
        <v/>
      </c>
    </row>
    <row r="1782">
      <c r="A1782" s="16">
        <f>IF(Calc!$B1782,Calc!E1782,"")</f>
        <v/>
      </c>
      <c r="B1782">
        <f>IF(Calc!$B1782,INDEX(MineNames,Calc!C1782),"")</f>
        <v/>
      </c>
      <c r="C1782" s="17">
        <f>IF(Calc!$B1782,Calc!O1782,"")</f>
        <v/>
      </c>
    </row>
    <row r="1783">
      <c r="A1783" s="16">
        <f>IF(Calc!$B1783,Calc!E1783,"")</f>
        <v/>
      </c>
      <c r="B1783">
        <f>IF(Calc!$B1783,INDEX(MineNames,Calc!C1783),"")</f>
        <v/>
      </c>
      <c r="C1783" s="17">
        <f>IF(Calc!$B1783,Calc!O1783,"")</f>
        <v/>
      </c>
    </row>
    <row r="1784">
      <c r="A1784" s="16">
        <f>IF(Calc!$B1784,Calc!E1784,"")</f>
        <v/>
      </c>
      <c r="B1784">
        <f>IF(Calc!$B1784,INDEX(MineNames,Calc!C1784),"")</f>
        <v/>
      </c>
      <c r="C1784" s="17">
        <f>IF(Calc!$B1784,Calc!O1784,"")</f>
        <v/>
      </c>
    </row>
    <row r="1785">
      <c r="A1785" s="16">
        <f>IF(Calc!$B1785,Calc!E1785,"")</f>
        <v/>
      </c>
      <c r="B1785">
        <f>IF(Calc!$B1785,INDEX(MineNames,Calc!C1785),"")</f>
        <v/>
      </c>
      <c r="C1785" s="17">
        <f>IF(Calc!$B1785,Calc!O1785,"")</f>
        <v/>
      </c>
    </row>
    <row r="1786">
      <c r="A1786" s="16">
        <f>IF(Calc!$B1786,Calc!E1786,"")</f>
        <v/>
      </c>
      <c r="B1786">
        <f>IF(Calc!$B1786,INDEX(MineNames,Calc!C1786),"")</f>
        <v/>
      </c>
      <c r="C1786" s="17">
        <f>IF(Calc!$B1786,Calc!O1786,"")</f>
        <v/>
      </c>
    </row>
    <row r="1787">
      <c r="A1787" s="16">
        <f>IF(Calc!$B1787,Calc!E1787,"")</f>
        <v/>
      </c>
      <c r="B1787">
        <f>IF(Calc!$B1787,INDEX(MineNames,Calc!C1787),"")</f>
        <v/>
      </c>
      <c r="C1787" s="17">
        <f>IF(Calc!$B1787,Calc!O1787,"")</f>
        <v/>
      </c>
    </row>
    <row r="1788">
      <c r="A1788" s="16">
        <f>IF(Calc!$B1788,Calc!E1788,"")</f>
        <v/>
      </c>
      <c r="B1788">
        <f>IF(Calc!$B1788,INDEX(MineNames,Calc!C1788),"")</f>
        <v/>
      </c>
      <c r="C1788" s="17">
        <f>IF(Calc!$B1788,Calc!O1788,"")</f>
        <v/>
      </c>
    </row>
    <row r="1789">
      <c r="A1789" s="16">
        <f>IF(Calc!$B1789,Calc!E1789,"")</f>
        <v/>
      </c>
      <c r="B1789">
        <f>IF(Calc!$B1789,INDEX(MineNames,Calc!C1789),"")</f>
        <v/>
      </c>
      <c r="C1789" s="17">
        <f>IF(Calc!$B1789,Calc!O1789,"")</f>
        <v/>
      </c>
    </row>
    <row r="1790">
      <c r="A1790" s="16">
        <f>IF(Calc!$B1790,Calc!E1790,"")</f>
        <v/>
      </c>
      <c r="B1790">
        <f>IF(Calc!$B1790,INDEX(MineNames,Calc!C1790),"")</f>
        <v/>
      </c>
      <c r="C1790" s="17">
        <f>IF(Calc!$B1790,Calc!O1790,"")</f>
        <v/>
      </c>
    </row>
    <row r="1791">
      <c r="A1791" s="16">
        <f>IF(Calc!$B1791,Calc!E1791,"")</f>
        <v/>
      </c>
      <c r="B1791">
        <f>IF(Calc!$B1791,INDEX(MineNames,Calc!C1791),"")</f>
        <v/>
      </c>
      <c r="C1791" s="17">
        <f>IF(Calc!$B1791,Calc!O1791,"")</f>
        <v/>
      </c>
    </row>
    <row r="1792">
      <c r="A1792" s="16">
        <f>IF(Calc!$B1792,Calc!E1792,"")</f>
        <v/>
      </c>
      <c r="B1792">
        <f>IF(Calc!$B1792,INDEX(MineNames,Calc!C1792),"")</f>
        <v/>
      </c>
      <c r="C1792" s="17">
        <f>IF(Calc!$B1792,Calc!O1792,"")</f>
        <v/>
      </c>
    </row>
    <row r="1793">
      <c r="A1793" s="16">
        <f>IF(Calc!$B1793,Calc!E1793,"")</f>
        <v/>
      </c>
      <c r="B1793">
        <f>IF(Calc!$B1793,INDEX(MineNames,Calc!C1793),"")</f>
        <v/>
      </c>
      <c r="C1793" s="17">
        <f>IF(Calc!$B1793,Calc!O1793,"")</f>
        <v/>
      </c>
    </row>
    <row r="1794">
      <c r="A1794" s="16">
        <f>IF(Calc!$B1794,Calc!E1794,"")</f>
        <v/>
      </c>
      <c r="B1794">
        <f>IF(Calc!$B1794,INDEX(MineNames,Calc!C1794),"")</f>
        <v/>
      </c>
      <c r="C1794" s="17">
        <f>IF(Calc!$B1794,Calc!O1794,"")</f>
        <v/>
      </c>
    </row>
    <row r="1795">
      <c r="A1795" s="16">
        <f>IF(Calc!$B1795,Calc!E1795,"")</f>
        <v/>
      </c>
      <c r="B1795">
        <f>IF(Calc!$B1795,INDEX(MineNames,Calc!C1795),"")</f>
        <v/>
      </c>
      <c r="C1795" s="17">
        <f>IF(Calc!$B1795,Calc!O1795,"")</f>
        <v/>
      </c>
    </row>
    <row r="1796">
      <c r="A1796" s="16">
        <f>IF(Calc!$B1796,Calc!E1796,"")</f>
        <v/>
      </c>
      <c r="B1796">
        <f>IF(Calc!$B1796,INDEX(MineNames,Calc!C1796),"")</f>
        <v/>
      </c>
      <c r="C1796" s="17">
        <f>IF(Calc!$B1796,Calc!O1796,"")</f>
        <v/>
      </c>
    </row>
    <row r="1797">
      <c r="A1797" s="16">
        <f>IF(Calc!$B1797,Calc!E1797,"")</f>
        <v/>
      </c>
      <c r="B1797">
        <f>IF(Calc!$B1797,INDEX(MineNames,Calc!C1797),"")</f>
        <v/>
      </c>
      <c r="C1797" s="17">
        <f>IF(Calc!$B1797,Calc!O1797,"")</f>
        <v/>
      </c>
    </row>
    <row r="1798">
      <c r="A1798" s="16">
        <f>IF(Calc!$B1798,Calc!E1798,"")</f>
        <v/>
      </c>
      <c r="B1798">
        <f>IF(Calc!$B1798,INDEX(MineNames,Calc!C1798),"")</f>
        <v/>
      </c>
      <c r="C1798" s="17">
        <f>IF(Calc!$B1798,Calc!O1798,"")</f>
        <v/>
      </c>
    </row>
    <row r="1799">
      <c r="A1799" s="16">
        <f>IF(Calc!$B1799,Calc!E1799,"")</f>
        <v/>
      </c>
      <c r="B1799">
        <f>IF(Calc!$B1799,INDEX(MineNames,Calc!C1799),"")</f>
        <v/>
      </c>
      <c r="C1799" s="17">
        <f>IF(Calc!$B1799,Calc!O1799,"")</f>
        <v/>
      </c>
    </row>
    <row r="1800">
      <c r="A1800" s="16">
        <f>IF(Calc!$B1800,Calc!E1800,"")</f>
        <v/>
      </c>
      <c r="B1800">
        <f>IF(Calc!$B1800,INDEX(MineNames,Calc!C1800),"")</f>
        <v/>
      </c>
      <c r="C1800" s="17">
        <f>IF(Calc!$B1800,Calc!O1800,"")</f>
        <v/>
      </c>
    </row>
    <row r="1801">
      <c r="A1801" s="16">
        <f>IF(Calc!$B1801,Calc!E1801,"")</f>
        <v/>
      </c>
      <c r="B1801">
        <f>IF(Calc!$B1801,INDEX(MineNames,Calc!C1801),"")</f>
        <v/>
      </c>
      <c r="C1801" s="17">
        <f>IF(Calc!$B1801,Calc!O1801,"")</f>
        <v/>
      </c>
    </row>
    <row r="1802">
      <c r="A1802" s="16">
        <f>IF(Calc!$B1802,Calc!E1802,"")</f>
        <v/>
      </c>
      <c r="B1802">
        <f>IF(Calc!$B1802,INDEX(MineNames,Calc!C1802),"")</f>
        <v/>
      </c>
      <c r="C1802" s="17">
        <f>IF(Calc!$B1802,Calc!O1802,"")</f>
        <v/>
      </c>
    </row>
    <row r="1803">
      <c r="A1803" s="16">
        <f>IF(Calc!$B1803,Calc!E1803,"")</f>
        <v/>
      </c>
      <c r="B1803">
        <f>IF(Calc!$B1803,INDEX(MineNames,Calc!C1803),"")</f>
        <v/>
      </c>
      <c r="C1803" s="17">
        <f>IF(Calc!$B1803,Calc!O1803,"")</f>
        <v/>
      </c>
    </row>
    <row r="1804">
      <c r="A1804" s="16">
        <f>IF(Calc!$B1804,Calc!E1804,"")</f>
        <v/>
      </c>
      <c r="B1804">
        <f>IF(Calc!$B1804,INDEX(MineNames,Calc!C1804),"")</f>
        <v/>
      </c>
      <c r="C1804" s="17">
        <f>IF(Calc!$B1804,Calc!O1804,"")</f>
        <v/>
      </c>
    </row>
    <row r="1805">
      <c r="A1805" s="16">
        <f>IF(Calc!$B1805,Calc!E1805,"")</f>
        <v/>
      </c>
      <c r="B1805">
        <f>IF(Calc!$B1805,INDEX(MineNames,Calc!C1805),"")</f>
        <v/>
      </c>
      <c r="C1805" s="17">
        <f>IF(Calc!$B1805,Calc!O1805,"")</f>
        <v/>
      </c>
    </row>
    <row r="1806">
      <c r="A1806" s="16">
        <f>IF(Calc!$B1806,Calc!E1806,"")</f>
        <v/>
      </c>
      <c r="B1806">
        <f>IF(Calc!$B1806,INDEX(MineNames,Calc!C1806),"")</f>
        <v/>
      </c>
      <c r="C1806" s="17">
        <f>IF(Calc!$B1806,Calc!O1806,"")</f>
        <v/>
      </c>
    </row>
    <row r="1807">
      <c r="A1807" s="16">
        <f>IF(Calc!$B1807,Calc!E1807,"")</f>
        <v/>
      </c>
      <c r="B1807">
        <f>IF(Calc!$B1807,INDEX(MineNames,Calc!C1807),"")</f>
        <v/>
      </c>
      <c r="C1807" s="17">
        <f>IF(Calc!$B1807,Calc!O1807,"")</f>
        <v/>
      </c>
    </row>
    <row r="1808">
      <c r="A1808" s="16">
        <f>IF(Calc!$B1808,Calc!E1808,"")</f>
        <v/>
      </c>
      <c r="B1808">
        <f>IF(Calc!$B1808,INDEX(MineNames,Calc!C1808),"")</f>
        <v/>
      </c>
      <c r="C1808" s="17">
        <f>IF(Calc!$B1808,Calc!O1808,"")</f>
        <v/>
      </c>
    </row>
    <row r="1809">
      <c r="A1809" s="16">
        <f>IF(Calc!$B1809,Calc!E1809,"")</f>
        <v/>
      </c>
      <c r="B1809">
        <f>IF(Calc!$B1809,INDEX(MineNames,Calc!C1809),"")</f>
        <v/>
      </c>
      <c r="C1809" s="17">
        <f>IF(Calc!$B1809,Calc!O1809,"")</f>
        <v/>
      </c>
    </row>
    <row r="1810">
      <c r="A1810" s="16">
        <f>IF(Calc!$B1810,Calc!E1810,"")</f>
        <v/>
      </c>
      <c r="B1810">
        <f>IF(Calc!$B1810,INDEX(MineNames,Calc!C1810),"")</f>
        <v/>
      </c>
      <c r="C1810" s="17">
        <f>IF(Calc!$B1810,Calc!O1810,"")</f>
        <v/>
      </c>
    </row>
    <row r="1811">
      <c r="A1811" s="16">
        <f>IF(Calc!$B1811,Calc!E1811,"")</f>
        <v/>
      </c>
      <c r="B1811">
        <f>IF(Calc!$B1811,INDEX(MineNames,Calc!C1811),"")</f>
        <v/>
      </c>
      <c r="C1811" s="17">
        <f>IF(Calc!$B1811,Calc!O1811,"")</f>
        <v/>
      </c>
    </row>
    <row r="1812">
      <c r="A1812" s="16">
        <f>IF(Calc!$B1812,Calc!E1812,"")</f>
        <v/>
      </c>
      <c r="B1812">
        <f>IF(Calc!$B1812,INDEX(MineNames,Calc!C1812),"")</f>
        <v/>
      </c>
      <c r="C1812" s="17">
        <f>IF(Calc!$B1812,Calc!O1812,"")</f>
        <v/>
      </c>
    </row>
    <row r="1813">
      <c r="A1813" s="16">
        <f>IF(Calc!$B1813,Calc!E1813,"")</f>
        <v/>
      </c>
      <c r="B1813">
        <f>IF(Calc!$B1813,INDEX(MineNames,Calc!C1813),"")</f>
        <v/>
      </c>
      <c r="C1813" s="17">
        <f>IF(Calc!$B1813,Calc!O1813,"")</f>
        <v/>
      </c>
    </row>
    <row r="1814">
      <c r="A1814" s="16">
        <f>IF(Calc!$B1814,Calc!E1814,"")</f>
        <v/>
      </c>
      <c r="B1814">
        <f>IF(Calc!$B1814,INDEX(MineNames,Calc!C1814),"")</f>
        <v/>
      </c>
      <c r="C1814" s="17">
        <f>IF(Calc!$B1814,Calc!O1814,"")</f>
        <v/>
      </c>
    </row>
    <row r="1815">
      <c r="A1815" s="16">
        <f>IF(Calc!$B1815,Calc!E1815,"")</f>
        <v/>
      </c>
      <c r="B1815">
        <f>IF(Calc!$B1815,INDEX(MineNames,Calc!C1815),"")</f>
        <v/>
      </c>
      <c r="C1815" s="17">
        <f>IF(Calc!$B1815,Calc!O1815,"")</f>
        <v/>
      </c>
    </row>
    <row r="1816">
      <c r="A1816" s="16">
        <f>IF(Calc!$B1816,Calc!E1816,"")</f>
        <v/>
      </c>
      <c r="B1816">
        <f>IF(Calc!$B1816,INDEX(MineNames,Calc!C1816),"")</f>
        <v/>
      </c>
      <c r="C1816" s="17">
        <f>IF(Calc!$B1816,Calc!O1816,"")</f>
        <v/>
      </c>
    </row>
    <row r="1817">
      <c r="A1817" s="16">
        <f>IF(Calc!$B1817,Calc!E1817,"")</f>
        <v/>
      </c>
      <c r="B1817">
        <f>IF(Calc!$B1817,INDEX(MineNames,Calc!C1817),"")</f>
        <v/>
      </c>
      <c r="C1817" s="17">
        <f>IF(Calc!$B1817,Calc!O1817,"")</f>
        <v/>
      </c>
    </row>
    <row r="1818">
      <c r="A1818" s="16">
        <f>IF(Calc!$B1818,Calc!E1818,"")</f>
        <v/>
      </c>
      <c r="B1818">
        <f>IF(Calc!$B1818,INDEX(MineNames,Calc!C1818),"")</f>
        <v/>
      </c>
      <c r="C1818" s="17">
        <f>IF(Calc!$B1818,Calc!O1818,"")</f>
        <v/>
      </c>
    </row>
    <row r="1819">
      <c r="A1819" s="16">
        <f>IF(Calc!$B1819,Calc!E1819,"")</f>
        <v/>
      </c>
      <c r="B1819">
        <f>IF(Calc!$B1819,INDEX(MineNames,Calc!C1819),"")</f>
        <v/>
      </c>
      <c r="C1819" s="17">
        <f>IF(Calc!$B1819,Calc!O1819,"")</f>
        <v/>
      </c>
    </row>
    <row r="1820">
      <c r="A1820" s="16">
        <f>IF(Calc!$B1820,Calc!E1820,"")</f>
        <v/>
      </c>
      <c r="B1820">
        <f>IF(Calc!$B1820,INDEX(MineNames,Calc!C1820),"")</f>
        <v/>
      </c>
      <c r="C1820" s="17">
        <f>IF(Calc!$B1820,Calc!O1820,"")</f>
        <v/>
      </c>
    </row>
    <row r="1821">
      <c r="A1821" s="16">
        <f>IF(Calc!$B1821,Calc!E1821,"")</f>
        <v/>
      </c>
      <c r="B1821">
        <f>IF(Calc!$B1821,INDEX(MineNames,Calc!C1821),"")</f>
        <v/>
      </c>
      <c r="C1821" s="17">
        <f>IF(Calc!$B1821,Calc!O1821,"")</f>
        <v/>
      </c>
    </row>
    <row r="1822">
      <c r="A1822" s="16">
        <f>IF(Calc!$B1822,Calc!E1822,"")</f>
        <v/>
      </c>
      <c r="B1822">
        <f>IF(Calc!$B1822,INDEX(MineNames,Calc!C1822),"")</f>
        <v/>
      </c>
      <c r="C1822" s="17">
        <f>IF(Calc!$B1822,Calc!O1822,"")</f>
        <v/>
      </c>
    </row>
    <row r="1823">
      <c r="A1823" s="16">
        <f>IF(Calc!$B1823,Calc!E1823,"")</f>
        <v/>
      </c>
      <c r="B1823">
        <f>IF(Calc!$B1823,INDEX(MineNames,Calc!C1823),"")</f>
        <v/>
      </c>
      <c r="C1823" s="17">
        <f>IF(Calc!$B1823,Calc!O1823,"")</f>
        <v/>
      </c>
    </row>
    <row r="1824">
      <c r="A1824" s="16">
        <f>IF(Calc!$B1824,Calc!E1824,"")</f>
        <v/>
      </c>
      <c r="B1824">
        <f>IF(Calc!$B1824,INDEX(MineNames,Calc!C1824),"")</f>
        <v/>
      </c>
      <c r="C1824" s="17">
        <f>IF(Calc!$B1824,Calc!O1824,"")</f>
        <v/>
      </c>
    </row>
    <row r="1825">
      <c r="A1825" s="16">
        <f>IF(Calc!$B1825,Calc!E1825,"")</f>
        <v/>
      </c>
      <c r="B1825">
        <f>IF(Calc!$B1825,INDEX(MineNames,Calc!C1825),"")</f>
        <v/>
      </c>
      <c r="C1825" s="17">
        <f>IF(Calc!$B1825,Calc!O1825,"")</f>
        <v/>
      </c>
    </row>
    <row r="1826">
      <c r="A1826" s="16">
        <f>IF(Calc!$B1826,Calc!E1826,"")</f>
        <v/>
      </c>
      <c r="B1826">
        <f>IF(Calc!$B1826,INDEX(MineNames,Calc!C1826),"")</f>
        <v/>
      </c>
      <c r="C1826" s="17">
        <f>IF(Calc!$B1826,Calc!O1826,"")</f>
        <v/>
      </c>
    </row>
    <row r="1827">
      <c r="A1827" s="16">
        <f>IF(Calc!$B1827,Calc!E1827,"")</f>
        <v/>
      </c>
      <c r="B1827">
        <f>IF(Calc!$B1827,INDEX(MineNames,Calc!C1827),"")</f>
        <v/>
      </c>
      <c r="C1827" s="17">
        <f>IF(Calc!$B1827,Calc!O1827,"")</f>
        <v/>
      </c>
    </row>
    <row r="1828">
      <c r="A1828" s="16">
        <f>IF(Calc!$B1828,Calc!E1828,"")</f>
        <v/>
      </c>
      <c r="B1828">
        <f>IF(Calc!$B1828,INDEX(MineNames,Calc!C1828),"")</f>
        <v/>
      </c>
      <c r="C1828" s="17">
        <f>IF(Calc!$B1828,Calc!O1828,"")</f>
        <v/>
      </c>
    </row>
    <row r="1829">
      <c r="A1829" s="16">
        <f>IF(Calc!$B1829,Calc!E1829,"")</f>
        <v/>
      </c>
      <c r="B1829">
        <f>IF(Calc!$B1829,INDEX(MineNames,Calc!C1829),"")</f>
        <v/>
      </c>
      <c r="C1829" s="17">
        <f>IF(Calc!$B1829,Calc!O1829,"")</f>
        <v/>
      </c>
    </row>
    <row r="1830">
      <c r="A1830" s="16">
        <f>IF(Calc!$B1830,Calc!E1830,"")</f>
        <v/>
      </c>
      <c r="B1830">
        <f>IF(Calc!$B1830,INDEX(MineNames,Calc!C1830),"")</f>
        <v/>
      </c>
      <c r="C1830" s="17">
        <f>IF(Calc!$B1830,Calc!O1830,"")</f>
        <v/>
      </c>
    </row>
    <row r="1831">
      <c r="A1831" s="16">
        <f>IF(Calc!$B1831,Calc!E1831,"")</f>
        <v/>
      </c>
      <c r="B1831">
        <f>IF(Calc!$B1831,INDEX(MineNames,Calc!C1831),"")</f>
        <v/>
      </c>
      <c r="C1831" s="17">
        <f>IF(Calc!$B1831,Calc!O1831,"")</f>
        <v/>
      </c>
    </row>
    <row r="1832">
      <c r="A1832" s="16">
        <f>IF(Calc!$B1832,Calc!E1832,"")</f>
        <v/>
      </c>
      <c r="B1832">
        <f>IF(Calc!$B1832,INDEX(MineNames,Calc!C1832),"")</f>
        <v/>
      </c>
      <c r="C1832" s="17">
        <f>IF(Calc!$B1832,Calc!O1832,"")</f>
        <v/>
      </c>
    </row>
    <row r="1833">
      <c r="A1833" s="16">
        <f>IF(Calc!$B1833,Calc!E1833,"")</f>
        <v/>
      </c>
      <c r="B1833">
        <f>IF(Calc!$B1833,INDEX(MineNames,Calc!C1833),"")</f>
        <v/>
      </c>
      <c r="C1833" s="17">
        <f>IF(Calc!$B1833,Calc!O1833,"")</f>
        <v/>
      </c>
    </row>
    <row r="1834">
      <c r="A1834" s="16">
        <f>IF(Calc!$B1834,Calc!E1834,"")</f>
        <v/>
      </c>
      <c r="B1834">
        <f>IF(Calc!$B1834,INDEX(MineNames,Calc!C1834),"")</f>
        <v/>
      </c>
      <c r="C1834" s="17">
        <f>IF(Calc!$B1834,Calc!O1834,"")</f>
        <v/>
      </c>
    </row>
    <row r="1835">
      <c r="A1835" s="16">
        <f>IF(Calc!$B1835,Calc!E1835,"")</f>
        <v/>
      </c>
      <c r="B1835">
        <f>IF(Calc!$B1835,INDEX(MineNames,Calc!C1835),"")</f>
        <v/>
      </c>
      <c r="C1835" s="17">
        <f>IF(Calc!$B1835,Calc!O1835,"")</f>
        <v/>
      </c>
    </row>
    <row r="1836">
      <c r="A1836" s="16">
        <f>IF(Calc!$B1836,Calc!E1836,"")</f>
        <v/>
      </c>
      <c r="B1836">
        <f>IF(Calc!$B1836,INDEX(MineNames,Calc!C1836),"")</f>
        <v/>
      </c>
      <c r="C1836" s="17">
        <f>IF(Calc!$B1836,Calc!O1836,"")</f>
        <v/>
      </c>
    </row>
    <row r="1837">
      <c r="A1837" s="16">
        <f>IF(Calc!$B1837,Calc!E1837,"")</f>
        <v/>
      </c>
      <c r="B1837">
        <f>IF(Calc!$B1837,INDEX(MineNames,Calc!C1837),"")</f>
        <v/>
      </c>
      <c r="C1837" s="17">
        <f>IF(Calc!$B1837,Calc!O1837,"")</f>
        <v/>
      </c>
    </row>
    <row r="1838">
      <c r="A1838" s="16">
        <f>IF(Calc!$B1838,Calc!E1838,"")</f>
        <v/>
      </c>
      <c r="B1838">
        <f>IF(Calc!$B1838,INDEX(MineNames,Calc!C1838),"")</f>
        <v/>
      </c>
      <c r="C1838" s="17">
        <f>IF(Calc!$B1838,Calc!O1838,"")</f>
        <v/>
      </c>
    </row>
    <row r="1839">
      <c r="A1839" s="16">
        <f>IF(Calc!$B1839,Calc!E1839,"")</f>
        <v/>
      </c>
      <c r="B1839">
        <f>IF(Calc!$B1839,INDEX(MineNames,Calc!C1839),"")</f>
        <v/>
      </c>
      <c r="C1839" s="17">
        <f>IF(Calc!$B1839,Calc!O1839,"")</f>
        <v/>
      </c>
    </row>
    <row r="1840">
      <c r="A1840" s="16">
        <f>IF(Calc!$B1840,Calc!E1840,"")</f>
        <v/>
      </c>
      <c r="B1840">
        <f>IF(Calc!$B1840,INDEX(MineNames,Calc!C1840),"")</f>
        <v/>
      </c>
      <c r="C1840" s="17">
        <f>IF(Calc!$B1840,Calc!O1840,"")</f>
        <v/>
      </c>
    </row>
    <row r="1841">
      <c r="A1841" s="16">
        <f>IF(Calc!$B1841,Calc!E1841,"")</f>
        <v/>
      </c>
      <c r="B1841">
        <f>IF(Calc!$B1841,INDEX(MineNames,Calc!C1841),"")</f>
        <v/>
      </c>
      <c r="C1841" s="17">
        <f>IF(Calc!$B1841,Calc!O1841,"")</f>
        <v/>
      </c>
    </row>
    <row r="1842">
      <c r="A1842" s="16">
        <f>IF(Calc!$B1842,Calc!E1842,"")</f>
        <v/>
      </c>
      <c r="B1842">
        <f>IF(Calc!$B1842,INDEX(MineNames,Calc!C1842),"")</f>
        <v/>
      </c>
      <c r="C1842" s="17">
        <f>IF(Calc!$B1842,Calc!O1842,"")</f>
        <v/>
      </c>
    </row>
    <row r="1843">
      <c r="A1843" s="16">
        <f>IF(Calc!$B1843,Calc!E1843,"")</f>
        <v/>
      </c>
      <c r="B1843">
        <f>IF(Calc!$B1843,INDEX(MineNames,Calc!C1843),"")</f>
        <v/>
      </c>
      <c r="C1843" s="17">
        <f>IF(Calc!$B1843,Calc!O1843,"")</f>
        <v/>
      </c>
    </row>
    <row r="1844">
      <c r="A1844" s="16">
        <f>IF(Calc!$B1844,Calc!E1844,"")</f>
        <v/>
      </c>
      <c r="B1844">
        <f>IF(Calc!$B1844,INDEX(MineNames,Calc!C1844),"")</f>
        <v/>
      </c>
      <c r="C1844" s="17">
        <f>IF(Calc!$B1844,Calc!O1844,"")</f>
        <v/>
      </c>
    </row>
    <row r="1845">
      <c r="A1845" s="16">
        <f>IF(Calc!$B1845,Calc!E1845,"")</f>
        <v/>
      </c>
      <c r="B1845">
        <f>IF(Calc!$B1845,INDEX(MineNames,Calc!C1845),"")</f>
        <v/>
      </c>
      <c r="C1845" s="17">
        <f>IF(Calc!$B1845,Calc!O1845,"")</f>
        <v/>
      </c>
    </row>
    <row r="1846">
      <c r="A1846" s="16">
        <f>IF(Calc!$B1846,Calc!E1846,"")</f>
        <v/>
      </c>
      <c r="B1846">
        <f>IF(Calc!$B1846,INDEX(MineNames,Calc!C1846),"")</f>
        <v/>
      </c>
      <c r="C1846" s="17">
        <f>IF(Calc!$B1846,Calc!O1846,"")</f>
        <v/>
      </c>
    </row>
    <row r="1847">
      <c r="A1847" s="16">
        <f>IF(Calc!$B1847,Calc!E1847,"")</f>
        <v/>
      </c>
      <c r="B1847">
        <f>IF(Calc!$B1847,INDEX(MineNames,Calc!C1847),"")</f>
        <v/>
      </c>
      <c r="C1847" s="17">
        <f>IF(Calc!$B1847,Calc!O1847,"")</f>
        <v/>
      </c>
    </row>
    <row r="1848">
      <c r="A1848" s="16">
        <f>IF(Calc!$B1848,Calc!E1848,"")</f>
        <v/>
      </c>
      <c r="B1848">
        <f>IF(Calc!$B1848,INDEX(MineNames,Calc!C1848),"")</f>
        <v/>
      </c>
      <c r="C1848" s="17">
        <f>IF(Calc!$B1848,Calc!O1848,"")</f>
        <v/>
      </c>
    </row>
    <row r="1849">
      <c r="A1849" s="16">
        <f>IF(Calc!$B1849,Calc!E1849,"")</f>
        <v/>
      </c>
      <c r="B1849">
        <f>IF(Calc!$B1849,INDEX(MineNames,Calc!C1849),"")</f>
        <v/>
      </c>
      <c r="C1849" s="17">
        <f>IF(Calc!$B1849,Calc!O1849,"")</f>
        <v/>
      </c>
    </row>
    <row r="1850">
      <c r="A1850" s="16">
        <f>IF(Calc!$B1850,Calc!E1850,"")</f>
        <v/>
      </c>
      <c r="B1850">
        <f>IF(Calc!$B1850,INDEX(MineNames,Calc!C1850),"")</f>
        <v/>
      </c>
      <c r="C1850" s="17">
        <f>IF(Calc!$B1850,Calc!O1850,"")</f>
        <v/>
      </c>
    </row>
    <row r="1851">
      <c r="A1851" s="16">
        <f>IF(Calc!$B1851,Calc!E1851,"")</f>
        <v/>
      </c>
      <c r="B1851">
        <f>IF(Calc!$B1851,INDEX(MineNames,Calc!C1851),"")</f>
        <v/>
      </c>
      <c r="C1851" s="17">
        <f>IF(Calc!$B1851,Calc!O1851,"")</f>
        <v/>
      </c>
    </row>
    <row r="1852">
      <c r="A1852" s="16">
        <f>IF(Calc!$B1852,Calc!E1852,"")</f>
        <v/>
      </c>
      <c r="B1852">
        <f>IF(Calc!$B1852,INDEX(MineNames,Calc!C1852),"")</f>
        <v/>
      </c>
      <c r="C1852" s="17">
        <f>IF(Calc!$B1852,Calc!O1852,"")</f>
        <v/>
      </c>
    </row>
    <row r="1853">
      <c r="A1853" s="16">
        <f>IF(Calc!$B1853,Calc!E1853,"")</f>
        <v/>
      </c>
      <c r="B1853">
        <f>IF(Calc!$B1853,INDEX(MineNames,Calc!C1853),"")</f>
        <v/>
      </c>
      <c r="C1853" s="17">
        <f>IF(Calc!$B1853,Calc!O1853,"")</f>
        <v/>
      </c>
    </row>
    <row r="1854">
      <c r="A1854" s="16">
        <f>IF(Calc!$B1854,Calc!E1854,"")</f>
        <v/>
      </c>
      <c r="B1854">
        <f>IF(Calc!$B1854,INDEX(MineNames,Calc!C1854),"")</f>
        <v/>
      </c>
      <c r="C1854" s="17">
        <f>IF(Calc!$B1854,Calc!O1854,"")</f>
        <v/>
      </c>
    </row>
    <row r="1855">
      <c r="A1855" s="16">
        <f>IF(Calc!$B1855,Calc!E1855,"")</f>
        <v/>
      </c>
      <c r="B1855">
        <f>IF(Calc!$B1855,INDEX(MineNames,Calc!C1855),"")</f>
        <v/>
      </c>
      <c r="C1855" s="17">
        <f>IF(Calc!$B1855,Calc!O1855,"")</f>
        <v/>
      </c>
    </row>
    <row r="1856">
      <c r="A1856" s="16">
        <f>IF(Calc!$B1856,Calc!E1856,"")</f>
        <v/>
      </c>
      <c r="B1856">
        <f>IF(Calc!$B1856,INDEX(MineNames,Calc!C1856),"")</f>
        <v/>
      </c>
      <c r="C1856" s="17">
        <f>IF(Calc!$B1856,Calc!O1856,"")</f>
        <v/>
      </c>
    </row>
    <row r="1857">
      <c r="A1857" s="16">
        <f>IF(Calc!$B1857,Calc!E1857,"")</f>
        <v/>
      </c>
      <c r="B1857">
        <f>IF(Calc!$B1857,INDEX(MineNames,Calc!C1857),"")</f>
        <v/>
      </c>
      <c r="C1857" s="17">
        <f>IF(Calc!$B1857,Calc!O1857,"")</f>
        <v/>
      </c>
    </row>
    <row r="1858">
      <c r="A1858" s="16">
        <f>IF(Calc!$B1858,Calc!E1858,"")</f>
        <v/>
      </c>
      <c r="B1858">
        <f>IF(Calc!$B1858,INDEX(MineNames,Calc!C1858),"")</f>
        <v/>
      </c>
      <c r="C1858" s="17">
        <f>IF(Calc!$B1858,Calc!O1858,"")</f>
        <v/>
      </c>
    </row>
    <row r="1859">
      <c r="A1859" s="16">
        <f>IF(Calc!$B1859,Calc!E1859,"")</f>
        <v/>
      </c>
      <c r="B1859">
        <f>IF(Calc!$B1859,INDEX(MineNames,Calc!C1859),"")</f>
        <v/>
      </c>
      <c r="C1859" s="17">
        <f>IF(Calc!$B1859,Calc!O1859,"")</f>
        <v/>
      </c>
    </row>
    <row r="1860">
      <c r="A1860" s="16">
        <f>IF(Calc!$B1860,Calc!E1860,"")</f>
        <v/>
      </c>
      <c r="B1860">
        <f>IF(Calc!$B1860,INDEX(MineNames,Calc!C1860),"")</f>
        <v/>
      </c>
      <c r="C1860" s="17">
        <f>IF(Calc!$B1860,Calc!O1860,"")</f>
        <v/>
      </c>
    </row>
    <row r="1861">
      <c r="A1861" s="16">
        <f>IF(Calc!$B1861,Calc!E1861,"")</f>
        <v/>
      </c>
      <c r="B1861">
        <f>IF(Calc!$B1861,INDEX(MineNames,Calc!C1861),"")</f>
        <v/>
      </c>
      <c r="C1861" s="17">
        <f>IF(Calc!$B1861,Calc!O1861,"")</f>
        <v/>
      </c>
    </row>
    <row r="1862">
      <c r="A1862" s="16">
        <f>IF(Calc!$B1862,Calc!E1862,"")</f>
        <v/>
      </c>
      <c r="B1862">
        <f>IF(Calc!$B1862,INDEX(MineNames,Calc!C1862),"")</f>
        <v/>
      </c>
      <c r="C1862" s="17">
        <f>IF(Calc!$B1862,Calc!O1862,"")</f>
        <v/>
      </c>
    </row>
    <row r="1863">
      <c r="A1863" s="16">
        <f>IF(Calc!$B1863,Calc!E1863,"")</f>
        <v/>
      </c>
      <c r="B1863">
        <f>IF(Calc!$B1863,INDEX(MineNames,Calc!C1863),"")</f>
        <v/>
      </c>
      <c r="C1863" s="17">
        <f>IF(Calc!$B1863,Calc!O1863,"")</f>
        <v/>
      </c>
    </row>
    <row r="1864">
      <c r="A1864" s="16">
        <f>IF(Calc!$B1864,Calc!E1864,"")</f>
        <v/>
      </c>
      <c r="B1864">
        <f>IF(Calc!$B1864,INDEX(MineNames,Calc!C1864),"")</f>
        <v/>
      </c>
      <c r="C1864" s="17">
        <f>IF(Calc!$B1864,Calc!O1864,"")</f>
        <v/>
      </c>
    </row>
    <row r="1865">
      <c r="A1865" s="16">
        <f>IF(Calc!$B1865,Calc!E1865,"")</f>
        <v/>
      </c>
      <c r="B1865">
        <f>IF(Calc!$B1865,INDEX(MineNames,Calc!C1865),"")</f>
        <v/>
      </c>
      <c r="C1865" s="17">
        <f>IF(Calc!$B1865,Calc!O1865,"")</f>
        <v/>
      </c>
    </row>
    <row r="1866">
      <c r="A1866" s="16">
        <f>IF(Calc!$B1866,Calc!E1866,"")</f>
        <v/>
      </c>
      <c r="B1866">
        <f>IF(Calc!$B1866,INDEX(MineNames,Calc!C1866),"")</f>
        <v/>
      </c>
      <c r="C1866" s="17">
        <f>IF(Calc!$B1866,Calc!O1866,"")</f>
        <v/>
      </c>
    </row>
    <row r="1867">
      <c r="A1867" s="16">
        <f>IF(Calc!$B1867,Calc!E1867,"")</f>
        <v/>
      </c>
      <c r="B1867">
        <f>IF(Calc!$B1867,INDEX(MineNames,Calc!C1867),"")</f>
        <v/>
      </c>
      <c r="C1867" s="17">
        <f>IF(Calc!$B1867,Calc!O1867,"")</f>
        <v/>
      </c>
    </row>
    <row r="1868">
      <c r="A1868" s="16">
        <f>IF(Calc!$B1868,Calc!E1868,"")</f>
        <v/>
      </c>
      <c r="B1868">
        <f>IF(Calc!$B1868,INDEX(MineNames,Calc!C1868),"")</f>
        <v/>
      </c>
      <c r="C1868" s="17">
        <f>IF(Calc!$B1868,Calc!O1868,"")</f>
        <v/>
      </c>
    </row>
    <row r="1869">
      <c r="A1869" s="16">
        <f>IF(Calc!$B1869,Calc!E1869,"")</f>
        <v/>
      </c>
      <c r="B1869">
        <f>IF(Calc!$B1869,INDEX(MineNames,Calc!C1869),"")</f>
        <v/>
      </c>
      <c r="C1869" s="17">
        <f>IF(Calc!$B1869,Calc!O1869,"")</f>
        <v/>
      </c>
    </row>
    <row r="1870">
      <c r="A1870" s="16">
        <f>IF(Calc!$B1870,Calc!E1870,"")</f>
        <v/>
      </c>
      <c r="B1870">
        <f>IF(Calc!$B1870,INDEX(MineNames,Calc!C1870),"")</f>
        <v/>
      </c>
      <c r="C1870" s="17">
        <f>IF(Calc!$B1870,Calc!O1870,"")</f>
        <v/>
      </c>
    </row>
    <row r="1871">
      <c r="A1871" s="16">
        <f>IF(Calc!$B1871,Calc!E1871,"")</f>
        <v/>
      </c>
      <c r="B1871">
        <f>IF(Calc!$B1871,INDEX(MineNames,Calc!C1871),"")</f>
        <v/>
      </c>
      <c r="C1871" s="17">
        <f>IF(Calc!$B1871,Calc!O1871,"")</f>
        <v/>
      </c>
    </row>
    <row r="1872">
      <c r="A1872" s="16">
        <f>IF(Calc!$B1872,Calc!E1872,"")</f>
        <v/>
      </c>
      <c r="B1872">
        <f>IF(Calc!$B1872,INDEX(MineNames,Calc!C1872),"")</f>
        <v/>
      </c>
      <c r="C1872" s="17">
        <f>IF(Calc!$B1872,Calc!O1872,"")</f>
        <v/>
      </c>
    </row>
    <row r="1873">
      <c r="A1873" s="16">
        <f>IF(Calc!$B1873,Calc!E1873,"")</f>
        <v/>
      </c>
      <c r="B1873">
        <f>IF(Calc!$B1873,INDEX(MineNames,Calc!C1873),"")</f>
        <v/>
      </c>
      <c r="C1873" s="17">
        <f>IF(Calc!$B1873,Calc!O1873,"")</f>
        <v/>
      </c>
    </row>
    <row r="1874">
      <c r="A1874" s="16">
        <f>IF(Calc!$B1874,Calc!E1874,"")</f>
        <v/>
      </c>
      <c r="B1874">
        <f>IF(Calc!$B1874,INDEX(MineNames,Calc!C1874),"")</f>
        <v/>
      </c>
      <c r="C1874" s="17">
        <f>IF(Calc!$B1874,Calc!O1874,"")</f>
        <v/>
      </c>
    </row>
    <row r="1875">
      <c r="A1875" s="16">
        <f>IF(Calc!$B1875,Calc!E1875,"")</f>
        <v/>
      </c>
      <c r="B1875">
        <f>IF(Calc!$B1875,INDEX(MineNames,Calc!C1875),"")</f>
        <v/>
      </c>
      <c r="C1875" s="17">
        <f>IF(Calc!$B1875,Calc!O1875,"")</f>
        <v/>
      </c>
    </row>
    <row r="1876">
      <c r="A1876" s="16">
        <f>IF(Calc!$B1876,Calc!E1876,"")</f>
        <v/>
      </c>
      <c r="B1876">
        <f>IF(Calc!$B1876,INDEX(MineNames,Calc!C1876),"")</f>
        <v/>
      </c>
      <c r="C1876" s="17">
        <f>IF(Calc!$B1876,Calc!O1876,"")</f>
        <v/>
      </c>
    </row>
    <row r="1877">
      <c r="A1877" s="16">
        <f>IF(Calc!$B1877,Calc!E1877,"")</f>
        <v/>
      </c>
      <c r="B1877">
        <f>IF(Calc!$B1877,INDEX(MineNames,Calc!C1877),"")</f>
        <v/>
      </c>
      <c r="C1877" s="17">
        <f>IF(Calc!$B1877,Calc!O1877,"")</f>
        <v/>
      </c>
    </row>
    <row r="1878">
      <c r="A1878" s="16">
        <f>IF(Calc!$B1878,Calc!E1878,"")</f>
        <v/>
      </c>
      <c r="B1878">
        <f>IF(Calc!$B1878,INDEX(MineNames,Calc!C1878),"")</f>
        <v/>
      </c>
      <c r="C1878" s="17">
        <f>IF(Calc!$B1878,Calc!O1878,"")</f>
        <v/>
      </c>
    </row>
    <row r="1879">
      <c r="A1879" s="16">
        <f>IF(Calc!$B1879,Calc!E1879,"")</f>
        <v/>
      </c>
      <c r="B1879">
        <f>IF(Calc!$B1879,INDEX(MineNames,Calc!C1879),"")</f>
        <v/>
      </c>
      <c r="C1879" s="17">
        <f>IF(Calc!$B1879,Calc!O1879,"")</f>
        <v/>
      </c>
    </row>
    <row r="1880">
      <c r="A1880" s="16">
        <f>IF(Calc!$B1880,Calc!E1880,"")</f>
        <v/>
      </c>
      <c r="B1880">
        <f>IF(Calc!$B1880,INDEX(MineNames,Calc!C1880),"")</f>
        <v/>
      </c>
      <c r="C1880" s="17">
        <f>IF(Calc!$B1880,Calc!O1880,"")</f>
        <v/>
      </c>
    </row>
    <row r="1881">
      <c r="A1881" s="16">
        <f>IF(Calc!$B1881,Calc!E1881,"")</f>
        <v/>
      </c>
      <c r="B1881">
        <f>IF(Calc!$B1881,INDEX(MineNames,Calc!C1881),"")</f>
        <v/>
      </c>
      <c r="C1881" s="17">
        <f>IF(Calc!$B1881,Calc!O1881,"")</f>
        <v/>
      </c>
    </row>
    <row r="1882">
      <c r="A1882" s="16">
        <f>IF(Calc!$B1882,Calc!E1882,"")</f>
        <v/>
      </c>
      <c r="B1882">
        <f>IF(Calc!$B1882,INDEX(MineNames,Calc!C1882),"")</f>
        <v/>
      </c>
      <c r="C1882" s="17">
        <f>IF(Calc!$B1882,Calc!O1882,"")</f>
        <v/>
      </c>
    </row>
    <row r="1883">
      <c r="A1883" s="16">
        <f>IF(Calc!$B1883,Calc!E1883,"")</f>
        <v/>
      </c>
      <c r="B1883">
        <f>IF(Calc!$B1883,INDEX(MineNames,Calc!C1883),"")</f>
        <v/>
      </c>
      <c r="C1883" s="17">
        <f>IF(Calc!$B1883,Calc!O1883,"")</f>
        <v/>
      </c>
    </row>
    <row r="1884">
      <c r="A1884" s="16">
        <f>IF(Calc!$B1884,Calc!E1884,"")</f>
        <v/>
      </c>
      <c r="B1884">
        <f>IF(Calc!$B1884,INDEX(MineNames,Calc!C1884),"")</f>
        <v/>
      </c>
      <c r="C1884" s="17">
        <f>IF(Calc!$B1884,Calc!O1884,"")</f>
        <v/>
      </c>
    </row>
    <row r="1885">
      <c r="A1885" s="16">
        <f>IF(Calc!$B1885,Calc!E1885,"")</f>
        <v/>
      </c>
      <c r="B1885">
        <f>IF(Calc!$B1885,INDEX(MineNames,Calc!C1885),"")</f>
        <v/>
      </c>
      <c r="C1885" s="17">
        <f>IF(Calc!$B1885,Calc!O1885,"")</f>
        <v/>
      </c>
    </row>
    <row r="1886">
      <c r="A1886" s="16">
        <f>IF(Calc!$B1886,Calc!E1886,"")</f>
        <v/>
      </c>
      <c r="B1886">
        <f>IF(Calc!$B1886,INDEX(MineNames,Calc!C1886),"")</f>
        <v/>
      </c>
      <c r="C1886" s="17">
        <f>IF(Calc!$B1886,Calc!O1886,"")</f>
        <v/>
      </c>
    </row>
    <row r="1887">
      <c r="A1887" s="16">
        <f>IF(Calc!$B1887,Calc!E1887,"")</f>
        <v/>
      </c>
      <c r="B1887">
        <f>IF(Calc!$B1887,INDEX(MineNames,Calc!C1887),"")</f>
        <v/>
      </c>
      <c r="C1887" s="17">
        <f>IF(Calc!$B1887,Calc!O1887,"")</f>
        <v/>
      </c>
    </row>
    <row r="1888">
      <c r="A1888" s="16">
        <f>IF(Calc!$B1888,Calc!E1888,"")</f>
        <v/>
      </c>
      <c r="B1888">
        <f>IF(Calc!$B1888,INDEX(MineNames,Calc!C1888),"")</f>
        <v/>
      </c>
      <c r="C1888" s="17">
        <f>IF(Calc!$B1888,Calc!O1888,"")</f>
        <v/>
      </c>
    </row>
    <row r="1889">
      <c r="A1889" s="16">
        <f>IF(Calc!$B1889,Calc!E1889,"")</f>
        <v/>
      </c>
      <c r="B1889">
        <f>IF(Calc!$B1889,INDEX(MineNames,Calc!C1889),"")</f>
        <v/>
      </c>
      <c r="C1889" s="17">
        <f>IF(Calc!$B1889,Calc!O1889,"")</f>
        <v/>
      </c>
    </row>
    <row r="1890">
      <c r="A1890" s="16">
        <f>IF(Calc!$B1890,Calc!E1890,"")</f>
        <v/>
      </c>
      <c r="B1890">
        <f>IF(Calc!$B1890,INDEX(MineNames,Calc!C1890),"")</f>
        <v/>
      </c>
      <c r="C1890" s="17">
        <f>IF(Calc!$B1890,Calc!O1890,"")</f>
        <v/>
      </c>
    </row>
    <row r="1891">
      <c r="A1891" s="16">
        <f>IF(Calc!$B1891,Calc!E1891,"")</f>
        <v/>
      </c>
      <c r="B1891">
        <f>IF(Calc!$B1891,INDEX(MineNames,Calc!C1891),"")</f>
        <v/>
      </c>
      <c r="C1891" s="17">
        <f>IF(Calc!$B1891,Calc!O1891,"")</f>
        <v/>
      </c>
    </row>
    <row r="1892">
      <c r="A1892" s="16">
        <f>IF(Calc!$B1892,Calc!E1892,"")</f>
        <v/>
      </c>
      <c r="B1892">
        <f>IF(Calc!$B1892,INDEX(MineNames,Calc!C1892),"")</f>
        <v/>
      </c>
      <c r="C1892" s="17">
        <f>IF(Calc!$B1892,Calc!O1892,"")</f>
        <v/>
      </c>
    </row>
    <row r="1893">
      <c r="A1893" s="16">
        <f>IF(Calc!$B1893,Calc!E1893,"")</f>
        <v/>
      </c>
      <c r="B1893">
        <f>IF(Calc!$B1893,INDEX(MineNames,Calc!C1893),"")</f>
        <v/>
      </c>
      <c r="C1893" s="17">
        <f>IF(Calc!$B1893,Calc!O1893,"")</f>
        <v/>
      </c>
    </row>
    <row r="1894">
      <c r="A1894" s="16">
        <f>IF(Calc!$B1894,Calc!E1894,"")</f>
        <v/>
      </c>
      <c r="B1894">
        <f>IF(Calc!$B1894,INDEX(MineNames,Calc!C1894),"")</f>
        <v/>
      </c>
      <c r="C1894" s="17">
        <f>IF(Calc!$B1894,Calc!O1894,"")</f>
        <v/>
      </c>
    </row>
    <row r="1895">
      <c r="A1895" s="16">
        <f>IF(Calc!$B1895,Calc!E1895,"")</f>
        <v/>
      </c>
      <c r="B1895">
        <f>IF(Calc!$B1895,INDEX(MineNames,Calc!C1895),"")</f>
        <v/>
      </c>
      <c r="C1895" s="17">
        <f>IF(Calc!$B1895,Calc!O1895,"")</f>
        <v/>
      </c>
    </row>
    <row r="1896">
      <c r="A1896" s="16">
        <f>IF(Calc!$B1896,Calc!E1896,"")</f>
        <v/>
      </c>
      <c r="B1896">
        <f>IF(Calc!$B1896,INDEX(MineNames,Calc!C1896),"")</f>
        <v/>
      </c>
      <c r="C1896" s="17">
        <f>IF(Calc!$B1896,Calc!O1896,"")</f>
        <v/>
      </c>
    </row>
    <row r="1897">
      <c r="A1897" s="16">
        <f>IF(Calc!$B1897,Calc!E1897,"")</f>
        <v/>
      </c>
      <c r="B1897">
        <f>IF(Calc!$B1897,INDEX(MineNames,Calc!C1897),"")</f>
        <v/>
      </c>
      <c r="C1897" s="17">
        <f>IF(Calc!$B1897,Calc!O1897,"")</f>
        <v/>
      </c>
    </row>
    <row r="1898">
      <c r="A1898" s="16">
        <f>IF(Calc!$B1898,Calc!E1898,"")</f>
        <v/>
      </c>
      <c r="B1898">
        <f>IF(Calc!$B1898,INDEX(MineNames,Calc!C1898),"")</f>
        <v/>
      </c>
      <c r="C1898" s="17">
        <f>IF(Calc!$B1898,Calc!O1898,"")</f>
        <v/>
      </c>
    </row>
    <row r="1899">
      <c r="A1899" s="16">
        <f>IF(Calc!$B1899,Calc!E1899,"")</f>
        <v/>
      </c>
      <c r="B1899">
        <f>IF(Calc!$B1899,INDEX(MineNames,Calc!C1899),"")</f>
        <v/>
      </c>
      <c r="C1899" s="17">
        <f>IF(Calc!$B1899,Calc!O1899,"")</f>
        <v/>
      </c>
    </row>
    <row r="1900">
      <c r="A1900" s="16">
        <f>IF(Calc!$B1900,Calc!E1900,"")</f>
        <v/>
      </c>
      <c r="B1900">
        <f>IF(Calc!$B1900,INDEX(MineNames,Calc!C1900),"")</f>
        <v/>
      </c>
      <c r="C1900" s="17">
        <f>IF(Calc!$B1900,Calc!O1900,"")</f>
        <v/>
      </c>
    </row>
    <row r="1901">
      <c r="A1901" s="16">
        <f>IF(Calc!$B1901,Calc!E1901,"")</f>
        <v/>
      </c>
      <c r="B1901">
        <f>IF(Calc!$B1901,INDEX(MineNames,Calc!C1901),"")</f>
        <v/>
      </c>
      <c r="C1901" s="17">
        <f>IF(Calc!$B1901,Calc!O1901,"")</f>
        <v/>
      </c>
    </row>
    <row r="1902">
      <c r="A1902" s="16">
        <f>IF(Calc!$B1902,Calc!E1902,"")</f>
        <v/>
      </c>
      <c r="B1902">
        <f>IF(Calc!$B1902,INDEX(MineNames,Calc!C1902),"")</f>
        <v/>
      </c>
      <c r="C1902" s="17">
        <f>IF(Calc!$B1902,Calc!O1902,"")</f>
        <v/>
      </c>
    </row>
    <row r="1903">
      <c r="A1903" s="16">
        <f>IF(Calc!$B1903,Calc!E1903,"")</f>
        <v/>
      </c>
      <c r="B1903">
        <f>IF(Calc!$B1903,INDEX(MineNames,Calc!C1903),"")</f>
        <v/>
      </c>
      <c r="C1903" s="17">
        <f>IF(Calc!$B1903,Calc!O1903,"")</f>
        <v/>
      </c>
    </row>
    <row r="1904">
      <c r="A1904" s="16">
        <f>IF(Calc!$B1904,Calc!E1904,"")</f>
        <v/>
      </c>
      <c r="B1904">
        <f>IF(Calc!$B1904,INDEX(MineNames,Calc!C1904),"")</f>
        <v/>
      </c>
      <c r="C1904" s="17">
        <f>IF(Calc!$B1904,Calc!O1904,"")</f>
        <v/>
      </c>
    </row>
    <row r="1905">
      <c r="A1905" s="16">
        <f>IF(Calc!$B1905,Calc!E1905,"")</f>
        <v/>
      </c>
      <c r="B1905">
        <f>IF(Calc!$B1905,INDEX(MineNames,Calc!C1905),"")</f>
        <v/>
      </c>
      <c r="C1905" s="17">
        <f>IF(Calc!$B1905,Calc!O1905,"")</f>
        <v/>
      </c>
    </row>
    <row r="1906">
      <c r="A1906" s="16">
        <f>IF(Calc!$B1906,Calc!E1906,"")</f>
        <v/>
      </c>
      <c r="B1906">
        <f>IF(Calc!$B1906,INDEX(MineNames,Calc!C1906),"")</f>
        <v/>
      </c>
      <c r="C1906" s="17">
        <f>IF(Calc!$B1906,Calc!O1906,"")</f>
        <v/>
      </c>
    </row>
    <row r="1907">
      <c r="A1907" s="16">
        <f>IF(Calc!$B1907,Calc!E1907,"")</f>
        <v/>
      </c>
      <c r="B1907">
        <f>IF(Calc!$B1907,INDEX(MineNames,Calc!C1907),"")</f>
        <v/>
      </c>
      <c r="C1907" s="17">
        <f>IF(Calc!$B1907,Calc!O1907,"")</f>
        <v/>
      </c>
    </row>
    <row r="1908">
      <c r="A1908" s="16">
        <f>IF(Calc!$B1908,Calc!E1908,"")</f>
        <v/>
      </c>
      <c r="B1908">
        <f>IF(Calc!$B1908,INDEX(MineNames,Calc!C1908),"")</f>
        <v/>
      </c>
      <c r="C1908" s="17">
        <f>IF(Calc!$B1908,Calc!O1908,"")</f>
        <v/>
      </c>
    </row>
    <row r="1909">
      <c r="A1909" s="16">
        <f>IF(Calc!$B1909,Calc!E1909,"")</f>
        <v/>
      </c>
      <c r="B1909">
        <f>IF(Calc!$B1909,INDEX(MineNames,Calc!C1909),"")</f>
        <v/>
      </c>
      <c r="C1909" s="17">
        <f>IF(Calc!$B1909,Calc!O1909,"")</f>
        <v/>
      </c>
    </row>
    <row r="1910">
      <c r="A1910" s="16">
        <f>IF(Calc!$B1910,Calc!E1910,"")</f>
        <v/>
      </c>
      <c r="B1910">
        <f>IF(Calc!$B1910,INDEX(MineNames,Calc!C1910),"")</f>
        <v/>
      </c>
      <c r="C1910" s="17">
        <f>IF(Calc!$B1910,Calc!O1910,"")</f>
        <v/>
      </c>
    </row>
    <row r="1911">
      <c r="A1911" s="16">
        <f>IF(Calc!$B1911,Calc!E1911,"")</f>
        <v/>
      </c>
      <c r="B1911">
        <f>IF(Calc!$B1911,INDEX(MineNames,Calc!C1911),"")</f>
        <v/>
      </c>
      <c r="C1911" s="17">
        <f>IF(Calc!$B1911,Calc!O1911,"")</f>
        <v/>
      </c>
    </row>
    <row r="1912">
      <c r="A1912" s="16">
        <f>IF(Calc!$B1912,Calc!E1912,"")</f>
        <v/>
      </c>
      <c r="B1912">
        <f>IF(Calc!$B1912,INDEX(MineNames,Calc!C1912),"")</f>
        <v/>
      </c>
      <c r="C1912" s="17">
        <f>IF(Calc!$B1912,Calc!O1912,"")</f>
        <v/>
      </c>
    </row>
    <row r="1913">
      <c r="A1913" s="16">
        <f>IF(Calc!$B1913,Calc!E1913,"")</f>
        <v/>
      </c>
      <c r="B1913">
        <f>IF(Calc!$B1913,INDEX(MineNames,Calc!C1913),"")</f>
        <v/>
      </c>
      <c r="C1913" s="17">
        <f>IF(Calc!$B1913,Calc!O1913,"")</f>
        <v/>
      </c>
    </row>
    <row r="1914">
      <c r="A1914" s="16">
        <f>IF(Calc!$B1914,Calc!E1914,"")</f>
        <v/>
      </c>
      <c r="B1914">
        <f>IF(Calc!$B1914,INDEX(MineNames,Calc!C1914),"")</f>
        <v/>
      </c>
      <c r="C1914" s="17">
        <f>IF(Calc!$B1914,Calc!O1914,"")</f>
        <v/>
      </c>
    </row>
    <row r="1915">
      <c r="A1915" s="16">
        <f>IF(Calc!$B1915,Calc!E1915,"")</f>
        <v/>
      </c>
      <c r="B1915">
        <f>IF(Calc!$B1915,INDEX(MineNames,Calc!C1915),"")</f>
        <v/>
      </c>
      <c r="C1915" s="17">
        <f>IF(Calc!$B1915,Calc!O1915,"")</f>
        <v/>
      </c>
    </row>
    <row r="1916">
      <c r="A1916" s="16">
        <f>IF(Calc!$B1916,Calc!E1916,"")</f>
        <v/>
      </c>
      <c r="B1916">
        <f>IF(Calc!$B1916,INDEX(MineNames,Calc!C1916),"")</f>
        <v/>
      </c>
      <c r="C1916" s="17">
        <f>IF(Calc!$B1916,Calc!O1916,"")</f>
        <v/>
      </c>
    </row>
    <row r="1917">
      <c r="A1917" s="16">
        <f>IF(Calc!$B1917,Calc!E1917,"")</f>
        <v/>
      </c>
      <c r="B1917">
        <f>IF(Calc!$B1917,INDEX(MineNames,Calc!C1917),"")</f>
        <v/>
      </c>
      <c r="C1917" s="17">
        <f>IF(Calc!$B1917,Calc!O1917,"")</f>
        <v/>
      </c>
    </row>
    <row r="1918">
      <c r="A1918" s="16">
        <f>IF(Calc!$B1918,Calc!E1918,"")</f>
        <v/>
      </c>
      <c r="B1918">
        <f>IF(Calc!$B1918,INDEX(MineNames,Calc!C1918),"")</f>
        <v/>
      </c>
      <c r="C1918" s="17">
        <f>IF(Calc!$B1918,Calc!O1918,"")</f>
        <v/>
      </c>
    </row>
    <row r="1919">
      <c r="A1919" s="16">
        <f>IF(Calc!$B1919,Calc!E1919,"")</f>
        <v/>
      </c>
      <c r="B1919">
        <f>IF(Calc!$B1919,INDEX(MineNames,Calc!C1919),"")</f>
        <v/>
      </c>
      <c r="C1919" s="17">
        <f>IF(Calc!$B1919,Calc!O1919,"")</f>
        <v/>
      </c>
    </row>
    <row r="1920">
      <c r="A1920" s="16">
        <f>IF(Calc!$B1920,Calc!E1920,"")</f>
        <v/>
      </c>
      <c r="B1920">
        <f>IF(Calc!$B1920,INDEX(MineNames,Calc!C1920),"")</f>
        <v/>
      </c>
      <c r="C1920" s="17">
        <f>IF(Calc!$B1920,Calc!O1920,"")</f>
        <v/>
      </c>
    </row>
    <row r="1921">
      <c r="A1921" s="16">
        <f>IF(Calc!$B1921,Calc!E1921,"")</f>
        <v/>
      </c>
      <c r="B1921">
        <f>IF(Calc!$B1921,INDEX(MineNames,Calc!C1921),"")</f>
        <v/>
      </c>
      <c r="C1921" s="17">
        <f>IF(Calc!$B1921,Calc!O1921,"")</f>
        <v/>
      </c>
    </row>
    <row r="1922">
      <c r="A1922" s="16">
        <f>IF(Calc!$B1922,Calc!E1922,"")</f>
        <v/>
      </c>
      <c r="B1922">
        <f>IF(Calc!$B1922,INDEX(MineNames,Calc!C1922),"")</f>
        <v/>
      </c>
      <c r="C1922" s="17">
        <f>IF(Calc!$B1922,Calc!O1922,"")</f>
        <v/>
      </c>
    </row>
    <row r="1923">
      <c r="A1923" s="16">
        <f>IF(Calc!$B1923,Calc!E1923,"")</f>
        <v/>
      </c>
      <c r="B1923">
        <f>IF(Calc!$B1923,INDEX(MineNames,Calc!C1923),"")</f>
        <v/>
      </c>
      <c r="C1923" s="17">
        <f>IF(Calc!$B1923,Calc!O1923,"")</f>
        <v/>
      </c>
    </row>
    <row r="1924">
      <c r="A1924" s="16">
        <f>IF(Calc!$B1924,Calc!E1924,"")</f>
        <v/>
      </c>
      <c r="B1924">
        <f>IF(Calc!$B1924,INDEX(MineNames,Calc!C1924),"")</f>
        <v/>
      </c>
      <c r="C1924" s="17">
        <f>IF(Calc!$B1924,Calc!O1924,"")</f>
        <v/>
      </c>
    </row>
    <row r="1925">
      <c r="A1925" s="16">
        <f>IF(Calc!$B1925,Calc!E1925,"")</f>
        <v/>
      </c>
      <c r="B1925">
        <f>IF(Calc!$B1925,INDEX(MineNames,Calc!C1925),"")</f>
        <v/>
      </c>
      <c r="C1925" s="17">
        <f>IF(Calc!$B1925,Calc!O1925,"")</f>
        <v/>
      </c>
    </row>
    <row r="1926">
      <c r="A1926" s="16">
        <f>IF(Calc!$B1926,Calc!E1926,"")</f>
        <v/>
      </c>
      <c r="B1926">
        <f>IF(Calc!$B1926,INDEX(MineNames,Calc!C1926),"")</f>
        <v/>
      </c>
      <c r="C1926" s="17">
        <f>IF(Calc!$B1926,Calc!O1926,"")</f>
        <v/>
      </c>
    </row>
    <row r="1927">
      <c r="A1927" s="16">
        <f>IF(Calc!$B1927,Calc!E1927,"")</f>
        <v/>
      </c>
      <c r="B1927">
        <f>IF(Calc!$B1927,INDEX(MineNames,Calc!C1927),"")</f>
        <v/>
      </c>
      <c r="C1927" s="17">
        <f>IF(Calc!$B1927,Calc!O1927,"")</f>
        <v/>
      </c>
    </row>
    <row r="1928">
      <c r="A1928" s="16">
        <f>IF(Calc!$B1928,Calc!E1928,"")</f>
        <v/>
      </c>
      <c r="B1928">
        <f>IF(Calc!$B1928,INDEX(MineNames,Calc!C1928),"")</f>
        <v/>
      </c>
      <c r="C1928" s="17">
        <f>IF(Calc!$B1928,Calc!O1928,"")</f>
        <v/>
      </c>
    </row>
    <row r="1929">
      <c r="A1929" s="16">
        <f>IF(Calc!$B1929,Calc!E1929,"")</f>
        <v/>
      </c>
      <c r="B1929">
        <f>IF(Calc!$B1929,INDEX(MineNames,Calc!C1929),"")</f>
        <v/>
      </c>
      <c r="C1929" s="17">
        <f>IF(Calc!$B1929,Calc!O1929,"")</f>
        <v/>
      </c>
    </row>
    <row r="1930">
      <c r="A1930" s="16">
        <f>IF(Calc!$B1930,Calc!E1930,"")</f>
        <v/>
      </c>
      <c r="B1930">
        <f>IF(Calc!$B1930,INDEX(MineNames,Calc!C1930),"")</f>
        <v/>
      </c>
      <c r="C1930" s="17">
        <f>IF(Calc!$B1930,Calc!O1930,"")</f>
        <v/>
      </c>
    </row>
    <row r="1931">
      <c r="A1931" s="16">
        <f>IF(Calc!$B1931,Calc!E1931,"")</f>
        <v/>
      </c>
      <c r="B1931">
        <f>IF(Calc!$B1931,INDEX(MineNames,Calc!C1931),"")</f>
        <v/>
      </c>
      <c r="C1931" s="17">
        <f>IF(Calc!$B1931,Calc!O1931,"")</f>
        <v/>
      </c>
    </row>
    <row r="1932">
      <c r="A1932" s="16">
        <f>IF(Calc!$B1932,Calc!E1932,"")</f>
        <v/>
      </c>
      <c r="B1932">
        <f>IF(Calc!$B1932,INDEX(MineNames,Calc!C1932),"")</f>
        <v/>
      </c>
      <c r="C1932" s="17">
        <f>IF(Calc!$B1932,Calc!O1932,"")</f>
        <v/>
      </c>
    </row>
    <row r="1933">
      <c r="A1933" s="16">
        <f>IF(Calc!$B1933,Calc!E1933,"")</f>
        <v/>
      </c>
      <c r="B1933">
        <f>IF(Calc!$B1933,INDEX(MineNames,Calc!C1933),"")</f>
        <v/>
      </c>
      <c r="C1933" s="17">
        <f>IF(Calc!$B1933,Calc!O1933,"")</f>
        <v/>
      </c>
    </row>
    <row r="1934">
      <c r="A1934" s="16">
        <f>IF(Calc!$B1934,Calc!E1934,"")</f>
        <v/>
      </c>
      <c r="B1934">
        <f>IF(Calc!$B1934,INDEX(MineNames,Calc!C1934),"")</f>
        <v/>
      </c>
      <c r="C1934" s="17">
        <f>IF(Calc!$B1934,Calc!O1934,"")</f>
        <v/>
      </c>
    </row>
    <row r="1935">
      <c r="A1935" s="16">
        <f>IF(Calc!$B1935,Calc!E1935,"")</f>
        <v/>
      </c>
      <c r="B1935">
        <f>IF(Calc!$B1935,INDEX(MineNames,Calc!C1935),"")</f>
        <v/>
      </c>
      <c r="C1935" s="17">
        <f>IF(Calc!$B1935,Calc!O1935,"")</f>
        <v/>
      </c>
    </row>
    <row r="1936">
      <c r="A1936" s="16">
        <f>IF(Calc!$B1936,Calc!E1936,"")</f>
        <v/>
      </c>
      <c r="B1936">
        <f>IF(Calc!$B1936,INDEX(MineNames,Calc!C1936),"")</f>
        <v/>
      </c>
      <c r="C1936" s="17">
        <f>IF(Calc!$B1936,Calc!O1936,"")</f>
        <v/>
      </c>
    </row>
    <row r="1937">
      <c r="A1937" s="16">
        <f>IF(Calc!$B1937,Calc!E1937,"")</f>
        <v/>
      </c>
      <c r="B1937">
        <f>IF(Calc!$B1937,INDEX(MineNames,Calc!C1937),"")</f>
        <v/>
      </c>
      <c r="C1937" s="17">
        <f>IF(Calc!$B1937,Calc!O1937,"")</f>
        <v/>
      </c>
    </row>
    <row r="1938">
      <c r="A1938" s="16">
        <f>IF(Calc!$B1938,Calc!E1938,"")</f>
        <v/>
      </c>
      <c r="B1938">
        <f>IF(Calc!$B1938,INDEX(MineNames,Calc!C1938),"")</f>
        <v/>
      </c>
      <c r="C1938" s="17">
        <f>IF(Calc!$B1938,Calc!O1938,"")</f>
        <v/>
      </c>
    </row>
    <row r="1939">
      <c r="A1939" s="16">
        <f>IF(Calc!$B1939,Calc!E1939,"")</f>
        <v/>
      </c>
      <c r="B1939">
        <f>IF(Calc!$B1939,INDEX(MineNames,Calc!C1939),"")</f>
        <v/>
      </c>
      <c r="C1939" s="17">
        <f>IF(Calc!$B1939,Calc!O1939,"")</f>
        <v/>
      </c>
    </row>
    <row r="1940">
      <c r="A1940" s="16">
        <f>IF(Calc!$B1940,Calc!E1940,"")</f>
        <v/>
      </c>
      <c r="B1940">
        <f>IF(Calc!$B1940,INDEX(MineNames,Calc!C1940),"")</f>
        <v/>
      </c>
      <c r="C1940" s="17">
        <f>IF(Calc!$B1940,Calc!O1940,"")</f>
        <v/>
      </c>
    </row>
    <row r="1941">
      <c r="A1941" s="16">
        <f>IF(Calc!$B1941,Calc!E1941,"")</f>
        <v/>
      </c>
      <c r="B1941">
        <f>IF(Calc!$B1941,INDEX(MineNames,Calc!C1941),"")</f>
        <v/>
      </c>
      <c r="C1941" s="17">
        <f>IF(Calc!$B1941,Calc!O1941,"")</f>
        <v/>
      </c>
    </row>
    <row r="1942">
      <c r="A1942" s="16">
        <f>IF(Calc!$B1942,Calc!E1942,"")</f>
        <v/>
      </c>
      <c r="B1942">
        <f>IF(Calc!$B1942,INDEX(MineNames,Calc!C1942),"")</f>
        <v/>
      </c>
      <c r="C1942" s="17">
        <f>IF(Calc!$B1942,Calc!O1942,"")</f>
        <v/>
      </c>
    </row>
    <row r="1943">
      <c r="A1943" s="16">
        <f>IF(Calc!$B1943,Calc!E1943,"")</f>
        <v/>
      </c>
      <c r="B1943">
        <f>IF(Calc!$B1943,INDEX(MineNames,Calc!C1943),"")</f>
        <v/>
      </c>
      <c r="C1943" s="17">
        <f>IF(Calc!$B1943,Calc!O1943,"")</f>
        <v/>
      </c>
    </row>
    <row r="1944">
      <c r="A1944" s="16">
        <f>IF(Calc!$B1944,Calc!E1944,"")</f>
        <v/>
      </c>
      <c r="B1944">
        <f>IF(Calc!$B1944,INDEX(MineNames,Calc!C1944),"")</f>
        <v/>
      </c>
      <c r="C1944" s="17">
        <f>IF(Calc!$B1944,Calc!O1944,"")</f>
        <v/>
      </c>
    </row>
    <row r="1945">
      <c r="A1945" s="16">
        <f>IF(Calc!$B1945,Calc!E1945,"")</f>
        <v/>
      </c>
      <c r="B1945">
        <f>IF(Calc!$B1945,INDEX(MineNames,Calc!C1945),"")</f>
        <v/>
      </c>
      <c r="C1945" s="17">
        <f>IF(Calc!$B1945,Calc!O1945,"")</f>
        <v/>
      </c>
    </row>
    <row r="1946">
      <c r="A1946" s="16">
        <f>IF(Calc!$B1946,Calc!E1946,"")</f>
        <v/>
      </c>
      <c r="B1946">
        <f>IF(Calc!$B1946,INDEX(MineNames,Calc!C1946),"")</f>
        <v/>
      </c>
      <c r="C1946" s="17">
        <f>IF(Calc!$B1946,Calc!O1946,"")</f>
        <v/>
      </c>
    </row>
    <row r="1947">
      <c r="A1947" s="16">
        <f>IF(Calc!$B1947,Calc!E1947,"")</f>
        <v/>
      </c>
      <c r="B1947">
        <f>IF(Calc!$B1947,INDEX(MineNames,Calc!C1947),"")</f>
        <v/>
      </c>
      <c r="C1947" s="17">
        <f>IF(Calc!$B1947,Calc!O1947,"")</f>
        <v/>
      </c>
    </row>
    <row r="1948">
      <c r="A1948" s="16">
        <f>IF(Calc!$B1948,Calc!E1948,"")</f>
        <v/>
      </c>
      <c r="B1948">
        <f>IF(Calc!$B1948,INDEX(MineNames,Calc!C1948),"")</f>
        <v/>
      </c>
      <c r="C1948" s="17">
        <f>IF(Calc!$B1948,Calc!O1948,"")</f>
        <v/>
      </c>
    </row>
    <row r="1949">
      <c r="A1949" s="16">
        <f>IF(Calc!$B1949,Calc!E1949,"")</f>
        <v/>
      </c>
      <c r="B1949">
        <f>IF(Calc!$B1949,INDEX(MineNames,Calc!C1949),"")</f>
        <v/>
      </c>
      <c r="C1949" s="17">
        <f>IF(Calc!$B1949,Calc!O1949,"")</f>
        <v/>
      </c>
    </row>
    <row r="1950">
      <c r="A1950" s="16">
        <f>IF(Calc!$B1950,Calc!E1950,"")</f>
        <v/>
      </c>
      <c r="B1950">
        <f>IF(Calc!$B1950,INDEX(MineNames,Calc!C1950),"")</f>
        <v/>
      </c>
      <c r="C1950" s="17">
        <f>IF(Calc!$B1950,Calc!O1950,"")</f>
        <v/>
      </c>
    </row>
    <row r="1951">
      <c r="A1951" s="16">
        <f>IF(Calc!$B1951,Calc!E1951,"")</f>
        <v/>
      </c>
      <c r="B1951">
        <f>IF(Calc!$B1951,INDEX(MineNames,Calc!C1951),"")</f>
        <v/>
      </c>
      <c r="C1951" s="17">
        <f>IF(Calc!$B1951,Calc!O1951,"")</f>
        <v/>
      </c>
    </row>
    <row r="1952">
      <c r="A1952" s="16">
        <f>IF(Calc!$B1952,Calc!E1952,"")</f>
        <v/>
      </c>
      <c r="B1952">
        <f>IF(Calc!$B1952,INDEX(MineNames,Calc!C1952),"")</f>
        <v/>
      </c>
      <c r="C1952" s="17">
        <f>IF(Calc!$B1952,Calc!O1952,"")</f>
        <v/>
      </c>
    </row>
    <row r="1953">
      <c r="A1953" s="16">
        <f>IF(Calc!$B1953,Calc!E1953,"")</f>
        <v/>
      </c>
      <c r="B1953">
        <f>IF(Calc!$B1953,INDEX(MineNames,Calc!C1953),"")</f>
        <v/>
      </c>
      <c r="C1953" s="17">
        <f>IF(Calc!$B1953,Calc!O1953,"")</f>
        <v/>
      </c>
    </row>
    <row r="1954">
      <c r="A1954" s="16">
        <f>IF(Calc!$B1954,Calc!E1954,"")</f>
        <v/>
      </c>
      <c r="B1954">
        <f>IF(Calc!$B1954,INDEX(MineNames,Calc!C1954),"")</f>
        <v/>
      </c>
      <c r="C1954" s="17">
        <f>IF(Calc!$B1954,Calc!O1954,"")</f>
        <v/>
      </c>
    </row>
    <row r="1955">
      <c r="A1955" s="16">
        <f>IF(Calc!$B1955,Calc!E1955,"")</f>
        <v/>
      </c>
      <c r="B1955">
        <f>IF(Calc!$B1955,INDEX(MineNames,Calc!C1955),"")</f>
        <v/>
      </c>
      <c r="C1955" s="17">
        <f>IF(Calc!$B1955,Calc!O1955,"")</f>
        <v/>
      </c>
    </row>
    <row r="1956">
      <c r="A1956" s="16">
        <f>IF(Calc!$B1956,Calc!E1956,"")</f>
        <v/>
      </c>
      <c r="B1956">
        <f>IF(Calc!$B1956,INDEX(MineNames,Calc!C1956),"")</f>
        <v/>
      </c>
      <c r="C1956" s="17">
        <f>IF(Calc!$B1956,Calc!O1956,"")</f>
        <v/>
      </c>
    </row>
    <row r="1957">
      <c r="A1957" s="16">
        <f>IF(Calc!$B1957,Calc!E1957,"")</f>
        <v/>
      </c>
      <c r="B1957">
        <f>IF(Calc!$B1957,INDEX(MineNames,Calc!C1957),"")</f>
        <v/>
      </c>
      <c r="C1957" s="17">
        <f>IF(Calc!$B1957,Calc!O1957,"")</f>
        <v/>
      </c>
    </row>
    <row r="1958">
      <c r="A1958" s="16">
        <f>IF(Calc!$B1958,Calc!E1958,"")</f>
        <v/>
      </c>
      <c r="B1958">
        <f>IF(Calc!$B1958,INDEX(MineNames,Calc!C1958),"")</f>
        <v/>
      </c>
      <c r="C1958" s="17">
        <f>IF(Calc!$B1958,Calc!O1958,"")</f>
        <v/>
      </c>
    </row>
    <row r="1959">
      <c r="A1959" s="16">
        <f>IF(Calc!$B1959,Calc!E1959,"")</f>
        <v/>
      </c>
      <c r="B1959">
        <f>IF(Calc!$B1959,INDEX(MineNames,Calc!C1959),"")</f>
        <v/>
      </c>
      <c r="C1959" s="17">
        <f>IF(Calc!$B1959,Calc!O1959,"")</f>
        <v/>
      </c>
    </row>
    <row r="1960">
      <c r="A1960" s="16">
        <f>IF(Calc!$B1960,Calc!E1960,"")</f>
        <v/>
      </c>
      <c r="B1960">
        <f>IF(Calc!$B1960,INDEX(MineNames,Calc!C1960),"")</f>
        <v/>
      </c>
      <c r="C1960" s="17">
        <f>IF(Calc!$B1960,Calc!O1960,"")</f>
        <v/>
      </c>
    </row>
    <row r="1961">
      <c r="A1961" s="16">
        <f>IF(Calc!$B1961,Calc!E1961,"")</f>
        <v/>
      </c>
      <c r="B1961">
        <f>IF(Calc!$B1961,INDEX(MineNames,Calc!C1961),"")</f>
        <v/>
      </c>
      <c r="C1961" s="17">
        <f>IF(Calc!$B1961,Calc!O1961,"")</f>
        <v/>
      </c>
    </row>
    <row r="1962">
      <c r="A1962" s="16">
        <f>IF(Calc!$B1962,Calc!E1962,"")</f>
        <v/>
      </c>
      <c r="B1962">
        <f>IF(Calc!$B1962,INDEX(MineNames,Calc!C1962),"")</f>
        <v/>
      </c>
      <c r="C1962" s="17">
        <f>IF(Calc!$B1962,Calc!O1962,"")</f>
        <v/>
      </c>
    </row>
    <row r="1963">
      <c r="A1963" s="16">
        <f>IF(Calc!$B1963,Calc!E1963,"")</f>
        <v/>
      </c>
      <c r="B1963">
        <f>IF(Calc!$B1963,INDEX(MineNames,Calc!C1963),"")</f>
        <v/>
      </c>
      <c r="C1963" s="17">
        <f>IF(Calc!$B1963,Calc!O1963,"")</f>
        <v/>
      </c>
    </row>
    <row r="1964">
      <c r="A1964" s="16">
        <f>IF(Calc!$B1964,Calc!E1964,"")</f>
        <v/>
      </c>
      <c r="B1964">
        <f>IF(Calc!$B1964,INDEX(MineNames,Calc!C1964),"")</f>
        <v/>
      </c>
      <c r="C1964" s="17">
        <f>IF(Calc!$B1964,Calc!O1964,"")</f>
        <v/>
      </c>
    </row>
    <row r="1965">
      <c r="A1965" s="16">
        <f>IF(Calc!$B1965,Calc!E1965,"")</f>
        <v/>
      </c>
      <c r="B1965">
        <f>IF(Calc!$B1965,INDEX(MineNames,Calc!C1965),"")</f>
        <v/>
      </c>
      <c r="C1965" s="17">
        <f>IF(Calc!$B1965,Calc!O1965,"")</f>
        <v/>
      </c>
    </row>
    <row r="1966">
      <c r="A1966" s="16">
        <f>IF(Calc!$B1966,Calc!E1966,"")</f>
        <v/>
      </c>
      <c r="B1966">
        <f>IF(Calc!$B1966,INDEX(MineNames,Calc!C1966),"")</f>
        <v/>
      </c>
      <c r="C1966" s="17">
        <f>IF(Calc!$B1966,Calc!O1966,"")</f>
        <v/>
      </c>
    </row>
    <row r="1967">
      <c r="A1967" s="16">
        <f>IF(Calc!$B1967,Calc!E1967,"")</f>
        <v/>
      </c>
      <c r="B1967">
        <f>IF(Calc!$B1967,INDEX(MineNames,Calc!C1967),"")</f>
        <v/>
      </c>
      <c r="C1967" s="17">
        <f>IF(Calc!$B1967,Calc!O1967,"")</f>
        <v/>
      </c>
    </row>
    <row r="1968">
      <c r="A1968" s="16">
        <f>IF(Calc!$B1968,Calc!E1968,"")</f>
        <v/>
      </c>
      <c r="B1968">
        <f>IF(Calc!$B1968,INDEX(MineNames,Calc!C1968),"")</f>
        <v/>
      </c>
      <c r="C1968" s="17">
        <f>IF(Calc!$B1968,Calc!O1968,"")</f>
        <v/>
      </c>
    </row>
    <row r="1969">
      <c r="A1969" s="16">
        <f>IF(Calc!$B1969,Calc!E1969,"")</f>
        <v/>
      </c>
      <c r="B1969">
        <f>IF(Calc!$B1969,INDEX(MineNames,Calc!C1969),"")</f>
        <v/>
      </c>
      <c r="C1969" s="17">
        <f>IF(Calc!$B1969,Calc!O1969,"")</f>
        <v/>
      </c>
    </row>
    <row r="1970">
      <c r="A1970" s="16">
        <f>IF(Calc!$B1970,Calc!E1970,"")</f>
        <v/>
      </c>
      <c r="B1970">
        <f>IF(Calc!$B1970,INDEX(MineNames,Calc!C1970),"")</f>
        <v/>
      </c>
      <c r="C1970" s="17">
        <f>IF(Calc!$B1970,Calc!O1970,"")</f>
        <v/>
      </c>
    </row>
    <row r="1971">
      <c r="A1971" s="16">
        <f>IF(Calc!$B1971,Calc!E1971,"")</f>
        <v/>
      </c>
      <c r="B1971">
        <f>IF(Calc!$B1971,INDEX(MineNames,Calc!C1971),"")</f>
        <v/>
      </c>
      <c r="C1971" s="17">
        <f>IF(Calc!$B1971,Calc!O1971,"")</f>
        <v/>
      </c>
    </row>
    <row r="1972">
      <c r="A1972" s="16">
        <f>IF(Calc!$B1972,Calc!E1972,"")</f>
        <v/>
      </c>
      <c r="B1972">
        <f>IF(Calc!$B1972,INDEX(MineNames,Calc!C1972),"")</f>
        <v/>
      </c>
      <c r="C1972" s="17">
        <f>IF(Calc!$B1972,Calc!O1972,"")</f>
        <v/>
      </c>
    </row>
    <row r="1973">
      <c r="A1973" s="16">
        <f>IF(Calc!$B1973,Calc!E1973,"")</f>
        <v/>
      </c>
      <c r="B1973">
        <f>IF(Calc!$B1973,INDEX(MineNames,Calc!C1973),"")</f>
        <v/>
      </c>
      <c r="C1973" s="17">
        <f>IF(Calc!$B1973,Calc!O1973,"")</f>
        <v/>
      </c>
    </row>
    <row r="1974">
      <c r="A1974" s="16">
        <f>IF(Calc!$B1974,Calc!E1974,"")</f>
        <v/>
      </c>
      <c r="B1974">
        <f>IF(Calc!$B1974,INDEX(MineNames,Calc!C1974),"")</f>
        <v/>
      </c>
      <c r="C1974" s="17">
        <f>IF(Calc!$B1974,Calc!O1974,"")</f>
        <v/>
      </c>
    </row>
    <row r="1975">
      <c r="A1975" s="16">
        <f>IF(Calc!$B1975,Calc!E1975,"")</f>
        <v/>
      </c>
      <c r="B1975">
        <f>IF(Calc!$B1975,INDEX(MineNames,Calc!C1975),"")</f>
        <v/>
      </c>
      <c r="C1975" s="17">
        <f>IF(Calc!$B1975,Calc!O1975,"")</f>
        <v/>
      </c>
    </row>
    <row r="1976">
      <c r="A1976" s="16">
        <f>IF(Calc!$B1976,Calc!E1976,"")</f>
        <v/>
      </c>
      <c r="B1976">
        <f>IF(Calc!$B1976,INDEX(MineNames,Calc!C1976),"")</f>
        <v/>
      </c>
      <c r="C1976" s="17">
        <f>IF(Calc!$B1976,Calc!O1976,"")</f>
        <v/>
      </c>
    </row>
    <row r="1977">
      <c r="A1977" s="16">
        <f>IF(Calc!$B1977,Calc!E1977,"")</f>
        <v/>
      </c>
      <c r="B1977">
        <f>IF(Calc!$B1977,INDEX(MineNames,Calc!C1977),"")</f>
        <v/>
      </c>
      <c r="C1977" s="17">
        <f>IF(Calc!$B1977,Calc!O1977,"")</f>
        <v/>
      </c>
    </row>
    <row r="1978">
      <c r="A1978" s="16">
        <f>IF(Calc!$B1978,Calc!E1978,"")</f>
        <v/>
      </c>
      <c r="B1978">
        <f>IF(Calc!$B1978,INDEX(MineNames,Calc!C1978),"")</f>
        <v/>
      </c>
      <c r="C1978" s="17">
        <f>IF(Calc!$B1978,Calc!O1978,"")</f>
        <v/>
      </c>
    </row>
    <row r="1979">
      <c r="A1979" s="16">
        <f>IF(Calc!$B1979,Calc!E1979,"")</f>
        <v/>
      </c>
      <c r="B1979">
        <f>IF(Calc!$B1979,INDEX(MineNames,Calc!C1979),"")</f>
        <v/>
      </c>
      <c r="C1979" s="17">
        <f>IF(Calc!$B1979,Calc!O1979,"")</f>
        <v/>
      </c>
    </row>
    <row r="1980">
      <c r="A1980" s="16">
        <f>IF(Calc!$B1980,Calc!E1980,"")</f>
        <v/>
      </c>
      <c r="B1980">
        <f>IF(Calc!$B1980,INDEX(MineNames,Calc!C1980),"")</f>
        <v/>
      </c>
      <c r="C1980" s="17">
        <f>IF(Calc!$B1980,Calc!O1980,"")</f>
        <v/>
      </c>
    </row>
    <row r="1981">
      <c r="A1981" s="16">
        <f>IF(Calc!$B1981,Calc!E1981,"")</f>
        <v/>
      </c>
      <c r="B1981">
        <f>IF(Calc!$B1981,INDEX(MineNames,Calc!C1981),"")</f>
        <v/>
      </c>
      <c r="C1981" s="17">
        <f>IF(Calc!$B1981,Calc!O1981,"")</f>
        <v/>
      </c>
    </row>
    <row r="1982">
      <c r="A1982" s="16">
        <f>IF(Calc!$B1982,Calc!E1982,"")</f>
        <v/>
      </c>
      <c r="B1982">
        <f>IF(Calc!$B1982,INDEX(MineNames,Calc!C1982),"")</f>
        <v/>
      </c>
      <c r="C1982" s="17">
        <f>IF(Calc!$B1982,Calc!O1982,"")</f>
        <v/>
      </c>
    </row>
    <row r="1983">
      <c r="A1983" s="16">
        <f>IF(Calc!$B1983,Calc!E1983,"")</f>
        <v/>
      </c>
      <c r="B1983">
        <f>IF(Calc!$B1983,INDEX(MineNames,Calc!C1983),"")</f>
        <v/>
      </c>
      <c r="C1983" s="17">
        <f>IF(Calc!$B1983,Calc!O1983,"")</f>
        <v/>
      </c>
    </row>
    <row r="1984">
      <c r="A1984" s="16">
        <f>IF(Calc!$B1984,Calc!E1984,"")</f>
        <v/>
      </c>
      <c r="B1984">
        <f>IF(Calc!$B1984,INDEX(MineNames,Calc!C1984),"")</f>
        <v/>
      </c>
      <c r="C1984" s="17">
        <f>IF(Calc!$B1984,Calc!O1984,"")</f>
        <v/>
      </c>
    </row>
    <row r="1985">
      <c r="A1985" s="16">
        <f>IF(Calc!$B1985,Calc!E1985,"")</f>
        <v/>
      </c>
      <c r="B1985">
        <f>IF(Calc!$B1985,INDEX(MineNames,Calc!C1985),"")</f>
        <v/>
      </c>
      <c r="C1985" s="17">
        <f>IF(Calc!$B1985,Calc!O1985,"")</f>
        <v/>
      </c>
    </row>
    <row r="1986">
      <c r="A1986" s="16">
        <f>IF(Calc!$B1986,Calc!E1986,"")</f>
        <v/>
      </c>
      <c r="B1986">
        <f>IF(Calc!$B1986,INDEX(MineNames,Calc!C1986),"")</f>
        <v/>
      </c>
      <c r="C1986" s="17">
        <f>IF(Calc!$B1986,Calc!O1986,"")</f>
        <v/>
      </c>
    </row>
    <row r="1987">
      <c r="A1987" s="16">
        <f>IF(Calc!$B1987,Calc!E1987,"")</f>
        <v/>
      </c>
      <c r="B1987">
        <f>IF(Calc!$B1987,INDEX(MineNames,Calc!C1987),"")</f>
        <v/>
      </c>
      <c r="C1987" s="17">
        <f>IF(Calc!$B1987,Calc!O1987,"")</f>
        <v/>
      </c>
    </row>
    <row r="1988">
      <c r="A1988" s="16">
        <f>IF(Calc!$B1988,Calc!E1988,"")</f>
        <v/>
      </c>
      <c r="B1988">
        <f>IF(Calc!$B1988,INDEX(MineNames,Calc!C1988),"")</f>
        <v/>
      </c>
      <c r="C1988" s="17">
        <f>IF(Calc!$B1988,Calc!O1988,"")</f>
        <v/>
      </c>
    </row>
    <row r="1989">
      <c r="A1989" s="16">
        <f>IF(Calc!$B1989,Calc!E1989,"")</f>
        <v/>
      </c>
      <c r="B1989">
        <f>IF(Calc!$B1989,INDEX(MineNames,Calc!C1989),"")</f>
        <v/>
      </c>
      <c r="C1989" s="17">
        <f>IF(Calc!$B1989,Calc!O1989,"")</f>
        <v/>
      </c>
    </row>
    <row r="1990">
      <c r="A1990" s="16">
        <f>IF(Calc!$B1990,Calc!E1990,"")</f>
        <v/>
      </c>
      <c r="B1990">
        <f>IF(Calc!$B1990,INDEX(MineNames,Calc!C1990),"")</f>
        <v/>
      </c>
      <c r="C1990" s="17">
        <f>IF(Calc!$B1990,Calc!O1990,"")</f>
        <v/>
      </c>
    </row>
    <row r="1991">
      <c r="A1991" s="16">
        <f>IF(Calc!$B1991,Calc!E1991,"")</f>
        <v/>
      </c>
      <c r="B1991">
        <f>IF(Calc!$B1991,INDEX(MineNames,Calc!C1991),"")</f>
        <v/>
      </c>
      <c r="C1991" s="17">
        <f>IF(Calc!$B1991,Calc!O1991,"")</f>
        <v/>
      </c>
    </row>
    <row r="1992">
      <c r="A1992" s="16">
        <f>IF(Calc!$B1992,Calc!E1992,"")</f>
        <v/>
      </c>
      <c r="B1992">
        <f>IF(Calc!$B1992,INDEX(MineNames,Calc!C1992),"")</f>
        <v/>
      </c>
      <c r="C1992" s="17">
        <f>IF(Calc!$B1992,Calc!O1992,"")</f>
        <v/>
      </c>
    </row>
    <row r="1993">
      <c r="A1993" s="16">
        <f>IF(Calc!$B1993,Calc!E1993,"")</f>
        <v/>
      </c>
      <c r="B1993">
        <f>IF(Calc!$B1993,INDEX(MineNames,Calc!C1993),"")</f>
        <v/>
      </c>
      <c r="C1993" s="17">
        <f>IF(Calc!$B1993,Calc!O1993,"")</f>
        <v/>
      </c>
    </row>
    <row r="1994">
      <c r="A1994" s="16">
        <f>IF(Calc!$B1994,Calc!E1994,"")</f>
        <v/>
      </c>
      <c r="B1994">
        <f>IF(Calc!$B1994,INDEX(MineNames,Calc!C1994),"")</f>
        <v/>
      </c>
      <c r="C1994" s="17">
        <f>IF(Calc!$B1994,Calc!O1994,"")</f>
        <v/>
      </c>
    </row>
    <row r="1995">
      <c r="A1995" s="16">
        <f>IF(Calc!$B1995,Calc!E1995,"")</f>
        <v/>
      </c>
      <c r="B1995">
        <f>IF(Calc!$B1995,INDEX(MineNames,Calc!C1995),"")</f>
        <v/>
      </c>
      <c r="C1995" s="17">
        <f>IF(Calc!$B1995,Calc!O1995,"")</f>
        <v/>
      </c>
    </row>
    <row r="1996">
      <c r="A1996" s="16">
        <f>IF(Calc!$B1996,Calc!E1996,"")</f>
        <v/>
      </c>
      <c r="B1996">
        <f>IF(Calc!$B1996,INDEX(MineNames,Calc!C1996),"")</f>
        <v/>
      </c>
      <c r="C1996" s="17">
        <f>IF(Calc!$B1996,Calc!O1996,"")</f>
        <v/>
      </c>
    </row>
    <row r="1997">
      <c r="A1997" s="16">
        <f>IF(Calc!$B1997,Calc!E1997,"")</f>
        <v/>
      </c>
      <c r="B1997">
        <f>IF(Calc!$B1997,INDEX(MineNames,Calc!C1997),"")</f>
        <v/>
      </c>
      <c r="C1997" s="17">
        <f>IF(Calc!$B1997,Calc!O1997,"")</f>
        <v/>
      </c>
    </row>
    <row r="1998">
      <c r="A1998" s="16">
        <f>IF(Calc!$B1998,Calc!E1998,"")</f>
        <v/>
      </c>
      <c r="B1998">
        <f>IF(Calc!$B1998,INDEX(MineNames,Calc!C1998),"")</f>
        <v/>
      </c>
      <c r="C1998" s="17">
        <f>IF(Calc!$B1998,Calc!O1998,"")</f>
        <v/>
      </c>
    </row>
    <row r="1999">
      <c r="A1999" s="16">
        <f>IF(Calc!$B1999,Calc!E1999,"")</f>
        <v/>
      </c>
      <c r="B1999">
        <f>IF(Calc!$B1999,INDEX(MineNames,Calc!C1999),"")</f>
        <v/>
      </c>
      <c r="C1999" s="17">
        <f>IF(Calc!$B1999,Calc!O1999,"")</f>
        <v/>
      </c>
    </row>
    <row r="2000">
      <c r="A2000" s="16">
        <f>IF(Calc!$B2000,Calc!E2000,"")</f>
        <v/>
      </c>
      <c r="B2000">
        <f>IF(Calc!$B2000,INDEX(MineNames,Calc!C2000),"")</f>
        <v/>
      </c>
      <c r="C2000" s="17">
        <f>IF(Calc!$B2000,Calc!O2000,"")</f>
        <v/>
      </c>
    </row>
    <row r="2001">
      <c r="A2001" s="16">
        <f>IF(Calc!$B2001,Calc!E2001,"")</f>
        <v/>
      </c>
      <c r="B2001">
        <f>IF(Calc!$B2001,INDEX(MineNames,Calc!C2001),"")</f>
        <v/>
      </c>
      <c r="C2001" s="17">
        <f>IF(Calc!$B2001,Calc!O2001,"")</f>
        <v/>
      </c>
    </row>
    <row r="2002">
      <c r="A2002" s="16">
        <f>IF(Calc!$B2002,Calc!E2002,"")</f>
        <v/>
      </c>
      <c r="B2002">
        <f>IF(Calc!$B2002,INDEX(MineNames,Calc!C2002),"")</f>
        <v/>
      </c>
      <c r="C2002" s="17">
        <f>IF(Calc!$B2002,Calc!O2002,"")</f>
        <v/>
      </c>
    </row>
    <row r="2003">
      <c r="A2003" s="16">
        <f>IF(Calc!$B2003,Calc!E2003,"")</f>
        <v/>
      </c>
      <c r="B2003">
        <f>IF(Calc!$B2003,INDEX(MineNames,Calc!C2003),"")</f>
        <v/>
      </c>
      <c r="C2003" s="17">
        <f>IF(Calc!$B2003,Calc!O2003,"")</f>
        <v/>
      </c>
    </row>
    <row r="2004">
      <c r="A2004" s="16">
        <f>IF(Calc!$B2004,Calc!E2004,"")</f>
        <v/>
      </c>
      <c r="B2004">
        <f>IF(Calc!$B2004,INDEX(MineNames,Calc!C2004),"")</f>
        <v/>
      </c>
      <c r="C2004" s="17">
        <f>IF(Calc!$B2004,Calc!O2004,"")</f>
        <v/>
      </c>
    </row>
    <row r="2005">
      <c r="A2005" s="16">
        <f>IF(Calc!$B2005,Calc!E2005,"")</f>
        <v/>
      </c>
      <c r="B2005">
        <f>IF(Calc!$B2005,INDEX(MineNames,Calc!C2005),"")</f>
        <v/>
      </c>
      <c r="C2005" s="17">
        <f>IF(Calc!$B2005,Calc!O2005,"")</f>
        <v/>
      </c>
    </row>
    <row r="2006">
      <c r="A2006" s="16">
        <f>IF(Calc!$B2006,Calc!E2006,"")</f>
        <v/>
      </c>
      <c r="B2006">
        <f>IF(Calc!$B2006,INDEX(MineNames,Calc!C2006),"")</f>
        <v/>
      </c>
      <c r="C2006" s="17">
        <f>IF(Calc!$B2006,Calc!O2006,"")</f>
        <v/>
      </c>
    </row>
    <row r="2007">
      <c r="A2007" s="16">
        <f>IF(Calc!$B2007,Calc!E2007,"")</f>
        <v/>
      </c>
      <c r="B2007">
        <f>IF(Calc!$B2007,INDEX(MineNames,Calc!C2007),"")</f>
        <v/>
      </c>
      <c r="C2007" s="17">
        <f>IF(Calc!$B2007,Calc!O2007,"")</f>
        <v/>
      </c>
    </row>
    <row r="2008">
      <c r="A2008" s="16">
        <f>IF(Calc!$B2008,Calc!E2008,"")</f>
        <v/>
      </c>
      <c r="B2008">
        <f>IF(Calc!$B2008,INDEX(MineNames,Calc!C2008),"")</f>
        <v/>
      </c>
      <c r="C2008" s="17">
        <f>IF(Calc!$B2008,Calc!O2008,"")</f>
        <v/>
      </c>
    </row>
    <row r="2009">
      <c r="A2009" s="16">
        <f>IF(Calc!$B2009,Calc!E2009,"")</f>
        <v/>
      </c>
      <c r="B2009">
        <f>IF(Calc!$B2009,INDEX(MineNames,Calc!C2009),"")</f>
        <v/>
      </c>
      <c r="C2009" s="17">
        <f>IF(Calc!$B2009,Calc!O2009,"")</f>
        <v/>
      </c>
    </row>
    <row r="2010">
      <c r="A2010" s="16">
        <f>IF(Calc!$B2010,Calc!E2010,"")</f>
        <v/>
      </c>
      <c r="B2010">
        <f>IF(Calc!$B2010,INDEX(MineNames,Calc!C2010),"")</f>
        <v/>
      </c>
      <c r="C2010" s="17">
        <f>IF(Calc!$B2010,Calc!O2010,"")</f>
        <v/>
      </c>
    </row>
    <row r="2011">
      <c r="A2011" s="16">
        <f>IF(Calc!$B2011,Calc!E2011,"")</f>
        <v/>
      </c>
      <c r="B2011">
        <f>IF(Calc!$B2011,INDEX(MineNames,Calc!C2011),"")</f>
        <v/>
      </c>
      <c r="C2011" s="17">
        <f>IF(Calc!$B2011,Calc!O2011,"")</f>
        <v/>
      </c>
    </row>
    <row r="2012">
      <c r="A2012" s="16">
        <f>IF(Calc!$B2012,Calc!E2012,"")</f>
        <v/>
      </c>
      <c r="B2012">
        <f>IF(Calc!$B2012,INDEX(MineNames,Calc!C2012),"")</f>
        <v/>
      </c>
      <c r="C2012" s="17">
        <f>IF(Calc!$B2012,Calc!O2012,"")</f>
        <v/>
      </c>
    </row>
    <row r="2013">
      <c r="A2013" s="16">
        <f>IF(Calc!$B2013,Calc!E2013,"")</f>
        <v/>
      </c>
      <c r="B2013">
        <f>IF(Calc!$B2013,INDEX(MineNames,Calc!C2013),"")</f>
        <v/>
      </c>
      <c r="C2013" s="17">
        <f>IF(Calc!$B2013,Calc!O2013,"")</f>
        <v/>
      </c>
    </row>
    <row r="2014">
      <c r="A2014" s="16">
        <f>IF(Calc!$B2014,Calc!E2014,"")</f>
        <v/>
      </c>
      <c r="B2014">
        <f>IF(Calc!$B2014,INDEX(MineNames,Calc!C2014),"")</f>
        <v/>
      </c>
      <c r="C2014" s="17">
        <f>IF(Calc!$B2014,Calc!O2014,"")</f>
        <v/>
      </c>
    </row>
    <row r="2015">
      <c r="A2015" s="16">
        <f>IF(Calc!$B2015,Calc!E2015,"")</f>
        <v/>
      </c>
      <c r="B2015">
        <f>IF(Calc!$B2015,INDEX(MineNames,Calc!C2015),"")</f>
        <v/>
      </c>
      <c r="C2015" s="17">
        <f>IF(Calc!$B2015,Calc!O2015,"")</f>
        <v/>
      </c>
    </row>
    <row r="2016">
      <c r="A2016" s="16">
        <f>IF(Calc!$B2016,Calc!E2016,"")</f>
        <v/>
      </c>
      <c r="B2016">
        <f>IF(Calc!$B2016,INDEX(MineNames,Calc!C2016),"")</f>
        <v/>
      </c>
      <c r="C2016" s="17">
        <f>IF(Calc!$B2016,Calc!O2016,"")</f>
        <v/>
      </c>
    </row>
    <row r="2017">
      <c r="A2017" s="16">
        <f>IF(Calc!$B2017,Calc!E2017,"")</f>
        <v/>
      </c>
      <c r="B2017">
        <f>IF(Calc!$B2017,INDEX(MineNames,Calc!C2017),"")</f>
        <v/>
      </c>
      <c r="C2017" s="17">
        <f>IF(Calc!$B2017,Calc!O2017,"")</f>
        <v/>
      </c>
    </row>
    <row r="2018">
      <c r="A2018" s="16">
        <f>IF(Calc!$B2018,Calc!E2018,"")</f>
        <v/>
      </c>
      <c r="B2018">
        <f>IF(Calc!$B2018,INDEX(MineNames,Calc!C2018),"")</f>
        <v/>
      </c>
      <c r="C2018" s="17">
        <f>IF(Calc!$B2018,Calc!O2018,"")</f>
        <v/>
      </c>
    </row>
    <row r="2019">
      <c r="A2019" s="16">
        <f>IF(Calc!$B2019,Calc!E2019,"")</f>
        <v/>
      </c>
      <c r="B2019">
        <f>IF(Calc!$B2019,INDEX(MineNames,Calc!C2019),"")</f>
        <v/>
      </c>
      <c r="C2019" s="17">
        <f>IF(Calc!$B2019,Calc!O2019,"")</f>
        <v/>
      </c>
    </row>
    <row r="2020">
      <c r="A2020" s="16">
        <f>IF(Calc!$B2020,Calc!E2020,"")</f>
        <v/>
      </c>
      <c r="B2020">
        <f>IF(Calc!$B2020,INDEX(MineNames,Calc!C2020),"")</f>
        <v/>
      </c>
      <c r="C2020" s="17">
        <f>IF(Calc!$B2020,Calc!O2020,"")</f>
        <v/>
      </c>
    </row>
    <row r="2021">
      <c r="A2021" s="16">
        <f>IF(Calc!$B2021,Calc!E2021,"")</f>
        <v/>
      </c>
      <c r="B2021">
        <f>IF(Calc!$B2021,INDEX(MineNames,Calc!C2021),"")</f>
        <v/>
      </c>
      <c r="C2021" s="17">
        <f>IF(Calc!$B2021,Calc!O2021,"")</f>
        <v/>
      </c>
    </row>
    <row r="2022">
      <c r="A2022" s="16">
        <f>IF(Calc!$B2022,Calc!E2022,"")</f>
        <v/>
      </c>
      <c r="B2022">
        <f>IF(Calc!$B2022,INDEX(MineNames,Calc!C2022),"")</f>
        <v/>
      </c>
      <c r="C2022" s="17">
        <f>IF(Calc!$B2022,Calc!O2022,"")</f>
        <v/>
      </c>
    </row>
    <row r="2023">
      <c r="A2023" s="16">
        <f>IF(Calc!$B2023,Calc!E2023,"")</f>
        <v/>
      </c>
      <c r="B2023">
        <f>IF(Calc!$B2023,INDEX(MineNames,Calc!C2023),"")</f>
        <v/>
      </c>
      <c r="C2023" s="17">
        <f>IF(Calc!$B2023,Calc!O2023,"")</f>
        <v/>
      </c>
    </row>
    <row r="2024">
      <c r="A2024" s="16">
        <f>IF(Calc!$B2024,Calc!E2024,"")</f>
        <v/>
      </c>
      <c r="B2024">
        <f>IF(Calc!$B2024,INDEX(MineNames,Calc!C2024),"")</f>
        <v/>
      </c>
      <c r="C2024" s="17">
        <f>IF(Calc!$B2024,Calc!O2024,"")</f>
        <v/>
      </c>
    </row>
    <row r="2025">
      <c r="A2025" s="16">
        <f>IF(Calc!$B2025,Calc!E2025,"")</f>
        <v/>
      </c>
      <c r="B2025">
        <f>IF(Calc!$B2025,INDEX(MineNames,Calc!C2025),"")</f>
        <v/>
      </c>
      <c r="C2025" s="17">
        <f>IF(Calc!$B2025,Calc!O2025,"")</f>
        <v/>
      </c>
    </row>
    <row r="2026">
      <c r="A2026" s="16">
        <f>IF(Calc!$B2026,Calc!E2026,"")</f>
        <v/>
      </c>
      <c r="B2026">
        <f>IF(Calc!$B2026,INDEX(MineNames,Calc!C2026),"")</f>
        <v/>
      </c>
      <c r="C2026" s="17">
        <f>IF(Calc!$B2026,Calc!O2026,"")</f>
        <v/>
      </c>
    </row>
    <row r="2027">
      <c r="A2027" s="16">
        <f>IF(Calc!$B2027,Calc!E2027,"")</f>
        <v/>
      </c>
      <c r="B2027">
        <f>IF(Calc!$B2027,INDEX(MineNames,Calc!C2027),"")</f>
        <v/>
      </c>
      <c r="C2027" s="17">
        <f>IF(Calc!$B2027,Calc!O2027,"")</f>
        <v/>
      </c>
    </row>
    <row r="2028">
      <c r="A2028" s="16">
        <f>IF(Calc!$B2028,Calc!E2028,"")</f>
        <v/>
      </c>
      <c r="B2028">
        <f>IF(Calc!$B2028,INDEX(MineNames,Calc!C2028),"")</f>
        <v/>
      </c>
      <c r="C2028" s="17">
        <f>IF(Calc!$B2028,Calc!O2028,"")</f>
        <v/>
      </c>
    </row>
    <row r="2029">
      <c r="A2029" s="16">
        <f>IF(Calc!$B2029,Calc!E2029,"")</f>
        <v/>
      </c>
      <c r="B2029">
        <f>IF(Calc!$B2029,INDEX(MineNames,Calc!C2029),"")</f>
        <v/>
      </c>
      <c r="C2029" s="17">
        <f>IF(Calc!$B2029,Calc!O2029,"")</f>
        <v/>
      </c>
    </row>
    <row r="2030">
      <c r="A2030" s="16">
        <f>IF(Calc!$B2030,Calc!E2030,"")</f>
        <v/>
      </c>
      <c r="B2030">
        <f>IF(Calc!$B2030,INDEX(MineNames,Calc!C2030),"")</f>
        <v/>
      </c>
      <c r="C2030" s="17">
        <f>IF(Calc!$B2030,Calc!O2030,"")</f>
        <v/>
      </c>
    </row>
    <row r="2031">
      <c r="A2031" s="16">
        <f>IF(Calc!$B2031,Calc!E2031,"")</f>
        <v/>
      </c>
      <c r="B2031">
        <f>IF(Calc!$B2031,INDEX(MineNames,Calc!C2031),"")</f>
        <v/>
      </c>
      <c r="C2031" s="17">
        <f>IF(Calc!$B2031,Calc!O2031,"")</f>
        <v/>
      </c>
    </row>
    <row r="2032">
      <c r="A2032" s="16">
        <f>IF(Calc!$B2032,Calc!E2032,"")</f>
        <v/>
      </c>
      <c r="B2032">
        <f>IF(Calc!$B2032,INDEX(MineNames,Calc!C2032),"")</f>
        <v/>
      </c>
      <c r="C2032" s="17">
        <f>IF(Calc!$B2032,Calc!O2032,"")</f>
        <v/>
      </c>
    </row>
    <row r="2033">
      <c r="A2033" s="16">
        <f>IF(Calc!$B2033,Calc!E2033,"")</f>
        <v/>
      </c>
      <c r="B2033">
        <f>IF(Calc!$B2033,INDEX(MineNames,Calc!C2033),"")</f>
        <v/>
      </c>
      <c r="C2033" s="17">
        <f>IF(Calc!$B2033,Calc!O2033,"")</f>
        <v/>
      </c>
    </row>
    <row r="2034">
      <c r="A2034" s="16">
        <f>IF(Calc!$B2034,Calc!E2034,"")</f>
        <v/>
      </c>
      <c r="B2034">
        <f>IF(Calc!$B2034,INDEX(MineNames,Calc!C2034),"")</f>
        <v/>
      </c>
      <c r="C2034" s="17">
        <f>IF(Calc!$B2034,Calc!O2034,"")</f>
        <v/>
      </c>
    </row>
    <row r="2035">
      <c r="A2035" s="16">
        <f>IF(Calc!$B2035,Calc!E2035,"")</f>
        <v/>
      </c>
      <c r="B2035">
        <f>IF(Calc!$B2035,INDEX(MineNames,Calc!C2035),"")</f>
        <v/>
      </c>
      <c r="C2035" s="17">
        <f>IF(Calc!$B2035,Calc!O2035,"")</f>
        <v/>
      </c>
    </row>
    <row r="2036">
      <c r="A2036" s="16">
        <f>IF(Calc!$B2036,Calc!E2036,"")</f>
        <v/>
      </c>
      <c r="B2036">
        <f>IF(Calc!$B2036,INDEX(MineNames,Calc!C2036),"")</f>
        <v/>
      </c>
      <c r="C2036" s="17">
        <f>IF(Calc!$B2036,Calc!O2036,"")</f>
        <v/>
      </c>
    </row>
    <row r="2037">
      <c r="A2037" s="16">
        <f>IF(Calc!$B2037,Calc!E2037,"")</f>
        <v/>
      </c>
      <c r="B2037">
        <f>IF(Calc!$B2037,INDEX(MineNames,Calc!C2037),"")</f>
        <v/>
      </c>
      <c r="C2037" s="17">
        <f>IF(Calc!$B2037,Calc!O2037,"")</f>
        <v/>
      </c>
    </row>
    <row r="2038">
      <c r="A2038" s="16">
        <f>IF(Calc!$B2038,Calc!E2038,"")</f>
        <v/>
      </c>
      <c r="B2038">
        <f>IF(Calc!$B2038,INDEX(MineNames,Calc!C2038),"")</f>
        <v/>
      </c>
      <c r="C2038" s="17">
        <f>IF(Calc!$B2038,Calc!O2038,"")</f>
        <v/>
      </c>
    </row>
    <row r="2039">
      <c r="A2039" s="16">
        <f>IF(Calc!$B2039,Calc!E2039,"")</f>
        <v/>
      </c>
      <c r="B2039">
        <f>IF(Calc!$B2039,INDEX(MineNames,Calc!C2039),"")</f>
        <v/>
      </c>
      <c r="C2039" s="17">
        <f>IF(Calc!$B2039,Calc!O2039,"")</f>
        <v/>
      </c>
    </row>
    <row r="2040">
      <c r="A2040" s="16">
        <f>IF(Calc!$B2040,Calc!E2040,"")</f>
        <v/>
      </c>
      <c r="B2040">
        <f>IF(Calc!$B2040,INDEX(MineNames,Calc!C2040),"")</f>
        <v/>
      </c>
      <c r="C2040" s="17">
        <f>IF(Calc!$B2040,Calc!O2040,"")</f>
        <v/>
      </c>
    </row>
    <row r="2041">
      <c r="A2041" s="16">
        <f>IF(Calc!$B2041,Calc!E2041,"")</f>
        <v/>
      </c>
      <c r="B2041">
        <f>IF(Calc!$B2041,INDEX(MineNames,Calc!C2041),"")</f>
        <v/>
      </c>
      <c r="C2041" s="17">
        <f>IF(Calc!$B2041,Calc!O2041,"")</f>
        <v/>
      </c>
    </row>
    <row r="2042">
      <c r="A2042" s="16">
        <f>IF(Calc!$B2042,Calc!E2042,"")</f>
        <v/>
      </c>
      <c r="B2042">
        <f>IF(Calc!$B2042,INDEX(MineNames,Calc!C2042),"")</f>
        <v/>
      </c>
      <c r="C2042" s="17">
        <f>IF(Calc!$B2042,Calc!O2042,"")</f>
        <v/>
      </c>
    </row>
    <row r="2043">
      <c r="A2043" s="16">
        <f>IF(Calc!$B2043,Calc!E2043,"")</f>
        <v/>
      </c>
      <c r="B2043">
        <f>IF(Calc!$B2043,INDEX(MineNames,Calc!C2043),"")</f>
        <v/>
      </c>
      <c r="C2043" s="17">
        <f>IF(Calc!$B2043,Calc!O2043,"")</f>
        <v/>
      </c>
    </row>
    <row r="2044">
      <c r="A2044" s="16">
        <f>IF(Calc!$B2044,Calc!E2044,"")</f>
        <v/>
      </c>
      <c r="B2044">
        <f>IF(Calc!$B2044,INDEX(MineNames,Calc!C2044),"")</f>
        <v/>
      </c>
      <c r="C2044" s="17">
        <f>IF(Calc!$B2044,Calc!O2044,"")</f>
        <v/>
      </c>
    </row>
    <row r="2045">
      <c r="A2045" s="16">
        <f>IF(Calc!$B2045,Calc!E2045,"")</f>
        <v/>
      </c>
      <c r="B2045">
        <f>IF(Calc!$B2045,INDEX(MineNames,Calc!C2045),"")</f>
        <v/>
      </c>
      <c r="C2045" s="17">
        <f>IF(Calc!$B2045,Calc!O2045,"")</f>
        <v/>
      </c>
    </row>
    <row r="2046">
      <c r="A2046" s="16">
        <f>IF(Calc!$B2046,Calc!E2046,"")</f>
        <v/>
      </c>
      <c r="B2046">
        <f>IF(Calc!$B2046,INDEX(MineNames,Calc!C2046),"")</f>
        <v/>
      </c>
      <c r="C2046" s="17">
        <f>IF(Calc!$B2046,Calc!O2046,"")</f>
        <v/>
      </c>
    </row>
    <row r="2047">
      <c r="A2047" s="16">
        <f>IF(Calc!$B2047,Calc!E2047,"")</f>
        <v/>
      </c>
      <c r="B2047">
        <f>IF(Calc!$B2047,INDEX(MineNames,Calc!C2047),"")</f>
        <v/>
      </c>
      <c r="C2047" s="17">
        <f>IF(Calc!$B2047,Calc!O2047,"")</f>
        <v/>
      </c>
    </row>
    <row r="2048">
      <c r="A2048" s="16">
        <f>IF(Calc!$B2048,Calc!E2048,"")</f>
        <v/>
      </c>
      <c r="B2048">
        <f>IF(Calc!$B2048,INDEX(MineNames,Calc!C2048),"")</f>
        <v/>
      </c>
      <c r="C2048" s="17">
        <f>IF(Calc!$B2048,Calc!O2048,"")</f>
        <v/>
      </c>
    </row>
    <row r="2049">
      <c r="A2049" s="16">
        <f>IF(Calc!$B2049,Calc!E2049,"")</f>
        <v/>
      </c>
      <c r="B2049">
        <f>IF(Calc!$B2049,INDEX(MineNames,Calc!C2049),"")</f>
        <v/>
      </c>
      <c r="C2049" s="17">
        <f>IF(Calc!$B2049,Calc!O2049,"")</f>
        <v/>
      </c>
    </row>
    <row r="2050">
      <c r="A2050" s="16">
        <f>IF(Calc!$B2050,Calc!E2050,"")</f>
        <v/>
      </c>
      <c r="B2050">
        <f>IF(Calc!$B2050,INDEX(MineNames,Calc!C2050),"")</f>
        <v/>
      </c>
      <c r="C2050" s="17">
        <f>IF(Calc!$B2050,Calc!O2050,"")</f>
        <v/>
      </c>
    </row>
    <row r="2051">
      <c r="A2051" s="16">
        <f>IF(Calc!$B2051,Calc!E2051,"")</f>
        <v/>
      </c>
      <c r="B2051">
        <f>IF(Calc!$B2051,INDEX(MineNames,Calc!C2051),"")</f>
        <v/>
      </c>
      <c r="C2051" s="17">
        <f>IF(Calc!$B2051,Calc!O2051,"")</f>
        <v/>
      </c>
    </row>
    <row r="2052">
      <c r="A2052" s="16">
        <f>IF(Calc!$B2052,Calc!E2052,"")</f>
        <v/>
      </c>
      <c r="B2052">
        <f>IF(Calc!$B2052,INDEX(MineNames,Calc!C2052),"")</f>
        <v/>
      </c>
      <c r="C2052" s="17">
        <f>IF(Calc!$B2052,Calc!O2052,"")</f>
        <v/>
      </c>
    </row>
    <row r="2053">
      <c r="A2053" s="16">
        <f>IF(Calc!$B2053,Calc!E2053,"")</f>
        <v/>
      </c>
      <c r="B2053">
        <f>IF(Calc!$B2053,INDEX(MineNames,Calc!C2053),"")</f>
        <v/>
      </c>
      <c r="C2053" s="17">
        <f>IF(Calc!$B2053,Calc!O2053,"")</f>
        <v/>
      </c>
    </row>
    <row r="2054">
      <c r="A2054" s="16">
        <f>IF(Calc!$B2054,Calc!E2054,"")</f>
        <v/>
      </c>
      <c r="B2054">
        <f>IF(Calc!$B2054,INDEX(MineNames,Calc!C2054),"")</f>
        <v/>
      </c>
      <c r="C2054" s="17">
        <f>IF(Calc!$B2054,Calc!O2054,"")</f>
        <v/>
      </c>
    </row>
    <row r="2055">
      <c r="A2055" s="16">
        <f>IF(Calc!$B2055,Calc!E2055,"")</f>
        <v/>
      </c>
      <c r="B2055">
        <f>IF(Calc!$B2055,INDEX(MineNames,Calc!C2055),"")</f>
        <v/>
      </c>
      <c r="C2055" s="17">
        <f>IF(Calc!$B2055,Calc!O2055,"")</f>
        <v/>
      </c>
    </row>
    <row r="2056">
      <c r="A2056" s="16">
        <f>IF(Calc!$B2056,Calc!E2056,"")</f>
        <v/>
      </c>
      <c r="B2056">
        <f>IF(Calc!$B2056,INDEX(MineNames,Calc!C2056),"")</f>
        <v/>
      </c>
      <c r="C2056" s="17">
        <f>IF(Calc!$B2056,Calc!O2056,"")</f>
        <v/>
      </c>
    </row>
    <row r="2057">
      <c r="A2057" s="16">
        <f>IF(Calc!$B2057,Calc!E2057,"")</f>
        <v/>
      </c>
      <c r="B2057">
        <f>IF(Calc!$B2057,INDEX(MineNames,Calc!C2057),"")</f>
        <v/>
      </c>
      <c r="C2057" s="17">
        <f>IF(Calc!$B2057,Calc!O2057,"")</f>
        <v/>
      </c>
    </row>
    <row r="2058">
      <c r="A2058" s="16">
        <f>IF(Calc!$B2058,Calc!E2058,"")</f>
        <v/>
      </c>
      <c r="B2058">
        <f>IF(Calc!$B2058,INDEX(MineNames,Calc!C2058),"")</f>
        <v/>
      </c>
      <c r="C2058" s="17">
        <f>IF(Calc!$B2058,Calc!O2058,"")</f>
        <v/>
      </c>
    </row>
    <row r="2059">
      <c r="A2059" s="16">
        <f>IF(Calc!$B2059,Calc!E2059,"")</f>
        <v/>
      </c>
      <c r="B2059">
        <f>IF(Calc!$B2059,INDEX(MineNames,Calc!C2059),"")</f>
        <v/>
      </c>
      <c r="C2059" s="17">
        <f>IF(Calc!$B2059,Calc!O2059,"")</f>
        <v/>
      </c>
    </row>
    <row r="2060">
      <c r="A2060" s="16">
        <f>IF(Calc!$B2060,Calc!E2060,"")</f>
        <v/>
      </c>
      <c r="B2060">
        <f>IF(Calc!$B2060,INDEX(MineNames,Calc!C2060),"")</f>
        <v/>
      </c>
      <c r="C2060" s="17">
        <f>IF(Calc!$B2060,Calc!O2060,"")</f>
        <v/>
      </c>
    </row>
    <row r="2061">
      <c r="A2061" s="16">
        <f>IF(Calc!$B2061,Calc!E2061,"")</f>
        <v/>
      </c>
      <c r="B2061">
        <f>IF(Calc!$B2061,INDEX(MineNames,Calc!C2061),"")</f>
        <v/>
      </c>
      <c r="C2061" s="17">
        <f>IF(Calc!$B2061,Calc!O2061,"")</f>
        <v/>
      </c>
    </row>
    <row r="2062">
      <c r="A2062" s="16">
        <f>IF(Calc!$B2062,Calc!E2062,"")</f>
        <v/>
      </c>
      <c r="B2062">
        <f>IF(Calc!$B2062,INDEX(MineNames,Calc!C2062),"")</f>
        <v/>
      </c>
      <c r="C2062" s="17">
        <f>IF(Calc!$B2062,Calc!O2062,"")</f>
        <v/>
      </c>
    </row>
    <row r="2063">
      <c r="A2063" s="16">
        <f>IF(Calc!$B2063,Calc!E2063,"")</f>
        <v/>
      </c>
      <c r="B2063">
        <f>IF(Calc!$B2063,INDEX(MineNames,Calc!C2063),"")</f>
        <v/>
      </c>
      <c r="C2063" s="17">
        <f>IF(Calc!$B2063,Calc!O2063,"")</f>
        <v/>
      </c>
    </row>
    <row r="2064">
      <c r="A2064" s="16">
        <f>IF(Calc!$B2064,Calc!E2064,"")</f>
        <v/>
      </c>
      <c r="B2064">
        <f>IF(Calc!$B2064,INDEX(MineNames,Calc!C2064),"")</f>
        <v/>
      </c>
      <c r="C2064" s="17">
        <f>IF(Calc!$B2064,Calc!O2064,"")</f>
        <v/>
      </c>
    </row>
    <row r="2065">
      <c r="A2065" s="16">
        <f>IF(Calc!$B2065,Calc!E2065,"")</f>
        <v/>
      </c>
      <c r="B2065">
        <f>IF(Calc!$B2065,INDEX(MineNames,Calc!C2065),"")</f>
        <v/>
      </c>
      <c r="C2065" s="17">
        <f>IF(Calc!$B2065,Calc!O2065,"")</f>
        <v/>
      </c>
    </row>
    <row r="2066">
      <c r="A2066" s="16">
        <f>IF(Calc!$B2066,Calc!E2066,"")</f>
        <v/>
      </c>
      <c r="B2066">
        <f>IF(Calc!$B2066,INDEX(MineNames,Calc!C2066),"")</f>
        <v/>
      </c>
      <c r="C2066" s="17">
        <f>IF(Calc!$B2066,Calc!O2066,"")</f>
        <v/>
      </c>
    </row>
    <row r="2067">
      <c r="A2067" s="16">
        <f>IF(Calc!$B2067,Calc!E2067,"")</f>
        <v/>
      </c>
      <c r="B2067">
        <f>IF(Calc!$B2067,INDEX(MineNames,Calc!C2067),"")</f>
        <v/>
      </c>
      <c r="C2067" s="17">
        <f>IF(Calc!$B2067,Calc!O2067,"")</f>
        <v/>
      </c>
    </row>
    <row r="2068">
      <c r="A2068" s="16">
        <f>IF(Calc!$B2068,Calc!E2068,"")</f>
        <v/>
      </c>
      <c r="B2068">
        <f>IF(Calc!$B2068,INDEX(MineNames,Calc!C2068),"")</f>
        <v/>
      </c>
      <c r="C2068" s="17">
        <f>IF(Calc!$B2068,Calc!O2068,"")</f>
        <v/>
      </c>
    </row>
    <row r="2069">
      <c r="A2069" s="16">
        <f>IF(Calc!$B2069,Calc!E2069,"")</f>
        <v/>
      </c>
      <c r="B2069">
        <f>IF(Calc!$B2069,INDEX(MineNames,Calc!C2069),"")</f>
        <v/>
      </c>
      <c r="C2069" s="17">
        <f>IF(Calc!$B2069,Calc!O2069,"")</f>
        <v/>
      </c>
    </row>
    <row r="2070">
      <c r="A2070" s="16">
        <f>IF(Calc!$B2070,Calc!E2070,"")</f>
        <v/>
      </c>
      <c r="B2070">
        <f>IF(Calc!$B2070,INDEX(MineNames,Calc!C2070),"")</f>
        <v/>
      </c>
      <c r="C2070" s="17">
        <f>IF(Calc!$B2070,Calc!O2070,"")</f>
        <v/>
      </c>
    </row>
    <row r="2071">
      <c r="A2071" s="16">
        <f>IF(Calc!$B2071,Calc!E2071,"")</f>
        <v/>
      </c>
      <c r="B2071">
        <f>IF(Calc!$B2071,INDEX(MineNames,Calc!C2071),"")</f>
        <v/>
      </c>
      <c r="C2071" s="17">
        <f>IF(Calc!$B2071,Calc!O2071,"")</f>
        <v/>
      </c>
    </row>
    <row r="2072">
      <c r="A2072" s="16">
        <f>IF(Calc!$B2072,Calc!E2072,"")</f>
        <v/>
      </c>
      <c r="B2072">
        <f>IF(Calc!$B2072,INDEX(MineNames,Calc!C2072),"")</f>
        <v/>
      </c>
      <c r="C2072" s="17">
        <f>IF(Calc!$B2072,Calc!O2072,"")</f>
        <v/>
      </c>
    </row>
    <row r="2073">
      <c r="A2073" s="16">
        <f>IF(Calc!$B2073,Calc!E2073,"")</f>
        <v/>
      </c>
      <c r="B2073">
        <f>IF(Calc!$B2073,INDEX(MineNames,Calc!C2073),"")</f>
        <v/>
      </c>
      <c r="C2073" s="17">
        <f>IF(Calc!$B2073,Calc!O2073,"")</f>
        <v/>
      </c>
    </row>
    <row r="2074">
      <c r="A2074" s="16">
        <f>IF(Calc!$B2074,Calc!E2074,"")</f>
        <v/>
      </c>
      <c r="B2074">
        <f>IF(Calc!$B2074,INDEX(MineNames,Calc!C2074),"")</f>
        <v/>
      </c>
      <c r="C2074" s="17">
        <f>IF(Calc!$B2074,Calc!O2074,"")</f>
        <v/>
      </c>
    </row>
    <row r="2075">
      <c r="A2075" s="16">
        <f>IF(Calc!$B2075,Calc!E2075,"")</f>
        <v/>
      </c>
      <c r="B2075">
        <f>IF(Calc!$B2075,INDEX(MineNames,Calc!C2075),"")</f>
        <v/>
      </c>
      <c r="C2075" s="17">
        <f>IF(Calc!$B2075,Calc!O2075,"")</f>
        <v/>
      </c>
    </row>
    <row r="2076">
      <c r="A2076" s="16">
        <f>IF(Calc!$B2076,Calc!E2076,"")</f>
        <v/>
      </c>
      <c r="B2076">
        <f>IF(Calc!$B2076,INDEX(MineNames,Calc!C2076),"")</f>
        <v/>
      </c>
      <c r="C2076" s="17">
        <f>IF(Calc!$B2076,Calc!O2076,"")</f>
        <v/>
      </c>
    </row>
    <row r="2077">
      <c r="A2077" s="16">
        <f>IF(Calc!$B2077,Calc!E2077,"")</f>
        <v/>
      </c>
      <c r="B2077">
        <f>IF(Calc!$B2077,INDEX(MineNames,Calc!C2077),"")</f>
        <v/>
      </c>
      <c r="C2077" s="17">
        <f>IF(Calc!$B2077,Calc!O2077,"")</f>
        <v/>
      </c>
    </row>
    <row r="2078">
      <c r="A2078" s="16">
        <f>IF(Calc!$B2078,Calc!E2078,"")</f>
        <v/>
      </c>
      <c r="B2078">
        <f>IF(Calc!$B2078,INDEX(MineNames,Calc!C2078),"")</f>
        <v/>
      </c>
      <c r="C2078" s="17">
        <f>IF(Calc!$B2078,Calc!O2078,"")</f>
        <v/>
      </c>
    </row>
    <row r="2079">
      <c r="A2079" s="16">
        <f>IF(Calc!$B2079,Calc!E2079,"")</f>
        <v/>
      </c>
      <c r="B2079">
        <f>IF(Calc!$B2079,INDEX(MineNames,Calc!C2079),"")</f>
        <v/>
      </c>
      <c r="C2079" s="17">
        <f>IF(Calc!$B2079,Calc!O2079,"")</f>
        <v/>
      </c>
    </row>
    <row r="2080">
      <c r="A2080" s="16">
        <f>IF(Calc!$B2080,Calc!E2080,"")</f>
        <v/>
      </c>
      <c r="B2080">
        <f>IF(Calc!$B2080,INDEX(MineNames,Calc!C2080),"")</f>
        <v/>
      </c>
      <c r="C2080" s="17">
        <f>IF(Calc!$B2080,Calc!O2080,"")</f>
        <v/>
      </c>
    </row>
    <row r="2081">
      <c r="A2081" s="16">
        <f>IF(Calc!$B2081,Calc!E2081,"")</f>
        <v/>
      </c>
      <c r="B2081">
        <f>IF(Calc!$B2081,INDEX(MineNames,Calc!C2081),"")</f>
        <v/>
      </c>
      <c r="C2081" s="17">
        <f>IF(Calc!$B2081,Calc!O2081,"")</f>
        <v/>
      </c>
    </row>
    <row r="2082">
      <c r="A2082" s="16">
        <f>IF(Calc!$B2082,Calc!E2082,"")</f>
        <v/>
      </c>
      <c r="B2082">
        <f>IF(Calc!$B2082,INDEX(MineNames,Calc!C2082),"")</f>
        <v/>
      </c>
      <c r="C2082" s="17">
        <f>IF(Calc!$B2082,Calc!O2082,"")</f>
        <v/>
      </c>
    </row>
    <row r="2083">
      <c r="A2083" s="16">
        <f>IF(Calc!$B2083,Calc!E2083,"")</f>
        <v/>
      </c>
      <c r="B2083">
        <f>IF(Calc!$B2083,INDEX(MineNames,Calc!C2083),"")</f>
        <v/>
      </c>
      <c r="C2083" s="17">
        <f>IF(Calc!$B2083,Calc!O2083,"")</f>
        <v/>
      </c>
    </row>
    <row r="2084">
      <c r="A2084" s="16">
        <f>IF(Calc!$B2084,Calc!E2084,"")</f>
        <v/>
      </c>
      <c r="B2084">
        <f>IF(Calc!$B2084,INDEX(MineNames,Calc!C2084),"")</f>
        <v/>
      </c>
      <c r="C2084" s="17">
        <f>IF(Calc!$B2084,Calc!O2084,"")</f>
        <v/>
      </c>
    </row>
    <row r="2085">
      <c r="A2085" s="16">
        <f>IF(Calc!$B2085,Calc!E2085,"")</f>
        <v/>
      </c>
      <c r="B2085">
        <f>IF(Calc!$B2085,INDEX(MineNames,Calc!C2085),"")</f>
        <v/>
      </c>
      <c r="C2085" s="17">
        <f>IF(Calc!$B2085,Calc!O2085,"")</f>
        <v/>
      </c>
    </row>
    <row r="2086">
      <c r="A2086" s="16">
        <f>IF(Calc!$B2086,Calc!E2086,"")</f>
        <v/>
      </c>
      <c r="B2086">
        <f>IF(Calc!$B2086,INDEX(MineNames,Calc!C2086),"")</f>
        <v/>
      </c>
      <c r="C2086" s="17">
        <f>IF(Calc!$B2086,Calc!O2086,"")</f>
        <v/>
      </c>
    </row>
    <row r="2087">
      <c r="A2087" s="16">
        <f>IF(Calc!$B2087,Calc!E2087,"")</f>
        <v/>
      </c>
      <c r="B2087">
        <f>IF(Calc!$B2087,INDEX(MineNames,Calc!C2087),"")</f>
        <v/>
      </c>
      <c r="C2087" s="17">
        <f>IF(Calc!$B2087,Calc!O2087,"")</f>
        <v/>
      </c>
    </row>
    <row r="2088">
      <c r="A2088" s="16">
        <f>IF(Calc!$B2088,Calc!E2088,"")</f>
        <v/>
      </c>
      <c r="B2088">
        <f>IF(Calc!$B2088,INDEX(MineNames,Calc!C2088),"")</f>
        <v/>
      </c>
      <c r="C2088" s="17">
        <f>IF(Calc!$B2088,Calc!O2088,"")</f>
        <v/>
      </c>
    </row>
    <row r="2089">
      <c r="A2089" s="16">
        <f>IF(Calc!$B2089,Calc!E2089,"")</f>
        <v/>
      </c>
      <c r="B2089">
        <f>IF(Calc!$B2089,INDEX(MineNames,Calc!C2089),"")</f>
        <v/>
      </c>
      <c r="C2089" s="17">
        <f>IF(Calc!$B2089,Calc!O2089,"")</f>
        <v/>
      </c>
    </row>
    <row r="2090">
      <c r="A2090" s="16">
        <f>IF(Calc!$B2090,Calc!E2090,"")</f>
        <v/>
      </c>
      <c r="B2090">
        <f>IF(Calc!$B2090,INDEX(MineNames,Calc!C2090),"")</f>
        <v/>
      </c>
      <c r="C2090" s="17">
        <f>IF(Calc!$B2090,Calc!O2090,"")</f>
        <v/>
      </c>
    </row>
    <row r="2091">
      <c r="A2091" s="16">
        <f>IF(Calc!$B2091,Calc!E2091,"")</f>
        <v/>
      </c>
      <c r="B2091">
        <f>IF(Calc!$B2091,INDEX(MineNames,Calc!C2091),"")</f>
        <v/>
      </c>
      <c r="C2091" s="17">
        <f>IF(Calc!$B2091,Calc!O2091,"")</f>
        <v/>
      </c>
    </row>
    <row r="2092">
      <c r="A2092" s="16">
        <f>IF(Calc!$B2092,Calc!E2092,"")</f>
        <v/>
      </c>
      <c r="B2092">
        <f>IF(Calc!$B2092,INDEX(MineNames,Calc!C2092),"")</f>
        <v/>
      </c>
      <c r="C2092" s="17">
        <f>IF(Calc!$B2092,Calc!O2092,"")</f>
        <v/>
      </c>
    </row>
    <row r="2093">
      <c r="A2093" s="16">
        <f>IF(Calc!$B2093,Calc!E2093,"")</f>
        <v/>
      </c>
      <c r="B2093">
        <f>IF(Calc!$B2093,INDEX(MineNames,Calc!C2093),"")</f>
        <v/>
      </c>
      <c r="C2093" s="17">
        <f>IF(Calc!$B2093,Calc!O2093,"")</f>
        <v/>
      </c>
    </row>
    <row r="2094">
      <c r="A2094" s="16">
        <f>IF(Calc!$B2094,Calc!E2094,"")</f>
        <v/>
      </c>
      <c r="B2094">
        <f>IF(Calc!$B2094,INDEX(MineNames,Calc!C2094),"")</f>
        <v/>
      </c>
      <c r="C2094" s="17">
        <f>IF(Calc!$B2094,Calc!O2094,"")</f>
        <v/>
      </c>
    </row>
    <row r="2095">
      <c r="A2095" s="16">
        <f>IF(Calc!$B2095,Calc!E2095,"")</f>
        <v/>
      </c>
      <c r="B2095">
        <f>IF(Calc!$B2095,INDEX(MineNames,Calc!C2095),"")</f>
        <v/>
      </c>
      <c r="C2095" s="17">
        <f>IF(Calc!$B2095,Calc!O2095,"")</f>
        <v/>
      </c>
    </row>
    <row r="2096">
      <c r="A2096" s="16">
        <f>IF(Calc!$B2096,Calc!E2096,"")</f>
        <v/>
      </c>
      <c r="B2096">
        <f>IF(Calc!$B2096,INDEX(MineNames,Calc!C2096),"")</f>
        <v/>
      </c>
      <c r="C2096" s="17">
        <f>IF(Calc!$B2096,Calc!O2096,"")</f>
        <v/>
      </c>
    </row>
    <row r="2097">
      <c r="A2097" s="16">
        <f>IF(Calc!$B2097,Calc!E2097,"")</f>
        <v/>
      </c>
      <c r="B2097">
        <f>IF(Calc!$B2097,INDEX(MineNames,Calc!C2097),"")</f>
        <v/>
      </c>
      <c r="C2097" s="17">
        <f>IF(Calc!$B2097,Calc!O2097,"")</f>
        <v/>
      </c>
    </row>
    <row r="2098">
      <c r="A2098" s="16">
        <f>IF(Calc!$B2098,Calc!E2098,"")</f>
        <v/>
      </c>
      <c r="B2098">
        <f>IF(Calc!$B2098,INDEX(MineNames,Calc!C2098),"")</f>
        <v/>
      </c>
      <c r="C2098" s="17">
        <f>IF(Calc!$B2098,Calc!O2098,"")</f>
        <v/>
      </c>
    </row>
    <row r="2099">
      <c r="A2099" s="16">
        <f>IF(Calc!$B2099,Calc!E2099,"")</f>
        <v/>
      </c>
      <c r="B2099">
        <f>IF(Calc!$B2099,INDEX(MineNames,Calc!C2099),"")</f>
        <v/>
      </c>
      <c r="C2099" s="17">
        <f>IF(Calc!$B2099,Calc!O2099,"")</f>
        <v/>
      </c>
    </row>
    <row r="2100">
      <c r="A2100" s="16">
        <f>IF(Calc!$B2100,Calc!E2100,"")</f>
        <v/>
      </c>
      <c r="B2100">
        <f>IF(Calc!$B2100,INDEX(MineNames,Calc!C2100),"")</f>
        <v/>
      </c>
      <c r="C2100" s="17">
        <f>IF(Calc!$B2100,Calc!O2100,"")</f>
        <v/>
      </c>
    </row>
    <row r="2101">
      <c r="A2101" s="16">
        <f>IF(Calc!$B2101,Calc!E2101,"")</f>
        <v/>
      </c>
      <c r="B2101">
        <f>IF(Calc!$B2101,INDEX(MineNames,Calc!C2101),"")</f>
        <v/>
      </c>
      <c r="C2101" s="17">
        <f>IF(Calc!$B2101,Calc!O2101,"")</f>
        <v/>
      </c>
    </row>
    <row r="2102">
      <c r="A2102" s="16">
        <f>IF(Calc!$B2102,Calc!E2102,"")</f>
        <v/>
      </c>
      <c r="B2102">
        <f>IF(Calc!$B2102,INDEX(MineNames,Calc!C2102),"")</f>
        <v/>
      </c>
      <c r="C2102" s="17">
        <f>IF(Calc!$B2102,Calc!O2102,"")</f>
        <v/>
      </c>
    </row>
    <row r="2103">
      <c r="A2103" s="16">
        <f>IF(Calc!$B2103,Calc!E2103,"")</f>
        <v/>
      </c>
      <c r="B2103">
        <f>IF(Calc!$B2103,INDEX(MineNames,Calc!C2103),"")</f>
        <v/>
      </c>
      <c r="C2103" s="17">
        <f>IF(Calc!$B2103,Calc!O2103,"")</f>
        <v/>
      </c>
    </row>
    <row r="2104">
      <c r="A2104" s="16">
        <f>IF(Calc!$B2104,Calc!E2104,"")</f>
        <v/>
      </c>
      <c r="B2104">
        <f>IF(Calc!$B2104,INDEX(MineNames,Calc!C2104),"")</f>
        <v/>
      </c>
      <c r="C2104" s="17">
        <f>IF(Calc!$B2104,Calc!O2104,"")</f>
        <v/>
      </c>
    </row>
    <row r="2105">
      <c r="A2105" s="16">
        <f>IF(Calc!$B2105,Calc!E2105,"")</f>
        <v/>
      </c>
      <c r="B2105">
        <f>IF(Calc!$B2105,INDEX(MineNames,Calc!C2105),"")</f>
        <v/>
      </c>
      <c r="C2105" s="17">
        <f>IF(Calc!$B2105,Calc!O2105,"")</f>
        <v/>
      </c>
    </row>
    <row r="2106">
      <c r="A2106" s="16">
        <f>IF(Calc!$B2106,Calc!E2106,"")</f>
        <v/>
      </c>
      <c r="B2106">
        <f>IF(Calc!$B2106,INDEX(MineNames,Calc!C2106),"")</f>
        <v/>
      </c>
      <c r="C2106" s="17">
        <f>IF(Calc!$B2106,Calc!O2106,"")</f>
        <v/>
      </c>
    </row>
    <row r="2107">
      <c r="A2107" s="16">
        <f>IF(Calc!$B2107,Calc!E2107,"")</f>
        <v/>
      </c>
      <c r="B2107">
        <f>IF(Calc!$B2107,INDEX(MineNames,Calc!C2107),"")</f>
        <v/>
      </c>
      <c r="C2107" s="17">
        <f>IF(Calc!$B2107,Calc!O2107,"")</f>
        <v/>
      </c>
    </row>
    <row r="2108">
      <c r="A2108" s="16">
        <f>IF(Calc!$B2108,Calc!E2108,"")</f>
        <v/>
      </c>
      <c r="B2108">
        <f>IF(Calc!$B2108,INDEX(MineNames,Calc!C2108),"")</f>
        <v/>
      </c>
      <c r="C2108" s="17">
        <f>IF(Calc!$B2108,Calc!O2108,"")</f>
        <v/>
      </c>
    </row>
    <row r="2109">
      <c r="A2109" s="16">
        <f>IF(Calc!$B2109,Calc!E2109,"")</f>
        <v/>
      </c>
      <c r="B2109">
        <f>IF(Calc!$B2109,INDEX(MineNames,Calc!C2109),"")</f>
        <v/>
      </c>
      <c r="C2109" s="17">
        <f>IF(Calc!$B2109,Calc!O2109,"")</f>
        <v/>
      </c>
    </row>
    <row r="2110">
      <c r="A2110" s="16">
        <f>IF(Calc!$B2110,Calc!E2110,"")</f>
        <v/>
      </c>
      <c r="B2110">
        <f>IF(Calc!$B2110,INDEX(MineNames,Calc!C2110),"")</f>
        <v/>
      </c>
      <c r="C2110" s="17">
        <f>IF(Calc!$B2110,Calc!O2110,"")</f>
        <v/>
      </c>
    </row>
    <row r="2111">
      <c r="A2111" s="16">
        <f>IF(Calc!$B2111,Calc!E2111,"")</f>
        <v/>
      </c>
      <c r="B2111">
        <f>IF(Calc!$B2111,INDEX(MineNames,Calc!C2111),"")</f>
        <v/>
      </c>
      <c r="C2111" s="17">
        <f>IF(Calc!$B2111,Calc!O2111,"")</f>
        <v/>
      </c>
    </row>
    <row r="2112">
      <c r="A2112" s="16">
        <f>IF(Calc!$B2112,Calc!E2112,"")</f>
        <v/>
      </c>
      <c r="B2112">
        <f>IF(Calc!$B2112,INDEX(MineNames,Calc!C2112),"")</f>
        <v/>
      </c>
      <c r="C2112" s="17">
        <f>IF(Calc!$B2112,Calc!O2112,"")</f>
        <v/>
      </c>
    </row>
    <row r="2113">
      <c r="A2113" s="16">
        <f>IF(Calc!$B2113,Calc!E2113,"")</f>
        <v/>
      </c>
      <c r="B2113">
        <f>IF(Calc!$B2113,INDEX(MineNames,Calc!C2113),"")</f>
        <v/>
      </c>
      <c r="C2113" s="17">
        <f>IF(Calc!$B2113,Calc!O2113,"")</f>
        <v/>
      </c>
    </row>
    <row r="2114">
      <c r="A2114" s="16">
        <f>IF(Calc!$B2114,Calc!E2114,"")</f>
        <v/>
      </c>
      <c r="B2114">
        <f>IF(Calc!$B2114,INDEX(MineNames,Calc!C2114),"")</f>
        <v/>
      </c>
      <c r="C2114" s="17">
        <f>IF(Calc!$B2114,Calc!O2114,"")</f>
        <v/>
      </c>
    </row>
    <row r="2115">
      <c r="A2115" s="16">
        <f>IF(Calc!$B2115,Calc!E2115,"")</f>
        <v/>
      </c>
      <c r="B2115">
        <f>IF(Calc!$B2115,INDEX(MineNames,Calc!C2115),"")</f>
        <v/>
      </c>
      <c r="C2115" s="17">
        <f>IF(Calc!$B2115,Calc!O2115,"")</f>
        <v/>
      </c>
    </row>
    <row r="2116">
      <c r="A2116" s="16">
        <f>IF(Calc!$B2116,Calc!E2116,"")</f>
        <v/>
      </c>
      <c r="B2116">
        <f>IF(Calc!$B2116,INDEX(MineNames,Calc!C2116),"")</f>
        <v/>
      </c>
      <c r="C2116" s="17">
        <f>IF(Calc!$B2116,Calc!O2116,"")</f>
        <v/>
      </c>
    </row>
    <row r="2117">
      <c r="A2117" s="16">
        <f>IF(Calc!$B2117,Calc!E2117,"")</f>
        <v/>
      </c>
      <c r="B2117">
        <f>IF(Calc!$B2117,INDEX(MineNames,Calc!C2117),"")</f>
        <v/>
      </c>
      <c r="C2117" s="17">
        <f>IF(Calc!$B2117,Calc!O2117,"")</f>
        <v/>
      </c>
    </row>
    <row r="2118">
      <c r="A2118" s="16">
        <f>IF(Calc!$B2118,Calc!E2118,"")</f>
        <v/>
      </c>
      <c r="B2118">
        <f>IF(Calc!$B2118,INDEX(MineNames,Calc!C2118),"")</f>
        <v/>
      </c>
      <c r="C2118" s="17">
        <f>IF(Calc!$B2118,Calc!O2118,"")</f>
        <v/>
      </c>
    </row>
    <row r="2119">
      <c r="A2119" s="16">
        <f>IF(Calc!$B2119,Calc!E2119,"")</f>
        <v/>
      </c>
      <c r="B2119">
        <f>IF(Calc!$B2119,INDEX(MineNames,Calc!C2119),"")</f>
        <v/>
      </c>
      <c r="C2119" s="17">
        <f>IF(Calc!$B2119,Calc!O2119,"")</f>
        <v/>
      </c>
    </row>
    <row r="2120">
      <c r="A2120" s="16">
        <f>IF(Calc!$B2120,Calc!E2120,"")</f>
        <v/>
      </c>
      <c r="B2120">
        <f>IF(Calc!$B2120,INDEX(MineNames,Calc!C2120),"")</f>
        <v/>
      </c>
      <c r="C2120" s="17">
        <f>IF(Calc!$B2120,Calc!O2120,"")</f>
        <v/>
      </c>
    </row>
    <row r="2121">
      <c r="A2121" s="16">
        <f>IF(Calc!$B2121,Calc!E2121,"")</f>
        <v/>
      </c>
      <c r="B2121">
        <f>IF(Calc!$B2121,INDEX(MineNames,Calc!C2121),"")</f>
        <v/>
      </c>
      <c r="C2121" s="17">
        <f>IF(Calc!$B2121,Calc!O2121,"")</f>
        <v/>
      </c>
    </row>
    <row r="2122">
      <c r="A2122" s="16">
        <f>IF(Calc!$B2122,Calc!E2122,"")</f>
        <v/>
      </c>
      <c r="B2122">
        <f>IF(Calc!$B2122,INDEX(MineNames,Calc!C2122),"")</f>
        <v/>
      </c>
      <c r="C2122" s="17">
        <f>IF(Calc!$B2122,Calc!O2122,"")</f>
        <v/>
      </c>
    </row>
    <row r="2123">
      <c r="A2123" s="16">
        <f>IF(Calc!$B2123,Calc!E2123,"")</f>
        <v/>
      </c>
      <c r="B2123">
        <f>IF(Calc!$B2123,INDEX(MineNames,Calc!C2123),"")</f>
        <v/>
      </c>
      <c r="C2123" s="17">
        <f>IF(Calc!$B2123,Calc!O2123,"")</f>
        <v/>
      </c>
    </row>
    <row r="2124">
      <c r="A2124" s="16">
        <f>IF(Calc!$B2124,Calc!E2124,"")</f>
        <v/>
      </c>
      <c r="B2124">
        <f>IF(Calc!$B2124,INDEX(MineNames,Calc!C2124),"")</f>
        <v/>
      </c>
      <c r="C2124" s="17">
        <f>IF(Calc!$B2124,Calc!O2124,"")</f>
        <v/>
      </c>
    </row>
    <row r="2125">
      <c r="A2125" s="16">
        <f>IF(Calc!$B2125,Calc!E2125,"")</f>
        <v/>
      </c>
      <c r="B2125">
        <f>IF(Calc!$B2125,INDEX(MineNames,Calc!C2125),"")</f>
        <v/>
      </c>
      <c r="C2125" s="17">
        <f>IF(Calc!$B2125,Calc!O2125,"")</f>
        <v/>
      </c>
    </row>
    <row r="2126">
      <c r="A2126" s="16">
        <f>IF(Calc!$B2126,Calc!E2126,"")</f>
        <v/>
      </c>
      <c r="B2126">
        <f>IF(Calc!$B2126,INDEX(MineNames,Calc!C2126),"")</f>
        <v/>
      </c>
      <c r="C2126" s="17">
        <f>IF(Calc!$B2126,Calc!O2126,"")</f>
        <v/>
      </c>
    </row>
    <row r="2127">
      <c r="A2127" s="16">
        <f>IF(Calc!$B2127,Calc!E2127,"")</f>
        <v/>
      </c>
      <c r="B2127">
        <f>IF(Calc!$B2127,INDEX(MineNames,Calc!C2127),"")</f>
        <v/>
      </c>
      <c r="C2127" s="17">
        <f>IF(Calc!$B2127,Calc!O2127,"")</f>
        <v/>
      </c>
    </row>
    <row r="2128">
      <c r="A2128" s="16">
        <f>IF(Calc!$B2128,Calc!E2128,"")</f>
        <v/>
      </c>
      <c r="B2128">
        <f>IF(Calc!$B2128,INDEX(MineNames,Calc!C2128),"")</f>
        <v/>
      </c>
      <c r="C2128" s="17">
        <f>IF(Calc!$B2128,Calc!O2128,"")</f>
        <v/>
      </c>
    </row>
    <row r="2129">
      <c r="A2129" s="16">
        <f>IF(Calc!$B2129,Calc!E2129,"")</f>
        <v/>
      </c>
      <c r="B2129">
        <f>IF(Calc!$B2129,INDEX(MineNames,Calc!C2129),"")</f>
        <v/>
      </c>
      <c r="C2129" s="17">
        <f>IF(Calc!$B2129,Calc!O2129,"")</f>
        <v/>
      </c>
    </row>
    <row r="2130">
      <c r="A2130" s="16">
        <f>IF(Calc!$B2130,Calc!E2130,"")</f>
        <v/>
      </c>
      <c r="B2130">
        <f>IF(Calc!$B2130,INDEX(MineNames,Calc!C2130),"")</f>
        <v/>
      </c>
      <c r="C2130" s="17">
        <f>IF(Calc!$B2130,Calc!O2130,"")</f>
        <v/>
      </c>
    </row>
    <row r="2131">
      <c r="A2131" s="16">
        <f>IF(Calc!$B2131,Calc!E2131,"")</f>
        <v/>
      </c>
      <c r="B2131">
        <f>IF(Calc!$B2131,INDEX(MineNames,Calc!C2131),"")</f>
        <v/>
      </c>
      <c r="C2131" s="17">
        <f>IF(Calc!$B2131,Calc!O2131,"")</f>
        <v/>
      </c>
    </row>
    <row r="2132">
      <c r="A2132" s="16">
        <f>IF(Calc!$B2132,Calc!E2132,"")</f>
        <v/>
      </c>
      <c r="B2132">
        <f>IF(Calc!$B2132,INDEX(MineNames,Calc!C2132),"")</f>
        <v/>
      </c>
      <c r="C2132" s="17">
        <f>IF(Calc!$B2132,Calc!O2132,"")</f>
        <v/>
      </c>
    </row>
    <row r="2133">
      <c r="A2133" s="16">
        <f>IF(Calc!$B2133,Calc!E2133,"")</f>
        <v/>
      </c>
      <c r="B2133">
        <f>IF(Calc!$B2133,INDEX(MineNames,Calc!C2133),"")</f>
        <v/>
      </c>
      <c r="C2133" s="17">
        <f>IF(Calc!$B2133,Calc!O2133,"")</f>
        <v/>
      </c>
    </row>
    <row r="2134">
      <c r="A2134" s="16">
        <f>IF(Calc!$B2134,Calc!E2134,"")</f>
        <v/>
      </c>
      <c r="B2134">
        <f>IF(Calc!$B2134,INDEX(MineNames,Calc!C2134),"")</f>
        <v/>
      </c>
      <c r="C2134" s="17">
        <f>IF(Calc!$B2134,Calc!O2134,"")</f>
        <v/>
      </c>
    </row>
    <row r="2135">
      <c r="A2135" s="16">
        <f>IF(Calc!$B2135,Calc!E2135,"")</f>
        <v/>
      </c>
      <c r="B2135">
        <f>IF(Calc!$B2135,INDEX(MineNames,Calc!C2135),"")</f>
        <v/>
      </c>
      <c r="C2135" s="17">
        <f>IF(Calc!$B2135,Calc!O2135,"")</f>
        <v/>
      </c>
    </row>
    <row r="2136">
      <c r="A2136" s="16">
        <f>IF(Calc!$B2136,Calc!E2136,"")</f>
        <v/>
      </c>
      <c r="B2136">
        <f>IF(Calc!$B2136,INDEX(MineNames,Calc!C2136),"")</f>
        <v/>
      </c>
      <c r="C2136" s="17">
        <f>IF(Calc!$B2136,Calc!O2136,"")</f>
        <v/>
      </c>
    </row>
    <row r="2137">
      <c r="A2137" s="16">
        <f>IF(Calc!$B2137,Calc!E2137,"")</f>
        <v/>
      </c>
      <c r="B2137">
        <f>IF(Calc!$B2137,INDEX(MineNames,Calc!C2137),"")</f>
        <v/>
      </c>
      <c r="C2137" s="17">
        <f>IF(Calc!$B2137,Calc!O2137,"")</f>
        <v/>
      </c>
    </row>
    <row r="2138">
      <c r="A2138" s="16">
        <f>IF(Calc!$B2138,Calc!E2138,"")</f>
        <v/>
      </c>
      <c r="B2138">
        <f>IF(Calc!$B2138,INDEX(MineNames,Calc!C2138),"")</f>
        <v/>
      </c>
      <c r="C2138" s="17">
        <f>IF(Calc!$B2138,Calc!O2138,"")</f>
        <v/>
      </c>
    </row>
    <row r="2139">
      <c r="A2139" s="16">
        <f>IF(Calc!$B2139,Calc!E2139,"")</f>
        <v/>
      </c>
      <c r="B2139">
        <f>IF(Calc!$B2139,INDEX(MineNames,Calc!C2139),"")</f>
        <v/>
      </c>
      <c r="C2139" s="17">
        <f>IF(Calc!$B2139,Calc!O2139,"")</f>
        <v/>
      </c>
    </row>
    <row r="2140">
      <c r="A2140" s="16">
        <f>IF(Calc!$B2140,Calc!E2140,"")</f>
        <v/>
      </c>
      <c r="B2140">
        <f>IF(Calc!$B2140,INDEX(MineNames,Calc!C2140),"")</f>
        <v/>
      </c>
      <c r="C2140" s="17">
        <f>IF(Calc!$B2140,Calc!O2140,"")</f>
        <v/>
      </c>
    </row>
    <row r="2141">
      <c r="A2141" s="16">
        <f>IF(Calc!$B2141,Calc!E2141,"")</f>
        <v/>
      </c>
      <c r="B2141">
        <f>IF(Calc!$B2141,INDEX(MineNames,Calc!C2141),"")</f>
        <v/>
      </c>
      <c r="C2141" s="17">
        <f>IF(Calc!$B2141,Calc!O2141,"")</f>
        <v/>
      </c>
    </row>
    <row r="2142">
      <c r="A2142" s="16">
        <f>IF(Calc!$B2142,Calc!E2142,"")</f>
        <v/>
      </c>
      <c r="B2142">
        <f>IF(Calc!$B2142,INDEX(MineNames,Calc!C2142),"")</f>
        <v/>
      </c>
      <c r="C2142" s="17">
        <f>IF(Calc!$B2142,Calc!O2142,"")</f>
        <v/>
      </c>
    </row>
    <row r="2143">
      <c r="A2143" s="16">
        <f>IF(Calc!$B2143,Calc!E2143,"")</f>
        <v/>
      </c>
      <c r="B2143">
        <f>IF(Calc!$B2143,INDEX(MineNames,Calc!C2143),"")</f>
        <v/>
      </c>
      <c r="C2143" s="17">
        <f>IF(Calc!$B2143,Calc!O2143,"")</f>
        <v/>
      </c>
    </row>
    <row r="2144">
      <c r="A2144" s="16">
        <f>IF(Calc!$B2144,Calc!E2144,"")</f>
        <v/>
      </c>
      <c r="B2144">
        <f>IF(Calc!$B2144,INDEX(MineNames,Calc!C2144),"")</f>
        <v/>
      </c>
      <c r="C2144" s="17">
        <f>IF(Calc!$B2144,Calc!O2144,"")</f>
        <v/>
      </c>
    </row>
    <row r="2145">
      <c r="A2145" s="16">
        <f>IF(Calc!$B2145,Calc!E2145,"")</f>
        <v/>
      </c>
      <c r="B2145">
        <f>IF(Calc!$B2145,INDEX(MineNames,Calc!C2145),"")</f>
        <v/>
      </c>
      <c r="C2145" s="17">
        <f>IF(Calc!$B2145,Calc!O2145,"")</f>
        <v/>
      </c>
    </row>
    <row r="2146">
      <c r="A2146" s="16">
        <f>IF(Calc!$B2146,Calc!E2146,"")</f>
        <v/>
      </c>
      <c r="B2146">
        <f>IF(Calc!$B2146,INDEX(MineNames,Calc!C2146),"")</f>
        <v/>
      </c>
      <c r="C2146" s="17">
        <f>IF(Calc!$B2146,Calc!O2146,"")</f>
        <v/>
      </c>
    </row>
    <row r="2147">
      <c r="A2147" s="16">
        <f>IF(Calc!$B2147,Calc!E2147,"")</f>
        <v/>
      </c>
      <c r="B2147">
        <f>IF(Calc!$B2147,INDEX(MineNames,Calc!C2147),"")</f>
        <v/>
      </c>
      <c r="C2147" s="17">
        <f>IF(Calc!$B2147,Calc!O2147,"")</f>
        <v/>
      </c>
    </row>
    <row r="2148">
      <c r="A2148" s="16">
        <f>IF(Calc!$B2148,Calc!E2148,"")</f>
        <v/>
      </c>
      <c r="B2148">
        <f>IF(Calc!$B2148,INDEX(MineNames,Calc!C2148),"")</f>
        <v/>
      </c>
      <c r="C2148" s="17">
        <f>IF(Calc!$B2148,Calc!O2148,"")</f>
        <v/>
      </c>
    </row>
    <row r="2149">
      <c r="A2149" s="16">
        <f>IF(Calc!$B2149,Calc!E2149,"")</f>
        <v/>
      </c>
      <c r="B2149">
        <f>IF(Calc!$B2149,INDEX(MineNames,Calc!C2149),"")</f>
        <v/>
      </c>
      <c r="C2149" s="17">
        <f>IF(Calc!$B2149,Calc!O2149,"")</f>
        <v/>
      </c>
    </row>
    <row r="2150">
      <c r="A2150" s="16">
        <f>IF(Calc!$B2150,Calc!E2150,"")</f>
        <v/>
      </c>
      <c r="B2150">
        <f>IF(Calc!$B2150,INDEX(MineNames,Calc!C2150),"")</f>
        <v/>
      </c>
      <c r="C2150" s="17">
        <f>IF(Calc!$B2150,Calc!O2150,"")</f>
        <v/>
      </c>
    </row>
    <row r="2151">
      <c r="A2151" s="16">
        <f>IF(Calc!$B2151,Calc!E2151,"")</f>
        <v/>
      </c>
      <c r="B2151">
        <f>IF(Calc!$B2151,INDEX(MineNames,Calc!C2151),"")</f>
        <v/>
      </c>
      <c r="C2151" s="17">
        <f>IF(Calc!$B2151,Calc!O2151,"")</f>
        <v/>
      </c>
    </row>
    <row r="2152">
      <c r="A2152" s="16">
        <f>IF(Calc!$B2152,Calc!E2152,"")</f>
        <v/>
      </c>
      <c r="B2152">
        <f>IF(Calc!$B2152,INDEX(MineNames,Calc!C2152),"")</f>
        <v/>
      </c>
      <c r="C2152" s="17">
        <f>IF(Calc!$B2152,Calc!O2152,"")</f>
        <v/>
      </c>
    </row>
    <row r="2153">
      <c r="A2153" s="16">
        <f>IF(Calc!$B2153,Calc!E2153,"")</f>
        <v/>
      </c>
      <c r="B2153">
        <f>IF(Calc!$B2153,INDEX(MineNames,Calc!C2153),"")</f>
        <v/>
      </c>
      <c r="C2153" s="17">
        <f>IF(Calc!$B2153,Calc!O2153,"")</f>
        <v/>
      </c>
    </row>
    <row r="2154">
      <c r="A2154" s="16">
        <f>IF(Calc!$B2154,Calc!E2154,"")</f>
        <v/>
      </c>
      <c r="B2154">
        <f>IF(Calc!$B2154,INDEX(MineNames,Calc!C2154),"")</f>
        <v/>
      </c>
      <c r="C2154" s="17">
        <f>IF(Calc!$B2154,Calc!O2154,"")</f>
        <v/>
      </c>
    </row>
    <row r="2155">
      <c r="A2155" s="16">
        <f>IF(Calc!$B2155,Calc!E2155,"")</f>
        <v/>
      </c>
      <c r="B2155">
        <f>IF(Calc!$B2155,INDEX(MineNames,Calc!C2155),"")</f>
        <v/>
      </c>
      <c r="C2155" s="17">
        <f>IF(Calc!$B2155,Calc!O2155,"")</f>
        <v/>
      </c>
    </row>
    <row r="2156">
      <c r="A2156" s="16">
        <f>IF(Calc!$B2156,Calc!E2156,"")</f>
        <v/>
      </c>
      <c r="B2156">
        <f>IF(Calc!$B2156,INDEX(MineNames,Calc!C2156),"")</f>
        <v/>
      </c>
      <c r="C2156" s="17">
        <f>IF(Calc!$B2156,Calc!O2156,"")</f>
        <v/>
      </c>
    </row>
    <row r="2157">
      <c r="A2157" s="16">
        <f>IF(Calc!$B2157,Calc!E2157,"")</f>
        <v/>
      </c>
      <c r="B2157">
        <f>IF(Calc!$B2157,INDEX(MineNames,Calc!C2157),"")</f>
        <v/>
      </c>
      <c r="C2157" s="17">
        <f>IF(Calc!$B2157,Calc!O2157,"")</f>
        <v/>
      </c>
    </row>
    <row r="2158">
      <c r="A2158" s="16">
        <f>IF(Calc!$B2158,Calc!E2158,"")</f>
        <v/>
      </c>
      <c r="B2158">
        <f>IF(Calc!$B2158,INDEX(MineNames,Calc!C2158),"")</f>
        <v/>
      </c>
      <c r="C2158" s="17">
        <f>IF(Calc!$B2158,Calc!O2158,"")</f>
        <v/>
      </c>
    </row>
    <row r="2159">
      <c r="A2159" s="16">
        <f>IF(Calc!$B2159,Calc!E2159,"")</f>
        <v/>
      </c>
      <c r="B2159">
        <f>IF(Calc!$B2159,INDEX(MineNames,Calc!C2159),"")</f>
        <v/>
      </c>
      <c r="C2159" s="17">
        <f>IF(Calc!$B2159,Calc!O2159,"")</f>
        <v/>
      </c>
    </row>
    <row r="2160">
      <c r="A2160" s="16">
        <f>IF(Calc!$B2160,Calc!E2160,"")</f>
        <v/>
      </c>
      <c r="B2160">
        <f>IF(Calc!$B2160,INDEX(MineNames,Calc!C2160),"")</f>
        <v/>
      </c>
      <c r="C2160" s="17">
        <f>IF(Calc!$B2160,Calc!O2160,"")</f>
        <v/>
      </c>
    </row>
    <row r="2161">
      <c r="A2161" s="16">
        <f>IF(Calc!$B2161,Calc!E2161,"")</f>
        <v/>
      </c>
      <c r="B2161">
        <f>IF(Calc!$B2161,INDEX(MineNames,Calc!C2161),"")</f>
        <v/>
      </c>
      <c r="C2161" s="17">
        <f>IF(Calc!$B2161,Calc!O2161,"")</f>
        <v/>
      </c>
    </row>
    <row r="2162">
      <c r="A2162" s="16">
        <f>IF(Calc!$B2162,Calc!E2162,"")</f>
        <v/>
      </c>
      <c r="B2162">
        <f>IF(Calc!$B2162,INDEX(MineNames,Calc!C2162),"")</f>
        <v/>
      </c>
      <c r="C2162" s="17">
        <f>IF(Calc!$B2162,Calc!O2162,"")</f>
        <v/>
      </c>
    </row>
    <row r="2163">
      <c r="A2163" s="16">
        <f>IF(Calc!$B2163,Calc!E2163,"")</f>
        <v/>
      </c>
      <c r="B2163">
        <f>IF(Calc!$B2163,INDEX(MineNames,Calc!C2163),"")</f>
        <v/>
      </c>
      <c r="C2163" s="17">
        <f>IF(Calc!$B2163,Calc!O2163,"")</f>
        <v/>
      </c>
    </row>
    <row r="2164">
      <c r="A2164" s="16">
        <f>IF(Calc!$B2164,Calc!E2164,"")</f>
        <v/>
      </c>
      <c r="B2164">
        <f>IF(Calc!$B2164,INDEX(MineNames,Calc!C2164),"")</f>
        <v/>
      </c>
      <c r="C2164" s="17">
        <f>IF(Calc!$B2164,Calc!O2164,"")</f>
        <v/>
      </c>
    </row>
    <row r="2165">
      <c r="A2165" s="16">
        <f>IF(Calc!$B2165,Calc!E2165,"")</f>
        <v/>
      </c>
      <c r="B2165">
        <f>IF(Calc!$B2165,INDEX(MineNames,Calc!C2165),"")</f>
        <v/>
      </c>
      <c r="C2165" s="17">
        <f>IF(Calc!$B2165,Calc!O2165,"")</f>
        <v/>
      </c>
    </row>
    <row r="2166">
      <c r="A2166" s="16">
        <f>IF(Calc!$B2166,Calc!E2166,"")</f>
        <v/>
      </c>
      <c r="B2166">
        <f>IF(Calc!$B2166,INDEX(MineNames,Calc!C2166),"")</f>
        <v/>
      </c>
      <c r="C2166" s="17">
        <f>IF(Calc!$B2166,Calc!O2166,"")</f>
        <v/>
      </c>
    </row>
    <row r="2167">
      <c r="A2167" s="16">
        <f>IF(Calc!$B2167,Calc!E2167,"")</f>
        <v/>
      </c>
      <c r="B2167">
        <f>IF(Calc!$B2167,INDEX(MineNames,Calc!C2167),"")</f>
        <v/>
      </c>
      <c r="C2167" s="17">
        <f>IF(Calc!$B2167,Calc!O2167,"")</f>
        <v/>
      </c>
    </row>
    <row r="2168">
      <c r="A2168" s="16">
        <f>IF(Calc!$B2168,Calc!E2168,"")</f>
        <v/>
      </c>
      <c r="B2168">
        <f>IF(Calc!$B2168,INDEX(MineNames,Calc!C2168),"")</f>
        <v/>
      </c>
      <c r="C2168" s="17">
        <f>IF(Calc!$B2168,Calc!O2168,"")</f>
        <v/>
      </c>
    </row>
    <row r="2169">
      <c r="A2169" s="16">
        <f>IF(Calc!$B2169,Calc!E2169,"")</f>
        <v/>
      </c>
      <c r="B2169">
        <f>IF(Calc!$B2169,INDEX(MineNames,Calc!C2169),"")</f>
        <v/>
      </c>
      <c r="C2169" s="17">
        <f>IF(Calc!$B2169,Calc!O2169,"")</f>
        <v/>
      </c>
    </row>
    <row r="2170">
      <c r="A2170" s="16">
        <f>IF(Calc!$B2170,Calc!E2170,"")</f>
        <v/>
      </c>
      <c r="B2170">
        <f>IF(Calc!$B2170,INDEX(MineNames,Calc!C2170),"")</f>
        <v/>
      </c>
      <c r="C2170" s="17">
        <f>IF(Calc!$B2170,Calc!O2170,"")</f>
        <v/>
      </c>
    </row>
    <row r="2171">
      <c r="A2171" s="16">
        <f>IF(Calc!$B2171,Calc!E2171,"")</f>
        <v/>
      </c>
      <c r="B2171">
        <f>IF(Calc!$B2171,INDEX(MineNames,Calc!C2171),"")</f>
        <v/>
      </c>
      <c r="C2171" s="17">
        <f>IF(Calc!$B2171,Calc!O2171,"")</f>
        <v/>
      </c>
    </row>
    <row r="2172">
      <c r="A2172" s="16">
        <f>IF(Calc!$B2172,Calc!E2172,"")</f>
        <v/>
      </c>
      <c r="B2172">
        <f>IF(Calc!$B2172,INDEX(MineNames,Calc!C2172),"")</f>
        <v/>
      </c>
      <c r="C2172" s="17">
        <f>IF(Calc!$B2172,Calc!O2172,"")</f>
        <v/>
      </c>
    </row>
    <row r="2173">
      <c r="A2173" s="16">
        <f>IF(Calc!$B2173,Calc!E2173,"")</f>
        <v/>
      </c>
      <c r="B2173">
        <f>IF(Calc!$B2173,INDEX(MineNames,Calc!C2173),"")</f>
        <v/>
      </c>
      <c r="C2173" s="17">
        <f>IF(Calc!$B2173,Calc!O2173,"")</f>
        <v/>
      </c>
    </row>
    <row r="2174">
      <c r="A2174" s="16">
        <f>IF(Calc!$B2174,Calc!E2174,"")</f>
        <v/>
      </c>
      <c r="B2174">
        <f>IF(Calc!$B2174,INDEX(MineNames,Calc!C2174),"")</f>
        <v/>
      </c>
      <c r="C2174" s="17">
        <f>IF(Calc!$B2174,Calc!O2174,"")</f>
        <v/>
      </c>
    </row>
    <row r="2175">
      <c r="A2175" s="16">
        <f>IF(Calc!$B2175,Calc!E2175,"")</f>
        <v/>
      </c>
      <c r="B2175">
        <f>IF(Calc!$B2175,INDEX(MineNames,Calc!C2175),"")</f>
        <v/>
      </c>
      <c r="C2175" s="17">
        <f>IF(Calc!$B2175,Calc!O2175,"")</f>
        <v/>
      </c>
    </row>
    <row r="2176">
      <c r="A2176" s="16">
        <f>IF(Calc!$B2176,Calc!E2176,"")</f>
        <v/>
      </c>
      <c r="B2176">
        <f>IF(Calc!$B2176,INDEX(MineNames,Calc!C2176),"")</f>
        <v/>
      </c>
      <c r="C2176" s="17">
        <f>IF(Calc!$B2176,Calc!O2176,"")</f>
        <v/>
      </c>
    </row>
    <row r="2177">
      <c r="A2177" s="16">
        <f>IF(Calc!$B2177,Calc!E2177,"")</f>
        <v/>
      </c>
      <c r="B2177">
        <f>IF(Calc!$B2177,INDEX(MineNames,Calc!C2177),"")</f>
        <v/>
      </c>
      <c r="C2177" s="17">
        <f>IF(Calc!$B2177,Calc!O2177,"")</f>
        <v/>
      </c>
    </row>
    <row r="2178">
      <c r="A2178" s="16">
        <f>IF(Calc!$B2178,Calc!E2178,"")</f>
        <v/>
      </c>
      <c r="B2178">
        <f>IF(Calc!$B2178,INDEX(MineNames,Calc!C2178),"")</f>
        <v/>
      </c>
      <c r="C2178" s="17">
        <f>IF(Calc!$B2178,Calc!O2178,"")</f>
        <v/>
      </c>
    </row>
    <row r="2179">
      <c r="A2179" s="16">
        <f>IF(Calc!$B2179,Calc!E2179,"")</f>
        <v/>
      </c>
      <c r="B2179">
        <f>IF(Calc!$B2179,INDEX(MineNames,Calc!C2179),"")</f>
        <v/>
      </c>
      <c r="C2179" s="17">
        <f>IF(Calc!$B2179,Calc!O2179,"")</f>
        <v/>
      </c>
    </row>
    <row r="2180">
      <c r="A2180" s="16">
        <f>IF(Calc!$B2180,Calc!E2180,"")</f>
        <v/>
      </c>
      <c r="B2180">
        <f>IF(Calc!$B2180,INDEX(MineNames,Calc!C2180),"")</f>
        <v/>
      </c>
      <c r="C2180" s="17">
        <f>IF(Calc!$B2180,Calc!O2180,"")</f>
        <v/>
      </c>
    </row>
    <row r="2181">
      <c r="A2181" s="16">
        <f>IF(Calc!$B2181,Calc!E2181,"")</f>
        <v/>
      </c>
      <c r="B2181">
        <f>IF(Calc!$B2181,INDEX(MineNames,Calc!C2181),"")</f>
        <v/>
      </c>
      <c r="C2181" s="17">
        <f>IF(Calc!$B2181,Calc!O2181,"")</f>
        <v/>
      </c>
    </row>
    <row r="2182">
      <c r="A2182" s="16">
        <f>IF(Calc!$B2182,Calc!E2182,"")</f>
        <v/>
      </c>
      <c r="B2182">
        <f>IF(Calc!$B2182,INDEX(MineNames,Calc!C2182),"")</f>
        <v/>
      </c>
      <c r="C2182" s="17">
        <f>IF(Calc!$B2182,Calc!O2182,"")</f>
        <v/>
      </c>
    </row>
    <row r="2183">
      <c r="A2183" s="16">
        <f>IF(Calc!$B2183,Calc!E2183,"")</f>
        <v/>
      </c>
      <c r="B2183">
        <f>IF(Calc!$B2183,INDEX(MineNames,Calc!C2183),"")</f>
        <v/>
      </c>
      <c r="C2183" s="17">
        <f>IF(Calc!$B2183,Calc!O2183,"")</f>
        <v/>
      </c>
    </row>
    <row r="2184">
      <c r="A2184" s="16">
        <f>IF(Calc!$B2184,Calc!E2184,"")</f>
        <v/>
      </c>
      <c r="B2184">
        <f>IF(Calc!$B2184,INDEX(MineNames,Calc!C2184),"")</f>
        <v/>
      </c>
      <c r="C2184" s="17">
        <f>IF(Calc!$B2184,Calc!O2184,"")</f>
        <v/>
      </c>
    </row>
    <row r="2185">
      <c r="A2185" s="16">
        <f>IF(Calc!$B2185,Calc!E2185,"")</f>
        <v/>
      </c>
      <c r="B2185">
        <f>IF(Calc!$B2185,INDEX(MineNames,Calc!C2185),"")</f>
        <v/>
      </c>
      <c r="C2185" s="17">
        <f>IF(Calc!$B2185,Calc!O2185,"")</f>
        <v/>
      </c>
    </row>
    <row r="2186">
      <c r="A2186" s="16">
        <f>IF(Calc!$B2186,Calc!E2186,"")</f>
        <v/>
      </c>
      <c r="B2186">
        <f>IF(Calc!$B2186,INDEX(MineNames,Calc!C2186),"")</f>
        <v/>
      </c>
      <c r="C2186" s="17">
        <f>IF(Calc!$B2186,Calc!O2186,"")</f>
        <v/>
      </c>
    </row>
    <row r="2187">
      <c r="A2187" s="16">
        <f>IF(Calc!$B2187,Calc!E2187,"")</f>
        <v/>
      </c>
      <c r="B2187">
        <f>IF(Calc!$B2187,INDEX(MineNames,Calc!C2187),"")</f>
        <v/>
      </c>
      <c r="C2187" s="17">
        <f>IF(Calc!$B2187,Calc!O2187,"")</f>
        <v/>
      </c>
    </row>
    <row r="2188">
      <c r="A2188" s="16">
        <f>IF(Calc!$B2188,Calc!E2188,"")</f>
        <v/>
      </c>
      <c r="B2188">
        <f>IF(Calc!$B2188,INDEX(MineNames,Calc!C2188),"")</f>
        <v/>
      </c>
      <c r="C2188" s="17">
        <f>IF(Calc!$B2188,Calc!O2188,"")</f>
        <v/>
      </c>
    </row>
    <row r="2189">
      <c r="A2189" s="16">
        <f>IF(Calc!$B2189,Calc!E2189,"")</f>
        <v/>
      </c>
      <c r="B2189">
        <f>IF(Calc!$B2189,INDEX(MineNames,Calc!C2189),"")</f>
        <v/>
      </c>
      <c r="C2189" s="17">
        <f>IF(Calc!$B2189,Calc!O2189,"")</f>
        <v/>
      </c>
    </row>
    <row r="2190">
      <c r="A2190" s="16">
        <f>IF(Calc!$B2190,Calc!E2190,"")</f>
        <v/>
      </c>
      <c r="B2190">
        <f>IF(Calc!$B2190,INDEX(MineNames,Calc!C2190),"")</f>
        <v/>
      </c>
      <c r="C2190" s="17">
        <f>IF(Calc!$B2190,Calc!O2190,"")</f>
        <v/>
      </c>
    </row>
    <row r="2191">
      <c r="A2191" s="16">
        <f>IF(Calc!$B2191,Calc!E2191,"")</f>
        <v/>
      </c>
      <c r="B2191">
        <f>IF(Calc!$B2191,INDEX(MineNames,Calc!C2191),"")</f>
        <v/>
      </c>
      <c r="C2191" s="17">
        <f>IF(Calc!$B2191,Calc!O2191,"")</f>
        <v/>
      </c>
    </row>
    <row r="2192">
      <c r="A2192" s="16">
        <f>IF(Calc!$B2192,Calc!E2192,"")</f>
        <v/>
      </c>
      <c r="B2192">
        <f>IF(Calc!$B2192,INDEX(MineNames,Calc!C2192),"")</f>
        <v/>
      </c>
      <c r="C2192" s="17">
        <f>IF(Calc!$B2192,Calc!O2192,"")</f>
        <v/>
      </c>
    </row>
    <row r="2193">
      <c r="A2193" s="16">
        <f>IF(Calc!$B2193,Calc!E2193,"")</f>
        <v/>
      </c>
      <c r="B2193">
        <f>IF(Calc!$B2193,INDEX(MineNames,Calc!C2193),"")</f>
        <v/>
      </c>
      <c r="C2193" s="17">
        <f>IF(Calc!$B2193,Calc!O2193,"")</f>
        <v/>
      </c>
    </row>
    <row r="2194">
      <c r="A2194" s="16">
        <f>IF(Calc!$B2194,Calc!E2194,"")</f>
        <v/>
      </c>
      <c r="B2194">
        <f>IF(Calc!$B2194,INDEX(MineNames,Calc!C2194),"")</f>
        <v/>
      </c>
      <c r="C2194" s="17">
        <f>IF(Calc!$B2194,Calc!O2194,"")</f>
        <v/>
      </c>
    </row>
    <row r="2195">
      <c r="A2195" s="16">
        <f>IF(Calc!$B2195,Calc!E2195,"")</f>
        <v/>
      </c>
      <c r="B2195">
        <f>IF(Calc!$B2195,INDEX(MineNames,Calc!C2195),"")</f>
        <v/>
      </c>
      <c r="C2195" s="17">
        <f>IF(Calc!$B2195,Calc!O2195,"")</f>
        <v/>
      </c>
    </row>
    <row r="2196">
      <c r="A2196" s="16">
        <f>IF(Calc!$B2196,Calc!E2196,"")</f>
        <v/>
      </c>
      <c r="B2196">
        <f>IF(Calc!$B2196,INDEX(MineNames,Calc!C2196),"")</f>
        <v/>
      </c>
      <c r="C2196" s="17">
        <f>IF(Calc!$B2196,Calc!O2196,"")</f>
        <v/>
      </c>
    </row>
    <row r="2197">
      <c r="A2197" s="16">
        <f>IF(Calc!$B2197,Calc!E2197,"")</f>
        <v/>
      </c>
      <c r="B2197">
        <f>IF(Calc!$B2197,INDEX(MineNames,Calc!C2197),"")</f>
        <v/>
      </c>
      <c r="C2197" s="17">
        <f>IF(Calc!$B2197,Calc!O2197,"")</f>
        <v/>
      </c>
    </row>
    <row r="2198">
      <c r="A2198" s="16">
        <f>IF(Calc!$B2198,Calc!E2198,"")</f>
        <v/>
      </c>
      <c r="B2198">
        <f>IF(Calc!$B2198,INDEX(MineNames,Calc!C2198),"")</f>
        <v/>
      </c>
      <c r="C2198" s="17">
        <f>IF(Calc!$B2198,Calc!O2198,"")</f>
        <v/>
      </c>
    </row>
    <row r="2199">
      <c r="A2199" s="16">
        <f>IF(Calc!$B2199,Calc!E2199,"")</f>
        <v/>
      </c>
      <c r="B2199">
        <f>IF(Calc!$B2199,INDEX(MineNames,Calc!C2199),"")</f>
        <v/>
      </c>
      <c r="C2199" s="17">
        <f>IF(Calc!$B2199,Calc!O2199,"")</f>
        <v/>
      </c>
    </row>
    <row r="2200">
      <c r="A2200" s="16">
        <f>IF(Calc!$B2200,Calc!E2200,"")</f>
        <v/>
      </c>
      <c r="B2200">
        <f>IF(Calc!$B2200,INDEX(MineNames,Calc!C2200),"")</f>
        <v/>
      </c>
      <c r="C2200" s="17">
        <f>IF(Calc!$B2200,Calc!O2200,"")</f>
        <v/>
      </c>
    </row>
    <row r="2201">
      <c r="A2201" s="16">
        <f>IF(Calc!$B2201,Calc!E2201,"")</f>
        <v/>
      </c>
      <c r="B2201">
        <f>IF(Calc!$B2201,INDEX(MineNames,Calc!C2201),"")</f>
        <v/>
      </c>
      <c r="C2201" s="17">
        <f>IF(Calc!$B2201,Calc!O2201,"")</f>
        <v/>
      </c>
    </row>
    <row r="2202">
      <c r="A2202" s="16">
        <f>IF(Calc!$B2202,Calc!E2202,"")</f>
        <v/>
      </c>
      <c r="B2202">
        <f>IF(Calc!$B2202,INDEX(MineNames,Calc!C2202),"")</f>
        <v/>
      </c>
      <c r="C2202" s="17">
        <f>IF(Calc!$B2202,Calc!O2202,"")</f>
        <v/>
      </c>
    </row>
    <row r="2203">
      <c r="A2203" s="16">
        <f>IF(Calc!$B2203,Calc!E2203,"")</f>
        <v/>
      </c>
      <c r="B2203">
        <f>IF(Calc!$B2203,INDEX(MineNames,Calc!C2203),"")</f>
        <v/>
      </c>
      <c r="C2203" s="17">
        <f>IF(Calc!$B2203,Calc!O2203,"")</f>
        <v/>
      </c>
    </row>
    <row r="2204">
      <c r="A2204" s="16">
        <f>IF(Calc!$B2204,Calc!E2204,"")</f>
        <v/>
      </c>
      <c r="B2204">
        <f>IF(Calc!$B2204,INDEX(MineNames,Calc!C2204),"")</f>
        <v/>
      </c>
      <c r="C2204" s="17">
        <f>IF(Calc!$B2204,Calc!O2204,"")</f>
        <v/>
      </c>
    </row>
    <row r="2205">
      <c r="A2205" s="16">
        <f>IF(Calc!$B2205,Calc!E2205,"")</f>
        <v/>
      </c>
      <c r="B2205">
        <f>IF(Calc!$B2205,INDEX(MineNames,Calc!C2205),"")</f>
        <v/>
      </c>
      <c r="C2205" s="17">
        <f>IF(Calc!$B2205,Calc!O2205,"")</f>
        <v/>
      </c>
    </row>
    <row r="2206">
      <c r="A2206" s="16">
        <f>IF(Calc!$B2206,Calc!E2206,"")</f>
        <v/>
      </c>
      <c r="B2206">
        <f>IF(Calc!$B2206,INDEX(MineNames,Calc!C2206),"")</f>
        <v/>
      </c>
      <c r="C2206" s="17">
        <f>IF(Calc!$B2206,Calc!O2206,"")</f>
        <v/>
      </c>
    </row>
    <row r="2207">
      <c r="A2207" s="16">
        <f>IF(Calc!$B2207,Calc!E2207,"")</f>
        <v/>
      </c>
      <c r="B2207">
        <f>IF(Calc!$B2207,INDEX(MineNames,Calc!C2207),"")</f>
        <v/>
      </c>
      <c r="C2207" s="17">
        <f>IF(Calc!$B2207,Calc!O2207,"")</f>
        <v/>
      </c>
    </row>
    <row r="2208">
      <c r="A2208" s="16">
        <f>IF(Calc!$B2208,Calc!E2208,"")</f>
        <v/>
      </c>
      <c r="B2208">
        <f>IF(Calc!$B2208,INDEX(MineNames,Calc!C2208),"")</f>
        <v/>
      </c>
      <c r="C2208" s="17">
        <f>IF(Calc!$B2208,Calc!O2208,"")</f>
        <v/>
      </c>
    </row>
    <row r="2209">
      <c r="A2209" s="16">
        <f>IF(Calc!$B2209,Calc!E2209,"")</f>
        <v/>
      </c>
      <c r="B2209">
        <f>IF(Calc!$B2209,INDEX(MineNames,Calc!C2209),"")</f>
        <v/>
      </c>
      <c r="C2209" s="17">
        <f>IF(Calc!$B2209,Calc!O2209,"")</f>
        <v/>
      </c>
    </row>
    <row r="2210">
      <c r="A2210" s="16">
        <f>IF(Calc!$B2210,Calc!E2210,"")</f>
        <v/>
      </c>
      <c r="B2210">
        <f>IF(Calc!$B2210,INDEX(MineNames,Calc!C2210),"")</f>
        <v/>
      </c>
      <c r="C2210" s="17">
        <f>IF(Calc!$B2210,Calc!O2210,"")</f>
        <v/>
      </c>
    </row>
    <row r="2211">
      <c r="A2211" s="16">
        <f>IF(Calc!$B2211,Calc!E2211,"")</f>
        <v/>
      </c>
      <c r="B2211">
        <f>IF(Calc!$B2211,INDEX(MineNames,Calc!C2211),"")</f>
        <v/>
      </c>
      <c r="C2211" s="17">
        <f>IF(Calc!$B2211,Calc!O2211,"")</f>
        <v/>
      </c>
    </row>
    <row r="2212">
      <c r="A2212" s="16">
        <f>IF(Calc!$B2212,Calc!E2212,"")</f>
        <v/>
      </c>
      <c r="B2212">
        <f>IF(Calc!$B2212,INDEX(MineNames,Calc!C2212),"")</f>
        <v/>
      </c>
      <c r="C2212" s="17">
        <f>IF(Calc!$B2212,Calc!O2212,"")</f>
        <v/>
      </c>
    </row>
    <row r="2213">
      <c r="A2213" s="16">
        <f>IF(Calc!$B2213,Calc!E2213,"")</f>
        <v/>
      </c>
      <c r="B2213">
        <f>IF(Calc!$B2213,INDEX(MineNames,Calc!C2213),"")</f>
        <v/>
      </c>
      <c r="C2213" s="17">
        <f>IF(Calc!$B2213,Calc!O2213,"")</f>
        <v/>
      </c>
    </row>
    <row r="2214">
      <c r="A2214" s="16">
        <f>IF(Calc!$B2214,Calc!E2214,"")</f>
        <v/>
      </c>
      <c r="B2214">
        <f>IF(Calc!$B2214,INDEX(MineNames,Calc!C2214),"")</f>
        <v/>
      </c>
      <c r="C2214" s="17">
        <f>IF(Calc!$B2214,Calc!O2214,"")</f>
        <v/>
      </c>
    </row>
    <row r="2215">
      <c r="A2215" s="16">
        <f>IF(Calc!$B2215,Calc!E2215,"")</f>
        <v/>
      </c>
      <c r="B2215">
        <f>IF(Calc!$B2215,INDEX(MineNames,Calc!C2215),"")</f>
        <v/>
      </c>
      <c r="C2215" s="17">
        <f>IF(Calc!$B2215,Calc!O2215,"")</f>
        <v/>
      </c>
    </row>
    <row r="2216">
      <c r="A2216" s="16">
        <f>IF(Calc!$B2216,Calc!E2216,"")</f>
        <v/>
      </c>
      <c r="B2216">
        <f>IF(Calc!$B2216,INDEX(MineNames,Calc!C2216),"")</f>
        <v/>
      </c>
      <c r="C2216" s="17">
        <f>IF(Calc!$B2216,Calc!O2216,"")</f>
        <v/>
      </c>
    </row>
    <row r="2217">
      <c r="A2217" s="16">
        <f>IF(Calc!$B2217,Calc!E2217,"")</f>
        <v/>
      </c>
      <c r="B2217">
        <f>IF(Calc!$B2217,INDEX(MineNames,Calc!C2217),"")</f>
        <v/>
      </c>
      <c r="C2217" s="17">
        <f>IF(Calc!$B2217,Calc!O2217,"")</f>
        <v/>
      </c>
    </row>
    <row r="2218">
      <c r="A2218" s="16">
        <f>IF(Calc!$B2218,Calc!E2218,"")</f>
        <v/>
      </c>
      <c r="B2218">
        <f>IF(Calc!$B2218,INDEX(MineNames,Calc!C2218),"")</f>
        <v/>
      </c>
      <c r="C2218" s="17">
        <f>IF(Calc!$B2218,Calc!O2218,"")</f>
        <v/>
      </c>
    </row>
    <row r="2219">
      <c r="A2219" s="16">
        <f>IF(Calc!$B2219,Calc!E2219,"")</f>
        <v/>
      </c>
      <c r="B2219">
        <f>IF(Calc!$B2219,INDEX(MineNames,Calc!C2219),"")</f>
        <v/>
      </c>
      <c r="C2219" s="17">
        <f>IF(Calc!$B2219,Calc!O2219,"")</f>
        <v/>
      </c>
    </row>
    <row r="2220">
      <c r="A2220" s="16">
        <f>IF(Calc!$B2220,Calc!E2220,"")</f>
        <v/>
      </c>
      <c r="B2220">
        <f>IF(Calc!$B2220,INDEX(MineNames,Calc!C2220),"")</f>
        <v/>
      </c>
      <c r="C2220" s="17">
        <f>IF(Calc!$B2220,Calc!O2220,"")</f>
        <v/>
      </c>
    </row>
    <row r="2221">
      <c r="A2221" s="16">
        <f>IF(Calc!$B2221,Calc!E2221,"")</f>
        <v/>
      </c>
      <c r="B2221">
        <f>IF(Calc!$B2221,INDEX(MineNames,Calc!C2221),"")</f>
        <v/>
      </c>
      <c r="C2221" s="17">
        <f>IF(Calc!$B2221,Calc!O2221,"")</f>
        <v/>
      </c>
    </row>
    <row r="2222">
      <c r="A2222" s="16">
        <f>IF(Calc!$B2222,Calc!E2222,"")</f>
        <v/>
      </c>
      <c r="B2222">
        <f>IF(Calc!$B2222,INDEX(MineNames,Calc!C2222),"")</f>
        <v/>
      </c>
      <c r="C2222" s="17">
        <f>IF(Calc!$B2222,Calc!O2222,"")</f>
        <v/>
      </c>
    </row>
    <row r="2223">
      <c r="A2223" s="16">
        <f>IF(Calc!$B2223,Calc!E2223,"")</f>
        <v/>
      </c>
      <c r="B2223">
        <f>IF(Calc!$B2223,INDEX(MineNames,Calc!C2223),"")</f>
        <v/>
      </c>
      <c r="C2223" s="17">
        <f>IF(Calc!$B2223,Calc!O2223,"")</f>
        <v/>
      </c>
    </row>
    <row r="2224">
      <c r="A2224" s="16">
        <f>IF(Calc!$B2224,Calc!E2224,"")</f>
        <v/>
      </c>
      <c r="B2224">
        <f>IF(Calc!$B2224,INDEX(MineNames,Calc!C2224),"")</f>
        <v/>
      </c>
      <c r="C2224" s="17">
        <f>IF(Calc!$B2224,Calc!O2224,"")</f>
        <v/>
      </c>
    </row>
    <row r="2225">
      <c r="A2225" s="16">
        <f>IF(Calc!$B2225,Calc!E2225,"")</f>
        <v/>
      </c>
      <c r="B2225">
        <f>IF(Calc!$B2225,INDEX(MineNames,Calc!C2225),"")</f>
        <v/>
      </c>
      <c r="C2225" s="17">
        <f>IF(Calc!$B2225,Calc!O2225,"")</f>
        <v/>
      </c>
    </row>
    <row r="2226">
      <c r="A2226" s="16">
        <f>IF(Calc!$B2226,Calc!E2226,"")</f>
        <v/>
      </c>
      <c r="B2226">
        <f>IF(Calc!$B2226,INDEX(MineNames,Calc!C2226),"")</f>
        <v/>
      </c>
      <c r="C2226" s="17">
        <f>IF(Calc!$B2226,Calc!O2226,"")</f>
        <v/>
      </c>
    </row>
    <row r="2227">
      <c r="A2227" s="16">
        <f>IF(Calc!$B2227,Calc!E2227,"")</f>
        <v/>
      </c>
      <c r="B2227">
        <f>IF(Calc!$B2227,INDEX(MineNames,Calc!C2227),"")</f>
        <v/>
      </c>
      <c r="C2227" s="17">
        <f>IF(Calc!$B2227,Calc!O2227,"")</f>
        <v/>
      </c>
    </row>
    <row r="2228">
      <c r="A2228" s="16">
        <f>IF(Calc!$B2228,Calc!E2228,"")</f>
        <v/>
      </c>
      <c r="B2228">
        <f>IF(Calc!$B2228,INDEX(MineNames,Calc!C2228),"")</f>
        <v/>
      </c>
      <c r="C2228" s="17">
        <f>IF(Calc!$B2228,Calc!O2228,"")</f>
        <v/>
      </c>
    </row>
    <row r="2229">
      <c r="A2229" s="16">
        <f>IF(Calc!$B2229,Calc!E2229,"")</f>
        <v/>
      </c>
      <c r="B2229">
        <f>IF(Calc!$B2229,INDEX(MineNames,Calc!C2229),"")</f>
        <v/>
      </c>
      <c r="C2229" s="17">
        <f>IF(Calc!$B2229,Calc!O2229,"")</f>
        <v/>
      </c>
    </row>
    <row r="2230">
      <c r="A2230" s="16">
        <f>IF(Calc!$B2230,Calc!E2230,"")</f>
        <v/>
      </c>
      <c r="B2230">
        <f>IF(Calc!$B2230,INDEX(MineNames,Calc!C2230),"")</f>
        <v/>
      </c>
      <c r="C2230" s="17">
        <f>IF(Calc!$B2230,Calc!O2230,"")</f>
        <v/>
      </c>
    </row>
    <row r="2231">
      <c r="A2231" s="16">
        <f>IF(Calc!$B2231,Calc!E2231,"")</f>
        <v/>
      </c>
      <c r="B2231">
        <f>IF(Calc!$B2231,INDEX(MineNames,Calc!C2231),"")</f>
        <v/>
      </c>
      <c r="C2231" s="17">
        <f>IF(Calc!$B2231,Calc!O2231,"")</f>
        <v/>
      </c>
    </row>
    <row r="2232">
      <c r="A2232" s="16">
        <f>IF(Calc!$B2232,Calc!E2232,"")</f>
        <v/>
      </c>
      <c r="B2232">
        <f>IF(Calc!$B2232,INDEX(MineNames,Calc!C2232),"")</f>
        <v/>
      </c>
      <c r="C2232" s="17">
        <f>IF(Calc!$B2232,Calc!O2232,"")</f>
        <v/>
      </c>
    </row>
    <row r="2233">
      <c r="A2233" s="16">
        <f>IF(Calc!$B2233,Calc!E2233,"")</f>
        <v/>
      </c>
      <c r="B2233">
        <f>IF(Calc!$B2233,INDEX(MineNames,Calc!C2233),"")</f>
        <v/>
      </c>
      <c r="C2233" s="17">
        <f>IF(Calc!$B2233,Calc!O2233,"")</f>
        <v/>
      </c>
    </row>
    <row r="2234">
      <c r="A2234" s="16">
        <f>IF(Calc!$B2234,Calc!E2234,"")</f>
        <v/>
      </c>
      <c r="B2234">
        <f>IF(Calc!$B2234,INDEX(MineNames,Calc!C2234),"")</f>
        <v/>
      </c>
      <c r="C2234" s="17">
        <f>IF(Calc!$B2234,Calc!O2234,"")</f>
        <v/>
      </c>
    </row>
    <row r="2235">
      <c r="A2235" s="16">
        <f>IF(Calc!$B2235,Calc!E2235,"")</f>
        <v/>
      </c>
      <c r="B2235">
        <f>IF(Calc!$B2235,INDEX(MineNames,Calc!C2235),"")</f>
        <v/>
      </c>
      <c r="C2235" s="17">
        <f>IF(Calc!$B2235,Calc!O2235,"")</f>
        <v/>
      </c>
    </row>
    <row r="2236">
      <c r="A2236" s="16">
        <f>IF(Calc!$B2236,Calc!E2236,"")</f>
        <v/>
      </c>
      <c r="B2236">
        <f>IF(Calc!$B2236,INDEX(MineNames,Calc!C2236),"")</f>
        <v/>
      </c>
      <c r="C2236" s="17">
        <f>IF(Calc!$B2236,Calc!O2236,"")</f>
        <v/>
      </c>
    </row>
    <row r="2237">
      <c r="A2237" s="16">
        <f>IF(Calc!$B2237,Calc!E2237,"")</f>
        <v/>
      </c>
      <c r="B2237">
        <f>IF(Calc!$B2237,INDEX(MineNames,Calc!C2237),"")</f>
        <v/>
      </c>
      <c r="C2237" s="17">
        <f>IF(Calc!$B2237,Calc!O2237,"")</f>
        <v/>
      </c>
    </row>
    <row r="2238">
      <c r="A2238" s="16">
        <f>IF(Calc!$B2238,Calc!E2238,"")</f>
        <v/>
      </c>
      <c r="B2238">
        <f>IF(Calc!$B2238,INDEX(MineNames,Calc!C2238),"")</f>
        <v/>
      </c>
      <c r="C2238" s="17">
        <f>IF(Calc!$B2238,Calc!O2238,"")</f>
        <v/>
      </c>
    </row>
    <row r="2239">
      <c r="A2239" s="16">
        <f>IF(Calc!$B2239,Calc!E2239,"")</f>
        <v/>
      </c>
      <c r="B2239">
        <f>IF(Calc!$B2239,INDEX(MineNames,Calc!C2239),"")</f>
        <v/>
      </c>
      <c r="C2239" s="17">
        <f>IF(Calc!$B2239,Calc!O2239,"")</f>
        <v/>
      </c>
    </row>
    <row r="2240">
      <c r="A2240" s="16">
        <f>IF(Calc!$B2240,Calc!E2240,"")</f>
        <v/>
      </c>
      <c r="B2240">
        <f>IF(Calc!$B2240,INDEX(MineNames,Calc!C2240),"")</f>
        <v/>
      </c>
      <c r="C2240" s="17">
        <f>IF(Calc!$B2240,Calc!O2240,"")</f>
        <v/>
      </c>
    </row>
    <row r="2241">
      <c r="A2241" s="16">
        <f>IF(Calc!$B2241,Calc!E2241,"")</f>
        <v/>
      </c>
      <c r="B2241">
        <f>IF(Calc!$B2241,INDEX(MineNames,Calc!C2241),"")</f>
        <v/>
      </c>
      <c r="C2241" s="17">
        <f>IF(Calc!$B2241,Calc!O2241,"")</f>
        <v/>
      </c>
    </row>
    <row r="2242">
      <c r="A2242" s="16">
        <f>IF(Calc!$B2242,Calc!E2242,"")</f>
        <v/>
      </c>
      <c r="B2242">
        <f>IF(Calc!$B2242,INDEX(MineNames,Calc!C2242),"")</f>
        <v/>
      </c>
      <c r="C2242" s="17">
        <f>IF(Calc!$B2242,Calc!O2242,"")</f>
        <v/>
      </c>
    </row>
    <row r="2243">
      <c r="A2243" s="16">
        <f>IF(Calc!$B2243,Calc!E2243,"")</f>
        <v/>
      </c>
      <c r="B2243">
        <f>IF(Calc!$B2243,INDEX(MineNames,Calc!C2243),"")</f>
        <v/>
      </c>
      <c r="C2243" s="17">
        <f>IF(Calc!$B2243,Calc!O2243,"")</f>
        <v/>
      </c>
    </row>
    <row r="2244">
      <c r="A2244" s="16">
        <f>IF(Calc!$B2244,Calc!E2244,"")</f>
        <v/>
      </c>
      <c r="B2244">
        <f>IF(Calc!$B2244,INDEX(MineNames,Calc!C2244),"")</f>
        <v/>
      </c>
      <c r="C2244" s="17">
        <f>IF(Calc!$B2244,Calc!O2244,"")</f>
        <v/>
      </c>
    </row>
    <row r="2245">
      <c r="A2245" s="16">
        <f>IF(Calc!$B2245,Calc!E2245,"")</f>
        <v/>
      </c>
      <c r="B2245">
        <f>IF(Calc!$B2245,INDEX(MineNames,Calc!C2245),"")</f>
        <v/>
      </c>
      <c r="C2245" s="17">
        <f>IF(Calc!$B2245,Calc!O2245,"")</f>
        <v/>
      </c>
    </row>
    <row r="2246">
      <c r="A2246" s="16">
        <f>IF(Calc!$B2246,Calc!E2246,"")</f>
        <v/>
      </c>
      <c r="B2246">
        <f>IF(Calc!$B2246,INDEX(MineNames,Calc!C2246),"")</f>
        <v/>
      </c>
      <c r="C2246" s="17">
        <f>IF(Calc!$B2246,Calc!O2246,"")</f>
        <v/>
      </c>
    </row>
    <row r="2247">
      <c r="A2247" s="16">
        <f>IF(Calc!$B2247,Calc!E2247,"")</f>
        <v/>
      </c>
      <c r="B2247">
        <f>IF(Calc!$B2247,INDEX(MineNames,Calc!C2247),"")</f>
        <v/>
      </c>
      <c r="C2247" s="17">
        <f>IF(Calc!$B2247,Calc!O2247,"")</f>
        <v/>
      </c>
    </row>
    <row r="2248">
      <c r="A2248" s="16">
        <f>IF(Calc!$B2248,Calc!E2248,"")</f>
        <v/>
      </c>
      <c r="B2248">
        <f>IF(Calc!$B2248,INDEX(MineNames,Calc!C2248),"")</f>
        <v/>
      </c>
      <c r="C2248" s="17">
        <f>IF(Calc!$B2248,Calc!O2248,"")</f>
        <v/>
      </c>
    </row>
    <row r="2249">
      <c r="A2249" s="16">
        <f>IF(Calc!$B2249,Calc!E2249,"")</f>
        <v/>
      </c>
      <c r="B2249">
        <f>IF(Calc!$B2249,INDEX(MineNames,Calc!C2249),"")</f>
        <v/>
      </c>
      <c r="C2249" s="17">
        <f>IF(Calc!$B2249,Calc!O2249,"")</f>
        <v/>
      </c>
    </row>
    <row r="2250">
      <c r="A2250" s="16">
        <f>IF(Calc!$B2250,Calc!E2250,"")</f>
        <v/>
      </c>
      <c r="B2250">
        <f>IF(Calc!$B2250,INDEX(MineNames,Calc!C2250),"")</f>
        <v/>
      </c>
      <c r="C2250" s="17">
        <f>IF(Calc!$B2250,Calc!O2250,"")</f>
        <v/>
      </c>
    </row>
    <row r="2251">
      <c r="A2251" s="16">
        <f>IF(Calc!$B2251,Calc!E2251,"")</f>
        <v/>
      </c>
      <c r="B2251">
        <f>IF(Calc!$B2251,INDEX(MineNames,Calc!C2251),"")</f>
        <v/>
      </c>
      <c r="C2251" s="17">
        <f>IF(Calc!$B2251,Calc!O2251,"")</f>
        <v/>
      </c>
    </row>
    <row r="2252">
      <c r="A2252" s="16">
        <f>IF(Calc!$B2252,Calc!E2252,"")</f>
        <v/>
      </c>
      <c r="B2252">
        <f>IF(Calc!$B2252,INDEX(MineNames,Calc!C2252),"")</f>
        <v/>
      </c>
      <c r="C2252" s="17">
        <f>IF(Calc!$B2252,Calc!O2252,"")</f>
        <v/>
      </c>
    </row>
    <row r="2253">
      <c r="A2253" s="16">
        <f>IF(Calc!$B2253,Calc!E2253,"")</f>
        <v/>
      </c>
      <c r="B2253">
        <f>IF(Calc!$B2253,INDEX(MineNames,Calc!C2253),"")</f>
        <v/>
      </c>
      <c r="C2253" s="17">
        <f>IF(Calc!$B2253,Calc!O2253,"")</f>
        <v/>
      </c>
    </row>
    <row r="2254">
      <c r="A2254" s="16">
        <f>IF(Calc!$B2254,Calc!E2254,"")</f>
        <v/>
      </c>
      <c r="B2254">
        <f>IF(Calc!$B2254,INDEX(MineNames,Calc!C2254),"")</f>
        <v/>
      </c>
      <c r="C2254" s="17">
        <f>IF(Calc!$B2254,Calc!O2254,"")</f>
        <v/>
      </c>
    </row>
    <row r="2255">
      <c r="A2255" s="16">
        <f>IF(Calc!$B2255,Calc!E2255,"")</f>
        <v/>
      </c>
      <c r="B2255">
        <f>IF(Calc!$B2255,INDEX(MineNames,Calc!C2255),"")</f>
        <v/>
      </c>
      <c r="C2255" s="17">
        <f>IF(Calc!$B2255,Calc!O2255,"")</f>
        <v/>
      </c>
    </row>
    <row r="2256">
      <c r="A2256" s="16">
        <f>IF(Calc!$B2256,Calc!E2256,"")</f>
        <v/>
      </c>
      <c r="B2256">
        <f>IF(Calc!$B2256,INDEX(MineNames,Calc!C2256),"")</f>
        <v/>
      </c>
      <c r="C2256" s="17">
        <f>IF(Calc!$B2256,Calc!O2256,"")</f>
        <v/>
      </c>
    </row>
    <row r="2257">
      <c r="A2257" s="16">
        <f>IF(Calc!$B2257,Calc!E2257,"")</f>
        <v/>
      </c>
      <c r="B2257">
        <f>IF(Calc!$B2257,INDEX(MineNames,Calc!C2257),"")</f>
        <v/>
      </c>
      <c r="C2257" s="17">
        <f>IF(Calc!$B2257,Calc!O2257,"")</f>
        <v/>
      </c>
    </row>
    <row r="2258">
      <c r="A2258" s="16">
        <f>IF(Calc!$B2258,Calc!E2258,"")</f>
        <v/>
      </c>
      <c r="B2258">
        <f>IF(Calc!$B2258,INDEX(MineNames,Calc!C2258),"")</f>
        <v/>
      </c>
      <c r="C2258" s="17">
        <f>IF(Calc!$B2258,Calc!O2258,"")</f>
        <v/>
      </c>
    </row>
    <row r="2259">
      <c r="A2259" s="16">
        <f>IF(Calc!$B2259,Calc!E2259,"")</f>
        <v/>
      </c>
      <c r="B2259">
        <f>IF(Calc!$B2259,INDEX(MineNames,Calc!C2259),"")</f>
        <v/>
      </c>
      <c r="C2259" s="17">
        <f>IF(Calc!$B2259,Calc!O2259,"")</f>
        <v/>
      </c>
    </row>
    <row r="2260">
      <c r="A2260" s="16">
        <f>IF(Calc!$B2260,Calc!E2260,"")</f>
        <v/>
      </c>
      <c r="B2260">
        <f>IF(Calc!$B2260,INDEX(MineNames,Calc!C2260),"")</f>
        <v/>
      </c>
      <c r="C2260" s="17">
        <f>IF(Calc!$B2260,Calc!O2260,"")</f>
        <v/>
      </c>
    </row>
    <row r="2261">
      <c r="A2261" s="16">
        <f>IF(Calc!$B2261,Calc!E2261,"")</f>
        <v/>
      </c>
      <c r="B2261">
        <f>IF(Calc!$B2261,INDEX(MineNames,Calc!C2261),"")</f>
        <v/>
      </c>
      <c r="C2261" s="17">
        <f>IF(Calc!$B2261,Calc!O2261,"")</f>
        <v/>
      </c>
    </row>
    <row r="2262">
      <c r="A2262" s="16">
        <f>IF(Calc!$B2262,Calc!E2262,"")</f>
        <v/>
      </c>
      <c r="B2262">
        <f>IF(Calc!$B2262,INDEX(MineNames,Calc!C2262),"")</f>
        <v/>
      </c>
      <c r="C2262" s="17">
        <f>IF(Calc!$B2262,Calc!O2262,"")</f>
        <v/>
      </c>
    </row>
    <row r="2263">
      <c r="A2263" s="16">
        <f>IF(Calc!$B2263,Calc!E2263,"")</f>
        <v/>
      </c>
      <c r="B2263">
        <f>IF(Calc!$B2263,INDEX(MineNames,Calc!C2263),"")</f>
        <v/>
      </c>
      <c r="C2263" s="17">
        <f>IF(Calc!$B2263,Calc!O2263,"")</f>
        <v/>
      </c>
    </row>
    <row r="2264">
      <c r="A2264" s="16">
        <f>IF(Calc!$B2264,Calc!E2264,"")</f>
        <v/>
      </c>
      <c r="B2264">
        <f>IF(Calc!$B2264,INDEX(MineNames,Calc!C2264),"")</f>
        <v/>
      </c>
      <c r="C2264" s="17">
        <f>IF(Calc!$B2264,Calc!O2264,"")</f>
        <v/>
      </c>
    </row>
    <row r="2265">
      <c r="A2265" s="16">
        <f>IF(Calc!$B2265,Calc!E2265,"")</f>
        <v/>
      </c>
      <c r="B2265">
        <f>IF(Calc!$B2265,INDEX(MineNames,Calc!C2265),"")</f>
        <v/>
      </c>
      <c r="C2265" s="17">
        <f>IF(Calc!$B2265,Calc!O2265,"")</f>
        <v/>
      </c>
    </row>
    <row r="2266">
      <c r="A2266" s="16">
        <f>IF(Calc!$B2266,Calc!E2266,"")</f>
        <v/>
      </c>
      <c r="B2266">
        <f>IF(Calc!$B2266,INDEX(MineNames,Calc!C2266),"")</f>
        <v/>
      </c>
      <c r="C2266" s="17">
        <f>IF(Calc!$B2266,Calc!O2266,"")</f>
        <v/>
      </c>
    </row>
    <row r="2267">
      <c r="A2267" s="16">
        <f>IF(Calc!$B2267,Calc!E2267,"")</f>
        <v/>
      </c>
      <c r="B2267">
        <f>IF(Calc!$B2267,INDEX(MineNames,Calc!C2267),"")</f>
        <v/>
      </c>
      <c r="C2267" s="17">
        <f>IF(Calc!$B2267,Calc!O2267,"")</f>
        <v/>
      </c>
    </row>
    <row r="2268">
      <c r="A2268" s="16">
        <f>IF(Calc!$B2268,Calc!E2268,"")</f>
        <v/>
      </c>
      <c r="B2268">
        <f>IF(Calc!$B2268,INDEX(MineNames,Calc!C2268),"")</f>
        <v/>
      </c>
      <c r="C2268" s="17">
        <f>IF(Calc!$B2268,Calc!O2268,"")</f>
        <v/>
      </c>
    </row>
    <row r="2269">
      <c r="A2269" s="16">
        <f>IF(Calc!$B2269,Calc!E2269,"")</f>
        <v/>
      </c>
      <c r="B2269">
        <f>IF(Calc!$B2269,INDEX(MineNames,Calc!C2269),"")</f>
        <v/>
      </c>
      <c r="C2269" s="17">
        <f>IF(Calc!$B2269,Calc!O2269,"")</f>
        <v/>
      </c>
    </row>
    <row r="2270">
      <c r="A2270" s="16">
        <f>IF(Calc!$B2270,Calc!E2270,"")</f>
        <v/>
      </c>
      <c r="B2270">
        <f>IF(Calc!$B2270,INDEX(MineNames,Calc!C2270),"")</f>
        <v/>
      </c>
      <c r="C2270" s="17">
        <f>IF(Calc!$B2270,Calc!O2270,"")</f>
        <v/>
      </c>
    </row>
    <row r="2271">
      <c r="A2271" s="16">
        <f>IF(Calc!$B2271,Calc!E2271,"")</f>
        <v/>
      </c>
      <c r="B2271">
        <f>IF(Calc!$B2271,INDEX(MineNames,Calc!C2271),"")</f>
        <v/>
      </c>
      <c r="C2271" s="17">
        <f>IF(Calc!$B2271,Calc!O2271,"")</f>
        <v/>
      </c>
    </row>
    <row r="2272">
      <c r="A2272" s="16">
        <f>IF(Calc!$B2272,Calc!E2272,"")</f>
        <v/>
      </c>
      <c r="B2272">
        <f>IF(Calc!$B2272,INDEX(MineNames,Calc!C2272),"")</f>
        <v/>
      </c>
      <c r="C2272" s="17">
        <f>IF(Calc!$B2272,Calc!O2272,"")</f>
        <v/>
      </c>
    </row>
    <row r="2273">
      <c r="A2273" s="16">
        <f>IF(Calc!$B2273,Calc!E2273,"")</f>
        <v/>
      </c>
      <c r="B2273">
        <f>IF(Calc!$B2273,INDEX(MineNames,Calc!C2273),"")</f>
        <v/>
      </c>
      <c r="C2273" s="17">
        <f>IF(Calc!$B2273,Calc!O2273,"")</f>
        <v/>
      </c>
    </row>
    <row r="2274">
      <c r="A2274" s="16">
        <f>IF(Calc!$B2274,Calc!E2274,"")</f>
        <v/>
      </c>
      <c r="B2274">
        <f>IF(Calc!$B2274,INDEX(MineNames,Calc!C2274),"")</f>
        <v/>
      </c>
      <c r="C2274" s="17">
        <f>IF(Calc!$B2274,Calc!O2274,"")</f>
        <v/>
      </c>
    </row>
    <row r="2275">
      <c r="A2275" s="16">
        <f>IF(Calc!$B2275,Calc!E2275,"")</f>
        <v/>
      </c>
      <c r="B2275">
        <f>IF(Calc!$B2275,INDEX(MineNames,Calc!C2275),"")</f>
        <v/>
      </c>
      <c r="C2275" s="17">
        <f>IF(Calc!$B2275,Calc!O2275,"")</f>
        <v/>
      </c>
    </row>
    <row r="2276">
      <c r="A2276" s="16">
        <f>IF(Calc!$B2276,Calc!E2276,"")</f>
        <v/>
      </c>
      <c r="B2276">
        <f>IF(Calc!$B2276,INDEX(MineNames,Calc!C2276),"")</f>
        <v/>
      </c>
      <c r="C2276" s="17">
        <f>IF(Calc!$B2276,Calc!O2276,"")</f>
        <v/>
      </c>
    </row>
    <row r="2277">
      <c r="A2277" s="16">
        <f>IF(Calc!$B2277,Calc!E2277,"")</f>
        <v/>
      </c>
      <c r="B2277">
        <f>IF(Calc!$B2277,INDEX(MineNames,Calc!C2277),"")</f>
        <v/>
      </c>
      <c r="C2277" s="17">
        <f>IF(Calc!$B2277,Calc!O2277,"")</f>
        <v/>
      </c>
    </row>
    <row r="2278">
      <c r="A2278" s="16">
        <f>IF(Calc!$B2278,Calc!E2278,"")</f>
        <v/>
      </c>
      <c r="B2278">
        <f>IF(Calc!$B2278,INDEX(MineNames,Calc!C2278),"")</f>
        <v/>
      </c>
      <c r="C2278" s="17">
        <f>IF(Calc!$B2278,Calc!O2278,"")</f>
        <v/>
      </c>
    </row>
    <row r="2279">
      <c r="A2279" s="16">
        <f>IF(Calc!$B2279,Calc!E2279,"")</f>
        <v/>
      </c>
      <c r="B2279">
        <f>IF(Calc!$B2279,INDEX(MineNames,Calc!C2279),"")</f>
        <v/>
      </c>
      <c r="C2279" s="17">
        <f>IF(Calc!$B2279,Calc!O2279,"")</f>
        <v/>
      </c>
    </row>
    <row r="2280">
      <c r="A2280" s="16">
        <f>IF(Calc!$B2280,Calc!E2280,"")</f>
        <v/>
      </c>
      <c r="B2280">
        <f>IF(Calc!$B2280,INDEX(MineNames,Calc!C2280),"")</f>
        <v/>
      </c>
      <c r="C2280" s="17">
        <f>IF(Calc!$B2280,Calc!O2280,"")</f>
        <v/>
      </c>
    </row>
    <row r="2281">
      <c r="A2281" s="16">
        <f>IF(Calc!$B2281,Calc!E2281,"")</f>
        <v/>
      </c>
      <c r="B2281">
        <f>IF(Calc!$B2281,INDEX(MineNames,Calc!C2281),"")</f>
        <v/>
      </c>
      <c r="C2281" s="17">
        <f>IF(Calc!$B2281,Calc!O2281,"")</f>
        <v/>
      </c>
    </row>
    <row r="2282">
      <c r="A2282" s="16">
        <f>IF(Calc!$B2282,Calc!E2282,"")</f>
        <v/>
      </c>
      <c r="B2282">
        <f>IF(Calc!$B2282,INDEX(MineNames,Calc!C2282),"")</f>
        <v/>
      </c>
      <c r="C2282" s="17">
        <f>IF(Calc!$B2282,Calc!O2282,"")</f>
        <v/>
      </c>
    </row>
    <row r="2283">
      <c r="A2283" s="16">
        <f>IF(Calc!$B2283,Calc!E2283,"")</f>
        <v/>
      </c>
      <c r="B2283">
        <f>IF(Calc!$B2283,INDEX(MineNames,Calc!C2283),"")</f>
        <v/>
      </c>
      <c r="C2283" s="17">
        <f>IF(Calc!$B2283,Calc!O2283,"")</f>
        <v/>
      </c>
    </row>
    <row r="2284">
      <c r="A2284" s="16">
        <f>IF(Calc!$B2284,Calc!E2284,"")</f>
        <v/>
      </c>
      <c r="B2284">
        <f>IF(Calc!$B2284,INDEX(MineNames,Calc!C2284),"")</f>
        <v/>
      </c>
      <c r="C2284" s="17">
        <f>IF(Calc!$B2284,Calc!O2284,"")</f>
        <v/>
      </c>
    </row>
    <row r="2285">
      <c r="A2285" s="16">
        <f>IF(Calc!$B2285,Calc!E2285,"")</f>
        <v/>
      </c>
      <c r="B2285">
        <f>IF(Calc!$B2285,INDEX(MineNames,Calc!C2285),"")</f>
        <v/>
      </c>
      <c r="C2285" s="17">
        <f>IF(Calc!$B2285,Calc!O2285,"")</f>
        <v/>
      </c>
    </row>
    <row r="2286">
      <c r="A2286" s="16">
        <f>IF(Calc!$B2286,Calc!E2286,"")</f>
        <v/>
      </c>
      <c r="B2286">
        <f>IF(Calc!$B2286,INDEX(MineNames,Calc!C2286),"")</f>
        <v/>
      </c>
      <c r="C2286" s="17">
        <f>IF(Calc!$B2286,Calc!O2286,"")</f>
        <v/>
      </c>
    </row>
    <row r="2287">
      <c r="A2287" s="16">
        <f>IF(Calc!$B2287,Calc!E2287,"")</f>
        <v/>
      </c>
      <c r="B2287">
        <f>IF(Calc!$B2287,INDEX(MineNames,Calc!C2287),"")</f>
        <v/>
      </c>
      <c r="C2287" s="17">
        <f>IF(Calc!$B2287,Calc!O2287,"")</f>
        <v/>
      </c>
    </row>
    <row r="2288">
      <c r="A2288" s="16">
        <f>IF(Calc!$B2288,Calc!E2288,"")</f>
        <v/>
      </c>
      <c r="B2288">
        <f>IF(Calc!$B2288,INDEX(MineNames,Calc!C2288),"")</f>
        <v/>
      </c>
      <c r="C2288" s="17">
        <f>IF(Calc!$B2288,Calc!O2288,"")</f>
        <v/>
      </c>
    </row>
    <row r="2289">
      <c r="A2289" s="16">
        <f>IF(Calc!$B2289,Calc!E2289,"")</f>
        <v/>
      </c>
      <c r="B2289">
        <f>IF(Calc!$B2289,INDEX(MineNames,Calc!C2289),"")</f>
        <v/>
      </c>
      <c r="C2289" s="17">
        <f>IF(Calc!$B2289,Calc!O2289,"")</f>
        <v/>
      </c>
    </row>
    <row r="2290">
      <c r="A2290" s="16">
        <f>IF(Calc!$B2290,Calc!E2290,"")</f>
        <v/>
      </c>
      <c r="B2290">
        <f>IF(Calc!$B2290,INDEX(MineNames,Calc!C2290),"")</f>
        <v/>
      </c>
      <c r="C2290" s="17">
        <f>IF(Calc!$B2290,Calc!O2290,"")</f>
        <v/>
      </c>
    </row>
    <row r="2291">
      <c r="A2291" s="16">
        <f>IF(Calc!$B2291,Calc!E2291,"")</f>
        <v/>
      </c>
      <c r="B2291">
        <f>IF(Calc!$B2291,INDEX(MineNames,Calc!C2291),"")</f>
        <v/>
      </c>
      <c r="C2291" s="17">
        <f>IF(Calc!$B2291,Calc!O2291,"")</f>
        <v/>
      </c>
    </row>
    <row r="2292">
      <c r="A2292" s="16">
        <f>IF(Calc!$B2292,Calc!E2292,"")</f>
        <v/>
      </c>
      <c r="B2292">
        <f>IF(Calc!$B2292,INDEX(MineNames,Calc!C2292),"")</f>
        <v/>
      </c>
      <c r="C2292" s="17">
        <f>IF(Calc!$B2292,Calc!O2292,"")</f>
        <v/>
      </c>
    </row>
    <row r="2293">
      <c r="A2293" s="16">
        <f>IF(Calc!$B2293,Calc!E2293,"")</f>
        <v/>
      </c>
      <c r="B2293">
        <f>IF(Calc!$B2293,INDEX(MineNames,Calc!C2293),"")</f>
        <v/>
      </c>
      <c r="C2293" s="17">
        <f>IF(Calc!$B2293,Calc!O2293,"")</f>
        <v/>
      </c>
    </row>
    <row r="2294">
      <c r="A2294" s="16">
        <f>IF(Calc!$B2294,Calc!E2294,"")</f>
        <v/>
      </c>
      <c r="B2294">
        <f>IF(Calc!$B2294,INDEX(MineNames,Calc!C2294),"")</f>
        <v/>
      </c>
      <c r="C2294" s="17">
        <f>IF(Calc!$B2294,Calc!O2294,"")</f>
        <v/>
      </c>
    </row>
    <row r="2295">
      <c r="A2295" s="16">
        <f>IF(Calc!$B2295,Calc!E2295,"")</f>
        <v/>
      </c>
      <c r="B2295">
        <f>IF(Calc!$B2295,INDEX(MineNames,Calc!C2295),"")</f>
        <v/>
      </c>
      <c r="C2295" s="17">
        <f>IF(Calc!$B2295,Calc!O2295,"")</f>
        <v/>
      </c>
    </row>
    <row r="2296">
      <c r="A2296" s="16">
        <f>IF(Calc!$B2296,Calc!E2296,"")</f>
        <v/>
      </c>
      <c r="B2296">
        <f>IF(Calc!$B2296,INDEX(MineNames,Calc!C2296),"")</f>
        <v/>
      </c>
      <c r="C2296" s="17">
        <f>IF(Calc!$B2296,Calc!O2296,"")</f>
        <v/>
      </c>
    </row>
    <row r="2297">
      <c r="A2297" s="16">
        <f>IF(Calc!$B2297,Calc!E2297,"")</f>
        <v/>
      </c>
      <c r="B2297">
        <f>IF(Calc!$B2297,INDEX(MineNames,Calc!C2297),"")</f>
        <v/>
      </c>
      <c r="C2297" s="17">
        <f>IF(Calc!$B2297,Calc!O2297,"")</f>
        <v/>
      </c>
    </row>
    <row r="2298">
      <c r="A2298" s="16">
        <f>IF(Calc!$B2298,Calc!E2298,"")</f>
        <v/>
      </c>
      <c r="B2298">
        <f>IF(Calc!$B2298,INDEX(MineNames,Calc!C2298),"")</f>
        <v/>
      </c>
      <c r="C2298" s="17">
        <f>IF(Calc!$B2298,Calc!O2298,"")</f>
        <v/>
      </c>
    </row>
    <row r="2299">
      <c r="A2299" s="16">
        <f>IF(Calc!$B2299,Calc!E2299,"")</f>
        <v/>
      </c>
      <c r="B2299">
        <f>IF(Calc!$B2299,INDEX(MineNames,Calc!C2299),"")</f>
        <v/>
      </c>
      <c r="C2299" s="17">
        <f>IF(Calc!$B2299,Calc!O2299,"")</f>
        <v/>
      </c>
    </row>
    <row r="2300">
      <c r="A2300" s="16">
        <f>IF(Calc!$B2300,Calc!E2300,"")</f>
        <v/>
      </c>
      <c r="B2300">
        <f>IF(Calc!$B2300,INDEX(MineNames,Calc!C2300),"")</f>
        <v/>
      </c>
      <c r="C2300" s="17">
        <f>IF(Calc!$B2300,Calc!O2300,"")</f>
        <v/>
      </c>
    </row>
    <row r="2301">
      <c r="A2301" s="16">
        <f>IF(Calc!$B2301,Calc!E2301,"")</f>
        <v/>
      </c>
      <c r="B2301">
        <f>IF(Calc!$B2301,INDEX(MineNames,Calc!C2301),"")</f>
        <v/>
      </c>
      <c r="C2301" s="17">
        <f>IF(Calc!$B2301,Calc!O2301,"")</f>
        <v/>
      </c>
    </row>
    <row r="2302">
      <c r="A2302" s="16">
        <f>IF(Calc!$B2302,Calc!E2302,"")</f>
        <v/>
      </c>
      <c r="B2302">
        <f>IF(Calc!$B2302,INDEX(MineNames,Calc!C2302),"")</f>
        <v/>
      </c>
      <c r="C2302" s="17">
        <f>IF(Calc!$B2302,Calc!O2302,"")</f>
        <v/>
      </c>
    </row>
    <row r="2303">
      <c r="A2303" s="16">
        <f>IF(Calc!$B2303,Calc!E2303,"")</f>
        <v/>
      </c>
      <c r="B2303">
        <f>IF(Calc!$B2303,INDEX(MineNames,Calc!C2303),"")</f>
        <v/>
      </c>
      <c r="C2303" s="17">
        <f>IF(Calc!$B2303,Calc!O2303,"")</f>
        <v/>
      </c>
    </row>
    <row r="2304">
      <c r="A2304" s="16">
        <f>IF(Calc!$B2304,Calc!E2304,"")</f>
        <v/>
      </c>
      <c r="B2304">
        <f>IF(Calc!$B2304,INDEX(MineNames,Calc!C2304),"")</f>
        <v/>
      </c>
      <c r="C2304" s="17">
        <f>IF(Calc!$B2304,Calc!O2304,"")</f>
        <v/>
      </c>
    </row>
    <row r="2305">
      <c r="A2305" s="16">
        <f>IF(Calc!$B2305,Calc!E2305,"")</f>
        <v/>
      </c>
      <c r="B2305">
        <f>IF(Calc!$B2305,INDEX(MineNames,Calc!C2305),"")</f>
        <v/>
      </c>
      <c r="C2305" s="17">
        <f>IF(Calc!$B2305,Calc!O2305,"")</f>
        <v/>
      </c>
    </row>
    <row r="2306">
      <c r="A2306" s="16">
        <f>IF(Calc!$B2306,Calc!E2306,"")</f>
        <v/>
      </c>
      <c r="B2306">
        <f>IF(Calc!$B2306,INDEX(MineNames,Calc!C2306),"")</f>
        <v/>
      </c>
      <c r="C2306" s="17">
        <f>IF(Calc!$B2306,Calc!O2306,"")</f>
        <v/>
      </c>
    </row>
    <row r="2307">
      <c r="A2307" s="16">
        <f>IF(Calc!$B2307,Calc!E2307,"")</f>
        <v/>
      </c>
      <c r="B2307">
        <f>IF(Calc!$B2307,INDEX(MineNames,Calc!C2307),"")</f>
        <v/>
      </c>
      <c r="C2307" s="17">
        <f>IF(Calc!$B2307,Calc!O2307,"")</f>
        <v/>
      </c>
    </row>
    <row r="2308">
      <c r="A2308" s="16">
        <f>IF(Calc!$B2308,Calc!E2308,"")</f>
        <v/>
      </c>
      <c r="B2308">
        <f>IF(Calc!$B2308,INDEX(MineNames,Calc!C2308),"")</f>
        <v/>
      </c>
      <c r="C2308" s="17">
        <f>IF(Calc!$B2308,Calc!O2308,"")</f>
        <v/>
      </c>
    </row>
    <row r="2309">
      <c r="A2309" s="16">
        <f>IF(Calc!$B2309,Calc!E2309,"")</f>
        <v/>
      </c>
      <c r="B2309">
        <f>IF(Calc!$B2309,INDEX(MineNames,Calc!C2309),"")</f>
        <v/>
      </c>
      <c r="C2309" s="17">
        <f>IF(Calc!$B2309,Calc!O2309,"")</f>
        <v/>
      </c>
    </row>
    <row r="2310">
      <c r="A2310" s="16">
        <f>IF(Calc!$B2310,Calc!E2310,"")</f>
        <v/>
      </c>
      <c r="B2310">
        <f>IF(Calc!$B2310,INDEX(MineNames,Calc!C2310),"")</f>
        <v/>
      </c>
      <c r="C2310" s="17">
        <f>IF(Calc!$B2310,Calc!O2310,"")</f>
        <v/>
      </c>
    </row>
    <row r="2311">
      <c r="A2311" s="16">
        <f>IF(Calc!$B2311,Calc!E2311,"")</f>
        <v/>
      </c>
      <c r="B2311">
        <f>IF(Calc!$B2311,INDEX(MineNames,Calc!C2311),"")</f>
        <v/>
      </c>
      <c r="C2311" s="17">
        <f>IF(Calc!$B2311,Calc!O2311,"")</f>
        <v/>
      </c>
    </row>
    <row r="2312">
      <c r="A2312" s="16">
        <f>IF(Calc!$B2312,Calc!E2312,"")</f>
        <v/>
      </c>
      <c r="B2312">
        <f>IF(Calc!$B2312,INDEX(MineNames,Calc!C2312),"")</f>
        <v/>
      </c>
      <c r="C2312" s="17">
        <f>IF(Calc!$B2312,Calc!O2312,"")</f>
        <v/>
      </c>
    </row>
    <row r="2313">
      <c r="A2313" s="16">
        <f>IF(Calc!$B2313,Calc!E2313,"")</f>
        <v/>
      </c>
      <c r="B2313">
        <f>IF(Calc!$B2313,INDEX(MineNames,Calc!C2313),"")</f>
        <v/>
      </c>
      <c r="C2313" s="17">
        <f>IF(Calc!$B2313,Calc!O2313,"")</f>
        <v/>
      </c>
    </row>
    <row r="2314">
      <c r="A2314" s="16">
        <f>IF(Calc!$B2314,Calc!E2314,"")</f>
        <v/>
      </c>
      <c r="B2314">
        <f>IF(Calc!$B2314,INDEX(MineNames,Calc!C2314),"")</f>
        <v/>
      </c>
      <c r="C2314" s="17">
        <f>IF(Calc!$B2314,Calc!O2314,"")</f>
        <v/>
      </c>
    </row>
    <row r="2315">
      <c r="A2315" s="16">
        <f>IF(Calc!$B2315,Calc!E2315,"")</f>
        <v/>
      </c>
      <c r="B2315">
        <f>IF(Calc!$B2315,INDEX(MineNames,Calc!C2315),"")</f>
        <v/>
      </c>
      <c r="C2315" s="17">
        <f>IF(Calc!$B2315,Calc!O2315,"")</f>
        <v/>
      </c>
    </row>
    <row r="2316">
      <c r="A2316" s="16">
        <f>IF(Calc!$B2316,Calc!E2316,"")</f>
        <v/>
      </c>
      <c r="B2316">
        <f>IF(Calc!$B2316,INDEX(MineNames,Calc!C2316),"")</f>
        <v/>
      </c>
      <c r="C2316" s="17">
        <f>IF(Calc!$B2316,Calc!O2316,"")</f>
        <v/>
      </c>
    </row>
    <row r="2317">
      <c r="A2317" s="16">
        <f>IF(Calc!$B2317,Calc!E2317,"")</f>
        <v/>
      </c>
      <c r="B2317">
        <f>IF(Calc!$B2317,INDEX(MineNames,Calc!C2317),"")</f>
        <v/>
      </c>
      <c r="C2317" s="17">
        <f>IF(Calc!$B2317,Calc!O2317,"")</f>
        <v/>
      </c>
    </row>
    <row r="2318">
      <c r="A2318" s="16">
        <f>IF(Calc!$B2318,Calc!E2318,"")</f>
        <v/>
      </c>
      <c r="B2318">
        <f>IF(Calc!$B2318,INDEX(MineNames,Calc!C2318),"")</f>
        <v/>
      </c>
      <c r="C2318" s="17">
        <f>IF(Calc!$B2318,Calc!O2318,"")</f>
        <v/>
      </c>
    </row>
    <row r="2319">
      <c r="A2319" s="16">
        <f>IF(Calc!$B2319,Calc!E2319,"")</f>
        <v/>
      </c>
      <c r="B2319">
        <f>IF(Calc!$B2319,INDEX(MineNames,Calc!C2319),"")</f>
        <v/>
      </c>
      <c r="C2319" s="17">
        <f>IF(Calc!$B2319,Calc!O2319,"")</f>
        <v/>
      </c>
    </row>
    <row r="2320">
      <c r="A2320" s="16">
        <f>IF(Calc!$B2320,Calc!E2320,"")</f>
        <v/>
      </c>
      <c r="B2320">
        <f>IF(Calc!$B2320,INDEX(MineNames,Calc!C2320),"")</f>
        <v/>
      </c>
      <c r="C2320" s="17">
        <f>IF(Calc!$B2320,Calc!O2320,"")</f>
        <v/>
      </c>
    </row>
    <row r="2321">
      <c r="A2321" s="16">
        <f>IF(Calc!$B2321,Calc!E2321,"")</f>
        <v/>
      </c>
      <c r="B2321">
        <f>IF(Calc!$B2321,INDEX(MineNames,Calc!C2321),"")</f>
        <v/>
      </c>
      <c r="C2321" s="17">
        <f>IF(Calc!$B2321,Calc!O2321,"")</f>
        <v/>
      </c>
    </row>
    <row r="2322">
      <c r="A2322" s="16">
        <f>IF(Calc!$B2322,Calc!E2322,"")</f>
        <v/>
      </c>
      <c r="B2322">
        <f>IF(Calc!$B2322,INDEX(MineNames,Calc!C2322),"")</f>
        <v/>
      </c>
      <c r="C2322" s="17">
        <f>IF(Calc!$B2322,Calc!O2322,"")</f>
        <v/>
      </c>
    </row>
    <row r="2323">
      <c r="A2323" s="16">
        <f>IF(Calc!$B2323,Calc!E2323,"")</f>
        <v/>
      </c>
      <c r="B2323">
        <f>IF(Calc!$B2323,INDEX(MineNames,Calc!C2323),"")</f>
        <v/>
      </c>
      <c r="C2323" s="17">
        <f>IF(Calc!$B2323,Calc!O2323,"")</f>
        <v/>
      </c>
    </row>
    <row r="2324">
      <c r="A2324" s="16">
        <f>IF(Calc!$B2324,Calc!E2324,"")</f>
        <v/>
      </c>
      <c r="B2324">
        <f>IF(Calc!$B2324,INDEX(MineNames,Calc!C2324),"")</f>
        <v/>
      </c>
      <c r="C2324" s="17">
        <f>IF(Calc!$B2324,Calc!O2324,"")</f>
        <v/>
      </c>
    </row>
    <row r="2325">
      <c r="A2325" s="16">
        <f>IF(Calc!$B2325,Calc!E2325,"")</f>
        <v/>
      </c>
      <c r="B2325">
        <f>IF(Calc!$B2325,INDEX(MineNames,Calc!C2325),"")</f>
        <v/>
      </c>
      <c r="C2325" s="17">
        <f>IF(Calc!$B2325,Calc!O2325,"")</f>
        <v/>
      </c>
    </row>
    <row r="2326">
      <c r="A2326" s="16">
        <f>IF(Calc!$B2326,Calc!E2326,"")</f>
        <v/>
      </c>
      <c r="B2326">
        <f>IF(Calc!$B2326,INDEX(MineNames,Calc!C2326),"")</f>
        <v/>
      </c>
      <c r="C2326" s="17">
        <f>IF(Calc!$B2326,Calc!O2326,"")</f>
        <v/>
      </c>
    </row>
    <row r="2327">
      <c r="A2327" s="16">
        <f>IF(Calc!$B2327,Calc!E2327,"")</f>
        <v/>
      </c>
      <c r="B2327">
        <f>IF(Calc!$B2327,INDEX(MineNames,Calc!C2327),"")</f>
        <v/>
      </c>
      <c r="C2327" s="17">
        <f>IF(Calc!$B2327,Calc!O2327,"")</f>
        <v/>
      </c>
    </row>
    <row r="2328">
      <c r="A2328" s="16">
        <f>IF(Calc!$B2328,Calc!E2328,"")</f>
        <v/>
      </c>
      <c r="B2328">
        <f>IF(Calc!$B2328,INDEX(MineNames,Calc!C2328),"")</f>
        <v/>
      </c>
      <c r="C2328" s="17">
        <f>IF(Calc!$B2328,Calc!O2328,"")</f>
        <v/>
      </c>
    </row>
    <row r="2329">
      <c r="A2329" s="16">
        <f>IF(Calc!$B2329,Calc!E2329,"")</f>
        <v/>
      </c>
      <c r="B2329">
        <f>IF(Calc!$B2329,INDEX(MineNames,Calc!C2329),"")</f>
        <v/>
      </c>
      <c r="C2329" s="17">
        <f>IF(Calc!$B2329,Calc!O2329,"")</f>
        <v/>
      </c>
    </row>
    <row r="2330">
      <c r="A2330" s="16">
        <f>IF(Calc!$B2330,Calc!E2330,"")</f>
        <v/>
      </c>
      <c r="B2330">
        <f>IF(Calc!$B2330,INDEX(MineNames,Calc!C2330),"")</f>
        <v/>
      </c>
      <c r="C2330" s="17">
        <f>IF(Calc!$B2330,Calc!O2330,"")</f>
        <v/>
      </c>
    </row>
    <row r="2331">
      <c r="A2331" s="16">
        <f>IF(Calc!$B2331,Calc!E2331,"")</f>
        <v/>
      </c>
      <c r="B2331">
        <f>IF(Calc!$B2331,INDEX(MineNames,Calc!C2331),"")</f>
        <v/>
      </c>
      <c r="C2331" s="17">
        <f>IF(Calc!$B2331,Calc!O2331,"")</f>
        <v/>
      </c>
    </row>
    <row r="2332">
      <c r="A2332" s="16">
        <f>IF(Calc!$B2332,Calc!E2332,"")</f>
        <v/>
      </c>
      <c r="B2332">
        <f>IF(Calc!$B2332,INDEX(MineNames,Calc!C2332),"")</f>
        <v/>
      </c>
      <c r="C2332" s="17">
        <f>IF(Calc!$B2332,Calc!O2332,"")</f>
        <v/>
      </c>
    </row>
    <row r="2333">
      <c r="A2333" s="16">
        <f>IF(Calc!$B2333,Calc!E2333,"")</f>
        <v/>
      </c>
      <c r="B2333">
        <f>IF(Calc!$B2333,INDEX(MineNames,Calc!C2333),"")</f>
        <v/>
      </c>
      <c r="C2333" s="17">
        <f>IF(Calc!$B2333,Calc!O2333,"")</f>
        <v/>
      </c>
    </row>
    <row r="2334">
      <c r="A2334" s="16">
        <f>IF(Calc!$B2334,Calc!E2334,"")</f>
        <v/>
      </c>
      <c r="B2334">
        <f>IF(Calc!$B2334,INDEX(MineNames,Calc!C2334),"")</f>
        <v/>
      </c>
      <c r="C2334" s="17">
        <f>IF(Calc!$B2334,Calc!O2334,"")</f>
        <v/>
      </c>
    </row>
    <row r="2335">
      <c r="A2335" s="16">
        <f>IF(Calc!$B2335,Calc!E2335,"")</f>
        <v/>
      </c>
      <c r="B2335">
        <f>IF(Calc!$B2335,INDEX(MineNames,Calc!C2335),"")</f>
        <v/>
      </c>
      <c r="C2335" s="17">
        <f>IF(Calc!$B2335,Calc!O2335,"")</f>
        <v/>
      </c>
    </row>
    <row r="2336">
      <c r="A2336" s="16">
        <f>IF(Calc!$B2336,Calc!E2336,"")</f>
        <v/>
      </c>
      <c r="B2336">
        <f>IF(Calc!$B2336,INDEX(MineNames,Calc!C2336),"")</f>
        <v/>
      </c>
      <c r="C2336" s="17">
        <f>IF(Calc!$B2336,Calc!O2336,"")</f>
        <v/>
      </c>
    </row>
    <row r="2337">
      <c r="A2337" s="16">
        <f>IF(Calc!$B2337,Calc!E2337,"")</f>
        <v/>
      </c>
      <c r="B2337">
        <f>IF(Calc!$B2337,INDEX(MineNames,Calc!C2337),"")</f>
        <v/>
      </c>
      <c r="C2337" s="17">
        <f>IF(Calc!$B2337,Calc!O2337,"")</f>
        <v/>
      </c>
    </row>
    <row r="2338">
      <c r="A2338" s="16">
        <f>IF(Calc!$B2338,Calc!E2338,"")</f>
        <v/>
      </c>
      <c r="B2338">
        <f>IF(Calc!$B2338,INDEX(MineNames,Calc!C2338),"")</f>
        <v/>
      </c>
      <c r="C2338" s="17">
        <f>IF(Calc!$B2338,Calc!O2338,"")</f>
        <v/>
      </c>
    </row>
    <row r="2339">
      <c r="A2339" s="16">
        <f>IF(Calc!$B2339,Calc!E2339,"")</f>
        <v/>
      </c>
      <c r="B2339">
        <f>IF(Calc!$B2339,INDEX(MineNames,Calc!C2339),"")</f>
        <v/>
      </c>
      <c r="C2339" s="17">
        <f>IF(Calc!$B2339,Calc!O2339,"")</f>
        <v/>
      </c>
    </row>
    <row r="2340">
      <c r="A2340" s="16">
        <f>IF(Calc!$B2340,Calc!E2340,"")</f>
        <v/>
      </c>
      <c r="B2340">
        <f>IF(Calc!$B2340,INDEX(MineNames,Calc!C2340),"")</f>
        <v/>
      </c>
      <c r="C2340" s="17">
        <f>IF(Calc!$B2340,Calc!O2340,"")</f>
        <v/>
      </c>
    </row>
    <row r="2341">
      <c r="A2341" s="16">
        <f>IF(Calc!$B2341,Calc!E2341,"")</f>
        <v/>
      </c>
      <c r="B2341">
        <f>IF(Calc!$B2341,INDEX(MineNames,Calc!C2341),"")</f>
        <v/>
      </c>
      <c r="C2341" s="17">
        <f>IF(Calc!$B2341,Calc!O2341,"")</f>
        <v/>
      </c>
    </row>
    <row r="2342">
      <c r="A2342" s="16">
        <f>IF(Calc!$B2342,Calc!E2342,"")</f>
        <v/>
      </c>
      <c r="B2342">
        <f>IF(Calc!$B2342,INDEX(MineNames,Calc!C2342),"")</f>
        <v/>
      </c>
      <c r="C2342" s="17">
        <f>IF(Calc!$B2342,Calc!O2342,"")</f>
        <v/>
      </c>
    </row>
    <row r="2343">
      <c r="A2343" s="16">
        <f>IF(Calc!$B2343,Calc!E2343,"")</f>
        <v/>
      </c>
      <c r="B2343">
        <f>IF(Calc!$B2343,INDEX(MineNames,Calc!C2343),"")</f>
        <v/>
      </c>
      <c r="C2343" s="17">
        <f>IF(Calc!$B2343,Calc!O2343,"")</f>
        <v/>
      </c>
    </row>
    <row r="2344">
      <c r="A2344" s="16">
        <f>IF(Calc!$B2344,Calc!E2344,"")</f>
        <v/>
      </c>
      <c r="B2344">
        <f>IF(Calc!$B2344,INDEX(MineNames,Calc!C2344),"")</f>
        <v/>
      </c>
      <c r="C2344" s="17">
        <f>IF(Calc!$B2344,Calc!O2344,"")</f>
        <v/>
      </c>
    </row>
    <row r="2345">
      <c r="A2345" s="16">
        <f>IF(Calc!$B2345,Calc!E2345,"")</f>
        <v/>
      </c>
      <c r="B2345">
        <f>IF(Calc!$B2345,INDEX(MineNames,Calc!C2345),"")</f>
        <v/>
      </c>
      <c r="C2345" s="17">
        <f>IF(Calc!$B2345,Calc!O2345,"")</f>
        <v/>
      </c>
    </row>
    <row r="2346">
      <c r="A2346" s="16">
        <f>IF(Calc!$B2346,Calc!E2346,"")</f>
        <v/>
      </c>
      <c r="B2346">
        <f>IF(Calc!$B2346,INDEX(MineNames,Calc!C2346),"")</f>
        <v/>
      </c>
      <c r="C2346" s="17">
        <f>IF(Calc!$B2346,Calc!O2346,"")</f>
        <v/>
      </c>
    </row>
    <row r="2347">
      <c r="A2347" s="16">
        <f>IF(Calc!$B2347,Calc!E2347,"")</f>
        <v/>
      </c>
      <c r="B2347">
        <f>IF(Calc!$B2347,INDEX(MineNames,Calc!C2347),"")</f>
        <v/>
      </c>
      <c r="C2347" s="17">
        <f>IF(Calc!$B2347,Calc!O2347,"")</f>
        <v/>
      </c>
    </row>
    <row r="2348">
      <c r="A2348" s="16">
        <f>IF(Calc!$B2348,Calc!E2348,"")</f>
        <v/>
      </c>
      <c r="B2348">
        <f>IF(Calc!$B2348,INDEX(MineNames,Calc!C2348),"")</f>
        <v/>
      </c>
      <c r="C2348" s="17">
        <f>IF(Calc!$B2348,Calc!O2348,"")</f>
        <v/>
      </c>
    </row>
    <row r="2349">
      <c r="A2349" s="16">
        <f>IF(Calc!$B2349,Calc!E2349,"")</f>
        <v/>
      </c>
      <c r="B2349">
        <f>IF(Calc!$B2349,INDEX(MineNames,Calc!C2349),"")</f>
        <v/>
      </c>
      <c r="C2349" s="17">
        <f>IF(Calc!$B2349,Calc!O2349,"")</f>
        <v/>
      </c>
    </row>
    <row r="2350">
      <c r="A2350" s="16">
        <f>IF(Calc!$B2350,Calc!E2350,"")</f>
        <v/>
      </c>
      <c r="B2350">
        <f>IF(Calc!$B2350,INDEX(MineNames,Calc!C2350),"")</f>
        <v/>
      </c>
      <c r="C2350" s="17">
        <f>IF(Calc!$B2350,Calc!O2350,"")</f>
        <v/>
      </c>
    </row>
    <row r="2351">
      <c r="A2351" s="16">
        <f>IF(Calc!$B2351,Calc!E2351,"")</f>
        <v/>
      </c>
      <c r="B2351">
        <f>IF(Calc!$B2351,INDEX(MineNames,Calc!C2351),"")</f>
        <v/>
      </c>
      <c r="C2351" s="17">
        <f>IF(Calc!$B2351,Calc!O2351,"")</f>
        <v/>
      </c>
    </row>
    <row r="2352">
      <c r="A2352" s="16">
        <f>IF(Calc!$B2352,Calc!E2352,"")</f>
        <v/>
      </c>
      <c r="B2352">
        <f>IF(Calc!$B2352,INDEX(MineNames,Calc!C2352),"")</f>
        <v/>
      </c>
      <c r="C2352" s="17">
        <f>IF(Calc!$B2352,Calc!O2352,"")</f>
        <v/>
      </c>
    </row>
    <row r="2353">
      <c r="A2353" s="16">
        <f>IF(Calc!$B2353,Calc!E2353,"")</f>
        <v/>
      </c>
      <c r="B2353">
        <f>IF(Calc!$B2353,INDEX(MineNames,Calc!C2353),"")</f>
        <v/>
      </c>
      <c r="C2353" s="17">
        <f>IF(Calc!$B2353,Calc!O2353,"")</f>
        <v/>
      </c>
    </row>
    <row r="2354">
      <c r="A2354" s="16">
        <f>IF(Calc!$B2354,Calc!E2354,"")</f>
        <v/>
      </c>
      <c r="B2354">
        <f>IF(Calc!$B2354,INDEX(MineNames,Calc!C2354),"")</f>
        <v/>
      </c>
      <c r="C2354" s="17">
        <f>IF(Calc!$B2354,Calc!O2354,"")</f>
        <v/>
      </c>
    </row>
    <row r="2355">
      <c r="A2355" s="16">
        <f>IF(Calc!$B2355,Calc!E2355,"")</f>
        <v/>
      </c>
      <c r="B2355">
        <f>IF(Calc!$B2355,INDEX(MineNames,Calc!C2355),"")</f>
        <v/>
      </c>
      <c r="C2355" s="17">
        <f>IF(Calc!$B2355,Calc!O2355,"")</f>
        <v/>
      </c>
    </row>
    <row r="2356">
      <c r="A2356" s="16">
        <f>IF(Calc!$B2356,Calc!E2356,"")</f>
        <v/>
      </c>
      <c r="B2356">
        <f>IF(Calc!$B2356,INDEX(MineNames,Calc!C2356),"")</f>
        <v/>
      </c>
      <c r="C2356" s="17">
        <f>IF(Calc!$B2356,Calc!O2356,"")</f>
        <v/>
      </c>
    </row>
    <row r="2357">
      <c r="A2357" s="16">
        <f>IF(Calc!$B2357,Calc!E2357,"")</f>
        <v/>
      </c>
      <c r="B2357">
        <f>IF(Calc!$B2357,INDEX(MineNames,Calc!C2357),"")</f>
        <v/>
      </c>
      <c r="C2357" s="17">
        <f>IF(Calc!$B2357,Calc!O2357,"")</f>
        <v/>
      </c>
    </row>
    <row r="2358">
      <c r="A2358" s="16">
        <f>IF(Calc!$B2358,Calc!E2358,"")</f>
        <v/>
      </c>
      <c r="B2358">
        <f>IF(Calc!$B2358,INDEX(MineNames,Calc!C2358),"")</f>
        <v/>
      </c>
      <c r="C2358" s="17">
        <f>IF(Calc!$B2358,Calc!O2358,"")</f>
        <v/>
      </c>
    </row>
    <row r="2359">
      <c r="A2359" s="16">
        <f>IF(Calc!$B2359,Calc!E2359,"")</f>
        <v/>
      </c>
      <c r="B2359">
        <f>IF(Calc!$B2359,INDEX(MineNames,Calc!C2359),"")</f>
        <v/>
      </c>
      <c r="C2359" s="17">
        <f>IF(Calc!$B2359,Calc!O2359,"")</f>
        <v/>
      </c>
    </row>
    <row r="2360">
      <c r="A2360" s="16">
        <f>IF(Calc!$B2360,Calc!E2360,"")</f>
        <v/>
      </c>
      <c r="B2360">
        <f>IF(Calc!$B2360,INDEX(MineNames,Calc!C2360),"")</f>
        <v/>
      </c>
      <c r="C2360" s="17">
        <f>IF(Calc!$B2360,Calc!O2360,"")</f>
        <v/>
      </c>
    </row>
    <row r="2361">
      <c r="A2361" s="16">
        <f>IF(Calc!$B2361,Calc!E2361,"")</f>
        <v/>
      </c>
      <c r="B2361">
        <f>IF(Calc!$B2361,INDEX(MineNames,Calc!C2361),"")</f>
        <v/>
      </c>
      <c r="C2361" s="17">
        <f>IF(Calc!$B2361,Calc!O2361,"")</f>
        <v/>
      </c>
    </row>
    <row r="2362">
      <c r="A2362" s="16">
        <f>IF(Calc!$B2362,Calc!E2362,"")</f>
        <v/>
      </c>
      <c r="B2362">
        <f>IF(Calc!$B2362,INDEX(MineNames,Calc!C2362),"")</f>
        <v/>
      </c>
      <c r="C2362" s="17">
        <f>IF(Calc!$B2362,Calc!O2362,"")</f>
        <v/>
      </c>
    </row>
    <row r="2363">
      <c r="A2363" s="16">
        <f>IF(Calc!$B2363,Calc!E2363,"")</f>
        <v/>
      </c>
      <c r="B2363">
        <f>IF(Calc!$B2363,INDEX(MineNames,Calc!C2363),"")</f>
        <v/>
      </c>
      <c r="C2363" s="17">
        <f>IF(Calc!$B2363,Calc!O2363,"")</f>
        <v/>
      </c>
    </row>
    <row r="2364">
      <c r="A2364" s="16">
        <f>IF(Calc!$B2364,Calc!E2364,"")</f>
        <v/>
      </c>
      <c r="B2364">
        <f>IF(Calc!$B2364,INDEX(MineNames,Calc!C2364),"")</f>
        <v/>
      </c>
      <c r="C2364" s="17">
        <f>IF(Calc!$B2364,Calc!O2364,"")</f>
        <v/>
      </c>
    </row>
    <row r="2365">
      <c r="A2365" s="16">
        <f>IF(Calc!$B2365,Calc!E2365,"")</f>
        <v/>
      </c>
      <c r="B2365">
        <f>IF(Calc!$B2365,INDEX(MineNames,Calc!C2365),"")</f>
        <v/>
      </c>
      <c r="C2365" s="17">
        <f>IF(Calc!$B2365,Calc!O2365,"")</f>
        <v/>
      </c>
    </row>
    <row r="2366">
      <c r="A2366" s="16">
        <f>IF(Calc!$B2366,Calc!E2366,"")</f>
        <v/>
      </c>
      <c r="B2366">
        <f>IF(Calc!$B2366,INDEX(MineNames,Calc!C2366),"")</f>
        <v/>
      </c>
      <c r="C2366" s="17">
        <f>IF(Calc!$B2366,Calc!O2366,"")</f>
        <v/>
      </c>
    </row>
    <row r="2367">
      <c r="A2367" s="16">
        <f>IF(Calc!$B2367,Calc!E2367,"")</f>
        <v/>
      </c>
      <c r="B2367">
        <f>IF(Calc!$B2367,INDEX(MineNames,Calc!C2367),"")</f>
        <v/>
      </c>
      <c r="C2367" s="17">
        <f>IF(Calc!$B2367,Calc!O2367,"")</f>
        <v/>
      </c>
    </row>
    <row r="2368">
      <c r="A2368" s="16">
        <f>IF(Calc!$B2368,Calc!E2368,"")</f>
        <v/>
      </c>
      <c r="B2368">
        <f>IF(Calc!$B2368,INDEX(MineNames,Calc!C2368),"")</f>
        <v/>
      </c>
      <c r="C2368" s="17">
        <f>IF(Calc!$B2368,Calc!O2368,"")</f>
        <v/>
      </c>
    </row>
    <row r="2369">
      <c r="A2369" s="16">
        <f>IF(Calc!$B2369,Calc!E2369,"")</f>
        <v/>
      </c>
      <c r="B2369">
        <f>IF(Calc!$B2369,INDEX(MineNames,Calc!C2369),"")</f>
        <v/>
      </c>
      <c r="C2369" s="17">
        <f>IF(Calc!$B2369,Calc!O2369,"")</f>
        <v/>
      </c>
    </row>
    <row r="2370">
      <c r="A2370" s="16">
        <f>IF(Calc!$B2370,Calc!E2370,"")</f>
        <v/>
      </c>
      <c r="B2370">
        <f>IF(Calc!$B2370,INDEX(MineNames,Calc!C2370),"")</f>
        <v/>
      </c>
      <c r="C2370" s="17">
        <f>IF(Calc!$B2370,Calc!O2370,"")</f>
        <v/>
      </c>
    </row>
    <row r="2371">
      <c r="A2371" s="16">
        <f>IF(Calc!$B2371,Calc!E2371,"")</f>
        <v/>
      </c>
      <c r="B2371">
        <f>IF(Calc!$B2371,INDEX(MineNames,Calc!C2371),"")</f>
        <v/>
      </c>
      <c r="C2371" s="17">
        <f>IF(Calc!$B2371,Calc!O2371,"")</f>
        <v/>
      </c>
    </row>
    <row r="2372">
      <c r="A2372" s="16">
        <f>IF(Calc!$B2372,Calc!E2372,"")</f>
        <v/>
      </c>
      <c r="B2372">
        <f>IF(Calc!$B2372,INDEX(MineNames,Calc!C2372),"")</f>
        <v/>
      </c>
      <c r="C2372" s="17">
        <f>IF(Calc!$B2372,Calc!O2372,"")</f>
        <v/>
      </c>
    </row>
    <row r="2373">
      <c r="A2373" s="16">
        <f>IF(Calc!$B2373,Calc!E2373,"")</f>
        <v/>
      </c>
      <c r="B2373">
        <f>IF(Calc!$B2373,INDEX(MineNames,Calc!C2373),"")</f>
        <v/>
      </c>
      <c r="C2373" s="17">
        <f>IF(Calc!$B2373,Calc!O2373,"")</f>
        <v/>
      </c>
    </row>
    <row r="2374">
      <c r="A2374" s="16">
        <f>IF(Calc!$B2374,Calc!E2374,"")</f>
        <v/>
      </c>
      <c r="B2374">
        <f>IF(Calc!$B2374,INDEX(MineNames,Calc!C2374),"")</f>
        <v/>
      </c>
      <c r="C2374" s="17">
        <f>IF(Calc!$B2374,Calc!O2374,"")</f>
        <v/>
      </c>
    </row>
    <row r="2375">
      <c r="A2375" s="16">
        <f>IF(Calc!$B2375,Calc!E2375,"")</f>
        <v/>
      </c>
      <c r="B2375">
        <f>IF(Calc!$B2375,INDEX(MineNames,Calc!C2375),"")</f>
        <v/>
      </c>
      <c r="C2375" s="17">
        <f>IF(Calc!$B2375,Calc!O2375,"")</f>
        <v/>
      </c>
    </row>
    <row r="2376">
      <c r="A2376" s="16">
        <f>IF(Calc!$B2376,Calc!E2376,"")</f>
        <v/>
      </c>
      <c r="B2376">
        <f>IF(Calc!$B2376,INDEX(MineNames,Calc!C2376),"")</f>
        <v/>
      </c>
      <c r="C2376" s="17">
        <f>IF(Calc!$B2376,Calc!O2376,"")</f>
        <v/>
      </c>
    </row>
    <row r="2377">
      <c r="A2377" s="16">
        <f>IF(Calc!$B2377,Calc!E2377,"")</f>
        <v/>
      </c>
      <c r="B2377">
        <f>IF(Calc!$B2377,INDEX(MineNames,Calc!C2377),"")</f>
        <v/>
      </c>
      <c r="C2377" s="17">
        <f>IF(Calc!$B2377,Calc!O2377,"")</f>
        <v/>
      </c>
    </row>
    <row r="2378">
      <c r="A2378" s="16">
        <f>IF(Calc!$B2378,Calc!E2378,"")</f>
        <v/>
      </c>
      <c r="B2378">
        <f>IF(Calc!$B2378,INDEX(MineNames,Calc!C2378),"")</f>
        <v/>
      </c>
      <c r="C2378" s="17">
        <f>IF(Calc!$B2378,Calc!O2378,"")</f>
        <v/>
      </c>
    </row>
    <row r="2379">
      <c r="A2379" s="16">
        <f>IF(Calc!$B2379,Calc!E2379,"")</f>
        <v/>
      </c>
      <c r="B2379">
        <f>IF(Calc!$B2379,INDEX(MineNames,Calc!C2379),"")</f>
        <v/>
      </c>
      <c r="C2379" s="17">
        <f>IF(Calc!$B2379,Calc!O2379,"")</f>
        <v/>
      </c>
    </row>
    <row r="2380">
      <c r="A2380" s="16">
        <f>IF(Calc!$B2380,Calc!E2380,"")</f>
        <v/>
      </c>
      <c r="B2380">
        <f>IF(Calc!$B2380,INDEX(MineNames,Calc!C2380),"")</f>
        <v/>
      </c>
      <c r="C2380" s="17">
        <f>IF(Calc!$B2380,Calc!O2380,"")</f>
        <v/>
      </c>
    </row>
    <row r="2381">
      <c r="A2381" s="16">
        <f>IF(Calc!$B2381,Calc!E2381,"")</f>
        <v/>
      </c>
      <c r="B2381">
        <f>IF(Calc!$B2381,INDEX(MineNames,Calc!C2381),"")</f>
        <v/>
      </c>
      <c r="C2381" s="17">
        <f>IF(Calc!$B2381,Calc!O2381,"")</f>
        <v/>
      </c>
    </row>
    <row r="2382">
      <c r="A2382" s="16">
        <f>IF(Calc!$B2382,Calc!E2382,"")</f>
        <v/>
      </c>
      <c r="B2382">
        <f>IF(Calc!$B2382,INDEX(MineNames,Calc!C2382),"")</f>
        <v/>
      </c>
      <c r="C2382" s="17">
        <f>IF(Calc!$B2382,Calc!O2382,"")</f>
        <v/>
      </c>
    </row>
    <row r="2383">
      <c r="A2383" s="16">
        <f>IF(Calc!$B2383,Calc!E2383,"")</f>
        <v/>
      </c>
      <c r="B2383">
        <f>IF(Calc!$B2383,INDEX(MineNames,Calc!C2383),"")</f>
        <v/>
      </c>
      <c r="C2383" s="17">
        <f>IF(Calc!$B2383,Calc!O2383,"")</f>
        <v/>
      </c>
    </row>
    <row r="2384">
      <c r="A2384" s="16">
        <f>IF(Calc!$B2384,Calc!E2384,"")</f>
        <v/>
      </c>
      <c r="B2384">
        <f>IF(Calc!$B2384,INDEX(MineNames,Calc!C2384),"")</f>
        <v/>
      </c>
      <c r="C2384" s="17">
        <f>IF(Calc!$B2384,Calc!O2384,"")</f>
        <v/>
      </c>
    </row>
    <row r="2385">
      <c r="A2385" s="16">
        <f>IF(Calc!$B2385,Calc!E2385,"")</f>
        <v/>
      </c>
      <c r="B2385">
        <f>IF(Calc!$B2385,INDEX(MineNames,Calc!C2385),"")</f>
        <v/>
      </c>
      <c r="C2385" s="17">
        <f>IF(Calc!$B2385,Calc!O2385,"")</f>
        <v/>
      </c>
    </row>
    <row r="2386">
      <c r="A2386" s="16">
        <f>IF(Calc!$B2386,Calc!E2386,"")</f>
        <v/>
      </c>
      <c r="B2386">
        <f>IF(Calc!$B2386,INDEX(MineNames,Calc!C2386),"")</f>
        <v/>
      </c>
      <c r="C2386" s="17">
        <f>IF(Calc!$B2386,Calc!O2386,"")</f>
        <v/>
      </c>
    </row>
    <row r="2387">
      <c r="A2387" s="16">
        <f>IF(Calc!$B2387,Calc!E2387,"")</f>
        <v/>
      </c>
      <c r="B2387">
        <f>IF(Calc!$B2387,INDEX(MineNames,Calc!C2387),"")</f>
        <v/>
      </c>
      <c r="C2387" s="17">
        <f>IF(Calc!$B2387,Calc!O2387,"")</f>
        <v/>
      </c>
    </row>
    <row r="2388">
      <c r="A2388" s="16">
        <f>IF(Calc!$B2388,Calc!E2388,"")</f>
        <v/>
      </c>
      <c r="B2388">
        <f>IF(Calc!$B2388,INDEX(MineNames,Calc!C2388),"")</f>
        <v/>
      </c>
      <c r="C2388" s="17">
        <f>IF(Calc!$B2388,Calc!O2388,"")</f>
        <v/>
      </c>
    </row>
    <row r="2389">
      <c r="A2389" s="16">
        <f>IF(Calc!$B2389,Calc!E2389,"")</f>
        <v/>
      </c>
      <c r="B2389">
        <f>IF(Calc!$B2389,INDEX(MineNames,Calc!C2389),"")</f>
        <v/>
      </c>
      <c r="C2389" s="17">
        <f>IF(Calc!$B2389,Calc!O2389,"")</f>
        <v/>
      </c>
    </row>
    <row r="2390">
      <c r="A2390" s="16">
        <f>IF(Calc!$B2390,Calc!E2390,"")</f>
        <v/>
      </c>
      <c r="B2390">
        <f>IF(Calc!$B2390,INDEX(MineNames,Calc!C2390),"")</f>
        <v/>
      </c>
      <c r="C2390" s="17">
        <f>IF(Calc!$B2390,Calc!O2390,"")</f>
        <v/>
      </c>
    </row>
    <row r="2391">
      <c r="A2391" s="16">
        <f>IF(Calc!$B2391,Calc!E2391,"")</f>
        <v/>
      </c>
      <c r="B2391">
        <f>IF(Calc!$B2391,INDEX(MineNames,Calc!C2391),"")</f>
        <v/>
      </c>
      <c r="C2391" s="17">
        <f>IF(Calc!$B2391,Calc!O2391,"")</f>
        <v/>
      </c>
    </row>
    <row r="2392">
      <c r="A2392" s="16">
        <f>IF(Calc!$B2392,Calc!E2392,"")</f>
        <v/>
      </c>
      <c r="B2392">
        <f>IF(Calc!$B2392,INDEX(MineNames,Calc!C2392),"")</f>
        <v/>
      </c>
      <c r="C2392" s="17">
        <f>IF(Calc!$B2392,Calc!O2392,"")</f>
        <v/>
      </c>
    </row>
    <row r="2393">
      <c r="A2393" s="16">
        <f>IF(Calc!$B2393,Calc!E2393,"")</f>
        <v/>
      </c>
      <c r="B2393">
        <f>IF(Calc!$B2393,INDEX(MineNames,Calc!C2393),"")</f>
        <v/>
      </c>
      <c r="C2393" s="17">
        <f>IF(Calc!$B2393,Calc!O2393,"")</f>
        <v/>
      </c>
    </row>
    <row r="2394">
      <c r="A2394" s="16">
        <f>IF(Calc!$B2394,Calc!E2394,"")</f>
        <v/>
      </c>
      <c r="B2394">
        <f>IF(Calc!$B2394,INDEX(MineNames,Calc!C2394),"")</f>
        <v/>
      </c>
      <c r="C2394" s="17">
        <f>IF(Calc!$B2394,Calc!O2394,"")</f>
        <v/>
      </c>
    </row>
    <row r="2395">
      <c r="A2395" s="16">
        <f>IF(Calc!$B2395,Calc!E2395,"")</f>
        <v/>
      </c>
      <c r="B2395">
        <f>IF(Calc!$B2395,INDEX(MineNames,Calc!C2395),"")</f>
        <v/>
      </c>
      <c r="C2395" s="17">
        <f>IF(Calc!$B2395,Calc!O2395,"")</f>
        <v/>
      </c>
    </row>
    <row r="2396">
      <c r="A2396" s="16">
        <f>IF(Calc!$B2396,Calc!E2396,"")</f>
        <v/>
      </c>
      <c r="B2396">
        <f>IF(Calc!$B2396,INDEX(MineNames,Calc!C2396),"")</f>
        <v/>
      </c>
      <c r="C2396" s="17">
        <f>IF(Calc!$B2396,Calc!O2396,"")</f>
        <v/>
      </c>
    </row>
    <row r="2397">
      <c r="A2397" s="16">
        <f>IF(Calc!$B2397,Calc!E2397,"")</f>
        <v/>
      </c>
      <c r="B2397">
        <f>IF(Calc!$B2397,INDEX(MineNames,Calc!C2397),"")</f>
        <v/>
      </c>
      <c r="C2397" s="17">
        <f>IF(Calc!$B2397,Calc!O2397,"")</f>
        <v/>
      </c>
    </row>
    <row r="2398">
      <c r="A2398" s="16">
        <f>IF(Calc!$B2398,Calc!E2398,"")</f>
        <v/>
      </c>
      <c r="B2398">
        <f>IF(Calc!$B2398,INDEX(MineNames,Calc!C2398),"")</f>
        <v/>
      </c>
      <c r="C2398" s="17">
        <f>IF(Calc!$B2398,Calc!O2398,"")</f>
        <v/>
      </c>
    </row>
    <row r="2399">
      <c r="A2399" s="16">
        <f>IF(Calc!$B2399,Calc!E2399,"")</f>
        <v/>
      </c>
      <c r="B2399">
        <f>IF(Calc!$B2399,INDEX(MineNames,Calc!C2399),"")</f>
        <v/>
      </c>
      <c r="C2399" s="17">
        <f>IF(Calc!$B2399,Calc!O2399,"")</f>
        <v/>
      </c>
    </row>
    <row r="2400">
      <c r="A2400" s="16">
        <f>IF(Calc!$B2400,Calc!E2400,"")</f>
        <v/>
      </c>
      <c r="B2400">
        <f>IF(Calc!$B2400,INDEX(MineNames,Calc!C2400),"")</f>
        <v/>
      </c>
      <c r="C2400" s="17">
        <f>IF(Calc!$B2400,Calc!O2400,"")</f>
        <v/>
      </c>
    </row>
    <row r="2401">
      <c r="A2401" s="16">
        <f>IF(Calc!$B2401,Calc!E2401,"")</f>
        <v/>
      </c>
      <c r="B2401">
        <f>IF(Calc!$B2401,INDEX(MineNames,Calc!C2401),"")</f>
        <v/>
      </c>
      <c r="C2401" s="17">
        <f>IF(Calc!$B2401,Calc!O2401,"")</f>
        <v/>
      </c>
    </row>
    <row r="2402">
      <c r="A2402" s="16">
        <f>IF(Calc!$B2402,Calc!E2402,"")</f>
        <v/>
      </c>
      <c r="B2402">
        <f>IF(Calc!$B2402,INDEX(MineNames,Calc!C2402),"")</f>
        <v/>
      </c>
      <c r="C2402" s="17">
        <f>IF(Calc!$B2402,Calc!O2402,"")</f>
        <v/>
      </c>
    </row>
    <row r="2403">
      <c r="A2403" s="16">
        <f>IF(Calc!$B2403,Calc!E2403,"")</f>
        <v/>
      </c>
      <c r="B2403">
        <f>IF(Calc!$B2403,INDEX(MineNames,Calc!C2403),"")</f>
        <v/>
      </c>
      <c r="C2403" s="17">
        <f>IF(Calc!$B2403,Calc!O2403,"")</f>
        <v/>
      </c>
    </row>
    <row r="2404">
      <c r="A2404" s="16">
        <f>IF(Calc!$B2404,Calc!E2404,"")</f>
        <v/>
      </c>
      <c r="B2404">
        <f>IF(Calc!$B2404,INDEX(MineNames,Calc!C2404),"")</f>
        <v/>
      </c>
      <c r="C2404" s="17">
        <f>IF(Calc!$B2404,Calc!O2404,"")</f>
        <v/>
      </c>
    </row>
    <row r="2405">
      <c r="A2405" s="16">
        <f>IF(Calc!$B2405,Calc!E2405,"")</f>
        <v/>
      </c>
      <c r="B2405">
        <f>IF(Calc!$B2405,INDEX(MineNames,Calc!C2405),"")</f>
        <v/>
      </c>
      <c r="C2405" s="17">
        <f>IF(Calc!$B2405,Calc!O2405,"")</f>
        <v/>
      </c>
    </row>
    <row r="2406">
      <c r="A2406" s="16">
        <f>IF(Calc!$B2406,Calc!E2406,"")</f>
        <v/>
      </c>
      <c r="B2406">
        <f>IF(Calc!$B2406,INDEX(MineNames,Calc!C2406),"")</f>
        <v/>
      </c>
      <c r="C2406" s="17">
        <f>IF(Calc!$B2406,Calc!O2406,"")</f>
        <v/>
      </c>
    </row>
    <row r="2407">
      <c r="A2407" s="16">
        <f>IF(Calc!$B2407,Calc!E2407,"")</f>
        <v/>
      </c>
      <c r="B2407">
        <f>IF(Calc!$B2407,INDEX(MineNames,Calc!C2407),"")</f>
        <v/>
      </c>
      <c r="C2407" s="17">
        <f>IF(Calc!$B2407,Calc!O2407,"")</f>
        <v/>
      </c>
    </row>
    <row r="2408">
      <c r="A2408" s="16">
        <f>IF(Calc!$B2408,Calc!E2408,"")</f>
        <v/>
      </c>
      <c r="B2408">
        <f>IF(Calc!$B2408,INDEX(MineNames,Calc!C2408),"")</f>
        <v/>
      </c>
      <c r="C2408" s="17">
        <f>IF(Calc!$B2408,Calc!O2408,"")</f>
        <v/>
      </c>
    </row>
    <row r="2409">
      <c r="A2409" s="16">
        <f>IF(Calc!$B2409,Calc!E2409,"")</f>
        <v/>
      </c>
      <c r="B2409">
        <f>IF(Calc!$B2409,INDEX(MineNames,Calc!C2409),"")</f>
        <v/>
      </c>
      <c r="C2409" s="17">
        <f>IF(Calc!$B2409,Calc!O2409,"")</f>
        <v/>
      </c>
    </row>
    <row r="2410">
      <c r="A2410" s="16">
        <f>IF(Calc!$B2410,Calc!E2410,"")</f>
        <v/>
      </c>
      <c r="B2410">
        <f>IF(Calc!$B2410,INDEX(MineNames,Calc!C2410),"")</f>
        <v/>
      </c>
      <c r="C2410" s="17">
        <f>IF(Calc!$B2410,Calc!O2410,"")</f>
        <v/>
      </c>
    </row>
    <row r="2411">
      <c r="A2411" s="16">
        <f>IF(Calc!$B2411,Calc!E2411,"")</f>
        <v/>
      </c>
      <c r="B2411">
        <f>IF(Calc!$B2411,INDEX(MineNames,Calc!C2411),"")</f>
        <v/>
      </c>
      <c r="C2411" s="17">
        <f>IF(Calc!$B2411,Calc!O2411,"")</f>
        <v/>
      </c>
    </row>
    <row r="2412">
      <c r="A2412" s="16">
        <f>IF(Calc!$B2412,Calc!E2412,"")</f>
        <v/>
      </c>
      <c r="B2412">
        <f>IF(Calc!$B2412,INDEX(MineNames,Calc!C2412),"")</f>
        <v/>
      </c>
      <c r="C2412" s="17">
        <f>IF(Calc!$B2412,Calc!O2412,"")</f>
        <v/>
      </c>
    </row>
    <row r="2413">
      <c r="A2413" s="16">
        <f>IF(Calc!$B2413,Calc!E2413,"")</f>
        <v/>
      </c>
      <c r="B2413">
        <f>IF(Calc!$B2413,INDEX(MineNames,Calc!C2413),"")</f>
        <v/>
      </c>
      <c r="C2413" s="17">
        <f>IF(Calc!$B2413,Calc!O2413,"")</f>
        <v/>
      </c>
    </row>
    <row r="2414">
      <c r="A2414" s="16">
        <f>IF(Calc!$B2414,Calc!E2414,"")</f>
        <v/>
      </c>
      <c r="B2414">
        <f>IF(Calc!$B2414,INDEX(MineNames,Calc!C2414),"")</f>
        <v/>
      </c>
      <c r="C2414" s="17">
        <f>IF(Calc!$B2414,Calc!O2414,"")</f>
        <v/>
      </c>
    </row>
    <row r="2415">
      <c r="A2415" s="16">
        <f>IF(Calc!$B2415,Calc!E2415,"")</f>
        <v/>
      </c>
      <c r="B2415">
        <f>IF(Calc!$B2415,INDEX(MineNames,Calc!C2415),"")</f>
        <v/>
      </c>
      <c r="C2415" s="17">
        <f>IF(Calc!$B2415,Calc!O2415,"")</f>
        <v/>
      </c>
    </row>
    <row r="2416">
      <c r="A2416" s="16">
        <f>IF(Calc!$B2416,Calc!E2416,"")</f>
        <v/>
      </c>
      <c r="B2416">
        <f>IF(Calc!$B2416,INDEX(MineNames,Calc!C2416),"")</f>
        <v/>
      </c>
      <c r="C2416" s="17">
        <f>IF(Calc!$B2416,Calc!O2416,"")</f>
        <v/>
      </c>
    </row>
    <row r="2417">
      <c r="A2417" s="16">
        <f>IF(Calc!$B2417,Calc!E2417,"")</f>
        <v/>
      </c>
      <c r="B2417">
        <f>IF(Calc!$B2417,INDEX(MineNames,Calc!C2417),"")</f>
        <v/>
      </c>
      <c r="C2417" s="17">
        <f>IF(Calc!$B2417,Calc!O2417,"")</f>
        <v/>
      </c>
    </row>
    <row r="2418">
      <c r="A2418" s="16">
        <f>IF(Calc!$B2418,Calc!E2418,"")</f>
        <v/>
      </c>
      <c r="B2418">
        <f>IF(Calc!$B2418,INDEX(MineNames,Calc!C2418),"")</f>
        <v/>
      </c>
      <c r="C2418" s="17">
        <f>IF(Calc!$B2418,Calc!O2418,"")</f>
        <v/>
      </c>
    </row>
    <row r="2419">
      <c r="A2419" s="16">
        <f>IF(Calc!$B2419,Calc!E2419,"")</f>
        <v/>
      </c>
      <c r="B2419">
        <f>IF(Calc!$B2419,INDEX(MineNames,Calc!C2419),"")</f>
        <v/>
      </c>
      <c r="C2419" s="17">
        <f>IF(Calc!$B2419,Calc!O2419,"")</f>
        <v/>
      </c>
    </row>
    <row r="2420">
      <c r="A2420" s="16">
        <f>IF(Calc!$B2420,Calc!E2420,"")</f>
        <v/>
      </c>
      <c r="B2420">
        <f>IF(Calc!$B2420,INDEX(MineNames,Calc!C2420),"")</f>
        <v/>
      </c>
      <c r="C2420" s="17">
        <f>IF(Calc!$B2420,Calc!O2420,"")</f>
        <v/>
      </c>
    </row>
    <row r="2421">
      <c r="A2421" s="16">
        <f>IF(Calc!$B2421,Calc!E2421,"")</f>
        <v/>
      </c>
      <c r="B2421">
        <f>IF(Calc!$B2421,INDEX(MineNames,Calc!C2421),"")</f>
        <v/>
      </c>
      <c r="C2421" s="17">
        <f>IF(Calc!$B2421,Calc!O2421,"")</f>
        <v/>
      </c>
    </row>
    <row r="2422">
      <c r="A2422" s="16">
        <f>IF(Calc!$B2422,Calc!E2422,"")</f>
        <v/>
      </c>
      <c r="B2422">
        <f>IF(Calc!$B2422,INDEX(MineNames,Calc!C2422),"")</f>
        <v/>
      </c>
      <c r="C2422" s="17">
        <f>IF(Calc!$B2422,Calc!O2422,"")</f>
        <v/>
      </c>
    </row>
    <row r="2423">
      <c r="A2423" s="16">
        <f>IF(Calc!$B2423,Calc!E2423,"")</f>
        <v/>
      </c>
      <c r="B2423">
        <f>IF(Calc!$B2423,INDEX(MineNames,Calc!C2423),"")</f>
        <v/>
      </c>
      <c r="C2423" s="17">
        <f>IF(Calc!$B2423,Calc!O2423,"")</f>
        <v/>
      </c>
    </row>
    <row r="2424">
      <c r="A2424" s="16">
        <f>IF(Calc!$B2424,Calc!E2424,"")</f>
        <v/>
      </c>
      <c r="B2424">
        <f>IF(Calc!$B2424,INDEX(MineNames,Calc!C2424),"")</f>
        <v/>
      </c>
      <c r="C2424" s="17">
        <f>IF(Calc!$B2424,Calc!O2424,"")</f>
        <v/>
      </c>
    </row>
    <row r="2425">
      <c r="A2425" s="16">
        <f>IF(Calc!$B2425,Calc!E2425,"")</f>
        <v/>
      </c>
      <c r="B2425">
        <f>IF(Calc!$B2425,INDEX(MineNames,Calc!C2425),"")</f>
        <v/>
      </c>
      <c r="C2425" s="17">
        <f>IF(Calc!$B2425,Calc!O2425,"")</f>
        <v/>
      </c>
    </row>
    <row r="2426">
      <c r="A2426" s="16">
        <f>IF(Calc!$B2426,Calc!E2426,"")</f>
        <v/>
      </c>
      <c r="B2426">
        <f>IF(Calc!$B2426,INDEX(MineNames,Calc!C2426),"")</f>
        <v/>
      </c>
      <c r="C2426" s="17">
        <f>IF(Calc!$B2426,Calc!O2426,"")</f>
        <v/>
      </c>
    </row>
    <row r="2427">
      <c r="A2427" s="16">
        <f>IF(Calc!$B2427,Calc!E2427,"")</f>
        <v/>
      </c>
      <c r="B2427">
        <f>IF(Calc!$B2427,INDEX(MineNames,Calc!C2427),"")</f>
        <v/>
      </c>
      <c r="C2427" s="17">
        <f>IF(Calc!$B2427,Calc!O2427,"")</f>
        <v/>
      </c>
    </row>
    <row r="2428">
      <c r="A2428" s="16">
        <f>IF(Calc!$B2428,Calc!E2428,"")</f>
        <v/>
      </c>
      <c r="B2428">
        <f>IF(Calc!$B2428,INDEX(MineNames,Calc!C2428),"")</f>
        <v/>
      </c>
      <c r="C2428" s="17">
        <f>IF(Calc!$B2428,Calc!O2428,"")</f>
        <v/>
      </c>
    </row>
    <row r="2429">
      <c r="A2429" s="16">
        <f>IF(Calc!$B2429,Calc!E2429,"")</f>
        <v/>
      </c>
      <c r="B2429">
        <f>IF(Calc!$B2429,INDEX(MineNames,Calc!C2429),"")</f>
        <v/>
      </c>
      <c r="C2429" s="17">
        <f>IF(Calc!$B2429,Calc!O2429,"")</f>
        <v/>
      </c>
    </row>
    <row r="2430">
      <c r="A2430" s="16">
        <f>IF(Calc!$B2430,Calc!E2430,"")</f>
        <v/>
      </c>
      <c r="B2430">
        <f>IF(Calc!$B2430,INDEX(MineNames,Calc!C2430),"")</f>
        <v/>
      </c>
      <c r="C2430" s="17">
        <f>IF(Calc!$B2430,Calc!O2430,"")</f>
        <v/>
      </c>
    </row>
    <row r="2431">
      <c r="A2431" s="16">
        <f>IF(Calc!$B2431,Calc!E2431,"")</f>
        <v/>
      </c>
      <c r="B2431">
        <f>IF(Calc!$B2431,INDEX(MineNames,Calc!C2431),"")</f>
        <v/>
      </c>
      <c r="C2431" s="17">
        <f>IF(Calc!$B2431,Calc!O2431,"")</f>
        <v/>
      </c>
    </row>
    <row r="2432">
      <c r="A2432" s="16">
        <f>IF(Calc!$B2432,Calc!E2432,"")</f>
        <v/>
      </c>
      <c r="B2432">
        <f>IF(Calc!$B2432,INDEX(MineNames,Calc!C2432),"")</f>
        <v/>
      </c>
      <c r="C2432" s="17">
        <f>IF(Calc!$B2432,Calc!O2432,"")</f>
        <v/>
      </c>
    </row>
    <row r="2433">
      <c r="A2433" s="16">
        <f>IF(Calc!$B2433,Calc!E2433,"")</f>
        <v/>
      </c>
      <c r="B2433">
        <f>IF(Calc!$B2433,INDEX(MineNames,Calc!C2433),"")</f>
        <v/>
      </c>
      <c r="C2433" s="17">
        <f>IF(Calc!$B2433,Calc!O2433,"")</f>
        <v/>
      </c>
    </row>
    <row r="2434">
      <c r="A2434" s="16">
        <f>IF(Calc!$B2434,Calc!E2434,"")</f>
        <v/>
      </c>
      <c r="B2434">
        <f>IF(Calc!$B2434,INDEX(MineNames,Calc!C2434),"")</f>
        <v/>
      </c>
      <c r="C2434" s="17">
        <f>IF(Calc!$B2434,Calc!O2434,"")</f>
        <v/>
      </c>
    </row>
    <row r="2435">
      <c r="A2435" s="16">
        <f>IF(Calc!$B2435,Calc!E2435,"")</f>
        <v/>
      </c>
      <c r="B2435">
        <f>IF(Calc!$B2435,INDEX(MineNames,Calc!C2435),"")</f>
        <v/>
      </c>
      <c r="C2435" s="17">
        <f>IF(Calc!$B2435,Calc!O2435,"")</f>
        <v/>
      </c>
    </row>
    <row r="2436">
      <c r="A2436" s="16">
        <f>IF(Calc!$B2436,Calc!E2436,"")</f>
        <v/>
      </c>
      <c r="B2436">
        <f>IF(Calc!$B2436,INDEX(MineNames,Calc!C2436),"")</f>
        <v/>
      </c>
      <c r="C2436" s="17">
        <f>IF(Calc!$B2436,Calc!O2436,"")</f>
        <v/>
      </c>
    </row>
    <row r="2437">
      <c r="A2437" s="16">
        <f>IF(Calc!$B2437,Calc!E2437,"")</f>
        <v/>
      </c>
      <c r="B2437">
        <f>IF(Calc!$B2437,INDEX(MineNames,Calc!C2437),"")</f>
        <v/>
      </c>
      <c r="C2437" s="17">
        <f>IF(Calc!$B2437,Calc!O2437,"")</f>
        <v/>
      </c>
    </row>
    <row r="2438">
      <c r="A2438" s="16">
        <f>IF(Calc!$B2438,Calc!E2438,"")</f>
        <v/>
      </c>
      <c r="B2438">
        <f>IF(Calc!$B2438,INDEX(MineNames,Calc!C2438),"")</f>
        <v/>
      </c>
      <c r="C2438" s="17">
        <f>IF(Calc!$B2438,Calc!O2438,"")</f>
        <v/>
      </c>
    </row>
    <row r="2439">
      <c r="A2439" s="16">
        <f>IF(Calc!$B2439,Calc!E2439,"")</f>
        <v/>
      </c>
      <c r="B2439">
        <f>IF(Calc!$B2439,INDEX(MineNames,Calc!C2439),"")</f>
        <v/>
      </c>
      <c r="C2439" s="17">
        <f>IF(Calc!$B2439,Calc!O2439,"")</f>
        <v/>
      </c>
    </row>
    <row r="2440">
      <c r="A2440" s="16">
        <f>IF(Calc!$B2440,Calc!E2440,"")</f>
        <v/>
      </c>
      <c r="B2440">
        <f>IF(Calc!$B2440,INDEX(MineNames,Calc!C2440),"")</f>
        <v/>
      </c>
      <c r="C2440" s="17">
        <f>IF(Calc!$B2440,Calc!O2440,"")</f>
        <v/>
      </c>
    </row>
    <row r="2441">
      <c r="A2441" s="16">
        <f>IF(Calc!$B2441,Calc!E2441,"")</f>
        <v/>
      </c>
      <c r="B2441">
        <f>IF(Calc!$B2441,INDEX(MineNames,Calc!C2441),"")</f>
        <v/>
      </c>
      <c r="C2441" s="17">
        <f>IF(Calc!$B2441,Calc!O2441,"")</f>
        <v/>
      </c>
    </row>
    <row r="2442">
      <c r="A2442" s="16">
        <f>IF(Calc!$B2442,Calc!E2442,"")</f>
        <v/>
      </c>
      <c r="B2442">
        <f>IF(Calc!$B2442,INDEX(MineNames,Calc!C2442),"")</f>
        <v/>
      </c>
      <c r="C2442" s="17">
        <f>IF(Calc!$B2442,Calc!O2442,"")</f>
        <v/>
      </c>
    </row>
    <row r="2443">
      <c r="A2443" s="16">
        <f>IF(Calc!$B2443,Calc!E2443,"")</f>
        <v/>
      </c>
      <c r="B2443">
        <f>IF(Calc!$B2443,INDEX(MineNames,Calc!C2443),"")</f>
        <v/>
      </c>
      <c r="C2443" s="17">
        <f>IF(Calc!$B2443,Calc!O2443,"")</f>
        <v/>
      </c>
    </row>
    <row r="2444">
      <c r="A2444" s="16">
        <f>IF(Calc!$B2444,Calc!E2444,"")</f>
        <v/>
      </c>
      <c r="B2444">
        <f>IF(Calc!$B2444,INDEX(MineNames,Calc!C2444),"")</f>
        <v/>
      </c>
      <c r="C2444" s="17">
        <f>IF(Calc!$B2444,Calc!O2444,"")</f>
        <v/>
      </c>
    </row>
    <row r="2445">
      <c r="A2445" s="16">
        <f>IF(Calc!$B2445,Calc!E2445,"")</f>
        <v/>
      </c>
      <c r="B2445">
        <f>IF(Calc!$B2445,INDEX(MineNames,Calc!C2445),"")</f>
        <v/>
      </c>
      <c r="C2445" s="17">
        <f>IF(Calc!$B2445,Calc!O2445,"")</f>
        <v/>
      </c>
    </row>
    <row r="2446">
      <c r="A2446" s="16">
        <f>IF(Calc!$B2446,Calc!E2446,"")</f>
        <v/>
      </c>
      <c r="B2446">
        <f>IF(Calc!$B2446,INDEX(MineNames,Calc!C2446),"")</f>
        <v/>
      </c>
      <c r="C2446" s="17">
        <f>IF(Calc!$B2446,Calc!O2446,"")</f>
        <v/>
      </c>
    </row>
    <row r="2447">
      <c r="A2447" s="16">
        <f>IF(Calc!$B2447,Calc!E2447,"")</f>
        <v/>
      </c>
      <c r="B2447">
        <f>IF(Calc!$B2447,INDEX(MineNames,Calc!C2447),"")</f>
        <v/>
      </c>
      <c r="C2447" s="17">
        <f>IF(Calc!$B2447,Calc!O2447,"")</f>
        <v/>
      </c>
    </row>
    <row r="2448">
      <c r="A2448" s="16">
        <f>IF(Calc!$B2448,Calc!E2448,"")</f>
        <v/>
      </c>
      <c r="B2448">
        <f>IF(Calc!$B2448,INDEX(MineNames,Calc!C2448),"")</f>
        <v/>
      </c>
      <c r="C2448" s="17">
        <f>IF(Calc!$B2448,Calc!O2448,"")</f>
        <v/>
      </c>
    </row>
    <row r="2449">
      <c r="A2449" s="16">
        <f>IF(Calc!$B2449,Calc!E2449,"")</f>
        <v/>
      </c>
      <c r="B2449">
        <f>IF(Calc!$B2449,INDEX(MineNames,Calc!C2449),"")</f>
        <v/>
      </c>
      <c r="C2449" s="17">
        <f>IF(Calc!$B2449,Calc!O2449,"")</f>
        <v/>
      </c>
    </row>
    <row r="2450">
      <c r="A2450" s="16">
        <f>IF(Calc!$B2450,Calc!E2450,"")</f>
        <v/>
      </c>
      <c r="B2450">
        <f>IF(Calc!$B2450,INDEX(MineNames,Calc!C2450),"")</f>
        <v/>
      </c>
      <c r="C2450" s="17">
        <f>IF(Calc!$B2450,Calc!O2450,"")</f>
        <v/>
      </c>
    </row>
    <row r="2451">
      <c r="A2451" s="16">
        <f>IF(Calc!$B2451,Calc!E2451,"")</f>
        <v/>
      </c>
      <c r="B2451">
        <f>IF(Calc!$B2451,INDEX(MineNames,Calc!C2451),"")</f>
        <v/>
      </c>
      <c r="C2451" s="17">
        <f>IF(Calc!$B2451,Calc!O2451,"")</f>
        <v/>
      </c>
    </row>
    <row r="2452">
      <c r="A2452" s="16">
        <f>IF(Calc!$B2452,Calc!E2452,"")</f>
        <v/>
      </c>
      <c r="B2452">
        <f>IF(Calc!$B2452,INDEX(MineNames,Calc!C2452),"")</f>
        <v/>
      </c>
      <c r="C2452" s="17">
        <f>IF(Calc!$B2452,Calc!O2452,"")</f>
        <v/>
      </c>
    </row>
    <row r="2453">
      <c r="A2453" s="16">
        <f>IF(Calc!$B2453,Calc!E2453,"")</f>
        <v/>
      </c>
      <c r="B2453">
        <f>IF(Calc!$B2453,INDEX(MineNames,Calc!C2453),"")</f>
        <v/>
      </c>
      <c r="C2453" s="17">
        <f>IF(Calc!$B2453,Calc!O2453,"")</f>
        <v/>
      </c>
    </row>
    <row r="2454">
      <c r="A2454" s="16">
        <f>IF(Calc!$B2454,Calc!E2454,"")</f>
        <v/>
      </c>
      <c r="B2454">
        <f>IF(Calc!$B2454,INDEX(MineNames,Calc!C2454),"")</f>
        <v/>
      </c>
      <c r="C2454" s="17">
        <f>IF(Calc!$B2454,Calc!O2454,"")</f>
        <v/>
      </c>
    </row>
    <row r="2455">
      <c r="A2455" s="16">
        <f>IF(Calc!$B2455,Calc!E2455,"")</f>
        <v/>
      </c>
      <c r="B2455">
        <f>IF(Calc!$B2455,INDEX(MineNames,Calc!C2455),"")</f>
        <v/>
      </c>
      <c r="C2455" s="17">
        <f>IF(Calc!$B2455,Calc!O2455,"")</f>
        <v/>
      </c>
    </row>
    <row r="2456">
      <c r="A2456" s="16">
        <f>IF(Calc!$B2456,Calc!E2456,"")</f>
        <v/>
      </c>
      <c r="B2456">
        <f>IF(Calc!$B2456,INDEX(MineNames,Calc!C2456),"")</f>
        <v/>
      </c>
      <c r="C2456" s="17">
        <f>IF(Calc!$B2456,Calc!O2456,"")</f>
        <v/>
      </c>
    </row>
    <row r="2457">
      <c r="A2457" s="16">
        <f>IF(Calc!$B2457,Calc!E2457,"")</f>
        <v/>
      </c>
      <c r="B2457">
        <f>IF(Calc!$B2457,INDEX(MineNames,Calc!C2457),"")</f>
        <v/>
      </c>
      <c r="C2457" s="17">
        <f>IF(Calc!$B2457,Calc!O2457,"")</f>
        <v/>
      </c>
    </row>
    <row r="2458">
      <c r="A2458" s="16">
        <f>IF(Calc!$B2458,Calc!E2458,"")</f>
        <v/>
      </c>
      <c r="B2458">
        <f>IF(Calc!$B2458,INDEX(MineNames,Calc!C2458),"")</f>
        <v/>
      </c>
      <c r="C2458" s="17">
        <f>IF(Calc!$B2458,Calc!O2458,"")</f>
        <v/>
      </c>
    </row>
    <row r="2459">
      <c r="A2459" s="16">
        <f>IF(Calc!$B2459,Calc!E2459,"")</f>
        <v/>
      </c>
      <c r="B2459">
        <f>IF(Calc!$B2459,INDEX(MineNames,Calc!C2459),"")</f>
        <v/>
      </c>
      <c r="C2459" s="17">
        <f>IF(Calc!$B2459,Calc!O2459,"")</f>
        <v/>
      </c>
    </row>
    <row r="2460">
      <c r="A2460" s="16">
        <f>IF(Calc!$B2460,Calc!E2460,"")</f>
        <v/>
      </c>
      <c r="B2460">
        <f>IF(Calc!$B2460,INDEX(MineNames,Calc!C2460),"")</f>
        <v/>
      </c>
      <c r="C2460" s="17">
        <f>IF(Calc!$B2460,Calc!O2460,"")</f>
        <v/>
      </c>
    </row>
    <row r="2461">
      <c r="A2461" s="16">
        <f>IF(Calc!$B2461,Calc!E2461,"")</f>
        <v/>
      </c>
      <c r="B2461">
        <f>IF(Calc!$B2461,INDEX(MineNames,Calc!C2461),"")</f>
        <v/>
      </c>
      <c r="C2461" s="17">
        <f>IF(Calc!$B2461,Calc!O2461,"")</f>
        <v/>
      </c>
    </row>
    <row r="2462">
      <c r="A2462" s="16">
        <f>IF(Calc!$B2462,Calc!E2462,"")</f>
        <v/>
      </c>
      <c r="B2462">
        <f>IF(Calc!$B2462,INDEX(MineNames,Calc!C2462),"")</f>
        <v/>
      </c>
      <c r="C2462" s="17">
        <f>IF(Calc!$B2462,Calc!O2462,"")</f>
        <v/>
      </c>
    </row>
    <row r="2463">
      <c r="A2463" s="16">
        <f>IF(Calc!$B2463,Calc!E2463,"")</f>
        <v/>
      </c>
      <c r="B2463">
        <f>IF(Calc!$B2463,INDEX(MineNames,Calc!C2463),"")</f>
        <v/>
      </c>
      <c r="C2463" s="17">
        <f>IF(Calc!$B2463,Calc!O2463,"")</f>
        <v/>
      </c>
    </row>
    <row r="2464">
      <c r="A2464" s="16">
        <f>IF(Calc!$B2464,Calc!E2464,"")</f>
        <v/>
      </c>
      <c r="B2464">
        <f>IF(Calc!$B2464,INDEX(MineNames,Calc!C2464),"")</f>
        <v/>
      </c>
      <c r="C2464" s="17">
        <f>IF(Calc!$B2464,Calc!O2464,"")</f>
        <v/>
      </c>
    </row>
    <row r="2465">
      <c r="A2465" s="16">
        <f>IF(Calc!$B2465,Calc!E2465,"")</f>
        <v/>
      </c>
      <c r="B2465">
        <f>IF(Calc!$B2465,INDEX(MineNames,Calc!C2465),"")</f>
        <v/>
      </c>
      <c r="C2465" s="17">
        <f>IF(Calc!$B2465,Calc!O2465,"")</f>
        <v/>
      </c>
    </row>
    <row r="2466">
      <c r="A2466" s="16">
        <f>IF(Calc!$B2466,Calc!E2466,"")</f>
        <v/>
      </c>
      <c r="B2466">
        <f>IF(Calc!$B2466,INDEX(MineNames,Calc!C2466),"")</f>
        <v/>
      </c>
      <c r="C2466" s="17">
        <f>IF(Calc!$B2466,Calc!O2466,"")</f>
        <v/>
      </c>
    </row>
    <row r="2467">
      <c r="A2467" s="16">
        <f>IF(Calc!$B2467,Calc!E2467,"")</f>
        <v/>
      </c>
      <c r="B2467">
        <f>IF(Calc!$B2467,INDEX(MineNames,Calc!C2467),"")</f>
        <v/>
      </c>
      <c r="C2467" s="17">
        <f>IF(Calc!$B2467,Calc!O2467,"")</f>
        <v/>
      </c>
    </row>
    <row r="2468">
      <c r="A2468" s="16">
        <f>IF(Calc!$B2468,Calc!E2468,"")</f>
        <v/>
      </c>
      <c r="B2468">
        <f>IF(Calc!$B2468,INDEX(MineNames,Calc!C2468),"")</f>
        <v/>
      </c>
      <c r="C2468" s="17">
        <f>IF(Calc!$B2468,Calc!O2468,"")</f>
        <v/>
      </c>
    </row>
    <row r="2469">
      <c r="A2469" s="16">
        <f>IF(Calc!$B2469,Calc!E2469,"")</f>
        <v/>
      </c>
      <c r="B2469">
        <f>IF(Calc!$B2469,INDEX(MineNames,Calc!C2469),"")</f>
        <v/>
      </c>
      <c r="C2469" s="17">
        <f>IF(Calc!$B2469,Calc!O2469,"")</f>
        <v/>
      </c>
    </row>
    <row r="2470">
      <c r="A2470" s="16">
        <f>IF(Calc!$B2470,Calc!E2470,"")</f>
        <v/>
      </c>
      <c r="B2470">
        <f>IF(Calc!$B2470,INDEX(MineNames,Calc!C2470),"")</f>
        <v/>
      </c>
      <c r="C2470" s="17">
        <f>IF(Calc!$B2470,Calc!O2470,"")</f>
        <v/>
      </c>
    </row>
    <row r="2471">
      <c r="A2471" s="16">
        <f>IF(Calc!$B2471,Calc!E2471,"")</f>
        <v/>
      </c>
      <c r="B2471">
        <f>IF(Calc!$B2471,INDEX(MineNames,Calc!C2471),"")</f>
        <v/>
      </c>
      <c r="C2471" s="17">
        <f>IF(Calc!$B2471,Calc!O2471,"")</f>
        <v/>
      </c>
    </row>
    <row r="2472">
      <c r="A2472" s="16">
        <f>IF(Calc!$B2472,Calc!E2472,"")</f>
        <v/>
      </c>
      <c r="B2472">
        <f>IF(Calc!$B2472,INDEX(MineNames,Calc!C2472),"")</f>
        <v/>
      </c>
      <c r="C2472" s="17">
        <f>IF(Calc!$B2472,Calc!O2472,"")</f>
        <v/>
      </c>
    </row>
    <row r="2473">
      <c r="A2473" s="16">
        <f>IF(Calc!$B2473,Calc!E2473,"")</f>
        <v/>
      </c>
      <c r="B2473">
        <f>IF(Calc!$B2473,INDEX(MineNames,Calc!C2473),"")</f>
        <v/>
      </c>
      <c r="C2473" s="17">
        <f>IF(Calc!$B2473,Calc!O2473,"")</f>
        <v/>
      </c>
    </row>
    <row r="2474">
      <c r="A2474" s="16">
        <f>IF(Calc!$B2474,Calc!E2474,"")</f>
        <v/>
      </c>
      <c r="B2474">
        <f>IF(Calc!$B2474,INDEX(MineNames,Calc!C2474),"")</f>
        <v/>
      </c>
      <c r="C2474" s="17">
        <f>IF(Calc!$B2474,Calc!O2474,"")</f>
        <v/>
      </c>
    </row>
    <row r="2475">
      <c r="A2475" s="16">
        <f>IF(Calc!$B2475,Calc!E2475,"")</f>
        <v/>
      </c>
      <c r="B2475">
        <f>IF(Calc!$B2475,INDEX(MineNames,Calc!C2475),"")</f>
        <v/>
      </c>
      <c r="C2475" s="17">
        <f>IF(Calc!$B2475,Calc!O2475,"")</f>
        <v/>
      </c>
    </row>
    <row r="2476">
      <c r="A2476" s="16">
        <f>IF(Calc!$B2476,Calc!E2476,"")</f>
        <v/>
      </c>
      <c r="B2476">
        <f>IF(Calc!$B2476,INDEX(MineNames,Calc!C2476),"")</f>
        <v/>
      </c>
      <c r="C2476" s="17">
        <f>IF(Calc!$B2476,Calc!O2476,"")</f>
        <v/>
      </c>
    </row>
    <row r="2477">
      <c r="A2477" s="16">
        <f>IF(Calc!$B2477,Calc!E2477,"")</f>
        <v/>
      </c>
      <c r="B2477">
        <f>IF(Calc!$B2477,INDEX(MineNames,Calc!C2477),"")</f>
        <v/>
      </c>
      <c r="C2477" s="17">
        <f>IF(Calc!$B2477,Calc!O2477,"")</f>
        <v/>
      </c>
    </row>
    <row r="2478">
      <c r="A2478" s="16">
        <f>IF(Calc!$B2478,Calc!E2478,"")</f>
        <v/>
      </c>
      <c r="B2478">
        <f>IF(Calc!$B2478,INDEX(MineNames,Calc!C2478),"")</f>
        <v/>
      </c>
      <c r="C2478" s="17">
        <f>IF(Calc!$B2478,Calc!O2478,"")</f>
        <v/>
      </c>
    </row>
    <row r="2479">
      <c r="A2479" s="16">
        <f>IF(Calc!$B2479,Calc!E2479,"")</f>
        <v/>
      </c>
      <c r="B2479">
        <f>IF(Calc!$B2479,INDEX(MineNames,Calc!C2479),"")</f>
        <v/>
      </c>
      <c r="C2479" s="17">
        <f>IF(Calc!$B2479,Calc!O2479,"")</f>
        <v/>
      </c>
    </row>
    <row r="2480">
      <c r="A2480" s="16">
        <f>IF(Calc!$B2480,Calc!E2480,"")</f>
        <v/>
      </c>
      <c r="B2480">
        <f>IF(Calc!$B2480,INDEX(MineNames,Calc!C2480),"")</f>
        <v/>
      </c>
      <c r="C2480" s="17">
        <f>IF(Calc!$B2480,Calc!O2480,"")</f>
        <v/>
      </c>
    </row>
    <row r="2481">
      <c r="A2481" s="16">
        <f>IF(Calc!$B2481,Calc!E2481,"")</f>
        <v/>
      </c>
      <c r="B2481">
        <f>IF(Calc!$B2481,INDEX(MineNames,Calc!C2481),"")</f>
        <v/>
      </c>
      <c r="C2481" s="17">
        <f>IF(Calc!$B2481,Calc!O2481,"")</f>
        <v/>
      </c>
    </row>
    <row r="2482">
      <c r="A2482" s="16">
        <f>IF(Calc!$B2482,Calc!E2482,"")</f>
        <v/>
      </c>
      <c r="B2482">
        <f>IF(Calc!$B2482,INDEX(MineNames,Calc!C2482),"")</f>
        <v/>
      </c>
      <c r="C2482" s="17">
        <f>IF(Calc!$B2482,Calc!O2482,"")</f>
        <v/>
      </c>
    </row>
    <row r="2483">
      <c r="A2483" s="16">
        <f>IF(Calc!$B2483,Calc!E2483,"")</f>
        <v/>
      </c>
      <c r="B2483">
        <f>IF(Calc!$B2483,INDEX(MineNames,Calc!C2483),"")</f>
        <v/>
      </c>
      <c r="C2483" s="17">
        <f>IF(Calc!$B2483,Calc!O2483,"")</f>
        <v/>
      </c>
    </row>
    <row r="2484">
      <c r="A2484" s="16">
        <f>IF(Calc!$B2484,Calc!E2484,"")</f>
        <v/>
      </c>
      <c r="B2484">
        <f>IF(Calc!$B2484,INDEX(MineNames,Calc!C2484),"")</f>
        <v/>
      </c>
      <c r="C2484" s="17">
        <f>IF(Calc!$B2484,Calc!O2484,"")</f>
        <v/>
      </c>
    </row>
    <row r="2485">
      <c r="A2485" s="16">
        <f>IF(Calc!$B2485,Calc!E2485,"")</f>
        <v/>
      </c>
      <c r="B2485">
        <f>IF(Calc!$B2485,INDEX(MineNames,Calc!C2485),"")</f>
        <v/>
      </c>
      <c r="C2485" s="17">
        <f>IF(Calc!$B2485,Calc!O2485,"")</f>
        <v/>
      </c>
    </row>
    <row r="2486">
      <c r="A2486" s="16">
        <f>IF(Calc!$B2486,Calc!E2486,"")</f>
        <v/>
      </c>
      <c r="B2486">
        <f>IF(Calc!$B2486,INDEX(MineNames,Calc!C2486),"")</f>
        <v/>
      </c>
      <c r="C2486" s="17">
        <f>IF(Calc!$B2486,Calc!O2486,"")</f>
        <v/>
      </c>
    </row>
    <row r="2487">
      <c r="A2487" s="16">
        <f>IF(Calc!$B2487,Calc!E2487,"")</f>
        <v/>
      </c>
      <c r="B2487">
        <f>IF(Calc!$B2487,INDEX(MineNames,Calc!C2487),"")</f>
        <v/>
      </c>
      <c r="C2487" s="17">
        <f>IF(Calc!$B2487,Calc!O2487,"")</f>
        <v/>
      </c>
    </row>
    <row r="2488">
      <c r="A2488" s="16">
        <f>IF(Calc!$B2488,Calc!E2488,"")</f>
        <v/>
      </c>
      <c r="B2488">
        <f>IF(Calc!$B2488,INDEX(MineNames,Calc!C2488),"")</f>
        <v/>
      </c>
      <c r="C2488" s="17">
        <f>IF(Calc!$B2488,Calc!O2488,"")</f>
        <v/>
      </c>
    </row>
    <row r="2489">
      <c r="A2489" s="16">
        <f>IF(Calc!$B2489,Calc!E2489,"")</f>
        <v/>
      </c>
      <c r="B2489">
        <f>IF(Calc!$B2489,INDEX(MineNames,Calc!C2489),"")</f>
        <v/>
      </c>
      <c r="C2489" s="17">
        <f>IF(Calc!$B2489,Calc!O2489,"")</f>
        <v/>
      </c>
    </row>
    <row r="2490">
      <c r="A2490" s="16">
        <f>IF(Calc!$B2490,Calc!E2490,"")</f>
        <v/>
      </c>
      <c r="B2490">
        <f>IF(Calc!$B2490,INDEX(MineNames,Calc!C2490),"")</f>
        <v/>
      </c>
      <c r="C2490" s="17">
        <f>IF(Calc!$B2490,Calc!O2490,"")</f>
        <v/>
      </c>
    </row>
    <row r="2491">
      <c r="A2491" s="16">
        <f>IF(Calc!$B2491,Calc!E2491,"")</f>
        <v/>
      </c>
      <c r="B2491">
        <f>IF(Calc!$B2491,INDEX(MineNames,Calc!C2491),"")</f>
        <v/>
      </c>
      <c r="C2491" s="17">
        <f>IF(Calc!$B2491,Calc!O2491,"")</f>
        <v/>
      </c>
    </row>
    <row r="2492">
      <c r="A2492" s="16">
        <f>IF(Calc!$B2492,Calc!E2492,"")</f>
        <v/>
      </c>
      <c r="B2492">
        <f>IF(Calc!$B2492,INDEX(MineNames,Calc!C2492),"")</f>
        <v/>
      </c>
      <c r="C2492" s="17">
        <f>IF(Calc!$B2492,Calc!O2492,"")</f>
        <v/>
      </c>
    </row>
    <row r="2493">
      <c r="A2493" s="16">
        <f>IF(Calc!$B2493,Calc!E2493,"")</f>
        <v/>
      </c>
      <c r="B2493">
        <f>IF(Calc!$B2493,INDEX(MineNames,Calc!C2493),"")</f>
        <v/>
      </c>
      <c r="C2493" s="17">
        <f>IF(Calc!$B2493,Calc!O2493,"")</f>
        <v/>
      </c>
    </row>
    <row r="2494">
      <c r="A2494" s="16">
        <f>IF(Calc!$B2494,Calc!E2494,"")</f>
        <v/>
      </c>
      <c r="B2494">
        <f>IF(Calc!$B2494,INDEX(MineNames,Calc!C2494),"")</f>
        <v/>
      </c>
      <c r="C2494" s="17">
        <f>IF(Calc!$B2494,Calc!O2494,"")</f>
        <v/>
      </c>
    </row>
    <row r="2495">
      <c r="A2495" s="16">
        <f>IF(Calc!$B2495,Calc!E2495,"")</f>
        <v/>
      </c>
      <c r="B2495">
        <f>IF(Calc!$B2495,INDEX(MineNames,Calc!C2495),"")</f>
        <v/>
      </c>
      <c r="C2495" s="17">
        <f>IF(Calc!$B2495,Calc!O2495,"")</f>
        <v/>
      </c>
    </row>
    <row r="2496">
      <c r="A2496" s="16">
        <f>IF(Calc!$B2496,Calc!E2496,"")</f>
        <v/>
      </c>
      <c r="B2496">
        <f>IF(Calc!$B2496,INDEX(MineNames,Calc!C2496),"")</f>
        <v/>
      </c>
      <c r="C2496" s="17">
        <f>IF(Calc!$B2496,Calc!O2496,"")</f>
        <v/>
      </c>
    </row>
    <row r="2497">
      <c r="A2497" s="16">
        <f>IF(Calc!$B2497,Calc!E2497,"")</f>
        <v/>
      </c>
      <c r="B2497">
        <f>IF(Calc!$B2497,INDEX(MineNames,Calc!C2497),"")</f>
        <v/>
      </c>
      <c r="C2497" s="17">
        <f>IF(Calc!$B2497,Calc!O2497,"")</f>
        <v/>
      </c>
    </row>
    <row r="2498">
      <c r="A2498" s="16">
        <f>IF(Calc!$B2498,Calc!E2498,"")</f>
        <v/>
      </c>
      <c r="B2498">
        <f>IF(Calc!$B2498,INDEX(MineNames,Calc!C2498),"")</f>
        <v/>
      </c>
      <c r="C2498" s="17">
        <f>IF(Calc!$B2498,Calc!O2498,"")</f>
        <v/>
      </c>
    </row>
    <row r="2499">
      <c r="A2499" s="16">
        <f>IF(Calc!$B2499,Calc!E2499,"")</f>
        <v/>
      </c>
      <c r="B2499">
        <f>IF(Calc!$B2499,INDEX(MineNames,Calc!C2499),"")</f>
        <v/>
      </c>
      <c r="C2499" s="17">
        <f>IF(Calc!$B2499,Calc!O2499,"")</f>
        <v/>
      </c>
    </row>
    <row r="2500">
      <c r="A2500" s="16">
        <f>IF(Calc!$B2500,Calc!E2500,"")</f>
        <v/>
      </c>
      <c r="B2500">
        <f>IF(Calc!$B2500,INDEX(MineNames,Calc!C2500),"")</f>
        <v/>
      </c>
      <c r="C2500" s="17">
        <f>IF(Calc!$B2500,Calc!O2500,"")</f>
        <v/>
      </c>
    </row>
    <row r="2501">
      <c r="A2501" s="16">
        <f>IF(Calc!$B2501,Calc!E2501,"")</f>
        <v/>
      </c>
      <c r="B2501">
        <f>IF(Calc!$B2501,INDEX(MineNames,Calc!C2501),"")</f>
        <v/>
      </c>
      <c r="C2501" s="17">
        <f>IF(Calc!$B2501,Calc!O2501,"")</f>
        <v/>
      </c>
    </row>
    <row r="2502">
      <c r="A2502" s="16">
        <f>IF(Calc!$B2502,Calc!E2502,"")</f>
        <v/>
      </c>
      <c r="B2502">
        <f>IF(Calc!$B2502,INDEX(MineNames,Calc!C2502),"")</f>
        <v/>
      </c>
      <c r="C2502" s="17">
        <f>IF(Calc!$B2502,Calc!O2502,"")</f>
        <v/>
      </c>
    </row>
    <row r="2503">
      <c r="A2503" s="16">
        <f>IF(Calc!$B2503,Calc!E2503,"")</f>
        <v/>
      </c>
      <c r="B2503">
        <f>IF(Calc!$B2503,INDEX(MineNames,Calc!C2503),"")</f>
        <v/>
      </c>
      <c r="C2503" s="17">
        <f>IF(Calc!$B2503,Calc!O2503,"")</f>
        <v/>
      </c>
    </row>
    <row r="2504">
      <c r="A2504" s="16">
        <f>IF(Calc!$B2504,Calc!E2504,"")</f>
        <v/>
      </c>
      <c r="B2504">
        <f>IF(Calc!$B2504,INDEX(MineNames,Calc!C2504),"")</f>
        <v/>
      </c>
      <c r="C2504" s="17">
        <f>IF(Calc!$B2504,Calc!O2504,"")</f>
        <v/>
      </c>
    </row>
    <row r="2505">
      <c r="A2505" s="16">
        <f>IF(Calc!$B2505,Calc!E2505,"")</f>
        <v/>
      </c>
      <c r="B2505">
        <f>IF(Calc!$B2505,INDEX(MineNames,Calc!C2505),"")</f>
        <v/>
      </c>
      <c r="C2505" s="17">
        <f>IF(Calc!$B2505,Calc!O2505,"")</f>
        <v/>
      </c>
    </row>
    <row r="2506">
      <c r="A2506" s="16">
        <f>IF(Calc!$B2506,Calc!E2506,"")</f>
        <v/>
      </c>
      <c r="B2506">
        <f>IF(Calc!$B2506,INDEX(MineNames,Calc!C2506),"")</f>
        <v/>
      </c>
      <c r="C2506" s="17">
        <f>IF(Calc!$B2506,Calc!O2506,"")</f>
        <v/>
      </c>
    </row>
    <row r="2507">
      <c r="A2507" s="16">
        <f>IF(Calc!$B2507,Calc!E2507,"")</f>
        <v/>
      </c>
      <c r="B2507">
        <f>IF(Calc!$B2507,INDEX(MineNames,Calc!C2507),"")</f>
        <v/>
      </c>
      <c r="C2507" s="17">
        <f>IF(Calc!$B2507,Calc!O2507,"")</f>
        <v/>
      </c>
    </row>
    <row r="2508">
      <c r="A2508" s="16">
        <f>IF(Calc!$B2508,Calc!E2508,"")</f>
        <v/>
      </c>
      <c r="B2508">
        <f>IF(Calc!$B2508,INDEX(MineNames,Calc!C2508),"")</f>
        <v/>
      </c>
      <c r="C2508" s="17">
        <f>IF(Calc!$B2508,Calc!O2508,"")</f>
        <v/>
      </c>
    </row>
    <row r="2509">
      <c r="A2509" s="16">
        <f>IF(Calc!$B2509,Calc!E2509,"")</f>
        <v/>
      </c>
      <c r="B2509">
        <f>IF(Calc!$B2509,INDEX(MineNames,Calc!C2509),"")</f>
        <v/>
      </c>
      <c r="C2509" s="17">
        <f>IF(Calc!$B2509,Calc!O2509,"")</f>
        <v/>
      </c>
    </row>
    <row r="2510">
      <c r="A2510" s="16">
        <f>IF(Calc!$B2510,Calc!E2510,"")</f>
        <v/>
      </c>
      <c r="B2510">
        <f>IF(Calc!$B2510,INDEX(MineNames,Calc!C2510),"")</f>
        <v/>
      </c>
      <c r="C2510" s="17">
        <f>IF(Calc!$B2510,Calc!O2510,"")</f>
        <v/>
      </c>
    </row>
    <row r="2511">
      <c r="A2511" s="16">
        <f>IF(Calc!$B2511,Calc!E2511,"")</f>
        <v/>
      </c>
      <c r="B2511">
        <f>IF(Calc!$B2511,INDEX(MineNames,Calc!C2511),"")</f>
        <v/>
      </c>
      <c r="C2511" s="17">
        <f>IF(Calc!$B2511,Calc!O2511,"")</f>
        <v/>
      </c>
    </row>
    <row r="2512">
      <c r="A2512" s="16">
        <f>IF(Calc!$B2512,Calc!E2512,"")</f>
        <v/>
      </c>
      <c r="B2512">
        <f>IF(Calc!$B2512,INDEX(MineNames,Calc!C2512),"")</f>
        <v/>
      </c>
      <c r="C2512" s="17">
        <f>IF(Calc!$B2512,Calc!O2512,"")</f>
        <v/>
      </c>
    </row>
    <row r="2513">
      <c r="A2513" s="16">
        <f>IF(Calc!$B2513,Calc!E2513,"")</f>
        <v/>
      </c>
      <c r="B2513">
        <f>IF(Calc!$B2513,INDEX(MineNames,Calc!C2513),"")</f>
        <v/>
      </c>
      <c r="C2513" s="17">
        <f>IF(Calc!$B2513,Calc!O2513,"")</f>
        <v/>
      </c>
    </row>
    <row r="2514">
      <c r="A2514" s="16">
        <f>IF(Calc!$B2514,Calc!E2514,"")</f>
        <v/>
      </c>
      <c r="B2514">
        <f>IF(Calc!$B2514,INDEX(MineNames,Calc!C2514),"")</f>
        <v/>
      </c>
      <c r="C2514" s="17">
        <f>IF(Calc!$B2514,Calc!O2514,"")</f>
        <v/>
      </c>
    </row>
    <row r="2515">
      <c r="A2515" s="16">
        <f>IF(Calc!$B2515,Calc!E2515,"")</f>
        <v/>
      </c>
      <c r="B2515">
        <f>IF(Calc!$B2515,INDEX(MineNames,Calc!C2515),"")</f>
        <v/>
      </c>
      <c r="C2515" s="17">
        <f>IF(Calc!$B2515,Calc!O2515,"")</f>
        <v/>
      </c>
    </row>
    <row r="2516">
      <c r="A2516" s="16">
        <f>IF(Calc!$B2516,Calc!E2516,"")</f>
        <v/>
      </c>
      <c r="B2516">
        <f>IF(Calc!$B2516,INDEX(MineNames,Calc!C2516),"")</f>
        <v/>
      </c>
      <c r="C2516" s="17">
        <f>IF(Calc!$B2516,Calc!O2516,"")</f>
        <v/>
      </c>
    </row>
    <row r="2517">
      <c r="A2517" s="16">
        <f>IF(Calc!$B2517,Calc!E2517,"")</f>
        <v/>
      </c>
      <c r="B2517">
        <f>IF(Calc!$B2517,INDEX(MineNames,Calc!C2517),"")</f>
        <v/>
      </c>
      <c r="C2517" s="17">
        <f>IF(Calc!$B2517,Calc!O2517,"")</f>
        <v/>
      </c>
    </row>
    <row r="2518">
      <c r="A2518" s="16">
        <f>IF(Calc!$B2518,Calc!E2518,"")</f>
        <v/>
      </c>
      <c r="B2518">
        <f>IF(Calc!$B2518,INDEX(MineNames,Calc!C2518),"")</f>
        <v/>
      </c>
      <c r="C2518" s="17">
        <f>IF(Calc!$B2518,Calc!O2518,"")</f>
        <v/>
      </c>
    </row>
    <row r="2519">
      <c r="A2519" s="16">
        <f>IF(Calc!$B2519,Calc!E2519,"")</f>
        <v/>
      </c>
      <c r="B2519">
        <f>IF(Calc!$B2519,INDEX(MineNames,Calc!C2519),"")</f>
        <v/>
      </c>
      <c r="C2519" s="17">
        <f>IF(Calc!$B2519,Calc!O2519,"")</f>
        <v/>
      </c>
    </row>
    <row r="2520">
      <c r="A2520" s="16">
        <f>IF(Calc!$B2520,Calc!E2520,"")</f>
        <v/>
      </c>
      <c r="B2520">
        <f>IF(Calc!$B2520,INDEX(MineNames,Calc!C2520),"")</f>
        <v/>
      </c>
      <c r="C2520" s="17">
        <f>IF(Calc!$B2520,Calc!O2520,"")</f>
        <v/>
      </c>
    </row>
    <row r="2521">
      <c r="A2521" s="16">
        <f>IF(Calc!$B2521,Calc!E2521,"")</f>
        <v/>
      </c>
      <c r="B2521">
        <f>IF(Calc!$B2521,INDEX(MineNames,Calc!C2521),"")</f>
        <v/>
      </c>
      <c r="C2521" s="17">
        <f>IF(Calc!$B2521,Calc!O2521,"")</f>
        <v/>
      </c>
    </row>
    <row r="2522">
      <c r="A2522" s="16">
        <f>IF(Calc!$B2522,Calc!E2522,"")</f>
        <v/>
      </c>
      <c r="B2522">
        <f>IF(Calc!$B2522,INDEX(MineNames,Calc!C2522),"")</f>
        <v/>
      </c>
      <c r="C2522" s="17">
        <f>IF(Calc!$B2522,Calc!O2522,"")</f>
        <v/>
      </c>
    </row>
    <row r="2523">
      <c r="A2523" s="16">
        <f>IF(Calc!$B2523,Calc!E2523,"")</f>
        <v/>
      </c>
      <c r="B2523">
        <f>IF(Calc!$B2523,INDEX(MineNames,Calc!C2523),"")</f>
        <v/>
      </c>
      <c r="C2523" s="17">
        <f>IF(Calc!$B2523,Calc!O2523,"")</f>
        <v/>
      </c>
    </row>
    <row r="2524">
      <c r="A2524" s="16">
        <f>IF(Calc!$B2524,Calc!E2524,"")</f>
        <v/>
      </c>
      <c r="B2524">
        <f>IF(Calc!$B2524,INDEX(MineNames,Calc!C2524),"")</f>
        <v/>
      </c>
      <c r="C2524" s="17">
        <f>IF(Calc!$B2524,Calc!O2524,"")</f>
        <v/>
      </c>
    </row>
    <row r="2525">
      <c r="A2525" s="16">
        <f>IF(Calc!$B2525,Calc!E2525,"")</f>
        <v/>
      </c>
      <c r="B2525">
        <f>IF(Calc!$B2525,INDEX(MineNames,Calc!C2525),"")</f>
        <v/>
      </c>
      <c r="C2525" s="17">
        <f>IF(Calc!$B2525,Calc!O2525,"")</f>
        <v/>
      </c>
    </row>
    <row r="2526">
      <c r="A2526" s="16">
        <f>IF(Calc!$B2526,Calc!E2526,"")</f>
        <v/>
      </c>
      <c r="B2526">
        <f>IF(Calc!$B2526,INDEX(MineNames,Calc!C2526),"")</f>
        <v/>
      </c>
      <c r="C2526" s="17">
        <f>IF(Calc!$B2526,Calc!O2526,"")</f>
        <v/>
      </c>
    </row>
    <row r="2527">
      <c r="A2527" s="16">
        <f>IF(Calc!$B2527,Calc!E2527,"")</f>
        <v/>
      </c>
      <c r="B2527">
        <f>IF(Calc!$B2527,INDEX(MineNames,Calc!C2527),"")</f>
        <v/>
      </c>
      <c r="C2527" s="17">
        <f>IF(Calc!$B2527,Calc!O2527,"")</f>
        <v/>
      </c>
    </row>
    <row r="2528">
      <c r="A2528" s="16">
        <f>IF(Calc!$B2528,Calc!E2528,"")</f>
        <v/>
      </c>
      <c r="B2528">
        <f>IF(Calc!$B2528,INDEX(MineNames,Calc!C2528),"")</f>
        <v/>
      </c>
      <c r="C2528" s="17">
        <f>IF(Calc!$B2528,Calc!O2528,"")</f>
        <v/>
      </c>
    </row>
    <row r="2529">
      <c r="A2529" s="16">
        <f>IF(Calc!$B2529,Calc!E2529,"")</f>
        <v/>
      </c>
      <c r="B2529">
        <f>IF(Calc!$B2529,INDEX(MineNames,Calc!C2529),"")</f>
        <v/>
      </c>
      <c r="C2529" s="17">
        <f>IF(Calc!$B2529,Calc!O2529,"")</f>
        <v/>
      </c>
    </row>
    <row r="2530">
      <c r="A2530" s="16">
        <f>IF(Calc!$B2530,Calc!E2530,"")</f>
        <v/>
      </c>
      <c r="B2530">
        <f>IF(Calc!$B2530,INDEX(MineNames,Calc!C2530),"")</f>
        <v/>
      </c>
      <c r="C2530" s="17">
        <f>IF(Calc!$B2530,Calc!O2530,"")</f>
        <v/>
      </c>
    </row>
    <row r="2531">
      <c r="A2531" s="16">
        <f>IF(Calc!$B2531,Calc!E2531,"")</f>
        <v/>
      </c>
      <c r="B2531">
        <f>IF(Calc!$B2531,INDEX(MineNames,Calc!C2531),"")</f>
        <v/>
      </c>
      <c r="C2531" s="17">
        <f>IF(Calc!$B2531,Calc!O2531,"")</f>
        <v/>
      </c>
    </row>
    <row r="2532">
      <c r="A2532" s="16">
        <f>IF(Calc!$B2532,Calc!E2532,"")</f>
        <v/>
      </c>
      <c r="B2532">
        <f>IF(Calc!$B2532,INDEX(MineNames,Calc!C2532),"")</f>
        <v/>
      </c>
      <c r="C2532" s="17">
        <f>IF(Calc!$B2532,Calc!O2532,"")</f>
        <v/>
      </c>
    </row>
    <row r="2533">
      <c r="A2533" s="16">
        <f>IF(Calc!$B2533,Calc!E2533,"")</f>
        <v/>
      </c>
      <c r="B2533">
        <f>IF(Calc!$B2533,INDEX(MineNames,Calc!C2533),"")</f>
        <v/>
      </c>
      <c r="C2533" s="17">
        <f>IF(Calc!$B2533,Calc!O2533,"")</f>
        <v/>
      </c>
    </row>
    <row r="2534">
      <c r="A2534" s="16">
        <f>IF(Calc!$B2534,Calc!E2534,"")</f>
        <v/>
      </c>
      <c r="B2534">
        <f>IF(Calc!$B2534,INDEX(MineNames,Calc!C2534),"")</f>
        <v/>
      </c>
      <c r="C2534" s="17">
        <f>IF(Calc!$B2534,Calc!O2534,"")</f>
        <v/>
      </c>
    </row>
    <row r="2535">
      <c r="A2535" s="16">
        <f>IF(Calc!$B2535,Calc!E2535,"")</f>
        <v/>
      </c>
      <c r="B2535">
        <f>IF(Calc!$B2535,INDEX(MineNames,Calc!C2535),"")</f>
        <v/>
      </c>
      <c r="C2535" s="17">
        <f>IF(Calc!$B2535,Calc!O2535,"")</f>
        <v/>
      </c>
    </row>
    <row r="2536">
      <c r="A2536" s="16">
        <f>IF(Calc!$B2536,Calc!E2536,"")</f>
        <v/>
      </c>
      <c r="B2536">
        <f>IF(Calc!$B2536,INDEX(MineNames,Calc!C2536),"")</f>
        <v/>
      </c>
      <c r="C2536" s="17">
        <f>IF(Calc!$B2536,Calc!O2536,"")</f>
        <v/>
      </c>
    </row>
    <row r="2537">
      <c r="A2537" s="16">
        <f>IF(Calc!$B2537,Calc!E2537,"")</f>
        <v/>
      </c>
      <c r="B2537">
        <f>IF(Calc!$B2537,INDEX(MineNames,Calc!C2537),"")</f>
        <v/>
      </c>
      <c r="C2537" s="17">
        <f>IF(Calc!$B2537,Calc!O2537,"")</f>
        <v/>
      </c>
    </row>
    <row r="2538">
      <c r="A2538" s="16">
        <f>IF(Calc!$B2538,Calc!E2538,"")</f>
        <v/>
      </c>
      <c r="B2538">
        <f>IF(Calc!$B2538,INDEX(MineNames,Calc!C2538),"")</f>
        <v/>
      </c>
      <c r="C2538" s="17">
        <f>IF(Calc!$B2538,Calc!O2538,"")</f>
        <v/>
      </c>
    </row>
    <row r="2539">
      <c r="A2539" s="16">
        <f>IF(Calc!$B2539,Calc!E2539,"")</f>
        <v/>
      </c>
      <c r="B2539">
        <f>IF(Calc!$B2539,INDEX(MineNames,Calc!C2539),"")</f>
        <v/>
      </c>
      <c r="C2539" s="17">
        <f>IF(Calc!$B2539,Calc!O2539,"")</f>
        <v/>
      </c>
    </row>
    <row r="2540">
      <c r="A2540" s="16">
        <f>IF(Calc!$B2540,Calc!E2540,"")</f>
        <v/>
      </c>
      <c r="B2540">
        <f>IF(Calc!$B2540,INDEX(MineNames,Calc!C2540),"")</f>
        <v/>
      </c>
      <c r="C2540" s="17">
        <f>IF(Calc!$B2540,Calc!O2540,"")</f>
        <v/>
      </c>
    </row>
    <row r="2541">
      <c r="A2541" s="16">
        <f>IF(Calc!$B2541,Calc!E2541,"")</f>
        <v/>
      </c>
      <c r="B2541">
        <f>IF(Calc!$B2541,INDEX(MineNames,Calc!C2541),"")</f>
        <v/>
      </c>
      <c r="C2541" s="17">
        <f>IF(Calc!$B2541,Calc!O2541,"")</f>
        <v/>
      </c>
    </row>
    <row r="2542">
      <c r="A2542" s="16">
        <f>IF(Calc!$B2542,Calc!E2542,"")</f>
        <v/>
      </c>
      <c r="B2542">
        <f>IF(Calc!$B2542,INDEX(MineNames,Calc!C2542),"")</f>
        <v/>
      </c>
      <c r="C2542" s="17">
        <f>IF(Calc!$B2542,Calc!O2542,"")</f>
        <v/>
      </c>
    </row>
    <row r="2543">
      <c r="A2543" s="16">
        <f>IF(Calc!$B2543,Calc!E2543,"")</f>
        <v/>
      </c>
      <c r="B2543">
        <f>IF(Calc!$B2543,INDEX(MineNames,Calc!C2543),"")</f>
        <v/>
      </c>
      <c r="C2543" s="17">
        <f>IF(Calc!$B2543,Calc!O2543,"")</f>
        <v/>
      </c>
    </row>
    <row r="2544">
      <c r="A2544" s="16">
        <f>IF(Calc!$B2544,Calc!E2544,"")</f>
        <v/>
      </c>
      <c r="B2544">
        <f>IF(Calc!$B2544,INDEX(MineNames,Calc!C2544),"")</f>
        <v/>
      </c>
      <c r="C2544" s="17">
        <f>IF(Calc!$B2544,Calc!O2544,"")</f>
        <v/>
      </c>
    </row>
    <row r="2545">
      <c r="A2545" s="16">
        <f>IF(Calc!$B2545,Calc!E2545,"")</f>
        <v/>
      </c>
      <c r="B2545">
        <f>IF(Calc!$B2545,INDEX(MineNames,Calc!C2545),"")</f>
        <v/>
      </c>
      <c r="C2545" s="17">
        <f>IF(Calc!$B2545,Calc!O2545,"")</f>
        <v/>
      </c>
    </row>
    <row r="2546">
      <c r="A2546" s="16">
        <f>IF(Calc!$B2546,Calc!E2546,"")</f>
        <v/>
      </c>
      <c r="B2546">
        <f>IF(Calc!$B2546,INDEX(MineNames,Calc!C2546),"")</f>
        <v/>
      </c>
      <c r="C2546" s="17">
        <f>IF(Calc!$B2546,Calc!O2546,"")</f>
        <v/>
      </c>
    </row>
    <row r="2547">
      <c r="A2547" s="16">
        <f>IF(Calc!$B2547,Calc!E2547,"")</f>
        <v/>
      </c>
      <c r="B2547">
        <f>IF(Calc!$B2547,INDEX(MineNames,Calc!C2547),"")</f>
        <v/>
      </c>
      <c r="C2547" s="17">
        <f>IF(Calc!$B2547,Calc!O2547,"")</f>
        <v/>
      </c>
    </row>
    <row r="2548">
      <c r="A2548" s="16">
        <f>IF(Calc!$B2548,Calc!E2548,"")</f>
        <v/>
      </c>
      <c r="B2548">
        <f>IF(Calc!$B2548,INDEX(MineNames,Calc!C2548),"")</f>
        <v/>
      </c>
      <c r="C2548" s="17">
        <f>IF(Calc!$B2548,Calc!O2548,"")</f>
        <v/>
      </c>
    </row>
    <row r="2549">
      <c r="A2549" s="16">
        <f>IF(Calc!$B2549,Calc!E2549,"")</f>
        <v/>
      </c>
      <c r="B2549">
        <f>IF(Calc!$B2549,INDEX(MineNames,Calc!C2549),"")</f>
        <v/>
      </c>
      <c r="C2549" s="17">
        <f>IF(Calc!$B2549,Calc!O2549,"")</f>
        <v/>
      </c>
    </row>
    <row r="2550">
      <c r="A2550" s="16">
        <f>IF(Calc!$B2550,Calc!E2550,"")</f>
        <v/>
      </c>
      <c r="B2550">
        <f>IF(Calc!$B2550,INDEX(MineNames,Calc!C2550),"")</f>
        <v/>
      </c>
      <c r="C2550" s="17">
        <f>IF(Calc!$B2550,Calc!O2550,"")</f>
        <v/>
      </c>
    </row>
    <row r="2551">
      <c r="A2551" s="16">
        <f>IF(Calc!$B2551,Calc!E2551,"")</f>
        <v/>
      </c>
      <c r="B2551">
        <f>IF(Calc!$B2551,INDEX(MineNames,Calc!C2551),"")</f>
        <v/>
      </c>
      <c r="C2551" s="17">
        <f>IF(Calc!$B2551,Calc!O2551,"")</f>
        <v/>
      </c>
    </row>
    <row r="2552">
      <c r="A2552" s="16">
        <f>IF(Calc!$B2552,Calc!E2552,"")</f>
        <v/>
      </c>
      <c r="B2552">
        <f>IF(Calc!$B2552,INDEX(MineNames,Calc!C2552),"")</f>
        <v/>
      </c>
      <c r="C2552" s="17">
        <f>IF(Calc!$B2552,Calc!O2552,"")</f>
        <v/>
      </c>
    </row>
    <row r="2553">
      <c r="A2553" s="16">
        <f>IF(Calc!$B2553,Calc!E2553,"")</f>
        <v/>
      </c>
      <c r="B2553">
        <f>IF(Calc!$B2553,INDEX(MineNames,Calc!C2553),"")</f>
        <v/>
      </c>
      <c r="C2553" s="17">
        <f>IF(Calc!$B2553,Calc!O2553,"")</f>
        <v/>
      </c>
    </row>
    <row r="2554">
      <c r="A2554" s="16">
        <f>IF(Calc!$B2554,Calc!E2554,"")</f>
        <v/>
      </c>
      <c r="B2554">
        <f>IF(Calc!$B2554,INDEX(MineNames,Calc!C2554),"")</f>
        <v/>
      </c>
      <c r="C2554" s="17">
        <f>IF(Calc!$B2554,Calc!O2554,"")</f>
        <v/>
      </c>
    </row>
    <row r="2555">
      <c r="A2555" s="16">
        <f>IF(Calc!$B2555,Calc!E2555,"")</f>
        <v/>
      </c>
      <c r="B2555">
        <f>IF(Calc!$B2555,INDEX(MineNames,Calc!C2555),"")</f>
        <v/>
      </c>
      <c r="C2555" s="17">
        <f>IF(Calc!$B2555,Calc!O2555,"")</f>
        <v/>
      </c>
    </row>
    <row r="2556">
      <c r="A2556" s="16">
        <f>IF(Calc!$B2556,Calc!E2556,"")</f>
        <v/>
      </c>
      <c r="B2556">
        <f>IF(Calc!$B2556,INDEX(MineNames,Calc!C2556),"")</f>
        <v/>
      </c>
      <c r="C2556" s="17">
        <f>IF(Calc!$B2556,Calc!O2556,"")</f>
        <v/>
      </c>
    </row>
    <row r="2557">
      <c r="A2557" s="16">
        <f>IF(Calc!$B2557,Calc!E2557,"")</f>
        <v/>
      </c>
      <c r="B2557">
        <f>IF(Calc!$B2557,INDEX(MineNames,Calc!C2557),"")</f>
        <v/>
      </c>
      <c r="C2557" s="17">
        <f>IF(Calc!$B2557,Calc!O2557,"")</f>
        <v/>
      </c>
    </row>
    <row r="2558">
      <c r="A2558" s="16">
        <f>IF(Calc!$B2558,Calc!E2558,"")</f>
        <v/>
      </c>
      <c r="B2558">
        <f>IF(Calc!$B2558,INDEX(MineNames,Calc!C2558),"")</f>
        <v/>
      </c>
      <c r="C2558" s="17">
        <f>IF(Calc!$B2558,Calc!O2558,"")</f>
        <v/>
      </c>
    </row>
    <row r="2559">
      <c r="A2559" s="16">
        <f>IF(Calc!$B2559,Calc!E2559,"")</f>
        <v/>
      </c>
      <c r="B2559">
        <f>IF(Calc!$B2559,INDEX(MineNames,Calc!C2559),"")</f>
        <v/>
      </c>
      <c r="C2559" s="17">
        <f>IF(Calc!$B2559,Calc!O2559,"")</f>
        <v/>
      </c>
    </row>
    <row r="2560">
      <c r="A2560" s="16">
        <f>IF(Calc!$B2560,Calc!E2560,"")</f>
        <v/>
      </c>
      <c r="B2560">
        <f>IF(Calc!$B2560,INDEX(MineNames,Calc!C2560),"")</f>
        <v/>
      </c>
      <c r="C2560" s="17">
        <f>IF(Calc!$B2560,Calc!O2560,"")</f>
        <v/>
      </c>
    </row>
    <row r="2561">
      <c r="A2561" s="16">
        <f>IF(Calc!$B2561,Calc!E2561,"")</f>
        <v/>
      </c>
      <c r="B2561">
        <f>IF(Calc!$B2561,INDEX(MineNames,Calc!C2561),"")</f>
        <v/>
      </c>
      <c r="C2561" s="17">
        <f>IF(Calc!$B2561,Calc!O2561,"")</f>
        <v/>
      </c>
    </row>
    <row r="2562">
      <c r="A2562" s="16">
        <f>IF(Calc!$B2562,Calc!E2562,"")</f>
        <v/>
      </c>
      <c r="B2562">
        <f>IF(Calc!$B2562,INDEX(MineNames,Calc!C2562),"")</f>
        <v/>
      </c>
      <c r="C2562" s="17">
        <f>IF(Calc!$B2562,Calc!O2562,"")</f>
        <v/>
      </c>
    </row>
    <row r="2563">
      <c r="A2563" s="16">
        <f>IF(Calc!$B2563,Calc!E2563,"")</f>
        <v/>
      </c>
      <c r="B2563">
        <f>IF(Calc!$B2563,INDEX(MineNames,Calc!C2563),"")</f>
        <v/>
      </c>
      <c r="C2563" s="17">
        <f>IF(Calc!$B2563,Calc!O2563,"")</f>
        <v/>
      </c>
    </row>
    <row r="2564">
      <c r="A2564" s="16">
        <f>IF(Calc!$B2564,Calc!E2564,"")</f>
        <v/>
      </c>
      <c r="B2564">
        <f>IF(Calc!$B2564,INDEX(MineNames,Calc!C2564),"")</f>
        <v/>
      </c>
      <c r="C2564" s="17">
        <f>IF(Calc!$B2564,Calc!O2564,"")</f>
        <v/>
      </c>
    </row>
    <row r="2565">
      <c r="A2565" s="16">
        <f>IF(Calc!$B2565,Calc!E2565,"")</f>
        <v/>
      </c>
      <c r="B2565">
        <f>IF(Calc!$B2565,INDEX(MineNames,Calc!C2565),"")</f>
        <v/>
      </c>
      <c r="C2565" s="17">
        <f>IF(Calc!$B2565,Calc!O2565,"")</f>
        <v/>
      </c>
    </row>
    <row r="2566">
      <c r="A2566" s="16">
        <f>IF(Calc!$B2566,Calc!E2566,"")</f>
        <v/>
      </c>
      <c r="B2566">
        <f>IF(Calc!$B2566,INDEX(MineNames,Calc!C2566),"")</f>
        <v/>
      </c>
      <c r="C2566" s="17">
        <f>IF(Calc!$B2566,Calc!O2566,"")</f>
        <v/>
      </c>
    </row>
    <row r="2567">
      <c r="A2567" s="16">
        <f>IF(Calc!$B2567,Calc!E2567,"")</f>
        <v/>
      </c>
      <c r="B2567">
        <f>IF(Calc!$B2567,INDEX(MineNames,Calc!C2567),"")</f>
        <v/>
      </c>
      <c r="C2567" s="17">
        <f>IF(Calc!$B2567,Calc!O2567,"")</f>
        <v/>
      </c>
    </row>
    <row r="2568">
      <c r="A2568" s="16">
        <f>IF(Calc!$B2568,Calc!E2568,"")</f>
        <v/>
      </c>
      <c r="B2568">
        <f>IF(Calc!$B2568,INDEX(MineNames,Calc!C2568),"")</f>
        <v/>
      </c>
      <c r="C2568" s="17">
        <f>IF(Calc!$B2568,Calc!O2568,"")</f>
        <v/>
      </c>
    </row>
    <row r="2569">
      <c r="A2569" s="16">
        <f>IF(Calc!$B2569,Calc!E2569,"")</f>
        <v/>
      </c>
      <c r="B2569">
        <f>IF(Calc!$B2569,INDEX(MineNames,Calc!C2569),"")</f>
        <v/>
      </c>
      <c r="C2569" s="17">
        <f>IF(Calc!$B2569,Calc!O2569,"")</f>
        <v/>
      </c>
    </row>
    <row r="2570">
      <c r="A2570" s="16">
        <f>IF(Calc!$B2570,Calc!E2570,"")</f>
        <v/>
      </c>
      <c r="B2570">
        <f>IF(Calc!$B2570,INDEX(MineNames,Calc!C2570),"")</f>
        <v/>
      </c>
      <c r="C2570" s="17">
        <f>IF(Calc!$B2570,Calc!O2570,"")</f>
        <v/>
      </c>
    </row>
    <row r="2571">
      <c r="A2571" s="16">
        <f>IF(Calc!$B2571,Calc!E2571,"")</f>
        <v/>
      </c>
      <c r="B2571">
        <f>IF(Calc!$B2571,INDEX(MineNames,Calc!C2571),"")</f>
        <v/>
      </c>
      <c r="C2571" s="17">
        <f>IF(Calc!$B2571,Calc!O2571,"")</f>
        <v/>
      </c>
    </row>
    <row r="2572">
      <c r="A2572" s="16">
        <f>IF(Calc!$B2572,Calc!E2572,"")</f>
        <v/>
      </c>
      <c r="B2572">
        <f>IF(Calc!$B2572,INDEX(MineNames,Calc!C2572),"")</f>
        <v/>
      </c>
      <c r="C2572" s="17">
        <f>IF(Calc!$B2572,Calc!O2572,"")</f>
        <v/>
      </c>
    </row>
    <row r="2573">
      <c r="A2573" s="16">
        <f>IF(Calc!$B2573,Calc!E2573,"")</f>
        <v/>
      </c>
      <c r="B2573">
        <f>IF(Calc!$B2573,INDEX(MineNames,Calc!C2573),"")</f>
        <v/>
      </c>
      <c r="C2573" s="17">
        <f>IF(Calc!$B2573,Calc!O2573,"")</f>
        <v/>
      </c>
    </row>
    <row r="2574">
      <c r="A2574" s="16">
        <f>IF(Calc!$B2574,Calc!E2574,"")</f>
        <v/>
      </c>
      <c r="B2574">
        <f>IF(Calc!$B2574,INDEX(MineNames,Calc!C2574),"")</f>
        <v/>
      </c>
      <c r="C2574" s="17">
        <f>IF(Calc!$B2574,Calc!O2574,"")</f>
        <v/>
      </c>
    </row>
    <row r="2575">
      <c r="A2575" s="16">
        <f>IF(Calc!$B2575,Calc!E2575,"")</f>
        <v/>
      </c>
      <c r="B2575">
        <f>IF(Calc!$B2575,INDEX(MineNames,Calc!C2575),"")</f>
        <v/>
      </c>
      <c r="C2575" s="17">
        <f>IF(Calc!$B2575,Calc!O2575,"")</f>
        <v/>
      </c>
    </row>
    <row r="2576">
      <c r="A2576" s="16">
        <f>IF(Calc!$B2576,Calc!E2576,"")</f>
        <v/>
      </c>
      <c r="B2576">
        <f>IF(Calc!$B2576,INDEX(MineNames,Calc!C2576),"")</f>
        <v/>
      </c>
      <c r="C2576" s="17">
        <f>IF(Calc!$B2576,Calc!O2576,"")</f>
        <v/>
      </c>
    </row>
    <row r="2577">
      <c r="A2577" s="16">
        <f>IF(Calc!$B2577,Calc!E2577,"")</f>
        <v/>
      </c>
      <c r="B2577">
        <f>IF(Calc!$B2577,INDEX(MineNames,Calc!C2577),"")</f>
        <v/>
      </c>
      <c r="C2577" s="17">
        <f>IF(Calc!$B2577,Calc!O2577,"")</f>
        <v/>
      </c>
    </row>
    <row r="2578">
      <c r="A2578" s="16">
        <f>IF(Calc!$B2578,Calc!E2578,"")</f>
        <v/>
      </c>
      <c r="B2578">
        <f>IF(Calc!$B2578,INDEX(MineNames,Calc!C2578),"")</f>
        <v/>
      </c>
      <c r="C2578" s="17">
        <f>IF(Calc!$B2578,Calc!O2578,"")</f>
        <v/>
      </c>
    </row>
    <row r="2579">
      <c r="A2579" s="16">
        <f>IF(Calc!$B2579,Calc!E2579,"")</f>
        <v/>
      </c>
      <c r="B2579">
        <f>IF(Calc!$B2579,INDEX(MineNames,Calc!C2579),"")</f>
        <v/>
      </c>
      <c r="C2579" s="17">
        <f>IF(Calc!$B2579,Calc!O2579,"")</f>
        <v/>
      </c>
    </row>
    <row r="2580">
      <c r="A2580" s="16">
        <f>IF(Calc!$B2580,Calc!E2580,"")</f>
        <v/>
      </c>
      <c r="B2580">
        <f>IF(Calc!$B2580,INDEX(MineNames,Calc!C2580),"")</f>
        <v/>
      </c>
      <c r="C2580" s="17">
        <f>IF(Calc!$B2580,Calc!O2580,"")</f>
        <v/>
      </c>
    </row>
    <row r="2581">
      <c r="A2581" s="16">
        <f>IF(Calc!$B2581,Calc!E2581,"")</f>
        <v/>
      </c>
      <c r="B2581">
        <f>IF(Calc!$B2581,INDEX(MineNames,Calc!C2581),"")</f>
        <v/>
      </c>
      <c r="C2581" s="17">
        <f>IF(Calc!$B2581,Calc!O2581,"")</f>
        <v/>
      </c>
    </row>
    <row r="2582">
      <c r="A2582" s="16">
        <f>IF(Calc!$B2582,Calc!E2582,"")</f>
        <v/>
      </c>
      <c r="B2582">
        <f>IF(Calc!$B2582,INDEX(MineNames,Calc!C2582),"")</f>
        <v/>
      </c>
      <c r="C2582" s="17">
        <f>IF(Calc!$B2582,Calc!O2582,"")</f>
        <v/>
      </c>
    </row>
    <row r="2583">
      <c r="A2583" s="16">
        <f>IF(Calc!$B2583,Calc!E2583,"")</f>
        <v/>
      </c>
      <c r="B2583">
        <f>IF(Calc!$B2583,INDEX(MineNames,Calc!C2583),"")</f>
        <v/>
      </c>
      <c r="C2583" s="17">
        <f>IF(Calc!$B2583,Calc!O2583,"")</f>
        <v/>
      </c>
    </row>
    <row r="2584">
      <c r="A2584" s="16">
        <f>IF(Calc!$B2584,Calc!E2584,"")</f>
        <v/>
      </c>
      <c r="B2584">
        <f>IF(Calc!$B2584,INDEX(MineNames,Calc!C2584),"")</f>
        <v/>
      </c>
      <c r="C2584" s="17">
        <f>IF(Calc!$B2584,Calc!O2584,"")</f>
        <v/>
      </c>
    </row>
    <row r="2585">
      <c r="A2585" s="16">
        <f>IF(Calc!$B2585,Calc!E2585,"")</f>
        <v/>
      </c>
      <c r="B2585">
        <f>IF(Calc!$B2585,INDEX(MineNames,Calc!C2585),"")</f>
        <v/>
      </c>
      <c r="C2585" s="17">
        <f>IF(Calc!$B2585,Calc!O2585,"")</f>
        <v/>
      </c>
    </row>
    <row r="2586">
      <c r="A2586" s="16">
        <f>IF(Calc!$B2586,Calc!E2586,"")</f>
        <v/>
      </c>
      <c r="B2586">
        <f>IF(Calc!$B2586,INDEX(MineNames,Calc!C2586),"")</f>
        <v/>
      </c>
      <c r="C2586" s="17">
        <f>IF(Calc!$B2586,Calc!O2586,"")</f>
        <v/>
      </c>
    </row>
    <row r="2587">
      <c r="A2587" s="16">
        <f>IF(Calc!$B2587,Calc!E2587,"")</f>
        <v/>
      </c>
      <c r="B2587">
        <f>IF(Calc!$B2587,INDEX(MineNames,Calc!C2587),"")</f>
        <v/>
      </c>
      <c r="C2587" s="17">
        <f>IF(Calc!$B2587,Calc!O2587,"")</f>
        <v/>
      </c>
    </row>
    <row r="2588">
      <c r="A2588" s="16">
        <f>IF(Calc!$B2588,Calc!E2588,"")</f>
        <v/>
      </c>
      <c r="B2588">
        <f>IF(Calc!$B2588,INDEX(MineNames,Calc!C2588),"")</f>
        <v/>
      </c>
      <c r="C2588" s="17">
        <f>IF(Calc!$B2588,Calc!O2588,"")</f>
        <v/>
      </c>
    </row>
    <row r="2589">
      <c r="A2589" s="16">
        <f>IF(Calc!$B2589,Calc!E2589,"")</f>
        <v/>
      </c>
      <c r="B2589">
        <f>IF(Calc!$B2589,INDEX(MineNames,Calc!C2589),"")</f>
        <v/>
      </c>
      <c r="C2589" s="17">
        <f>IF(Calc!$B2589,Calc!O2589,"")</f>
        <v/>
      </c>
    </row>
    <row r="2590">
      <c r="A2590" s="16">
        <f>IF(Calc!$B2590,Calc!E2590,"")</f>
        <v/>
      </c>
      <c r="B2590">
        <f>IF(Calc!$B2590,INDEX(MineNames,Calc!C2590),"")</f>
        <v/>
      </c>
      <c r="C2590" s="17">
        <f>IF(Calc!$B2590,Calc!O2590,"")</f>
        <v/>
      </c>
    </row>
    <row r="2591">
      <c r="A2591" s="16">
        <f>IF(Calc!$B2591,Calc!E2591,"")</f>
        <v/>
      </c>
      <c r="B2591">
        <f>IF(Calc!$B2591,INDEX(MineNames,Calc!C2591),"")</f>
        <v/>
      </c>
      <c r="C2591" s="17">
        <f>IF(Calc!$B2591,Calc!O2591,"")</f>
        <v/>
      </c>
    </row>
    <row r="2592">
      <c r="A2592" s="16">
        <f>IF(Calc!$B2592,Calc!E2592,"")</f>
        <v/>
      </c>
      <c r="B2592">
        <f>IF(Calc!$B2592,INDEX(MineNames,Calc!C2592),"")</f>
        <v/>
      </c>
      <c r="C2592" s="17">
        <f>IF(Calc!$B2592,Calc!O2592,"")</f>
        <v/>
      </c>
    </row>
    <row r="2593">
      <c r="A2593" s="16">
        <f>IF(Calc!$B2593,Calc!E2593,"")</f>
        <v/>
      </c>
      <c r="B2593">
        <f>IF(Calc!$B2593,INDEX(MineNames,Calc!C2593),"")</f>
        <v/>
      </c>
      <c r="C2593" s="17">
        <f>IF(Calc!$B2593,Calc!O2593,"")</f>
        <v/>
      </c>
    </row>
    <row r="2594">
      <c r="A2594" s="16">
        <f>IF(Calc!$B2594,Calc!E2594,"")</f>
        <v/>
      </c>
      <c r="B2594">
        <f>IF(Calc!$B2594,INDEX(MineNames,Calc!C2594),"")</f>
        <v/>
      </c>
      <c r="C2594" s="17">
        <f>IF(Calc!$B2594,Calc!O2594,"")</f>
        <v/>
      </c>
    </row>
    <row r="2595">
      <c r="A2595" s="16">
        <f>IF(Calc!$B2595,Calc!E2595,"")</f>
        <v/>
      </c>
      <c r="B2595">
        <f>IF(Calc!$B2595,INDEX(MineNames,Calc!C2595),"")</f>
        <v/>
      </c>
      <c r="C2595" s="17">
        <f>IF(Calc!$B2595,Calc!O2595,"")</f>
        <v/>
      </c>
    </row>
    <row r="2596">
      <c r="A2596" s="16">
        <f>IF(Calc!$B2596,Calc!E2596,"")</f>
        <v/>
      </c>
      <c r="B2596">
        <f>IF(Calc!$B2596,INDEX(MineNames,Calc!C2596),"")</f>
        <v/>
      </c>
      <c r="C2596" s="17">
        <f>IF(Calc!$B2596,Calc!O2596,"")</f>
        <v/>
      </c>
    </row>
    <row r="2597">
      <c r="A2597" s="16">
        <f>IF(Calc!$B2597,Calc!E2597,"")</f>
        <v/>
      </c>
      <c r="B2597">
        <f>IF(Calc!$B2597,INDEX(MineNames,Calc!C2597),"")</f>
        <v/>
      </c>
      <c r="C2597" s="17">
        <f>IF(Calc!$B2597,Calc!O2597,"")</f>
        <v/>
      </c>
    </row>
    <row r="2598">
      <c r="A2598" s="16">
        <f>IF(Calc!$B2598,Calc!E2598,"")</f>
        <v/>
      </c>
      <c r="B2598">
        <f>IF(Calc!$B2598,INDEX(MineNames,Calc!C2598),"")</f>
        <v/>
      </c>
      <c r="C2598" s="17">
        <f>IF(Calc!$B2598,Calc!O2598,"")</f>
        <v/>
      </c>
    </row>
    <row r="2599">
      <c r="A2599" s="16">
        <f>IF(Calc!$B2599,Calc!E2599,"")</f>
        <v/>
      </c>
      <c r="B2599">
        <f>IF(Calc!$B2599,INDEX(MineNames,Calc!C2599),"")</f>
        <v/>
      </c>
      <c r="C2599" s="17">
        <f>IF(Calc!$B2599,Calc!O2599,"")</f>
        <v/>
      </c>
    </row>
    <row r="2600">
      <c r="A2600" s="16">
        <f>IF(Calc!$B2600,Calc!E2600,"")</f>
        <v/>
      </c>
      <c r="B2600">
        <f>IF(Calc!$B2600,INDEX(MineNames,Calc!C2600),"")</f>
        <v/>
      </c>
      <c r="C2600" s="17">
        <f>IF(Calc!$B2600,Calc!O2600,"")</f>
        <v/>
      </c>
    </row>
    <row r="2601">
      <c r="A2601" s="16">
        <f>IF(Calc!$B2601,Calc!E2601,"")</f>
        <v/>
      </c>
      <c r="B2601">
        <f>IF(Calc!$B2601,INDEX(MineNames,Calc!C2601),"")</f>
        <v/>
      </c>
      <c r="C2601" s="17">
        <f>IF(Calc!$B2601,Calc!O2601,"")</f>
        <v/>
      </c>
    </row>
    <row r="2602">
      <c r="A2602" s="16">
        <f>IF(Calc!$B2602,Calc!E2602,"")</f>
        <v/>
      </c>
      <c r="B2602">
        <f>IF(Calc!$B2602,INDEX(MineNames,Calc!C2602),"")</f>
        <v/>
      </c>
      <c r="C2602" s="17">
        <f>IF(Calc!$B2602,Calc!O2602,"")</f>
        <v/>
      </c>
    </row>
    <row r="2603">
      <c r="A2603" s="16">
        <f>IF(Calc!$B2603,Calc!E2603,"")</f>
        <v/>
      </c>
      <c r="B2603">
        <f>IF(Calc!$B2603,INDEX(MineNames,Calc!C2603),"")</f>
        <v/>
      </c>
      <c r="C2603" s="17">
        <f>IF(Calc!$B2603,Calc!O2603,"")</f>
        <v/>
      </c>
    </row>
    <row r="2604">
      <c r="A2604" s="16">
        <f>IF(Calc!$B2604,Calc!E2604,"")</f>
        <v/>
      </c>
      <c r="B2604">
        <f>IF(Calc!$B2604,INDEX(MineNames,Calc!C2604),"")</f>
        <v/>
      </c>
      <c r="C2604" s="17">
        <f>IF(Calc!$B2604,Calc!O2604,"")</f>
        <v/>
      </c>
    </row>
    <row r="2605">
      <c r="A2605" s="16">
        <f>IF(Calc!$B2605,Calc!E2605,"")</f>
        <v/>
      </c>
      <c r="B2605">
        <f>IF(Calc!$B2605,INDEX(MineNames,Calc!C2605),"")</f>
        <v/>
      </c>
      <c r="C2605" s="17">
        <f>IF(Calc!$B2605,Calc!O2605,"")</f>
        <v/>
      </c>
    </row>
    <row r="2606">
      <c r="A2606" s="16">
        <f>IF(Calc!$B2606,Calc!E2606,"")</f>
        <v/>
      </c>
      <c r="B2606">
        <f>IF(Calc!$B2606,INDEX(MineNames,Calc!C2606),"")</f>
        <v/>
      </c>
      <c r="C2606" s="17">
        <f>IF(Calc!$B2606,Calc!O2606,"")</f>
        <v/>
      </c>
    </row>
    <row r="2607">
      <c r="A2607" s="16">
        <f>IF(Calc!$B2607,Calc!E2607,"")</f>
        <v/>
      </c>
      <c r="B2607">
        <f>IF(Calc!$B2607,INDEX(MineNames,Calc!C2607),"")</f>
        <v/>
      </c>
      <c r="C2607" s="17">
        <f>IF(Calc!$B2607,Calc!O2607,"")</f>
        <v/>
      </c>
    </row>
    <row r="2608">
      <c r="A2608" s="16">
        <f>IF(Calc!$B2608,Calc!E2608,"")</f>
        <v/>
      </c>
      <c r="B2608">
        <f>IF(Calc!$B2608,INDEX(MineNames,Calc!C2608),"")</f>
        <v/>
      </c>
      <c r="C2608" s="17">
        <f>IF(Calc!$B2608,Calc!O2608,"")</f>
        <v/>
      </c>
    </row>
    <row r="2609">
      <c r="A2609" s="16">
        <f>IF(Calc!$B2609,Calc!E2609,"")</f>
        <v/>
      </c>
      <c r="B2609">
        <f>IF(Calc!$B2609,INDEX(MineNames,Calc!C2609),"")</f>
        <v/>
      </c>
      <c r="C2609" s="17">
        <f>IF(Calc!$B2609,Calc!O2609,"")</f>
        <v/>
      </c>
    </row>
    <row r="2610">
      <c r="A2610" s="16">
        <f>IF(Calc!$B2610,Calc!E2610,"")</f>
        <v/>
      </c>
      <c r="B2610">
        <f>IF(Calc!$B2610,INDEX(MineNames,Calc!C2610),"")</f>
        <v/>
      </c>
      <c r="C2610" s="17">
        <f>IF(Calc!$B2610,Calc!O2610,"")</f>
        <v/>
      </c>
    </row>
    <row r="2611">
      <c r="A2611" s="16">
        <f>IF(Calc!$B2611,Calc!E2611,"")</f>
        <v/>
      </c>
      <c r="B2611">
        <f>IF(Calc!$B2611,INDEX(MineNames,Calc!C2611),"")</f>
        <v/>
      </c>
      <c r="C2611" s="17">
        <f>IF(Calc!$B2611,Calc!O2611,"")</f>
        <v/>
      </c>
    </row>
    <row r="2612">
      <c r="A2612" s="16">
        <f>IF(Calc!$B2612,Calc!E2612,"")</f>
        <v/>
      </c>
      <c r="B2612">
        <f>IF(Calc!$B2612,INDEX(MineNames,Calc!C2612),"")</f>
        <v/>
      </c>
      <c r="C2612" s="17">
        <f>IF(Calc!$B2612,Calc!O2612,"")</f>
        <v/>
      </c>
    </row>
    <row r="2613">
      <c r="A2613" s="16">
        <f>IF(Calc!$B2613,Calc!E2613,"")</f>
        <v/>
      </c>
      <c r="B2613">
        <f>IF(Calc!$B2613,INDEX(MineNames,Calc!C2613),"")</f>
        <v/>
      </c>
      <c r="C2613" s="17">
        <f>IF(Calc!$B2613,Calc!O2613,"")</f>
        <v/>
      </c>
    </row>
    <row r="2614">
      <c r="A2614" s="16">
        <f>IF(Calc!$B2614,Calc!E2614,"")</f>
        <v/>
      </c>
      <c r="B2614">
        <f>IF(Calc!$B2614,INDEX(MineNames,Calc!C2614),"")</f>
        <v/>
      </c>
      <c r="C2614" s="17">
        <f>IF(Calc!$B2614,Calc!O2614,"")</f>
        <v/>
      </c>
    </row>
    <row r="2615">
      <c r="A2615" s="16">
        <f>IF(Calc!$B2615,Calc!E2615,"")</f>
        <v/>
      </c>
      <c r="B2615">
        <f>IF(Calc!$B2615,INDEX(MineNames,Calc!C2615),"")</f>
        <v/>
      </c>
      <c r="C2615" s="17">
        <f>IF(Calc!$B2615,Calc!O2615,"")</f>
        <v/>
      </c>
    </row>
    <row r="2616">
      <c r="A2616" s="16">
        <f>IF(Calc!$B2616,Calc!E2616,"")</f>
        <v/>
      </c>
      <c r="B2616">
        <f>IF(Calc!$B2616,INDEX(MineNames,Calc!C2616),"")</f>
        <v/>
      </c>
      <c r="C2616" s="17">
        <f>IF(Calc!$B2616,Calc!O2616,"")</f>
        <v/>
      </c>
    </row>
    <row r="2617">
      <c r="A2617" s="16">
        <f>IF(Calc!$B2617,Calc!E2617,"")</f>
        <v/>
      </c>
      <c r="B2617">
        <f>IF(Calc!$B2617,INDEX(MineNames,Calc!C2617),"")</f>
        <v/>
      </c>
      <c r="C2617" s="17">
        <f>IF(Calc!$B2617,Calc!O2617,"")</f>
        <v/>
      </c>
    </row>
    <row r="2618">
      <c r="A2618" s="16">
        <f>IF(Calc!$B2618,Calc!E2618,"")</f>
        <v/>
      </c>
      <c r="B2618">
        <f>IF(Calc!$B2618,INDEX(MineNames,Calc!C2618),"")</f>
        <v/>
      </c>
      <c r="C2618" s="17">
        <f>IF(Calc!$B2618,Calc!O2618,"")</f>
        <v/>
      </c>
    </row>
    <row r="2619">
      <c r="A2619" s="16">
        <f>IF(Calc!$B2619,Calc!E2619,"")</f>
        <v/>
      </c>
      <c r="B2619">
        <f>IF(Calc!$B2619,INDEX(MineNames,Calc!C2619),"")</f>
        <v/>
      </c>
      <c r="C2619" s="17">
        <f>IF(Calc!$B2619,Calc!O2619,"")</f>
        <v/>
      </c>
    </row>
    <row r="2620">
      <c r="A2620" s="16">
        <f>IF(Calc!$B2620,Calc!E2620,"")</f>
        <v/>
      </c>
      <c r="B2620">
        <f>IF(Calc!$B2620,INDEX(MineNames,Calc!C2620),"")</f>
        <v/>
      </c>
      <c r="C2620" s="17">
        <f>IF(Calc!$B2620,Calc!O2620,"")</f>
        <v/>
      </c>
    </row>
    <row r="2621">
      <c r="A2621" s="16">
        <f>IF(Calc!$B2621,Calc!E2621,"")</f>
        <v/>
      </c>
      <c r="B2621">
        <f>IF(Calc!$B2621,INDEX(MineNames,Calc!C2621),"")</f>
        <v/>
      </c>
      <c r="C2621" s="17">
        <f>IF(Calc!$B2621,Calc!O2621,"")</f>
        <v/>
      </c>
    </row>
    <row r="2622">
      <c r="A2622" s="16">
        <f>IF(Calc!$B2622,Calc!E2622,"")</f>
        <v/>
      </c>
      <c r="B2622">
        <f>IF(Calc!$B2622,INDEX(MineNames,Calc!C2622),"")</f>
        <v/>
      </c>
      <c r="C2622" s="17">
        <f>IF(Calc!$B2622,Calc!O2622,"")</f>
        <v/>
      </c>
    </row>
    <row r="2623">
      <c r="A2623" s="16">
        <f>IF(Calc!$B2623,Calc!E2623,"")</f>
        <v/>
      </c>
      <c r="B2623">
        <f>IF(Calc!$B2623,INDEX(MineNames,Calc!C2623),"")</f>
        <v/>
      </c>
      <c r="C2623" s="17">
        <f>IF(Calc!$B2623,Calc!O2623,"")</f>
        <v/>
      </c>
    </row>
    <row r="2624">
      <c r="A2624" s="16">
        <f>IF(Calc!$B2624,Calc!E2624,"")</f>
        <v/>
      </c>
      <c r="B2624">
        <f>IF(Calc!$B2624,INDEX(MineNames,Calc!C2624),"")</f>
        <v/>
      </c>
      <c r="C2624" s="17">
        <f>IF(Calc!$B2624,Calc!O2624,"")</f>
        <v/>
      </c>
    </row>
    <row r="2625">
      <c r="A2625" s="16">
        <f>IF(Calc!$B2625,Calc!E2625,"")</f>
        <v/>
      </c>
      <c r="B2625">
        <f>IF(Calc!$B2625,INDEX(MineNames,Calc!C2625),"")</f>
        <v/>
      </c>
      <c r="C2625" s="17">
        <f>IF(Calc!$B2625,Calc!O2625,"")</f>
        <v/>
      </c>
    </row>
    <row r="2626">
      <c r="A2626" s="16">
        <f>IF(Calc!$B2626,Calc!E2626,"")</f>
        <v/>
      </c>
      <c r="B2626">
        <f>IF(Calc!$B2626,INDEX(MineNames,Calc!C2626),"")</f>
        <v/>
      </c>
      <c r="C2626" s="17">
        <f>IF(Calc!$B2626,Calc!O2626,"")</f>
        <v/>
      </c>
    </row>
    <row r="2627">
      <c r="A2627" s="16">
        <f>IF(Calc!$B2627,Calc!E2627,"")</f>
        <v/>
      </c>
      <c r="B2627">
        <f>IF(Calc!$B2627,INDEX(MineNames,Calc!C2627),"")</f>
        <v/>
      </c>
      <c r="C2627" s="17">
        <f>IF(Calc!$B2627,Calc!O2627,"")</f>
        <v/>
      </c>
    </row>
    <row r="2628">
      <c r="A2628" s="16">
        <f>IF(Calc!$B2628,Calc!E2628,"")</f>
        <v/>
      </c>
      <c r="B2628">
        <f>IF(Calc!$B2628,INDEX(MineNames,Calc!C2628),"")</f>
        <v/>
      </c>
      <c r="C2628" s="17">
        <f>IF(Calc!$B2628,Calc!O2628,"")</f>
        <v/>
      </c>
    </row>
    <row r="2629">
      <c r="A2629" s="16">
        <f>IF(Calc!$B2629,Calc!E2629,"")</f>
        <v/>
      </c>
      <c r="B2629">
        <f>IF(Calc!$B2629,INDEX(MineNames,Calc!C2629),"")</f>
        <v/>
      </c>
      <c r="C2629" s="17">
        <f>IF(Calc!$B2629,Calc!O2629,"")</f>
        <v/>
      </c>
    </row>
    <row r="2630">
      <c r="A2630" s="16">
        <f>IF(Calc!$B2630,Calc!E2630,"")</f>
        <v/>
      </c>
      <c r="B2630">
        <f>IF(Calc!$B2630,INDEX(MineNames,Calc!C2630),"")</f>
        <v/>
      </c>
      <c r="C2630" s="17">
        <f>IF(Calc!$B2630,Calc!O2630,"")</f>
        <v/>
      </c>
    </row>
    <row r="2631">
      <c r="A2631" s="16">
        <f>IF(Calc!$B2631,Calc!E2631,"")</f>
        <v/>
      </c>
      <c r="B2631">
        <f>IF(Calc!$B2631,INDEX(MineNames,Calc!C2631),"")</f>
        <v/>
      </c>
      <c r="C2631" s="17">
        <f>IF(Calc!$B2631,Calc!O2631,"")</f>
        <v/>
      </c>
    </row>
    <row r="2632">
      <c r="A2632" s="16">
        <f>IF(Calc!$B2632,Calc!E2632,"")</f>
        <v/>
      </c>
      <c r="B2632">
        <f>IF(Calc!$B2632,INDEX(MineNames,Calc!C2632),"")</f>
        <v/>
      </c>
      <c r="C2632" s="17">
        <f>IF(Calc!$B2632,Calc!O2632,"")</f>
        <v/>
      </c>
    </row>
    <row r="2633">
      <c r="A2633" s="16">
        <f>IF(Calc!$B2633,Calc!E2633,"")</f>
        <v/>
      </c>
      <c r="B2633">
        <f>IF(Calc!$B2633,INDEX(MineNames,Calc!C2633),"")</f>
        <v/>
      </c>
      <c r="C2633" s="17">
        <f>IF(Calc!$B2633,Calc!O2633,"")</f>
        <v/>
      </c>
    </row>
    <row r="2634">
      <c r="A2634" s="16">
        <f>IF(Calc!$B2634,Calc!E2634,"")</f>
        <v/>
      </c>
      <c r="B2634">
        <f>IF(Calc!$B2634,INDEX(MineNames,Calc!C2634),"")</f>
        <v/>
      </c>
      <c r="C2634" s="17">
        <f>IF(Calc!$B2634,Calc!O2634,"")</f>
        <v/>
      </c>
    </row>
    <row r="2635">
      <c r="A2635" s="16">
        <f>IF(Calc!$B2635,Calc!E2635,"")</f>
        <v/>
      </c>
      <c r="B2635">
        <f>IF(Calc!$B2635,INDEX(MineNames,Calc!C2635),"")</f>
        <v/>
      </c>
      <c r="C2635" s="17">
        <f>IF(Calc!$B2635,Calc!O2635,"")</f>
        <v/>
      </c>
    </row>
    <row r="2636">
      <c r="A2636" s="16">
        <f>IF(Calc!$B2636,Calc!E2636,"")</f>
        <v/>
      </c>
      <c r="B2636">
        <f>IF(Calc!$B2636,INDEX(MineNames,Calc!C2636),"")</f>
        <v/>
      </c>
      <c r="C2636" s="17">
        <f>IF(Calc!$B2636,Calc!O2636,"")</f>
        <v/>
      </c>
    </row>
    <row r="2637">
      <c r="A2637" s="16">
        <f>IF(Calc!$B2637,Calc!E2637,"")</f>
        <v/>
      </c>
      <c r="B2637">
        <f>IF(Calc!$B2637,INDEX(MineNames,Calc!C2637),"")</f>
        <v/>
      </c>
      <c r="C2637" s="17">
        <f>IF(Calc!$B2637,Calc!O2637,"")</f>
        <v/>
      </c>
    </row>
    <row r="2638">
      <c r="A2638" s="16">
        <f>IF(Calc!$B2638,Calc!E2638,"")</f>
        <v/>
      </c>
      <c r="B2638">
        <f>IF(Calc!$B2638,INDEX(MineNames,Calc!C2638),"")</f>
        <v/>
      </c>
      <c r="C2638" s="17">
        <f>IF(Calc!$B2638,Calc!O2638,"")</f>
        <v/>
      </c>
    </row>
    <row r="2639">
      <c r="A2639" s="16">
        <f>IF(Calc!$B2639,Calc!E2639,"")</f>
        <v/>
      </c>
      <c r="B2639">
        <f>IF(Calc!$B2639,INDEX(MineNames,Calc!C2639),"")</f>
        <v/>
      </c>
      <c r="C2639" s="17">
        <f>IF(Calc!$B2639,Calc!O2639,"")</f>
        <v/>
      </c>
    </row>
    <row r="2640">
      <c r="A2640" s="16">
        <f>IF(Calc!$B2640,Calc!E2640,"")</f>
        <v/>
      </c>
      <c r="B2640">
        <f>IF(Calc!$B2640,INDEX(MineNames,Calc!C2640),"")</f>
        <v/>
      </c>
      <c r="C2640" s="17">
        <f>IF(Calc!$B2640,Calc!O2640,"")</f>
        <v/>
      </c>
    </row>
    <row r="2641">
      <c r="A2641" s="16">
        <f>IF(Calc!$B2641,Calc!E2641,"")</f>
        <v/>
      </c>
      <c r="B2641">
        <f>IF(Calc!$B2641,INDEX(MineNames,Calc!C2641),"")</f>
        <v/>
      </c>
      <c r="C2641" s="17">
        <f>IF(Calc!$B2641,Calc!O2641,"")</f>
        <v/>
      </c>
    </row>
    <row r="2642">
      <c r="A2642" s="16">
        <f>IF(Calc!$B2642,Calc!E2642,"")</f>
        <v/>
      </c>
      <c r="B2642">
        <f>IF(Calc!$B2642,INDEX(MineNames,Calc!C2642),"")</f>
        <v/>
      </c>
      <c r="C2642" s="17">
        <f>IF(Calc!$B2642,Calc!O2642,"")</f>
        <v/>
      </c>
    </row>
    <row r="2643">
      <c r="A2643" s="16">
        <f>IF(Calc!$B2643,Calc!E2643,"")</f>
        <v/>
      </c>
      <c r="B2643">
        <f>IF(Calc!$B2643,INDEX(MineNames,Calc!C2643),"")</f>
        <v/>
      </c>
      <c r="C2643" s="17">
        <f>IF(Calc!$B2643,Calc!O2643,"")</f>
        <v/>
      </c>
    </row>
    <row r="2644">
      <c r="A2644" s="16">
        <f>IF(Calc!$B2644,Calc!E2644,"")</f>
        <v/>
      </c>
      <c r="B2644">
        <f>IF(Calc!$B2644,INDEX(MineNames,Calc!C2644),"")</f>
        <v/>
      </c>
      <c r="C2644" s="17">
        <f>IF(Calc!$B2644,Calc!O2644,"")</f>
        <v/>
      </c>
    </row>
    <row r="2645">
      <c r="A2645" s="16">
        <f>IF(Calc!$B2645,Calc!E2645,"")</f>
        <v/>
      </c>
      <c r="B2645">
        <f>IF(Calc!$B2645,INDEX(MineNames,Calc!C2645),"")</f>
        <v/>
      </c>
      <c r="C2645" s="17">
        <f>IF(Calc!$B2645,Calc!O2645,"")</f>
        <v/>
      </c>
    </row>
    <row r="2646">
      <c r="A2646" s="16">
        <f>IF(Calc!$B2646,Calc!E2646,"")</f>
        <v/>
      </c>
      <c r="B2646">
        <f>IF(Calc!$B2646,INDEX(MineNames,Calc!C2646),"")</f>
        <v/>
      </c>
      <c r="C2646" s="17">
        <f>IF(Calc!$B2646,Calc!O2646,"")</f>
        <v/>
      </c>
    </row>
    <row r="2647">
      <c r="A2647" s="16">
        <f>IF(Calc!$B2647,Calc!E2647,"")</f>
        <v/>
      </c>
      <c r="B2647">
        <f>IF(Calc!$B2647,INDEX(MineNames,Calc!C2647),"")</f>
        <v/>
      </c>
      <c r="C2647" s="17">
        <f>IF(Calc!$B2647,Calc!O2647,"")</f>
        <v/>
      </c>
    </row>
    <row r="2648">
      <c r="A2648" s="16">
        <f>IF(Calc!$B2648,Calc!E2648,"")</f>
        <v/>
      </c>
      <c r="B2648">
        <f>IF(Calc!$B2648,INDEX(MineNames,Calc!C2648),"")</f>
        <v/>
      </c>
      <c r="C2648" s="17">
        <f>IF(Calc!$B2648,Calc!O2648,"")</f>
        <v/>
      </c>
    </row>
    <row r="2649">
      <c r="A2649" s="16">
        <f>IF(Calc!$B2649,Calc!E2649,"")</f>
        <v/>
      </c>
      <c r="B2649">
        <f>IF(Calc!$B2649,INDEX(MineNames,Calc!C2649),"")</f>
        <v/>
      </c>
      <c r="C2649" s="17">
        <f>IF(Calc!$B2649,Calc!O2649,"")</f>
        <v/>
      </c>
    </row>
    <row r="2650">
      <c r="A2650" s="16">
        <f>IF(Calc!$B2650,Calc!E2650,"")</f>
        <v/>
      </c>
      <c r="B2650">
        <f>IF(Calc!$B2650,INDEX(MineNames,Calc!C2650),"")</f>
        <v/>
      </c>
      <c r="C2650" s="17">
        <f>IF(Calc!$B2650,Calc!O2650,"")</f>
        <v/>
      </c>
    </row>
    <row r="2651">
      <c r="A2651" s="16">
        <f>IF(Calc!$B2651,Calc!E2651,"")</f>
        <v/>
      </c>
      <c r="B2651">
        <f>IF(Calc!$B2651,INDEX(MineNames,Calc!C2651),"")</f>
        <v/>
      </c>
      <c r="C2651" s="17">
        <f>IF(Calc!$B2651,Calc!O2651,"")</f>
        <v/>
      </c>
    </row>
    <row r="2652">
      <c r="A2652" s="16">
        <f>IF(Calc!$B2652,Calc!E2652,"")</f>
        <v/>
      </c>
      <c r="B2652">
        <f>IF(Calc!$B2652,INDEX(MineNames,Calc!C2652),"")</f>
        <v/>
      </c>
      <c r="C2652" s="17">
        <f>IF(Calc!$B2652,Calc!O2652,"")</f>
        <v/>
      </c>
    </row>
    <row r="2653">
      <c r="A2653" s="16">
        <f>IF(Calc!$B2653,Calc!E2653,"")</f>
        <v/>
      </c>
      <c r="B2653">
        <f>IF(Calc!$B2653,INDEX(MineNames,Calc!C2653),"")</f>
        <v/>
      </c>
      <c r="C2653" s="17">
        <f>IF(Calc!$B2653,Calc!O2653,"")</f>
        <v/>
      </c>
    </row>
    <row r="2654">
      <c r="A2654" s="16">
        <f>IF(Calc!$B2654,Calc!E2654,"")</f>
        <v/>
      </c>
      <c r="B2654">
        <f>IF(Calc!$B2654,INDEX(MineNames,Calc!C2654),"")</f>
        <v/>
      </c>
      <c r="C2654" s="17">
        <f>IF(Calc!$B2654,Calc!O2654,"")</f>
        <v/>
      </c>
    </row>
    <row r="2655">
      <c r="A2655" s="16">
        <f>IF(Calc!$B2655,Calc!E2655,"")</f>
        <v/>
      </c>
      <c r="B2655">
        <f>IF(Calc!$B2655,INDEX(MineNames,Calc!C2655),"")</f>
        <v/>
      </c>
      <c r="C2655" s="17">
        <f>IF(Calc!$B2655,Calc!O2655,"")</f>
        <v/>
      </c>
    </row>
    <row r="2656">
      <c r="A2656" s="16">
        <f>IF(Calc!$B2656,Calc!E2656,"")</f>
        <v/>
      </c>
      <c r="B2656">
        <f>IF(Calc!$B2656,INDEX(MineNames,Calc!C2656),"")</f>
        <v/>
      </c>
      <c r="C2656" s="17">
        <f>IF(Calc!$B2656,Calc!O2656,"")</f>
        <v/>
      </c>
    </row>
    <row r="2657">
      <c r="A2657" s="16">
        <f>IF(Calc!$B2657,Calc!E2657,"")</f>
        <v/>
      </c>
      <c r="B2657">
        <f>IF(Calc!$B2657,INDEX(MineNames,Calc!C2657),"")</f>
        <v/>
      </c>
      <c r="C2657" s="17">
        <f>IF(Calc!$B2657,Calc!O2657,"")</f>
        <v/>
      </c>
    </row>
    <row r="2658">
      <c r="A2658" s="16">
        <f>IF(Calc!$B2658,Calc!E2658,"")</f>
        <v/>
      </c>
      <c r="B2658">
        <f>IF(Calc!$B2658,INDEX(MineNames,Calc!C2658),"")</f>
        <v/>
      </c>
      <c r="C2658" s="17">
        <f>IF(Calc!$B2658,Calc!O2658,"")</f>
        <v/>
      </c>
    </row>
    <row r="2659">
      <c r="A2659" s="16">
        <f>IF(Calc!$B2659,Calc!E2659,"")</f>
        <v/>
      </c>
      <c r="B2659">
        <f>IF(Calc!$B2659,INDEX(MineNames,Calc!C2659),"")</f>
        <v/>
      </c>
      <c r="C2659" s="17">
        <f>IF(Calc!$B2659,Calc!O2659,"")</f>
        <v/>
      </c>
    </row>
    <row r="2660">
      <c r="A2660" s="16">
        <f>IF(Calc!$B2660,Calc!E2660,"")</f>
        <v/>
      </c>
      <c r="B2660">
        <f>IF(Calc!$B2660,INDEX(MineNames,Calc!C2660),"")</f>
        <v/>
      </c>
      <c r="C2660" s="17">
        <f>IF(Calc!$B2660,Calc!O2660,"")</f>
        <v/>
      </c>
    </row>
    <row r="2661">
      <c r="A2661" s="16">
        <f>IF(Calc!$B2661,Calc!E2661,"")</f>
        <v/>
      </c>
      <c r="B2661">
        <f>IF(Calc!$B2661,INDEX(MineNames,Calc!C2661),"")</f>
        <v/>
      </c>
      <c r="C2661" s="17">
        <f>IF(Calc!$B2661,Calc!O2661,"")</f>
        <v/>
      </c>
    </row>
    <row r="2662">
      <c r="A2662" s="16">
        <f>IF(Calc!$B2662,Calc!E2662,"")</f>
        <v/>
      </c>
      <c r="B2662">
        <f>IF(Calc!$B2662,INDEX(MineNames,Calc!C2662),"")</f>
        <v/>
      </c>
      <c r="C2662" s="17">
        <f>IF(Calc!$B2662,Calc!O2662,"")</f>
        <v/>
      </c>
    </row>
    <row r="2663">
      <c r="A2663" s="16">
        <f>IF(Calc!$B2663,Calc!E2663,"")</f>
        <v/>
      </c>
      <c r="B2663">
        <f>IF(Calc!$B2663,INDEX(MineNames,Calc!C2663),"")</f>
        <v/>
      </c>
      <c r="C2663" s="17">
        <f>IF(Calc!$B2663,Calc!O2663,"")</f>
        <v/>
      </c>
    </row>
    <row r="2664">
      <c r="A2664" s="16">
        <f>IF(Calc!$B2664,Calc!E2664,"")</f>
        <v/>
      </c>
      <c r="B2664">
        <f>IF(Calc!$B2664,INDEX(MineNames,Calc!C2664),"")</f>
        <v/>
      </c>
      <c r="C2664" s="17">
        <f>IF(Calc!$B2664,Calc!O2664,"")</f>
        <v/>
      </c>
    </row>
    <row r="2665">
      <c r="A2665" s="16">
        <f>IF(Calc!$B2665,Calc!E2665,"")</f>
        <v/>
      </c>
      <c r="B2665">
        <f>IF(Calc!$B2665,INDEX(MineNames,Calc!C2665),"")</f>
        <v/>
      </c>
      <c r="C2665" s="17">
        <f>IF(Calc!$B2665,Calc!O2665,"")</f>
        <v/>
      </c>
    </row>
    <row r="2666">
      <c r="A2666" s="16">
        <f>IF(Calc!$B2666,Calc!E2666,"")</f>
        <v/>
      </c>
      <c r="B2666">
        <f>IF(Calc!$B2666,INDEX(MineNames,Calc!C2666),"")</f>
        <v/>
      </c>
      <c r="C2666" s="17">
        <f>IF(Calc!$B2666,Calc!O2666,"")</f>
        <v/>
      </c>
    </row>
    <row r="2667">
      <c r="A2667" s="16">
        <f>IF(Calc!$B2667,Calc!E2667,"")</f>
        <v/>
      </c>
      <c r="B2667">
        <f>IF(Calc!$B2667,INDEX(MineNames,Calc!C2667),"")</f>
        <v/>
      </c>
      <c r="C2667" s="17">
        <f>IF(Calc!$B2667,Calc!O2667,"")</f>
        <v/>
      </c>
    </row>
    <row r="2668">
      <c r="A2668" s="16">
        <f>IF(Calc!$B2668,Calc!E2668,"")</f>
        <v/>
      </c>
      <c r="B2668">
        <f>IF(Calc!$B2668,INDEX(MineNames,Calc!C2668),"")</f>
        <v/>
      </c>
      <c r="C2668" s="17">
        <f>IF(Calc!$B2668,Calc!O2668,"")</f>
        <v/>
      </c>
    </row>
    <row r="2669">
      <c r="A2669" s="16">
        <f>IF(Calc!$B2669,Calc!E2669,"")</f>
        <v/>
      </c>
      <c r="B2669">
        <f>IF(Calc!$B2669,INDEX(MineNames,Calc!C2669),"")</f>
        <v/>
      </c>
      <c r="C2669" s="17">
        <f>IF(Calc!$B2669,Calc!O2669,"")</f>
        <v/>
      </c>
    </row>
    <row r="2670">
      <c r="A2670" s="16">
        <f>IF(Calc!$B2670,Calc!E2670,"")</f>
        <v/>
      </c>
      <c r="B2670">
        <f>IF(Calc!$B2670,INDEX(MineNames,Calc!C2670),"")</f>
        <v/>
      </c>
      <c r="C2670" s="17">
        <f>IF(Calc!$B2670,Calc!O2670,"")</f>
        <v/>
      </c>
    </row>
    <row r="2671">
      <c r="A2671" s="16">
        <f>IF(Calc!$B2671,Calc!E2671,"")</f>
        <v/>
      </c>
      <c r="B2671">
        <f>IF(Calc!$B2671,INDEX(MineNames,Calc!C2671),"")</f>
        <v/>
      </c>
      <c r="C2671" s="17">
        <f>IF(Calc!$B2671,Calc!O2671,"")</f>
        <v/>
      </c>
    </row>
    <row r="2672">
      <c r="A2672" s="16">
        <f>IF(Calc!$B2672,Calc!E2672,"")</f>
        <v/>
      </c>
      <c r="B2672">
        <f>IF(Calc!$B2672,INDEX(MineNames,Calc!C2672),"")</f>
        <v/>
      </c>
      <c r="C2672" s="17">
        <f>IF(Calc!$B2672,Calc!O2672,"")</f>
        <v/>
      </c>
    </row>
    <row r="2673">
      <c r="A2673" s="16">
        <f>IF(Calc!$B2673,Calc!E2673,"")</f>
        <v/>
      </c>
      <c r="B2673">
        <f>IF(Calc!$B2673,INDEX(MineNames,Calc!C2673),"")</f>
        <v/>
      </c>
      <c r="C2673" s="17">
        <f>IF(Calc!$B2673,Calc!O2673,"")</f>
        <v/>
      </c>
    </row>
    <row r="2674">
      <c r="A2674" s="16">
        <f>IF(Calc!$B2674,Calc!E2674,"")</f>
        <v/>
      </c>
      <c r="B2674">
        <f>IF(Calc!$B2674,INDEX(MineNames,Calc!C2674),"")</f>
        <v/>
      </c>
      <c r="C2674" s="17">
        <f>IF(Calc!$B2674,Calc!O2674,"")</f>
        <v/>
      </c>
    </row>
    <row r="2675">
      <c r="A2675" s="16">
        <f>IF(Calc!$B2675,Calc!E2675,"")</f>
        <v/>
      </c>
      <c r="B2675">
        <f>IF(Calc!$B2675,INDEX(MineNames,Calc!C2675),"")</f>
        <v/>
      </c>
      <c r="C2675" s="17">
        <f>IF(Calc!$B2675,Calc!O2675,"")</f>
        <v/>
      </c>
    </row>
    <row r="2676">
      <c r="A2676" s="16">
        <f>IF(Calc!$B2676,Calc!E2676,"")</f>
        <v/>
      </c>
      <c r="B2676">
        <f>IF(Calc!$B2676,INDEX(MineNames,Calc!C2676),"")</f>
        <v/>
      </c>
      <c r="C2676" s="17">
        <f>IF(Calc!$B2676,Calc!O2676,"")</f>
        <v/>
      </c>
    </row>
    <row r="2677">
      <c r="A2677" s="16">
        <f>IF(Calc!$B2677,Calc!E2677,"")</f>
        <v/>
      </c>
      <c r="B2677">
        <f>IF(Calc!$B2677,INDEX(MineNames,Calc!C2677),"")</f>
        <v/>
      </c>
      <c r="C2677" s="17">
        <f>IF(Calc!$B2677,Calc!O2677,"")</f>
        <v/>
      </c>
    </row>
    <row r="2678">
      <c r="A2678" s="16">
        <f>IF(Calc!$B2678,Calc!E2678,"")</f>
        <v/>
      </c>
      <c r="B2678">
        <f>IF(Calc!$B2678,INDEX(MineNames,Calc!C2678),"")</f>
        <v/>
      </c>
      <c r="C2678" s="17">
        <f>IF(Calc!$B2678,Calc!O2678,"")</f>
        <v/>
      </c>
    </row>
    <row r="2679">
      <c r="A2679" s="16">
        <f>IF(Calc!$B2679,Calc!E2679,"")</f>
        <v/>
      </c>
      <c r="B2679">
        <f>IF(Calc!$B2679,INDEX(MineNames,Calc!C2679),"")</f>
        <v/>
      </c>
      <c r="C2679" s="17">
        <f>IF(Calc!$B2679,Calc!O2679,"")</f>
        <v/>
      </c>
    </row>
    <row r="2680">
      <c r="A2680" s="16">
        <f>IF(Calc!$B2680,Calc!E2680,"")</f>
        <v/>
      </c>
      <c r="B2680">
        <f>IF(Calc!$B2680,INDEX(MineNames,Calc!C2680),"")</f>
        <v/>
      </c>
      <c r="C2680" s="17">
        <f>IF(Calc!$B2680,Calc!O2680,"")</f>
        <v/>
      </c>
    </row>
    <row r="2681">
      <c r="A2681" s="16">
        <f>IF(Calc!$B2681,Calc!E2681,"")</f>
        <v/>
      </c>
      <c r="B2681">
        <f>IF(Calc!$B2681,INDEX(MineNames,Calc!C2681),"")</f>
        <v/>
      </c>
      <c r="C2681" s="17">
        <f>IF(Calc!$B2681,Calc!O2681,"")</f>
        <v/>
      </c>
    </row>
    <row r="2682">
      <c r="A2682" s="16">
        <f>IF(Calc!$B2682,Calc!E2682,"")</f>
        <v/>
      </c>
      <c r="B2682">
        <f>IF(Calc!$B2682,INDEX(MineNames,Calc!C2682),"")</f>
        <v/>
      </c>
      <c r="C2682" s="17">
        <f>IF(Calc!$B2682,Calc!O2682,"")</f>
        <v/>
      </c>
    </row>
    <row r="2683">
      <c r="A2683" s="16">
        <f>IF(Calc!$B2683,Calc!E2683,"")</f>
        <v/>
      </c>
      <c r="B2683">
        <f>IF(Calc!$B2683,INDEX(MineNames,Calc!C2683),"")</f>
        <v/>
      </c>
      <c r="C2683" s="17">
        <f>IF(Calc!$B2683,Calc!O2683,"")</f>
        <v/>
      </c>
    </row>
    <row r="2684">
      <c r="A2684" s="16">
        <f>IF(Calc!$B2684,Calc!E2684,"")</f>
        <v/>
      </c>
      <c r="B2684">
        <f>IF(Calc!$B2684,INDEX(MineNames,Calc!C2684),"")</f>
        <v/>
      </c>
      <c r="C2684" s="17">
        <f>IF(Calc!$B2684,Calc!O2684,"")</f>
        <v/>
      </c>
    </row>
    <row r="2685">
      <c r="A2685" s="16">
        <f>IF(Calc!$B2685,Calc!E2685,"")</f>
        <v/>
      </c>
      <c r="B2685">
        <f>IF(Calc!$B2685,INDEX(MineNames,Calc!C2685),"")</f>
        <v/>
      </c>
      <c r="C2685" s="17">
        <f>IF(Calc!$B2685,Calc!O2685,"")</f>
        <v/>
      </c>
    </row>
    <row r="2686">
      <c r="A2686" s="16">
        <f>IF(Calc!$B2686,Calc!E2686,"")</f>
        <v/>
      </c>
      <c r="B2686">
        <f>IF(Calc!$B2686,INDEX(MineNames,Calc!C2686),"")</f>
        <v/>
      </c>
      <c r="C2686" s="17">
        <f>IF(Calc!$B2686,Calc!O2686,"")</f>
        <v/>
      </c>
    </row>
    <row r="2687">
      <c r="A2687" s="16">
        <f>IF(Calc!$B2687,Calc!E2687,"")</f>
        <v/>
      </c>
      <c r="B2687">
        <f>IF(Calc!$B2687,INDEX(MineNames,Calc!C2687),"")</f>
        <v/>
      </c>
      <c r="C2687" s="17">
        <f>IF(Calc!$B2687,Calc!O2687,"")</f>
        <v/>
      </c>
    </row>
    <row r="2688">
      <c r="A2688" s="16">
        <f>IF(Calc!$B2688,Calc!E2688,"")</f>
        <v/>
      </c>
      <c r="B2688">
        <f>IF(Calc!$B2688,INDEX(MineNames,Calc!C2688),"")</f>
        <v/>
      </c>
      <c r="C2688" s="17">
        <f>IF(Calc!$B2688,Calc!O2688,"")</f>
        <v/>
      </c>
    </row>
    <row r="2689">
      <c r="A2689" s="16">
        <f>IF(Calc!$B2689,Calc!E2689,"")</f>
        <v/>
      </c>
      <c r="B2689">
        <f>IF(Calc!$B2689,INDEX(MineNames,Calc!C2689),"")</f>
        <v/>
      </c>
      <c r="C2689" s="17">
        <f>IF(Calc!$B2689,Calc!O2689,"")</f>
        <v/>
      </c>
    </row>
    <row r="2690">
      <c r="A2690" s="16">
        <f>IF(Calc!$B2690,Calc!E2690,"")</f>
        <v/>
      </c>
      <c r="B2690">
        <f>IF(Calc!$B2690,INDEX(MineNames,Calc!C2690),"")</f>
        <v/>
      </c>
      <c r="C2690" s="17">
        <f>IF(Calc!$B2690,Calc!O2690,"")</f>
        <v/>
      </c>
    </row>
    <row r="2691">
      <c r="A2691" s="16">
        <f>IF(Calc!$B2691,Calc!E2691,"")</f>
        <v/>
      </c>
      <c r="B2691">
        <f>IF(Calc!$B2691,INDEX(MineNames,Calc!C2691),"")</f>
        <v/>
      </c>
      <c r="C2691" s="17">
        <f>IF(Calc!$B2691,Calc!O2691,"")</f>
        <v/>
      </c>
    </row>
    <row r="2692">
      <c r="A2692" s="16">
        <f>IF(Calc!$B2692,Calc!E2692,"")</f>
        <v/>
      </c>
      <c r="B2692">
        <f>IF(Calc!$B2692,INDEX(MineNames,Calc!C2692),"")</f>
        <v/>
      </c>
      <c r="C2692" s="17">
        <f>IF(Calc!$B2692,Calc!O2692,"")</f>
        <v/>
      </c>
    </row>
    <row r="2693">
      <c r="A2693" s="16">
        <f>IF(Calc!$B2693,Calc!E2693,"")</f>
        <v/>
      </c>
      <c r="B2693">
        <f>IF(Calc!$B2693,INDEX(MineNames,Calc!C2693),"")</f>
        <v/>
      </c>
      <c r="C2693" s="17">
        <f>IF(Calc!$B2693,Calc!O2693,"")</f>
        <v/>
      </c>
    </row>
    <row r="2694">
      <c r="A2694" s="16">
        <f>IF(Calc!$B2694,Calc!E2694,"")</f>
        <v/>
      </c>
      <c r="B2694">
        <f>IF(Calc!$B2694,INDEX(MineNames,Calc!C2694),"")</f>
        <v/>
      </c>
      <c r="C2694" s="17">
        <f>IF(Calc!$B2694,Calc!O2694,"")</f>
        <v/>
      </c>
    </row>
    <row r="2695">
      <c r="A2695" s="16">
        <f>IF(Calc!$B2695,Calc!E2695,"")</f>
        <v/>
      </c>
      <c r="B2695">
        <f>IF(Calc!$B2695,INDEX(MineNames,Calc!C2695),"")</f>
        <v/>
      </c>
      <c r="C2695" s="17">
        <f>IF(Calc!$B2695,Calc!O2695,"")</f>
        <v/>
      </c>
    </row>
    <row r="2696">
      <c r="A2696" s="16">
        <f>IF(Calc!$B2696,Calc!E2696,"")</f>
        <v/>
      </c>
      <c r="B2696">
        <f>IF(Calc!$B2696,INDEX(MineNames,Calc!C2696),"")</f>
        <v/>
      </c>
      <c r="C2696" s="17">
        <f>IF(Calc!$B2696,Calc!O2696,"")</f>
        <v/>
      </c>
    </row>
    <row r="2697">
      <c r="A2697" s="16">
        <f>IF(Calc!$B2697,Calc!E2697,"")</f>
        <v/>
      </c>
      <c r="B2697">
        <f>IF(Calc!$B2697,INDEX(MineNames,Calc!C2697),"")</f>
        <v/>
      </c>
      <c r="C2697" s="17">
        <f>IF(Calc!$B2697,Calc!O2697,"")</f>
        <v/>
      </c>
    </row>
    <row r="2698">
      <c r="A2698" s="16">
        <f>IF(Calc!$B2698,Calc!E2698,"")</f>
        <v/>
      </c>
      <c r="B2698">
        <f>IF(Calc!$B2698,INDEX(MineNames,Calc!C2698),"")</f>
        <v/>
      </c>
      <c r="C2698" s="17">
        <f>IF(Calc!$B2698,Calc!O2698,"")</f>
        <v/>
      </c>
    </row>
    <row r="2699">
      <c r="A2699" s="16">
        <f>IF(Calc!$B2699,Calc!E2699,"")</f>
        <v/>
      </c>
      <c r="B2699">
        <f>IF(Calc!$B2699,INDEX(MineNames,Calc!C2699),"")</f>
        <v/>
      </c>
      <c r="C2699" s="17">
        <f>IF(Calc!$B2699,Calc!O2699,"")</f>
        <v/>
      </c>
    </row>
    <row r="2700">
      <c r="A2700" s="16">
        <f>IF(Calc!$B2700,Calc!E2700,"")</f>
        <v/>
      </c>
      <c r="B2700">
        <f>IF(Calc!$B2700,INDEX(MineNames,Calc!C2700),"")</f>
        <v/>
      </c>
      <c r="C2700" s="17">
        <f>IF(Calc!$B2700,Calc!O2700,"")</f>
        <v/>
      </c>
    </row>
    <row r="2701">
      <c r="A2701" s="16">
        <f>IF(Calc!$B2701,Calc!E2701,"")</f>
        <v/>
      </c>
      <c r="B2701">
        <f>IF(Calc!$B2701,INDEX(MineNames,Calc!C2701),"")</f>
        <v/>
      </c>
      <c r="C2701" s="17">
        <f>IF(Calc!$B2701,Calc!O2701,"")</f>
        <v/>
      </c>
    </row>
    <row r="2702">
      <c r="A2702" s="16">
        <f>IF(Calc!$B2702,Calc!E2702,"")</f>
        <v/>
      </c>
      <c r="B2702">
        <f>IF(Calc!$B2702,INDEX(MineNames,Calc!C2702),"")</f>
        <v/>
      </c>
      <c r="C2702" s="17">
        <f>IF(Calc!$B2702,Calc!O2702,"")</f>
        <v/>
      </c>
    </row>
    <row r="2703">
      <c r="A2703" s="16">
        <f>IF(Calc!$B2703,Calc!E2703,"")</f>
        <v/>
      </c>
      <c r="B2703">
        <f>IF(Calc!$B2703,INDEX(MineNames,Calc!C2703),"")</f>
        <v/>
      </c>
      <c r="C2703" s="17">
        <f>IF(Calc!$B2703,Calc!O2703,"")</f>
        <v/>
      </c>
    </row>
    <row r="2704">
      <c r="A2704" s="16">
        <f>IF(Calc!$B2704,Calc!E2704,"")</f>
        <v/>
      </c>
      <c r="B2704">
        <f>IF(Calc!$B2704,INDEX(MineNames,Calc!C2704),"")</f>
        <v/>
      </c>
      <c r="C2704" s="17">
        <f>IF(Calc!$B2704,Calc!O2704,"")</f>
        <v/>
      </c>
    </row>
    <row r="2705">
      <c r="A2705" s="16">
        <f>IF(Calc!$B2705,Calc!E2705,"")</f>
        <v/>
      </c>
      <c r="B2705">
        <f>IF(Calc!$B2705,INDEX(MineNames,Calc!C2705),"")</f>
        <v/>
      </c>
      <c r="C2705" s="17">
        <f>IF(Calc!$B2705,Calc!O2705,"")</f>
        <v/>
      </c>
    </row>
    <row r="2706">
      <c r="A2706" s="16">
        <f>IF(Calc!$B2706,Calc!E2706,"")</f>
        <v/>
      </c>
      <c r="B2706">
        <f>IF(Calc!$B2706,INDEX(MineNames,Calc!C2706),"")</f>
        <v/>
      </c>
      <c r="C2706" s="17">
        <f>IF(Calc!$B2706,Calc!O2706,"")</f>
        <v/>
      </c>
    </row>
    <row r="2707">
      <c r="A2707" s="16">
        <f>IF(Calc!$B2707,Calc!E2707,"")</f>
        <v/>
      </c>
      <c r="B2707">
        <f>IF(Calc!$B2707,INDEX(MineNames,Calc!C2707),"")</f>
        <v/>
      </c>
      <c r="C2707" s="17">
        <f>IF(Calc!$B2707,Calc!O2707,"")</f>
        <v/>
      </c>
    </row>
    <row r="2708">
      <c r="A2708" s="16">
        <f>IF(Calc!$B2708,Calc!E2708,"")</f>
        <v/>
      </c>
      <c r="B2708">
        <f>IF(Calc!$B2708,INDEX(MineNames,Calc!C2708),"")</f>
        <v/>
      </c>
      <c r="C2708" s="17">
        <f>IF(Calc!$B2708,Calc!O2708,"")</f>
        <v/>
      </c>
    </row>
    <row r="2709">
      <c r="A2709" s="16">
        <f>IF(Calc!$B2709,Calc!E2709,"")</f>
        <v/>
      </c>
      <c r="B2709">
        <f>IF(Calc!$B2709,INDEX(MineNames,Calc!C2709),"")</f>
        <v/>
      </c>
      <c r="C2709" s="17">
        <f>IF(Calc!$B2709,Calc!O2709,"")</f>
        <v/>
      </c>
    </row>
    <row r="2710">
      <c r="A2710" s="16">
        <f>IF(Calc!$B2710,Calc!E2710,"")</f>
        <v/>
      </c>
      <c r="B2710">
        <f>IF(Calc!$B2710,INDEX(MineNames,Calc!C2710),"")</f>
        <v/>
      </c>
      <c r="C2710" s="17">
        <f>IF(Calc!$B2710,Calc!O2710,"")</f>
        <v/>
      </c>
    </row>
    <row r="2711">
      <c r="A2711" s="16">
        <f>IF(Calc!$B2711,Calc!E2711,"")</f>
        <v/>
      </c>
      <c r="B2711">
        <f>IF(Calc!$B2711,INDEX(MineNames,Calc!C2711),"")</f>
        <v/>
      </c>
      <c r="C2711" s="17">
        <f>IF(Calc!$B2711,Calc!O2711,"")</f>
        <v/>
      </c>
    </row>
    <row r="2712">
      <c r="A2712" s="16">
        <f>IF(Calc!$B2712,Calc!E2712,"")</f>
        <v/>
      </c>
      <c r="B2712">
        <f>IF(Calc!$B2712,INDEX(MineNames,Calc!C2712),"")</f>
        <v/>
      </c>
      <c r="C2712" s="17">
        <f>IF(Calc!$B2712,Calc!O2712,"")</f>
        <v/>
      </c>
    </row>
    <row r="2713">
      <c r="A2713" s="16">
        <f>IF(Calc!$B2713,Calc!E2713,"")</f>
        <v/>
      </c>
      <c r="B2713">
        <f>IF(Calc!$B2713,INDEX(MineNames,Calc!C2713),"")</f>
        <v/>
      </c>
      <c r="C2713" s="17">
        <f>IF(Calc!$B2713,Calc!O2713,"")</f>
        <v/>
      </c>
    </row>
    <row r="2714">
      <c r="A2714" s="16">
        <f>IF(Calc!$B2714,Calc!E2714,"")</f>
        <v/>
      </c>
      <c r="B2714">
        <f>IF(Calc!$B2714,INDEX(MineNames,Calc!C2714),"")</f>
        <v/>
      </c>
      <c r="C2714" s="17">
        <f>IF(Calc!$B2714,Calc!O2714,"")</f>
        <v/>
      </c>
    </row>
    <row r="2715">
      <c r="A2715" s="16">
        <f>IF(Calc!$B2715,Calc!E2715,"")</f>
        <v/>
      </c>
      <c r="B2715">
        <f>IF(Calc!$B2715,INDEX(MineNames,Calc!C2715),"")</f>
        <v/>
      </c>
      <c r="C2715" s="17">
        <f>IF(Calc!$B2715,Calc!O2715,"")</f>
        <v/>
      </c>
    </row>
    <row r="2716">
      <c r="A2716" s="16">
        <f>IF(Calc!$B2716,Calc!E2716,"")</f>
        <v/>
      </c>
      <c r="B2716">
        <f>IF(Calc!$B2716,INDEX(MineNames,Calc!C2716),"")</f>
        <v/>
      </c>
      <c r="C2716" s="17">
        <f>IF(Calc!$B2716,Calc!O2716,"")</f>
        <v/>
      </c>
    </row>
    <row r="2717">
      <c r="A2717" s="16">
        <f>IF(Calc!$B2717,Calc!E2717,"")</f>
        <v/>
      </c>
      <c r="B2717">
        <f>IF(Calc!$B2717,INDEX(MineNames,Calc!C2717),"")</f>
        <v/>
      </c>
      <c r="C2717" s="17">
        <f>IF(Calc!$B2717,Calc!O2717,"")</f>
        <v/>
      </c>
    </row>
    <row r="2718">
      <c r="A2718" s="16">
        <f>IF(Calc!$B2718,Calc!E2718,"")</f>
        <v/>
      </c>
      <c r="B2718">
        <f>IF(Calc!$B2718,INDEX(MineNames,Calc!C2718),"")</f>
        <v/>
      </c>
      <c r="C2718" s="17">
        <f>IF(Calc!$B2718,Calc!O2718,"")</f>
        <v/>
      </c>
    </row>
    <row r="2719">
      <c r="A2719" s="16">
        <f>IF(Calc!$B2719,Calc!E2719,"")</f>
        <v/>
      </c>
      <c r="B2719">
        <f>IF(Calc!$B2719,INDEX(MineNames,Calc!C2719),"")</f>
        <v/>
      </c>
      <c r="C2719" s="17">
        <f>IF(Calc!$B2719,Calc!O2719,"")</f>
        <v/>
      </c>
    </row>
    <row r="2720">
      <c r="A2720" s="16">
        <f>IF(Calc!$B2720,Calc!E2720,"")</f>
        <v/>
      </c>
      <c r="B2720">
        <f>IF(Calc!$B2720,INDEX(MineNames,Calc!C2720),"")</f>
        <v/>
      </c>
      <c r="C2720" s="17">
        <f>IF(Calc!$B2720,Calc!O2720,"")</f>
        <v/>
      </c>
    </row>
    <row r="2721">
      <c r="A2721" s="16">
        <f>IF(Calc!$B2721,Calc!E2721,"")</f>
        <v/>
      </c>
      <c r="B2721">
        <f>IF(Calc!$B2721,INDEX(MineNames,Calc!C2721),"")</f>
        <v/>
      </c>
      <c r="C2721" s="17">
        <f>IF(Calc!$B2721,Calc!O2721,"")</f>
        <v/>
      </c>
    </row>
    <row r="2722">
      <c r="A2722" s="16">
        <f>IF(Calc!$B2722,Calc!E2722,"")</f>
        <v/>
      </c>
      <c r="B2722">
        <f>IF(Calc!$B2722,INDEX(MineNames,Calc!C2722),"")</f>
        <v/>
      </c>
      <c r="C2722" s="17">
        <f>IF(Calc!$B2722,Calc!O2722,"")</f>
        <v/>
      </c>
    </row>
    <row r="2723">
      <c r="A2723" s="16">
        <f>IF(Calc!$B2723,Calc!E2723,"")</f>
        <v/>
      </c>
      <c r="B2723">
        <f>IF(Calc!$B2723,INDEX(MineNames,Calc!C2723),"")</f>
        <v/>
      </c>
      <c r="C2723" s="17">
        <f>IF(Calc!$B2723,Calc!O2723,"")</f>
        <v/>
      </c>
    </row>
    <row r="2724">
      <c r="A2724" s="16">
        <f>IF(Calc!$B2724,Calc!E2724,"")</f>
        <v/>
      </c>
      <c r="B2724">
        <f>IF(Calc!$B2724,INDEX(MineNames,Calc!C2724),"")</f>
        <v/>
      </c>
      <c r="C2724" s="17">
        <f>IF(Calc!$B2724,Calc!O2724,"")</f>
        <v/>
      </c>
    </row>
    <row r="2725">
      <c r="A2725" s="16">
        <f>IF(Calc!$B2725,Calc!E2725,"")</f>
        <v/>
      </c>
      <c r="B2725">
        <f>IF(Calc!$B2725,INDEX(MineNames,Calc!C2725),"")</f>
        <v/>
      </c>
      <c r="C2725" s="17">
        <f>IF(Calc!$B2725,Calc!O2725,"")</f>
        <v/>
      </c>
    </row>
    <row r="2726">
      <c r="A2726" s="16">
        <f>IF(Calc!$B2726,Calc!E2726,"")</f>
        <v/>
      </c>
      <c r="B2726">
        <f>IF(Calc!$B2726,INDEX(MineNames,Calc!C2726),"")</f>
        <v/>
      </c>
      <c r="C2726" s="17">
        <f>IF(Calc!$B2726,Calc!O2726,"")</f>
        <v/>
      </c>
    </row>
    <row r="2727">
      <c r="A2727" s="16">
        <f>IF(Calc!$B2727,Calc!E2727,"")</f>
        <v/>
      </c>
      <c r="B2727">
        <f>IF(Calc!$B2727,INDEX(MineNames,Calc!C2727),"")</f>
        <v/>
      </c>
      <c r="C2727" s="17">
        <f>IF(Calc!$B2727,Calc!O2727,"")</f>
        <v/>
      </c>
    </row>
    <row r="2728">
      <c r="A2728" s="16">
        <f>IF(Calc!$B2728,Calc!E2728,"")</f>
        <v/>
      </c>
      <c r="B2728">
        <f>IF(Calc!$B2728,INDEX(MineNames,Calc!C2728),"")</f>
        <v/>
      </c>
      <c r="C2728" s="17">
        <f>IF(Calc!$B2728,Calc!O2728,"")</f>
        <v/>
      </c>
    </row>
    <row r="2729">
      <c r="A2729" s="16">
        <f>IF(Calc!$B2729,Calc!E2729,"")</f>
        <v/>
      </c>
      <c r="B2729">
        <f>IF(Calc!$B2729,INDEX(MineNames,Calc!C2729),"")</f>
        <v/>
      </c>
      <c r="C2729" s="17">
        <f>IF(Calc!$B2729,Calc!O2729,"")</f>
        <v/>
      </c>
    </row>
    <row r="2730">
      <c r="A2730" s="16">
        <f>IF(Calc!$B2730,Calc!E2730,"")</f>
        <v/>
      </c>
      <c r="B2730">
        <f>IF(Calc!$B2730,INDEX(MineNames,Calc!C2730),"")</f>
        <v/>
      </c>
      <c r="C2730" s="17">
        <f>IF(Calc!$B2730,Calc!O2730,"")</f>
        <v/>
      </c>
    </row>
    <row r="2731">
      <c r="A2731" s="16">
        <f>IF(Calc!$B2731,Calc!E2731,"")</f>
        <v/>
      </c>
      <c r="B2731">
        <f>IF(Calc!$B2731,INDEX(MineNames,Calc!C2731),"")</f>
        <v/>
      </c>
      <c r="C2731" s="17">
        <f>IF(Calc!$B2731,Calc!O2731,"")</f>
        <v/>
      </c>
    </row>
    <row r="2732">
      <c r="A2732" s="16">
        <f>IF(Calc!$B2732,Calc!E2732,"")</f>
        <v/>
      </c>
      <c r="B2732">
        <f>IF(Calc!$B2732,INDEX(MineNames,Calc!C2732),"")</f>
        <v/>
      </c>
      <c r="C2732" s="17">
        <f>IF(Calc!$B2732,Calc!O2732,"")</f>
        <v/>
      </c>
    </row>
    <row r="2733">
      <c r="A2733" s="16">
        <f>IF(Calc!$B2733,Calc!E2733,"")</f>
        <v/>
      </c>
      <c r="B2733">
        <f>IF(Calc!$B2733,INDEX(MineNames,Calc!C2733),"")</f>
        <v/>
      </c>
      <c r="C2733" s="17">
        <f>IF(Calc!$B2733,Calc!O2733,"")</f>
        <v/>
      </c>
    </row>
    <row r="2734">
      <c r="A2734" s="16">
        <f>IF(Calc!$B2734,Calc!E2734,"")</f>
        <v/>
      </c>
      <c r="B2734">
        <f>IF(Calc!$B2734,INDEX(MineNames,Calc!C2734),"")</f>
        <v/>
      </c>
      <c r="C2734" s="17">
        <f>IF(Calc!$B2734,Calc!O2734,"")</f>
        <v/>
      </c>
    </row>
    <row r="2735">
      <c r="A2735" s="16">
        <f>IF(Calc!$B2735,Calc!E2735,"")</f>
        <v/>
      </c>
      <c r="B2735">
        <f>IF(Calc!$B2735,INDEX(MineNames,Calc!C2735),"")</f>
        <v/>
      </c>
      <c r="C2735" s="17">
        <f>IF(Calc!$B2735,Calc!O2735,"")</f>
        <v/>
      </c>
    </row>
    <row r="2736">
      <c r="A2736" s="16">
        <f>IF(Calc!$B2736,Calc!E2736,"")</f>
        <v/>
      </c>
      <c r="B2736">
        <f>IF(Calc!$B2736,INDEX(MineNames,Calc!C2736),"")</f>
        <v/>
      </c>
      <c r="C2736" s="17">
        <f>IF(Calc!$B2736,Calc!O2736,"")</f>
        <v/>
      </c>
    </row>
    <row r="2737">
      <c r="A2737" s="16">
        <f>IF(Calc!$B2737,Calc!E2737,"")</f>
        <v/>
      </c>
      <c r="B2737">
        <f>IF(Calc!$B2737,INDEX(MineNames,Calc!C2737),"")</f>
        <v/>
      </c>
      <c r="C2737" s="17">
        <f>IF(Calc!$B2737,Calc!O2737,"")</f>
        <v/>
      </c>
    </row>
    <row r="2738">
      <c r="A2738" s="16">
        <f>IF(Calc!$B2738,Calc!E2738,"")</f>
        <v/>
      </c>
      <c r="B2738">
        <f>IF(Calc!$B2738,INDEX(MineNames,Calc!C2738),"")</f>
        <v/>
      </c>
      <c r="C2738" s="17">
        <f>IF(Calc!$B2738,Calc!O2738,"")</f>
        <v/>
      </c>
    </row>
    <row r="2739">
      <c r="A2739" s="16">
        <f>IF(Calc!$B2739,Calc!E2739,"")</f>
        <v/>
      </c>
      <c r="B2739">
        <f>IF(Calc!$B2739,INDEX(MineNames,Calc!C2739),"")</f>
        <v/>
      </c>
      <c r="C2739" s="17">
        <f>IF(Calc!$B2739,Calc!O2739,"")</f>
        <v/>
      </c>
    </row>
    <row r="2740">
      <c r="A2740" s="16">
        <f>IF(Calc!$B2740,Calc!E2740,"")</f>
        <v/>
      </c>
      <c r="B2740">
        <f>IF(Calc!$B2740,INDEX(MineNames,Calc!C2740),"")</f>
        <v/>
      </c>
      <c r="C2740" s="17">
        <f>IF(Calc!$B2740,Calc!O2740,"")</f>
        <v/>
      </c>
    </row>
    <row r="2741">
      <c r="A2741" s="16">
        <f>IF(Calc!$B2741,Calc!E2741,"")</f>
        <v/>
      </c>
      <c r="B2741">
        <f>IF(Calc!$B2741,INDEX(MineNames,Calc!C2741),"")</f>
        <v/>
      </c>
      <c r="C2741" s="17">
        <f>IF(Calc!$B2741,Calc!O2741,"")</f>
        <v/>
      </c>
    </row>
    <row r="2742">
      <c r="A2742" s="16">
        <f>IF(Calc!$B2742,Calc!E2742,"")</f>
        <v/>
      </c>
      <c r="B2742">
        <f>IF(Calc!$B2742,INDEX(MineNames,Calc!C2742),"")</f>
        <v/>
      </c>
      <c r="C2742" s="17">
        <f>IF(Calc!$B2742,Calc!O2742,"")</f>
        <v/>
      </c>
    </row>
    <row r="2743">
      <c r="A2743" s="16">
        <f>IF(Calc!$B2743,Calc!E2743,"")</f>
        <v/>
      </c>
      <c r="B2743">
        <f>IF(Calc!$B2743,INDEX(MineNames,Calc!C2743),"")</f>
        <v/>
      </c>
      <c r="C2743" s="17">
        <f>IF(Calc!$B2743,Calc!O2743,"")</f>
        <v/>
      </c>
    </row>
    <row r="2744">
      <c r="A2744" s="16">
        <f>IF(Calc!$B2744,Calc!E2744,"")</f>
        <v/>
      </c>
      <c r="B2744">
        <f>IF(Calc!$B2744,INDEX(MineNames,Calc!C2744),"")</f>
        <v/>
      </c>
      <c r="C2744" s="17">
        <f>IF(Calc!$B2744,Calc!O2744,"")</f>
        <v/>
      </c>
    </row>
    <row r="2745">
      <c r="A2745" s="16">
        <f>IF(Calc!$B2745,Calc!E2745,"")</f>
        <v/>
      </c>
      <c r="B2745">
        <f>IF(Calc!$B2745,INDEX(MineNames,Calc!C2745),"")</f>
        <v/>
      </c>
      <c r="C2745" s="17">
        <f>IF(Calc!$B2745,Calc!O2745,"")</f>
        <v/>
      </c>
    </row>
    <row r="2746">
      <c r="A2746" s="16">
        <f>IF(Calc!$B2746,Calc!E2746,"")</f>
        <v/>
      </c>
      <c r="B2746">
        <f>IF(Calc!$B2746,INDEX(MineNames,Calc!C2746),"")</f>
        <v/>
      </c>
      <c r="C2746" s="17">
        <f>IF(Calc!$B2746,Calc!O2746,"")</f>
        <v/>
      </c>
    </row>
    <row r="2747">
      <c r="A2747" s="16">
        <f>IF(Calc!$B2747,Calc!E2747,"")</f>
        <v/>
      </c>
      <c r="B2747">
        <f>IF(Calc!$B2747,INDEX(MineNames,Calc!C2747),"")</f>
        <v/>
      </c>
      <c r="C2747" s="17">
        <f>IF(Calc!$B2747,Calc!O2747,"")</f>
        <v/>
      </c>
    </row>
    <row r="2748">
      <c r="A2748" s="16">
        <f>IF(Calc!$B2748,Calc!E2748,"")</f>
        <v/>
      </c>
      <c r="B2748">
        <f>IF(Calc!$B2748,INDEX(MineNames,Calc!C2748),"")</f>
        <v/>
      </c>
      <c r="C2748" s="17">
        <f>IF(Calc!$B2748,Calc!O2748,"")</f>
        <v/>
      </c>
    </row>
    <row r="2749">
      <c r="A2749" s="16">
        <f>IF(Calc!$B2749,Calc!E2749,"")</f>
        <v/>
      </c>
      <c r="B2749">
        <f>IF(Calc!$B2749,INDEX(MineNames,Calc!C2749),"")</f>
        <v/>
      </c>
      <c r="C2749" s="17">
        <f>IF(Calc!$B2749,Calc!O2749,"")</f>
        <v/>
      </c>
    </row>
    <row r="2750">
      <c r="A2750" s="16">
        <f>IF(Calc!$B2750,Calc!E2750,"")</f>
        <v/>
      </c>
      <c r="B2750">
        <f>IF(Calc!$B2750,INDEX(MineNames,Calc!C2750),"")</f>
        <v/>
      </c>
      <c r="C2750" s="17">
        <f>IF(Calc!$B2750,Calc!O2750,"")</f>
        <v/>
      </c>
    </row>
    <row r="2751">
      <c r="A2751" s="16">
        <f>IF(Calc!$B2751,Calc!E2751,"")</f>
        <v/>
      </c>
      <c r="B2751">
        <f>IF(Calc!$B2751,INDEX(MineNames,Calc!C2751),"")</f>
        <v/>
      </c>
      <c r="C2751" s="17">
        <f>IF(Calc!$B2751,Calc!O2751,"")</f>
        <v/>
      </c>
    </row>
    <row r="2752">
      <c r="A2752" s="16">
        <f>IF(Calc!$B2752,Calc!E2752,"")</f>
        <v/>
      </c>
      <c r="B2752">
        <f>IF(Calc!$B2752,INDEX(MineNames,Calc!C2752),"")</f>
        <v/>
      </c>
      <c r="C2752" s="17">
        <f>IF(Calc!$B2752,Calc!O2752,"")</f>
        <v/>
      </c>
    </row>
    <row r="2753">
      <c r="A2753" s="16">
        <f>IF(Calc!$B2753,Calc!E2753,"")</f>
        <v/>
      </c>
      <c r="B2753">
        <f>IF(Calc!$B2753,INDEX(MineNames,Calc!C2753),"")</f>
        <v/>
      </c>
      <c r="C2753" s="17">
        <f>IF(Calc!$B2753,Calc!O2753,"")</f>
        <v/>
      </c>
    </row>
    <row r="2754">
      <c r="A2754" s="16">
        <f>IF(Calc!$B2754,Calc!E2754,"")</f>
        <v/>
      </c>
      <c r="B2754">
        <f>IF(Calc!$B2754,INDEX(MineNames,Calc!C2754),"")</f>
        <v/>
      </c>
      <c r="C2754" s="17">
        <f>IF(Calc!$B2754,Calc!O2754,"")</f>
        <v/>
      </c>
    </row>
    <row r="2755">
      <c r="A2755" s="16">
        <f>IF(Calc!$B2755,Calc!E2755,"")</f>
        <v/>
      </c>
      <c r="B2755">
        <f>IF(Calc!$B2755,INDEX(MineNames,Calc!C2755),"")</f>
        <v/>
      </c>
      <c r="C2755" s="17">
        <f>IF(Calc!$B2755,Calc!O2755,"")</f>
        <v/>
      </c>
    </row>
    <row r="2756">
      <c r="A2756" s="16">
        <f>IF(Calc!$B2756,Calc!E2756,"")</f>
        <v/>
      </c>
      <c r="B2756">
        <f>IF(Calc!$B2756,INDEX(MineNames,Calc!C2756),"")</f>
        <v/>
      </c>
      <c r="C2756" s="17">
        <f>IF(Calc!$B2756,Calc!O2756,"")</f>
        <v/>
      </c>
    </row>
    <row r="2757">
      <c r="A2757" s="16">
        <f>IF(Calc!$B2757,Calc!E2757,"")</f>
        <v/>
      </c>
      <c r="B2757">
        <f>IF(Calc!$B2757,INDEX(MineNames,Calc!C2757),"")</f>
        <v/>
      </c>
      <c r="C2757" s="17">
        <f>IF(Calc!$B2757,Calc!O2757,"")</f>
        <v/>
      </c>
    </row>
    <row r="2758">
      <c r="A2758" s="16">
        <f>IF(Calc!$B2758,Calc!E2758,"")</f>
        <v/>
      </c>
      <c r="B2758">
        <f>IF(Calc!$B2758,INDEX(MineNames,Calc!C2758),"")</f>
        <v/>
      </c>
      <c r="C2758" s="17">
        <f>IF(Calc!$B2758,Calc!O2758,"")</f>
        <v/>
      </c>
    </row>
    <row r="2759">
      <c r="A2759" s="16">
        <f>IF(Calc!$B2759,Calc!E2759,"")</f>
        <v/>
      </c>
      <c r="B2759">
        <f>IF(Calc!$B2759,INDEX(MineNames,Calc!C2759),"")</f>
        <v/>
      </c>
      <c r="C2759" s="17">
        <f>IF(Calc!$B2759,Calc!O2759,"")</f>
        <v/>
      </c>
    </row>
    <row r="2760">
      <c r="A2760" s="16">
        <f>IF(Calc!$B2760,Calc!E2760,"")</f>
        <v/>
      </c>
      <c r="B2760">
        <f>IF(Calc!$B2760,INDEX(MineNames,Calc!C2760),"")</f>
        <v/>
      </c>
      <c r="C2760" s="17">
        <f>IF(Calc!$B2760,Calc!O2760,"")</f>
        <v/>
      </c>
    </row>
    <row r="2761">
      <c r="A2761" s="16">
        <f>IF(Calc!$B2761,Calc!E2761,"")</f>
        <v/>
      </c>
      <c r="B2761">
        <f>IF(Calc!$B2761,INDEX(MineNames,Calc!C2761),"")</f>
        <v/>
      </c>
      <c r="C2761" s="17">
        <f>IF(Calc!$B2761,Calc!O2761,"")</f>
        <v/>
      </c>
    </row>
    <row r="2762">
      <c r="A2762" s="16">
        <f>IF(Calc!$B2762,Calc!E2762,"")</f>
        <v/>
      </c>
      <c r="B2762">
        <f>IF(Calc!$B2762,INDEX(MineNames,Calc!C2762),"")</f>
        <v/>
      </c>
      <c r="C2762" s="17">
        <f>IF(Calc!$B2762,Calc!O2762,"")</f>
        <v/>
      </c>
    </row>
    <row r="2763">
      <c r="A2763" s="16">
        <f>IF(Calc!$B2763,Calc!E2763,"")</f>
        <v/>
      </c>
      <c r="B2763">
        <f>IF(Calc!$B2763,INDEX(MineNames,Calc!C2763),"")</f>
        <v/>
      </c>
      <c r="C2763" s="17">
        <f>IF(Calc!$B2763,Calc!O2763,"")</f>
        <v/>
      </c>
    </row>
    <row r="2764">
      <c r="A2764" s="16">
        <f>IF(Calc!$B2764,Calc!E2764,"")</f>
        <v/>
      </c>
      <c r="B2764">
        <f>IF(Calc!$B2764,INDEX(MineNames,Calc!C2764),"")</f>
        <v/>
      </c>
      <c r="C2764" s="17">
        <f>IF(Calc!$B2764,Calc!O2764,"")</f>
        <v/>
      </c>
    </row>
    <row r="2765">
      <c r="A2765" s="16">
        <f>IF(Calc!$B2765,Calc!E2765,"")</f>
        <v/>
      </c>
      <c r="B2765">
        <f>IF(Calc!$B2765,INDEX(MineNames,Calc!C2765),"")</f>
        <v/>
      </c>
      <c r="C2765" s="17">
        <f>IF(Calc!$B2765,Calc!O2765,"")</f>
        <v/>
      </c>
    </row>
    <row r="2766">
      <c r="A2766" s="16">
        <f>IF(Calc!$B2766,Calc!E2766,"")</f>
        <v/>
      </c>
      <c r="B2766">
        <f>IF(Calc!$B2766,INDEX(MineNames,Calc!C2766),"")</f>
        <v/>
      </c>
      <c r="C2766" s="17">
        <f>IF(Calc!$B2766,Calc!O2766,"")</f>
        <v/>
      </c>
    </row>
    <row r="2767">
      <c r="A2767" s="16">
        <f>IF(Calc!$B2767,Calc!E2767,"")</f>
        <v/>
      </c>
      <c r="B2767">
        <f>IF(Calc!$B2767,INDEX(MineNames,Calc!C2767),"")</f>
        <v/>
      </c>
      <c r="C2767" s="17">
        <f>IF(Calc!$B2767,Calc!O2767,"")</f>
        <v/>
      </c>
    </row>
    <row r="2768">
      <c r="A2768" s="16">
        <f>IF(Calc!$B2768,Calc!E2768,"")</f>
        <v/>
      </c>
      <c r="B2768">
        <f>IF(Calc!$B2768,INDEX(MineNames,Calc!C2768),"")</f>
        <v/>
      </c>
      <c r="C2768" s="17">
        <f>IF(Calc!$B2768,Calc!O2768,"")</f>
        <v/>
      </c>
    </row>
    <row r="2769">
      <c r="A2769" s="16">
        <f>IF(Calc!$B2769,Calc!E2769,"")</f>
        <v/>
      </c>
      <c r="B2769">
        <f>IF(Calc!$B2769,INDEX(MineNames,Calc!C2769),"")</f>
        <v/>
      </c>
      <c r="C2769" s="17">
        <f>IF(Calc!$B2769,Calc!O2769,"")</f>
        <v/>
      </c>
    </row>
    <row r="2770">
      <c r="A2770" s="16">
        <f>IF(Calc!$B2770,Calc!E2770,"")</f>
        <v/>
      </c>
      <c r="B2770">
        <f>IF(Calc!$B2770,INDEX(MineNames,Calc!C2770),"")</f>
        <v/>
      </c>
      <c r="C2770" s="17">
        <f>IF(Calc!$B2770,Calc!O2770,"")</f>
        <v/>
      </c>
    </row>
    <row r="2771">
      <c r="A2771" s="16">
        <f>IF(Calc!$B2771,Calc!E2771,"")</f>
        <v/>
      </c>
      <c r="B2771">
        <f>IF(Calc!$B2771,INDEX(MineNames,Calc!C2771),"")</f>
        <v/>
      </c>
      <c r="C2771" s="17">
        <f>IF(Calc!$B2771,Calc!O2771,"")</f>
        <v/>
      </c>
    </row>
    <row r="2772">
      <c r="A2772" s="16">
        <f>IF(Calc!$B2772,Calc!E2772,"")</f>
        <v/>
      </c>
      <c r="B2772">
        <f>IF(Calc!$B2772,INDEX(MineNames,Calc!C2772),"")</f>
        <v/>
      </c>
      <c r="C2772" s="17">
        <f>IF(Calc!$B2772,Calc!O2772,"")</f>
        <v/>
      </c>
    </row>
    <row r="2773">
      <c r="A2773" s="16">
        <f>IF(Calc!$B2773,Calc!E2773,"")</f>
        <v/>
      </c>
      <c r="B2773">
        <f>IF(Calc!$B2773,INDEX(MineNames,Calc!C2773),"")</f>
        <v/>
      </c>
      <c r="C2773" s="17">
        <f>IF(Calc!$B2773,Calc!O2773,"")</f>
        <v/>
      </c>
    </row>
    <row r="2774">
      <c r="A2774" s="16">
        <f>IF(Calc!$B2774,Calc!E2774,"")</f>
        <v/>
      </c>
      <c r="B2774">
        <f>IF(Calc!$B2774,INDEX(MineNames,Calc!C2774),"")</f>
        <v/>
      </c>
      <c r="C2774" s="17">
        <f>IF(Calc!$B2774,Calc!O2774,"")</f>
        <v/>
      </c>
    </row>
    <row r="2775">
      <c r="A2775" s="16">
        <f>IF(Calc!$B2775,Calc!E2775,"")</f>
        <v/>
      </c>
      <c r="B2775">
        <f>IF(Calc!$B2775,INDEX(MineNames,Calc!C2775),"")</f>
        <v/>
      </c>
      <c r="C2775" s="17">
        <f>IF(Calc!$B2775,Calc!O2775,"")</f>
        <v/>
      </c>
    </row>
    <row r="2776">
      <c r="A2776" s="16">
        <f>IF(Calc!$B2776,Calc!E2776,"")</f>
        <v/>
      </c>
      <c r="B2776">
        <f>IF(Calc!$B2776,INDEX(MineNames,Calc!C2776),"")</f>
        <v/>
      </c>
      <c r="C2776" s="17">
        <f>IF(Calc!$B2776,Calc!O2776,"")</f>
        <v/>
      </c>
    </row>
    <row r="2777">
      <c r="A2777" s="16">
        <f>IF(Calc!$B2777,Calc!E2777,"")</f>
        <v/>
      </c>
      <c r="B2777">
        <f>IF(Calc!$B2777,INDEX(MineNames,Calc!C2777),"")</f>
        <v/>
      </c>
      <c r="C2777" s="17">
        <f>IF(Calc!$B2777,Calc!O2777,"")</f>
        <v/>
      </c>
    </row>
    <row r="2778">
      <c r="A2778" s="16">
        <f>IF(Calc!$B2778,Calc!E2778,"")</f>
        <v/>
      </c>
      <c r="B2778">
        <f>IF(Calc!$B2778,INDEX(MineNames,Calc!C2778),"")</f>
        <v/>
      </c>
      <c r="C2778" s="17">
        <f>IF(Calc!$B2778,Calc!O2778,"")</f>
        <v/>
      </c>
    </row>
    <row r="2779">
      <c r="A2779" s="16">
        <f>IF(Calc!$B2779,Calc!E2779,"")</f>
        <v/>
      </c>
      <c r="B2779">
        <f>IF(Calc!$B2779,INDEX(MineNames,Calc!C2779),"")</f>
        <v/>
      </c>
      <c r="C2779" s="17">
        <f>IF(Calc!$B2779,Calc!O2779,"")</f>
        <v/>
      </c>
    </row>
    <row r="2780">
      <c r="A2780" s="16">
        <f>IF(Calc!$B2780,Calc!E2780,"")</f>
        <v/>
      </c>
      <c r="B2780">
        <f>IF(Calc!$B2780,INDEX(MineNames,Calc!C2780),"")</f>
        <v/>
      </c>
      <c r="C2780" s="17">
        <f>IF(Calc!$B2780,Calc!O2780,"")</f>
        <v/>
      </c>
    </row>
    <row r="2781">
      <c r="A2781" s="16">
        <f>IF(Calc!$B2781,Calc!E2781,"")</f>
        <v/>
      </c>
      <c r="B2781">
        <f>IF(Calc!$B2781,INDEX(MineNames,Calc!C2781),"")</f>
        <v/>
      </c>
      <c r="C2781" s="17">
        <f>IF(Calc!$B2781,Calc!O2781,"")</f>
        <v/>
      </c>
    </row>
    <row r="2782">
      <c r="A2782" s="16">
        <f>IF(Calc!$B2782,Calc!E2782,"")</f>
        <v/>
      </c>
      <c r="B2782">
        <f>IF(Calc!$B2782,INDEX(MineNames,Calc!C2782),"")</f>
        <v/>
      </c>
      <c r="C2782" s="17">
        <f>IF(Calc!$B2782,Calc!O2782,"")</f>
        <v/>
      </c>
    </row>
    <row r="2783">
      <c r="A2783" s="16">
        <f>IF(Calc!$B2783,Calc!E2783,"")</f>
        <v/>
      </c>
      <c r="B2783">
        <f>IF(Calc!$B2783,INDEX(MineNames,Calc!C2783),"")</f>
        <v/>
      </c>
      <c r="C2783" s="17">
        <f>IF(Calc!$B2783,Calc!O2783,"")</f>
        <v/>
      </c>
    </row>
    <row r="2784">
      <c r="A2784" s="16">
        <f>IF(Calc!$B2784,Calc!E2784,"")</f>
        <v/>
      </c>
      <c r="B2784">
        <f>IF(Calc!$B2784,INDEX(MineNames,Calc!C2784),"")</f>
        <v/>
      </c>
      <c r="C2784" s="17">
        <f>IF(Calc!$B2784,Calc!O2784,"")</f>
        <v/>
      </c>
    </row>
    <row r="2785">
      <c r="A2785" s="16">
        <f>IF(Calc!$B2785,Calc!E2785,"")</f>
        <v/>
      </c>
      <c r="B2785">
        <f>IF(Calc!$B2785,INDEX(MineNames,Calc!C2785),"")</f>
        <v/>
      </c>
      <c r="C2785" s="17">
        <f>IF(Calc!$B2785,Calc!O2785,"")</f>
        <v/>
      </c>
    </row>
    <row r="2786">
      <c r="A2786" s="16">
        <f>IF(Calc!$B2786,Calc!E2786,"")</f>
        <v/>
      </c>
      <c r="B2786">
        <f>IF(Calc!$B2786,INDEX(MineNames,Calc!C2786),"")</f>
        <v/>
      </c>
      <c r="C2786" s="17">
        <f>IF(Calc!$B2786,Calc!O2786,"")</f>
        <v/>
      </c>
    </row>
    <row r="2787">
      <c r="A2787" s="16">
        <f>IF(Calc!$B2787,Calc!E2787,"")</f>
        <v/>
      </c>
      <c r="B2787">
        <f>IF(Calc!$B2787,INDEX(MineNames,Calc!C2787),"")</f>
        <v/>
      </c>
      <c r="C2787" s="17">
        <f>IF(Calc!$B2787,Calc!O2787,"")</f>
        <v/>
      </c>
    </row>
    <row r="2788">
      <c r="A2788" s="16">
        <f>IF(Calc!$B2788,Calc!E2788,"")</f>
        <v/>
      </c>
      <c r="B2788">
        <f>IF(Calc!$B2788,INDEX(MineNames,Calc!C2788),"")</f>
        <v/>
      </c>
      <c r="C2788" s="17">
        <f>IF(Calc!$B2788,Calc!O2788,"")</f>
        <v/>
      </c>
    </row>
    <row r="2789">
      <c r="A2789" s="16">
        <f>IF(Calc!$B2789,Calc!E2789,"")</f>
        <v/>
      </c>
      <c r="B2789">
        <f>IF(Calc!$B2789,INDEX(MineNames,Calc!C2789),"")</f>
        <v/>
      </c>
      <c r="C2789" s="17">
        <f>IF(Calc!$B2789,Calc!O2789,"")</f>
        <v/>
      </c>
    </row>
    <row r="2790">
      <c r="A2790" s="16">
        <f>IF(Calc!$B2790,Calc!E2790,"")</f>
        <v/>
      </c>
      <c r="B2790">
        <f>IF(Calc!$B2790,INDEX(MineNames,Calc!C2790),"")</f>
        <v/>
      </c>
      <c r="C2790" s="17">
        <f>IF(Calc!$B2790,Calc!O2790,"")</f>
        <v/>
      </c>
    </row>
    <row r="2791">
      <c r="A2791" s="16">
        <f>IF(Calc!$B2791,Calc!E2791,"")</f>
        <v/>
      </c>
      <c r="B2791">
        <f>IF(Calc!$B2791,INDEX(MineNames,Calc!C2791),"")</f>
        <v/>
      </c>
      <c r="C2791" s="17">
        <f>IF(Calc!$B2791,Calc!O2791,"")</f>
        <v/>
      </c>
    </row>
    <row r="2792">
      <c r="A2792" s="16">
        <f>IF(Calc!$B2792,Calc!E2792,"")</f>
        <v/>
      </c>
      <c r="B2792">
        <f>IF(Calc!$B2792,INDEX(MineNames,Calc!C2792),"")</f>
        <v/>
      </c>
      <c r="C2792" s="17">
        <f>IF(Calc!$B2792,Calc!O2792,"")</f>
        <v/>
      </c>
    </row>
    <row r="2793">
      <c r="A2793" s="16">
        <f>IF(Calc!$B2793,Calc!E2793,"")</f>
        <v/>
      </c>
      <c r="B2793">
        <f>IF(Calc!$B2793,INDEX(MineNames,Calc!C2793),"")</f>
        <v/>
      </c>
      <c r="C2793" s="17">
        <f>IF(Calc!$B2793,Calc!O2793,"")</f>
        <v/>
      </c>
    </row>
    <row r="2794">
      <c r="A2794" s="16">
        <f>IF(Calc!$B2794,Calc!E2794,"")</f>
        <v/>
      </c>
      <c r="B2794">
        <f>IF(Calc!$B2794,INDEX(MineNames,Calc!C2794),"")</f>
        <v/>
      </c>
      <c r="C2794" s="17">
        <f>IF(Calc!$B2794,Calc!O2794,"")</f>
        <v/>
      </c>
    </row>
    <row r="2795">
      <c r="A2795" s="16">
        <f>IF(Calc!$B2795,Calc!E2795,"")</f>
        <v/>
      </c>
      <c r="B2795">
        <f>IF(Calc!$B2795,INDEX(MineNames,Calc!C2795),"")</f>
        <v/>
      </c>
      <c r="C2795" s="17">
        <f>IF(Calc!$B2795,Calc!O2795,"")</f>
        <v/>
      </c>
    </row>
    <row r="2796">
      <c r="A2796" s="16">
        <f>IF(Calc!$B2796,Calc!E2796,"")</f>
        <v/>
      </c>
      <c r="B2796">
        <f>IF(Calc!$B2796,INDEX(MineNames,Calc!C2796),"")</f>
        <v/>
      </c>
      <c r="C2796" s="17">
        <f>IF(Calc!$B2796,Calc!O2796,"")</f>
        <v/>
      </c>
    </row>
    <row r="2797">
      <c r="A2797" s="16">
        <f>IF(Calc!$B2797,Calc!E2797,"")</f>
        <v/>
      </c>
      <c r="B2797">
        <f>IF(Calc!$B2797,INDEX(MineNames,Calc!C2797),"")</f>
        <v/>
      </c>
      <c r="C2797" s="17">
        <f>IF(Calc!$B2797,Calc!O2797,"")</f>
        <v/>
      </c>
    </row>
    <row r="2798">
      <c r="A2798" s="16">
        <f>IF(Calc!$B2798,Calc!E2798,"")</f>
        <v/>
      </c>
      <c r="B2798">
        <f>IF(Calc!$B2798,INDEX(MineNames,Calc!C2798),"")</f>
        <v/>
      </c>
      <c r="C2798" s="17">
        <f>IF(Calc!$B2798,Calc!O2798,"")</f>
        <v/>
      </c>
    </row>
    <row r="2799">
      <c r="A2799" s="16">
        <f>IF(Calc!$B2799,Calc!E2799,"")</f>
        <v/>
      </c>
      <c r="B2799">
        <f>IF(Calc!$B2799,INDEX(MineNames,Calc!C2799),"")</f>
        <v/>
      </c>
      <c r="C2799" s="17">
        <f>IF(Calc!$B2799,Calc!O2799,"")</f>
        <v/>
      </c>
    </row>
    <row r="2800">
      <c r="A2800" s="16">
        <f>IF(Calc!$B2800,Calc!E2800,"")</f>
        <v/>
      </c>
      <c r="B2800">
        <f>IF(Calc!$B2800,INDEX(MineNames,Calc!C2800),"")</f>
        <v/>
      </c>
      <c r="C2800" s="17">
        <f>IF(Calc!$B2800,Calc!O2800,"")</f>
        <v/>
      </c>
    </row>
    <row r="2801">
      <c r="A2801" s="16">
        <f>IF(Calc!$B2801,Calc!E2801,"")</f>
        <v/>
      </c>
      <c r="B2801">
        <f>IF(Calc!$B2801,INDEX(MineNames,Calc!C2801),"")</f>
        <v/>
      </c>
      <c r="C2801" s="17">
        <f>IF(Calc!$B2801,Calc!O2801,"")</f>
        <v/>
      </c>
    </row>
    <row r="2802">
      <c r="A2802" s="16">
        <f>IF(Calc!$B2802,Calc!E2802,"")</f>
        <v/>
      </c>
      <c r="B2802">
        <f>IF(Calc!$B2802,INDEX(MineNames,Calc!C2802),"")</f>
        <v/>
      </c>
      <c r="C2802" s="17">
        <f>IF(Calc!$B2802,Calc!O2802,"")</f>
        <v/>
      </c>
    </row>
    <row r="2803">
      <c r="A2803" s="16">
        <f>IF(Calc!$B2803,Calc!E2803,"")</f>
        <v/>
      </c>
      <c r="B2803">
        <f>IF(Calc!$B2803,INDEX(MineNames,Calc!C2803),"")</f>
        <v/>
      </c>
      <c r="C2803" s="17">
        <f>IF(Calc!$B2803,Calc!O2803,"")</f>
        <v/>
      </c>
    </row>
    <row r="2804">
      <c r="A2804" s="16">
        <f>IF(Calc!$B2804,Calc!E2804,"")</f>
        <v/>
      </c>
      <c r="B2804">
        <f>IF(Calc!$B2804,INDEX(MineNames,Calc!C2804),"")</f>
        <v/>
      </c>
      <c r="C2804" s="17">
        <f>IF(Calc!$B2804,Calc!O2804,"")</f>
        <v/>
      </c>
    </row>
    <row r="2805">
      <c r="A2805" s="16">
        <f>IF(Calc!$B2805,Calc!E2805,"")</f>
        <v/>
      </c>
      <c r="B2805">
        <f>IF(Calc!$B2805,INDEX(MineNames,Calc!C2805),"")</f>
        <v/>
      </c>
      <c r="C2805" s="17">
        <f>IF(Calc!$B2805,Calc!O2805,"")</f>
        <v/>
      </c>
    </row>
    <row r="2806">
      <c r="A2806" s="16">
        <f>IF(Calc!$B2806,Calc!E2806,"")</f>
        <v/>
      </c>
      <c r="B2806">
        <f>IF(Calc!$B2806,INDEX(MineNames,Calc!C2806),"")</f>
        <v/>
      </c>
      <c r="C2806" s="17">
        <f>IF(Calc!$B2806,Calc!O2806,"")</f>
        <v/>
      </c>
    </row>
    <row r="2807">
      <c r="A2807" s="16">
        <f>IF(Calc!$B2807,Calc!E2807,"")</f>
        <v/>
      </c>
      <c r="B2807">
        <f>IF(Calc!$B2807,INDEX(MineNames,Calc!C2807),"")</f>
        <v/>
      </c>
      <c r="C2807" s="17">
        <f>IF(Calc!$B2807,Calc!O2807,"")</f>
        <v/>
      </c>
    </row>
    <row r="2808">
      <c r="A2808" s="16">
        <f>IF(Calc!$B2808,Calc!E2808,"")</f>
        <v/>
      </c>
      <c r="B2808">
        <f>IF(Calc!$B2808,INDEX(MineNames,Calc!C2808),"")</f>
        <v/>
      </c>
      <c r="C2808" s="17">
        <f>IF(Calc!$B2808,Calc!O2808,"")</f>
        <v/>
      </c>
    </row>
    <row r="2809">
      <c r="A2809" s="16">
        <f>IF(Calc!$B2809,Calc!E2809,"")</f>
        <v/>
      </c>
      <c r="B2809">
        <f>IF(Calc!$B2809,INDEX(MineNames,Calc!C2809),"")</f>
        <v/>
      </c>
      <c r="C2809" s="17">
        <f>IF(Calc!$B2809,Calc!O2809,"")</f>
        <v/>
      </c>
    </row>
    <row r="2810">
      <c r="A2810" s="16">
        <f>IF(Calc!$B2810,Calc!E2810,"")</f>
        <v/>
      </c>
      <c r="B2810">
        <f>IF(Calc!$B2810,INDEX(MineNames,Calc!C2810),"")</f>
        <v/>
      </c>
      <c r="C2810" s="17">
        <f>IF(Calc!$B2810,Calc!O2810,"")</f>
        <v/>
      </c>
    </row>
    <row r="2811">
      <c r="A2811" s="16">
        <f>IF(Calc!$B2811,Calc!E2811,"")</f>
        <v/>
      </c>
      <c r="B2811">
        <f>IF(Calc!$B2811,INDEX(MineNames,Calc!C2811),"")</f>
        <v/>
      </c>
      <c r="C2811" s="17">
        <f>IF(Calc!$B2811,Calc!O2811,"")</f>
        <v/>
      </c>
    </row>
    <row r="2812">
      <c r="A2812" s="16">
        <f>IF(Calc!$B2812,Calc!E2812,"")</f>
        <v/>
      </c>
      <c r="B2812">
        <f>IF(Calc!$B2812,INDEX(MineNames,Calc!C2812),"")</f>
        <v/>
      </c>
      <c r="C2812" s="17">
        <f>IF(Calc!$B2812,Calc!O2812,"")</f>
        <v/>
      </c>
    </row>
    <row r="2813">
      <c r="A2813" s="16">
        <f>IF(Calc!$B2813,Calc!E2813,"")</f>
        <v/>
      </c>
      <c r="B2813">
        <f>IF(Calc!$B2813,INDEX(MineNames,Calc!C2813),"")</f>
        <v/>
      </c>
      <c r="C2813" s="17">
        <f>IF(Calc!$B2813,Calc!O2813,"")</f>
        <v/>
      </c>
    </row>
    <row r="2814">
      <c r="A2814" s="16">
        <f>IF(Calc!$B2814,Calc!E2814,"")</f>
        <v/>
      </c>
      <c r="B2814">
        <f>IF(Calc!$B2814,INDEX(MineNames,Calc!C2814),"")</f>
        <v/>
      </c>
      <c r="C2814" s="17">
        <f>IF(Calc!$B2814,Calc!O2814,"")</f>
        <v/>
      </c>
    </row>
    <row r="2815">
      <c r="A2815" s="16">
        <f>IF(Calc!$B2815,Calc!E2815,"")</f>
        <v/>
      </c>
      <c r="B2815">
        <f>IF(Calc!$B2815,INDEX(MineNames,Calc!C2815),"")</f>
        <v/>
      </c>
      <c r="C2815" s="17">
        <f>IF(Calc!$B2815,Calc!O2815,"")</f>
        <v/>
      </c>
    </row>
    <row r="2816">
      <c r="A2816" s="16">
        <f>IF(Calc!$B2816,Calc!E2816,"")</f>
        <v/>
      </c>
      <c r="B2816">
        <f>IF(Calc!$B2816,INDEX(MineNames,Calc!C2816),"")</f>
        <v/>
      </c>
      <c r="C2816" s="17">
        <f>IF(Calc!$B2816,Calc!O2816,"")</f>
        <v/>
      </c>
    </row>
    <row r="2817">
      <c r="A2817" s="16">
        <f>IF(Calc!$B2817,Calc!E2817,"")</f>
        <v/>
      </c>
      <c r="B2817">
        <f>IF(Calc!$B2817,INDEX(MineNames,Calc!C2817),"")</f>
        <v/>
      </c>
      <c r="C2817" s="17">
        <f>IF(Calc!$B2817,Calc!O2817,"")</f>
        <v/>
      </c>
    </row>
    <row r="2818">
      <c r="A2818" s="16">
        <f>IF(Calc!$B2818,Calc!E2818,"")</f>
        <v/>
      </c>
      <c r="B2818">
        <f>IF(Calc!$B2818,INDEX(MineNames,Calc!C2818),"")</f>
        <v/>
      </c>
      <c r="C2818" s="17">
        <f>IF(Calc!$B2818,Calc!O2818,"")</f>
        <v/>
      </c>
    </row>
    <row r="2819">
      <c r="A2819" s="16">
        <f>IF(Calc!$B2819,Calc!E2819,"")</f>
        <v/>
      </c>
      <c r="B2819">
        <f>IF(Calc!$B2819,INDEX(MineNames,Calc!C2819),"")</f>
        <v/>
      </c>
      <c r="C2819" s="17">
        <f>IF(Calc!$B2819,Calc!O2819,"")</f>
        <v/>
      </c>
    </row>
    <row r="2820">
      <c r="A2820" s="16">
        <f>IF(Calc!$B2820,Calc!E2820,"")</f>
        <v/>
      </c>
      <c r="B2820">
        <f>IF(Calc!$B2820,INDEX(MineNames,Calc!C2820),"")</f>
        <v/>
      </c>
      <c r="C2820" s="17">
        <f>IF(Calc!$B2820,Calc!O2820,"")</f>
        <v/>
      </c>
    </row>
    <row r="2821">
      <c r="A2821" s="16">
        <f>IF(Calc!$B2821,Calc!E2821,"")</f>
        <v/>
      </c>
      <c r="B2821">
        <f>IF(Calc!$B2821,INDEX(MineNames,Calc!C2821),"")</f>
        <v/>
      </c>
      <c r="C2821" s="17">
        <f>IF(Calc!$B2821,Calc!O2821,"")</f>
        <v/>
      </c>
    </row>
    <row r="2822">
      <c r="A2822" s="16">
        <f>IF(Calc!$B2822,Calc!E2822,"")</f>
        <v/>
      </c>
      <c r="B2822">
        <f>IF(Calc!$B2822,INDEX(MineNames,Calc!C2822),"")</f>
        <v/>
      </c>
      <c r="C2822" s="17">
        <f>IF(Calc!$B2822,Calc!O2822,"")</f>
        <v/>
      </c>
    </row>
    <row r="2823">
      <c r="A2823" s="16">
        <f>IF(Calc!$B2823,Calc!E2823,"")</f>
        <v/>
      </c>
      <c r="B2823">
        <f>IF(Calc!$B2823,INDEX(MineNames,Calc!C2823),"")</f>
        <v/>
      </c>
      <c r="C2823" s="17">
        <f>IF(Calc!$B2823,Calc!O2823,"")</f>
        <v/>
      </c>
    </row>
    <row r="2824">
      <c r="A2824" s="16">
        <f>IF(Calc!$B2824,Calc!E2824,"")</f>
        <v/>
      </c>
      <c r="B2824">
        <f>IF(Calc!$B2824,INDEX(MineNames,Calc!C2824),"")</f>
        <v/>
      </c>
      <c r="C2824" s="17">
        <f>IF(Calc!$B2824,Calc!O2824,"")</f>
        <v/>
      </c>
    </row>
    <row r="2825">
      <c r="A2825" s="16">
        <f>IF(Calc!$B2825,Calc!E2825,"")</f>
        <v/>
      </c>
      <c r="B2825">
        <f>IF(Calc!$B2825,INDEX(MineNames,Calc!C2825),"")</f>
        <v/>
      </c>
      <c r="C2825" s="17">
        <f>IF(Calc!$B2825,Calc!O2825,"")</f>
        <v/>
      </c>
    </row>
    <row r="2826">
      <c r="A2826" s="16">
        <f>IF(Calc!$B2826,Calc!E2826,"")</f>
        <v/>
      </c>
      <c r="B2826">
        <f>IF(Calc!$B2826,INDEX(MineNames,Calc!C2826),"")</f>
        <v/>
      </c>
      <c r="C2826" s="17">
        <f>IF(Calc!$B2826,Calc!O2826,"")</f>
        <v/>
      </c>
    </row>
    <row r="2827">
      <c r="A2827" s="16">
        <f>IF(Calc!$B2827,Calc!E2827,"")</f>
        <v/>
      </c>
      <c r="B2827">
        <f>IF(Calc!$B2827,INDEX(MineNames,Calc!C2827),"")</f>
        <v/>
      </c>
      <c r="C2827" s="17">
        <f>IF(Calc!$B2827,Calc!O2827,"")</f>
        <v/>
      </c>
    </row>
    <row r="2828">
      <c r="A2828" s="16">
        <f>IF(Calc!$B2828,Calc!E2828,"")</f>
        <v/>
      </c>
      <c r="B2828">
        <f>IF(Calc!$B2828,INDEX(MineNames,Calc!C2828),"")</f>
        <v/>
      </c>
      <c r="C2828" s="17">
        <f>IF(Calc!$B2828,Calc!O2828,"")</f>
        <v/>
      </c>
    </row>
    <row r="2829">
      <c r="A2829" s="16">
        <f>IF(Calc!$B2829,Calc!E2829,"")</f>
        <v/>
      </c>
      <c r="B2829">
        <f>IF(Calc!$B2829,INDEX(MineNames,Calc!C2829),"")</f>
        <v/>
      </c>
      <c r="C2829" s="17">
        <f>IF(Calc!$B2829,Calc!O2829,"")</f>
        <v/>
      </c>
    </row>
    <row r="2830">
      <c r="A2830" s="16">
        <f>IF(Calc!$B2830,Calc!E2830,"")</f>
        <v/>
      </c>
      <c r="B2830">
        <f>IF(Calc!$B2830,INDEX(MineNames,Calc!C2830),"")</f>
        <v/>
      </c>
      <c r="C2830" s="17">
        <f>IF(Calc!$B2830,Calc!O2830,"")</f>
        <v/>
      </c>
    </row>
    <row r="2831">
      <c r="A2831" s="16">
        <f>IF(Calc!$B2831,Calc!E2831,"")</f>
        <v/>
      </c>
      <c r="B2831">
        <f>IF(Calc!$B2831,INDEX(MineNames,Calc!C2831),"")</f>
        <v/>
      </c>
      <c r="C2831" s="17">
        <f>IF(Calc!$B2831,Calc!O2831,"")</f>
        <v/>
      </c>
    </row>
    <row r="2832">
      <c r="A2832" s="16">
        <f>IF(Calc!$B2832,Calc!E2832,"")</f>
        <v/>
      </c>
      <c r="B2832">
        <f>IF(Calc!$B2832,INDEX(MineNames,Calc!C2832),"")</f>
        <v/>
      </c>
      <c r="C2832" s="17">
        <f>IF(Calc!$B2832,Calc!O2832,"")</f>
        <v/>
      </c>
    </row>
    <row r="2833">
      <c r="A2833" s="16">
        <f>IF(Calc!$B2833,Calc!E2833,"")</f>
        <v/>
      </c>
      <c r="B2833">
        <f>IF(Calc!$B2833,INDEX(MineNames,Calc!C2833),"")</f>
        <v/>
      </c>
      <c r="C2833" s="17">
        <f>IF(Calc!$B2833,Calc!O2833,"")</f>
        <v/>
      </c>
    </row>
    <row r="2834">
      <c r="A2834" s="16">
        <f>IF(Calc!$B2834,Calc!E2834,"")</f>
        <v/>
      </c>
      <c r="B2834">
        <f>IF(Calc!$B2834,INDEX(MineNames,Calc!C2834),"")</f>
        <v/>
      </c>
      <c r="C2834" s="17">
        <f>IF(Calc!$B2834,Calc!O2834,"")</f>
        <v/>
      </c>
    </row>
    <row r="2835">
      <c r="A2835" s="16">
        <f>IF(Calc!$B2835,Calc!E2835,"")</f>
        <v/>
      </c>
      <c r="B2835">
        <f>IF(Calc!$B2835,INDEX(MineNames,Calc!C2835),"")</f>
        <v/>
      </c>
      <c r="C2835" s="17">
        <f>IF(Calc!$B2835,Calc!O2835,"")</f>
        <v/>
      </c>
    </row>
    <row r="2836">
      <c r="A2836" s="16">
        <f>IF(Calc!$B2836,Calc!E2836,"")</f>
        <v/>
      </c>
      <c r="B2836">
        <f>IF(Calc!$B2836,INDEX(MineNames,Calc!C2836),"")</f>
        <v/>
      </c>
      <c r="C2836" s="17">
        <f>IF(Calc!$B2836,Calc!O2836,"")</f>
        <v/>
      </c>
    </row>
    <row r="2837">
      <c r="A2837" s="16">
        <f>IF(Calc!$B2837,Calc!E2837,"")</f>
        <v/>
      </c>
      <c r="B2837">
        <f>IF(Calc!$B2837,INDEX(MineNames,Calc!C2837),"")</f>
        <v/>
      </c>
      <c r="C2837" s="17">
        <f>IF(Calc!$B2837,Calc!O2837,"")</f>
        <v/>
      </c>
    </row>
    <row r="2838">
      <c r="A2838" s="16">
        <f>IF(Calc!$B2838,Calc!E2838,"")</f>
        <v/>
      </c>
      <c r="B2838">
        <f>IF(Calc!$B2838,INDEX(MineNames,Calc!C2838),"")</f>
        <v/>
      </c>
      <c r="C2838" s="17">
        <f>IF(Calc!$B2838,Calc!O2838,"")</f>
        <v/>
      </c>
    </row>
    <row r="2839">
      <c r="A2839" s="16">
        <f>IF(Calc!$B2839,Calc!E2839,"")</f>
        <v/>
      </c>
      <c r="B2839">
        <f>IF(Calc!$B2839,INDEX(MineNames,Calc!C2839),"")</f>
        <v/>
      </c>
      <c r="C2839" s="17">
        <f>IF(Calc!$B2839,Calc!O2839,"")</f>
        <v/>
      </c>
    </row>
    <row r="2840">
      <c r="A2840" s="16">
        <f>IF(Calc!$B2840,Calc!E2840,"")</f>
        <v/>
      </c>
      <c r="B2840">
        <f>IF(Calc!$B2840,INDEX(MineNames,Calc!C2840),"")</f>
        <v/>
      </c>
      <c r="C2840" s="17">
        <f>IF(Calc!$B2840,Calc!O2840,"")</f>
        <v/>
      </c>
    </row>
    <row r="2841">
      <c r="A2841" s="16">
        <f>IF(Calc!$B2841,Calc!E2841,"")</f>
        <v/>
      </c>
      <c r="B2841">
        <f>IF(Calc!$B2841,INDEX(MineNames,Calc!C2841),"")</f>
        <v/>
      </c>
      <c r="C2841" s="17">
        <f>IF(Calc!$B2841,Calc!O2841,"")</f>
        <v/>
      </c>
    </row>
    <row r="2842">
      <c r="A2842" s="16">
        <f>IF(Calc!$B2842,Calc!E2842,"")</f>
        <v/>
      </c>
      <c r="B2842">
        <f>IF(Calc!$B2842,INDEX(MineNames,Calc!C2842),"")</f>
        <v/>
      </c>
      <c r="C2842" s="17">
        <f>IF(Calc!$B2842,Calc!O2842,"")</f>
        <v/>
      </c>
    </row>
    <row r="2843">
      <c r="A2843" s="16">
        <f>IF(Calc!$B2843,Calc!E2843,"")</f>
        <v/>
      </c>
      <c r="B2843">
        <f>IF(Calc!$B2843,INDEX(MineNames,Calc!C2843),"")</f>
        <v/>
      </c>
      <c r="C2843" s="17">
        <f>IF(Calc!$B2843,Calc!O2843,"")</f>
        <v/>
      </c>
    </row>
    <row r="2844">
      <c r="A2844" s="16">
        <f>IF(Calc!$B2844,Calc!E2844,"")</f>
        <v/>
      </c>
      <c r="B2844">
        <f>IF(Calc!$B2844,INDEX(MineNames,Calc!C2844),"")</f>
        <v/>
      </c>
      <c r="C2844" s="17">
        <f>IF(Calc!$B2844,Calc!O2844,"")</f>
        <v/>
      </c>
    </row>
    <row r="2845">
      <c r="A2845" s="16">
        <f>IF(Calc!$B2845,Calc!E2845,"")</f>
        <v/>
      </c>
      <c r="B2845">
        <f>IF(Calc!$B2845,INDEX(MineNames,Calc!C2845),"")</f>
        <v/>
      </c>
      <c r="C2845" s="17">
        <f>IF(Calc!$B2845,Calc!O2845,"")</f>
        <v/>
      </c>
    </row>
    <row r="2846">
      <c r="A2846" s="16">
        <f>IF(Calc!$B2846,Calc!E2846,"")</f>
        <v/>
      </c>
      <c r="B2846">
        <f>IF(Calc!$B2846,INDEX(MineNames,Calc!C2846),"")</f>
        <v/>
      </c>
      <c r="C2846" s="17">
        <f>IF(Calc!$B2846,Calc!O2846,"")</f>
        <v/>
      </c>
    </row>
    <row r="2847">
      <c r="A2847" s="16">
        <f>IF(Calc!$B2847,Calc!E2847,"")</f>
        <v/>
      </c>
      <c r="B2847">
        <f>IF(Calc!$B2847,INDEX(MineNames,Calc!C2847),"")</f>
        <v/>
      </c>
      <c r="C2847" s="17">
        <f>IF(Calc!$B2847,Calc!O2847,"")</f>
        <v/>
      </c>
    </row>
    <row r="2848">
      <c r="A2848" s="16">
        <f>IF(Calc!$B2848,Calc!E2848,"")</f>
        <v/>
      </c>
      <c r="B2848">
        <f>IF(Calc!$B2848,INDEX(MineNames,Calc!C2848),"")</f>
        <v/>
      </c>
      <c r="C2848" s="17">
        <f>IF(Calc!$B2848,Calc!O2848,"")</f>
        <v/>
      </c>
    </row>
    <row r="2849">
      <c r="A2849" s="16">
        <f>IF(Calc!$B2849,Calc!E2849,"")</f>
        <v/>
      </c>
      <c r="B2849">
        <f>IF(Calc!$B2849,INDEX(MineNames,Calc!C2849),"")</f>
        <v/>
      </c>
      <c r="C2849" s="17">
        <f>IF(Calc!$B2849,Calc!O2849,"")</f>
        <v/>
      </c>
    </row>
    <row r="2850">
      <c r="A2850" s="16">
        <f>IF(Calc!$B2850,Calc!E2850,"")</f>
        <v/>
      </c>
      <c r="B2850">
        <f>IF(Calc!$B2850,INDEX(MineNames,Calc!C2850),"")</f>
        <v/>
      </c>
      <c r="C2850" s="17">
        <f>IF(Calc!$B2850,Calc!O2850,"")</f>
        <v/>
      </c>
    </row>
    <row r="2851">
      <c r="A2851" s="16">
        <f>IF(Calc!$B2851,Calc!E2851,"")</f>
        <v/>
      </c>
      <c r="B2851">
        <f>IF(Calc!$B2851,INDEX(MineNames,Calc!C2851),"")</f>
        <v/>
      </c>
      <c r="C2851" s="17">
        <f>IF(Calc!$B2851,Calc!O2851,"")</f>
        <v/>
      </c>
    </row>
    <row r="2852">
      <c r="A2852" s="16">
        <f>IF(Calc!$B2852,Calc!E2852,"")</f>
        <v/>
      </c>
      <c r="B2852">
        <f>IF(Calc!$B2852,INDEX(MineNames,Calc!C2852),"")</f>
        <v/>
      </c>
      <c r="C2852" s="17">
        <f>IF(Calc!$B2852,Calc!O2852,"")</f>
        <v/>
      </c>
    </row>
    <row r="2853">
      <c r="A2853" s="16">
        <f>IF(Calc!$B2853,Calc!E2853,"")</f>
        <v/>
      </c>
      <c r="B2853">
        <f>IF(Calc!$B2853,INDEX(MineNames,Calc!C2853),"")</f>
        <v/>
      </c>
      <c r="C2853" s="17">
        <f>IF(Calc!$B2853,Calc!O2853,"")</f>
        <v/>
      </c>
    </row>
    <row r="2854">
      <c r="A2854" s="16">
        <f>IF(Calc!$B2854,Calc!E2854,"")</f>
        <v/>
      </c>
      <c r="B2854">
        <f>IF(Calc!$B2854,INDEX(MineNames,Calc!C2854),"")</f>
        <v/>
      </c>
      <c r="C2854" s="17">
        <f>IF(Calc!$B2854,Calc!O2854,"")</f>
        <v/>
      </c>
    </row>
    <row r="2855">
      <c r="A2855" s="16">
        <f>IF(Calc!$B2855,Calc!E2855,"")</f>
        <v/>
      </c>
      <c r="B2855">
        <f>IF(Calc!$B2855,INDEX(MineNames,Calc!C2855),"")</f>
        <v/>
      </c>
      <c r="C2855" s="17">
        <f>IF(Calc!$B2855,Calc!O2855,"")</f>
        <v/>
      </c>
    </row>
    <row r="2856">
      <c r="A2856" s="16">
        <f>IF(Calc!$B2856,Calc!E2856,"")</f>
        <v/>
      </c>
      <c r="B2856">
        <f>IF(Calc!$B2856,INDEX(MineNames,Calc!C2856),"")</f>
        <v/>
      </c>
      <c r="C2856" s="17">
        <f>IF(Calc!$B2856,Calc!O2856,"")</f>
        <v/>
      </c>
    </row>
    <row r="2857">
      <c r="A2857" s="16">
        <f>IF(Calc!$B2857,Calc!E2857,"")</f>
        <v/>
      </c>
      <c r="B2857">
        <f>IF(Calc!$B2857,INDEX(MineNames,Calc!C2857),"")</f>
        <v/>
      </c>
      <c r="C2857" s="17">
        <f>IF(Calc!$B2857,Calc!O2857,"")</f>
        <v/>
      </c>
    </row>
    <row r="2858">
      <c r="A2858" s="16">
        <f>IF(Calc!$B2858,Calc!E2858,"")</f>
        <v/>
      </c>
      <c r="B2858">
        <f>IF(Calc!$B2858,INDEX(MineNames,Calc!C2858),"")</f>
        <v/>
      </c>
      <c r="C2858" s="17">
        <f>IF(Calc!$B2858,Calc!O2858,"")</f>
        <v/>
      </c>
    </row>
    <row r="2859">
      <c r="A2859" s="16">
        <f>IF(Calc!$B2859,Calc!E2859,"")</f>
        <v/>
      </c>
      <c r="B2859">
        <f>IF(Calc!$B2859,INDEX(MineNames,Calc!C2859),"")</f>
        <v/>
      </c>
      <c r="C2859" s="17">
        <f>IF(Calc!$B2859,Calc!O2859,"")</f>
        <v/>
      </c>
    </row>
    <row r="2860">
      <c r="A2860" s="16">
        <f>IF(Calc!$B2860,Calc!E2860,"")</f>
        <v/>
      </c>
      <c r="B2860">
        <f>IF(Calc!$B2860,INDEX(MineNames,Calc!C2860),"")</f>
        <v/>
      </c>
      <c r="C2860" s="17">
        <f>IF(Calc!$B2860,Calc!O2860,"")</f>
        <v/>
      </c>
    </row>
    <row r="2861">
      <c r="A2861" s="16">
        <f>IF(Calc!$B2861,Calc!E2861,"")</f>
        <v/>
      </c>
      <c r="B2861">
        <f>IF(Calc!$B2861,INDEX(MineNames,Calc!C2861),"")</f>
        <v/>
      </c>
      <c r="C2861" s="17">
        <f>IF(Calc!$B2861,Calc!O2861,"")</f>
        <v/>
      </c>
    </row>
    <row r="2862">
      <c r="A2862" s="16">
        <f>IF(Calc!$B2862,Calc!E2862,"")</f>
        <v/>
      </c>
      <c r="B2862">
        <f>IF(Calc!$B2862,INDEX(MineNames,Calc!C2862),"")</f>
        <v/>
      </c>
      <c r="C2862" s="17">
        <f>IF(Calc!$B2862,Calc!O2862,"")</f>
        <v/>
      </c>
    </row>
    <row r="2863">
      <c r="A2863" s="16">
        <f>IF(Calc!$B2863,Calc!E2863,"")</f>
        <v/>
      </c>
      <c r="B2863">
        <f>IF(Calc!$B2863,INDEX(MineNames,Calc!C2863),"")</f>
        <v/>
      </c>
      <c r="C2863" s="17">
        <f>IF(Calc!$B2863,Calc!O2863,"")</f>
        <v/>
      </c>
    </row>
    <row r="2864">
      <c r="A2864" s="16">
        <f>IF(Calc!$B2864,Calc!E2864,"")</f>
        <v/>
      </c>
      <c r="B2864">
        <f>IF(Calc!$B2864,INDEX(MineNames,Calc!C2864),"")</f>
        <v/>
      </c>
      <c r="C2864" s="17">
        <f>IF(Calc!$B2864,Calc!O2864,"")</f>
        <v/>
      </c>
    </row>
    <row r="2865">
      <c r="A2865" s="16">
        <f>IF(Calc!$B2865,Calc!E2865,"")</f>
        <v/>
      </c>
      <c r="B2865">
        <f>IF(Calc!$B2865,INDEX(MineNames,Calc!C2865),"")</f>
        <v/>
      </c>
      <c r="C2865" s="17">
        <f>IF(Calc!$B2865,Calc!O2865,"")</f>
        <v/>
      </c>
    </row>
    <row r="2866">
      <c r="A2866" s="16">
        <f>IF(Calc!$B2866,Calc!E2866,"")</f>
        <v/>
      </c>
      <c r="B2866">
        <f>IF(Calc!$B2866,INDEX(MineNames,Calc!C2866),"")</f>
        <v/>
      </c>
      <c r="C2866" s="17">
        <f>IF(Calc!$B2866,Calc!O2866,"")</f>
        <v/>
      </c>
    </row>
    <row r="2867">
      <c r="A2867" s="16">
        <f>IF(Calc!$B2867,Calc!E2867,"")</f>
        <v/>
      </c>
      <c r="B2867">
        <f>IF(Calc!$B2867,INDEX(MineNames,Calc!C2867),"")</f>
        <v/>
      </c>
      <c r="C2867" s="17">
        <f>IF(Calc!$B2867,Calc!O2867,"")</f>
        <v/>
      </c>
    </row>
    <row r="2868">
      <c r="A2868" s="16">
        <f>IF(Calc!$B2868,Calc!E2868,"")</f>
        <v/>
      </c>
      <c r="B2868">
        <f>IF(Calc!$B2868,INDEX(MineNames,Calc!C2868),"")</f>
        <v/>
      </c>
      <c r="C2868" s="17">
        <f>IF(Calc!$B2868,Calc!O2868,"")</f>
        <v/>
      </c>
    </row>
    <row r="2869">
      <c r="A2869" s="16">
        <f>IF(Calc!$B2869,Calc!E2869,"")</f>
        <v/>
      </c>
      <c r="B2869">
        <f>IF(Calc!$B2869,INDEX(MineNames,Calc!C2869),"")</f>
        <v/>
      </c>
      <c r="C2869" s="17">
        <f>IF(Calc!$B2869,Calc!O2869,"")</f>
        <v/>
      </c>
    </row>
    <row r="2870">
      <c r="A2870" s="16">
        <f>IF(Calc!$B2870,Calc!E2870,"")</f>
        <v/>
      </c>
      <c r="B2870">
        <f>IF(Calc!$B2870,INDEX(MineNames,Calc!C2870),"")</f>
        <v/>
      </c>
      <c r="C2870" s="17">
        <f>IF(Calc!$B2870,Calc!O2870,"")</f>
        <v/>
      </c>
    </row>
    <row r="2871">
      <c r="A2871" s="16">
        <f>IF(Calc!$B2871,Calc!E2871,"")</f>
        <v/>
      </c>
      <c r="B2871">
        <f>IF(Calc!$B2871,INDEX(MineNames,Calc!C2871),"")</f>
        <v/>
      </c>
      <c r="C2871" s="17">
        <f>IF(Calc!$B2871,Calc!O2871,"")</f>
        <v/>
      </c>
    </row>
    <row r="2872">
      <c r="A2872" s="16">
        <f>IF(Calc!$B2872,Calc!E2872,"")</f>
        <v/>
      </c>
      <c r="B2872">
        <f>IF(Calc!$B2872,INDEX(MineNames,Calc!C2872),"")</f>
        <v/>
      </c>
      <c r="C2872" s="17">
        <f>IF(Calc!$B2872,Calc!O2872,"")</f>
        <v/>
      </c>
    </row>
    <row r="2873">
      <c r="A2873" s="16">
        <f>IF(Calc!$B2873,Calc!E2873,"")</f>
        <v/>
      </c>
      <c r="B2873">
        <f>IF(Calc!$B2873,INDEX(MineNames,Calc!C2873),"")</f>
        <v/>
      </c>
      <c r="C2873" s="17">
        <f>IF(Calc!$B2873,Calc!O2873,"")</f>
        <v/>
      </c>
    </row>
    <row r="2874">
      <c r="A2874" s="16">
        <f>IF(Calc!$B2874,Calc!E2874,"")</f>
        <v/>
      </c>
      <c r="B2874">
        <f>IF(Calc!$B2874,INDEX(MineNames,Calc!C2874),"")</f>
        <v/>
      </c>
      <c r="C2874" s="17">
        <f>IF(Calc!$B2874,Calc!O2874,"")</f>
        <v/>
      </c>
    </row>
    <row r="2875">
      <c r="A2875" s="16">
        <f>IF(Calc!$B2875,Calc!E2875,"")</f>
        <v/>
      </c>
      <c r="B2875">
        <f>IF(Calc!$B2875,INDEX(MineNames,Calc!C2875),"")</f>
        <v/>
      </c>
      <c r="C2875" s="17">
        <f>IF(Calc!$B2875,Calc!O2875,"")</f>
        <v/>
      </c>
    </row>
    <row r="2876">
      <c r="A2876" s="16">
        <f>IF(Calc!$B2876,Calc!E2876,"")</f>
        <v/>
      </c>
      <c r="B2876">
        <f>IF(Calc!$B2876,INDEX(MineNames,Calc!C2876),"")</f>
        <v/>
      </c>
      <c r="C2876" s="17">
        <f>IF(Calc!$B2876,Calc!O2876,"")</f>
        <v/>
      </c>
    </row>
    <row r="2877">
      <c r="A2877" s="16">
        <f>IF(Calc!$B2877,Calc!E2877,"")</f>
        <v/>
      </c>
      <c r="B2877">
        <f>IF(Calc!$B2877,INDEX(MineNames,Calc!C2877),"")</f>
        <v/>
      </c>
      <c r="C2877" s="17">
        <f>IF(Calc!$B2877,Calc!O2877,"")</f>
        <v/>
      </c>
    </row>
    <row r="2878">
      <c r="A2878" s="16">
        <f>IF(Calc!$B2878,Calc!E2878,"")</f>
        <v/>
      </c>
      <c r="B2878">
        <f>IF(Calc!$B2878,INDEX(MineNames,Calc!C2878),"")</f>
        <v/>
      </c>
      <c r="C2878" s="17">
        <f>IF(Calc!$B2878,Calc!O2878,"")</f>
        <v/>
      </c>
    </row>
    <row r="2879">
      <c r="A2879" s="16">
        <f>IF(Calc!$B2879,Calc!E2879,"")</f>
        <v/>
      </c>
      <c r="B2879">
        <f>IF(Calc!$B2879,INDEX(MineNames,Calc!C2879),"")</f>
        <v/>
      </c>
      <c r="C2879" s="17">
        <f>IF(Calc!$B2879,Calc!O2879,"")</f>
        <v/>
      </c>
    </row>
    <row r="2880">
      <c r="A2880" s="16">
        <f>IF(Calc!$B2880,Calc!E2880,"")</f>
        <v/>
      </c>
      <c r="B2880">
        <f>IF(Calc!$B2880,INDEX(MineNames,Calc!C2880),"")</f>
        <v/>
      </c>
      <c r="C2880" s="17">
        <f>IF(Calc!$B2880,Calc!O2880,"")</f>
        <v/>
      </c>
    </row>
    <row r="2881">
      <c r="A2881" s="16">
        <f>IF(Calc!$B2881,Calc!E2881,"")</f>
        <v/>
      </c>
      <c r="B2881">
        <f>IF(Calc!$B2881,INDEX(MineNames,Calc!C2881),"")</f>
        <v/>
      </c>
      <c r="C2881" s="17">
        <f>IF(Calc!$B2881,Calc!O2881,"")</f>
        <v/>
      </c>
    </row>
    <row r="2882">
      <c r="A2882" s="16">
        <f>IF(Calc!$B2882,Calc!E2882,"")</f>
        <v/>
      </c>
      <c r="B2882">
        <f>IF(Calc!$B2882,INDEX(MineNames,Calc!C2882),"")</f>
        <v/>
      </c>
      <c r="C2882" s="17">
        <f>IF(Calc!$B2882,Calc!O2882,"")</f>
        <v/>
      </c>
    </row>
    <row r="2883">
      <c r="A2883" s="16">
        <f>IF(Calc!$B2883,Calc!E2883,"")</f>
        <v/>
      </c>
      <c r="B2883">
        <f>IF(Calc!$B2883,INDEX(MineNames,Calc!C2883),"")</f>
        <v/>
      </c>
      <c r="C2883" s="17">
        <f>IF(Calc!$B2883,Calc!O2883,"")</f>
        <v/>
      </c>
    </row>
    <row r="2884">
      <c r="A2884" s="16">
        <f>IF(Calc!$B2884,Calc!E2884,"")</f>
        <v/>
      </c>
      <c r="B2884">
        <f>IF(Calc!$B2884,INDEX(MineNames,Calc!C2884),"")</f>
        <v/>
      </c>
      <c r="C2884" s="17">
        <f>IF(Calc!$B2884,Calc!O2884,"")</f>
        <v/>
      </c>
    </row>
    <row r="2885">
      <c r="A2885" s="16">
        <f>IF(Calc!$B2885,Calc!E2885,"")</f>
        <v/>
      </c>
      <c r="B2885">
        <f>IF(Calc!$B2885,INDEX(MineNames,Calc!C2885),"")</f>
        <v/>
      </c>
      <c r="C2885" s="17">
        <f>IF(Calc!$B2885,Calc!O2885,"")</f>
        <v/>
      </c>
    </row>
    <row r="2886">
      <c r="A2886" s="16">
        <f>IF(Calc!$B2886,Calc!E2886,"")</f>
        <v/>
      </c>
      <c r="B2886">
        <f>IF(Calc!$B2886,INDEX(MineNames,Calc!C2886),"")</f>
        <v/>
      </c>
      <c r="C2886" s="17">
        <f>IF(Calc!$B2886,Calc!O2886,"")</f>
        <v/>
      </c>
    </row>
    <row r="2887">
      <c r="A2887" s="16">
        <f>IF(Calc!$B2887,Calc!E2887,"")</f>
        <v/>
      </c>
      <c r="B2887">
        <f>IF(Calc!$B2887,INDEX(MineNames,Calc!C2887),"")</f>
        <v/>
      </c>
      <c r="C2887" s="17">
        <f>IF(Calc!$B2887,Calc!O2887,"")</f>
        <v/>
      </c>
    </row>
    <row r="2888">
      <c r="A2888" s="16">
        <f>IF(Calc!$B2888,Calc!E2888,"")</f>
        <v/>
      </c>
      <c r="B2888">
        <f>IF(Calc!$B2888,INDEX(MineNames,Calc!C2888),"")</f>
        <v/>
      </c>
      <c r="C2888" s="17">
        <f>IF(Calc!$B2888,Calc!O2888,"")</f>
        <v/>
      </c>
    </row>
    <row r="2889">
      <c r="A2889" s="16">
        <f>IF(Calc!$B2889,Calc!E2889,"")</f>
        <v/>
      </c>
      <c r="B2889">
        <f>IF(Calc!$B2889,INDEX(MineNames,Calc!C2889),"")</f>
        <v/>
      </c>
      <c r="C2889" s="17">
        <f>IF(Calc!$B2889,Calc!O2889,"")</f>
        <v/>
      </c>
    </row>
    <row r="2890">
      <c r="A2890" s="16">
        <f>IF(Calc!$B2890,Calc!E2890,"")</f>
        <v/>
      </c>
      <c r="B2890">
        <f>IF(Calc!$B2890,INDEX(MineNames,Calc!C2890),"")</f>
        <v/>
      </c>
      <c r="C2890" s="17">
        <f>IF(Calc!$B2890,Calc!O2890,"")</f>
        <v/>
      </c>
    </row>
    <row r="2891">
      <c r="A2891" s="16">
        <f>IF(Calc!$B2891,Calc!E2891,"")</f>
        <v/>
      </c>
      <c r="B2891">
        <f>IF(Calc!$B2891,INDEX(MineNames,Calc!C2891),"")</f>
        <v/>
      </c>
      <c r="C2891" s="17">
        <f>IF(Calc!$B2891,Calc!O2891,"")</f>
        <v/>
      </c>
    </row>
    <row r="2892">
      <c r="A2892" s="16">
        <f>IF(Calc!$B2892,Calc!E2892,"")</f>
        <v/>
      </c>
      <c r="B2892">
        <f>IF(Calc!$B2892,INDEX(MineNames,Calc!C2892),"")</f>
        <v/>
      </c>
      <c r="C2892" s="17">
        <f>IF(Calc!$B2892,Calc!O2892,"")</f>
        <v/>
      </c>
    </row>
    <row r="2893">
      <c r="A2893" s="16">
        <f>IF(Calc!$B2893,Calc!E2893,"")</f>
        <v/>
      </c>
      <c r="B2893">
        <f>IF(Calc!$B2893,INDEX(MineNames,Calc!C2893),"")</f>
        <v/>
      </c>
      <c r="C2893" s="17">
        <f>IF(Calc!$B2893,Calc!O2893,"")</f>
        <v/>
      </c>
    </row>
    <row r="2894">
      <c r="A2894" s="16">
        <f>IF(Calc!$B2894,Calc!E2894,"")</f>
        <v/>
      </c>
      <c r="B2894">
        <f>IF(Calc!$B2894,INDEX(MineNames,Calc!C2894),"")</f>
        <v/>
      </c>
      <c r="C2894" s="17">
        <f>IF(Calc!$B2894,Calc!O2894,"")</f>
        <v/>
      </c>
    </row>
    <row r="2895">
      <c r="A2895" s="16">
        <f>IF(Calc!$B2895,Calc!E2895,"")</f>
        <v/>
      </c>
      <c r="B2895">
        <f>IF(Calc!$B2895,INDEX(MineNames,Calc!C2895),"")</f>
        <v/>
      </c>
      <c r="C2895" s="17">
        <f>IF(Calc!$B2895,Calc!O2895,"")</f>
        <v/>
      </c>
    </row>
    <row r="2896">
      <c r="A2896" s="16">
        <f>IF(Calc!$B2896,Calc!E2896,"")</f>
        <v/>
      </c>
      <c r="B2896">
        <f>IF(Calc!$B2896,INDEX(MineNames,Calc!C2896),"")</f>
        <v/>
      </c>
      <c r="C2896" s="17">
        <f>IF(Calc!$B2896,Calc!O2896,"")</f>
        <v/>
      </c>
    </row>
    <row r="2897">
      <c r="A2897" s="16">
        <f>IF(Calc!$B2897,Calc!E2897,"")</f>
        <v/>
      </c>
      <c r="B2897">
        <f>IF(Calc!$B2897,INDEX(MineNames,Calc!C2897),"")</f>
        <v/>
      </c>
      <c r="C2897" s="17">
        <f>IF(Calc!$B2897,Calc!O2897,"")</f>
        <v/>
      </c>
    </row>
    <row r="2898">
      <c r="A2898" s="16">
        <f>IF(Calc!$B2898,Calc!E2898,"")</f>
        <v/>
      </c>
      <c r="B2898">
        <f>IF(Calc!$B2898,INDEX(MineNames,Calc!C2898),"")</f>
        <v/>
      </c>
      <c r="C2898" s="17">
        <f>IF(Calc!$B2898,Calc!O2898,"")</f>
        <v/>
      </c>
    </row>
    <row r="2899">
      <c r="A2899" s="16">
        <f>IF(Calc!$B2899,Calc!E2899,"")</f>
        <v/>
      </c>
      <c r="B2899">
        <f>IF(Calc!$B2899,INDEX(MineNames,Calc!C2899),"")</f>
        <v/>
      </c>
      <c r="C2899" s="17">
        <f>IF(Calc!$B2899,Calc!O2899,"")</f>
        <v/>
      </c>
    </row>
    <row r="2900">
      <c r="A2900" s="16">
        <f>IF(Calc!$B2900,Calc!E2900,"")</f>
        <v/>
      </c>
      <c r="B2900">
        <f>IF(Calc!$B2900,INDEX(MineNames,Calc!C2900),"")</f>
        <v/>
      </c>
      <c r="C2900" s="17">
        <f>IF(Calc!$B2900,Calc!O2900,"")</f>
        <v/>
      </c>
    </row>
    <row r="2901">
      <c r="A2901" s="16">
        <f>IF(Calc!$B2901,Calc!E2901,"")</f>
        <v/>
      </c>
      <c r="B2901">
        <f>IF(Calc!$B2901,INDEX(MineNames,Calc!C2901),"")</f>
        <v/>
      </c>
      <c r="C2901" s="17">
        <f>IF(Calc!$B2901,Calc!O2901,"")</f>
        <v/>
      </c>
    </row>
    <row r="2902">
      <c r="A2902" s="16">
        <f>IF(Calc!$B2902,Calc!E2902,"")</f>
        <v/>
      </c>
      <c r="B2902">
        <f>IF(Calc!$B2902,INDEX(MineNames,Calc!C2902),"")</f>
        <v/>
      </c>
      <c r="C2902" s="17">
        <f>IF(Calc!$B2902,Calc!O2902,"")</f>
        <v/>
      </c>
    </row>
    <row r="2903">
      <c r="A2903" s="16">
        <f>IF(Calc!$B2903,Calc!E2903,"")</f>
        <v/>
      </c>
      <c r="B2903">
        <f>IF(Calc!$B2903,INDEX(MineNames,Calc!C2903),"")</f>
        <v/>
      </c>
      <c r="C2903" s="17">
        <f>IF(Calc!$B2903,Calc!O2903,"")</f>
        <v/>
      </c>
    </row>
    <row r="2904">
      <c r="A2904" s="16">
        <f>IF(Calc!$B2904,Calc!E2904,"")</f>
        <v/>
      </c>
      <c r="B2904">
        <f>IF(Calc!$B2904,INDEX(MineNames,Calc!C2904),"")</f>
        <v/>
      </c>
      <c r="C2904" s="17">
        <f>IF(Calc!$B2904,Calc!O2904,"")</f>
        <v/>
      </c>
    </row>
    <row r="2905">
      <c r="A2905" s="16">
        <f>IF(Calc!$B2905,Calc!E2905,"")</f>
        <v/>
      </c>
      <c r="B2905">
        <f>IF(Calc!$B2905,INDEX(MineNames,Calc!C2905),"")</f>
        <v/>
      </c>
      <c r="C2905" s="17">
        <f>IF(Calc!$B2905,Calc!O2905,"")</f>
        <v/>
      </c>
    </row>
    <row r="2906">
      <c r="A2906" s="16">
        <f>IF(Calc!$B2906,Calc!E2906,"")</f>
        <v/>
      </c>
      <c r="B2906">
        <f>IF(Calc!$B2906,INDEX(MineNames,Calc!C2906),"")</f>
        <v/>
      </c>
      <c r="C2906" s="17">
        <f>IF(Calc!$B2906,Calc!O2906,"")</f>
        <v/>
      </c>
    </row>
    <row r="2907">
      <c r="A2907" s="16">
        <f>IF(Calc!$B2907,Calc!E2907,"")</f>
        <v/>
      </c>
      <c r="B2907">
        <f>IF(Calc!$B2907,INDEX(MineNames,Calc!C2907),"")</f>
        <v/>
      </c>
      <c r="C2907" s="17">
        <f>IF(Calc!$B2907,Calc!O2907,"")</f>
        <v/>
      </c>
    </row>
    <row r="2908">
      <c r="A2908" s="16">
        <f>IF(Calc!$B2908,Calc!E2908,"")</f>
        <v/>
      </c>
      <c r="B2908">
        <f>IF(Calc!$B2908,INDEX(MineNames,Calc!C2908),"")</f>
        <v/>
      </c>
      <c r="C2908" s="17">
        <f>IF(Calc!$B2908,Calc!O2908,"")</f>
        <v/>
      </c>
    </row>
    <row r="2909">
      <c r="A2909" s="16">
        <f>IF(Calc!$B2909,Calc!E2909,"")</f>
        <v/>
      </c>
      <c r="B2909">
        <f>IF(Calc!$B2909,INDEX(MineNames,Calc!C2909),"")</f>
        <v/>
      </c>
      <c r="C2909" s="17">
        <f>IF(Calc!$B2909,Calc!O2909,"")</f>
        <v/>
      </c>
    </row>
    <row r="2910">
      <c r="A2910" s="16">
        <f>IF(Calc!$B2910,Calc!E2910,"")</f>
        <v/>
      </c>
      <c r="B2910">
        <f>IF(Calc!$B2910,INDEX(MineNames,Calc!C2910),"")</f>
        <v/>
      </c>
      <c r="C2910" s="17">
        <f>IF(Calc!$B2910,Calc!O2910,"")</f>
        <v/>
      </c>
    </row>
    <row r="2911">
      <c r="A2911" s="16">
        <f>IF(Calc!$B2911,Calc!E2911,"")</f>
        <v/>
      </c>
      <c r="B2911">
        <f>IF(Calc!$B2911,INDEX(MineNames,Calc!C2911),"")</f>
        <v/>
      </c>
      <c r="C2911" s="17">
        <f>IF(Calc!$B2911,Calc!O2911,"")</f>
        <v/>
      </c>
    </row>
    <row r="2912">
      <c r="A2912" s="16">
        <f>IF(Calc!$B2912,Calc!E2912,"")</f>
        <v/>
      </c>
      <c r="B2912">
        <f>IF(Calc!$B2912,INDEX(MineNames,Calc!C2912),"")</f>
        <v/>
      </c>
      <c r="C2912" s="17">
        <f>IF(Calc!$B2912,Calc!O2912,"")</f>
        <v/>
      </c>
    </row>
    <row r="2913">
      <c r="A2913" s="16">
        <f>IF(Calc!$B2913,Calc!E2913,"")</f>
        <v/>
      </c>
      <c r="B2913">
        <f>IF(Calc!$B2913,INDEX(MineNames,Calc!C2913),"")</f>
        <v/>
      </c>
      <c r="C2913" s="17">
        <f>IF(Calc!$B2913,Calc!O2913,"")</f>
        <v/>
      </c>
    </row>
    <row r="2914">
      <c r="A2914" s="16">
        <f>IF(Calc!$B2914,Calc!E2914,"")</f>
        <v/>
      </c>
      <c r="B2914">
        <f>IF(Calc!$B2914,INDEX(MineNames,Calc!C2914),"")</f>
        <v/>
      </c>
      <c r="C2914" s="17">
        <f>IF(Calc!$B2914,Calc!O2914,"")</f>
        <v/>
      </c>
    </row>
    <row r="2915">
      <c r="A2915" s="16">
        <f>IF(Calc!$B2915,Calc!E2915,"")</f>
        <v/>
      </c>
      <c r="B2915">
        <f>IF(Calc!$B2915,INDEX(MineNames,Calc!C2915),"")</f>
        <v/>
      </c>
      <c r="C2915" s="17">
        <f>IF(Calc!$B2915,Calc!O2915,"")</f>
        <v/>
      </c>
    </row>
    <row r="2916">
      <c r="A2916" s="16">
        <f>IF(Calc!$B2916,Calc!E2916,"")</f>
        <v/>
      </c>
      <c r="B2916">
        <f>IF(Calc!$B2916,INDEX(MineNames,Calc!C2916),"")</f>
        <v/>
      </c>
      <c r="C2916" s="17">
        <f>IF(Calc!$B2916,Calc!O2916,"")</f>
        <v/>
      </c>
    </row>
    <row r="2917">
      <c r="A2917" s="16">
        <f>IF(Calc!$B2917,Calc!E2917,"")</f>
        <v/>
      </c>
      <c r="B2917">
        <f>IF(Calc!$B2917,INDEX(MineNames,Calc!C2917),"")</f>
        <v/>
      </c>
      <c r="C2917" s="17">
        <f>IF(Calc!$B2917,Calc!O2917,"")</f>
        <v/>
      </c>
    </row>
    <row r="2918">
      <c r="A2918" s="16">
        <f>IF(Calc!$B2918,Calc!E2918,"")</f>
        <v/>
      </c>
      <c r="B2918">
        <f>IF(Calc!$B2918,INDEX(MineNames,Calc!C2918),"")</f>
        <v/>
      </c>
      <c r="C2918" s="17">
        <f>IF(Calc!$B2918,Calc!O2918,"")</f>
        <v/>
      </c>
    </row>
    <row r="2919">
      <c r="A2919" s="16">
        <f>IF(Calc!$B2919,Calc!E2919,"")</f>
        <v/>
      </c>
      <c r="B2919">
        <f>IF(Calc!$B2919,INDEX(MineNames,Calc!C2919),"")</f>
        <v/>
      </c>
      <c r="C2919" s="17">
        <f>IF(Calc!$B2919,Calc!O2919,"")</f>
        <v/>
      </c>
    </row>
    <row r="2920">
      <c r="A2920" s="16">
        <f>IF(Calc!$B2920,Calc!E2920,"")</f>
        <v/>
      </c>
      <c r="B2920">
        <f>IF(Calc!$B2920,INDEX(MineNames,Calc!C2920),"")</f>
        <v/>
      </c>
      <c r="C2920" s="17">
        <f>IF(Calc!$B2920,Calc!O2920,"")</f>
        <v/>
      </c>
    </row>
    <row r="2921">
      <c r="A2921" s="16">
        <f>IF(Calc!$B2921,Calc!E2921,"")</f>
        <v/>
      </c>
      <c r="B2921">
        <f>IF(Calc!$B2921,INDEX(MineNames,Calc!C2921),"")</f>
        <v/>
      </c>
      <c r="C2921" s="17">
        <f>IF(Calc!$B2921,Calc!O2921,"")</f>
        <v/>
      </c>
    </row>
    <row r="2922">
      <c r="A2922" s="16">
        <f>IF(Calc!$B2922,Calc!E2922,"")</f>
        <v/>
      </c>
      <c r="B2922">
        <f>IF(Calc!$B2922,INDEX(MineNames,Calc!C2922),"")</f>
        <v/>
      </c>
      <c r="C2922" s="17">
        <f>IF(Calc!$B2922,Calc!O2922,"")</f>
        <v/>
      </c>
    </row>
    <row r="2923">
      <c r="A2923" s="16">
        <f>IF(Calc!$B2923,Calc!E2923,"")</f>
        <v/>
      </c>
      <c r="B2923">
        <f>IF(Calc!$B2923,INDEX(MineNames,Calc!C2923),"")</f>
        <v/>
      </c>
      <c r="C2923" s="17">
        <f>IF(Calc!$B2923,Calc!O2923,"")</f>
        <v/>
      </c>
    </row>
    <row r="2924">
      <c r="A2924" s="16">
        <f>IF(Calc!$B2924,Calc!E2924,"")</f>
        <v/>
      </c>
      <c r="B2924">
        <f>IF(Calc!$B2924,INDEX(MineNames,Calc!C2924),"")</f>
        <v/>
      </c>
      <c r="C2924" s="17">
        <f>IF(Calc!$B2924,Calc!O2924,"")</f>
        <v/>
      </c>
    </row>
    <row r="2925">
      <c r="A2925" s="16">
        <f>IF(Calc!$B2925,Calc!E2925,"")</f>
        <v/>
      </c>
      <c r="B2925">
        <f>IF(Calc!$B2925,INDEX(MineNames,Calc!C2925),"")</f>
        <v/>
      </c>
      <c r="C2925" s="17">
        <f>IF(Calc!$B2925,Calc!O2925,"")</f>
        <v/>
      </c>
    </row>
    <row r="2926">
      <c r="A2926" s="16">
        <f>IF(Calc!$B2926,Calc!E2926,"")</f>
        <v/>
      </c>
      <c r="B2926">
        <f>IF(Calc!$B2926,INDEX(MineNames,Calc!C2926),"")</f>
        <v/>
      </c>
      <c r="C2926" s="17">
        <f>IF(Calc!$B2926,Calc!O2926,"")</f>
        <v/>
      </c>
    </row>
    <row r="2927">
      <c r="A2927" s="16">
        <f>IF(Calc!$B2927,Calc!E2927,"")</f>
        <v/>
      </c>
      <c r="B2927">
        <f>IF(Calc!$B2927,INDEX(MineNames,Calc!C2927),"")</f>
        <v/>
      </c>
      <c r="C2927" s="17">
        <f>IF(Calc!$B2927,Calc!O2927,"")</f>
        <v/>
      </c>
    </row>
    <row r="2928">
      <c r="A2928" s="16">
        <f>IF(Calc!$B2928,Calc!E2928,"")</f>
        <v/>
      </c>
      <c r="B2928">
        <f>IF(Calc!$B2928,INDEX(MineNames,Calc!C2928),"")</f>
        <v/>
      </c>
      <c r="C2928" s="17">
        <f>IF(Calc!$B2928,Calc!O2928,"")</f>
        <v/>
      </c>
    </row>
    <row r="2929">
      <c r="A2929" s="16">
        <f>IF(Calc!$B2929,Calc!E2929,"")</f>
        <v/>
      </c>
      <c r="B2929">
        <f>IF(Calc!$B2929,INDEX(MineNames,Calc!C2929),"")</f>
        <v/>
      </c>
      <c r="C2929" s="17">
        <f>IF(Calc!$B2929,Calc!O2929,"")</f>
        <v/>
      </c>
    </row>
    <row r="2930">
      <c r="A2930" s="16">
        <f>IF(Calc!$B2930,Calc!E2930,"")</f>
        <v/>
      </c>
      <c r="B2930">
        <f>IF(Calc!$B2930,INDEX(MineNames,Calc!C2930),"")</f>
        <v/>
      </c>
      <c r="C2930" s="17">
        <f>IF(Calc!$B2930,Calc!O2930,"")</f>
        <v/>
      </c>
    </row>
    <row r="2931">
      <c r="A2931" s="16">
        <f>IF(Calc!$B2931,Calc!E2931,"")</f>
        <v/>
      </c>
      <c r="B2931">
        <f>IF(Calc!$B2931,INDEX(MineNames,Calc!C2931),"")</f>
        <v/>
      </c>
      <c r="C2931" s="17">
        <f>IF(Calc!$B2931,Calc!O2931,"")</f>
        <v/>
      </c>
    </row>
    <row r="2932">
      <c r="A2932" s="16">
        <f>IF(Calc!$B2932,Calc!E2932,"")</f>
        <v/>
      </c>
      <c r="B2932">
        <f>IF(Calc!$B2932,INDEX(MineNames,Calc!C2932),"")</f>
        <v/>
      </c>
      <c r="C2932" s="17">
        <f>IF(Calc!$B2932,Calc!O2932,"")</f>
        <v/>
      </c>
    </row>
    <row r="2933">
      <c r="A2933" s="16">
        <f>IF(Calc!$B2933,Calc!E2933,"")</f>
        <v/>
      </c>
      <c r="B2933">
        <f>IF(Calc!$B2933,INDEX(MineNames,Calc!C2933),"")</f>
        <v/>
      </c>
      <c r="C2933" s="17">
        <f>IF(Calc!$B2933,Calc!O2933,"")</f>
        <v/>
      </c>
    </row>
    <row r="2934">
      <c r="A2934" s="16">
        <f>IF(Calc!$B2934,Calc!E2934,"")</f>
        <v/>
      </c>
      <c r="B2934">
        <f>IF(Calc!$B2934,INDEX(MineNames,Calc!C2934),"")</f>
        <v/>
      </c>
      <c r="C2934" s="17">
        <f>IF(Calc!$B2934,Calc!O2934,"")</f>
        <v/>
      </c>
    </row>
    <row r="2935">
      <c r="A2935" s="16">
        <f>IF(Calc!$B2935,Calc!E2935,"")</f>
        <v/>
      </c>
      <c r="B2935">
        <f>IF(Calc!$B2935,INDEX(MineNames,Calc!C2935),"")</f>
        <v/>
      </c>
      <c r="C2935" s="17">
        <f>IF(Calc!$B2935,Calc!O2935,"")</f>
        <v/>
      </c>
    </row>
    <row r="2936">
      <c r="A2936" s="16">
        <f>IF(Calc!$B2936,Calc!E2936,"")</f>
        <v/>
      </c>
      <c r="B2936">
        <f>IF(Calc!$B2936,INDEX(MineNames,Calc!C2936),"")</f>
        <v/>
      </c>
      <c r="C2936" s="17">
        <f>IF(Calc!$B2936,Calc!O2936,"")</f>
        <v/>
      </c>
    </row>
    <row r="2937">
      <c r="A2937" s="16">
        <f>IF(Calc!$B2937,Calc!E2937,"")</f>
        <v/>
      </c>
      <c r="B2937">
        <f>IF(Calc!$B2937,INDEX(MineNames,Calc!C2937),"")</f>
        <v/>
      </c>
      <c r="C2937" s="17">
        <f>IF(Calc!$B2937,Calc!O2937,"")</f>
        <v/>
      </c>
    </row>
    <row r="2938">
      <c r="A2938" s="16">
        <f>IF(Calc!$B2938,Calc!E2938,"")</f>
        <v/>
      </c>
      <c r="B2938">
        <f>IF(Calc!$B2938,INDEX(MineNames,Calc!C2938),"")</f>
        <v/>
      </c>
      <c r="C2938" s="17">
        <f>IF(Calc!$B2938,Calc!O2938,"")</f>
        <v/>
      </c>
    </row>
    <row r="2939">
      <c r="A2939" s="16">
        <f>IF(Calc!$B2939,Calc!E2939,"")</f>
        <v/>
      </c>
      <c r="B2939">
        <f>IF(Calc!$B2939,INDEX(MineNames,Calc!C2939),"")</f>
        <v/>
      </c>
      <c r="C2939" s="17">
        <f>IF(Calc!$B2939,Calc!O2939,"")</f>
        <v/>
      </c>
    </row>
    <row r="2940">
      <c r="A2940" s="16">
        <f>IF(Calc!$B2940,Calc!E2940,"")</f>
        <v/>
      </c>
      <c r="B2940">
        <f>IF(Calc!$B2940,INDEX(MineNames,Calc!C2940),"")</f>
        <v/>
      </c>
      <c r="C2940" s="17">
        <f>IF(Calc!$B2940,Calc!O2940,"")</f>
        <v/>
      </c>
    </row>
    <row r="2941">
      <c r="A2941" s="16">
        <f>IF(Calc!$B2941,Calc!E2941,"")</f>
        <v/>
      </c>
      <c r="B2941">
        <f>IF(Calc!$B2941,INDEX(MineNames,Calc!C2941),"")</f>
        <v/>
      </c>
      <c r="C2941" s="17">
        <f>IF(Calc!$B2941,Calc!O2941,"")</f>
        <v/>
      </c>
    </row>
    <row r="2942">
      <c r="A2942" s="16">
        <f>IF(Calc!$B2942,Calc!E2942,"")</f>
        <v/>
      </c>
      <c r="B2942">
        <f>IF(Calc!$B2942,INDEX(MineNames,Calc!C2942),"")</f>
        <v/>
      </c>
      <c r="C2942" s="17">
        <f>IF(Calc!$B2942,Calc!O2942,"")</f>
        <v/>
      </c>
    </row>
    <row r="2943">
      <c r="A2943" s="16">
        <f>IF(Calc!$B2943,Calc!E2943,"")</f>
        <v/>
      </c>
      <c r="B2943">
        <f>IF(Calc!$B2943,INDEX(MineNames,Calc!C2943),"")</f>
        <v/>
      </c>
      <c r="C2943" s="17">
        <f>IF(Calc!$B2943,Calc!O2943,"")</f>
        <v/>
      </c>
    </row>
    <row r="2944">
      <c r="A2944" s="16">
        <f>IF(Calc!$B2944,Calc!E2944,"")</f>
        <v/>
      </c>
      <c r="B2944">
        <f>IF(Calc!$B2944,INDEX(MineNames,Calc!C2944),"")</f>
        <v/>
      </c>
      <c r="C2944" s="17">
        <f>IF(Calc!$B2944,Calc!O2944,"")</f>
        <v/>
      </c>
    </row>
    <row r="2945">
      <c r="A2945" s="16">
        <f>IF(Calc!$B2945,Calc!E2945,"")</f>
        <v/>
      </c>
      <c r="B2945">
        <f>IF(Calc!$B2945,INDEX(MineNames,Calc!C2945),"")</f>
        <v/>
      </c>
      <c r="C2945" s="17">
        <f>IF(Calc!$B2945,Calc!O2945,"")</f>
        <v/>
      </c>
    </row>
    <row r="2946">
      <c r="A2946" s="16">
        <f>IF(Calc!$B2946,Calc!E2946,"")</f>
        <v/>
      </c>
      <c r="B2946">
        <f>IF(Calc!$B2946,INDEX(MineNames,Calc!C2946),"")</f>
        <v/>
      </c>
      <c r="C2946" s="17">
        <f>IF(Calc!$B2946,Calc!O2946,"")</f>
        <v/>
      </c>
    </row>
    <row r="2947">
      <c r="A2947" s="16">
        <f>IF(Calc!$B2947,Calc!E2947,"")</f>
        <v/>
      </c>
      <c r="B2947">
        <f>IF(Calc!$B2947,INDEX(MineNames,Calc!C2947),"")</f>
        <v/>
      </c>
      <c r="C2947" s="17">
        <f>IF(Calc!$B2947,Calc!O2947,"")</f>
        <v/>
      </c>
    </row>
    <row r="2948">
      <c r="A2948" s="16">
        <f>IF(Calc!$B2948,Calc!E2948,"")</f>
        <v/>
      </c>
      <c r="B2948">
        <f>IF(Calc!$B2948,INDEX(MineNames,Calc!C2948),"")</f>
        <v/>
      </c>
      <c r="C2948" s="17">
        <f>IF(Calc!$B2948,Calc!O2948,"")</f>
        <v/>
      </c>
    </row>
    <row r="2949">
      <c r="A2949" s="16">
        <f>IF(Calc!$B2949,Calc!E2949,"")</f>
        <v/>
      </c>
      <c r="B2949">
        <f>IF(Calc!$B2949,INDEX(MineNames,Calc!C2949),"")</f>
        <v/>
      </c>
      <c r="C2949" s="17">
        <f>IF(Calc!$B2949,Calc!O2949,"")</f>
        <v/>
      </c>
    </row>
    <row r="2950">
      <c r="A2950" s="16">
        <f>IF(Calc!$B2950,Calc!E2950,"")</f>
        <v/>
      </c>
      <c r="B2950">
        <f>IF(Calc!$B2950,INDEX(MineNames,Calc!C2950),"")</f>
        <v/>
      </c>
      <c r="C2950" s="17">
        <f>IF(Calc!$B2950,Calc!O2950,"")</f>
        <v/>
      </c>
    </row>
    <row r="2951">
      <c r="A2951" s="16">
        <f>IF(Calc!$B2951,Calc!E2951,"")</f>
        <v/>
      </c>
      <c r="B2951">
        <f>IF(Calc!$B2951,INDEX(MineNames,Calc!C2951),"")</f>
        <v/>
      </c>
      <c r="C2951" s="17">
        <f>IF(Calc!$B2951,Calc!O2951,"")</f>
        <v/>
      </c>
    </row>
    <row r="2952">
      <c r="A2952" s="16">
        <f>IF(Calc!$B2952,Calc!E2952,"")</f>
        <v/>
      </c>
      <c r="B2952">
        <f>IF(Calc!$B2952,INDEX(MineNames,Calc!C2952),"")</f>
        <v/>
      </c>
      <c r="C2952" s="17">
        <f>IF(Calc!$B2952,Calc!O2952,"")</f>
        <v/>
      </c>
    </row>
    <row r="2953">
      <c r="A2953" s="16">
        <f>IF(Calc!$B2953,Calc!E2953,"")</f>
        <v/>
      </c>
      <c r="B2953">
        <f>IF(Calc!$B2953,INDEX(MineNames,Calc!C2953),"")</f>
        <v/>
      </c>
      <c r="C2953" s="17">
        <f>IF(Calc!$B2953,Calc!O2953,"")</f>
        <v/>
      </c>
    </row>
    <row r="2954">
      <c r="A2954" s="16">
        <f>IF(Calc!$B2954,Calc!E2954,"")</f>
        <v/>
      </c>
      <c r="B2954">
        <f>IF(Calc!$B2954,INDEX(MineNames,Calc!C2954),"")</f>
        <v/>
      </c>
      <c r="C2954" s="17">
        <f>IF(Calc!$B2954,Calc!O2954,"")</f>
        <v/>
      </c>
    </row>
    <row r="2955">
      <c r="A2955" s="16">
        <f>IF(Calc!$B2955,Calc!E2955,"")</f>
        <v/>
      </c>
      <c r="B2955">
        <f>IF(Calc!$B2955,INDEX(MineNames,Calc!C2955),"")</f>
        <v/>
      </c>
      <c r="C2955" s="17">
        <f>IF(Calc!$B2955,Calc!O2955,"")</f>
        <v/>
      </c>
    </row>
    <row r="2956">
      <c r="A2956" s="16">
        <f>IF(Calc!$B2956,Calc!E2956,"")</f>
        <v/>
      </c>
      <c r="B2956">
        <f>IF(Calc!$B2956,INDEX(MineNames,Calc!C2956),"")</f>
        <v/>
      </c>
      <c r="C2956" s="17">
        <f>IF(Calc!$B2956,Calc!O2956,"")</f>
        <v/>
      </c>
    </row>
    <row r="2957">
      <c r="A2957" s="16">
        <f>IF(Calc!$B2957,Calc!E2957,"")</f>
        <v/>
      </c>
      <c r="B2957">
        <f>IF(Calc!$B2957,INDEX(MineNames,Calc!C2957),"")</f>
        <v/>
      </c>
      <c r="C2957" s="17">
        <f>IF(Calc!$B2957,Calc!O2957,"")</f>
        <v/>
      </c>
    </row>
    <row r="2958">
      <c r="A2958" s="16">
        <f>IF(Calc!$B2958,Calc!E2958,"")</f>
        <v/>
      </c>
      <c r="B2958">
        <f>IF(Calc!$B2958,INDEX(MineNames,Calc!C2958),"")</f>
        <v/>
      </c>
      <c r="C2958" s="17">
        <f>IF(Calc!$B2958,Calc!O2958,"")</f>
        <v/>
      </c>
    </row>
    <row r="2959">
      <c r="A2959" s="16">
        <f>IF(Calc!$B2959,Calc!E2959,"")</f>
        <v/>
      </c>
      <c r="B2959">
        <f>IF(Calc!$B2959,INDEX(MineNames,Calc!C2959),"")</f>
        <v/>
      </c>
      <c r="C2959" s="17">
        <f>IF(Calc!$B2959,Calc!O2959,"")</f>
        <v/>
      </c>
    </row>
    <row r="2960">
      <c r="A2960" s="16">
        <f>IF(Calc!$B2960,Calc!E2960,"")</f>
        <v/>
      </c>
      <c r="B2960">
        <f>IF(Calc!$B2960,INDEX(MineNames,Calc!C2960),"")</f>
        <v/>
      </c>
      <c r="C2960" s="17">
        <f>IF(Calc!$B2960,Calc!O2960,"")</f>
        <v/>
      </c>
    </row>
    <row r="2961">
      <c r="A2961" s="16">
        <f>IF(Calc!$B2961,Calc!E2961,"")</f>
        <v/>
      </c>
      <c r="B2961">
        <f>IF(Calc!$B2961,INDEX(MineNames,Calc!C2961),"")</f>
        <v/>
      </c>
      <c r="C2961" s="17">
        <f>IF(Calc!$B2961,Calc!O2961,"")</f>
        <v/>
      </c>
    </row>
    <row r="2962">
      <c r="A2962" s="16">
        <f>IF(Calc!$B2962,Calc!E2962,"")</f>
        <v/>
      </c>
      <c r="B2962">
        <f>IF(Calc!$B2962,INDEX(MineNames,Calc!C2962),"")</f>
        <v/>
      </c>
      <c r="C2962" s="17">
        <f>IF(Calc!$B2962,Calc!O2962,"")</f>
        <v/>
      </c>
    </row>
    <row r="2963">
      <c r="A2963" s="16">
        <f>IF(Calc!$B2963,Calc!E2963,"")</f>
        <v/>
      </c>
      <c r="B2963">
        <f>IF(Calc!$B2963,INDEX(MineNames,Calc!C2963),"")</f>
        <v/>
      </c>
      <c r="C2963" s="17">
        <f>IF(Calc!$B2963,Calc!O2963,"")</f>
        <v/>
      </c>
    </row>
    <row r="2964">
      <c r="A2964" s="16">
        <f>IF(Calc!$B2964,Calc!E2964,"")</f>
        <v/>
      </c>
      <c r="B2964">
        <f>IF(Calc!$B2964,INDEX(MineNames,Calc!C2964),"")</f>
        <v/>
      </c>
      <c r="C2964" s="17">
        <f>IF(Calc!$B2964,Calc!O2964,"")</f>
        <v/>
      </c>
    </row>
    <row r="2965">
      <c r="A2965" s="16">
        <f>IF(Calc!$B2965,Calc!E2965,"")</f>
        <v/>
      </c>
      <c r="B2965">
        <f>IF(Calc!$B2965,INDEX(MineNames,Calc!C2965),"")</f>
        <v/>
      </c>
      <c r="C2965" s="17">
        <f>IF(Calc!$B2965,Calc!O2965,"")</f>
        <v/>
      </c>
    </row>
    <row r="2966">
      <c r="A2966" s="16">
        <f>IF(Calc!$B2966,Calc!E2966,"")</f>
        <v/>
      </c>
      <c r="B2966">
        <f>IF(Calc!$B2966,INDEX(MineNames,Calc!C2966),"")</f>
        <v/>
      </c>
      <c r="C2966" s="17">
        <f>IF(Calc!$B2966,Calc!O2966,"")</f>
        <v/>
      </c>
    </row>
    <row r="2967">
      <c r="A2967" s="16">
        <f>IF(Calc!$B2967,Calc!E2967,"")</f>
        <v/>
      </c>
      <c r="B2967">
        <f>IF(Calc!$B2967,INDEX(MineNames,Calc!C2967),"")</f>
        <v/>
      </c>
      <c r="C2967" s="17">
        <f>IF(Calc!$B2967,Calc!O2967,"")</f>
        <v/>
      </c>
    </row>
    <row r="2968">
      <c r="A2968" s="16">
        <f>IF(Calc!$B2968,Calc!E2968,"")</f>
        <v/>
      </c>
      <c r="B2968">
        <f>IF(Calc!$B2968,INDEX(MineNames,Calc!C2968),"")</f>
        <v/>
      </c>
      <c r="C2968" s="17">
        <f>IF(Calc!$B2968,Calc!O2968,"")</f>
        <v/>
      </c>
    </row>
    <row r="2969">
      <c r="A2969" s="16">
        <f>IF(Calc!$B2969,Calc!E2969,"")</f>
        <v/>
      </c>
      <c r="B2969">
        <f>IF(Calc!$B2969,INDEX(MineNames,Calc!C2969),"")</f>
        <v/>
      </c>
      <c r="C2969" s="17">
        <f>IF(Calc!$B2969,Calc!O2969,"")</f>
        <v/>
      </c>
    </row>
    <row r="2970">
      <c r="A2970" s="16">
        <f>IF(Calc!$B2970,Calc!E2970,"")</f>
        <v/>
      </c>
      <c r="B2970">
        <f>IF(Calc!$B2970,INDEX(MineNames,Calc!C2970),"")</f>
        <v/>
      </c>
      <c r="C2970" s="17">
        <f>IF(Calc!$B2970,Calc!O2970,"")</f>
        <v/>
      </c>
    </row>
    <row r="2971">
      <c r="A2971" s="16">
        <f>IF(Calc!$B2971,Calc!E2971,"")</f>
        <v/>
      </c>
      <c r="B2971">
        <f>IF(Calc!$B2971,INDEX(MineNames,Calc!C2971),"")</f>
        <v/>
      </c>
      <c r="C2971" s="17">
        <f>IF(Calc!$B2971,Calc!O2971,"")</f>
        <v/>
      </c>
    </row>
    <row r="2972">
      <c r="A2972" s="16">
        <f>IF(Calc!$B2972,Calc!E2972,"")</f>
        <v/>
      </c>
      <c r="B2972">
        <f>IF(Calc!$B2972,INDEX(MineNames,Calc!C2972),"")</f>
        <v/>
      </c>
      <c r="C2972" s="17">
        <f>IF(Calc!$B2972,Calc!O2972,"")</f>
        <v/>
      </c>
    </row>
    <row r="2973">
      <c r="A2973" s="16">
        <f>IF(Calc!$B2973,Calc!E2973,"")</f>
        <v/>
      </c>
      <c r="B2973">
        <f>IF(Calc!$B2973,INDEX(MineNames,Calc!C2973),"")</f>
        <v/>
      </c>
      <c r="C2973" s="17">
        <f>IF(Calc!$B2973,Calc!O2973,"")</f>
        <v/>
      </c>
    </row>
    <row r="2974">
      <c r="A2974" s="16">
        <f>IF(Calc!$B2974,Calc!E2974,"")</f>
        <v/>
      </c>
      <c r="B2974">
        <f>IF(Calc!$B2974,INDEX(MineNames,Calc!C2974),"")</f>
        <v/>
      </c>
      <c r="C2974" s="17">
        <f>IF(Calc!$B2974,Calc!O2974,"")</f>
        <v/>
      </c>
    </row>
    <row r="2975">
      <c r="A2975" s="16">
        <f>IF(Calc!$B2975,Calc!E2975,"")</f>
        <v/>
      </c>
      <c r="B2975">
        <f>IF(Calc!$B2975,INDEX(MineNames,Calc!C2975),"")</f>
        <v/>
      </c>
      <c r="C2975" s="17">
        <f>IF(Calc!$B2975,Calc!O2975,"")</f>
        <v/>
      </c>
    </row>
    <row r="2976">
      <c r="A2976" s="16">
        <f>IF(Calc!$B2976,Calc!E2976,"")</f>
        <v/>
      </c>
      <c r="B2976">
        <f>IF(Calc!$B2976,INDEX(MineNames,Calc!C2976),"")</f>
        <v/>
      </c>
      <c r="C2976" s="17">
        <f>IF(Calc!$B2976,Calc!O2976,"")</f>
        <v/>
      </c>
    </row>
    <row r="2977">
      <c r="A2977" s="16">
        <f>IF(Calc!$B2977,Calc!E2977,"")</f>
        <v/>
      </c>
      <c r="B2977">
        <f>IF(Calc!$B2977,INDEX(MineNames,Calc!C2977),"")</f>
        <v/>
      </c>
      <c r="C2977" s="17">
        <f>IF(Calc!$B2977,Calc!O2977,"")</f>
        <v/>
      </c>
    </row>
    <row r="2978">
      <c r="A2978" s="16">
        <f>IF(Calc!$B2978,Calc!E2978,"")</f>
        <v/>
      </c>
      <c r="B2978">
        <f>IF(Calc!$B2978,INDEX(MineNames,Calc!C2978),"")</f>
        <v/>
      </c>
      <c r="C2978" s="17">
        <f>IF(Calc!$B2978,Calc!O2978,"")</f>
        <v/>
      </c>
    </row>
    <row r="2979">
      <c r="A2979" s="16">
        <f>IF(Calc!$B2979,Calc!E2979,"")</f>
        <v/>
      </c>
      <c r="B2979">
        <f>IF(Calc!$B2979,INDEX(MineNames,Calc!C2979),"")</f>
        <v/>
      </c>
      <c r="C2979" s="17">
        <f>IF(Calc!$B2979,Calc!O2979,"")</f>
        <v/>
      </c>
    </row>
    <row r="2980">
      <c r="A2980" s="16">
        <f>IF(Calc!$B2980,Calc!E2980,"")</f>
        <v/>
      </c>
      <c r="B2980">
        <f>IF(Calc!$B2980,INDEX(MineNames,Calc!C2980),"")</f>
        <v/>
      </c>
      <c r="C2980" s="17">
        <f>IF(Calc!$B2980,Calc!O2980,"")</f>
        <v/>
      </c>
    </row>
    <row r="2981">
      <c r="A2981" s="16">
        <f>IF(Calc!$B2981,Calc!E2981,"")</f>
        <v/>
      </c>
      <c r="B2981">
        <f>IF(Calc!$B2981,INDEX(MineNames,Calc!C2981),"")</f>
        <v/>
      </c>
      <c r="C2981" s="17">
        <f>IF(Calc!$B2981,Calc!O2981,"")</f>
        <v/>
      </c>
    </row>
    <row r="2982">
      <c r="A2982" s="16">
        <f>IF(Calc!$B2982,Calc!E2982,"")</f>
        <v/>
      </c>
      <c r="B2982">
        <f>IF(Calc!$B2982,INDEX(MineNames,Calc!C2982),"")</f>
        <v/>
      </c>
      <c r="C2982" s="17">
        <f>IF(Calc!$B2982,Calc!O2982,"")</f>
        <v/>
      </c>
    </row>
    <row r="2983">
      <c r="A2983" s="16">
        <f>IF(Calc!$B2983,Calc!E2983,"")</f>
        <v/>
      </c>
      <c r="B2983">
        <f>IF(Calc!$B2983,INDEX(MineNames,Calc!C2983),"")</f>
        <v/>
      </c>
      <c r="C2983" s="17">
        <f>IF(Calc!$B2983,Calc!O2983,"")</f>
        <v/>
      </c>
    </row>
    <row r="2984">
      <c r="A2984" s="16">
        <f>IF(Calc!$B2984,Calc!E2984,"")</f>
        <v/>
      </c>
      <c r="B2984">
        <f>IF(Calc!$B2984,INDEX(MineNames,Calc!C2984),"")</f>
        <v/>
      </c>
      <c r="C2984" s="17">
        <f>IF(Calc!$B2984,Calc!O2984,"")</f>
        <v/>
      </c>
    </row>
    <row r="2985">
      <c r="A2985" s="16">
        <f>IF(Calc!$B2985,Calc!E2985,"")</f>
        <v/>
      </c>
      <c r="B2985">
        <f>IF(Calc!$B2985,INDEX(MineNames,Calc!C2985),"")</f>
        <v/>
      </c>
      <c r="C2985" s="17">
        <f>IF(Calc!$B2985,Calc!O2985,"")</f>
        <v/>
      </c>
    </row>
    <row r="2986">
      <c r="A2986" s="16">
        <f>IF(Calc!$B2986,Calc!E2986,"")</f>
        <v/>
      </c>
      <c r="B2986">
        <f>IF(Calc!$B2986,INDEX(MineNames,Calc!C2986),"")</f>
        <v/>
      </c>
      <c r="C2986" s="17">
        <f>IF(Calc!$B2986,Calc!O2986,"")</f>
        <v/>
      </c>
    </row>
    <row r="2987">
      <c r="A2987" s="16">
        <f>IF(Calc!$B2987,Calc!E2987,"")</f>
        <v/>
      </c>
      <c r="B2987">
        <f>IF(Calc!$B2987,INDEX(MineNames,Calc!C2987),"")</f>
        <v/>
      </c>
      <c r="C2987" s="17">
        <f>IF(Calc!$B2987,Calc!O2987,"")</f>
        <v/>
      </c>
    </row>
    <row r="2988">
      <c r="A2988" s="16">
        <f>IF(Calc!$B2988,Calc!E2988,"")</f>
        <v/>
      </c>
      <c r="B2988">
        <f>IF(Calc!$B2988,INDEX(MineNames,Calc!C2988),"")</f>
        <v/>
      </c>
      <c r="C2988" s="17">
        <f>IF(Calc!$B2988,Calc!O2988,"")</f>
        <v/>
      </c>
    </row>
    <row r="2989">
      <c r="A2989" s="16">
        <f>IF(Calc!$B2989,Calc!E2989,"")</f>
        <v/>
      </c>
      <c r="B2989">
        <f>IF(Calc!$B2989,INDEX(MineNames,Calc!C2989),"")</f>
        <v/>
      </c>
      <c r="C2989" s="17">
        <f>IF(Calc!$B2989,Calc!O2989,"")</f>
        <v/>
      </c>
    </row>
    <row r="2990">
      <c r="A2990" s="16">
        <f>IF(Calc!$B2990,Calc!E2990,"")</f>
        <v/>
      </c>
      <c r="B2990">
        <f>IF(Calc!$B2990,INDEX(MineNames,Calc!C2990),"")</f>
        <v/>
      </c>
      <c r="C2990" s="17">
        <f>IF(Calc!$B2990,Calc!O2990,"")</f>
        <v/>
      </c>
    </row>
    <row r="2991">
      <c r="A2991" s="16">
        <f>IF(Calc!$B2991,Calc!E2991,"")</f>
        <v/>
      </c>
      <c r="B2991">
        <f>IF(Calc!$B2991,INDEX(MineNames,Calc!C2991),"")</f>
        <v/>
      </c>
      <c r="C2991" s="17">
        <f>IF(Calc!$B2991,Calc!O2991,"")</f>
        <v/>
      </c>
    </row>
    <row r="2992">
      <c r="A2992" s="16">
        <f>IF(Calc!$B2992,Calc!E2992,"")</f>
        <v/>
      </c>
      <c r="B2992">
        <f>IF(Calc!$B2992,INDEX(MineNames,Calc!C2992),"")</f>
        <v/>
      </c>
      <c r="C2992" s="17">
        <f>IF(Calc!$B2992,Calc!O2992,"")</f>
        <v/>
      </c>
    </row>
    <row r="2993">
      <c r="A2993" s="16">
        <f>IF(Calc!$B2993,Calc!E2993,"")</f>
        <v/>
      </c>
      <c r="B2993">
        <f>IF(Calc!$B2993,INDEX(MineNames,Calc!C2993),"")</f>
        <v/>
      </c>
      <c r="C2993" s="17">
        <f>IF(Calc!$B2993,Calc!O2993,"")</f>
        <v/>
      </c>
    </row>
    <row r="2994">
      <c r="A2994" s="16">
        <f>IF(Calc!$B2994,Calc!E2994,"")</f>
        <v/>
      </c>
      <c r="B2994">
        <f>IF(Calc!$B2994,INDEX(MineNames,Calc!C2994),"")</f>
        <v/>
      </c>
      <c r="C2994" s="17">
        <f>IF(Calc!$B2994,Calc!O2994,"")</f>
        <v/>
      </c>
    </row>
    <row r="2995">
      <c r="A2995" s="16">
        <f>IF(Calc!$B2995,Calc!E2995,"")</f>
        <v/>
      </c>
      <c r="B2995">
        <f>IF(Calc!$B2995,INDEX(MineNames,Calc!C2995),"")</f>
        <v/>
      </c>
      <c r="C2995" s="17">
        <f>IF(Calc!$B2995,Calc!O2995,"")</f>
        <v/>
      </c>
    </row>
    <row r="2996">
      <c r="A2996" s="16">
        <f>IF(Calc!$B2996,Calc!E2996,"")</f>
        <v/>
      </c>
      <c r="B2996">
        <f>IF(Calc!$B2996,INDEX(MineNames,Calc!C2996),"")</f>
        <v/>
      </c>
      <c r="C2996" s="17">
        <f>IF(Calc!$B2996,Calc!O2996,"")</f>
        <v/>
      </c>
    </row>
    <row r="2997">
      <c r="A2997" s="16">
        <f>IF(Calc!$B2997,Calc!E2997,"")</f>
        <v/>
      </c>
      <c r="B2997">
        <f>IF(Calc!$B2997,INDEX(MineNames,Calc!C2997),"")</f>
        <v/>
      </c>
      <c r="C2997" s="17">
        <f>IF(Calc!$B2997,Calc!O2997,"")</f>
        <v/>
      </c>
    </row>
    <row r="2998">
      <c r="A2998" s="16">
        <f>IF(Calc!$B2998,Calc!E2998,"")</f>
        <v/>
      </c>
      <c r="B2998">
        <f>IF(Calc!$B2998,INDEX(MineNames,Calc!C2998),"")</f>
        <v/>
      </c>
      <c r="C2998" s="17">
        <f>IF(Calc!$B2998,Calc!O2998,"")</f>
        <v/>
      </c>
    </row>
    <row r="2999">
      <c r="A2999" s="16">
        <f>IF(Calc!$B2999,Calc!E2999,"")</f>
        <v/>
      </c>
      <c r="B2999">
        <f>IF(Calc!$B2999,INDEX(MineNames,Calc!C2999),"")</f>
        <v/>
      </c>
      <c r="C2999" s="17">
        <f>IF(Calc!$B2999,Calc!O2999,"")</f>
        <v/>
      </c>
    </row>
    <row r="3000">
      <c r="A3000" s="16">
        <f>IF(Calc!$B3000,Calc!E3000,"")</f>
        <v/>
      </c>
      <c r="B3000">
        <f>IF(Calc!$B3000,INDEX(MineNames,Calc!C3000),"")</f>
        <v/>
      </c>
      <c r="C3000" s="17">
        <f>IF(Calc!$B3000,Calc!O3000,"")</f>
        <v/>
      </c>
    </row>
    <row r="3001">
      <c r="A3001" s="16">
        <f>IF(Calc!$B3001,Calc!E3001,"")</f>
        <v/>
      </c>
      <c r="B3001">
        <f>IF(Calc!$B3001,INDEX(MineNames,Calc!C3001),"")</f>
        <v/>
      </c>
      <c r="C3001" s="17">
        <f>IF(Calc!$B3001,Calc!O3001,"")</f>
        <v/>
      </c>
    </row>
    <row r="3002">
      <c r="A3002" s="16">
        <f>IF(Calc!$B3002,Calc!E3002,"")</f>
        <v/>
      </c>
      <c r="B3002">
        <f>IF(Calc!$B3002,INDEX(MineNames,Calc!C3002),"")</f>
        <v/>
      </c>
      <c r="C3002" s="17">
        <f>IF(Calc!$B3002,Calc!O3002,"")</f>
        <v/>
      </c>
    </row>
    <row r="3003">
      <c r="A3003" s="16">
        <f>IF(Calc!$B3003,Calc!E3003,"")</f>
        <v/>
      </c>
      <c r="B3003">
        <f>IF(Calc!$B3003,INDEX(MineNames,Calc!C3003),"")</f>
        <v/>
      </c>
      <c r="C3003" s="17">
        <f>IF(Calc!$B3003,Calc!O3003,"")</f>
        <v/>
      </c>
    </row>
    <row r="3004">
      <c r="A3004" s="16">
        <f>IF(Calc!$B3004,Calc!E3004,"")</f>
        <v/>
      </c>
      <c r="B3004">
        <f>IF(Calc!$B3004,INDEX(MineNames,Calc!C3004),"")</f>
        <v/>
      </c>
      <c r="C3004" s="17">
        <f>IF(Calc!$B3004,Calc!O3004,"")</f>
        <v/>
      </c>
    </row>
    <row r="3005">
      <c r="A3005" s="16">
        <f>IF(Calc!$B3005,Calc!E3005,"")</f>
        <v/>
      </c>
      <c r="B3005">
        <f>IF(Calc!$B3005,INDEX(MineNames,Calc!C3005),"")</f>
        <v/>
      </c>
      <c r="C3005" s="17">
        <f>IF(Calc!$B3005,Calc!O3005,"")</f>
        <v/>
      </c>
    </row>
    <row r="3006">
      <c r="A3006" s="16">
        <f>IF(Calc!$B3006,Calc!E3006,"")</f>
        <v/>
      </c>
      <c r="B3006">
        <f>IF(Calc!$B3006,INDEX(MineNames,Calc!C3006),"")</f>
        <v/>
      </c>
      <c r="C3006" s="17">
        <f>IF(Calc!$B3006,Calc!O3006,"")</f>
        <v/>
      </c>
    </row>
    <row r="3007">
      <c r="A3007" s="16">
        <f>IF(Calc!$B3007,Calc!E3007,"")</f>
        <v/>
      </c>
      <c r="B3007">
        <f>IF(Calc!$B3007,INDEX(MineNames,Calc!C3007),"")</f>
        <v/>
      </c>
      <c r="C3007" s="17">
        <f>IF(Calc!$B3007,Calc!O3007,"")</f>
        <v/>
      </c>
    </row>
    <row r="3008">
      <c r="A3008" s="16">
        <f>IF(Calc!$B3008,Calc!E3008,"")</f>
        <v/>
      </c>
      <c r="B3008">
        <f>IF(Calc!$B3008,INDEX(MineNames,Calc!C3008),"")</f>
        <v/>
      </c>
      <c r="C3008" s="17">
        <f>IF(Calc!$B3008,Calc!O3008,"")</f>
        <v/>
      </c>
    </row>
    <row r="3009">
      <c r="A3009" s="16">
        <f>IF(Calc!$B3009,Calc!E3009,"")</f>
        <v/>
      </c>
      <c r="B3009">
        <f>IF(Calc!$B3009,INDEX(MineNames,Calc!C3009),"")</f>
        <v/>
      </c>
      <c r="C3009" s="17">
        <f>IF(Calc!$B3009,Calc!O3009,"")</f>
        <v/>
      </c>
    </row>
    <row r="3010">
      <c r="A3010" s="16">
        <f>IF(Calc!$B3010,Calc!E3010,"")</f>
        <v/>
      </c>
      <c r="B3010">
        <f>IF(Calc!$B3010,INDEX(MineNames,Calc!C3010),"")</f>
        <v/>
      </c>
      <c r="C3010" s="17">
        <f>IF(Calc!$B3010,Calc!O3010,"")</f>
        <v/>
      </c>
    </row>
    <row r="3011">
      <c r="A3011" s="16">
        <f>IF(Calc!$B3011,Calc!E3011,"")</f>
        <v/>
      </c>
      <c r="B3011">
        <f>IF(Calc!$B3011,INDEX(MineNames,Calc!C3011),"")</f>
        <v/>
      </c>
      <c r="C3011" s="17">
        <f>IF(Calc!$B3011,Calc!O3011,"")</f>
        <v/>
      </c>
    </row>
    <row r="3012">
      <c r="A3012" s="16">
        <f>IF(Calc!$B3012,Calc!E3012,"")</f>
        <v/>
      </c>
      <c r="B3012">
        <f>IF(Calc!$B3012,INDEX(MineNames,Calc!C3012),"")</f>
        <v/>
      </c>
      <c r="C3012" s="17">
        <f>IF(Calc!$B3012,Calc!O3012,"")</f>
        <v/>
      </c>
    </row>
    <row r="3013">
      <c r="A3013" s="16">
        <f>IF(Calc!$B3013,Calc!E3013,"")</f>
        <v/>
      </c>
      <c r="B3013">
        <f>IF(Calc!$B3013,INDEX(MineNames,Calc!C3013),"")</f>
        <v/>
      </c>
      <c r="C3013" s="17">
        <f>IF(Calc!$B3013,Calc!O3013,"")</f>
        <v/>
      </c>
    </row>
    <row r="3014">
      <c r="A3014" s="16">
        <f>IF(Calc!$B3014,Calc!E3014,"")</f>
        <v/>
      </c>
      <c r="B3014">
        <f>IF(Calc!$B3014,INDEX(MineNames,Calc!C3014),"")</f>
        <v/>
      </c>
      <c r="C3014" s="17">
        <f>IF(Calc!$B3014,Calc!O3014,"")</f>
        <v/>
      </c>
    </row>
    <row r="3015">
      <c r="A3015" s="16">
        <f>IF(Calc!$B3015,Calc!E3015,"")</f>
        <v/>
      </c>
      <c r="B3015">
        <f>IF(Calc!$B3015,INDEX(MineNames,Calc!C3015),"")</f>
        <v/>
      </c>
      <c r="C3015" s="17">
        <f>IF(Calc!$B3015,Calc!O3015,"")</f>
        <v/>
      </c>
    </row>
    <row r="3016">
      <c r="A3016" s="16">
        <f>IF(Calc!$B3016,Calc!E3016,"")</f>
        <v/>
      </c>
      <c r="B3016">
        <f>IF(Calc!$B3016,INDEX(MineNames,Calc!C3016),"")</f>
        <v/>
      </c>
      <c r="C3016" s="17">
        <f>IF(Calc!$B3016,Calc!O3016,"")</f>
        <v/>
      </c>
    </row>
    <row r="3017">
      <c r="A3017" s="16">
        <f>IF(Calc!$B3017,Calc!E3017,"")</f>
        <v/>
      </c>
      <c r="B3017">
        <f>IF(Calc!$B3017,INDEX(MineNames,Calc!C3017),"")</f>
        <v/>
      </c>
      <c r="C3017" s="17">
        <f>IF(Calc!$B3017,Calc!O3017,"")</f>
        <v/>
      </c>
    </row>
    <row r="3018">
      <c r="A3018" s="16">
        <f>IF(Calc!$B3018,Calc!E3018,"")</f>
        <v/>
      </c>
      <c r="B3018">
        <f>IF(Calc!$B3018,INDEX(MineNames,Calc!C3018),"")</f>
        <v/>
      </c>
      <c r="C3018" s="17">
        <f>IF(Calc!$B3018,Calc!O3018,"")</f>
        <v/>
      </c>
    </row>
    <row r="3019">
      <c r="A3019" s="16">
        <f>IF(Calc!$B3019,Calc!E3019,"")</f>
        <v/>
      </c>
      <c r="B3019">
        <f>IF(Calc!$B3019,INDEX(MineNames,Calc!C3019),"")</f>
        <v/>
      </c>
      <c r="C3019" s="17">
        <f>IF(Calc!$B3019,Calc!O3019,"")</f>
        <v/>
      </c>
    </row>
    <row r="3020">
      <c r="A3020" s="16">
        <f>IF(Calc!$B3020,Calc!E3020,"")</f>
        <v/>
      </c>
      <c r="B3020">
        <f>IF(Calc!$B3020,INDEX(MineNames,Calc!C3020),"")</f>
        <v/>
      </c>
      <c r="C3020" s="17">
        <f>IF(Calc!$B3020,Calc!O3020,"")</f>
        <v/>
      </c>
    </row>
    <row r="3021">
      <c r="A3021" s="16">
        <f>IF(Calc!$B3021,Calc!E3021,"")</f>
        <v/>
      </c>
      <c r="B3021">
        <f>IF(Calc!$B3021,INDEX(MineNames,Calc!C3021),"")</f>
        <v/>
      </c>
      <c r="C3021" s="17">
        <f>IF(Calc!$B3021,Calc!O3021,"")</f>
        <v/>
      </c>
    </row>
    <row r="3022">
      <c r="A3022" s="16">
        <f>IF(Calc!$B3022,Calc!E3022,"")</f>
        <v/>
      </c>
      <c r="B3022">
        <f>IF(Calc!$B3022,INDEX(MineNames,Calc!C3022),"")</f>
        <v/>
      </c>
      <c r="C3022" s="17">
        <f>IF(Calc!$B3022,Calc!O3022,"")</f>
        <v/>
      </c>
    </row>
    <row r="3023">
      <c r="A3023" s="16">
        <f>IF(Calc!$B3023,Calc!E3023,"")</f>
        <v/>
      </c>
      <c r="B3023">
        <f>IF(Calc!$B3023,INDEX(MineNames,Calc!C3023),"")</f>
        <v/>
      </c>
      <c r="C3023" s="17">
        <f>IF(Calc!$B3023,Calc!O3023,"")</f>
        <v/>
      </c>
    </row>
    <row r="3024">
      <c r="A3024" s="16">
        <f>IF(Calc!$B3024,Calc!E3024,"")</f>
        <v/>
      </c>
      <c r="B3024">
        <f>IF(Calc!$B3024,INDEX(MineNames,Calc!C3024),"")</f>
        <v/>
      </c>
      <c r="C3024" s="17">
        <f>IF(Calc!$B3024,Calc!O3024,"")</f>
        <v/>
      </c>
    </row>
    <row r="3025">
      <c r="A3025" s="16">
        <f>IF(Calc!$B3025,Calc!E3025,"")</f>
        <v/>
      </c>
      <c r="B3025">
        <f>IF(Calc!$B3025,INDEX(MineNames,Calc!C3025),"")</f>
        <v/>
      </c>
      <c r="C3025" s="17">
        <f>IF(Calc!$B3025,Calc!O3025,"")</f>
        <v/>
      </c>
    </row>
    <row r="3026">
      <c r="A3026" s="16">
        <f>IF(Calc!$B3026,Calc!E3026,"")</f>
        <v/>
      </c>
      <c r="B3026">
        <f>IF(Calc!$B3026,INDEX(MineNames,Calc!C3026),"")</f>
        <v/>
      </c>
      <c r="C3026" s="17">
        <f>IF(Calc!$B3026,Calc!O3026,"")</f>
        <v/>
      </c>
    </row>
    <row r="3027">
      <c r="A3027" s="16">
        <f>IF(Calc!$B3027,Calc!E3027,"")</f>
        <v/>
      </c>
      <c r="B3027">
        <f>IF(Calc!$B3027,INDEX(MineNames,Calc!C3027),"")</f>
        <v/>
      </c>
      <c r="C3027" s="17">
        <f>IF(Calc!$B3027,Calc!O3027,"")</f>
        <v/>
      </c>
    </row>
    <row r="3028">
      <c r="A3028" s="16">
        <f>IF(Calc!$B3028,Calc!E3028,"")</f>
        <v/>
      </c>
      <c r="B3028">
        <f>IF(Calc!$B3028,INDEX(MineNames,Calc!C3028),"")</f>
        <v/>
      </c>
      <c r="C3028" s="17">
        <f>IF(Calc!$B3028,Calc!O3028,"")</f>
        <v/>
      </c>
    </row>
    <row r="3029">
      <c r="A3029" s="16">
        <f>IF(Calc!$B3029,Calc!E3029,"")</f>
        <v/>
      </c>
      <c r="B3029">
        <f>IF(Calc!$B3029,INDEX(MineNames,Calc!C3029),"")</f>
        <v/>
      </c>
      <c r="C3029" s="17">
        <f>IF(Calc!$B3029,Calc!O3029,"")</f>
        <v/>
      </c>
    </row>
    <row r="3030">
      <c r="A3030" s="16">
        <f>IF(Calc!$B3030,Calc!E3030,"")</f>
        <v/>
      </c>
      <c r="B3030">
        <f>IF(Calc!$B3030,INDEX(MineNames,Calc!C3030),"")</f>
        <v/>
      </c>
      <c r="C3030" s="17">
        <f>IF(Calc!$B3030,Calc!O3030,"")</f>
        <v/>
      </c>
    </row>
    <row r="3031">
      <c r="A3031" s="16">
        <f>IF(Calc!$B3031,Calc!E3031,"")</f>
        <v/>
      </c>
      <c r="B3031">
        <f>IF(Calc!$B3031,INDEX(MineNames,Calc!C3031),"")</f>
        <v/>
      </c>
      <c r="C3031" s="17">
        <f>IF(Calc!$B3031,Calc!O3031,"")</f>
        <v/>
      </c>
    </row>
    <row r="3032">
      <c r="A3032" s="16">
        <f>IF(Calc!$B3032,Calc!E3032,"")</f>
        <v/>
      </c>
      <c r="B3032">
        <f>IF(Calc!$B3032,INDEX(MineNames,Calc!C3032),"")</f>
        <v/>
      </c>
      <c r="C3032" s="17">
        <f>IF(Calc!$B3032,Calc!O3032,"")</f>
        <v/>
      </c>
    </row>
    <row r="3033">
      <c r="A3033" s="16">
        <f>IF(Calc!$B3033,Calc!E3033,"")</f>
        <v/>
      </c>
      <c r="B3033">
        <f>IF(Calc!$B3033,INDEX(MineNames,Calc!C3033),"")</f>
        <v/>
      </c>
      <c r="C3033" s="17">
        <f>IF(Calc!$B3033,Calc!O3033,"")</f>
        <v/>
      </c>
    </row>
    <row r="3034">
      <c r="A3034" s="16">
        <f>IF(Calc!$B3034,Calc!E3034,"")</f>
        <v/>
      </c>
      <c r="B3034">
        <f>IF(Calc!$B3034,INDEX(MineNames,Calc!C3034),"")</f>
        <v/>
      </c>
      <c r="C3034" s="17">
        <f>IF(Calc!$B3034,Calc!O3034,"")</f>
        <v/>
      </c>
    </row>
    <row r="3035">
      <c r="A3035" s="16">
        <f>IF(Calc!$B3035,Calc!E3035,"")</f>
        <v/>
      </c>
      <c r="B3035">
        <f>IF(Calc!$B3035,INDEX(MineNames,Calc!C3035),"")</f>
        <v/>
      </c>
      <c r="C3035" s="17">
        <f>IF(Calc!$B3035,Calc!O3035,"")</f>
        <v/>
      </c>
    </row>
    <row r="3036">
      <c r="A3036" s="16">
        <f>IF(Calc!$B3036,Calc!E3036,"")</f>
        <v/>
      </c>
      <c r="B3036">
        <f>IF(Calc!$B3036,INDEX(MineNames,Calc!C3036),"")</f>
        <v/>
      </c>
      <c r="C3036" s="17">
        <f>IF(Calc!$B3036,Calc!O3036,"")</f>
        <v/>
      </c>
    </row>
    <row r="3037">
      <c r="A3037" s="16">
        <f>IF(Calc!$B3037,Calc!E3037,"")</f>
        <v/>
      </c>
      <c r="B3037">
        <f>IF(Calc!$B3037,INDEX(MineNames,Calc!C3037),"")</f>
        <v/>
      </c>
      <c r="C3037" s="17">
        <f>IF(Calc!$B3037,Calc!O3037,"")</f>
        <v/>
      </c>
    </row>
    <row r="3038">
      <c r="A3038" s="16">
        <f>IF(Calc!$B3038,Calc!E3038,"")</f>
        <v/>
      </c>
      <c r="B3038">
        <f>IF(Calc!$B3038,INDEX(MineNames,Calc!C3038),"")</f>
        <v/>
      </c>
      <c r="C3038" s="17">
        <f>IF(Calc!$B3038,Calc!O3038,"")</f>
        <v/>
      </c>
    </row>
    <row r="3039">
      <c r="A3039" s="16">
        <f>IF(Calc!$B3039,Calc!E3039,"")</f>
        <v/>
      </c>
      <c r="B3039">
        <f>IF(Calc!$B3039,INDEX(MineNames,Calc!C3039),"")</f>
        <v/>
      </c>
      <c r="C3039" s="17">
        <f>IF(Calc!$B3039,Calc!O3039,"")</f>
        <v/>
      </c>
    </row>
    <row r="3040">
      <c r="A3040" s="16">
        <f>IF(Calc!$B3040,Calc!E3040,"")</f>
        <v/>
      </c>
      <c r="B3040">
        <f>IF(Calc!$B3040,INDEX(MineNames,Calc!C3040),"")</f>
        <v/>
      </c>
      <c r="C3040" s="17">
        <f>IF(Calc!$B3040,Calc!O3040,"")</f>
        <v/>
      </c>
    </row>
    <row r="3041">
      <c r="A3041" s="16">
        <f>IF(Calc!$B3041,Calc!E3041,"")</f>
        <v/>
      </c>
      <c r="B3041">
        <f>IF(Calc!$B3041,INDEX(MineNames,Calc!C3041),"")</f>
        <v/>
      </c>
      <c r="C3041" s="17">
        <f>IF(Calc!$B3041,Calc!O3041,"")</f>
        <v/>
      </c>
    </row>
    <row r="3042">
      <c r="A3042" s="16">
        <f>IF(Calc!$B3042,Calc!E3042,"")</f>
        <v/>
      </c>
      <c r="B3042">
        <f>IF(Calc!$B3042,INDEX(MineNames,Calc!C3042),"")</f>
        <v/>
      </c>
      <c r="C3042" s="17">
        <f>IF(Calc!$B3042,Calc!O3042,"")</f>
        <v/>
      </c>
    </row>
    <row r="3043">
      <c r="A3043" s="16">
        <f>IF(Calc!$B3043,Calc!E3043,"")</f>
        <v/>
      </c>
      <c r="B3043">
        <f>IF(Calc!$B3043,INDEX(MineNames,Calc!C3043),"")</f>
        <v/>
      </c>
      <c r="C3043" s="17">
        <f>IF(Calc!$B3043,Calc!O3043,"")</f>
        <v/>
      </c>
    </row>
    <row r="3044">
      <c r="A3044" s="16">
        <f>IF(Calc!$B3044,Calc!E3044,"")</f>
        <v/>
      </c>
      <c r="B3044">
        <f>IF(Calc!$B3044,INDEX(MineNames,Calc!C3044),"")</f>
        <v/>
      </c>
      <c r="C3044" s="17">
        <f>IF(Calc!$B3044,Calc!O3044,"")</f>
        <v/>
      </c>
    </row>
    <row r="3045">
      <c r="A3045" s="16">
        <f>IF(Calc!$B3045,Calc!E3045,"")</f>
        <v/>
      </c>
      <c r="B3045">
        <f>IF(Calc!$B3045,INDEX(MineNames,Calc!C3045),"")</f>
        <v/>
      </c>
      <c r="C3045" s="17">
        <f>IF(Calc!$B3045,Calc!O3045,"")</f>
        <v/>
      </c>
    </row>
    <row r="3046">
      <c r="A3046" s="16">
        <f>IF(Calc!$B3046,Calc!E3046,"")</f>
        <v/>
      </c>
      <c r="B3046">
        <f>IF(Calc!$B3046,INDEX(MineNames,Calc!C3046),"")</f>
        <v/>
      </c>
      <c r="C3046" s="17">
        <f>IF(Calc!$B3046,Calc!O3046,"")</f>
        <v/>
      </c>
    </row>
    <row r="3047">
      <c r="A3047" s="16">
        <f>IF(Calc!$B3047,Calc!E3047,"")</f>
        <v/>
      </c>
      <c r="B3047">
        <f>IF(Calc!$B3047,INDEX(MineNames,Calc!C3047),"")</f>
        <v/>
      </c>
      <c r="C3047" s="17">
        <f>IF(Calc!$B3047,Calc!O3047,"")</f>
        <v/>
      </c>
    </row>
    <row r="3048">
      <c r="A3048" s="16">
        <f>IF(Calc!$B3048,Calc!E3048,"")</f>
        <v/>
      </c>
      <c r="B3048">
        <f>IF(Calc!$B3048,INDEX(MineNames,Calc!C3048),"")</f>
        <v/>
      </c>
      <c r="C3048" s="17">
        <f>IF(Calc!$B3048,Calc!O3048,"")</f>
        <v/>
      </c>
    </row>
    <row r="3049">
      <c r="A3049" s="16">
        <f>IF(Calc!$B3049,Calc!E3049,"")</f>
        <v/>
      </c>
      <c r="B3049">
        <f>IF(Calc!$B3049,INDEX(MineNames,Calc!C3049),"")</f>
        <v/>
      </c>
      <c r="C3049" s="17">
        <f>IF(Calc!$B3049,Calc!O3049,"")</f>
        <v/>
      </c>
    </row>
    <row r="3050">
      <c r="A3050" s="16">
        <f>IF(Calc!$B3050,Calc!E3050,"")</f>
        <v/>
      </c>
      <c r="B3050">
        <f>IF(Calc!$B3050,INDEX(MineNames,Calc!C3050),"")</f>
        <v/>
      </c>
      <c r="C3050" s="17">
        <f>IF(Calc!$B3050,Calc!O3050,"")</f>
        <v/>
      </c>
    </row>
    <row r="3051">
      <c r="A3051" s="16">
        <f>IF(Calc!$B3051,Calc!E3051,"")</f>
        <v/>
      </c>
      <c r="B3051">
        <f>IF(Calc!$B3051,INDEX(MineNames,Calc!C3051),"")</f>
        <v/>
      </c>
      <c r="C3051" s="17">
        <f>IF(Calc!$B3051,Calc!O3051,"")</f>
        <v/>
      </c>
    </row>
    <row r="3052">
      <c r="A3052" s="16">
        <f>IF(Calc!$B3052,Calc!E3052,"")</f>
        <v/>
      </c>
      <c r="B3052">
        <f>IF(Calc!$B3052,INDEX(MineNames,Calc!C3052),"")</f>
        <v/>
      </c>
      <c r="C3052" s="17">
        <f>IF(Calc!$B3052,Calc!O3052,"")</f>
        <v/>
      </c>
    </row>
    <row r="3053">
      <c r="A3053" s="16">
        <f>IF(Calc!$B3053,Calc!E3053,"")</f>
        <v/>
      </c>
      <c r="B3053">
        <f>IF(Calc!$B3053,INDEX(MineNames,Calc!C3053),"")</f>
        <v/>
      </c>
      <c r="C3053" s="17">
        <f>IF(Calc!$B3053,Calc!O3053,"")</f>
        <v/>
      </c>
    </row>
    <row r="3054">
      <c r="A3054" s="16">
        <f>IF(Calc!$B3054,Calc!E3054,"")</f>
        <v/>
      </c>
      <c r="B3054">
        <f>IF(Calc!$B3054,INDEX(MineNames,Calc!C3054),"")</f>
        <v/>
      </c>
      <c r="C3054" s="17">
        <f>IF(Calc!$B3054,Calc!O3054,"")</f>
        <v/>
      </c>
    </row>
    <row r="3055">
      <c r="A3055" s="16">
        <f>IF(Calc!$B3055,Calc!E3055,"")</f>
        <v/>
      </c>
      <c r="B3055">
        <f>IF(Calc!$B3055,INDEX(MineNames,Calc!C3055),"")</f>
        <v/>
      </c>
      <c r="C3055" s="17">
        <f>IF(Calc!$B3055,Calc!O3055,"")</f>
        <v/>
      </c>
    </row>
    <row r="3056">
      <c r="A3056" s="16">
        <f>IF(Calc!$B3056,Calc!E3056,"")</f>
        <v/>
      </c>
      <c r="B3056">
        <f>IF(Calc!$B3056,INDEX(MineNames,Calc!C3056),"")</f>
        <v/>
      </c>
      <c r="C3056" s="17">
        <f>IF(Calc!$B3056,Calc!O3056,"")</f>
        <v/>
      </c>
    </row>
    <row r="3057">
      <c r="A3057" s="16">
        <f>IF(Calc!$B3057,Calc!E3057,"")</f>
        <v/>
      </c>
      <c r="B3057">
        <f>IF(Calc!$B3057,INDEX(MineNames,Calc!C3057),"")</f>
        <v/>
      </c>
      <c r="C3057" s="17">
        <f>IF(Calc!$B3057,Calc!O3057,"")</f>
        <v/>
      </c>
    </row>
    <row r="3058">
      <c r="A3058" s="16">
        <f>IF(Calc!$B3058,Calc!E3058,"")</f>
        <v/>
      </c>
      <c r="B3058">
        <f>IF(Calc!$B3058,INDEX(MineNames,Calc!C3058),"")</f>
        <v/>
      </c>
      <c r="C3058" s="17">
        <f>IF(Calc!$B3058,Calc!O3058,"")</f>
        <v/>
      </c>
    </row>
    <row r="3059">
      <c r="A3059" s="16">
        <f>IF(Calc!$B3059,Calc!E3059,"")</f>
        <v/>
      </c>
      <c r="B3059">
        <f>IF(Calc!$B3059,INDEX(MineNames,Calc!C3059),"")</f>
        <v/>
      </c>
      <c r="C3059" s="17">
        <f>IF(Calc!$B3059,Calc!O3059,"")</f>
        <v/>
      </c>
    </row>
    <row r="3060">
      <c r="A3060" s="16">
        <f>IF(Calc!$B3060,Calc!E3060,"")</f>
        <v/>
      </c>
      <c r="B3060">
        <f>IF(Calc!$B3060,INDEX(MineNames,Calc!C3060),"")</f>
        <v/>
      </c>
      <c r="C3060" s="17">
        <f>IF(Calc!$B3060,Calc!O3060,"")</f>
        <v/>
      </c>
    </row>
    <row r="3061">
      <c r="A3061" s="16">
        <f>IF(Calc!$B3061,Calc!E3061,"")</f>
        <v/>
      </c>
      <c r="B3061">
        <f>IF(Calc!$B3061,INDEX(MineNames,Calc!C3061),"")</f>
        <v/>
      </c>
      <c r="C3061" s="17">
        <f>IF(Calc!$B3061,Calc!O3061,"")</f>
        <v/>
      </c>
    </row>
    <row r="3062">
      <c r="A3062" s="16">
        <f>IF(Calc!$B3062,Calc!E3062,"")</f>
        <v/>
      </c>
      <c r="B3062">
        <f>IF(Calc!$B3062,INDEX(MineNames,Calc!C3062),"")</f>
        <v/>
      </c>
      <c r="C3062" s="17">
        <f>IF(Calc!$B3062,Calc!O3062,"")</f>
        <v/>
      </c>
    </row>
    <row r="3063">
      <c r="A3063" s="16">
        <f>IF(Calc!$B3063,Calc!E3063,"")</f>
        <v/>
      </c>
      <c r="B3063">
        <f>IF(Calc!$B3063,INDEX(MineNames,Calc!C3063),"")</f>
        <v/>
      </c>
      <c r="C3063" s="17">
        <f>IF(Calc!$B3063,Calc!O3063,"")</f>
        <v/>
      </c>
    </row>
    <row r="3064">
      <c r="A3064" s="16">
        <f>IF(Calc!$B3064,Calc!E3064,"")</f>
        <v/>
      </c>
      <c r="B3064">
        <f>IF(Calc!$B3064,INDEX(MineNames,Calc!C3064),"")</f>
        <v/>
      </c>
      <c r="C3064" s="17">
        <f>IF(Calc!$B3064,Calc!O3064,"")</f>
        <v/>
      </c>
    </row>
    <row r="3065">
      <c r="A3065" s="16">
        <f>IF(Calc!$B3065,Calc!E3065,"")</f>
        <v/>
      </c>
      <c r="B3065">
        <f>IF(Calc!$B3065,INDEX(MineNames,Calc!C3065),"")</f>
        <v/>
      </c>
      <c r="C3065" s="17">
        <f>IF(Calc!$B3065,Calc!O3065,"")</f>
        <v/>
      </c>
    </row>
    <row r="3066">
      <c r="A3066" s="16">
        <f>IF(Calc!$B3066,Calc!E3066,"")</f>
        <v/>
      </c>
      <c r="B3066">
        <f>IF(Calc!$B3066,INDEX(MineNames,Calc!C3066),"")</f>
        <v/>
      </c>
      <c r="C3066" s="17">
        <f>IF(Calc!$B3066,Calc!O3066,"")</f>
        <v/>
      </c>
    </row>
    <row r="3067">
      <c r="A3067" s="16">
        <f>IF(Calc!$B3067,Calc!E3067,"")</f>
        <v/>
      </c>
      <c r="B3067">
        <f>IF(Calc!$B3067,INDEX(MineNames,Calc!C3067),"")</f>
        <v/>
      </c>
      <c r="C3067" s="17">
        <f>IF(Calc!$B3067,Calc!O3067,"")</f>
        <v/>
      </c>
    </row>
    <row r="3068">
      <c r="A3068" s="16">
        <f>IF(Calc!$B3068,Calc!E3068,"")</f>
        <v/>
      </c>
      <c r="B3068">
        <f>IF(Calc!$B3068,INDEX(MineNames,Calc!C3068),"")</f>
        <v/>
      </c>
      <c r="C3068" s="17">
        <f>IF(Calc!$B3068,Calc!O3068,"")</f>
        <v/>
      </c>
    </row>
    <row r="3069">
      <c r="A3069" s="16">
        <f>IF(Calc!$B3069,Calc!E3069,"")</f>
        <v/>
      </c>
      <c r="B3069">
        <f>IF(Calc!$B3069,INDEX(MineNames,Calc!C3069),"")</f>
        <v/>
      </c>
      <c r="C3069" s="17">
        <f>IF(Calc!$B3069,Calc!O3069,"")</f>
        <v/>
      </c>
    </row>
    <row r="3070">
      <c r="A3070" s="16">
        <f>IF(Calc!$B3070,Calc!E3070,"")</f>
        <v/>
      </c>
      <c r="B3070">
        <f>IF(Calc!$B3070,INDEX(MineNames,Calc!C3070),"")</f>
        <v/>
      </c>
      <c r="C3070" s="17">
        <f>IF(Calc!$B3070,Calc!O3070,"")</f>
        <v/>
      </c>
    </row>
    <row r="3071">
      <c r="A3071" s="16">
        <f>IF(Calc!$B3071,Calc!E3071,"")</f>
        <v/>
      </c>
      <c r="B3071">
        <f>IF(Calc!$B3071,INDEX(MineNames,Calc!C3071),"")</f>
        <v/>
      </c>
      <c r="C3071" s="17">
        <f>IF(Calc!$B3071,Calc!O3071,"")</f>
        <v/>
      </c>
    </row>
    <row r="3072">
      <c r="A3072" s="16">
        <f>IF(Calc!$B3072,Calc!E3072,"")</f>
        <v/>
      </c>
      <c r="B3072">
        <f>IF(Calc!$B3072,INDEX(MineNames,Calc!C3072),"")</f>
        <v/>
      </c>
      <c r="C3072" s="17">
        <f>IF(Calc!$B3072,Calc!O3072,"")</f>
        <v/>
      </c>
    </row>
    <row r="3073">
      <c r="A3073" s="16">
        <f>IF(Calc!$B3073,Calc!E3073,"")</f>
        <v/>
      </c>
      <c r="B3073">
        <f>IF(Calc!$B3073,INDEX(MineNames,Calc!C3073),"")</f>
        <v/>
      </c>
      <c r="C3073" s="17">
        <f>IF(Calc!$B3073,Calc!O3073,"")</f>
        <v/>
      </c>
    </row>
    <row r="3074">
      <c r="A3074" s="16">
        <f>IF(Calc!$B3074,Calc!E3074,"")</f>
        <v/>
      </c>
      <c r="B3074">
        <f>IF(Calc!$B3074,INDEX(MineNames,Calc!C3074),"")</f>
        <v/>
      </c>
      <c r="C3074" s="17">
        <f>IF(Calc!$B3074,Calc!O3074,"")</f>
        <v/>
      </c>
    </row>
    <row r="3075">
      <c r="A3075" s="16">
        <f>IF(Calc!$B3075,Calc!E3075,"")</f>
        <v/>
      </c>
      <c r="B3075">
        <f>IF(Calc!$B3075,INDEX(MineNames,Calc!C3075),"")</f>
        <v/>
      </c>
      <c r="C3075" s="17">
        <f>IF(Calc!$B3075,Calc!O3075,"")</f>
        <v/>
      </c>
    </row>
    <row r="3076">
      <c r="A3076" s="16">
        <f>IF(Calc!$B3076,Calc!E3076,"")</f>
        <v/>
      </c>
      <c r="B3076">
        <f>IF(Calc!$B3076,INDEX(MineNames,Calc!C3076),"")</f>
        <v/>
      </c>
      <c r="C3076" s="17">
        <f>IF(Calc!$B3076,Calc!O3076,"")</f>
        <v/>
      </c>
    </row>
    <row r="3077">
      <c r="A3077" s="16">
        <f>IF(Calc!$B3077,Calc!E3077,"")</f>
        <v/>
      </c>
      <c r="B3077">
        <f>IF(Calc!$B3077,INDEX(MineNames,Calc!C3077),"")</f>
        <v/>
      </c>
      <c r="C3077" s="17">
        <f>IF(Calc!$B3077,Calc!O3077,"")</f>
        <v/>
      </c>
    </row>
    <row r="3078">
      <c r="A3078" s="16">
        <f>IF(Calc!$B3078,Calc!E3078,"")</f>
        <v/>
      </c>
      <c r="B3078">
        <f>IF(Calc!$B3078,INDEX(MineNames,Calc!C3078),"")</f>
        <v/>
      </c>
      <c r="C3078" s="17">
        <f>IF(Calc!$B3078,Calc!O3078,"")</f>
        <v/>
      </c>
    </row>
    <row r="3079">
      <c r="A3079" s="16">
        <f>IF(Calc!$B3079,Calc!E3079,"")</f>
        <v/>
      </c>
      <c r="B3079">
        <f>IF(Calc!$B3079,INDEX(MineNames,Calc!C3079),"")</f>
        <v/>
      </c>
      <c r="C3079" s="17">
        <f>IF(Calc!$B3079,Calc!O3079,"")</f>
        <v/>
      </c>
    </row>
    <row r="3080">
      <c r="A3080" s="16">
        <f>IF(Calc!$B3080,Calc!E3080,"")</f>
        <v/>
      </c>
      <c r="B3080">
        <f>IF(Calc!$B3080,INDEX(MineNames,Calc!C3080),"")</f>
        <v/>
      </c>
      <c r="C3080" s="17">
        <f>IF(Calc!$B3080,Calc!O3080,"")</f>
        <v/>
      </c>
    </row>
    <row r="3081">
      <c r="A3081" s="16">
        <f>IF(Calc!$B3081,Calc!E3081,"")</f>
        <v/>
      </c>
      <c r="B3081">
        <f>IF(Calc!$B3081,INDEX(MineNames,Calc!C3081),"")</f>
        <v/>
      </c>
      <c r="C3081" s="17">
        <f>IF(Calc!$B3081,Calc!O3081,"")</f>
        <v/>
      </c>
    </row>
    <row r="3082">
      <c r="A3082" s="16">
        <f>IF(Calc!$B3082,Calc!E3082,"")</f>
        <v/>
      </c>
      <c r="B3082">
        <f>IF(Calc!$B3082,INDEX(MineNames,Calc!C3082),"")</f>
        <v/>
      </c>
      <c r="C3082" s="17">
        <f>IF(Calc!$B3082,Calc!O3082,"")</f>
        <v/>
      </c>
    </row>
    <row r="3083">
      <c r="A3083" s="16">
        <f>IF(Calc!$B3083,Calc!E3083,"")</f>
        <v/>
      </c>
      <c r="B3083">
        <f>IF(Calc!$B3083,INDEX(MineNames,Calc!C3083),"")</f>
        <v/>
      </c>
      <c r="C3083" s="17">
        <f>IF(Calc!$B3083,Calc!O3083,"")</f>
        <v/>
      </c>
    </row>
    <row r="3084">
      <c r="A3084" s="16">
        <f>IF(Calc!$B3084,Calc!E3084,"")</f>
        <v/>
      </c>
      <c r="B3084">
        <f>IF(Calc!$B3084,INDEX(MineNames,Calc!C3084),"")</f>
        <v/>
      </c>
      <c r="C3084" s="17">
        <f>IF(Calc!$B3084,Calc!O3084,"")</f>
        <v/>
      </c>
    </row>
    <row r="3085">
      <c r="A3085" s="16">
        <f>IF(Calc!$B3085,Calc!E3085,"")</f>
        <v/>
      </c>
      <c r="B3085">
        <f>IF(Calc!$B3085,INDEX(MineNames,Calc!C3085),"")</f>
        <v/>
      </c>
      <c r="C3085" s="17">
        <f>IF(Calc!$B3085,Calc!O3085,"")</f>
        <v/>
      </c>
    </row>
    <row r="3086">
      <c r="A3086" s="16">
        <f>IF(Calc!$B3086,Calc!E3086,"")</f>
        <v/>
      </c>
      <c r="B3086">
        <f>IF(Calc!$B3086,INDEX(MineNames,Calc!C3086),"")</f>
        <v/>
      </c>
      <c r="C3086" s="17">
        <f>IF(Calc!$B3086,Calc!O3086,"")</f>
        <v/>
      </c>
    </row>
    <row r="3087">
      <c r="A3087" s="16">
        <f>IF(Calc!$B3087,Calc!E3087,"")</f>
        <v/>
      </c>
      <c r="B3087">
        <f>IF(Calc!$B3087,INDEX(MineNames,Calc!C3087),"")</f>
        <v/>
      </c>
      <c r="C3087" s="17">
        <f>IF(Calc!$B3087,Calc!O3087,"")</f>
        <v/>
      </c>
    </row>
    <row r="3088">
      <c r="A3088" s="16">
        <f>IF(Calc!$B3088,Calc!E3088,"")</f>
        <v/>
      </c>
      <c r="B3088">
        <f>IF(Calc!$B3088,INDEX(MineNames,Calc!C3088),"")</f>
        <v/>
      </c>
      <c r="C3088" s="17">
        <f>IF(Calc!$B3088,Calc!O3088,"")</f>
        <v/>
      </c>
    </row>
    <row r="3089">
      <c r="A3089" s="16">
        <f>IF(Calc!$B3089,Calc!E3089,"")</f>
        <v/>
      </c>
      <c r="B3089">
        <f>IF(Calc!$B3089,INDEX(MineNames,Calc!C3089),"")</f>
        <v/>
      </c>
      <c r="C3089" s="17">
        <f>IF(Calc!$B3089,Calc!O3089,"")</f>
        <v/>
      </c>
    </row>
    <row r="3090">
      <c r="A3090" s="16">
        <f>IF(Calc!$B3090,Calc!E3090,"")</f>
        <v/>
      </c>
      <c r="B3090">
        <f>IF(Calc!$B3090,INDEX(MineNames,Calc!C3090),"")</f>
        <v/>
      </c>
      <c r="C3090" s="17">
        <f>IF(Calc!$B3090,Calc!O3090,"")</f>
        <v/>
      </c>
    </row>
    <row r="3091">
      <c r="A3091" s="16">
        <f>IF(Calc!$B3091,Calc!E3091,"")</f>
        <v/>
      </c>
      <c r="B3091">
        <f>IF(Calc!$B3091,INDEX(MineNames,Calc!C3091),"")</f>
        <v/>
      </c>
      <c r="C3091" s="17">
        <f>IF(Calc!$B3091,Calc!O3091,"")</f>
        <v/>
      </c>
    </row>
    <row r="3092">
      <c r="A3092" s="16">
        <f>IF(Calc!$B3092,Calc!E3092,"")</f>
        <v/>
      </c>
      <c r="B3092">
        <f>IF(Calc!$B3092,INDEX(MineNames,Calc!C3092),"")</f>
        <v/>
      </c>
      <c r="C3092" s="17">
        <f>IF(Calc!$B3092,Calc!O3092,"")</f>
        <v/>
      </c>
    </row>
    <row r="3093">
      <c r="A3093" s="16">
        <f>IF(Calc!$B3093,Calc!E3093,"")</f>
        <v/>
      </c>
      <c r="B3093">
        <f>IF(Calc!$B3093,INDEX(MineNames,Calc!C3093),"")</f>
        <v/>
      </c>
      <c r="C3093" s="17">
        <f>IF(Calc!$B3093,Calc!O3093,"")</f>
        <v/>
      </c>
    </row>
    <row r="3094">
      <c r="A3094" s="16">
        <f>IF(Calc!$B3094,Calc!E3094,"")</f>
        <v/>
      </c>
      <c r="B3094">
        <f>IF(Calc!$B3094,INDEX(MineNames,Calc!C3094),"")</f>
        <v/>
      </c>
      <c r="C3094" s="17">
        <f>IF(Calc!$B3094,Calc!O3094,"")</f>
        <v/>
      </c>
    </row>
    <row r="3095">
      <c r="A3095" s="16">
        <f>IF(Calc!$B3095,Calc!E3095,"")</f>
        <v/>
      </c>
      <c r="B3095">
        <f>IF(Calc!$B3095,INDEX(MineNames,Calc!C3095),"")</f>
        <v/>
      </c>
      <c r="C3095" s="17">
        <f>IF(Calc!$B3095,Calc!O3095,"")</f>
        <v/>
      </c>
    </row>
    <row r="3096">
      <c r="A3096" s="16">
        <f>IF(Calc!$B3096,Calc!E3096,"")</f>
        <v/>
      </c>
      <c r="B3096">
        <f>IF(Calc!$B3096,INDEX(MineNames,Calc!C3096),"")</f>
        <v/>
      </c>
      <c r="C3096" s="17">
        <f>IF(Calc!$B3096,Calc!O3096,"")</f>
        <v/>
      </c>
    </row>
    <row r="3097">
      <c r="A3097" s="16">
        <f>IF(Calc!$B3097,Calc!E3097,"")</f>
        <v/>
      </c>
      <c r="B3097">
        <f>IF(Calc!$B3097,INDEX(MineNames,Calc!C3097),"")</f>
        <v/>
      </c>
      <c r="C3097" s="17">
        <f>IF(Calc!$B3097,Calc!O3097,"")</f>
        <v/>
      </c>
    </row>
    <row r="3098">
      <c r="A3098" s="16">
        <f>IF(Calc!$B3098,Calc!E3098,"")</f>
        <v/>
      </c>
      <c r="B3098">
        <f>IF(Calc!$B3098,INDEX(MineNames,Calc!C3098),"")</f>
        <v/>
      </c>
      <c r="C3098" s="17">
        <f>IF(Calc!$B3098,Calc!O3098,"")</f>
        <v/>
      </c>
    </row>
    <row r="3099">
      <c r="A3099" s="16">
        <f>IF(Calc!$B3099,Calc!E3099,"")</f>
        <v/>
      </c>
      <c r="B3099">
        <f>IF(Calc!$B3099,INDEX(MineNames,Calc!C3099),"")</f>
        <v/>
      </c>
      <c r="C3099" s="17">
        <f>IF(Calc!$B3099,Calc!O3099,"")</f>
        <v/>
      </c>
    </row>
    <row r="3100">
      <c r="A3100" s="16">
        <f>IF(Calc!$B3100,Calc!E3100,"")</f>
        <v/>
      </c>
      <c r="B3100">
        <f>IF(Calc!$B3100,INDEX(MineNames,Calc!C3100),"")</f>
        <v/>
      </c>
      <c r="C3100" s="17">
        <f>IF(Calc!$B3100,Calc!O3100,"")</f>
        <v/>
      </c>
    </row>
    <row r="3101">
      <c r="A3101" s="16">
        <f>IF(Calc!$B3101,Calc!E3101,"")</f>
        <v/>
      </c>
      <c r="B3101">
        <f>IF(Calc!$B3101,INDEX(MineNames,Calc!C3101),"")</f>
        <v/>
      </c>
      <c r="C3101" s="17">
        <f>IF(Calc!$B3101,Calc!O3101,"")</f>
        <v/>
      </c>
    </row>
    <row r="3102">
      <c r="A3102" s="16">
        <f>IF(Calc!$B3102,Calc!E3102,"")</f>
        <v/>
      </c>
      <c r="B3102">
        <f>IF(Calc!$B3102,INDEX(MineNames,Calc!C3102),"")</f>
        <v/>
      </c>
      <c r="C3102" s="17">
        <f>IF(Calc!$B3102,Calc!O3102,"")</f>
        <v/>
      </c>
    </row>
    <row r="3103">
      <c r="A3103" s="16">
        <f>IF(Calc!$B3103,Calc!E3103,"")</f>
        <v/>
      </c>
      <c r="B3103">
        <f>IF(Calc!$B3103,INDEX(MineNames,Calc!C3103),"")</f>
        <v/>
      </c>
      <c r="C3103" s="17">
        <f>IF(Calc!$B3103,Calc!O3103,"")</f>
        <v/>
      </c>
    </row>
    <row r="3104">
      <c r="A3104" s="16">
        <f>IF(Calc!$B3104,Calc!E3104,"")</f>
        <v/>
      </c>
      <c r="B3104">
        <f>IF(Calc!$B3104,INDEX(MineNames,Calc!C3104),"")</f>
        <v/>
      </c>
      <c r="C3104" s="17">
        <f>IF(Calc!$B3104,Calc!O3104,"")</f>
        <v/>
      </c>
    </row>
    <row r="3105">
      <c r="A3105" s="16">
        <f>IF(Calc!$B3105,Calc!E3105,"")</f>
        <v/>
      </c>
      <c r="B3105">
        <f>IF(Calc!$B3105,INDEX(MineNames,Calc!C3105),"")</f>
        <v/>
      </c>
      <c r="C3105" s="17">
        <f>IF(Calc!$B3105,Calc!O3105,"")</f>
        <v/>
      </c>
    </row>
    <row r="3106">
      <c r="A3106" s="16">
        <f>IF(Calc!$B3106,Calc!E3106,"")</f>
        <v/>
      </c>
      <c r="B3106">
        <f>IF(Calc!$B3106,INDEX(MineNames,Calc!C3106),"")</f>
        <v/>
      </c>
      <c r="C3106" s="17">
        <f>IF(Calc!$B3106,Calc!O3106,"")</f>
        <v/>
      </c>
    </row>
    <row r="3107">
      <c r="A3107" s="16">
        <f>IF(Calc!$B3107,Calc!E3107,"")</f>
        <v/>
      </c>
      <c r="B3107">
        <f>IF(Calc!$B3107,INDEX(MineNames,Calc!C3107),"")</f>
        <v/>
      </c>
      <c r="C3107" s="17">
        <f>IF(Calc!$B3107,Calc!O3107,"")</f>
        <v/>
      </c>
    </row>
    <row r="3108">
      <c r="A3108" s="16">
        <f>IF(Calc!$B3108,Calc!E3108,"")</f>
        <v/>
      </c>
      <c r="B3108">
        <f>IF(Calc!$B3108,INDEX(MineNames,Calc!C3108),"")</f>
        <v/>
      </c>
      <c r="C3108" s="17">
        <f>IF(Calc!$B3108,Calc!O3108,"")</f>
        <v/>
      </c>
    </row>
    <row r="3109">
      <c r="A3109" s="16">
        <f>IF(Calc!$B3109,Calc!E3109,"")</f>
        <v/>
      </c>
      <c r="B3109">
        <f>IF(Calc!$B3109,INDEX(MineNames,Calc!C3109),"")</f>
        <v/>
      </c>
      <c r="C3109" s="17">
        <f>IF(Calc!$B3109,Calc!O3109,"")</f>
        <v/>
      </c>
    </row>
    <row r="3110">
      <c r="A3110" s="16">
        <f>IF(Calc!$B3110,Calc!E3110,"")</f>
        <v/>
      </c>
      <c r="B3110">
        <f>IF(Calc!$B3110,INDEX(MineNames,Calc!C3110),"")</f>
        <v/>
      </c>
      <c r="C3110" s="17">
        <f>IF(Calc!$B3110,Calc!O3110,"")</f>
        <v/>
      </c>
    </row>
    <row r="3111">
      <c r="A3111" s="16">
        <f>IF(Calc!$B3111,Calc!E3111,"")</f>
        <v/>
      </c>
      <c r="B3111">
        <f>IF(Calc!$B3111,INDEX(MineNames,Calc!C3111),"")</f>
        <v/>
      </c>
      <c r="C3111" s="17">
        <f>IF(Calc!$B3111,Calc!O3111,"")</f>
        <v/>
      </c>
    </row>
    <row r="3112">
      <c r="A3112" s="16">
        <f>IF(Calc!$B3112,Calc!E3112,"")</f>
        <v/>
      </c>
      <c r="B3112">
        <f>IF(Calc!$B3112,INDEX(MineNames,Calc!C3112),"")</f>
        <v/>
      </c>
      <c r="C3112" s="17">
        <f>IF(Calc!$B3112,Calc!O3112,"")</f>
        <v/>
      </c>
    </row>
    <row r="3113">
      <c r="A3113" s="16">
        <f>IF(Calc!$B3113,Calc!E3113,"")</f>
        <v/>
      </c>
      <c r="B3113">
        <f>IF(Calc!$B3113,INDEX(MineNames,Calc!C3113),"")</f>
        <v/>
      </c>
      <c r="C3113" s="17">
        <f>IF(Calc!$B3113,Calc!O3113,"")</f>
        <v/>
      </c>
    </row>
    <row r="3114">
      <c r="A3114" s="16">
        <f>IF(Calc!$B3114,Calc!E3114,"")</f>
        <v/>
      </c>
      <c r="B3114">
        <f>IF(Calc!$B3114,INDEX(MineNames,Calc!C3114),"")</f>
        <v/>
      </c>
      <c r="C3114" s="17">
        <f>IF(Calc!$B3114,Calc!O3114,"")</f>
        <v/>
      </c>
    </row>
    <row r="3115">
      <c r="A3115" s="16">
        <f>IF(Calc!$B3115,Calc!E3115,"")</f>
        <v/>
      </c>
      <c r="B3115">
        <f>IF(Calc!$B3115,INDEX(MineNames,Calc!C3115),"")</f>
        <v/>
      </c>
      <c r="C3115" s="17">
        <f>IF(Calc!$B3115,Calc!O3115,"")</f>
        <v/>
      </c>
    </row>
    <row r="3116">
      <c r="A3116" s="16">
        <f>IF(Calc!$B3116,Calc!E3116,"")</f>
        <v/>
      </c>
      <c r="B3116">
        <f>IF(Calc!$B3116,INDEX(MineNames,Calc!C3116),"")</f>
        <v/>
      </c>
      <c r="C3116" s="17">
        <f>IF(Calc!$B3116,Calc!O3116,"")</f>
        <v/>
      </c>
    </row>
    <row r="3117">
      <c r="A3117" s="16">
        <f>IF(Calc!$B3117,Calc!E3117,"")</f>
        <v/>
      </c>
      <c r="B3117">
        <f>IF(Calc!$B3117,INDEX(MineNames,Calc!C3117),"")</f>
        <v/>
      </c>
      <c r="C3117" s="17">
        <f>IF(Calc!$B3117,Calc!O3117,"")</f>
        <v/>
      </c>
    </row>
    <row r="3118">
      <c r="A3118" s="16">
        <f>IF(Calc!$B3118,Calc!E3118,"")</f>
        <v/>
      </c>
      <c r="B3118">
        <f>IF(Calc!$B3118,INDEX(MineNames,Calc!C3118),"")</f>
        <v/>
      </c>
      <c r="C3118" s="17">
        <f>IF(Calc!$B3118,Calc!O3118,"")</f>
        <v/>
      </c>
    </row>
    <row r="3119">
      <c r="A3119" s="16">
        <f>IF(Calc!$B3119,Calc!E3119,"")</f>
        <v/>
      </c>
      <c r="B3119">
        <f>IF(Calc!$B3119,INDEX(MineNames,Calc!C3119),"")</f>
        <v/>
      </c>
      <c r="C3119" s="17">
        <f>IF(Calc!$B3119,Calc!O3119,"")</f>
        <v/>
      </c>
    </row>
    <row r="3120">
      <c r="A3120" s="16">
        <f>IF(Calc!$B3120,Calc!E3120,"")</f>
        <v/>
      </c>
      <c r="B3120">
        <f>IF(Calc!$B3120,INDEX(MineNames,Calc!C3120),"")</f>
        <v/>
      </c>
      <c r="C3120" s="17">
        <f>IF(Calc!$B3120,Calc!O3120,"")</f>
        <v/>
      </c>
    </row>
    <row r="3121">
      <c r="A3121" s="16">
        <f>IF(Calc!$B3121,Calc!E3121,"")</f>
        <v/>
      </c>
      <c r="B3121">
        <f>IF(Calc!$B3121,INDEX(MineNames,Calc!C3121),"")</f>
        <v/>
      </c>
      <c r="C3121" s="17">
        <f>IF(Calc!$B3121,Calc!O3121,"")</f>
        <v/>
      </c>
    </row>
    <row r="3122">
      <c r="A3122" s="16">
        <f>IF(Calc!$B3122,Calc!E3122,"")</f>
        <v/>
      </c>
      <c r="B3122">
        <f>IF(Calc!$B3122,INDEX(MineNames,Calc!C3122),"")</f>
        <v/>
      </c>
      <c r="C3122" s="17">
        <f>IF(Calc!$B3122,Calc!O3122,"")</f>
        <v/>
      </c>
    </row>
    <row r="3123">
      <c r="A3123" s="16">
        <f>IF(Calc!$B3123,Calc!E3123,"")</f>
        <v/>
      </c>
      <c r="B3123">
        <f>IF(Calc!$B3123,INDEX(MineNames,Calc!C3123),"")</f>
        <v/>
      </c>
      <c r="C3123" s="17">
        <f>IF(Calc!$B3123,Calc!O3123,"")</f>
        <v/>
      </c>
    </row>
    <row r="3124">
      <c r="A3124" s="16">
        <f>IF(Calc!$B3124,Calc!E3124,"")</f>
        <v/>
      </c>
      <c r="B3124">
        <f>IF(Calc!$B3124,INDEX(MineNames,Calc!C3124),"")</f>
        <v/>
      </c>
      <c r="C3124" s="17">
        <f>IF(Calc!$B3124,Calc!O3124,"")</f>
        <v/>
      </c>
    </row>
    <row r="3125">
      <c r="A3125" s="16">
        <f>IF(Calc!$B3125,Calc!E3125,"")</f>
        <v/>
      </c>
      <c r="B3125">
        <f>IF(Calc!$B3125,INDEX(MineNames,Calc!C3125),"")</f>
        <v/>
      </c>
      <c r="C3125" s="17">
        <f>IF(Calc!$B3125,Calc!O3125,"")</f>
        <v/>
      </c>
    </row>
    <row r="3126">
      <c r="A3126" s="16">
        <f>IF(Calc!$B3126,Calc!E3126,"")</f>
        <v/>
      </c>
      <c r="B3126">
        <f>IF(Calc!$B3126,INDEX(MineNames,Calc!C3126),"")</f>
        <v/>
      </c>
      <c r="C3126" s="17">
        <f>IF(Calc!$B3126,Calc!O3126,"")</f>
        <v/>
      </c>
    </row>
    <row r="3127">
      <c r="A3127" s="16">
        <f>IF(Calc!$B3127,Calc!E3127,"")</f>
        <v/>
      </c>
      <c r="B3127">
        <f>IF(Calc!$B3127,INDEX(MineNames,Calc!C3127),"")</f>
        <v/>
      </c>
      <c r="C3127" s="17">
        <f>IF(Calc!$B3127,Calc!O3127,"")</f>
        <v/>
      </c>
    </row>
    <row r="3128">
      <c r="A3128" s="16">
        <f>IF(Calc!$B3128,Calc!E3128,"")</f>
        <v/>
      </c>
      <c r="B3128">
        <f>IF(Calc!$B3128,INDEX(MineNames,Calc!C3128),"")</f>
        <v/>
      </c>
      <c r="C3128" s="17">
        <f>IF(Calc!$B3128,Calc!O3128,"")</f>
        <v/>
      </c>
    </row>
    <row r="3129">
      <c r="A3129" s="16">
        <f>IF(Calc!$B3129,Calc!E3129,"")</f>
        <v/>
      </c>
      <c r="B3129">
        <f>IF(Calc!$B3129,INDEX(MineNames,Calc!C3129),"")</f>
        <v/>
      </c>
      <c r="C3129" s="17">
        <f>IF(Calc!$B3129,Calc!O3129,"")</f>
        <v/>
      </c>
    </row>
    <row r="3130">
      <c r="A3130" s="16">
        <f>IF(Calc!$B3130,Calc!E3130,"")</f>
        <v/>
      </c>
      <c r="B3130">
        <f>IF(Calc!$B3130,INDEX(MineNames,Calc!C3130),"")</f>
        <v/>
      </c>
      <c r="C3130" s="17">
        <f>IF(Calc!$B3130,Calc!O3130,"")</f>
        <v/>
      </c>
    </row>
    <row r="3131">
      <c r="A3131" s="16">
        <f>IF(Calc!$B3131,Calc!E3131,"")</f>
        <v/>
      </c>
      <c r="B3131">
        <f>IF(Calc!$B3131,INDEX(MineNames,Calc!C3131),"")</f>
        <v/>
      </c>
      <c r="C3131" s="17">
        <f>IF(Calc!$B3131,Calc!O3131,"")</f>
        <v/>
      </c>
    </row>
    <row r="3132">
      <c r="A3132" s="16">
        <f>IF(Calc!$B3132,Calc!E3132,"")</f>
        <v/>
      </c>
      <c r="B3132">
        <f>IF(Calc!$B3132,INDEX(MineNames,Calc!C3132),"")</f>
        <v/>
      </c>
      <c r="C3132" s="17">
        <f>IF(Calc!$B3132,Calc!O3132,"")</f>
        <v/>
      </c>
    </row>
    <row r="3133">
      <c r="A3133" s="16">
        <f>IF(Calc!$B3133,Calc!E3133,"")</f>
        <v/>
      </c>
      <c r="B3133">
        <f>IF(Calc!$B3133,INDEX(MineNames,Calc!C3133),"")</f>
        <v/>
      </c>
      <c r="C3133" s="17">
        <f>IF(Calc!$B3133,Calc!O3133,"")</f>
        <v/>
      </c>
    </row>
    <row r="3134">
      <c r="A3134" s="16">
        <f>IF(Calc!$B3134,Calc!E3134,"")</f>
        <v/>
      </c>
      <c r="B3134">
        <f>IF(Calc!$B3134,INDEX(MineNames,Calc!C3134),"")</f>
        <v/>
      </c>
      <c r="C3134" s="17">
        <f>IF(Calc!$B3134,Calc!O3134,"")</f>
        <v/>
      </c>
    </row>
    <row r="3135">
      <c r="A3135" s="16">
        <f>IF(Calc!$B3135,Calc!E3135,"")</f>
        <v/>
      </c>
      <c r="B3135">
        <f>IF(Calc!$B3135,INDEX(MineNames,Calc!C3135),"")</f>
        <v/>
      </c>
      <c r="C3135" s="17">
        <f>IF(Calc!$B3135,Calc!O3135,"")</f>
        <v/>
      </c>
    </row>
    <row r="3136">
      <c r="A3136" s="16">
        <f>IF(Calc!$B3136,Calc!E3136,"")</f>
        <v/>
      </c>
      <c r="B3136">
        <f>IF(Calc!$B3136,INDEX(MineNames,Calc!C3136),"")</f>
        <v/>
      </c>
      <c r="C3136" s="17">
        <f>IF(Calc!$B3136,Calc!O3136,"")</f>
        <v/>
      </c>
    </row>
    <row r="3137">
      <c r="A3137" s="16">
        <f>IF(Calc!$B3137,Calc!E3137,"")</f>
        <v/>
      </c>
      <c r="B3137">
        <f>IF(Calc!$B3137,INDEX(MineNames,Calc!C3137),"")</f>
        <v/>
      </c>
      <c r="C3137" s="17">
        <f>IF(Calc!$B3137,Calc!O3137,"")</f>
        <v/>
      </c>
    </row>
    <row r="3138">
      <c r="A3138" s="16">
        <f>IF(Calc!$B3138,Calc!E3138,"")</f>
        <v/>
      </c>
      <c r="B3138">
        <f>IF(Calc!$B3138,INDEX(MineNames,Calc!C3138),"")</f>
        <v/>
      </c>
      <c r="C3138" s="17">
        <f>IF(Calc!$B3138,Calc!O3138,"")</f>
        <v/>
      </c>
    </row>
    <row r="3139">
      <c r="A3139" s="16">
        <f>IF(Calc!$B3139,Calc!E3139,"")</f>
        <v/>
      </c>
      <c r="B3139">
        <f>IF(Calc!$B3139,INDEX(MineNames,Calc!C3139),"")</f>
        <v/>
      </c>
      <c r="C3139" s="17">
        <f>IF(Calc!$B3139,Calc!O3139,"")</f>
        <v/>
      </c>
    </row>
    <row r="3140">
      <c r="A3140" s="16">
        <f>IF(Calc!$B3140,Calc!E3140,"")</f>
        <v/>
      </c>
      <c r="B3140">
        <f>IF(Calc!$B3140,INDEX(MineNames,Calc!C3140),"")</f>
        <v/>
      </c>
      <c r="C3140" s="17">
        <f>IF(Calc!$B3140,Calc!O3140,"")</f>
        <v/>
      </c>
    </row>
    <row r="3141">
      <c r="A3141" s="16">
        <f>IF(Calc!$B3141,Calc!E3141,"")</f>
        <v/>
      </c>
      <c r="B3141">
        <f>IF(Calc!$B3141,INDEX(MineNames,Calc!C3141),"")</f>
        <v/>
      </c>
      <c r="C3141" s="17">
        <f>IF(Calc!$B3141,Calc!O3141,"")</f>
        <v/>
      </c>
    </row>
    <row r="3142">
      <c r="A3142" s="16">
        <f>IF(Calc!$B3142,Calc!E3142,"")</f>
        <v/>
      </c>
      <c r="B3142">
        <f>IF(Calc!$B3142,INDEX(MineNames,Calc!C3142),"")</f>
        <v/>
      </c>
      <c r="C3142" s="17">
        <f>IF(Calc!$B3142,Calc!O3142,"")</f>
        <v/>
      </c>
    </row>
    <row r="3143">
      <c r="A3143" s="16">
        <f>IF(Calc!$B3143,Calc!E3143,"")</f>
        <v/>
      </c>
      <c r="B3143">
        <f>IF(Calc!$B3143,INDEX(MineNames,Calc!C3143),"")</f>
        <v/>
      </c>
      <c r="C3143" s="17">
        <f>IF(Calc!$B3143,Calc!O3143,"")</f>
        <v/>
      </c>
    </row>
    <row r="3144">
      <c r="A3144" s="16">
        <f>IF(Calc!$B3144,Calc!E3144,"")</f>
        <v/>
      </c>
      <c r="B3144">
        <f>IF(Calc!$B3144,INDEX(MineNames,Calc!C3144),"")</f>
        <v/>
      </c>
      <c r="C3144" s="17">
        <f>IF(Calc!$B3144,Calc!O3144,"")</f>
        <v/>
      </c>
    </row>
    <row r="3145">
      <c r="A3145" s="16">
        <f>IF(Calc!$B3145,Calc!E3145,"")</f>
        <v/>
      </c>
      <c r="B3145">
        <f>IF(Calc!$B3145,INDEX(MineNames,Calc!C3145),"")</f>
        <v/>
      </c>
      <c r="C3145" s="17">
        <f>IF(Calc!$B3145,Calc!O3145,"")</f>
        <v/>
      </c>
    </row>
    <row r="3146">
      <c r="A3146" s="16">
        <f>IF(Calc!$B3146,Calc!E3146,"")</f>
        <v/>
      </c>
      <c r="B3146">
        <f>IF(Calc!$B3146,INDEX(MineNames,Calc!C3146),"")</f>
        <v/>
      </c>
      <c r="C3146" s="17">
        <f>IF(Calc!$B3146,Calc!O3146,"")</f>
        <v/>
      </c>
    </row>
    <row r="3147">
      <c r="A3147" s="16">
        <f>IF(Calc!$B3147,Calc!E3147,"")</f>
        <v/>
      </c>
      <c r="B3147">
        <f>IF(Calc!$B3147,INDEX(MineNames,Calc!C3147),"")</f>
        <v/>
      </c>
      <c r="C3147" s="17">
        <f>IF(Calc!$B3147,Calc!O3147,"")</f>
        <v/>
      </c>
    </row>
    <row r="3148">
      <c r="A3148" s="16">
        <f>IF(Calc!$B3148,Calc!E3148,"")</f>
        <v/>
      </c>
      <c r="B3148">
        <f>IF(Calc!$B3148,INDEX(MineNames,Calc!C3148),"")</f>
        <v/>
      </c>
      <c r="C3148" s="17">
        <f>IF(Calc!$B3148,Calc!O3148,"")</f>
        <v/>
      </c>
    </row>
    <row r="3149">
      <c r="A3149" s="16">
        <f>IF(Calc!$B3149,Calc!E3149,"")</f>
        <v/>
      </c>
      <c r="B3149">
        <f>IF(Calc!$B3149,INDEX(MineNames,Calc!C3149),"")</f>
        <v/>
      </c>
      <c r="C3149" s="17">
        <f>IF(Calc!$B3149,Calc!O3149,"")</f>
        <v/>
      </c>
    </row>
    <row r="3150">
      <c r="A3150" s="16">
        <f>IF(Calc!$B3150,Calc!E3150,"")</f>
        <v/>
      </c>
      <c r="B3150">
        <f>IF(Calc!$B3150,INDEX(MineNames,Calc!C3150),"")</f>
        <v/>
      </c>
      <c r="C3150" s="17">
        <f>IF(Calc!$B3150,Calc!O3150,"")</f>
        <v/>
      </c>
    </row>
    <row r="3151">
      <c r="A3151" s="16">
        <f>IF(Calc!$B3151,Calc!E3151,"")</f>
        <v/>
      </c>
      <c r="B3151">
        <f>IF(Calc!$B3151,INDEX(MineNames,Calc!C3151),"")</f>
        <v/>
      </c>
      <c r="C3151" s="17">
        <f>IF(Calc!$B3151,Calc!O3151,"")</f>
        <v/>
      </c>
    </row>
    <row r="3152">
      <c r="A3152" s="16">
        <f>IF(Calc!$B3152,Calc!E3152,"")</f>
        <v/>
      </c>
      <c r="B3152">
        <f>IF(Calc!$B3152,INDEX(MineNames,Calc!C3152),"")</f>
        <v/>
      </c>
      <c r="C3152" s="17">
        <f>IF(Calc!$B3152,Calc!O3152,"")</f>
        <v/>
      </c>
    </row>
    <row r="3153">
      <c r="A3153" s="16">
        <f>IF(Calc!$B3153,Calc!E3153,"")</f>
        <v/>
      </c>
      <c r="B3153">
        <f>IF(Calc!$B3153,INDEX(MineNames,Calc!C3153),"")</f>
        <v/>
      </c>
      <c r="C3153" s="17">
        <f>IF(Calc!$B3153,Calc!O3153,"")</f>
        <v/>
      </c>
    </row>
    <row r="3154">
      <c r="A3154" s="16">
        <f>IF(Calc!$B3154,Calc!E3154,"")</f>
        <v/>
      </c>
      <c r="B3154">
        <f>IF(Calc!$B3154,INDEX(MineNames,Calc!C3154),"")</f>
        <v/>
      </c>
      <c r="C3154" s="17">
        <f>IF(Calc!$B3154,Calc!O3154,"")</f>
        <v/>
      </c>
    </row>
    <row r="3155">
      <c r="A3155" s="16">
        <f>IF(Calc!$B3155,Calc!E3155,"")</f>
        <v/>
      </c>
      <c r="B3155">
        <f>IF(Calc!$B3155,INDEX(MineNames,Calc!C3155),"")</f>
        <v/>
      </c>
      <c r="C3155" s="17">
        <f>IF(Calc!$B3155,Calc!O3155,"")</f>
        <v/>
      </c>
    </row>
    <row r="3156">
      <c r="A3156" s="16">
        <f>IF(Calc!$B3156,Calc!E3156,"")</f>
        <v/>
      </c>
      <c r="B3156">
        <f>IF(Calc!$B3156,INDEX(MineNames,Calc!C3156),"")</f>
        <v/>
      </c>
      <c r="C3156" s="17">
        <f>IF(Calc!$B3156,Calc!O3156,"")</f>
        <v/>
      </c>
    </row>
    <row r="3157">
      <c r="A3157" s="16">
        <f>IF(Calc!$B3157,Calc!E3157,"")</f>
        <v/>
      </c>
      <c r="B3157">
        <f>IF(Calc!$B3157,INDEX(MineNames,Calc!C3157),"")</f>
        <v/>
      </c>
      <c r="C3157" s="17">
        <f>IF(Calc!$B3157,Calc!O3157,"")</f>
        <v/>
      </c>
    </row>
    <row r="3158">
      <c r="A3158" s="16">
        <f>IF(Calc!$B3158,Calc!E3158,"")</f>
        <v/>
      </c>
      <c r="B3158">
        <f>IF(Calc!$B3158,INDEX(MineNames,Calc!C3158),"")</f>
        <v/>
      </c>
      <c r="C3158" s="17">
        <f>IF(Calc!$B3158,Calc!O3158,"")</f>
        <v/>
      </c>
    </row>
    <row r="3159">
      <c r="A3159" s="16">
        <f>IF(Calc!$B3159,Calc!E3159,"")</f>
        <v/>
      </c>
      <c r="B3159">
        <f>IF(Calc!$B3159,INDEX(MineNames,Calc!C3159),"")</f>
        <v/>
      </c>
      <c r="C3159" s="17">
        <f>IF(Calc!$B3159,Calc!O3159,"")</f>
        <v/>
      </c>
    </row>
    <row r="3160">
      <c r="A3160" s="16">
        <f>IF(Calc!$B3160,Calc!E3160,"")</f>
        <v/>
      </c>
      <c r="B3160">
        <f>IF(Calc!$B3160,INDEX(MineNames,Calc!C3160),"")</f>
        <v/>
      </c>
      <c r="C3160" s="17">
        <f>IF(Calc!$B3160,Calc!O3160,"")</f>
        <v/>
      </c>
    </row>
    <row r="3161">
      <c r="A3161" s="16">
        <f>IF(Calc!$B3161,Calc!E3161,"")</f>
        <v/>
      </c>
      <c r="B3161">
        <f>IF(Calc!$B3161,INDEX(MineNames,Calc!C3161),"")</f>
        <v/>
      </c>
      <c r="C3161" s="17">
        <f>IF(Calc!$B3161,Calc!O3161,"")</f>
        <v/>
      </c>
    </row>
    <row r="3162">
      <c r="A3162" s="16">
        <f>IF(Calc!$B3162,Calc!E3162,"")</f>
        <v/>
      </c>
      <c r="B3162">
        <f>IF(Calc!$B3162,INDEX(MineNames,Calc!C3162),"")</f>
        <v/>
      </c>
      <c r="C3162" s="17">
        <f>IF(Calc!$B3162,Calc!O3162,"")</f>
        <v/>
      </c>
    </row>
    <row r="3163">
      <c r="A3163" s="16">
        <f>IF(Calc!$B3163,Calc!E3163,"")</f>
        <v/>
      </c>
      <c r="B3163">
        <f>IF(Calc!$B3163,INDEX(MineNames,Calc!C3163),"")</f>
        <v/>
      </c>
      <c r="C3163" s="17">
        <f>IF(Calc!$B3163,Calc!O3163,"")</f>
        <v/>
      </c>
    </row>
    <row r="3164">
      <c r="A3164" s="16">
        <f>IF(Calc!$B3164,Calc!E3164,"")</f>
        <v/>
      </c>
      <c r="B3164">
        <f>IF(Calc!$B3164,INDEX(MineNames,Calc!C3164),"")</f>
        <v/>
      </c>
      <c r="C3164" s="17">
        <f>IF(Calc!$B3164,Calc!O3164,"")</f>
        <v/>
      </c>
    </row>
    <row r="3165">
      <c r="A3165" s="16">
        <f>IF(Calc!$B3165,Calc!E3165,"")</f>
        <v/>
      </c>
      <c r="B3165">
        <f>IF(Calc!$B3165,INDEX(MineNames,Calc!C3165),"")</f>
        <v/>
      </c>
      <c r="C3165" s="17">
        <f>IF(Calc!$B3165,Calc!O3165,"")</f>
        <v/>
      </c>
    </row>
    <row r="3166">
      <c r="A3166" s="16">
        <f>IF(Calc!$B3166,Calc!E3166,"")</f>
        <v/>
      </c>
      <c r="B3166">
        <f>IF(Calc!$B3166,INDEX(MineNames,Calc!C3166),"")</f>
        <v/>
      </c>
      <c r="C3166" s="17">
        <f>IF(Calc!$B3166,Calc!O3166,"")</f>
        <v/>
      </c>
    </row>
    <row r="3167">
      <c r="A3167" s="16">
        <f>IF(Calc!$B3167,Calc!E3167,"")</f>
        <v/>
      </c>
      <c r="B3167">
        <f>IF(Calc!$B3167,INDEX(MineNames,Calc!C3167),"")</f>
        <v/>
      </c>
      <c r="C3167" s="17">
        <f>IF(Calc!$B3167,Calc!O3167,"")</f>
        <v/>
      </c>
    </row>
    <row r="3168">
      <c r="A3168" s="16">
        <f>IF(Calc!$B3168,Calc!E3168,"")</f>
        <v/>
      </c>
      <c r="B3168">
        <f>IF(Calc!$B3168,INDEX(MineNames,Calc!C3168),"")</f>
        <v/>
      </c>
      <c r="C3168" s="17">
        <f>IF(Calc!$B3168,Calc!O3168,"")</f>
        <v/>
      </c>
    </row>
    <row r="3169">
      <c r="A3169" s="16">
        <f>IF(Calc!$B3169,Calc!E3169,"")</f>
        <v/>
      </c>
      <c r="B3169">
        <f>IF(Calc!$B3169,INDEX(MineNames,Calc!C3169),"")</f>
        <v/>
      </c>
      <c r="C3169" s="17">
        <f>IF(Calc!$B3169,Calc!O3169,"")</f>
        <v/>
      </c>
    </row>
    <row r="3170">
      <c r="A3170" s="16">
        <f>IF(Calc!$B3170,Calc!E3170,"")</f>
        <v/>
      </c>
      <c r="B3170">
        <f>IF(Calc!$B3170,INDEX(MineNames,Calc!C3170),"")</f>
        <v/>
      </c>
      <c r="C3170" s="17">
        <f>IF(Calc!$B3170,Calc!O3170,"")</f>
        <v/>
      </c>
    </row>
    <row r="3171">
      <c r="A3171" s="16">
        <f>IF(Calc!$B3171,Calc!E3171,"")</f>
        <v/>
      </c>
      <c r="B3171">
        <f>IF(Calc!$B3171,INDEX(MineNames,Calc!C3171),"")</f>
        <v/>
      </c>
      <c r="C3171" s="17">
        <f>IF(Calc!$B3171,Calc!O3171,"")</f>
        <v/>
      </c>
    </row>
    <row r="3172">
      <c r="A3172" s="16">
        <f>IF(Calc!$B3172,Calc!E3172,"")</f>
        <v/>
      </c>
      <c r="B3172">
        <f>IF(Calc!$B3172,INDEX(MineNames,Calc!C3172),"")</f>
        <v/>
      </c>
      <c r="C3172" s="17">
        <f>IF(Calc!$B3172,Calc!O3172,"")</f>
        <v/>
      </c>
    </row>
    <row r="3173">
      <c r="A3173" s="16">
        <f>IF(Calc!$B3173,Calc!E3173,"")</f>
        <v/>
      </c>
      <c r="B3173">
        <f>IF(Calc!$B3173,INDEX(MineNames,Calc!C3173),"")</f>
        <v/>
      </c>
      <c r="C3173" s="17">
        <f>IF(Calc!$B3173,Calc!O3173,"")</f>
        <v/>
      </c>
    </row>
    <row r="3174">
      <c r="A3174" s="16">
        <f>IF(Calc!$B3174,Calc!E3174,"")</f>
        <v/>
      </c>
      <c r="B3174">
        <f>IF(Calc!$B3174,INDEX(MineNames,Calc!C3174),"")</f>
        <v/>
      </c>
      <c r="C3174" s="17">
        <f>IF(Calc!$B3174,Calc!O3174,"")</f>
        <v/>
      </c>
    </row>
    <row r="3175">
      <c r="A3175" s="16">
        <f>IF(Calc!$B3175,Calc!E3175,"")</f>
        <v/>
      </c>
      <c r="B3175">
        <f>IF(Calc!$B3175,INDEX(MineNames,Calc!C3175),"")</f>
        <v/>
      </c>
      <c r="C3175" s="17">
        <f>IF(Calc!$B3175,Calc!O3175,"")</f>
        <v/>
      </c>
    </row>
    <row r="3176">
      <c r="A3176" s="16">
        <f>IF(Calc!$B3176,Calc!E3176,"")</f>
        <v/>
      </c>
      <c r="B3176">
        <f>IF(Calc!$B3176,INDEX(MineNames,Calc!C3176),"")</f>
        <v/>
      </c>
      <c r="C3176" s="17">
        <f>IF(Calc!$B3176,Calc!O3176,"")</f>
        <v/>
      </c>
    </row>
    <row r="3177">
      <c r="A3177" s="16">
        <f>IF(Calc!$B3177,Calc!E3177,"")</f>
        <v/>
      </c>
      <c r="B3177">
        <f>IF(Calc!$B3177,INDEX(MineNames,Calc!C3177),"")</f>
        <v/>
      </c>
      <c r="C3177" s="17">
        <f>IF(Calc!$B3177,Calc!O3177,"")</f>
        <v/>
      </c>
    </row>
    <row r="3178">
      <c r="A3178" s="16">
        <f>IF(Calc!$B3178,Calc!E3178,"")</f>
        <v/>
      </c>
      <c r="B3178">
        <f>IF(Calc!$B3178,INDEX(MineNames,Calc!C3178),"")</f>
        <v/>
      </c>
      <c r="C3178" s="17">
        <f>IF(Calc!$B3178,Calc!O3178,"")</f>
        <v/>
      </c>
    </row>
    <row r="3179">
      <c r="A3179" s="16">
        <f>IF(Calc!$B3179,Calc!E3179,"")</f>
        <v/>
      </c>
      <c r="B3179">
        <f>IF(Calc!$B3179,INDEX(MineNames,Calc!C3179),"")</f>
        <v/>
      </c>
      <c r="C3179" s="17">
        <f>IF(Calc!$B3179,Calc!O3179,"")</f>
        <v/>
      </c>
    </row>
    <row r="3180">
      <c r="A3180" s="16">
        <f>IF(Calc!$B3180,Calc!E3180,"")</f>
        <v/>
      </c>
      <c r="B3180">
        <f>IF(Calc!$B3180,INDEX(MineNames,Calc!C3180),"")</f>
        <v/>
      </c>
      <c r="C3180" s="17">
        <f>IF(Calc!$B3180,Calc!O3180,"")</f>
        <v/>
      </c>
    </row>
    <row r="3181">
      <c r="A3181" s="16">
        <f>IF(Calc!$B3181,Calc!E3181,"")</f>
        <v/>
      </c>
      <c r="B3181">
        <f>IF(Calc!$B3181,INDEX(MineNames,Calc!C3181),"")</f>
        <v/>
      </c>
      <c r="C3181" s="17">
        <f>IF(Calc!$B3181,Calc!O3181,"")</f>
        <v/>
      </c>
    </row>
    <row r="3182">
      <c r="A3182" s="16">
        <f>IF(Calc!$B3182,Calc!E3182,"")</f>
        <v/>
      </c>
      <c r="B3182">
        <f>IF(Calc!$B3182,INDEX(MineNames,Calc!C3182),"")</f>
        <v/>
      </c>
      <c r="C3182" s="17">
        <f>IF(Calc!$B3182,Calc!O3182,"")</f>
        <v/>
      </c>
    </row>
    <row r="3183">
      <c r="A3183" s="16">
        <f>IF(Calc!$B3183,Calc!E3183,"")</f>
        <v/>
      </c>
      <c r="B3183">
        <f>IF(Calc!$B3183,INDEX(MineNames,Calc!C3183),"")</f>
        <v/>
      </c>
      <c r="C3183" s="17">
        <f>IF(Calc!$B3183,Calc!O3183,"")</f>
        <v/>
      </c>
    </row>
    <row r="3184">
      <c r="A3184" s="16">
        <f>IF(Calc!$B3184,Calc!E3184,"")</f>
        <v/>
      </c>
      <c r="B3184">
        <f>IF(Calc!$B3184,INDEX(MineNames,Calc!C3184),"")</f>
        <v/>
      </c>
      <c r="C3184" s="17">
        <f>IF(Calc!$B3184,Calc!O3184,"")</f>
        <v/>
      </c>
    </row>
    <row r="3185">
      <c r="A3185" s="16">
        <f>IF(Calc!$B3185,Calc!E3185,"")</f>
        <v/>
      </c>
      <c r="B3185">
        <f>IF(Calc!$B3185,INDEX(MineNames,Calc!C3185),"")</f>
        <v/>
      </c>
      <c r="C3185" s="17">
        <f>IF(Calc!$B3185,Calc!O3185,"")</f>
        <v/>
      </c>
    </row>
    <row r="3186">
      <c r="A3186" s="16">
        <f>IF(Calc!$B3186,Calc!E3186,"")</f>
        <v/>
      </c>
      <c r="B3186">
        <f>IF(Calc!$B3186,INDEX(MineNames,Calc!C3186),"")</f>
        <v/>
      </c>
      <c r="C3186" s="17">
        <f>IF(Calc!$B3186,Calc!O3186,"")</f>
        <v/>
      </c>
    </row>
    <row r="3187">
      <c r="A3187" s="16">
        <f>IF(Calc!$B3187,Calc!E3187,"")</f>
        <v/>
      </c>
      <c r="B3187">
        <f>IF(Calc!$B3187,INDEX(MineNames,Calc!C3187),"")</f>
        <v/>
      </c>
      <c r="C3187" s="17">
        <f>IF(Calc!$B3187,Calc!O3187,"")</f>
        <v/>
      </c>
    </row>
    <row r="3188">
      <c r="A3188" s="16">
        <f>IF(Calc!$B3188,Calc!E3188,"")</f>
        <v/>
      </c>
      <c r="B3188">
        <f>IF(Calc!$B3188,INDEX(MineNames,Calc!C3188),"")</f>
        <v/>
      </c>
      <c r="C3188" s="17">
        <f>IF(Calc!$B3188,Calc!O3188,"")</f>
        <v/>
      </c>
    </row>
    <row r="3189">
      <c r="A3189" s="16">
        <f>IF(Calc!$B3189,Calc!E3189,"")</f>
        <v/>
      </c>
      <c r="B3189">
        <f>IF(Calc!$B3189,INDEX(MineNames,Calc!C3189),"")</f>
        <v/>
      </c>
      <c r="C3189" s="17">
        <f>IF(Calc!$B3189,Calc!O3189,"")</f>
        <v/>
      </c>
    </row>
    <row r="3190">
      <c r="A3190" s="16">
        <f>IF(Calc!$B3190,Calc!E3190,"")</f>
        <v/>
      </c>
      <c r="B3190">
        <f>IF(Calc!$B3190,INDEX(MineNames,Calc!C3190),"")</f>
        <v/>
      </c>
      <c r="C3190" s="17">
        <f>IF(Calc!$B3190,Calc!O3190,"")</f>
        <v/>
      </c>
    </row>
    <row r="3191">
      <c r="A3191" s="16">
        <f>IF(Calc!$B3191,Calc!E3191,"")</f>
        <v/>
      </c>
      <c r="B3191">
        <f>IF(Calc!$B3191,INDEX(MineNames,Calc!C3191),"")</f>
        <v/>
      </c>
      <c r="C3191" s="17">
        <f>IF(Calc!$B3191,Calc!O3191,"")</f>
        <v/>
      </c>
    </row>
    <row r="3192">
      <c r="A3192" s="16">
        <f>IF(Calc!$B3192,Calc!E3192,"")</f>
        <v/>
      </c>
      <c r="B3192">
        <f>IF(Calc!$B3192,INDEX(MineNames,Calc!C3192),"")</f>
        <v/>
      </c>
      <c r="C3192" s="17">
        <f>IF(Calc!$B3192,Calc!O3192,"")</f>
        <v/>
      </c>
    </row>
    <row r="3193">
      <c r="A3193" s="16">
        <f>IF(Calc!$B3193,Calc!E3193,"")</f>
        <v/>
      </c>
      <c r="B3193">
        <f>IF(Calc!$B3193,INDEX(MineNames,Calc!C3193),"")</f>
        <v/>
      </c>
      <c r="C3193" s="17">
        <f>IF(Calc!$B3193,Calc!O3193,"")</f>
        <v/>
      </c>
    </row>
    <row r="3194">
      <c r="A3194" s="16">
        <f>IF(Calc!$B3194,Calc!E3194,"")</f>
        <v/>
      </c>
      <c r="B3194">
        <f>IF(Calc!$B3194,INDEX(MineNames,Calc!C3194),"")</f>
        <v/>
      </c>
      <c r="C3194" s="17">
        <f>IF(Calc!$B3194,Calc!O3194,"")</f>
        <v/>
      </c>
    </row>
    <row r="3195">
      <c r="A3195" s="16">
        <f>IF(Calc!$B3195,Calc!E3195,"")</f>
        <v/>
      </c>
      <c r="B3195">
        <f>IF(Calc!$B3195,INDEX(MineNames,Calc!C3195),"")</f>
        <v/>
      </c>
      <c r="C3195" s="17">
        <f>IF(Calc!$B3195,Calc!O3195,"")</f>
        <v/>
      </c>
    </row>
    <row r="3196">
      <c r="A3196" s="16">
        <f>IF(Calc!$B3196,Calc!E3196,"")</f>
        <v/>
      </c>
      <c r="B3196">
        <f>IF(Calc!$B3196,INDEX(MineNames,Calc!C3196),"")</f>
        <v/>
      </c>
      <c r="C3196" s="17">
        <f>IF(Calc!$B3196,Calc!O3196,"")</f>
        <v/>
      </c>
    </row>
    <row r="3197">
      <c r="A3197" s="16">
        <f>IF(Calc!$B3197,Calc!E3197,"")</f>
        <v/>
      </c>
      <c r="B3197">
        <f>IF(Calc!$B3197,INDEX(MineNames,Calc!C3197),"")</f>
        <v/>
      </c>
      <c r="C3197" s="17">
        <f>IF(Calc!$B3197,Calc!O3197,"")</f>
        <v/>
      </c>
    </row>
    <row r="3198">
      <c r="A3198" s="16">
        <f>IF(Calc!$B3198,Calc!E3198,"")</f>
        <v/>
      </c>
      <c r="B3198">
        <f>IF(Calc!$B3198,INDEX(MineNames,Calc!C3198),"")</f>
        <v/>
      </c>
      <c r="C3198" s="17">
        <f>IF(Calc!$B3198,Calc!O3198,"")</f>
        <v/>
      </c>
    </row>
    <row r="3199">
      <c r="A3199" s="16">
        <f>IF(Calc!$B3199,Calc!E3199,"")</f>
        <v/>
      </c>
      <c r="B3199">
        <f>IF(Calc!$B3199,INDEX(MineNames,Calc!C3199),"")</f>
        <v/>
      </c>
      <c r="C3199" s="17">
        <f>IF(Calc!$B3199,Calc!O3199,"")</f>
        <v/>
      </c>
    </row>
    <row r="3200">
      <c r="A3200" s="16">
        <f>IF(Calc!$B3200,Calc!E3200,"")</f>
        <v/>
      </c>
      <c r="B3200">
        <f>IF(Calc!$B3200,INDEX(MineNames,Calc!C3200),"")</f>
        <v/>
      </c>
      <c r="C3200" s="17">
        <f>IF(Calc!$B3200,Calc!O3200,"")</f>
        <v/>
      </c>
    </row>
    <row r="3201">
      <c r="A3201" s="16">
        <f>IF(Calc!$B3201,Calc!E3201,"")</f>
        <v/>
      </c>
      <c r="B3201">
        <f>IF(Calc!$B3201,INDEX(MineNames,Calc!C3201),"")</f>
        <v/>
      </c>
      <c r="C3201" s="17">
        <f>IF(Calc!$B3201,Calc!O3201,"")</f>
        <v/>
      </c>
    </row>
    <row r="3202">
      <c r="A3202" s="16">
        <f>IF(Calc!$B3202,Calc!E3202,"")</f>
        <v/>
      </c>
      <c r="B3202">
        <f>IF(Calc!$B3202,INDEX(MineNames,Calc!C3202),"")</f>
        <v/>
      </c>
      <c r="C3202" s="17">
        <f>IF(Calc!$B3202,Calc!O3202,"")</f>
        <v/>
      </c>
    </row>
    <row r="3203">
      <c r="A3203" s="16">
        <f>IF(Calc!$B3203,Calc!E3203,"")</f>
        <v/>
      </c>
      <c r="B3203">
        <f>IF(Calc!$B3203,INDEX(MineNames,Calc!C3203),"")</f>
        <v/>
      </c>
      <c r="C3203" s="17">
        <f>IF(Calc!$B3203,Calc!O3203,"")</f>
        <v/>
      </c>
    </row>
    <row r="3204">
      <c r="A3204" s="16">
        <f>IF(Calc!$B3204,Calc!E3204,"")</f>
        <v/>
      </c>
      <c r="B3204">
        <f>IF(Calc!$B3204,INDEX(MineNames,Calc!C3204),"")</f>
        <v/>
      </c>
      <c r="C3204" s="17">
        <f>IF(Calc!$B3204,Calc!O3204,"")</f>
        <v/>
      </c>
    </row>
    <row r="3205">
      <c r="A3205" s="16">
        <f>IF(Calc!$B3205,Calc!E3205,"")</f>
        <v/>
      </c>
      <c r="B3205">
        <f>IF(Calc!$B3205,INDEX(MineNames,Calc!C3205),"")</f>
        <v/>
      </c>
      <c r="C3205" s="17">
        <f>IF(Calc!$B3205,Calc!O3205,"")</f>
        <v/>
      </c>
    </row>
    <row r="3206">
      <c r="A3206" s="16">
        <f>IF(Calc!$B3206,Calc!E3206,"")</f>
        <v/>
      </c>
      <c r="B3206">
        <f>IF(Calc!$B3206,INDEX(MineNames,Calc!C3206),"")</f>
        <v/>
      </c>
      <c r="C3206" s="17">
        <f>IF(Calc!$B3206,Calc!O3206,"")</f>
        <v/>
      </c>
    </row>
    <row r="3207">
      <c r="A3207" s="16">
        <f>IF(Calc!$B3207,Calc!E3207,"")</f>
        <v/>
      </c>
      <c r="B3207">
        <f>IF(Calc!$B3207,INDEX(MineNames,Calc!C3207),"")</f>
        <v/>
      </c>
      <c r="C3207" s="17">
        <f>IF(Calc!$B3207,Calc!O3207,"")</f>
        <v/>
      </c>
    </row>
    <row r="3208">
      <c r="A3208" s="16">
        <f>IF(Calc!$B3208,Calc!E3208,"")</f>
        <v/>
      </c>
      <c r="B3208">
        <f>IF(Calc!$B3208,INDEX(MineNames,Calc!C3208),"")</f>
        <v/>
      </c>
      <c r="C3208" s="17">
        <f>IF(Calc!$B3208,Calc!O3208,"")</f>
        <v/>
      </c>
    </row>
    <row r="3209">
      <c r="A3209" s="16">
        <f>IF(Calc!$B3209,Calc!E3209,"")</f>
        <v/>
      </c>
      <c r="B3209">
        <f>IF(Calc!$B3209,INDEX(MineNames,Calc!C3209),"")</f>
        <v/>
      </c>
      <c r="C3209" s="17">
        <f>IF(Calc!$B3209,Calc!O3209,"")</f>
        <v/>
      </c>
    </row>
    <row r="3210">
      <c r="A3210" s="16">
        <f>IF(Calc!$B3210,Calc!E3210,"")</f>
        <v/>
      </c>
      <c r="B3210">
        <f>IF(Calc!$B3210,INDEX(MineNames,Calc!C3210),"")</f>
        <v/>
      </c>
      <c r="C3210" s="17">
        <f>IF(Calc!$B3210,Calc!O3210,"")</f>
        <v/>
      </c>
    </row>
    <row r="3211">
      <c r="A3211" s="16">
        <f>IF(Calc!$B3211,Calc!E3211,"")</f>
        <v/>
      </c>
      <c r="B3211">
        <f>IF(Calc!$B3211,INDEX(MineNames,Calc!C3211),"")</f>
        <v/>
      </c>
      <c r="C3211" s="17">
        <f>IF(Calc!$B3211,Calc!O3211,"")</f>
        <v/>
      </c>
    </row>
    <row r="3212">
      <c r="A3212" s="16">
        <f>IF(Calc!$B3212,Calc!E3212,"")</f>
        <v/>
      </c>
      <c r="B3212">
        <f>IF(Calc!$B3212,INDEX(MineNames,Calc!C3212),"")</f>
        <v/>
      </c>
      <c r="C3212" s="17">
        <f>IF(Calc!$B3212,Calc!O3212,"")</f>
        <v/>
      </c>
    </row>
    <row r="3213">
      <c r="A3213" s="16">
        <f>IF(Calc!$B3213,Calc!E3213,"")</f>
        <v/>
      </c>
      <c r="B3213">
        <f>IF(Calc!$B3213,INDEX(MineNames,Calc!C3213),"")</f>
        <v/>
      </c>
      <c r="C3213" s="17">
        <f>IF(Calc!$B3213,Calc!O3213,"")</f>
        <v/>
      </c>
    </row>
    <row r="3214">
      <c r="A3214" s="16">
        <f>IF(Calc!$B3214,Calc!E3214,"")</f>
        <v/>
      </c>
      <c r="B3214">
        <f>IF(Calc!$B3214,INDEX(MineNames,Calc!C3214),"")</f>
        <v/>
      </c>
      <c r="C3214" s="17">
        <f>IF(Calc!$B3214,Calc!O3214,"")</f>
        <v/>
      </c>
    </row>
    <row r="3215">
      <c r="A3215" s="16">
        <f>IF(Calc!$B3215,Calc!E3215,"")</f>
        <v/>
      </c>
      <c r="B3215">
        <f>IF(Calc!$B3215,INDEX(MineNames,Calc!C3215),"")</f>
        <v/>
      </c>
      <c r="C3215" s="17">
        <f>IF(Calc!$B3215,Calc!O3215,"")</f>
        <v/>
      </c>
    </row>
    <row r="3216">
      <c r="A3216" s="16">
        <f>IF(Calc!$B3216,Calc!E3216,"")</f>
        <v/>
      </c>
      <c r="B3216">
        <f>IF(Calc!$B3216,INDEX(MineNames,Calc!C3216),"")</f>
        <v/>
      </c>
      <c r="C3216" s="17">
        <f>IF(Calc!$B3216,Calc!O3216,"")</f>
        <v/>
      </c>
    </row>
    <row r="3217">
      <c r="A3217" s="16">
        <f>IF(Calc!$B3217,Calc!E3217,"")</f>
        <v/>
      </c>
      <c r="B3217">
        <f>IF(Calc!$B3217,INDEX(MineNames,Calc!C3217),"")</f>
        <v/>
      </c>
      <c r="C3217" s="17">
        <f>IF(Calc!$B3217,Calc!O3217,"")</f>
        <v/>
      </c>
    </row>
    <row r="3218">
      <c r="A3218" s="16">
        <f>IF(Calc!$B3218,Calc!E3218,"")</f>
        <v/>
      </c>
      <c r="B3218">
        <f>IF(Calc!$B3218,INDEX(MineNames,Calc!C3218),"")</f>
        <v/>
      </c>
      <c r="C3218" s="17">
        <f>IF(Calc!$B3218,Calc!O3218,"")</f>
        <v/>
      </c>
    </row>
    <row r="3219">
      <c r="A3219" s="16">
        <f>IF(Calc!$B3219,Calc!E3219,"")</f>
        <v/>
      </c>
      <c r="B3219">
        <f>IF(Calc!$B3219,INDEX(MineNames,Calc!C3219),"")</f>
        <v/>
      </c>
      <c r="C3219" s="17">
        <f>IF(Calc!$B3219,Calc!O3219,"")</f>
        <v/>
      </c>
    </row>
    <row r="3220">
      <c r="A3220" s="16">
        <f>IF(Calc!$B3220,Calc!E3220,"")</f>
        <v/>
      </c>
      <c r="B3220">
        <f>IF(Calc!$B3220,INDEX(MineNames,Calc!C3220),"")</f>
        <v/>
      </c>
      <c r="C3220" s="17">
        <f>IF(Calc!$B3220,Calc!O3220,"")</f>
        <v/>
      </c>
    </row>
    <row r="3221">
      <c r="A3221" s="16">
        <f>IF(Calc!$B3221,Calc!E3221,"")</f>
        <v/>
      </c>
      <c r="B3221">
        <f>IF(Calc!$B3221,INDEX(MineNames,Calc!C3221),"")</f>
        <v/>
      </c>
      <c r="C3221" s="17">
        <f>IF(Calc!$B3221,Calc!O3221,"")</f>
        <v/>
      </c>
    </row>
    <row r="3222">
      <c r="A3222" s="16">
        <f>IF(Calc!$B3222,Calc!E3222,"")</f>
        <v/>
      </c>
      <c r="B3222">
        <f>IF(Calc!$B3222,INDEX(MineNames,Calc!C3222),"")</f>
        <v/>
      </c>
      <c r="C3222" s="17">
        <f>IF(Calc!$B3222,Calc!O3222,"")</f>
        <v/>
      </c>
    </row>
    <row r="3223">
      <c r="A3223" s="16">
        <f>IF(Calc!$B3223,Calc!E3223,"")</f>
        <v/>
      </c>
      <c r="B3223">
        <f>IF(Calc!$B3223,INDEX(MineNames,Calc!C3223),"")</f>
        <v/>
      </c>
      <c r="C3223" s="17">
        <f>IF(Calc!$B3223,Calc!O3223,"")</f>
        <v/>
      </c>
    </row>
    <row r="3224">
      <c r="A3224" s="16">
        <f>IF(Calc!$B3224,Calc!E3224,"")</f>
        <v/>
      </c>
      <c r="B3224">
        <f>IF(Calc!$B3224,INDEX(MineNames,Calc!C3224),"")</f>
        <v/>
      </c>
      <c r="C3224" s="17">
        <f>IF(Calc!$B3224,Calc!O3224,"")</f>
        <v/>
      </c>
    </row>
    <row r="3225">
      <c r="A3225" s="16">
        <f>IF(Calc!$B3225,Calc!E3225,"")</f>
        <v/>
      </c>
      <c r="B3225">
        <f>IF(Calc!$B3225,INDEX(MineNames,Calc!C3225),"")</f>
        <v/>
      </c>
      <c r="C3225" s="17">
        <f>IF(Calc!$B3225,Calc!O3225,"")</f>
        <v/>
      </c>
    </row>
    <row r="3226">
      <c r="A3226" s="16">
        <f>IF(Calc!$B3226,Calc!E3226,"")</f>
        <v/>
      </c>
      <c r="B3226">
        <f>IF(Calc!$B3226,INDEX(MineNames,Calc!C3226),"")</f>
        <v/>
      </c>
      <c r="C3226" s="17">
        <f>IF(Calc!$B3226,Calc!O3226,"")</f>
        <v/>
      </c>
    </row>
    <row r="3227">
      <c r="A3227" s="16">
        <f>IF(Calc!$B3227,Calc!E3227,"")</f>
        <v/>
      </c>
      <c r="B3227">
        <f>IF(Calc!$B3227,INDEX(MineNames,Calc!C3227),"")</f>
        <v/>
      </c>
      <c r="C3227" s="17">
        <f>IF(Calc!$B3227,Calc!O3227,"")</f>
        <v/>
      </c>
    </row>
    <row r="3228">
      <c r="A3228" s="16">
        <f>IF(Calc!$B3228,Calc!E3228,"")</f>
        <v/>
      </c>
      <c r="B3228">
        <f>IF(Calc!$B3228,INDEX(MineNames,Calc!C3228),"")</f>
        <v/>
      </c>
      <c r="C3228" s="17">
        <f>IF(Calc!$B3228,Calc!O3228,"")</f>
        <v/>
      </c>
    </row>
    <row r="3229">
      <c r="A3229" s="16">
        <f>IF(Calc!$B3229,Calc!E3229,"")</f>
        <v/>
      </c>
      <c r="B3229">
        <f>IF(Calc!$B3229,INDEX(MineNames,Calc!C3229),"")</f>
        <v/>
      </c>
      <c r="C3229" s="17">
        <f>IF(Calc!$B3229,Calc!O3229,"")</f>
        <v/>
      </c>
    </row>
    <row r="3230">
      <c r="A3230" s="16">
        <f>IF(Calc!$B3230,Calc!E3230,"")</f>
        <v/>
      </c>
      <c r="B3230">
        <f>IF(Calc!$B3230,INDEX(MineNames,Calc!C3230),"")</f>
        <v/>
      </c>
      <c r="C3230" s="17">
        <f>IF(Calc!$B3230,Calc!O3230,"")</f>
        <v/>
      </c>
    </row>
    <row r="3231">
      <c r="A3231" s="16">
        <f>IF(Calc!$B3231,Calc!E3231,"")</f>
        <v/>
      </c>
      <c r="B3231">
        <f>IF(Calc!$B3231,INDEX(MineNames,Calc!C3231),"")</f>
        <v/>
      </c>
      <c r="C3231" s="17">
        <f>IF(Calc!$B3231,Calc!O3231,"")</f>
        <v/>
      </c>
    </row>
    <row r="3232">
      <c r="A3232" s="16">
        <f>IF(Calc!$B3232,Calc!E3232,"")</f>
        <v/>
      </c>
      <c r="B3232">
        <f>IF(Calc!$B3232,INDEX(MineNames,Calc!C3232),"")</f>
        <v/>
      </c>
      <c r="C3232" s="17">
        <f>IF(Calc!$B3232,Calc!O3232,"")</f>
        <v/>
      </c>
    </row>
    <row r="3233">
      <c r="A3233" s="16">
        <f>IF(Calc!$B3233,Calc!E3233,"")</f>
        <v/>
      </c>
      <c r="B3233">
        <f>IF(Calc!$B3233,INDEX(MineNames,Calc!C3233),"")</f>
        <v/>
      </c>
      <c r="C3233" s="17">
        <f>IF(Calc!$B3233,Calc!O3233,"")</f>
        <v/>
      </c>
    </row>
    <row r="3234">
      <c r="A3234" s="16">
        <f>IF(Calc!$B3234,Calc!E3234,"")</f>
        <v/>
      </c>
      <c r="B3234">
        <f>IF(Calc!$B3234,INDEX(MineNames,Calc!C3234),"")</f>
        <v/>
      </c>
      <c r="C3234" s="17">
        <f>IF(Calc!$B3234,Calc!O3234,"")</f>
        <v/>
      </c>
    </row>
    <row r="3235">
      <c r="A3235" s="16">
        <f>IF(Calc!$B3235,Calc!E3235,"")</f>
        <v/>
      </c>
      <c r="B3235">
        <f>IF(Calc!$B3235,INDEX(MineNames,Calc!C3235),"")</f>
        <v/>
      </c>
      <c r="C3235" s="17">
        <f>IF(Calc!$B3235,Calc!O3235,"")</f>
        <v/>
      </c>
    </row>
    <row r="3236">
      <c r="A3236" s="16">
        <f>IF(Calc!$B3236,Calc!E3236,"")</f>
        <v/>
      </c>
      <c r="B3236">
        <f>IF(Calc!$B3236,INDEX(MineNames,Calc!C3236),"")</f>
        <v/>
      </c>
      <c r="C3236" s="17">
        <f>IF(Calc!$B3236,Calc!O3236,"")</f>
        <v/>
      </c>
    </row>
    <row r="3237">
      <c r="A3237" s="16">
        <f>IF(Calc!$B3237,Calc!E3237,"")</f>
        <v/>
      </c>
      <c r="B3237">
        <f>IF(Calc!$B3237,INDEX(MineNames,Calc!C3237),"")</f>
        <v/>
      </c>
      <c r="C3237" s="17">
        <f>IF(Calc!$B3237,Calc!O3237,"")</f>
        <v/>
      </c>
    </row>
    <row r="3238">
      <c r="A3238" s="16">
        <f>IF(Calc!$B3238,Calc!E3238,"")</f>
        <v/>
      </c>
      <c r="B3238">
        <f>IF(Calc!$B3238,INDEX(MineNames,Calc!C3238),"")</f>
        <v/>
      </c>
      <c r="C3238" s="17">
        <f>IF(Calc!$B3238,Calc!O3238,"")</f>
        <v/>
      </c>
    </row>
    <row r="3239">
      <c r="A3239" s="16">
        <f>IF(Calc!$B3239,Calc!E3239,"")</f>
        <v/>
      </c>
      <c r="B3239">
        <f>IF(Calc!$B3239,INDEX(MineNames,Calc!C3239),"")</f>
        <v/>
      </c>
      <c r="C3239" s="17">
        <f>IF(Calc!$B3239,Calc!O3239,"")</f>
        <v/>
      </c>
    </row>
    <row r="3240">
      <c r="A3240" s="16">
        <f>IF(Calc!$B3240,Calc!E3240,"")</f>
        <v/>
      </c>
      <c r="B3240">
        <f>IF(Calc!$B3240,INDEX(MineNames,Calc!C3240),"")</f>
        <v/>
      </c>
      <c r="C3240" s="17">
        <f>IF(Calc!$B3240,Calc!O3240,"")</f>
        <v/>
      </c>
    </row>
    <row r="3241">
      <c r="A3241" s="16">
        <f>IF(Calc!$B3241,Calc!E3241,"")</f>
        <v/>
      </c>
      <c r="B3241">
        <f>IF(Calc!$B3241,INDEX(MineNames,Calc!C3241),"")</f>
        <v/>
      </c>
      <c r="C3241" s="17">
        <f>IF(Calc!$B3241,Calc!O3241,"")</f>
        <v/>
      </c>
    </row>
    <row r="3242">
      <c r="A3242" s="16">
        <f>IF(Calc!$B3242,Calc!E3242,"")</f>
        <v/>
      </c>
      <c r="B3242">
        <f>IF(Calc!$B3242,INDEX(MineNames,Calc!C3242),"")</f>
        <v/>
      </c>
      <c r="C3242" s="17">
        <f>IF(Calc!$B3242,Calc!O3242,"")</f>
        <v/>
      </c>
    </row>
    <row r="3243">
      <c r="A3243" s="16">
        <f>IF(Calc!$B3243,Calc!E3243,"")</f>
        <v/>
      </c>
      <c r="B3243">
        <f>IF(Calc!$B3243,INDEX(MineNames,Calc!C3243),"")</f>
        <v/>
      </c>
      <c r="C3243" s="17">
        <f>IF(Calc!$B3243,Calc!O3243,"")</f>
        <v/>
      </c>
    </row>
    <row r="3244">
      <c r="A3244" s="16">
        <f>IF(Calc!$B3244,Calc!E3244,"")</f>
        <v/>
      </c>
      <c r="B3244">
        <f>IF(Calc!$B3244,INDEX(MineNames,Calc!C3244),"")</f>
        <v/>
      </c>
      <c r="C3244" s="17">
        <f>IF(Calc!$B3244,Calc!O3244,"")</f>
        <v/>
      </c>
    </row>
    <row r="3245">
      <c r="A3245" s="16">
        <f>IF(Calc!$B3245,Calc!E3245,"")</f>
        <v/>
      </c>
      <c r="B3245">
        <f>IF(Calc!$B3245,INDEX(MineNames,Calc!C3245),"")</f>
        <v/>
      </c>
      <c r="C3245" s="17">
        <f>IF(Calc!$B3245,Calc!O3245,"")</f>
        <v/>
      </c>
    </row>
    <row r="3246">
      <c r="A3246" s="16">
        <f>IF(Calc!$B3246,Calc!E3246,"")</f>
        <v/>
      </c>
      <c r="B3246">
        <f>IF(Calc!$B3246,INDEX(MineNames,Calc!C3246),"")</f>
        <v/>
      </c>
      <c r="C3246" s="17">
        <f>IF(Calc!$B3246,Calc!O3246,"")</f>
        <v/>
      </c>
    </row>
    <row r="3247">
      <c r="A3247" s="16">
        <f>IF(Calc!$B3247,Calc!E3247,"")</f>
        <v/>
      </c>
      <c r="B3247">
        <f>IF(Calc!$B3247,INDEX(MineNames,Calc!C3247),"")</f>
        <v/>
      </c>
      <c r="C3247" s="17">
        <f>IF(Calc!$B3247,Calc!O3247,"")</f>
        <v/>
      </c>
    </row>
    <row r="3248">
      <c r="A3248" s="16">
        <f>IF(Calc!$B3248,Calc!E3248,"")</f>
        <v/>
      </c>
      <c r="B3248">
        <f>IF(Calc!$B3248,INDEX(MineNames,Calc!C3248),"")</f>
        <v/>
      </c>
      <c r="C3248" s="17">
        <f>IF(Calc!$B3248,Calc!O3248,"")</f>
        <v/>
      </c>
    </row>
    <row r="3249">
      <c r="A3249" s="16">
        <f>IF(Calc!$B3249,Calc!E3249,"")</f>
        <v/>
      </c>
      <c r="B3249">
        <f>IF(Calc!$B3249,INDEX(MineNames,Calc!C3249),"")</f>
        <v/>
      </c>
      <c r="C3249" s="17">
        <f>IF(Calc!$B3249,Calc!O3249,"")</f>
        <v/>
      </c>
    </row>
    <row r="3250">
      <c r="A3250" s="16">
        <f>IF(Calc!$B3250,Calc!E3250,"")</f>
        <v/>
      </c>
      <c r="B3250">
        <f>IF(Calc!$B3250,INDEX(MineNames,Calc!C3250),"")</f>
        <v/>
      </c>
      <c r="C3250" s="17">
        <f>IF(Calc!$B3250,Calc!O3250,"")</f>
        <v/>
      </c>
    </row>
    <row r="3251">
      <c r="A3251" s="16">
        <f>IF(Calc!$B3251,Calc!E3251,"")</f>
        <v/>
      </c>
      <c r="B3251">
        <f>IF(Calc!$B3251,INDEX(MineNames,Calc!C3251),"")</f>
        <v/>
      </c>
      <c r="C3251" s="17">
        <f>IF(Calc!$B3251,Calc!O3251,"")</f>
        <v/>
      </c>
    </row>
    <row r="3252">
      <c r="A3252" s="16">
        <f>IF(Calc!$B3252,Calc!E3252,"")</f>
        <v/>
      </c>
      <c r="B3252">
        <f>IF(Calc!$B3252,INDEX(MineNames,Calc!C3252),"")</f>
        <v/>
      </c>
      <c r="C3252" s="17">
        <f>IF(Calc!$B3252,Calc!O3252,"")</f>
        <v/>
      </c>
    </row>
    <row r="3253">
      <c r="A3253" s="16">
        <f>IF(Calc!$B3253,Calc!E3253,"")</f>
        <v/>
      </c>
      <c r="B3253">
        <f>IF(Calc!$B3253,INDEX(MineNames,Calc!C3253),"")</f>
        <v/>
      </c>
      <c r="C3253" s="17">
        <f>IF(Calc!$B3253,Calc!O3253,"")</f>
        <v/>
      </c>
    </row>
    <row r="3254">
      <c r="A3254" s="16">
        <f>IF(Calc!$B3254,Calc!E3254,"")</f>
        <v/>
      </c>
      <c r="B3254">
        <f>IF(Calc!$B3254,INDEX(MineNames,Calc!C3254),"")</f>
        <v/>
      </c>
      <c r="C3254" s="17">
        <f>IF(Calc!$B3254,Calc!O3254,"")</f>
        <v/>
      </c>
    </row>
    <row r="3255">
      <c r="A3255" s="16">
        <f>IF(Calc!$B3255,Calc!E3255,"")</f>
        <v/>
      </c>
      <c r="B3255">
        <f>IF(Calc!$B3255,INDEX(MineNames,Calc!C3255),"")</f>
        <v/>
      </c>
      <c r="C3255" s="17">
        <f>IF(Calc!$B3255,Calc!O3255,"")</f>
        <v/>
      </c>
    </row>
    <row r="3256">
      <c r="A3256" s="16">
        <f>IF(Calc!$B3256,Calc!E3256,"")</f>
        <v/>
      </c>
      <c r="B3256">
        <f>IF(Calc!$B3256,INDEX(MineNames,Calc!C3256),"")</f>
        <v/>
      </c>
      <c r="C3256" s="17">
        <f>IF(Calc!$B3256,Calc!O3256,"")</f>
        <v/>
      </c>
    </row>
    <row r="3257">
      <c r="A3257" s="16">
        <f>IF(Calc!$B3257,Calc!E3257,"")</f>
        <v/>
      </c>
      <c r="B3257">
        <f>IF(Calc!$B3257,INDEX(MineNames,Calc!C3257),"")</f>
        <v/>
      </c>
      <c r="C3257" s="17">
        <f>IF(Calc!$B3257,Calc!O3257,"")</f>
        <v/>
      </c>
    </row>
    <row r="3258">
      <c r="A3258" s="16">
        <f>IF(Calc!$B3258,Calc!E3258,"")</f>
        <v/>
      </c>
      <c r="B3258">
        <f>IF(Calc!$B3258,INDEX(MineNames,Calc!C3258),"")</f>
        <v/>
      </c>
      <c r="C3258" s="17">
        <f>IF(Calc!$B3258,Calc!O3258,"")</f>
        <v/>
      </c>
    </row>
    <row r="3259">
      <c r="A3259" s="16">
        <f>IF(Calc!$B3259,Calc!E3259,"")</f>
        <v/>
      </c>
      <c r="B3259">
        <f>IF(Calc!$B3259,INDEX(MineNames,Calc!C3259),"")</f>
        <v/>
      </c>
      <c r="C3259" s="17">
        <f>IF(Calc!$B3259,Calc!O3259,"")</f>
        <v/>
      </c>
    </row>
    <row r="3260">
      <c r="A3260" s="16">
        <f>IF(Calc!$B3260,Calc!E3260,"")</f>
        <v/>
      </c>
      <c r="B3260">
        <f>IF(Calc!$B3260,INDEX(MineNames,Calc!C3260),"")</f>
        <v/>
      </c>
      <c r="C3260" s="17">
        <f>IF(Calc!$B3260,Calc!O3260,"")</f>
        <v/>
      </c>
    </row>
    <row r="3261">
      <c r="A3261" s="16">
        <f>IF(Calc!$B3261,Calc!E3261,"")</f>
        <v/>
      </c>
      <c r="B3261">
        <f>IF(Calc!$B3261,INDEX(MineNames,Calc!C3261),"")</f>
        <v/>
      </c>
      <c r="C3261" s="17">
        <f>IF(Calc!$B3261,Calc!O3261,"")</f>
        <v/>
      </c>
    </row>
    <row r="3262">
      <c r="A3262" s="16">
        <f>IF(Calc!$B3262,Calc!E3262,"")</f>
        <v/>
      </c>
      <c r="B3262">
        <f>IF(Calc!$B3262,INDEX(MineNames,Calc!C3262),"")</f>
        <v/>
      </c>
      <c r="C3262" s="17">
        <f>IF(Calc!$B3262,Calc!O3262,"")</f>
        <v/>
      </c>
    </row>
    <row r="3263">
      <c r="A3263" s="16">
        <f>IF(Calc!$B3263,Calc!E3263,"")</f>
        <v/>
      </c>
      <c r="B3263">
        <f>IF(Calc!$B3263,INDEX(MineNames,Calc!C3263),"")</f>
        <v/>
      </c>
      <c r="C3263" s="17">
        <f>IF(Calc!$B3263,Calc!O3263,"")</f>
        <v/>
      </c>
    </row>
    <row r="3264">
      <c r="A3264" s="16">
        <f>IF(Calc!$B3264,Calc!E3264,"")</f>
        <v/>
      </c>
      <c r="B3264">
        <f>IF(Calc!$B3264,INDEX(MineNames,Calc!C3264),"")</f>
        <v/>
      </c>
      <c r="C3264" s="17">
        <f>IF(Calc!$B3264,Calc!O3264,"")</f>
        <v/>
      </c>
    </row>
    <row r="3265">
      <c r="A3265" s="16">
        <f>IF(Calc!$B3265,Calc!E3265,"")</f>
        <v/>
      </c>
      <c r="B3265">
        <f>IF(Calc!$B3265,INDEX(MineNames,Calc!C3265),"")</f>
        <v/>
      </c>
      <c r="C3265" s="17">
        <f>IF(Calc!$B3265,Calc!O3265,"")</f>
        <v/>
      </c>
    </row>
    <row r="3266">
      <c r="A3266" s="16">
        <f>IF(Calc!$B3266,Calc!E3266,"")</f>
        <v/>
      </c>
      <c r="B3266">
        <f>IF(Calc!$B3266,INDEX(MineNames,Calc!C3266),"")</f>
        <v/>
      </c>
      <c r="C3266" s="17">
        <f>IF(Calc!$B3266,Calc!O3266,"")</f>
        <v/>
      </c>
    </row>
    <row r="3267">
      <c r="A3267" s="16">
        <f>IF(Calc!$B3267,Calc!E3267,"")</f>
        <v/>
      </c>
      <c r="B3267">
        <f>IF(Calc!$B3267,INDEX(MineNames,Calc!C3267),"")</f>
        <v/>
      </c>
      <c r="C3267" s="17">
        <f>IF(Calc!$B3267,Calc!O3267,"")</f>
        <v/>
      </c>
    </row>
    <row r="3268">
      <c r="A3268" s="16">
        <f>IF(Calc!$B3268,Calc!E3268,"")</f>
        <v/>
      </c>
      <c r="B3268">
        <f>IF(Calc!$B3268,INDEX(MineNames,Calc!C3268),"")</f>
        <v/>
      </c>
      <c r="C3268" s="17">
        <f>IF(Calc!$B3268,Calc!O3268,"")</f>
        <v/>
      </c>
    </row>
    <row r="3269">
      <c r="A3269" s="16">
        <f>IF(Calc!$B3269,Calc!E3269,"")</f>
        <v/>
      </c>
      <c r="B3269">
        <f>IF(Calc!$B3269,INDEX(MineNames,Calc!C3269),"")</f>
        <v/>
      </c>
      <c r="C3269" s="17">
        <f>IF(Calc!$B3269,Calc!O3269,"")</f>
        <v/>
      </c>
    </row>
    <row r="3270">
      <c r="A3270" s="16">
        <f>IF(Calc!$B3270,Calc!E3270,"")</f>
        <v/>
      </c>
      <c r="B3270">
        <f>IF(Calc!$B3270,INDEX(MineNames,Calc!C3270),"")</f>
        <v/>
      </c>
      <c r="C3270" s="17">
        <f>IF(Calc!$B3270,Calc!O3270,"")</f>
        <v/>
      </c>
    </row>
    <row r="3271">
      <c r="A3271" s="16">
        <f>IF(Calc!$B3271,Calc!E3271,"")</f>
        <v/>
      </c>
      <c r="B3271">
        <f>IF(Calc!$B3271,INDEX(MineNames,Calc!C3271),"")</f>
        <v/>
      </c>
      <c r="C3271" s="17">
        <f>IF(Calc!$B3271,Calc!O3271,"")</f>
        <v/>
      </c>
    </row>
    <row r="3272">
      <c r="A3272" s="16">
        <f>IF(Calc!$B3272,Calc!E3272,"")</f>
        <v/>
      </c>
      <c r="B3272">
        <f>IF(Calc!$B3272,INDEX(MineNames,Calc!C3272),"")</f>
        <v/>
      </c>
      <c r="C3272" s="17">
        <f>IF(Calc!$B3272,Calc!O3272,"")</f>
        <v/>
      </c>
    </row>
    <row r="3273">
      <c r="A3273" s="16">
        <f>IF(Calc!$B3273,Calc!E3273,"")</f>
        <v/>
      </c>
      <c r="B3273">
        <f>IF(Calc!$B3273,INDEX(MineNames,Calc!C3273),"")</f>
        <v/>
      </c>
      <c r="C3273" s="17">
        <f>IF(Calc!$B3273,Calc!O3273,"")</f>
        <v/>
      </c>
    </row>
    <row r="3274">
      <c r="A3274" s="16">
        <f>IF(Calc!$B3274,Calc!E3274,"")</f>
        <v/>
      </c>
      <c r="B3274">
        <f>IF(Calc!$B3274,INDEX(MineNames,Calc!C3274),"")</f>
        <v/>
      </c>
      <c r="C3274" s="17">
        <f>IF(Calc!$B3274,Calc!O3274,"")</f>
        <v/>
      </c>
    </row>
    <row r="3275">
      <c r="A3275" s="16">
        <f>IF(Calc!$B3275,Calc!E3275,"")</f>
        <v/>
      </c>
      <c r="B3275">
        <f>IF(Calc!$B3275,INDEX(MineNames,Calc!C3275),"")</f>
        <v/>
      </c>
      <c r="C3275" s="17">
        <f>IF(Calc!$B3275,Calc!O3275,"")</f>
        <v/>
      </c>
    </row>
    <row r="3276">
      <c r="A3276" s="16">
        <f>IF(Calc!$B3276,Calc!E3276,"")</f>
        <v/>
      </c>
      <c r="B3276">
        <f>IF(Calc!$B3276,INDEX(MineNames,Calc!C3276),"")</f>
        <v/>
      </c>
      <c r="C3276" s="17">
        <f>IF(Calc!$B3276,Calc!O3276,"")</f>
        <v/>
      </c>
    </row>
    <row r="3277">
      <c r="A3277" s="16">
        <f>IF(Calc!$B3277,Calc!E3277,"")</f>
        <v/>
      </c>
      <c r="B3277">
        <f>IF(Calc!$B3277,INDEX(MineNames,Calc!C3277),"")</f>
        <v/>
      </c>
      <c r="C3277" s="17">
        <f>IF(Calc!$B3277,Calc!O3277,"")</f>
        <v/>
      </c>
    </row>
    <row r="3278">
      <c r="A3278" s="16">
        <f>IF(Calc!$B3278,Calc!E3278,"")</f>
        <v/>
      </c>
      <c r="B3278">
        <f>IF(Calc!$B3278,INDEX(MineNames,Calc!C3278),"")</f>
        <v/>
      </c>
      <c r="C3278" s="17">
        <f>IF(Calc!$B3278,Calc!O3278,"")</f>
        <v/>
      </c>
    </row>
    <row r="3279">
      <c r="A3279" s="16">
        <f>IF(Calc!$B3279,Calc!E3279,"")</f>
        <v/>
      </c>
      <c r="B3279">
        <f>IF(Calc!$B3279,INDEX(MineNames,Calc!C3279),"")</f>
        <v/>
      </c>
      <c r="C3279" s="17">
        <f>IF(Calc!$B3279,Calc!O3279,"")</f>
        <v/>
      </c>
    </row>
    <row r="3280">
      <c r="A3280" s="16">
        <f>IF(Calc!$B3280,Calc!E3280,"")</f>
        <v/>
      </c>
      <c r="B3280">
        <f>IF(Calc!$B3280,INDEX(MineNames,Calc!C3280),"")</f>
        <v/>
      </c>
      <c r="C3280" s="17">
        <f>IF(Calc!$B3280,Calc!O3280,"")</f>
        <v/>
      </c>
    </row>
    <row r="3281">
      <c r="A3281" s="16">
        <f>IF(Calc!$B3281,Calc!E3281,"")</f>
        <v/>
      </c>
      <c r="B3281">
        <f>IF(Calc!$B3281,INDEX(MineNames,Calc!C3281),"")</f>
        <v/>
      </c>
      <c r="C3281" s="17">
        <f>IF(Calc!$B3281,Calc!O3281,"")</f>
        <v/>
      </c>
    </row>
    <row r="3282">
      <c r="A3282" s="16">
        <f>IF(Calc!$B3282,Calc!E3282,"")</f>
        <v/>
      </c>
      <c r="B3282">
        <f>IF(Calc!$B3282,INDEX(MineNames,Calc!C3282),"")</f>
        <v/>
      </c>
      <c r="C3282" s="17">
        <f>IF(Calc!$B3282,Calc!O3282,"")</f>
        <v/>
      </c>
    </row>
    <row r="3283">
      <c r="A3283" s="16">
        <f>IF(Calc!$B3283,Calc!E3283,"")</f>
        <v/>
      </c>
      <c r="B3283">
        <f>IF(Calc!$B3283,INDEX(MineNames,Calc!C3283),"")</f>
        <v/>
      </c>
      <c r="C3283" s="17">
        <f>IF(Calc!$B3283,Calc!O3283,"")</f>
        <v/>
      </c>
    </row>
    <row r="3284">
      <c r="A3284" s="16">
        <f>IF(Calc!$B3284,Calc!E3284,"")</f>
        <v/>
      </c>
      <c r="B3284">
        <f>IF(Calc!$B3284,INDEX(MineNames,Calc!C3284),"")</f>
        <v/>
      </c>
      <c r="C3284" s="17">
        <f>IF(Calc!$B3284,Calc!O3284,"")</f>
        <v/>
      </c>
    </row>
    <row r="3285">
      <c r="A3285" s="16">
        <f>IF(Calc!$B3285,Calc!E3285,"")</f>
        <v/>
      </c>
      <c r="B3285">
        <f>IF(Calc!$B3285,INDEX(MineNames,Calc!C3285),"")</f>
        <v/>
      </c>
      <c r="C3285" s="17">
        <f>IF(Calc!$B3285,Calc!O3285,"")</f>
        <v/>
      </c>
    </row>
    <row r="3286">
      <c r="A3286" s="16">
        <f>IF(Calc!$B3286,Calc!E3286,"")</f>
        <v/>
      </c>
      <c r="B3286">
        <f>IF(Calc!$B3286,INDEX(MineNames,Calc!C3286),"")</f>
        <v/>
      </c>
      <c r="C3286" s="17">
        <f>IF(Calc!$B3286,Calc!O3286,"")</f>
        <v/>
      </c>
    </row>
    <row r="3287">
      <c r="A3287" s="16">
        <f>IF(Calc!$B3287,Calc!E3287,"")</f>
        <v/>
      </c>
      <c r="B3287">
        <f>IF(Calc!$B3287,INDEX(MineNames,Calc!C3287),"")</f>
        <v/>
      </c>
      <c r="C3287" s="17">
        <f>IF(Calc!$B3287,Calc!O3287,"")</f>
        <v/>
      </c>
    </row>
    <row r="3288">
      <c r="A3288" s="16">
        <f>IF(Calc!$B3288,Calc!E3288,"")</f>
        <v/>
      </c>
      <c r="B3288">
        <f>IF(Calc!$B3288,INDEX(MineNames,Calc!C3288),"")</f>
        <v/>
      </c>
      <c r="C3288" s="17">
        <f>IF(Calc!$B3288,Calc!O3288,"")</f>
        <v/>
      </c>
    </row>
    <row r="3289">
      <c r="A3289" s="16">
        <f>IF(Calc!$B3289,Calc!E3289,"")</f>
        <v/>
      </c>
      <c r="B3289">
        <f>IF(Calc!$B3289,INDEX(MineNames,Calc!C3289),"")</f>
        <v/>
      </c>
      <c r="C3289" s="17">
        <f>IF(Calc!$B3289,Calc!O3289,"")</f>
        <v/>
      </c>
    </row>
    <row r="3290">
      <c r="A3290" s="16">
        <f>IF(Calc!$B3290,Calc!E3290,"")</f>
        <v/>
      </c>
      <c r="B3290">
        <f>IF(Calc!$B3290,INDEX(MineNames,Calc!C3290),"")</f>
        <v/>
      </c>
      <c r="C3290" s="17">
        <f>IF(Calc!$B3290,Calc!O3290,"")</f>
        <v/>
      </c>
    </row>
    <row r="3291">
      <c r="A3291" s="16">
        <f>IF(Calc!$B3291,Calc!E3291,"")</f>
        <v/>
      </c>
      <c r="B3291">
        <f>IF(Calc!$B3291,INDEX(MineNames,Calc!C3291),"")</f>
        <v/>
      </c>
      <c r="C3291" s="17">
        <f>IF(Calc!$B3291,Calc!O3291,"")</f>
        <v/>
      </c>
    </row>
    <row r="3292">
      <c r="A3292" s="16">
        <f>IF(Calc!$B3292,Calc!E3292,"")</f>
        <v/>
      </c>
      <c r="B3292">
        <f>IF(Calc!$B3292,INDEX(MineNames,Calc!C3292),"")</f>
        <v/>
      </c>
      <c r="C3292" s="17">
        <f>IF(Calc!$B3292,Calc!O3292,"")</f>
        <v/>
      </c>
    </row>
    <row r="3293">
      <c r="A3293" s="16">
        <f>IF(Calc!$B3293,Calc!E3293,"")</f>
        <v/>
      </c>
      <c r="B3293">
        <f>IF(Calc!$B3293,INDEX(MineNames,Calc!C3293),"")</f>
        <v/>
      </c>
      <c r="C3293" s="17">
        <f>IF(Calc!$B3293,Calc!O3293,"")</f>
        <v/>
      </c>
    </row>
    <row r="3294">
      <c r="A3294" s="16">
        <f>IF(Calc!$B3294,Calc!E3294,"")</f>
        <v/>
      </c>
      <c r="B3294">
        <f>IF(Calc!$B3294,INDEX(MineNames,Calc!C3294),"")</f>
        <v/>
      </c>
      <c r="C3294" s="17">
        <f>IF(Calc!$B3294,Calc!O3294,"")</f>
        <v/>
      </c>
    </row>
    <row r="3295">
      <c r="A3295" s="16">
        <f>IF(Calc!$B3295,Calc!E3295,"")</f>
        <v/>
      </c>
      <c r="B3295">
        <f>IF(Calc!$B3295,INDEX(MineNames,Calc!C3295),"")</f>
        <v/>
      </c>
      <c r="C3295" s="17">
        <f>IF(Calc!$B3295,Calc!O3295,"")</f>
        <v/>
      </c>
    </row>
    <row r="3296">
      <c r="A3296" s="16">
        <f>IF(Calc!$B3296,Calc!E3296,"")</f>
        <v/>
      </c>
      <c r="B3296">
        <f>IF(Calc!$B3296,INDEX(MineNames,Calc!C3296),"")</f>
        <v/>
      </c>
      <c r="C3296" s="17">
        <f>IF(Calc!$B3296,Calc!O3296,"")</f>
        <v/>
      </c>
    </row>
    <row r="3297">
      <c r="A3297" s="16">
        <f>IF(Calc!$B3297,Calc!E3297,"")</f>
        <v/>
      </c>
      <c r="B3297">
        <f>IF(Calc!$B3297,INDEX(MineNames,Calc!C3297),"")</f>
        <v/>
      </c>
      <c r="C3297" s="17">
        <f>IF(Calc!$B3297,Calc!O3297,"")</f>
        <v/>
      </c>
    </row>
    <row r="3298">
      <c r="A3298" s="16">
        <f>IF(Calc!$B3298,Calc!E3298,"")</f>
        <v/>
      </c>
      <c r="B3298">
        <f>IF(Calc!$B3298,INDEX(MineNames,Calc!C3298),"")</f>
        <v/>
      </c>
      <c r="C3298" s="17">
        <f>IF(Calc!$B3298,Calc!O3298,"")</f>
        <v/>
      </c>
    </row>
    <row r="3299">
      <c r="A3299" s="16">
        <f>IF(Calc!$B3299,Calc!E3299,"")</f>
        <v/>
      </c>
      <c r="B3299">
        <f>IF(Calc!$B3299,INDEX(MineNames,Calc!C3299),"")</f>
        <v/>
      </c>
      <c r="C3299" s="17">
        <f>IF(Calc!$B3299,Calc!O3299,"")</f>
        <v/>
      </c>
    </row>
    <row r="3300">
      <c r="A3300" s="16">
        <f>IF(Calc!$B3300,Calc!E3300,"")</f>
        <v/>
      </c>
      <c r="B3300">
        <f>IF(Calc!$B3300,INDEX(MineNames,Calc!C3300),"")</f>
        <v/>
      </c>
      <c r="C3300" s="17">
        <f>IF(Calc!$B3300,Calc!O3300,"")</f>
        <v/>
      </c>
    </row>
    <row r="3301">
      <c r="A3301" s="16">
        <f>IF(Calc!$B3301,Calc!E3301,"")</f>
        <v/>
      </c>
      <c r="B3301">
        <f>IF(Calc!$B3301,INDEX(MineNames,Calc!C3301),"")</f>
        <v/>
      </c>
      <c r="C3301" s="17">
        <f>IF(Calc!$B3301,Calc!O3301,"")</f>
        <v/>
      </c>
    </row>
    <row r="3302">
      <c r="A3302" s="16">
        <f>IF(Calc!$B3302,Calc!E3302,"")</f>
        <v/>
      </c>
      <c r="B3302">
        <f>IF(Calc!$B3302,INDEX(MineNames,Calc!C3302),"")</f>
        <v/>
      </c>
      <c r="C3302" s="17">
        <f>IF(Calc!$B3302,Calc!O3302,"")</f>
        <v/>
      </c>
    </row>
    <row r="3303">
      <c r="A3303" s="16">
        <f>IF(Calc!$B3303,Calc!E3303,"")</f>
        <v/>
      </c>
      <c r="B3303">
        <f>IF(Calc!$B3303,INDEX(MineNames,Calc!C3303),"")</f>
        <v/>
      </c>
      <c r="C3303" s="17">
        <f>IF(Calc!$B3303,Calc!O3303,"")</f>
        <v/>
      </c>
    </row>
    <row r="3304">
      <c r="A3304" s="16">
        <f>IF(Calc!$B3304,Calc!E3304,"")</f>
        <v/>
      </c>
      <c r="B3304">
        <f>IF(Calc!$B3304,INDEX(MineNames,Calc!C3304),"")</f>
        <v/>
      </c>
      <c r="C3304" s="17">
        <f>IF(Calc!$B3304,Calc!O3304,"")</f>
        <v/>
      </c>
    </row>
    <row r="3305">
      <c r="A3305" s="16">
        <f>IF(Calc!$B3305,Calc!E3305,"")</f>
        <v/>
      </c>
      <c r="B3305">
        <f>IF(Calc!$B3305,INDEX(MineNames,Calc!C3305),"")</f>
        <v/>
      </c>
      <c r="C3305" s="17">
        <f>IF(Calc!$B3305,Calc!O3305,"")</f>
        <v/>
      </c>
    </row>
    <row r="3306">
      <c r="A3306" s="16">
        <f>IF(Calc!$B3306,Calc!E3306,"")</f>
        <v/>
      </c>
      <c r="B3306">
        <f>IF(Calc!$B3306,INDEX(MineNames,Calc!C3306),"")</f>
        <v/>
      </c>
      <c r="C3306" s="17">
        <f>IF(Calc!$B3306,Calc!O3306,"")</f>
        <v/>
      </c>
    </row>
    <row r="3307">
      <c r="A3307" s="16">
        <f>IF(Calc!$B3307,Calc!E3307,"")</f>
        <v/>
      </c>
      <c r="B3307">
        <f>IF(Calc!$B3307,INDEX(MineNames,Calc!C3307),"")</f>
        <v/>
      </c>
      <c r="C3307" s="17">
        <f>IF(Calc!$B3307,Calc!O3307,"")</f>
        <v/>
      </c>
    </row>
    <row r="3308">
      <c r="A3308" s="16">
        <f>IF(Calc!$B3308,Calc!E3308,"")</f>
        <v/>
      </c>
      <c r="B3308">
        <f>IF(Calc!$B3308,INDEX(MineNames,Calc!C3308),"")</f>
        <v/>
      </c>
      <c r="C3308" s="17">
        <f>IF(Calc!$B3308,Calc!O3308,"")</f>
        <v/>
      </c>
    </row>
    <row r="3309">
      <c r="A3309" s="16">
        <f>IF(Calc!$B3309,Calc!E3309,"")</f>
        <v/>
      </c>
      <c r="B3309">
        <f>IF(Calc!$B3309,INDEX(MineNames,Calc!C3309),"")</f>
        <v/>
      </c>
      <c r="C3309" s="17">
        <f>IF(Calc!$B3309,Calc!O3309,"")</f>
        <v/>
      </c>
    </row>
    <row r="3310">
      <c r="A3310" s="16">
        <f>IF(Calc!$B3310,Calc!E3310,"")</f>
        <v/>
      </c>
      <c r="B3310">
        <f>IF(Calc!$B3310,INDEX(MineNames,Calc!C3310),"")</f>
        <v/>
      </c>
      <c r="C3310" s="17">
        <f>IF(Calc!$B3310,Calc!O3310,"")</f>
        <v/>
      </c>
    </row>
    <row r="3311">
      <c r="A3311" s="16">
        <f>IF(Calc!$B3311,Calc!E3311,"")</f>
        <v/>
      </c>
      <c r="B3311">
        <f>IF(Calc!$B3311,INDEX(MineNames,Calc!C3311),"")</f>
        <v/>
      </c>
      <c r="C3311" s="17">
        <f>IF(Calc!$B3311,Calc!O3311,"")</f>
        <v/>
      </c>
    </row>
    <row r="3312">
      <c r="A3312" s="16">
        <f>IF(Calc!$B3312,Calc!E3312,"")</f>
        <v/>
      </c>
      <c r="B3312">
        <f>IF(Calc!$B3312,INDEX(MineNames,Calc!C3312),"")</f>
        <v/>
      </c>
      <c r="C3312" s="17">
        <f>IF(Calc!$B3312,Calc!O3312,"")</f>
        <v/>
      </c>
    </row>
    <row r="3313">
      <c r="A3313" s="16">
        <f>IF(Calc!$B3313,Calc!E3313,"")</f>
        <v/>
      </c>
      <c r="B3313">
        <f>IF(Calc!$B3313,INDEX(MineNames,Calc!C3313),"")</f>
        <v/>
      </c>
      <c r="C3313" s="17">
        <f>IF(Calc!$B3313,Calc!O3313,"")</f>
        <v/>
      </c>
    </row>
    <row r="3314">
      <c r="A3314" s="16">
        <f>IF(Calc!$B3314,Calc!E3314,"")</f>
        <v/>
      </c>
      <c r="B3314">
        <f>IF(Calc!$B3314,INDEX(MineNames,Calc!C3314),"")</f>
        <v/>
      </c>
      <c r="C3314" s="17">
        <f>IF(Calc!$B3314,Calc!O3314,"")</f>
        <v/>
      </c>
    </row>
    <row r="3315">
      <c r="A3315" s="16">
        <f>IF(Calc!$B3315,Calc!E3315,"")</f>
        <v/>
      </c>
      <c r="B3315">
        <f>IF(Calc!$B3315,INDEX(MineNames,Calc!C3315),"")</f>
        <v/>
      </c>
      <c r="C3315" s="17">
        <f>IF(Calc!$B3315,Calc!O3315,"")</f>
        <v/>
      </c>
    </row>
    <row r="3316">
      <c r="A3316" s="16">
        <f>IF(Calc!$B3316,Calc!E3316,"")</f>
        <v/>
      </c>
      <c r="B3316">
        <f>IF(Calc!$B3316,INDEX(MineNames,Calc!C3316),"")</f>
        <v/>
      </c>
      <c r="C3316" s="17">
        <f>IF(Calc!$B3316,Calc!O3316,"")</f>
        <v/>
      </c>
    </row>
    <row r="3317">
      <c r="A3317" s="16">
        <f>IF(Calc!$B3317,Calc!E3317,"")</f>
        <v/>
      </c>
      <c r="B3317">
        <f>IF(Calc!$B3317,INDEX(MineNames,Calc!C3317),"")</f>
        <v/>
      </c>
      <c r="C3317" s="17">
        <f>IF(Calc!$B3317,Calc!O3317,"")</f>
        <v/>
      </c>
    </row>
    <row r="3318">
      <c r="A3318" s="16">
        <f>IF(Calc!$B3318,Calc!E3318,"")</f>
        <v/>
      </c>
      <c r="B3318">
        <f>IF(Calc!$B3318,INDEX(MineNames,Calc!C3318),"")</f>
        <v/>
      </c>
      <c r="C3318" s="17">
        <f>IF(Calc!$B3318,Calc!O3318,"")</f>
        <v/>
      </c>
    </row>
    <row r="3319">
      <c r="A3319" s="16">
        <f>IF(Calc!$B3319,Calc!E3319,"")</f>
        <v/>
      </c>
      <c r="B3319">
        <f>IF(Calc!$B3319,INDEX(MineNames,Calc!C3319),"")</f>
        <v/>
      </c>
      <c r="C3319" s="17">
        <f>IF(Calc!$B3319,Calc!O3319,"")</f>
        <v/>
      </c>
    </row>
    <row r="3320">
      <c r="A3320" s="16">
        <f>IF(Calc!$B3320,Calc!E3320,"")</f>
        <v/>
      </c>
      <c r="B3320">
        <f>IF(Calc!$B3320,INDEX(MineNames,Calc!C3320),"")</f>
        <v/>
      </c>
      <c r="C3320" s="17">
        <f>IF(Calc!$B3320,Calc!O3320,"")</f>
        <v/>
      </c>
    </row>
    <row r="3321">
      <c r="A3321" s="16">
        <f>IF(Calc!$B3321,Calc!E3321,"")</f>
        <v/>
      </c>
      <c r="B3321">
        <f>IF(Calc!$B3321,INDEX(MineNames,Calc!C3321),"")</f>
        <v/>
      </c>
      <c r="C3321" s="17">
        <f>IF(Calc!$B3321,Calc!O3321,"")</f>
        <v/>
      </c>
    </row>
    <row r="3322">
      <c r="A3322" s="16">
        <f>IF(Calc!$B3322,Calc!E3322,"")</f>
        <v/>
      </c>
      <c r="B3322">
        <f>IF(Calc!$B3322,INDEX(MineNames,Calc!C3322),"")</f>
        <v/>
      </c>
      <c r="C3322" s="17">
        <f>IF(Calc!$B3322,Calc!O3322,"")</f>
        <v/>
      </c>
    </row>
    <row r="3323">
      <c r="A3323" s="16">
        <f>IF(Calc!$B3323,Calc!E3323,"")</f>
        <v/>
      </c>
      <c r="B3323">
        <f>IF(Calc!$B3323,INDEX(MineNames,Calc!C3323),"")</f>
        <v/>
      </c>
      <c r="C3323" s="17">
        <f>IF(Calc!$B3323,Calc!O3323,"")</f>
        <v/>
      </c>
    </row>
    <row r="3324">
      <c r="A3324" s="16">
        <f>IF(Calc!$B3324,Calc!E3324,"")</f>
        <v/>
      </c>
      <c r="B3324">
        <f>IF(Calc!$B3324,INDEX(MineNames,Calc!C3324),"")</f>
        <v/>
      </c>
      <c r="C3324" s="17">
        <f>IF(Calc!$B3324,Calc!O3324,"")</f>
        <v/>
      </c>
    </row>
    <row r="3325">
      <c r="A3325" s="16">
        <f>IF(Calc!$B3325,Calc!E3325,"")</f>
        <v/>
      </c>
      <c r="B3325">
        <f>IF(Calc!$B3325,INDEX(MineNames,Calc!C3325),"")</f>
        <v/>
      </c>
      <c r="C3325" s="17">
        <f>IF(Calc!$B3325,Calc!O3325,"")</f>
        <v/>
      </c>
    </row>
    <row r="3326">
      <c r="A3326" s="16">
        <f>IF(Calc!$B3326,Calc!E3326,"")</f>
        <v/>
      </c>
      <c r="B3326">
        <f>IF(Calc!$B3326,INDEX(MineNames,Calc!C3326),"")</f>
        <v/>
      </c>
      <c r="C3326" s="17">
        <f>IF(Calc!$B3326,Calc!O3326,"")</f>
        <v/>
      </c>
    </row>
    <row r="3327">
      <c r="A3327" s="16">
        <f>IF(Calc!$B3327,Calc!E3327,"")</f>
        <v/>
      </c>
      <c r="B3327">
        <f>IF(Calc!$B3327,INDEX(MineNames,Calc!C3327),"")</f>
        <v/>
      </c>
      <c r="C3327" s="17">
        <f>IF(Calc!$B3327,Calc!O3327,"")</f>
        <v/>
      </c>
    </row>
    <row r="3328">
      <c r="A3328" s="16">
        <f>IF(Calc!$B3328,Calc!E3328,"")</f>
        <v/>
      </c>
      <c r="B3328">
        <f>IF(Calc!$B3328,INDEX(MineNames,Calc!C3328),"")</f>
        <v/>
      </c>
      <c r="C3328" s="17">
        <f>IF(Calc!$B3328,Calc!O3328,"")</f>
        <v/>
      </c>
    </row>
    <row r="3329">
      <c r="A3329" s="16">
        <f>IF(Calc!$B3329,Calc!E3329,"")</f>
        <v/>
      </c>
      <c r="B3329">
        <f>IF(Calc!$B3329,INDEX(MineNames,Calc!C3329),"")</f>
        <v/>
      </c>
      <c r="C3329" s="17">
        <f>IF(Calc!$B3329,Calc!O3329,"")</f>
        <v/>
      </c>
    </row>
    <row r="3330">
      <c r="A3330" s="16">
        <f>IF(Calc!$B3330,Calc!E3330,"")</f>
        <v/>
      </c>
      <c r="B3330">
        <f>IF(Calc!$B3330,INDEX(MineNames,Calc!C3330),"")</f>
        <v/>
      </c>
      <c r="C3330" s="17">
        <f>IF(Calc!$B3330,Calc!O3330,"")</f>
        <v/>
      </c>
    </row>
    <row r="3331">
      <c r="A3331" s="16">
        <f>IF(Calc!$B3331,Calc!E3331,"")</f>
        <v/>
      </c>
      <c r="B3331">
        <f>IF(Calc!$B3331,INDEX(MineNames,Calc!C3331),"")</f>
        <v/>
      </c>
      <c r="C3331" s="17">
        <f>IF(Calc!$B3331,Calc!O3331,"")</f>
        <v/>
      </c>
    </row>
    <row r="3332">
      <c r="A3332" s="16">
        <f>IF(Calc!$B3332,Calc!E3332,"")</f>
        <v/>
      </c>
      <c r="B3332">
        <f>IF(Calc!$B3332,INDEX(MineNames,Calc!C3332),"")</f>
        <v/>
      </c>
      <c r="C3332" s="17">
        <f>IF(Calc!$B3332,Calc!O3332,"")</f>
        <v/>
      </c>
    </row>
    <row r="3333">
      <c r="A3333" s="16">
        <f>IF(Calc!$B3333,Calc!E3333,"")</f>
        <v/>
      </c>
      <c r="B3333">
        <f>IF(Calc!$B3333,INDEX(MineNames,Calc!C3333),"")</f>
        <v/>
      </c>
      <c r="C3333" s="17">
        <f>IF(Calc!$B3333,Calc!O3333,"")</f>
        <v/>
      </c>
    </row>
    <row r="3334">
      <c r="A3334" s="16">
        <f>IF(Calc!$B3334,Calc!E3334,"")</f>
        <v/>
      </c>
      <c r="B3334">
        <f>IF(Calc!$B3334,INDEX(MineNames,Calc!C3334),"")</f>
        <v/>
      </c>
      <c r="C3334" s="17">
        <f>IF(Calc!$B3334,Calc!O3334,"")</f>
        <v/>
      </c>
    </row>
    <row r="3335">
      <c r="A3335" s="16">
        <f>IF(Calc!$B3335,Calc!E3335,"")</f>
        <v/>
      </c>
      <c r="B3335">
        <f>IF(Calc!$B3335,INDEX(MineNames,Calc!C3335),"")</f>
        <v/>
      </c>
      <c r="C3335" s="17">
        <f>IF(Calc!$B3335,Calc!O3335,"")</f>
        <v/>
      </c>
    </row>
    <row r="3336">
      <c r="A3336" s="16">
        <f>IF(Calc!$B3336,Calc!E3336,"")</f>
        <v/>
      </c>
      <c r="B3336">
        <f>IF(Calc!$B3336,INDEX(MineNames,Calc!C3336),"")</f>
        <v/>
      </c>
      <c r="C3336" s="17">
        <f>IF(Calc!$B3336,Calc!O3336,"")</f>
        <v/>
      </c>
    </row>
    <row r="3337">
      <c r="A3337" s="16">
        <f>IF(Calc!$B3337,Calc!E3337,"")</f>
        <v/>
      </c>
      <c r="B3337">
        <f>IF(Calc!$B3337,INDEX(MineNames,Calc!C3337),"")</f>
        <v/>
      </c>
      <c r="C3337" s="17">
        <f>IF(Calc!$B3337,Calc!O3337,"")</f>
        <v/>
      </c>
    </row>
    <row r="3338">
      <c r="A3338" s="16">
        <f>IF(Calc!$B3338,Calc!E3338,"")</f>
        <v/>
      </c>
      <c r="B3338">
        <f>IF(Calc!$B3338,INDEX(MineNames,Calc!C3338),"")</f>
        <v/>
      </c>
      <c r="C3338" s="17">
        <f>IF(Calc!$B3338,Calc!O3338,"")</f>
        <v/>
      </c>
    </row>
    <row r="3339">
      <c r="A3339" s="16">
        <f>IF(Calc!$B3339,Calc!E3339,"")</f>
        <v/>
      </c>
      <c r="B3339">
        <f>IF(Calc!$B3339,INDEX(MineNames,Calc!C3339),"")</f>
        <v/>
      </c>
      <c r="C3339" s="17">
        <f>IF(Calc!$B3339,Calc!O3339,"")</f>
        <v/>
      </c>
    </row>
    <row r="3340">
      <c r="A3340" s="16">
        <f>IF(Calc!$B3340,Calc!E3340,"")</f>
        <v/>
      </c>
      <c r="B3340">
        <f>IF(Calc!$B3340,INDEX(MineNames,Calc!C3340),"")</f>
        <v/>
      </c>
      <c r="C3340" s="17">
        <f>IF(Calc!$B3340,Calc!O3340,"")</f>
        <v/>
      </c>
    </row>
    <row r="3341">
      <c r="A3341" s="16">
        <f>IF(Calc!$B3341,Calc!E3341,"")</f>
        <v/>
      </c>
      <c r="B3341">
        <f>IF(Calc!$B3341,INDEX(MineNames,Calc!C3341),"")</f>
        <v/>
      </c>
      <c r="C3341" s="17">
        <f>IF(Calc!$B3341,Calc!O3341,"")</f>
        <v/>
      </c>
    </row>
    <row r="3342">
      <c r="A3342" s="16">
        <f>IF(Calc!$B3342,Calc!E3342,"")</f>
        <v/>
      </c>
      <c r="B3342">
        <f>IF(Calc!$B3342,INDEX(MineNames,Calc!C3342),"")</f>
        <v/>
      </c>
      <c r="C3342" s="17">
        <f>IF(Calc!$B3342,Calc!O3342,"")</f>
        <v/>
      </c>
    </row>
    <row r="3343">
      <c r="A3343" s="16">
        <f>IF(Calc!$B3343,Calc!E3343,"")</f>
        <v/>
      </c>
      <c r="B3343">
        <f>IF(Calc!$B3343,INDEX(MineNames,Calc!C3343),"")</f>
        <v/>
      </c>
      <c r="C3343" s="17">
        <f>IF(Calc!$B3343,Calc!O3343,"")</f>
        <v/>
      </c>
    </row>
    <row r="3344">
      <c r="A3344" s="16">
        <f>IF(Calc!$B3344,Calc!E3344,"")</f>
        <v/>
      </c>
      <c r="B3344">
        <f>IF(Calc!$B3344,INDEX(MineNames,Calc!C3344),"")</f>
        <v/>
      </c>
      <c r="C3344" s="17">
        <f>IF(Calc!$B3344,Calc!O3344,"")</f>
        <v/>
      </c>
    </row>
    <row r="3345">
      <c r="A3345" s="16">
        <f>IF(Calc!$B3345,Calc!E3345,"")</f>
        <v/>
      </c>
      <c r="B3345">
        <f>IF(Calc!$B3345,INDEX(MineNames,Calc!C3345),"")</f>
        <v/>
      </c>
      <c r="C3345" s="17">
        <f>IF(Calc!$B3345,Calc!O3345,"")</f>
        <v/>
      </c>
    </row>
    <row r="3346">
      <c r="A3346" s="16">
        <f>IF(Calc!$B3346,Calc!E3346,"")</f>
        <v/>
      </c>
      <c r="B3346">
        <f>IF(Calc!$B3346,INDEX(MineNames,Calc!C3346),"")</f>
        <v/>
      </c>
      <c r="C3346" s="17">
        <f>IF(Calc!$B3346,Calc!O3346,"")</f>
        <v/>
      </c>
    </row>
    <row r="3347">
      <c r="A3347" s="16">
        <f>IF(Calc!$B3347,Calc!E3347,"")</f>
        <v/>
      </c>
      <c r="B3347">
        <f>IF(Calc!$B3347,INDEX(MineNames,Calc!C3347),"")</f>
        <v/>
      </c>
      <c r="C3347" s="17">
        <f>IF(Calc!$B3347,Calc!O3347,"")</f>
        <v/>
      </c>
    </row>
    <row r="3348">
      <c r="A3348" s="16">
        <f>IF(Calc!$B3348,Calc!E3348,"")</f>
        <v/>
      </c>
      <c r="B3348">
        <f>IF(Calc!$B3348,INDEX(MineNames,Calc!C3348),"")</f>
        <v/>
      </c>
      <c r="C3348" s="17">
        <f>IF(Calc!$B3348,Calc!O3348,"")</f>
        <v/>
      </c>
    </row>
    <row r="3349">
      <c r="A3349" s="16">
        <f>IF(Calc!$B3349,Calc!E3349,"")</f>
        <v/>
      </c>
      <c r="B3349">
        <f>IF(Calc!$B3349,INDEX(MineNames,Calc!C3349),"")</f>
        <v/>
      </c>
      <c r="C3349" s="17">
        <f>IF(Calc!$B3349,Calc!O3349,"")</f>
        <v/>
      </c>
    </row>
    <row r="3350">
      <c r="A3350" s="16">
        <f>IF(Calc!$B3350,Calc!E3350,"")</f>
        <v/>
      </c>
      <c r="B3350">
        <f>IF(Calc!$B3350,INDEX(MineNames,Calc!C3350),"")</f>
        <v/>
      </c>
      <c r="C3350" s="17">
        <f>IF(Calc!$B3350,Calc!O3350,"")</f>
        <v/>
      </c>
    </row>
    <row r="3351">
      <c r="A3351" s="16">
        <f>IF(Calc!$B3351,Calc!E3351,"")</f>
        <v/>
      </c>
      <c r="B3351">
        <f>IF(Calc!$B3351,INDEX(MineNames,Calc!C3351),"")</f>
        <v/>
      </c>
      <c r="C3351" s="17">
        <f>IF(Calc!$B3351,Calc!O3351,"")</f>
        <v/>
      </c>
    </row>
    <row r="3352">
      <c r="A3352" s="16">
        <f>IF(Calc!$B3352,Calc!E3352,"")</f>
        <v/>
      </c>
      <c r="B3352">
        <f>IF(Calc!$B3352,INDEX(MineNames,Calc!C3352),"")</f>
        <v/>
      </c>
      <c r="C3352" s="17">
        <f>IF(Calc!$B3352,Calc!O3352,"")</f>
        <v/>
      </c>
    </row>
    <row r="3353">
      <c r="A3353" s="16">
        <f>IF(Calc!$B3353,Calc!E3353,"")</f>
        <v/>
      </c>
      <c r="B3353">
        <f>IF(Calc!$B3353,INDEX(MineNames,Calc!C3353),"")</f>
        <v/>
      </c>
      <c r="C3353" s="17">
        <f>IF(Calc!$B3353,Calc!O3353,"")</f>
        <v/>
      </c>
    </row>
    <row r="3354">
      <c r="A3354" s="16">
        <f>IF(Calc!$B3354,Calc!E3354,"")</f>
        <v/>
      </c>
      <c r="B3354">
        <f>IF(Calc!$B3354,INDEX(MineNames,Calc!C3354),"")</f>
        <v/>
      </c>
      <c r="C3354" s="17">
        <f>IF(Calc!$B3354,Calc!O3354,"")</f>
        <v/>
      </c>
    </row>
    <row r="3355">
      <c r="A3355" s="16">
        <f>IF(Calc!$B3355,Calc!E3355,"")</f>
        <v/>
      </c>
      <c r="B3355">
        <f>IF(Calc!$B3355,INDEX(MineNames,Calc!C3355),"")</f>
        <v/>
      </c>
      <c r="C3355" s="17">
        <f>IF(Calc!$B3355,Calc!O3355,"")</f>
        <v/>
      </c>
    </row>
    <row r="3356">
      <c r="A3356" s="16">
        <f>IF(Calc!$B3356,Calc!E3356,"")</f>
        <v/>
      </c>
      <c r="B3356">
        <f>IF(Calc!$B3356,INDEX(MineNames,Calc!C3356),"")</f>
        <v/>
      </c>
      <c r="C3356" s="17">
        <f>IF(Calc!$B3356,Calc!O3356,"")</f>
        <v/>
      </c>
    </row>
    <row r="3357">
      <c r="A3357" s="16">
        <f>IF(Calc!$B3357,Calc!E3357,"")</f>
        <v/>
      </c>
      <c r="B3357">
        <f>IF(Calc!$B3357,INDEX(MineNames,Calc!C3357),"")</f>
        <v/>
      </c>
      <c r="C3357" s="17">
        <f>IF(Calc!$B3357,Calc!O3357,"")</f>
        <v/>
      </c>
    </row>
    <row r="3358">
      <c r="A3358" s="16">
        <f>IF(Calc!$B3358,Calc!E3358,"")</f>
        <v/>
      </c>
      <c r="B3358">
        <f>IF(Calc!$B3358,INDEX(MineNames,Calc!C3358),"")</f>
        <v/>
      </c>
      <c r="C3358" s="17">
        <f>IF(Calc!$B3358,Calc!O3358,"")</f>
        <v/>
      </c>
    </row>
    <row r="3359">
      <c r="A3359" s="16">
        <f>IF(Calc!$B3359,Calc!E3359,"")</f>
        <v/>
      </c>
      <c r="B3359">
        <f>IF(Calc!$B3359,INDEX(MineNames,Calc!C3359),"")</f>
        <v/>
      </c>
      <c r="C3359" s="17">
        <f>IF(Calc!$B3359,Calc!O3359,"")</f>
        <v/>
      </c>
    </row>
    <row r="3360">
      <c r="A3360" s="16">
        <f>IF(Calc!$B3360,Calc!E3360,"")</f>
        <v/>
      </c>
      <c r="B3360">
        <f>IF(Calc!$B3360,INDEX(MineNames,Calc!C3360),"")</f>
        <v/>
      </c>
      <c r="C3360" s="17">
        <f>IF(Calc!$B3360,Calc!O3360,"")</f>
        <v/>
      </c>
    </row>
    <row r="3361">
      <c r="A3361" s="16">
        <f>IF(Calc!$B3361,Calc!E3361,"")</f>
        <v/>
      </c>
      <c r="B3361">
        <f>IF(Calc!$B3361,INDEX(MineNames,Calc!C3361),"")</f>
        <v/>
      </c>
      <c r="C3361" s="17">
        <f>IF(Calc!$B3361,Calc!O3361,"")</f>
        <v/>
      </c>
    </row>
    <row r="3362">
      <c r="A3362" s="16">
        <f>IF(Calc!$B3362,Calc!E3362,"")</f>
        <v/>
      </c>
      <c r="B3362">
        <f>IF(Calc!$B3362,INDEX(MineNames,Calc!C3362),"")</f>
        <v/>
      </c>
      <c r="C3362" s="17">
        <f>IF(Calc!$B3362,Calc!O3362,"")</f>
        <v/>
      </c>
    </row>
    <row r="3363">
      <c r="A3363" s="16">
        <f>IF(Calc!$B3363,Calc!E3363,"")</f>
        <v/>
      </c>
      <c r="B3363">
        <f>IF(Calc!$B3363,INDEX(MineNames,Calc!C3363),"")</f>
        <v/>
      </c>
      <c r="C3363" s="17">
        <f>IF(Calc!$B3363,Calc!O3363,"")</f>
        <v/>
      </c>
    </row>
    <row r="3364">
      <c r="A3364" s="16">
        <f>IF(Calc!$B3364,Calc!E3364,"")</f>
        <v/>
      </c>
      <c r="B3364">
        <f>IF(Calc!$B3364,INDEX(MineNames,Calc!C3364),"")</f>
        <v/>
      </c>
      <c r="C3364" s="17">
        <f>IF(Calc!$B3364,Calc!O3364,"")</f>
        <v/>
      </c>
    </row>
    <row r="3365">
      <c r="A3365" s="16">
        <f>IF(Calc!$B3365,Calc!E3365,"")</f>
        <v/>
      </c>
      <c r="B3365">
        <f>IF(Calc!$B3365,INDEX(MineNames,Calc!C3365),"")</f>
        <v/>
      </c>
      <c r="C3365" s="17">
        <f>IF(Calc!$B3365,Calc!O3365,"")</f>
        <v/>
      </c>
    </row>
    <row r="3366">
      <c r="A3366" s="16">
        <f>IF(Calc!$B3366,Calc!E3366,"")</f>
        <v/>
      </c>
      <c r="B3366">
        <f>IF(Calc!$B3366,INDEX(MineNames,Calc!C3366),"")</f>
        <v/>
      </c>
      <c r="C3366" s="17">
        <f>IF(Calc!$B3366,Calc!O3366,"")</f>
        <v/>
      </c>
    </row>
    <row r="3367">
      <c r="A3367" s="16">
        <f>IF(Calc!$B3367,Calc!E3367,"")</f>
        <v/>
      </c>
      <c r="B3367">
        <f>IF(Calc!$B3367,INDEX(MineNames,Calc!C3367),"")</f>
        <v/>
      </c>
      <c r="C3367" s="17">
        <f>IF(Calc!$B3367,Calc!O3367,"")</f>
        <v/>
      </c>
    </row>
    <row r="3368">
      <c r="A3368" s="16">
        <f>IF(Calc!$B3368,Calc!E3368,"")</f>
        <v/>
      </c>
      <c r="B3368">
        <f>IF(Calc!$B3368,INDEX(MineNames,Calc!C3368),"")</f>
        <v/>
      </c>
      <c r="C3368" s="17">
        <f>IF(Calc!$B3368,Calc!O3368,"")</f>
        <v/>
      </c>
    </row>
    <row r="3369">
      <c r="A3369" s="16">
        <f>IF(Calc!$B3369,Calc!E3369,"")</f>
        <v/>
      </c>
      <c r="B3369">
        <f>IF(Calc!$B3369,INDEX(MineNames,Calc!C3369),"")</f>
        <v/>
      </c>
      <c r="C3369" s="17">
        <f>IF(Calc!$B3369,Calc!O3369,"")</f>
        <v/>
      </c>
    </row>
    <row r="3370">
      <c r="A3370" s="16">
        <f>IF(Calc!$B3370,Calc!E3370,"")</f>
        <v/>
      </c>
      <c r="B3370">
        <f>IF(Calc!$B3370,INDEX(MineNames,Calc!C3370),"")</f>
        <v/>
      </c>
      <c r="C3370" s="17">
        <f>IF(Calc!$B3370,Calc!O3370,"")</f>
        <v/>
      </c>
    </row>
    <row r="3371">
      <c r="A3371" s="16">
        <f>IF(Calc!$B3371,Calc!E3371,"")</f>
        <v/>
      </c>
      <c r="B3371">
        <f>IF(Calc!$B3371,INDEX(MineNames,Calc!C3371),"")</f>
        <v/>
      </c>
      <c r="C3371" s="17">
        <f>IF(Calc!$B3371,Calc!O3371,"")</f>
        <v/>
      </c>
    </row>
    <row r="3372">
      <c r="A3372" s="16">
        <f>IF(Calc!$B3372,Calc!E3372,"")</f>
        <v/>
      </c>
      <c r="B3372">
        <f>IF(Calc!$B3372,INDEX(MineNames,Calc!C3372),"")</f>
        <v/>
      </c>
      <c r="C3372" s="17">
        <f>IF(Calc!$B3372,Calc!O3372,"")</f>
        <v/>
      </c>
    </row>
    <row r="3373">
      <c r="A3373" s="16">
        <f>IF(Calc!$B3373,Calc!E3373,"")</f>
        <v/>
      </c>
      <c r="B3373">
        <f>IF(Calc!$B3373,INDEX(MineNames,Calc!C3373),"")</f>
        <v/>
      </c>
      <c r="C3373" s="17">
        <f>IF(Calc!$B3373,Calc!O3373,"")</f>
        <v/>
      </c>
    </row>
    <row r="3374">
      <c r="A3374" s="16">
        <f>IF(Calc!$B3374,Calc!E3374,"")</f>
        <v/>
      </c>
      <c r="B3374">
        <f>IF(Calc!$B3374,INDEX(MineNames,Calc!C3374),"")</f>
        <v/>
      </c>
      <c r="C3374" s="17">
        <f>IF(Calc!$B3374,Calc!O3374,"")</f>
        <v/>
      </c>
    </row>
    <row r="3375">
      <c r="A3375" s="16">
        <f>IF(Calc!$B3375,Calc!E3375,"")</f>
        <v/>
      </c>
      <c r="B3375">
        <f>IF(Calc!$B3375,INDEX(MineNames,Calc!C3375),"")</f>
        <v/>
      </c>
      <c r="C3375" s="17">
        <f>IF(Calc!$B3375,Calc!O3375,"")</f>
        <v/>
      </c>
    </row>
    <row r="3376">
      <c r="A3376" s="16">
        <f>IF(Calc!$B3376,Calc!E3376,"")</f>
        <v/>
      </c>
      <c r="B3376">
        <f>IF(Calc!$B3376,INDEX(MineNames,Calc!C3376),"")</f>
        <v/>
      </c>
      <c r="C3376" s="17">
        <f>IF(Calc!$B3376,Calc!O3376,"")</f>
        <v/>
      </c>
    </row>
    <row r="3377">
      <c r="A3377" s="16">
        <f>IF(Calc!$B3377,Calc!E3377,"")</f>
        <v/>
      </c>
      <c r="B3377">
        <f>IF(Calc!$B3377,INDEX(MineNames,Calc!C3377),"")</f>
        <v/>
      </c>
      <c r="C3377" s="17">
        <f>IF(Calc!$B3377,Calc!O3377,"")</f>
        <v/>
      </c>
    </row>
    <row r="3378">
      <c r="A3378" s="16">
        <f>IF(Calc!$B3378,Calc!E3378,"")</f>
        <v/>
      </c>
      <c r="B3378">
        <f>IF(Calc!$B3378,INDEX(MineNames,Calc!C3378),"")</f>
        <v/>
      </c>
      <c r="C3378" s="17">
        <f>IF(Calc!$B3378,Calc!O3378,"")</f>
        <v/>
      </c>
    </row>
    <row r="3379">
      <c r="A3379" s="16">
        <f>IF(Calc!$B3379,Calc!E3379,"")</f>
        <v/>
      </c>
      <c r="B3379">
        <f>IF(Calc!$B3379,INDEX(MineNames,Calc!C3379),"")</f>
        <v/>
      </c>
      <c r="C3379" s="17">
        <f>IF(Calc!$B3379,Calc!O3379,"")</f>
        <v/>
      </c>
    </row>
    <row r="3380">
      <c r="A3380" s="16">
        <f>IF(Calc!$B3380,Calc!E3380,"")</f>
        <v/>
      </c>
      <c r="B3380">
        <f>IF(Calc!$B3380,INDEX(MineNames,Calc!C3380),"")</f>
        <v/>
      </c>
      <c r="C3380" s="17">
        <f>IF(Calc!$B3380,Calc!O3380,"")</f>
        <v/>
      </c>
    </row>
    <row r="3381">
      <c r="A3381" s="16">
        <f>IF(Calc!$B3381,Calc!E3381,"")</f>
        <v/>
      </c>
      <c r="B3381">
        <f>IF(Calc!$B3381,INDEX(MineNames,Calc!C3381),"")</f>
        <v/>
      </c>
      <c r="C3381" s="17">
        <f>IF(Calc!$B3381,Calc!O3381,"")</f>
        <v/>
      </c>
    </row>
    <row r="3382">
      <c r="A3382" s="16">
        <f>IF(Calc!$B3382,Calc!E3382,"")</f>
        <v/>
      </c>
      <c r="B3382">
        <f>IF(Calc!$B3382,INDEX(MineNames,Calc!C3382),"")</f>
        <v/>
      </c>
      <c r="C3382" s="17">
        <f>IF(Calc!$B3382,Calc!O3382,"")</f>
        <v/>
      </c>
    </row>
    <row r="3383">
      <c r="A3383" s="16">
        <f>IF(Calc!$B3383,Calc!E3383,"")</f>
        <v/>
      </c>
      <c r="B3383">
        <f>IF(Calc!$B3383,INDEX(MineNames,Calc!C3383),"")</f>
        <v/>
      </c>
      <c r="C3383" s="17">
        <f>IF(Calc!$B3383,Calc!O3383,"")</f>
        <v/>
      </c>
    </row>
    <row r="3384">
      <c r="A3384" s="16">
        <f>IF(Calc!$B3384,Calc!E3384,"")</f>
        <v/>
      </c>
      <c r="B3384">
        <f>IF(Calc!$B3384,INDEX(MineNames,Calc!C3384),"")</f>
        <v/>
      </c>
      <c r="C3384" s="17">
        <f>IF(Calc!$B3384,Calc!O3384,"")</f>
        <v/>
      </c>
    </row>
    <row r="3385">
      <c r="A3385" s="16">
        <f>IF(Calc!$B3385,Calc!E3385,"")</f>
        <v/>
      </c>
      <c r="B3385">
        <f>IF(Calc!$B3385,INDEX(MineNames,Calc!C3385),"")</f>
        <v/>
      </c>
      <c r="C3385" s="17">
        <f>IF(Calc!$B3385,Calc!O3385,"")</f>
        <v/>
      </c>
    </row>
    <row r="3386">
      <c r="A3386" s="16">
        <f>IF(Calc!$B3386,Calc!E3386,"")</f>
        <v/>
      </c>
      <c r="B3386">
        <f>IF(Calc!$B3386,INDEX(MineNames,Calc!C3386),"")</f>
        <v/>
      </c>
      <c r="C3386" s="17">
        <f>IF(Calc!$B3386,Calc!O3386,"")</f>
        <v/>
      </c>
    </row>
    <row r="3387">
      <c r="A3387" s="16">
        <f>IF(Calc!$B3387,Calc!E3387,"")</f>
        <v/>
      </c>
      <c r="B3387">
        <f>IF(Calc!$B3387,INDEX(MineNames,Calc!C3387),"")</f>
        <v/>
      </c>
      <c r="C3387" s="17">
        <f>IF(Calc!$B3387,Calc!O3387,"")</f>
        <v/>
      </c>
    </row>
    <row r="3388">
      <c r="A3388" s="16">
        <f>IF(Calc!$B3388,Calc!E3388,"")</f>
        <v/>
      </c>
      <c r="B3388">
        <f>IF(Calc!$B3388,INDEX(MineNames,Calc!C3388),"")</f>
        <v/>
      </c>
      <c r="C3388" s="17">
        <f>IF(Calc!$B3388,Calc!O3388,"")</f>
        <v/>
      </c>
    </row>
    <row r="3389">
      <c r="A3389" s="16">
        <f>IF(Calc!$B3389,Calc!E3389,"")</f>
        <v/>
      </c>
      <c r="B3389">
        <f>IF(Calc!$B3389,INDEX(MineNames,Calc!C3389),"")</f>
        <v/>
      </c>
      <c r="C3389" s="17">
        <f>IF(Calc!$B3389,Calc!O3389,"")</f>
        <v/>
      </c>
    </row>
    <row r="3390">
      <c r="A3390" s="16">
        <f>IF(Calc!$B3390,Calc!E3390,"")</f>
        <v/>
      </c>
      <c r="B3390">
        <f>IF(Calc!$B3390,INDEX(MineNames,Calc!C3390),"")</f>
        <v/>
      </c>
      <c r="C3390" s="17">
        <f>IF(Calc!$B3390,Calc!O3390,"")</f>
        <v/>
      </c>
    </row>
    <row r="3391">
      <c r="A3391" s="16">
        <f>IF(Calc!$B3391,Calc!E3391,"")</f>
        <v/>
      </c>
      <c r="B3391">
        <f>IF(Calc!$B3391,INDEX(MineNames,Calc!C3391),"")</f>
        <v/>
      </c>
      <c r="C3391" s="17">
        <f>IF(Calc!$B3391,Calc!O3391,"")</f>
        <v/>
      </c>
    </row>
    <row r="3392">
      <c r="A3392" s="16">
        <f>IF(Calc!$B3392,Calc!E3392,"")</f>
        <v/>
      </c>
      <c r="B3392">
        <f>IF(Calc!$B3392,INDEX(MineNames,Calc!C3392),"")</f>
        <v/>
      </c>
      <c r="C3392" s="17">
        <f>IF(Calc!$B3392,Calc!O3392,"")</f>
        <v/>
      </c>
    </row>
    <row r="3393">
      <c r="A3393" s="16">
        <f>IF(Calc!$B3393,Calc!E3393,"")</f>
        <v/>
      </c>
      <c r="B3393">
        <f>IF(Calc!$B3393,INDEX(MineNames,Calc!C3393),"")</f>
        <v/>
      </c>
      <c r="C3393" s="17">
        <f>IF(Calc!$B3393,Calc!O3393,"")</f>
        <v/>
      </c>
    </row>
    <row r="3394">
      <c r="A3394" s="16">
        <f>IF(Calc!$B3394,Calc!E3394,"")</f>
        <v/>
      </c>
      <c r="B3394">
        <f>IF(Calc!$B3394,INDEX(MineNames,Calc!C3394),"")</f>
        <v/>
      </c>
      <c r="C3394" s="17">
        <f>IF(Calc!$B3394,Calc!O3394,"")</f>
        <v/>
      </c>
    </row>
    <row r="3395">
      <c r="A3395" s="16">
        <f>IF(Calc!$B3395,Calc!E3395,"")</f>
        <v/>
      </c>
      <c r="B3395">
        <f>IF(Calc!$B3395,INDEX(MineNames,Calc!C3395),"")</f>
        <v/>
      </c>
      <c r="C3395" s="17">
        <f>IF(Calc!$B3395,Calc!O3395,"")</f>
        <v/>
      </c>
    </row>
    <row r="3396">
      <c r="A3396" s="16">
        <f>IF(Calc!$B3396,Calc!E3396,"")</f>
        <v/>
      </c>
      <c r="B3396">
        <f>IF(Calc!$B3396,INDEX(MineNames,Calc!C3396),"")</f>
        <v/>
      </c>
      <c r="C3396" s="17">
        <f>IF(Calc!$B3396,Calc!O3396,"")</f>
        <v/>
      </c>
    </row>
    <row r="3397">
      <c r="A3397" s="16">
        <f>IF(Calc!$B3397,Calc!E3397,"")</f>
        <v/>
      </c>
      <c r="B3397">
        <f>IF(Calc!$B3397,INDEX(MineNames,Calc!C3397),"")</f>
        <v/>
      </c>
      <c r="C3397" s="17">
        <f>IF(Calc!$B3397,Calc!O3397,"")</f>
        <v/>
      </c>
    </row>
    <row r="3398">
      <c r="A3398" s="16">
        <f>IF(Calc!$B3398,Calc!E3398,"")</f>
        <v/>
      </c>
      <c r="B3398">
        <f>IF(Calc!$B3398,INDEX(MineNames,Calc!C3398),"")</f>
        <v/>
      </c>
      <c r="C3398" s="17">
        <f>IF(Calc!$B3398,Calc!O3398,"")</f>
        <v/>
      </c>
    </row>
    <row r="3399">
      <c r="A3399" s="16">
        <f>IF(Calc!$B3399,Calc!E3399,"")</f>
        <v/>
      </c>
      <c r="B3399">
        <f>IF(Calc!$B3399,INDEX(MineNames,Calc!C3399),"")</f>
        <v/>
      </c>
      <c r="C3399" s="17">
        <f>IF(Calc!$B3399,Calc!O3399,"")</f>
        <v/>
      </c>
    </row>
    <row r="3400">
      <c r="A3400" s="16">
        <f>IF(Calc!$B3400,Calc!E3400,"")</f>
        <v/>
      </c>
      <c r="B3400">
        <f>IF(Calc!$B3400,INDEX(MineNames,Calc!C3400),"")</f>
        <v/>
      </c>
      <c r="C3400" s="17">
        <f>IF(Calc!$B3400,Calc!O3400,"")</f>
        <v/>
      </c>
    </row>
    <row r="3401">
      <c r="A3401" s="16">
        <f>IF(Calc!$B3401,Calc!E3401,"")</f>
        <v/>
      </c>
      <c r="B3401">
        <f>IF(Calc!$B3401,INDEX(MineNames,Calc!C3401),"")</f>
        <v/>
      </c>
      <c r="C3401" s="17">
        <f>IF(Calc!$B3401,Calc!O3401,"")</f>
        <v/>
      </c>
    </row>
    <row r="3402">
      <c r="A3402" s="16">
        <f>IF(Calc!$B3402,Calc!E3402,"")</f>
        <v/>
      </c>
      <c r="B3402">
        <f>IF(Calc!$B3402,INDEX(MineNames,Calc!C3402),"")</f>
        <v/>
      </c>
      <c r="C3402" s="17">
        <f>IF(Calc!$B3402,Calc!O3402,"")</f>
        <v/>
      </c>
    </row>
    <row r="3403">
      <c r="A3403" s="16">
        <f>IF(Calc!$B3403,Calc!E3403,"")</f>
        <v/>
      </c>
      <c r="B3403">
        <f>IF(Calc!$B3403,INDEX(MineNames,Calc!C3403),"")</f>
        <v/>
      </c>
      <c r="C3403" s="17">
        <f>IF(Calc!$B3403,Calc!O3403,"")</f>
        <v/>
      </c>
    </row>
    <row r="3404">
      <c r="A3404" s="16">
        <f>IF(Calc!$B3404,Calc!E3404,"")</f>
        <v/>
      </c>
      <c r="B3404">
        <f>IF(Calc!$B3404,INDEX(MineNames,Calc!C3404),"")</f>
        <v/>
      </c>
      <c r="C3404" s="17">
        <f>IF(Calc!$B3404,Calc!O3404,"")</f>
        <v/>
      </c>
    </row>
    <row r="3405">
      <c r="A3405" s="16">
        <f>IF(Calc!$B3405,Calc!E3405,"")</f>
        <v/>
      </c>
      <c r="B3405">
        <f>IF(Calc!$B3405,INDEX(MineNames,Calc!C3405),"")</f>
        <v/>
      </c>
      <c r="C3405" s="17">
        <f>IF(Calc!$B3405,Calc!O3405,"")</f>
        <v/>
      </c>
    </row>
    <row r="3406">
      <c r="A3406" s="16">
        <f>IF(Calc!$B3406,Calc!E3406,"")</f>
        <v/>
      </c>
      <c r="B3406">
        <f>IF(Calc!$B3406,INDEX(MineNames,Calc!C3406),"")</f>
        <v/>
      </c>
      <c r="C3406" s="17">
        <f>IF(Calc!$B3406,Calc!O3406,"")</f>
        <v/>
      </c>
    </row>
    <row r="3407">
      <c r="A3407" s="16">
        <f>IF(Calc!$B3407,Calc!E3407,"")</f>
        <v/>
      </c>
      <c r="B3407">
        <f>IF(Calc!$B3407,INDEX(MineNames,Calc!C3407),"")</f>
        <v/>
      </c>
      <c r="C3407" s="17">
        <f>IF(Calc!$B3407,Calc!O3407,"")</f>
        <v/>
      </c>
    </row>
    <row r="3408">
      <c r="A3408" s="16">
        <f>IF(Calc!$B3408,Calc!E3408,"")</f>
        <v/>
      </c>
      <c r="B3408">
        <f>IF(Calc!$B3408,INDEX(MineNames,Calc!C3408),"")</f>
        <v/>
      </c>
      <c r="C3408" s="17">
        <f>IF(Calc!$B3408,Calc!O3408,"")</f>
        <v/>
      </c>
    </row>
    <row r="3409">
      <c r="A3409" s="16">
        <f>IF(Calc!$B3409,Calc!E3409,"")</f>
        <v/>
      </c>
      <c r="B3409">
        <f>IF(Calc!$B3409,INDEX(MineNames,Calc!C3409),"")</f>
        <v/>
      </c>
      <c r="C3409" s="17">
        <f>IF(Calc!$B3409,Calc!O3409,"")</f>
        <v/>
      </c>
    </row>
    <row r="3410">
      <c r="A3410" s="16">
        <f>IF(Calc!$B3410,Calc!E3410,"")</f>
        <v/>
      </c>
      <c r="B3410">
        <f>IF(Calc!$B3410,INDEX(MineNames,Calc!C3410),"")</f>
        <v/>
      </c>
      <c r="C3410" s="17">
        <f>IF(Calc!$B3410,Calc!O3410,"")</f>
        <v/>
      </c>
    </row>
    <row r="3411">
      <c r="A3411" s="16">
        <f>IF(Calc!$B3411,Calc!E3411,"")</f>
        <v/>
      </c>
      <c r="B3411">
        <f>IF(Calc!$B3411,INDEX(MineNames,Calc!C3411),"")</f>
        <v/>
      </c>
      <c r="C3411" s="17">
        <f>IF(Calc!$B3411,Calc!O3411,"")</f>
        <v/>
      </c>
    </row>
    <row r="3412">
      <c r="A3412" s="16">
        <f>IF(Calc!$B3412,Calc!E3412,"")</f>
        <v/>
      </c>
      <c r="B3412">
        <f>IF(Calc!$B3412,INDEX(MineNames,Calc!C3412),"")</f>
        <v/>
      </c>
      <c r="C3412" s="17">
        <f>IF(Calc!$B3412,Calc!O3412,"")</f>
        <v/>
      </c>
    </row>
    <row r="3413">
      <c r="A3413" s="16">
        <f>IF(Calc!$B3413,Calc!E3413,"")</f>
        <v/>
      </c>
      <c r="B3413">
        <f>IF(Calc!$B3413,INDEX(MineNames,Calc!C3413),"")</f>
        <v/>
      </c>
      <c r="C3413" s="17">
        <f>IF(Calc!$B3413,Calc!O3413,"")</f>
        <v/>
      </c>
    </row>
    <row r="3414">
      <c r="A3414" s="16">
        <f>IF(Calc!$B3414,Calc!E3414,"")</f>
        <v/>
      </c>
      <c r="B3414">
        <f>IF(Calc!$B3414,INDEX(MineNames,Calc!C3414),"")</f>
        <v/>
      </c>
      <c r="C3414" s="17">
        <f>IF(Calc!$B3414,Calc!O3414,"")</f>
        <v/>
      </c>
    </row>
    <row r="3415">
      <c r="A3415" s="16">
        <f>IF(Calc!$B3415,Calc!E3415,"")</f>
        <v/>
      </c>
      <c r="B3415">
        <f>IF(Calc!$B3415,INDEX(MineNames,Calc!C3415),"")</f>
        <v/>
      </c>
      <c r="C3415" s="17">
        <f>IF(Calc!$B3415,Calc!O3415,"")</f>
        <v/>
      </c>
    </row>
    <row r="3416">
      <c r="A3416" s="16">
        <f>IF(Calc!$B3416,Calc!E3416,"")</f>
        <v/>
      </c>
      <c r="B3416">
        <f>IF(Calc!$B3416,INDEX(MineNames,Calc!C3416),"")</f>
        <v/>
      </c>
      <c r="C3416" s="17">
        <f>IF(Calc!$B3416,Calc!O3416,"")</f>
        <v/>
      </c>
    </row>
    <row r="3417">
      <c r="A3417" s="16">
        <f>IF(Calc!$B3417,Calc!E3417,"")</f>
        <v/>
      </c>
      <c r="B3417">
        <f>IF(Calc!$B3417,INDEX(MineNames,Calc!C3417),"")</f>
        <v/>
      </c>
      <c r="C3417" s="17">
        <f>IF(Calc!$B3417,Calc!O3417,"")</f>
        <v/>
      </c>
    </row>
    <row r="3418">
      <c r="A3418" s="16">
        <f>IF(Calc!$B3418,Calc!E3418,"")</f>
        <v/>
      </c>
      <c r="B3418">
        <f>IF(Calc!$B3418,INDEX(MineNames,Calc!C3418),"")</f>
        <v/>
      </c>
      <c r="C3418" s="17">
        <f>IF(Calc!$B3418,Calc!O3418,"")</f>
        <v/>
      </c>
    </row>
    <row r="3419">
      <c r="A3419" s="16">
        <f>IF(Calc!$B3419,Calc!E3419,"")</f>
        <v/>
      </c>
      <c r="B3419">
        <f>IF(Calc!$B3419,INDEX(MineNames,Calc!C3419),"")</f>
        <v/>
      </c>
      <c r="C3419" s="17">
        <f>IF(Calc!$B3419,Calc!O3419,"")</f>
        <v/>
      </c>
    </row>
    <row r="3420">
      <c r="A3420" s="16">
        <f>IF(Calc!$B3420,Calc!E3420,"")</f>
        <v/>
      </c>
      <c r="B3420">
        <f>IF(Calc!$B3420,INDEX(MineNames,Calc!C3420),"")</f>
        <v/>
      </c>
      <c r="C3420" s="17">
        <f>IF(Calc!$B3420,Calc!O3420,"")</f>
        <v/>
      </c>
    </row>
    <row r="3421">
      <c r="A3421" s="16">
        <f>IF(Calc!$B3421,Calc!E3421,"")</f>
        <v/>
      </c>
      <c r="B3421">
        <f>IF(Calc!$B3421,INDEX(MineNames,Calc!C3421),"")</f>
        <v/>
      </c>
      <c r="C3421" s="17">
        <f>IF(Calc!$B3421,Calc!O3421,"")</f>
        <v/>
      </c>
    </row>
    <row r="3422">
      <c r="A3422" s="16">
        <f>IF(Calc!$B3422,Calc!E3422,"")</f>
        <v/>
      </c>
      <c r="B3422">
        <f>IF(Calc!$B3422,INDEX(MineNames,Calc!C3422),"")</f>
        <v/>
      </c>
      <c r="C3422" s="17">
        <f>IF(Calc!$B3422,Calc!O3422,"")</f>
        <v/>
      </c>
    </row>
    <row r="3423">
      <c r="A3423" s="16">
        <f>IF(Calc!$B3423,Calc!E3423,"")</f>
        <v/>
      </c>
      <c r="B3423">
        <f>IF(Calc!$B3423,INDEX(MineNames,Calc!C3423),"")</f>
        <v/>
      </c>
      <c r="C3423" s="17">
        <f>IF(Calc!$B3423,Calc!O3423,"")</f>
        <v/>
      </c>
    </row>
    <row r="3424">
      <c r="A3424" s="16">
        <f>IF(Calc!$B3424,Calc!E3424,"")</f>
        <v/>
      </c>
      <c r="B3424">
        <f>IF(Calc!$B3424,INDEX(MineNames,Calc!C3424),"")</f>
        <v/>
      </c>
      <c r="C3424" s="17">
        <f>IF(Calc!$B3424,Calc!O3424,"")</f>
        <v/>
      </c>
    </row>
    <row r="3425">
      <c r="A3425" s="16">
        <f>IF(Calc!$B3425,Calc!E3425,"")</f>
        <v/>
      </c>
      <c r="B3425">
        <f>IF(Calc!$B3425,INDEX(MineNames,Calc!C3425),"")</f>
        <v/>
      </c>
      <c r="C3425" s="17">
        <f>IF(Calc!$B3425,Calc!O3425,"")</f>
        <v/>
      </c>
    </row>
    <row r="3426">
      <c r="A3426" s="16">
        <f>IF(Calc!$B3426,Calc!E3426,"")</f>
        <v/>
      </c>
      <c r="B3426">
        <f>IF(Calc!$B3426,INDEX(MineNames,Calc!C3426),"")</f>
        <v/>
      </c>
      <c r="C3426" s="17">
        <f>IF(Calc!$B3426,Calc!O3426,"")</f>
        <v/>
      </c>
    </row>
    <row r="3427">
      <c r="A3427" s="16">
        <f>IF(Calc!$B3427,Calc!E3427,"")</f>
        <v/>
      </c>
      <c r="B3427">
        <f>IF(Calc!$B3427,INDEX(MineNames,Calc!C3427),"")</f>
        <v/>
      </c>
      <c r="C3427" s="17">
        <f>IF(Calc!$B3427,Calc!O3427,"")</f>
        <v/>
      </c>
    </row>
    <row r="3428">
      <c r="A3428" s="16">
        <f>IF(Calc!$B3428,Calc!E3428,"")</f>
        <v/>
      </c>
      <c r="B3428">
        <f>IF(Calc!$B3428,INDEX(MineNames,Calc!C3428),"")</f>
        <v/>
      </c>
      <c r="C3428" s="17">
        <f>IF(Calc!$B3428,Calc!O3428,"")</f>
        <v/>
      </c>
    </row>
    <row r="3429">
      <c r="A3429" s="16">
        <f>IF(Calc!$B3429,Calc!E3429,"")</f>
        <v/>
      </c>
      <c r="B3429">
        <f>IF(Calc!$B3429,INDEX(MineNames,Calc!C3429),"")</f>
        <v/>
      </c>
      <c r="C3429" s="17">
        <f>IF(Calc!$B3429,Calc!O3429,"")</f>
        <v/>
      </c>
    </row>
    <row r="3430">
      <c r="A3430" s="16">
        <f>IF(Calc!$B3430,Calc!E3430,"")</f>
        <v/>
      </c>
      <c r="B3430">
        <f>IF(Calc!$B3430,INDEX(MineNames,Calc!C3430),"")</f>
        <v/>
      </c>
      <c r="C3430" s="17">
        <f>IF(Calc!$B3430,Calc!O3430,"")</f>
        <v/>
      </c>
    </row>
    <row r="3431">
      <c r="A3431" s="16">
        <f>IF(Calc!$B3431,Calc!E3431,"")</f>
        <v/>
      </c>
      <c r="B3431">
        <f>IF(Calc!$B3431,INDEX(MineNames,Calc!C3431),"")</f>
        <v/>
      </c>
      <c r="C3431" s="17">
        <f>IF(Calc!$B3431,Calc!O3431,"")</f>
        <v/>
      </c>
    </row>
    <row r="3432">
      <c r="A3432" s="16">
        <f>IF(Calc!$B3432,Calc!E3432,"")</f>
        <v/>
      </c>
      <c r="B3432">
        <f>IF(Calc!$B3432,INDEX(MineNames,Calc!C3432),"")</f>
        <v/>
      </c>
      <c r="C3432" s="17">
        <f>IF(Calc!$B3432,Calc!O3432,"")</f>
        <v/>
      </c>
    </row>
    <row r="3433">
      <c r="A3433" s="16">
        <f>IF(Calc!$B3433,Calc!E3433,"")</f>
        <v/>
      </c>
      <c r="B3433">
        <f>IF(Calc!$B3433,INDEX(MineNames,Calc!C3433),"")</f>
        <v/>
      </c>
      <c r="C3433" s="17">
        <f>IF(Calc!$B3433,Calc!O3433,"")</f>
        <v/>
      </c>
    </row>
    <row r="3434">
      <c r="A3434" s="16">
        <f>IF(Calc!$B3434,Calc!E3434,"")</f>
        <v/>
      </c>
      <c r="B3434">
        <f>IF(Calc!$B3434,INDEX(MineNames,Calc!C3434),"")</f>
        <v/>
      </c>
      <c r="C3434" s="17">
        <f>IF(Calc!$B3434,Calc!O3434,"")</f>
        <v/>
      </c>
    </row>
    <row r="3435">
      <c r="A3435" s="16">
        <f>IF(Calc!$B3435,Calc!E3435,"")</f>
        <v/>
      </c>
      <c r="B3435">
        <f>IF(Calc!$B3435,INDEX(MineNames,Calc!C3435),"")</f>
        <v/>
      </c>
      <c r="C3435" s="17">
        <f>IF(Calc!$B3435,Calc!O3435,"")</f>
        <v/>
      </c>
    </row>
    <row r="3436">
      <c r="A3436" s="16">
        <f>IF(Calc!$B3436,Calc!E3436,"")</f>
        <v/>
      </c>
      <c r="B3436">
        <f>IF(Calc!$B3436,INDEX(MineNames,Calc!C3436),"")</f>
        <v/>
      </c>
      <c r="C3436" s="17">
        <f>IF(Calc!$B3436,Calc!O3436,"")</f>
        <v/>
      </c>
    </row>
    <row r="3437">
      <c r="A3437" s="16">
        <f>IF(Calc!$B3437,Calc!E3437,"")</f>
        <v/>
      </c>
      <c r="B3437">
        <f>IF(Calc!$B3437,INDEX(MineNames,Calc!C3437),"")</f>
        <v/>
      </c>
      <c r="C3437" s="17">
        <f>IF(Calc!$B3437,Calc!O3437,"")</f>
        <v/>
      </c>
    </row>
    <row r="3438">
      <c r="A3438" s="16">
        <f>IF(Calc!$B3438,Calc!E3438,"")</f>
        <v/>
      </c>
      <c r="B3438">
        <f>IF(Calc!$B3438,INDEX(MineNames,Calc!C3438),"")</f>
        <v/>
      </c>
      <c r="C3438" s="17">
        <f>IF(Calc!$B3438,Calc!O3438,"")</f>
        <v/>
      </c>
    </row>
    <row r="3439">
      <c r="A3439" s="16">
        <f>IF(Calc!$B3439,Calc!E3439,"")</f>
        <v/>
      </c>
      <c r="B3439">
        <f>IF(Calc!$B3439,INDEX(MineNames,Calc!C3439),"")</f>
        <v/>
      </c>
      <c r="C3439" s="17">
        <f>IF(Calc!$B3439,Calc!O3439,"")</f>
        <v/>
      </c>
    </row>
    <row r="3440">
      <c r="A3440" s="16">
        <f>IF(Calc!$B3440,Calc!E3440,"")</f>
        <v/>
      </c>
      <c r="B3440">
        <f>IF(Calc!$B3440,INDEX(MineNames,Calc!C3440),"")</f>
        <v/>
      </c>
      <c r="C3440" s="17">
        <f>IF(Calc!$B3440,Calc!O3440,"")</f>
        <v/>
      </c>
    </row>
    <row r="3441">
      <c r="A3441" s="16">
        <f>IF(Calc!$B3441,Calc!E3441,"")</f>
        <v/>
      </c>
      <c r="B3441">
        <f>IF(Calc!$B3441,INDEX(MineNames,Calc!C3441),"")</f>
        <v/>
      </c>
      <c r="C3441" s="17">
        <f>IF(Calc!$B3441,Calc!O3441,"")</f>
        <v/>
      </c>
    </row>
    <row r="3442">
      <c r="A3442" s="16">
        <f>IF(Calc!$B3442,Calc!E3442,"")</f>
        <v/>
      </c>
      <c r="B3442">
        <f>IF(Calc!$B3442,INDEX(MineNames,Calc!C3442),"")</f>
        <v/>
      </c>
      <c r="C3442" s="17">
        <f>IF(Calc!$B3442,Calc!O3442,"")</f>
        <v/>
      </c>
    </row>
    <row r="3443">
      <c r="A3443" s="16">
        <f>IF(Calc!$B3443,Calc!E3443,"")</f>
        <v/>
      </c>
      <c r="B3443">
        <f>IF(Calc!$B3443,INDEX(MineNames,Calc!C3443),"")</f>
        <v/>
      </c>
      <c r="C3443" s="17">
        <f>IF(Calc!$B3443,Calc!O3443,"")</f>
        <v/>
      </c>
    </row>
    <row r="3444">
      <c r="A3444" s="16">
        <f>IF(Calc!$B3444,Calc!E3444,"")</f>
        <v/>
      </c>
      <c r="B3444">
        <f>IF(Calc!$B3444,INDEX(MineNames,Calc!C3444),"")</f>
        <v/>
      </c>
      <c r="C3444" s="17">
        <f>IF(Calc!$B3444,Calc!O3444,"")</f>
        <v/>
      </c>
    </row>
    <row r="3445">
      <c r="A3445" s="16">
        <f>IF(Calc!$B3445,Calc!E3445,"")</f>
        <v/>
      </c>
      <c r="B3445">
        <f>IF(Calc!$B3445,INDEX(MineNames,Calc!C3445),"")</f>
        <v/>
      </c>
      <c r="C3445" s="17">
        <f>IF(Calc!$B3445,Calc!O3445,"")</f>
        <v/>
      </c>
    </row>
    <row r="3446">
      <c r="A3446" s="16">
        <f>IF(Calc!$B3446,Calc!E3446,"")</f>
        <v/>
      </c>
      <c r="B3446">
        <f>IF(Calc!$B3446,INDEX(MineNames,Calc!C3446),"")</f>
        <v/>
      </c>
      <c r="C3446" s="17">
        <f>IF(Calc!$B3446,Calc!O3446,"")</f>
        <v/>
      </c>
    </row>
    <row r="3447">
      <c r="A3447" s="16">
        <f>IF(Calc!$B3447,Calc!E3447,"")</f>
        <v/>
      </c>
      <c r="B3447">
        <f>IF(Calc!$B3447,INDEX(MineNames,Calc!C3447),"")</f>
        <v/>
      </c>
      <c r="C3447" s="17">
        <f>IF(Calc!$B3447,Calc!O3447,"")</f>
        <v/>
      </c>
    </row>
    <row r="3448">
      <c r="A3448" s="16">
        <f>IF(Calc!$B3448,Calc!E3448,"")</f>
        <v/>
      </c>
      <c r="B3448">
        <f>IF(Calc!$B3448,INDEX(MineNames,Calc!C3448),"")</f>
        <v/>
      </c>
      <c r="C3448" s="17">
        <f>IF(Calc!$B3448,Calc!O3448,"")</f>
        <v/>
      </c>
    </row>
    <row r="3449">
      <c r="A3449" s="16">
        <f>IF(Calc!$B3449,Calc!E3449,"")</f>
        <v/>
      </c>
      <c r="B3449">
        <f>IF(Calc!$B3449,INDEX(MineNames,Calc!C3449),"")</f>
        <v/>
      </c>
      <c r="C3449" s="17">
        <f>IF(Calc!$B3449,Calc!O3449,"")</f>
        <v/>
      </c>
    </row>
    <row r="3450">
      <c r="A3450" s="16">
        <f>IF(Calc!$B3450,Calc!E3450,"")</f>
        <v/>
      </c>
      <c r="B3450">
        <f>IF(Calc!$B3450,INDEX(MineNames,Calc!C3450),"")</f>
        <v/>
      </c>
      <c r="C3450" s="17">
        <f>IF(Calc!$B3450,Calc!O3450,"")</f>
        <v/>
      </c>
    </row>
    <row r="3451">
      <c r="A3451" s="16">
        <f>IF(Calc!$B3451,Calc!E3451,"")</f>
        <v/>
      </c>
      <c r="B3451">
        <f>IF(Calc!$B3451,INDEX(MineNames,Calc!C3451),"")</f>
        <v/>
      </c>
      <c r="C3451" s="17">
        <f>IF(Calc!$B3451,Calc!O3451,"")</f>
        <v/>
      </c>
    </row>
    <row r="3452">
      <c r="A3452" s="16">
        <f>IF(Calc!$B3452,Calc!E3452,"")</f>
        <v/>
      </c>
      <c r="B3452">
        <f>IF(Calc!$B3452,INDEX(MineNames,Calc!C3452),"")</f>
        <v/>
      </c>
      <c r="C3452" s="17">
        <f>IF(Calc!$B3452,Calc!O3452,"")</f>
        <v/>
      </c>
    </row>
    <row r="3453">
      <c r="A3453" s="16">
        <f>IF(Calc!$B3453,Calc!E3453,"")</f>
        <v/>
      </c>
      <c r="B3453">
        <f>IF(Calc!$B3453,INDEX(MineNames,Calc!C3453),"")</f>
        <v/>
      </c>
      <c r="C3453" s="17">
        <f>IF(Calc!$B3453,Calc!O3453,"")</f>
        <v/>
      </c>
    </row>
    <row r="3454">
      <c r="A3454" s="16">
        <f>IF(Calc!$B3454,Calc!E3454,"")</f>
        <v/>
      </c>
      <c r="B3454">
        <f>IF(Calc!$B3454,INDEX(MineNames,Calc!C3454),"")</f>
        <v/>
      </c>
      <c r="C3454" s="17">
        <f>IF(Calc!$B3454,Calc!O3454,"")</f>
        <v/>
      </c>
    </row>
    <row r="3455">
      <c r="A3455" s="16">
        <f>IF(Calc!$B3455,Calc!E3455,"")</f>
        <v/>
      </c>
      <c r="B3455">
        <f>IF(Calc!$B3455,INDEX(MineNames,Calc!C3455),"")</f>
        <v/>
      </c>
      <c r="C3455" s="17">
        <f>IF(Calc!$B3455,Calc!O3455,"")</f>
        <v/>
      </c>
    </row>
    <row r="3456">
      <c r="A3456" s="16">
        <f>IF(Calc!$B3456,Calc!E3456,"")</f>
        <v/>
      </c>
      <c r="B3456">
        <f>IF(Calc!$B3456,INDEX(MineNames,Calc!C3456),"")</f>
        <v/>
      </c>
      <c r="C3456" s="17">
        <f>IF(Calc!$B3456,Calc!O3456,"")</f>
        <v/>
      </c>
    </row>
    <row r="3457">
      <c r="A3457" s="16">
        <f>IF(Calc!$B3457,Calc!E3457,"")</f>
        <v/>
      </c>
      <c r="B3457">
        <f>IF(Calc!$B3457,INDEX(MineNames,Calc!C3457),"")</f>
        <v/>
      </c>
      <c r="C3457" s="17">
        <f>IF(Calc!$B3457,Calc!O3457,"")</f>
        <v/>
      </c>
    </row>
    <row r="3458">
      <c r="A3458" s="16">
        <f>IF(Calc!$B3458,Calc!E3458,"")</f>
        <v/>
      </c>
      <c r="B3458">
        <f>IF(Calc!$B3458,INDEX(MineNames,Calc!C3458),"")</f>
        <v/>
      </c>
      <c r="C3458" s="17">
        <f>IF(Calc!$B3458,Calc!O3458,"")</f>
        <v/>
      </c>
    </row>
    <row r="3459">
      <c r="A3459" s="16">
        <f>IF(Calc!$B3459,Calc!E3459,"")</f>
        <v/>
      </c>
      <c r="B3459">
        <f>IF(Calc!$B3459,INDEX(MineNames,Calc!C3459),"")</f>
        <v/>
      </c>
      <c r="C3459" s="17">
        <f>IF(Calc!$B3459,Calc!O3459,"")</f>
        <v/>
      </c>
    </row>
    <row r="3460">
      <c r="A3460" s="16">
        <f>IF(Calc!$B3460,Calc!E3460,"")</f>
        <v/>
      </c>
      <c r="B3460">
        <f>IF(Calc!$B3460,INDEX(MineNames,Calc!C3460),"")</f>
        <v/>
      </c>
      <c r="C3460" s="17">
        <f>IF(Calc!$B3460,Calc!O3460,"")</f>
        <v/>
      </c>
    </row>
    <row r="3461">
      <c r="A3461" s="16">
        <f>IF(Calc!$B3461,Calc!E3461,"")</f>
        <v/>
      </c>
      <c r="B3461">
        <f>IF(Calc!$B3461,INDEX(MineNames,Calc!C3461),"")</f>
        <v/>
      </c>
      <c r="C3461" s="17">
        <f>IF(Calc!$B3461,Calc!O3461,"")</f>
        <v/>
      </c>
    </row>
    <row r="3462">
      <c r="A3462" s="16">
        <f>IF(Calc!$B3462,Calc!E3462,"")</f>
        <v/>
      </c>
      <c r="B3462">
        <f>IF(Calc!$B3462,INDEX(MineNames,Calc!C3462),"")</f>
        <v/>
      </c>
      <c r="C3462" s="17">
        <f>IF(Calc!$B3462,Calc!O3462,"")</f>
        <v/>
      </c>
    </row>
    <row r="3463">
      <c r="A3463" s="16">
        <f>IF(Calc!$B3463,Calc!E3463,"")</f>
        <v/>
      </c>
      <c r="B3463">
        <f>IF(Calc!$B3463,INDEX(MineNames,Calc!C3463),"")</f>
        <v/>
      </c>
      <c r="C3463" s="17">
        <f>IF(Calc!$B3463,Calc!O3463,"")</f>
        <v/>
      </c>
    </row>
    <row r="3464">
      <c r="A3464" s="16">
        <f>IF(Calc!$B3464,Calc!E3464,"")</f>
        <v/>
      </c>
      <c r="B3464">
        <f>IF(Calc!$B3464,INDEX(MineNames,Calc!C3464),"")</f>
        <v/>
      </c>
      <c r="C3464" s="17">
        <f>IF(Calc!$B3464,Calc!O3464,"")</f>
        <v/>
      </c>
    </row>
    <row r="3465">
      <c r="A3465" s="16">
        <f>IF(Calc!$B3465,Calc!E3465,"")</f>
        <v/>
      </c>
      <c r="B3465">
        <f>IF(Calc!$B3465,INDEX(MineNames,Calc!C3465),"")</f>
        <v/>
      </c>
      <c r="C3465" s="17">
        <f>IF(Calc!$B3465,Calc!O3465,"")</f>
        <v/>
      </c>
    </row>
    <row r="3466">
      <c r="A3466" s="16">
        <f>IF(Calc!$B3466,Calc!E3466,"")</f>
        <v/>
      </c>
      <c r="B3466">
        <f>IF(Calc!$B3466,INDEX(MineNames,Calc!C3466),"")</f>
        <v/>
      </c>
      <c r="C3466" s="17">
        <f>IF(Calc!$B3466,Calc!O3466,"")</f>
        <v/>
      </c>
    </row>
    <row r="3467">
      <c r="A3467" s="16">
        <f>IF(Calc!$B3467,Calc!E3467,"")</f>
        <v/>
      </c>
      <c r="B3467">
        <f>IF(Calc!$B3467,INDEX(MineNames,Calc!C3467),"")</f>
        <v/>
      </c>
      <c r="C3467" s="17">
        <f>IF(Calc!$B3467,Calc!O3467,"")</f>
        <v/>
      </c>
    </row>
    <row r="3468">
      <c r="A3468" s="16">
        <f>IF(Calc!$B3468,Calc!E3468,"")</f>
        <v/>
      </c>
      <c r="B3468">
        <f>IF(Calc!$B3468,INDEX(MineNames,Calc!C3468),"")</f>
        <v/>
      </c>
      <c r="C3468" s="17">
        <f>IF(Calc!$B3468,Calc!O3468,"")</f>
        <v/>
      </c>
    </row>
    <row r="3469">
      <c r="A3469" s="16">
        <f>IF(Calc!$B3469,Calc!E3469,"")</f>
        <v/>
      </c>
      <c r="B3469">
        <f>IF(Calc!$B3469,INDEX(MineNames,Calc!C3469),"")</f>
        <v/>
      </c>
      <c r="C3469" s="17">
        <f>IF(Calc!$B3469,Calc!O3469,"")</f>
        <v/>
      </c>
    </row>
    <row r="3470">
      <c r="A3470" s="16">
        <f>IF(Calc!$B3470,Calc!E3470,"")</f>
        <v/>
      </c>
      <c r="B3470">
        <f>IF(Calc!$B3470,INDEX(MineNames,Calc!C3470),"")</f>
        <v/>
      </c>
      <c r="C3470" s="17">
        <f>IF(Calc!$B3470,Calc!O3470,"")</f>
        <v/>
      </c>
    </row>
    <row r="3471">
      <c r="A3471" s="16">
        <f>IF(Calc!$B3471,Calc!E3471,"")</f>
        <v/>
      </c>
      <c r="B3471">
        <f>IF(Calc!$B3471,INDEX(MineNames,Calc!C3471),"")</f>
        <v/>
      </c>
      <c r="C3471" s="17">
        <f>IF(Calc!$B3471,Calc!O3471,"")</f>
        <v/>
      </c>
    </row>
    <row r="3472">
      <c r="A3472" s="16">
        <f>IF(Calc!$B3472,Calc!E3472,"")</f>
        <v/>
      </c>
      <c r="B3472">
        <f>IF(Calc!$B3472,INDEX(MineNames,Calc!C3472),"")</f>
        <v/>
      </c>
      <c r="C3472" s="17">
        <f>IF(Calc!$B3472,Calc!O3472,"")</f>
        <v/>
      </c>
    </row>
    <row r="3473">
      <c r="A3473" s="16">
        <f>IF(Calc!$B3473,Calc!E3473,"")</f>
        <v/>
      </c>
      <c r="B3473">
        <f>IF(Calc!$B3473,INDEX(MineNames,Calc!C3473),"")</f>
        <v/>
      </c>
      <c r="C3473" s="17">
        <f>IF(Calc!$B3473,Calc!O3473,"")</f>
        <v/>
      </c>
    </row>
    <row r="3474">
      <c r="A3474" s="16">
        <f>IF(Calc!$B3474,Calc!E3474,"")</f>
        <v/>
      </c>
      <c r="B3474">
        <f>IF(Calc!$B3474,INDEX(MineNames,Calc!C3474),"")</f>
        <v/>
      </c>
      <c r="C3474" s="17">
        <f>IF(Calc!$B3474,Calc!O3474,"")</f>
        <v/>
      </c>
    </row>
    <row r="3475">
      <c r="A3475" s="16">
        <f>IF(Calc!$B3475,Calc!E3475,"")</f>
        <v/>
      </c>
      <c r="B3475">
        <f>IF(Calc!$B3475,INDEX(MineNames,Calc!C3475),"")</f>
        <v/>
      </c>
      <c r="C3475" s="17">
        <f>IF(Calc!$B3475,Calc!O3475,"")</f>
        <v/>
      </c>
    </row>
    <row r="3476">
      <c r="A3476" s="16">
        <f>IF(Calc!$B3476,Calc!E3476,"")</f>
        <v/>
      </c>
      <c r="B3476">
        <f>IF(Calc!$B3476,INDEX(MineNames,Calc!C3476),"")</f>
        <v/>
      </c>
      <c r="C3476" s="17">
        <f>IF(Calc!$B3476,Calc!O3476,"")</f>
        <v/>
      </c>
    </row>
    <row r="3477">
      <c r="A3477" s="16">
        <f>IF(Calc!$B3477,Calc!E3477,"")</f>
        <v/>
      </c>
      <c r="B3477">
        <f>IF(Calc!$B3477,INDEX(MineNames,Calc!C3477),"")</f>
        <v/>
      </c>
      <c r="C3477" s="17">
        <f>IF(Calc!$B3477,Calc!O3477,"")</f>
        <v/>
      </c>
    </row>
    <row r="3478">
      <c r="A3478" s="16">
        <f>IF(Calc!$B3478,Calc!E3478,"")</f>
        <v/>
      </c>
      <c r="B3478">
        <f>IF(Calc!$B3478,INDEX(MineNames,Calc!C3478),"")</f>
        <v/>
      </c>
      <c r="C3478" s="17">
        <f>IF(Calc!$B3478,Calc!O3478,"")</f>
        <v/>
      </c>
    </row>
    <row r="3479">
      <c r="A3479" s="16">
        <f>IF(Calc!$B3479,Calc!E3479,"")</f>
        <v/>
      </c>
      <c r="B3479">
        <f>IF(Calc!$B3479,INDEX(MineNames,Calc!C3479),"")</f>
        <v/>
      </c>
      <c r="C3479" s="17">
        <f>IF(Calc!$B3479,Calc!O3479,"")</f>
        <v/>
      </c>
    </row>
    <row r="3480">
      <c r="A3480" s="16">
        <f>IF(Calc!$B3480,Calc!E3480,"")</f>
        <v/>
      </c>
      <c r="B3480">
        <f>IF(Calc!$B3480,INDEX(MineNames,Calc!C3480),"")</f>
        <v/>
      </c>
      <c r="C3480" s="17">
        <f>IF(Calc!$B3480,Calc!O3480,"")</f>
        <v/>
      </c>
    </row>
    <row r="3481">
      <c r="A3481" s="16">
        <f>IF(Calc!$B3481,Calc!E3481,"")</f>
        <v/>
      </c>
      <c r="B3481">
        <f>IF(Calc!$B3481,INDEX(MineNames,Calc!C3481),"")</f>
        <v/>
      </c>
      <c r="C3481" s="17">
        <f>IF(Calc!$B3481,Calc!O3481,"")</f>
        <v/>
      </c>
    </row>
    <row r="3482">
      <c r="A3482" s="16">
        <f>IF(Calc!$B3482,Calc!E3482,"")</f>
        <v/>
      </c>
      <c r="B3482">
        <f>IF(Calc!$B3482,INDEX(MineNames,Calc!C3482),"")</f>
        <v/>
      </c>
      <c r="C3482" s="17">
        <f>IF(Calc!$B3482,Calc!O3482,"")</f>
        <v/>
      </c>
    </row>
    <row r="3483">
      <c r="A3483" s="16">
        <f>IF(Calc!$B3483,Calc!E3483,"")</f>
        <v/>
      </c>
      <c r="B3483">
        <f>IF(Calc!$B3483,INDEX(MineNames,Calc!C3483),"")</f>
        <v/>
      </c>
      <c r="C3483" s="17">
        <f>IF(Calc!$B3483,Calc!O3483,"")</f>
        <v/>
      </c>
    </row>
    <row r="3484">
      <c r="A3484" s="16">
        <f>IF(Calc!$B3484,Calc!E3484,"")</f>
        <v/>
      </c>
      <c r="B3484">
        <f>IF(Calc!$B3484,INDEX(MineNames,Calc!C3484),"")</f>
        <v/>
      </c>
      <c r="C3484" s="17">
        <f>IF(Calc!$B3484,Calc!O3484,"")</f>
        <v/>
      </c>
    </row>
    <row r="3485">
      <c r="A3485" s="16">
        <f>IF(Calc!$B3485,Calc!E3485,"")</f>
        <v/>
      </c>
      <c r="B3485">
        <f>IF(Calc!$B3485,INDEX(MineNames,Calc!C3485),"")</f>
        <v/>
      </c>
      <c r="C3485" s="17">
        <f>IF(Calc!$B3485,Calc!O3485,"")</f>
        <v/>
      </c>
    </row>
    <row r="3486">
      <c r="A3486" s="16">
        <f>IF(Calc!$B3486,Calc!E3486,"")</f>
        <v/>
      </c>
      <c r="B3486">
        <f>IF(Calc!$B3486,INDEX(MineNames,Calc!C3486),"")</f>
        <v/>
      </c>
      <c r="C3486" s="17">
        <f>IF(Calc!$B3486,Calc!O3486,"")</f>
        <v/>
      </c>
    </row>
    <row r="3487">
      <c r="A3487" s="16">
        <f>IF(Calc!$B3487,Calc!E3487,"")</f>
        <v/>
      </c>
      <c r="B3487">
        <f>IF(Calc!$B3487,INDEX(MineNames,Calc!C3487),"")</f>
        <v/>
      </c>
      <c r="C3487" s="17">
        <f>IF(Calc!$B3487,Calc!O3487,"")</f>
        <v/>
      </c>
    </row>
    <row r="3488">
      <c r="A3488" s="16">
        <f>IF(Calc!$B3488,Calc!E3488,"")</f>
        <v/>
      </c>
      <c r="B3488">
        <f>IF(Calc!$B3488,INDEX(MineNames,Calc!C3488),"")</f>
        <v/>
      </c>
      <c r="C3488" s="17">
        <f>IF(Calc!$B3488,Calc!O3488,"")</f>
        <v/>
      </c>
    </row>
    <row r="3489">
      <c r="A3489" s="16">
        <f>IF(Calc!$B3489,Calc!E3489,"")</f>
        <v/>
      </c>
      <c r="B3489">
        <f>IF(Calc!$B3489,INDEX(MineNames,Calc!C3489),"")</f>
        <v/>
      </c>
      <c r="C3489" s="17">
        <f>IF(Calc!$B3489,Calc!O3489,"")</f>
        <v/>
      </c>
    </row>
    <row r="3490">
      <c r="A3490" s="16">
        <f>IF(Calc!$B3490,Calc!E3490,"")</f>
        <v/>
      </c>
      <c r="B3490">
        <f>IF(Calc!$B3490,INDEX(MineNames,Calc!C3490),"")</f>
        <v/>
      </c>
      <c r="C3490" s="17">
        <f>IF(Calc!$B3490,Calc!O3490,"")</f>
        <v/>
      </c>
    </row>
    <row r="3491">
      <c r="A3491" s="16">
        <f>IF(Calc!$B3491,Calc!E3491,"")</f>
        <v/>
      </c>
      <c r="B3491">
        <f>IF(Calc!$B3491,INDEX(MineNames,Calc!C3491),"")</f>
        <v/>
      </c>
      <c r="C3491" s="17">
        <f>IF(Calc!$B3491,Calc!O3491,"")</f>
        <v/>
      </c>
    </row>
    <row r="3492">
      <c r="A3492" s="16">
        <f>IF(Calc!$B3492,Calc!E3492,"")</f>
        <v/>
      </c>
      <c r="B3492">
        <f>IF(Calc!$B3492,INDEX(MineNames,Calc!C3492),"")</f>
        <v/>
      </c>
      <c r="C3492" s="17">
        <f>IF(Calc!$B3492,Calc!O3492,"")</f>
        <v/>
      </c>
    </row>
    <row r="3493">
      <c r="A3493" s="16">
        <f>IF(Calc!$B3493,Calc!E3493,"")</f>
        <v/>
      </c>
      <c r="B3493">
        <f>IF(Calc!$B3493,INDEX(MineNames,Calc!C3493),"")</f>
        <v/>
      </c>
      <c r="C3493" s="17">
        <f>IF(Calc!$B3493,Calc!O3493,"")</f>
        <v/>
      </c>
    </row>
    <row r="3494">
      <c r="A3494" s="16">
        <f>IF(Calc!$B3494,Calc!E3494,"")</f>
        <v/>
      </c>
      <c r="B3494">
        <f>IF(Calc!$B3494,INDEX(MineNames,Calc!C3494),"")</f>
        <v/>
      </c>
      <c r="C3494" s="17">
        <f>IF(Calc!$B3494,Calc!O3494,"")</f>
        <v/>
      </c>
    </row>
    <row r="3495">
      <c r="A3495" s="16">
        <f>IF(Calc!$B3495,Calc!E3495,"")</f>
        <v/>
      </c>
      <c r="B3495">
        <f>IF(Calc!$B3495,INDEX(MineNames,Calc!C3495),"")</f>
        <v/>
      </c>
      <c r="C3495" s="17">
        <f>IF(Calc!$B3495,Calc!O3495,"")</f>
        <v/>
      </c>
    </row>
    <row r="3496">
      <c r="A3496" s="16">
        <f>IF(Calc!$B3496,Calc!E3496,"")</f>
        <v/>
      </c>
      <c r="B3496">
        <f>IF(Calc!$B3496,INDEX(MineNames,Calc!C3496),"")</f>
        <v/>
      </c>
      <c r="C3496" s="17">
        <f>IF(Calc!$B3496,Calc!O3496,"")</f>
        <v/>
      </c>
    </row>
    <row r="3497">
      <c r="A3497" s="16">
        <f>IF(Calc!$B3497,Calc!E3497,"")</f>
        <v/>
      </c>
      <c r="B3497">
        <f>IF(Calc!$B3497,INDEX(MineNames,Calc!C3497),"")</f>
        <v/>
      </c>
      <c r="C3497" s="17">
        <f>IF(Calc!$B3497,Calc!O3497,"")</f>
        <v/>
      </c>
    </row>
    <row r="3498">
      <c r="A3498" s="16">
        <f>IF(Calc!$B3498,Calc!E3498,"")</f>
        <v/>
      </c>
      <c r="B3498">
        <f>IF(Calc!$B3498,INDEX(MineNames,Calc!C3498),"")</f>
        <v/>
      </c>
      <c r="C3498" s="17">
        <f>IF(Calc!$B3498,Calc!O3498,"")</f>
        <v/>
      </c>
    </row>
    <row r="3499">
      <c r="A3499" s="16">
        <f>IF(Calc!$B3499,Calc!E3499,"")</f>
        <v/>
      </c>
      <c r="B3499">
        <f>IF(Calc!$B3499,INDEX(MineNames,Calc!C3499),"")</f>
        <v/>
      </c>
      <c r="C3499" s="17">
        <f>IF(Calc!$B3499,Calc!O3499,"")</f>
        <v/>
      </c>
    </row>
    <row r="3500">
      <c r="A3500" s="16">
        <f>IF(Calc!$B3500,Calc!E3500,"")</f>
        <v/>
      </c>
      <c r="B3500">
        <f>IF(Calc!$B3500,INDEX(MineNames,Calc!C3500),"")</f>
        <v/>
      </c>
      <c r="C3500" s="17">
        <f>IF(Calc!$B3500,Calc!O3500,"")</f>
        <v/>
      </c>
    </row>
    <row r="3501">
      <c r="A3501" s="16">
        <f>IF(Calc!$B3501,Calc!E3501,"")</f>
        <v/>
      </c>
      <c r="B3501">
        <f>IF(Calc!$B3501,INDEX(MineNames,Calc!C3501),"")</f>
        <v/>
      </c>
      <c r="C3501" s="17">
        <f>IF(Calc!$B3501,Calc!O3501,"")</f>
        <v/>
      </c>
    </row>
    <row r="3502">
      <c r="A3502" s="16">
        <f>IF(Calc!$B3502,Calc!E3502,"")</f>
        <v/>
      </c>
      <c r="B3502">
        <f>IF(Calc!$B3502,INDEX(MineNames,Calc!C3502),"")</f>
        <v/>
      </c>
      <c r="C3502" s="17">
        <f>IF(Calc!$B3502,Calc!O3502,"")</f>
        <v/>
      </c>
    </row>
    <row r="3503">
      <c r="A3503" s="16">
        <f>IF(Calc!$B3503,Calc!E3503,"")</f>
        <v/>
      </c>
      <c r="B3503">
        <f>IF(Calc!$B3503,INDEX(MineNames,Calc!C3503),"")</f>
        <v/>
      </c>
      <c r="C3503" s="17">
        <f>IF(Calc!$B3503,Calc!O3503,"")</f>
        <v/>
      </c>
    </row>
    <row r="3504">
      <c r="A3504" s="16">
        <f>IF(Calc!$B3504,Calc!E3504,"")</f>
        <v/>
      </c>
      <c r="B3504">
        <f>IF(Calc!$B3504,INDEX(MineNames,Calc!C3504),"")</f>
        <v/>
      </c>
      <c r="C3504" s="17">
        <f>IF(Calc!$B3504,Calc!O3504,"")</f>
        <v/>
      </c>
    </row>
    <row r="3505">
      <c r="A3505" s="16">
        <f>IF(Calc!$B3505,Calc!E3505,"")</f>
        <v/>
      </c>
      <c r="B3505">
        <f>IF(Calc!$B3505,INDEX(MineNames,Calc!C3505),"")</f>
        <v/>
      </c>
      <c r="C3505" s="17">
        <f>IF(Calc!$B3505,Calc!O3505,"")</f>
        <v/>
      </c>
    </row>
    <row r="3506">
      <c r="A3506" s="16">
        <f>IF(Calc!$B3506,Calc!E3506,"")</f>
        <v/>
      </c>
      <c r="B3506">
        <f>IF(Calc!$B3506,INDEX(MineNames,Calc!C3506),"")</f>
        <v/>
      </c>
      <c r="C3506" s="17">
        <f>IF(Calc!$B3506,Calc!O3506,"")</f>
        <v/>
      </c>
    </row>
    <row r="3507">
      <c r="A3507" s="16">
        <f>IF(Calc!$B3507,Calc!E3507,"")</f>
        <v/>
      </c>
      <c r="B3507">
        <f>IF(Calc!$B3507,INDEX(MineNames,Calc!C3507),"")</f>
        <v/>
      </c>
      <c r="C3507" s="17">
        <f>IF(Calc!$B3507,Calc!O3507,"")</f>
        <v/>
      </c>
    </row>
    <row r="3508">
      <c r="A3508" s="16">
        <f>IF(Calc!$B3508,Calc!E3508,"")</f>
        <v/>
      </c>
      <c r="B3508">
        <f>IF(Calc!$B3508,INDEX(MineNames,Calc!C3508),"")</f>
        <v/>
      </c>
      <c r="C3508" s="17">
        <f>IF(Calc!$B3508,Calc!O3508,"")</f>
        <v/>
      </c>
    </row>
    <row r="3509">
      <c r="A3509" s="16">
        <f>IF(Calc!$B3509,Calc!E3509,"")</f>
        <v/>
      </c>
      <c r="B3509">
        <f>IF(Calc!$B3509,INDEX(MineNames,Calc!C3509),"")</f>
        <v/>
      </c>
      <c r="C3509" s="17">
        <f>IF(Calc!$B3509,Calc!O3509,"")</f>
        <v/>
      </c>
    </row>
    <row r="3510">
      <c r="A3510" s="16">
        <f>IF(Calc!$B3510,Calc!E3510,"")</f>
        <v/>
      </c>
      <c r="B3510">
        <f>IF(Calc!$B3510,INDEX(MineNames,Calc!C3510),"")</f>
        <v/>
      </c>
      <c r="C3510" s="17">
        <f>IF(Calc!$B3510,Calc!O3510,"")</f>
        <v/>
      </c>
    </row>
    <row r="3511">
      <c r="A3511" s="16">
        <f>IF(Calc!$B3511,Calc!E3511,"")</f>
        <v/>
      </c>
      <c r="B3511">
        <f>IF(Calc!$B3511,INDEX(MineNames,Calc!C3511),"")</f>
        <v/>
      </c>
      <c r="C3511" s="17">
        <f>IF(Calc!$B3511,Calc!O3511,"")</f>
        <v/>
      </c>
    </row>
    <row r="3512">
      <c r="A3512" s="16">
        <f>IF(Calc!$B3512,Calc!E3512,"")</f>
        <v/>
      </c>
      <c r="B3512">
        <f>IF(Calc!$B3512,INDEX(MineNames,Calc!C3512),"")</f>
        <v/>
      </c>
      <c r="C3512" s="17">
        <f>IF(Calc!$B3512,Calc!O3512,"")</f>
        <v/>
      </c>
    </row>
    <row r="3513">
      <c r="A3513" s="16">
        <f>IF(Calc!$B3513,Calc!E3513,"")</f>
        <v/>
      </c>
      <c r="B3513">
        <f>IF(Calc!$B3513,INDEX(MineNames,Calc!C3513),"")</f>
        <v/>
      </c>
      <c r="C3513" s="17">
        <f>IF(Calc!$B3513,Calc!O3513,"")</f>
        <v/>
      </c>
    </row>
    <row r="3514">
      <c r="A3514" s="16">
        <f>IF(Calc!$B3514,Calc!E3514,"")</f>
        <v/>
      </c>
      <c r="B3514">
        <f>IF(Calc!$B3514,INDEX(MineNames,Calc!C3514),"")</f>
        <v/>
      </c>
      <c r="C3514" s="17">
        <f>IF(Calc!$B3514,Calc!O3514,"")</f>
        <v/>
      </c>
    </row>
    <row r="3515">
      <c r="A3515" s="16">
        <f>IF(Calc!$B3515,Calc!E3515,"")</f>
        <v/>
      </c>
      <c r="B3515">
        <f>IF(Calc!$B3515,INDEX(MineNames,Calc!C3515),"")</f>
        <v/>
      </c>
      <c r="C3515" s="17">
        <f>IF(Calc!$B3515,Calc!O3515,"")</f>
        <v/>
      </c>
    </row>
    <row r="3516">
      <c r="A3516" s="16">
        <f>IF(Calc!$B3516,Calc!E3516,"")</f>
        <v/>
      </c>
      <c r="B3516">
        <f>IF(Calc!$B3516,INDEX(MineNames,Calc!C3516),"")</f>
        <v/>
      </c>
      <c r="C3516" s="17">
        <f>IF(Calc!$B3516,Calc!O3516,"")</f>
        <v/>
      </c>
    </row>
    <row r="3517">
      <c r="A3517" s="16">
        <f>IF(Calc!$B3517,Calc!E3517,"")</f>
        <v/>
      </c>
      <c r="B3517">
        <f>IF(Calc!$B3517,INDEX(MineNames,Calc!C3517),"")</f>
        <v/>
      </c>
      <c r="C3517" s="17">
        <f>IF(Calc!$B3517,Calc!O3517,"")</f>
        <v/>
      </c>
    </row>
    <row r="3518">
      <c r="A3518" s="16">
        <f>IF(Calc!$B3518,Calc!E3518,"")</f>
        <v/>
      </c>
      <c r="B3518">
        <f>IF(Calc!$B3518,INDEX(MineNames,Calc!C3518),"")</f>
        <v/>
      </c>
      <c r="C3518" s="17">
        <f>IF(Calc!$B3518,Calc!O3518,"")</f>
        <v/>
      </c>
    </row>
    <row r="3519">
      <c r="A3519" s="16">
        <f>IF(Calc!$B3519,Calc!E3519,"")</f>
        <v/>
      </c>
      <c r="B3519">
        <f>IF(Calc!$B3519,INDEX(MineNames,Calc!C3519),"")</f>
        <v/>
      </c>
      <c r="C3519" s="17">
        <f>IF(Calc!$B3519,Calc!O3519,"")</f>
        <v/>
      </c>
    </row>
    <row r="3520">
      <c r="A3520" s="16">
        <f>IF(Calc!$B3520,Calc!E3520,"")</f>
        <v/>
      </c>
      <c r="B3520">
        <f>IF(Calc!$B3520,INDEX(MineNames,Calc!C3520),"")</f>
        <v/>
      </c>
      <c r="C3520" s="17">
        <f>IF(Calc!$B3520,Calc!O3520,"")</f>
        <v/>
      </c>
    </row>
    <row r="3521">
      <c r="A3521" s="16">
        <f>IF(Calc!$B3521,Calc!E3521,"")</f>
        <v/>
      </c>
      <c r="B3521">
        <f>IF(Calc!$B3521,INDEX(MineNames,Calc!C3521),"")</f>
        <v/>
      </c>
      <c r="C3521" s="17">
        <f>IF(Calc!$B3521,Calc!O3521,"")</f>
        <v/>
      </c>
    </row>
    <row r="3522">
      <c r="A3522" s="16">
        <f>IF(Calc!$B3522,Calc!E3522,"")</f>
        <v/>
      </c>
      <c r="B3522">
        <f>IF(Calc!$B3522,INDEX(MineNames,Calc!C3522),"")</f>
        <v/>
      </c>
      <c r="C3522" s="17">
        <f>IF(Calc!$B3522,Calc!O3522,"")</f>
        <v/>
      </c>
    </row>
    <row r="3523">
      <c r="A3523" s="16">
        <f>IF(Calc!$B3523,Calc!E3523,"")</f>
        <v/>
      </c>
      <c r="B3523">
        <f>IF(Calc!$B3523,INDEX(MineNames,Calc!C3523),"")</f>
        <v/>
      </c>
      <c r="C3523" s="17">
        <f>IF(Calc!$B3523,Calc!O3523,"")</f>
        <v/>
      </c>
    </row>
    <row r="3524">
      <c r="A3524" s="16">
        <f>IF(Calc!$B3524,Calc!E3524,"")</f>
        <v/>
      </c>
      <c r="B3524">
        <f>IF(Calc!$B3524,INDEX(MineNames,Calc!C3524),"")</f>
        <v/>
      </c>
      <c r="C3524" s="17">
        <f>IF(Calc!$B3524,Calc!O3524,"")</f>
        <v/>
      </c>
    </row>
    <row r="3525">
      <c r="A3525" s="16">
        <f>IF(Calc!$B3525,Calc!E3525,"")</f>
        <v/>
      </c>
      <c r="B3525">
        <f>IF(Calc!$B3525,INDEX(MineNames,Calc!C3525),"")</f>
        <v/>
      </c>
      <c r="C3525" s="17">
        <f>IF(Calc!$B3525,Calc!O3525,"")</f>
        <v/>
      </c>
    </row>
    <row r="3526">
      <c r="A3526" s="16">
        <f>IF(Calc!$B3526,Calc!E3526,"")</f>
        <v/>
      </c>
      <c r="B3526">
        <f>IF(Calc!$B3526,INDEX(MineNames,Calc!C3526),"")</f>
        <v/>
      </c>
      <c r="C3526" s="17">
        <f>IF(Calc!$B3526,Calc!O3526,"")</f>
        <v/>
      </c>
    </row>
    <row r="3527">
      <c r="A3527" s="16">
        <f>IF(Calc!$B3527,Calc!E3527,"")</f>
        <v/>
      </c>
      <c r="B3527">
        <f>IF(Calc!$B3527,INDEX(MineNames,Calc!C3527),"")</f>
        <v/>
      </c>
      <c r="C3527" s="17">
        <f>IF(Calc!$B3527,Calc!O3527,"")</f>
        <v/>
      </c>
    </row>
    <row r="3528">
      <c r="A3528" s="16">
        <f>IF(Calc!$B3528,Calc!E3528,"")</f>
        <v/>
      </c>
      <c r="B3528">
        <f>IF(Calc!$B3528,INDEX(MineNames,Calc!C3528),"")</f>
        <v/>
      </c>
      <c r="C3528" s="17">
        <f>IF(Calc!$B3528,Calc!O3528,"")</f>
        <v/>
      </c>
    </row>
    <row r="3529">
      <c r="A3529" s="16">
        <f>IF(Calc!$B3529,Calc!E3529,"")</f>
        <v/>
      </c>
      <c r="B3529">
        <f>IF(Calc!$B3529,INDEX(MineNames,Calc!C3529),"")</f>
        <v/>
      </c>
      <c r="C3529" s="17">
        <f>IF(Calc!$B3529,Calc!O3529,"")</f>
        <v/>
      </c>
    </row>
    <row r="3530">
      <c r="A3530" s="16">
        <f>IF(Calc!$B3530,Calc!E3530,"")</f>
        <v/>
      </c>
      <c r="B3530">
        <f>IF(Calc!$B3530,INDEX(MineNames,Calc!C3530),"")</f>
        <v/>
      </c>
      <c r="C3530" s="17">
        <f>IF(Calc!$B3530,Calc!O3530,"")</f>
        <v/>
      </c>
    </row>
    <row r="3531">
      <c r="A3531" s="16">
        <f>IF(Calc!$B3531,Calc!E3531,"")</f>
        <v/>
      </c>
      <c r="B3531">
        <f>IF(Calc!$B3531,INDEX(MineNames,Calc!C3531),"")</f>
        <v/>
      </c>
      <c r="C3531" s="17">
        <f>IF(Calc!$B3531,Calc!O3531,"")</f>
        <v/>
      </c>
    </row>
    <row r="3532">
      <c r="A3532" s="16">
        <f>IF(Calc!$B3532,Calc!E3532,"")</f>
        <v/>
      </c>
      <c r="B3532">
        <f>IF(Calc!$B3532,INDEX(MineNames,Calc!C3532),"")</f>
        <v/>
      </c>
      <c r="C3532" s="17">
        <f>IF(Calc!$B3532,Calc!O3532,"")</f>
        <v/>
      </c>
    </row>
    <row r="3533">
      <c r="A3533" s="16">
        <f>IF(Calc!$B3533,Calc!E3533,"")</f>
        <v/>
      </c>
      <c r="B3533">
        <f>IF(Calc!$B3533,INDEX(MineNames,Calc!C3533),"")</f>
        <v/>
      </c>
      <c r="C3533" s="17">
        <f>IF(Calc!$B3533,Calc!O3533,"")</f>
        <v/>
      </c>
    </row>
    <row r="3534">
      <c r="A3534" s="16">
        <f>IF(Calc!$B3534,Calc!E3534,"")</f>
        <v/>
      </c>
      <c r="B3534">
        <f>IF(Calc!$B3534,INDEX(MineNames,Calc!C3534),"")</f>
        <v/>
      </c>
      <c r="C3534" s="17">
        <f>IF(Calc!$B3534,Calc!O3534,"")</f>
        <v/>
      </c>
    </row>
    <row r="3535">
      <c r="A3535" s="16">
        <f>IF(Calc!$B3535,Calc!E3535,"")</f>
        <v/>
      </c>
      <c r="B3535">
        <f>IF(Calc!$B3535,INDEX(MineNames,Calc!C3535),"")</f>
        <v/>
      </c>
      <c r="C3535" s="17">
        <f>IF(Calc!$B3535,Calc!O3535,"")</f>
        <v/>
      </c>
    </row>
    <row r="3536">
      <c r="A3536" s="16">
        <f>IF(Calc!$B3536,Calc!E3536,"")</f>
        <v/>
      </c>
      <c r="B3536">
        <f>IF(Calc!$B3536,INDEX(MineNames,Calc!C3536),"")</f>
        <v/>
      </c>
      <c r="C3536" s="17">
        <f>IF(Calc!$B3536,Calc!O3536,"")</f>
        <v/>
      </c>
    </row>
    <row r="3537">
      <c r="A3537" s="16">
        <f>IF(Calc!$B3537,Calc!E3537,"")</f>
        <v/>
      </c>
      <c r="B3537">
        <f>IF(Calc!$B3537,INDEX(MineNames,Calc!C3537),"")</f>
        <v/>
      </c>
      <c r="C3537" s="17">
        <f>IF(Calc!$B3537,Calc!O3537,"")</f>
        <v/>
      </c>
    </row>
    <row r="3538">
      <c r="A3538" s="16">
        <f>IF(Calc!$B3538,Calc!E3538,"")</f>
        <v/>
      </c>
      <c r="B3538">
        <f>IF(Calc!$B3538,INDEX(MineNames,Calc!C3538),"")</f>
        <v/>
      </c>
      <c r="C3538" s="17">
        <f>IF(Calc!$B3538,Calc!O3538,"")</f>
        <v/>
      </c>
    </row>
    <row r="3539">
      <c r="A3539" s="16">
        <f>IF(Calc!$B3539,Calc!E3539,"")</f>
        <v/>
      </c>
      <c r="B3539">
        <f>IF(Calc!$B3539,INDEX(MineNames,Calc!C3539),"")</f>
        <v/>
      </c>
      <c r="C3539" s="17">
        <f>IF(Calc!$B3539,Calc!O3539,"")</f>
        <v/>
      </c>
    </row>
    <row r="3540">
      <c r="A3540" s="16">
        <f>IF(Calc!$B3540,Calc!E3540,"")</f>
        <v/>
      </c>
      <c r="B3540">
        <f>IF(Calc!$B3540,INDEX(MineNames,Calc!C3540),"")</f>
        <v/>
      </c>
      <c r="C3540" s="17">
        <f>IF(Calc!$B3540,Calc!O3540,"")</f>
        <v/>
      </c>
    </row>
    <row r="3541">
      <c r="A3541" s="16">
        <f>IF(Calc!$B3541,Calc!E3541,"")</f>
        <v/>
      </c>
      <c r="B3541">
        <f>IF(Calc!$B3541,INDEX(MineNames,Calc!C3541),"")</f>
        <v/>
      </c>
      <c r="C3541" s="17">
        <f>IF(Calc!$B3541,Calc!O3541,"")</f>
        <v/>
      </c>
    </row>
    <row r="3542">
      <c r="A3542" s="16">
        <f>IF(Calc!$B3542,Calc!E3542,"")</f>
        <v/>
      </c>
      <c r="B3542">
        <f>IF(Calc!$B3542,INDEX(MineNames,Calc!C3542),"")</f>
        <v/>
      </c>
      <c r="C3542" s="17">
        <f>IF(Calc!$B3542,Calc!O3542,"")</f>
        <v/>
      </c>
    </row>
    <row r="3543">
      <c r="A3543" s="16">
        <f>IF(Calc!$B3543,Calc!E3543,"")</f>
        <v/>
      </c>
      <c r="B3543">
        <f>IF(Calc!$B3543,INDEX(MineNames,Calc!C3543),"")</f>
        <v/>
      </c>
      <c r="C3543" s="17">
        <f>IF(Calc!$B3543,Calc!O3543,"")</f>
        <v/>
      </c>
    </row>
    <row r="3544">
      <c r="A3544" s="16">
        <f>IF(Calc!$B3544,Calc!E3544,"")</f>
        <v/>
      </c>
      <c r="B3544">
        <f>IF(Calc!$B3544,INDEX(MineNames,Calc!C3544),"")</f>
        <v/>
      </c>
      <c r="C3544" s="17">
        <f>IF(Calc!$B3544,Calc!O3544,"")</f>
        <v/>
      </c>
    </row>
    <row r="3545">
      <c r="A3545" s="16">
        <f>IF(Calc!$B3545,Calc!E3545,"")</f>
        <v/>
      </c>
      <c r="B3545">
        <f>IF(Calc!$B3545,INDEX(MineNames,Calc!C3545),"")</f>
        <v/>
      </c>
      <c r="C3545" s="17">
        <f>IF(Calc!$B3545,Calc!O3545,"")</f>
        <v/>
      </c>
    </row>
    <row r="3546">
      <c r="A3546" s="16">
        <f>IF(Calc!$B3546,Calc!E3546,"")</f>
        <v/>
      </c>
      <c r="B3546">
        <f>IF(Calc!$B3546,INDEX(MineNames,Calc!C3546),"")</f>
        <v/>
      </c>
      <c r="C3546" s="17">
        <f>IF(Calc!$B3546,Calc!O3546,"")</f>
        <v/>
      </c>
    </row>
    <row r="3547">
      <c r="A3547" s="16">
        <f>IF(Calc!$B3547,Calc!E3547,"")</f>
        <v/>
      </c>
      <c r="B3547">
        <f>IF(Calc!$B3547,INDEX(MineNames,Calc!C3547),"")</f>
        <v/>
      </c>
      <c r="C3547" s="17">
        <f>IF(Calc!$B3547,Calc!O3547,"")</f>
        <v/>
      </c>
    </row>
    <row r="3548">
      <c r="A3548" s="16">
        <f>IF(Calc!$B3548,Calc!E3548,"")</f>
        <v/>
      </c>
      <c r="B3548">
        <f>IF(Calc!$B3548,INDEX(MineNames,Calc!C3548),"")</f>
        <v/>
      </c>
      <c r="C3548" s="17">
        <f>IF(Calc!$B3548,Calc!O3548,"")</f>
        <v/>
      </c>
    </row>
    <row r="3549">
      <c r="A3549" s="16">
        <f>IF(Calc!$B3549,Calc!E3549,"")</f>
        <v/>
      </c>
      <c r="B3549">
        <f>IF(Calc!$B3549,INDEX(MineNames,Calc!C3549),"")</f>
        <v/>
      </c>
      <c r="C3549" s="17">
        <f>IF(Calc!$B3549,Calc!O3549,"")</f>
        <v/>
      </c>
    </row>
    <row r="3550">
      <c r="A3550" s="16">
        <f>IF(Calc!$B3550,Calc!E3550,"")</f>
        <v/>
      </c>
      <c r="B3550">
        <f>IF(Calc!$B3550,INDEX(MineNames,Calc!C3550),"")</f>
        <v/>
      </c>
      <c r="C3550" s="17">
        <f>IF(Calc!$B3550,Calc!O3550,"")</f>
        <v/>
      </c>
    </row>
    <row r="3551">
      <c r="A3551" s="16">
        <f>IF(Calc!$B3551,Calc!E3551,"")</f>
        <v/>
      </c>
      <c r="B3551">
        <f>IF(Calc!$B3551,INDEX(MineNames,Calc!C3551),"")</f>
        <v/>
      </c>
      <c r="C3551" s="17">
        <f>IF(Calc!$B3551,Calc!O3551,"")</f>
        <v/>
      </c>
    </row>
    <row r="3552">
      <c r="A3552" s="16">
        <f>IF(Calc!$B3552,Calc!E3552,"")</f>
        <v/>
      </c>
      <c r="B3552">
        <f>IF(Calc!$B3552,INDEX(MineNames,Calc!C3552),"")</f>
        <v/>
      </c>
      <c r="C3552" s="17">
        <f>IF(Calc!$B3552,Calc!O3552,"")</f>
        <v/>
      </c>
    </row>
    <row r="3553">
      <c r="A3553" s="16">
        <f>IF(Calc!$B3553,Calc!E3553,"")</f>
        <v/>
      </c>
      <c r="B3553">
        <f>IF(Calc!$B3553,INDEX(MineNames,Calc!C3553),"")</f>
        <v/>
      </c>
      <c r="C3553" s="17">
        <f>IF(Calc!$B3553,Calc!O3553,"")</f>
        <v/>
      </c>
    </row>
    <row r="3554">
      <c r="A3554" s="16">
        <f>IF(Calc!$B3554,Calc!E3554,"")</f>
        <v/>
      </c>
      <c r="B3554">
        <f>IF(Calc!$B3554,INDEX(MineNames,Calc!C3554),"")</f>
        <v/>
      </c>
      <c r="C3554" s="17">
        <f>IF(Calc!$B3554,Calc!O3554,"")</f>
        <v/>
      </c>
    </row>
    <row r="3555">
      <c r="A3555" s="16">
        <f>IF(Calc!$B3555,Calc!E3555,"")</f>
        <v/>
      </c>
      <c r="B3555">
        <f>IF(Calc!$B3555,INDEX(MineNames,Calc!C3555),"")</f>
        <v/>
      </c>
      <c r="C3555" s="17">
        <f>IF(Calc!$B3555,Calc!O3555,"")</f>
        <v/>
      </c>
    </row>
    <row r="3556">
      <c r="A3556" s="16">
        <f>IF(Calc!$B3556,Calc!E3556,"")</f>
        <v/>
      </c>
      <c r="B3556">
        <f>IF(Calc!$B3556,INDEX(MineNames,Calc!C3556),"")</f>
        <v/>
      </c>
      <c r="C3556" s="17">
        <f>IF(Calc!$B3556,Calc!O3556,"")</f>
        <v/>
      </c>
    </row>
    <row r="3557">
      <c r="A3557" s="16">
        <f>IF(Calc!$B3557,Calc!E3557,"")</f>
        <v/>
      </c>
      <c r="B3557">
        <f>IF(Calc!$B3557,INDEX(MineNames,Calc!C3557),"")</f>
        <v/>
      </c>
      <c r="C3557" s="17">
        <f>IF(Calc!$B3557,Calc!O3557,"")</f>
        <v/>
      </c>
    </row>
    <row r="3558">
      <c r="A3558" s="16">
        <f>IF(Calc!$B3558,Calc!E3558,"")</f>
        <v/>
      </c>
      <c r="B3558">
        <f>IF(Calc!$B3558,INDEX(MineNames,Calc!C3558),"")</f>
        <v/>
      </c>
      <c r="C3558" s="17">
        <f>IF(Calc!$B3558,Calc!O3558,"")</f>
        <v/>
      </c>
    </row>
    <row r="3559">
      <c r="A3559" s="16">
        <f>IF(Calc!$B3559,Calc!E3559,"")</f>
        <v/>
      </c>
      <c r="B3559">
        <f>IF(Calc!$B3559,INDEX(MineNames,Calc!C3559),"")</f>
        <v/>
      </c>
      <c r="C3559" s="17">
        <f>IF(Calc!$B3559,Calc!O3559,"")</f>
        <v/>
      </c>
    </row>
    <row r="3560">
      <c r="A3560" s="16">
        <f>IF(Calc!$B3560,Calc!E3560,"")</f>
        <v/>
      </c>
      <c r="B3560">
        <f>IF(Calc!$B3560,INDEX(MineNames,Calc!C3560),"")</f>
        <v/>
      </c>
      <c r="C3560" s="17">
        <f>IF(Calc!$B3560,Calc!O3560,"")</f>
        <v/>
      </c>
    </row>
    <row r="3561">
      <c r="A3561" s="16">
        <f>IF(Calc!$B3561,Calc!E3561,"")</f>
        <v/>
      </c>
      <c r="B3561">
        <f>IF(Calc!$B3561,INDEX(MineNames,Calc!C3561),"")</f>
        <v/>
      </c>
      <c r="C3561" s="17">
        <f>IF(Calc!$B3561,Calc!O3561,"")</f>
        <v/>
      </c>
    </row>
    <row r="3562">
      <c r="A3562" s="16">
        <f>IF(Calc!$B3562,Calc!E3562,"")</f>
        <v/>
      </c>
      <c r="B3562">
        <f>IF(Calc!$B3562,INDEX(MineNames,Calc!C3562),"")</f>
        <v/>
      </c>
      <c r="C3562" s="17">
        <f>IF(Calc!$B3562,Calc!O3562,"")</f>
        <v/>
      </c>
    </row>
    <row r="3563">
      <c r="A3563" s="16">
        <f>IF(Calc!$B3563,Calc!E3563,"")</f>
        <v/>
      </c>
      <c r="B3563">
        <f>IF(Calc!$B3563,INDEX(MineNames,Calc!C3563),"")</f>
        <v/>
      </c>
      <c r="C3563" s="17">
        <f>IF(Calc!$B3563,Calc!O3563,"")</f>
        <v/>
      </c>
    </row>
    <row r="3564">
      <c r="A3564" s="16">
        <f>IF(Calc!$B3564,Calc!E3564,"")</f>
        <v/>
      </c>
      <c r="B3564">
        <f>IF(Calc!$B3564,INDEX(MineNames,Calc!C3564),"")</f>
        <v/>
      </c>
      <c r="C3564" s="17">
        <f>IF(Calc!$B3564,Calc!O3564,"")</f>
        <v/>
      </c>
    </row>
    <row r="3565">
      <c r="A3565" s="16">
        <f>IF(Calc!$B3565,Calc!E3565,"")</f>
        <v/>
      </c>
      <c r="B3565">
        <f>IF(Calc!$B3565,INDEX(MineNames,Calc!C3565),"")</f>
        <v/>
      </c>
      <c r="C3565" s="17">
        <f>IF(Calc!$B3565,Calc!O3565,"")</f>
        <v/>
      </c>
    </row>
    <row r="3566">
      <c r="A3566" s="16">
        <f>IF(Calc!$B3566,Calc!E3566,"")</f>
        <v/>
      </c>
      <c r="B3566">
        <f>IF(Calc!$B3566,INDEX(MineNames,Calc!C3566),"")</f>
        <v/>
      </c>
      <c r="C3566" s="17">
        <f>IF(Calc!$B3566,Calc!O3566,"")</f>
        <v/>
      </c>
    </row>
    <row r="3567">
      <c r="A3567" s="16">
        <f>IF(Calc!$B3567,Calc!E3567,"")</f>
        <v/>
      </c>
      <c r="B3567">
        <f>IF(Calc!$B3567,INDEX(MineNames,Calc!C3567),"")</f>
        <v/>
      </c>
      <c r="C3567" s="17">
        <f>IF(Calc!$B3567,Calc!O3567,"")</f>
        <v/>
      </c>
    </row>
    <row r="3568">
      <c r="A3568" s="16">
        <f>IF(Calc!$B3568,Calc!E3568,"")</f>
        <v/>
      </c>
      <c r="B3568">
        <f>IF(Calc!$B3568,INDEX(MineNames,Calc!C3568),"")</f>
        <v/>
      </c>
      <c r="C3568" s="17">
        <f>IF(Calc!$B3568,Calc!O3568,"")</f>
        <v/>
      </c>
    </row>
    <row r="3569">
      <c r="A3569" s="16">
        <f>IF(Calc!$B3569,Calc!E3569,"")</f>
        <v/>
      </c>
      <c r="B3569">
        <f>IF(Calc!$B3569,INDEX(MineNames,Calc!C3569),"")</f>
        <v/>
      </c>
      <c r="C3569" s="17">
        <f>IF(Calc!$B3569,Calc!O3569,"")</f>
        <v/>
      </c>
    </row>
    <row r="3570">
      <c r="A3570" s="16">
        <f>IF(Calc!$B3570,Calc!E3570,"")</f>
        <v/>
      </c>
      <c r="B3570">
        <f>IF(Calc!$B3570,INDEX(MineNames,Calc!C3570),"")</f>
        <v/>
      </c>
      <c r="C3570" s="17">
        <f>IF(Calc!$B3570,Calc!O3570,"")</f>
        <v/>
      </c>
    </row>
    <row r="3571">
      <c r="A3571" s="16">
        <f>IF(Calc!$B3571,Calc!E3571,"")</f>
        <v/>
      </c>
      <c r="B3571">
        <f>IF(Calc!$B3571,INDEX(MineNames,Calc!C3571),"")</f>
        <v/>
      </c>
      <c r="C3571" s="17">
        <f>IF(Calc!$B3571,Calc!O3571,"")</f>
        <v/>
      </c>
    </row>
    <row r="3572">
      <c r="A3572" s="16">
        <f>IF(Calc!$B3572,Calc!E3572,"")</f>
        <v/>
      </c>
      <c r="B3572">
        <f>IF(Calc!$B3572,INDEX(MineNames,Calc!C3572),"")</f>
        <v/>
      </c>
      <c r="C3572" s="17">
        <f>IF(Calc!$B3572,Calc!O3572,"")</f>
        <v/>
      </c>
    </row>
    <row r="3573">
      <c r="A3573" s="16">
        <f>IF(Calc!$B3573,Calc!E3573,"")</f>
        <v/>
      </c>
      <c r="B3573">
        <f>IF(Calc!$B3573,INDEX(MineNames,Calc!C3573),"")</f>
        <v/>
      </c>
      <c r="C3573" s="17">
        <f>IF(Calc!$B3573,Calc!O3573,"")</f>
        <v/>
      </c>
    </row>
    <row r="3574">
      <c r="A3574" s="16">
        <f>IF(Calc!$B3574,Calc!E3574,"")</f>
        <v/>
      </c>
      <c r="B3574">
        <f>IF(Calc!$B3574,INDEX(MineNames,Calc!C3574),"")</f>
        <v/>
      </c>
      <c r="C3574" s="17">
        <f>IF(Calc!$B3574,Calc!O3574,"")</f>
        <v/>
      </c>
    </row>
    <row r="3575">
      <c r="A3575" s="16">
        <f>IF(Calc!$B3575,Calc!E3575,"")</f>
        <v/>
      </c>
      <c r="B3575">
        <f>IF(Calc!$B3575,INDEX(MineNames,Calc!C3575),"")</f>
        <v/>
      </c>
      <c r="C3575" s="17">
        <f>IF(Calc!$B3575,Calc!O3575,"")</f>
        <v/>
      </c>
    </row>
    <row r="3576">
      <c r="A3576" s="16">
        <f>IF(Calc!$B3576,Calc!E3576,"")</f>
        <v/>
      </c>
      <c r="B3576">
        <f>IF(Calc!$B3576,INDEX(MineNames,Calc!C3576),"")</f>
        <v/>
      </c>
      <c r="C3576" s="17">
        <f>IF(Calc!$B3576,Calc!O3576,"")</f>
        <v/>
      </c>
    </row>
    <row r="3577">
      <c r="A3577" s="16">
        <f>IF(Calc!$B3577,Calc!E3577,"")</f>
        <v/>
      </c>
      <c r="B3577">
        <f>IF(Calc!$B3577,INDEX(MineNames,Calc!C3577),"")</f>
        <v/>
      </c>
      <c r="C3577" s="17">
        <f>IF(Calc!$B3577,Calc!O3577,"")</f>
        <v/>
      </c>
    </row>
    <row r="3578">
      <c r="A3578" s="16">
        <f>IF(Calc!$B3578,Calc!E3578,"")</f>
        <v/>
      </c>
      <c r="B3578">
        <f>IF(Calc!$B3578,INDEX(MineNames,Calc!C3578),"")</f>
        <v/>
      </c>
      <c r="C3578" s="17">
        <f>IF(Calc!$B3578,Calc!O3578,"")</f>
        <v/>
      </c>
    </row>
    <row r="3579">
      <c r="A3579" s="16">
        <f>IF(Calc!$B3579,Calc!E3579,"")</f>
        <v/>
      </c>
      <c r="B3579">
        <f>IF(Calc!$B3579,INDEX(MineNames,Calc!C3579),"")</f>
        <v/>
      </c>
      <c r="C3579" s="17">
        <f>IF(Calc!$B3579,Calc!O3579,"")</f>
        <v/>
      </c>
    </row>
    <row r="3580">
      <c r="A3580" s="16">
        <f>IF(Calc!$B3580,Calc!E3580,"")</f>
        <v/>
      </c>
      <c r="B3580">
        <f>IF(Calc!$B3580,INDEX(MineNames,Calc!C3580),"")</f>
        <v/>
      </c>
      <c r="C3580" s="17">
        <f>IF(Calc!$B3580,Calc!O3580,"")</f>
        <v/>
      </c>
    </row>
    <row r="3581">
      <c r="A3581" s="16">
        <f>IF(Calc!$B3581,Calc!E3581,"")</f>
        <v/>
      </c>
      <c r="B3581">
        <f>IF(Calc!$B3581,INDEX(MineNames,Calc!C3581),"")</f>
        <v/>
      </c>
      <c r="C3581" s="17">
        <f>IF(Calc!$B3581,Calc!O3581,"")</f>
        <v/>
      </c>
    </row>
    <row r="3582">
      <c r="A3582" s="16">
        <f>IF(Calc!$B3582,Calc!E3582,"")</f>
        <v/>
      </c>
      <c r="B3582">
        <f>IF(Calc!$B3582,INDEX(MineNames,Calc!C3582),"")</f>
        <v/>
      </c>
      <c r="C3582" s="17">
        <f>IF(Calc!$B3582,Calc!O3582,"")</f>
        <v/>
      </c>
    </row>
    <row r="3583">
      <c r="A3583" s="16">
        <f>IF(Calc!$B3583,Calc!E3583,"")</f>
        <v/>
      </c>
      <c r="B3583">
        <f>IF(Calc!$B3583,INDEX(MineNames,Calc!C3583),"")</f>
        <v/>
      </c>
      <c r="C3583" s="17">
        <f>IF(Calc!$B3583,Calc!O3583,"")</f>
        <v/>
      </c>
    </row>
    <row r="3584">
      <c r="A3584" s="16">
        <f>IF(Calc!$B3584,Calc!E3584,"")</f>
        <v/>
      </c>
      <c r="B3584">
        <f>IF(Calc!$B3584,INDEX(MineNames,Calc!C3584),"")</f>
        <v/>
      </c>
      <c r="C3584" s="17">
        <f>IF(Calc!$B3584,Calc!O3584,"")</f>
        <v/>
      </c>
    </row>
    <row r="3585">
      <c r="A3585" s="16">
        <f>IF(Calc!$B3585,Calc!E3585,"")</f>
        <v/>
      </c>
      <c r="B3585">
        <f>IF(Calc!$B3585,INDEX(MineNames,Calc!C3585),"")</f>
        <v/>
      </c>
      <c r="C3585" s="17">
        <f>IF(Calc!$B3585,Calc!O3585,"")</f>
        <v/>
      </c>
    </row>
    <row r="3586">
      <c r="A3586" s="16">
        <f>IF(Calc!$B3586,Calc!E3586,"")</f>
        <v/>
      </c>
      <c r="B3586">
        <f>IF(Calc!$B3586,INDEX(MineNames,Calc!C3586),"")</f>
        <v/>
      </c>
      <c r="C3586" s="17">
        <f>IF(Calc!$B3586,Calc!O3586,"")</f>
        <v/>
      </c>
    </row>
    <row r="3587">
      <c r="A3587" s="16">
        <f>IF(Calc!$B3587,Calc!E3587,"")</f>
        <v/>
      </c>
      <c r="B3587">
        <f>IF(Calc!$B3587,INDEX(MineNames,Calc!C3587),"")</f>
        <v/>
      </c>
      <c r="C3587" s="17">
        <f>IF(Calc!$B3587,Calc!O3587,"")</f>
        <v/>
      </c>
    </row>
    <row r="3588">
      <c r="A3588" s="16">
        <f>IF(Calc!$B3588,Calc!E3588,"")</f>
        <v/>
      </c>
      <c r="B3588">
        <f>IF(Calc!$B3588,INDEX(MineNames,Calc!C3588),"")</f>
        <v/>
      </c>
      <c r="C3588" s="17">
        <f>IF(Calc!$B3588,Calc!O3588,"")</f>
        <v/>
      </c>
    </row>
    <row r="3589">
      <c r="A3589" s="16">
        <f>IF(Calc!$B3589,Calc!E3589,"")</f>
        <v/>
      </c>
      <c r="B3589">
        <f>IF(Calc!$B3589,INDEX(MineNames,Calc!C3589),"")</f>
        <v/>
      </c>
      <c r="C3589" s="17">
        <f>IF(Calc!$B3589,Calc!O3589,"")</f>
        <v/>
      </c>
    </row>
    <row r="3590">
      <c r="A3590" s="16">
        <f>IF(Calc!$B3590,Calc!E3590,"")</f>
        <v/>
      </c>
      <c r="B3590">
        <f>IF(Calc!$B3590,INDEX(MineNames,Calc!C3590),"")</f>
        <v/>
      </c>
      <c r="C3590" s="17">
        <f>IF(Calc!$B3590,Calc!O3590,"")</f>
        <v/>
      </c>
    </row>
    <row r="3591">
      <c r="A3591" s="16">
        <f>IF(Calc!$B3591,Calc!E3591,"")</f>
        <v/>
      </c>
      <c r="B3591">
        <f>IF(Calc!$B3591,INDEX(MineNames,Calc!C3591),"")</f>
        <v/>
      </c>
      <c r="C3591" s="17">
        <f>IF(Calc!$B3591,Calc!O3591,"")</f>
        <v/>
      </c>
    </row>
    <row r="3592">
      <c r="A3592" s="16">
        <f>IF(Calc!$B3592,Calc!E3592,"")</f>
        <v/>
      </c>
      <c r="B3592">
        <f>IF(Calc!$B3592,INDEX(MineNames,Calc!C3592),"")</f>
        <v/>
      </c>
      <c r="C3592" s="17">
        <f>IF(Calc!$B3592,Calc!O3592,"")</f>
        <v/>
      </c>
    </row>
    <row r="3593">
      <c r="A3593" s="16">
        <f>IF(Calc!$B3593,Calc!E3593,"")</f>
        <v/>
      </c>
      <c r="B3593">
        <f>IF(Calc!$B3593,INDEX(MineNames,Calc!C3593),"")</f>
        <v/>
      </c>
      <c r="C3593" s="17">
        <f>IF(Calc!$B3593,Calc!O3593,"")</f>
        <v/>
      </c>
    </row>
    <row r="3594">
      <c r="A3594" s="16">
        <f>IF(Calc!$B3594,Calc!E3594,"")</f>
        <v/>
      </c>
      <c r="B3594">
        <f>IF(Calc!$B3594,INDEX(MineNames,Calc!C3594),"")</f>
        <v/>
      </c>
      <c r="C3594" s="17">
        <f>IF(Calc!$B3594,Calc!O3594,"")</f>
        <v/>
      </c>
    </row>
    <row r="3595">
      <c r="A3595" s="16">
        <f>IF(Calc!$B3595,Calc!E3595,"")</f>
        <v/>
      </c>
      <c r="B3595">
        <f>IF(Calc!$B3595,INDEX(MineNames,Calc!C3595),"")</f>
        <v/>
      </c>
      <c r="C3595" s="17">
        <f>IF(Calc!$B3595,Calc!O3595,"")</f>
        <v/>
      </c>
    </row>
    <row r="3596">
      <c r="A3596" s="16">
        <f>IF(Calc!$B3596,Calc!E3596,"")</f>
        <v/>
      </c>
      <c r="B3596">
        <f>IF(Calc!$B3596,INDEX(MineNames,Calc!C3596),"")</f>
        <v/>
      </c>
      <c r="C3596" s="17">
        <f>IF(Calc!$B3596,Calc!O3596,"")</f>
        <v/>
      </c>
    </row>
    <row r="3597">
      <c r="A3597" s="16">
        <f>IF(Calc!$B3597,Calc!E3597,"")</f>
        <v/>
      </c>
      <c r="B3597">
        <f>IF(Calc!$B3597,INDEX(MineNames,Calc!C3597),"")</f>
        <v/>
      </c>
      <c r="C3597" s="17">
        <f>IF(Calc!$B3597,Calc!O3597,"")</f>
        <v/>
      </c>
    </row>
    <row r="3598">
      <c r="A3598" s="16">
        <f>IF(Calc!$B3598,Calc!E3598,"")</f>
        <v/>
      </c>
      <c r="B3598">
        <f>IF(Calc!$B3598,INDEX(MineNames,Calc!C3598),"")</f>
        <v/>
      </c>
      <c r="C3598" s="17">
        <f>IF(Calc!$B3598,Calc!O3598,"")</f>
        <v/>
      </c>
    </row>
    <row r="3599">
      <c r="A3599" s="16">
        <f>IF(Calc!$B3599,Calc!E3599,"")</f>
        <v/>
      </c>
      <c r="B3599">
        <f>IF(Calc!$B3599,INDEX(MineNames,Calc!C3599),"")</f>
        <v/>
      </c>
      <c r="C3599" s="17">
        <f>IF(Calc!$B3599,Calc!O3599,"")</f>
        <v/>
      </c>
    </row>
    <row r="3600">
      <c r="A3600" s="16">
        <f>IF(Calc!$B3600,Calc!E3600,"")</f>
        <v/>
      </c>
      <c r="B3600">
        <f>IF(Calc!$B3600,INDEX(MineNames,Calc!C3600),"")</f>
        <v/>
      </c>
      <c r="C3600" s="17">
        <f>IF(Calc!$B3600,Calc!O3600,"")</f>
        <v/>
      </c>
    </row>
    <row r="3601">
      <c r="A3601" s="16">
        <f>IF(Calc!$B3601,Calc!E3601,"")</f>
        <v/>
      </c>
      <c r="B3601">
        <f>IF(Calc!$B3601,INDEX(MineNames,Calc!C3601),"")</f>
        <v/>
      </c>
      <c r="C3601" s="17">
        <f>IF(Calc!$B3601,Calc!O3601,"")</f>
        <v/>
      </c>
    </row>
    <row r="3602">
      <c r="A3602" s="16">
        <f>IF(Calc!$B3602,Calc!E3602,"")</f>
        <v/>
      </c>
      <c r="B3602">
        <f>IF(Calc!$B3602,INDEX(MineNames,Calc!C3602),"")</f>
        <v/>
      </c>
      <c r="C3602" s="17">
        <f>IF(Calc!$B3602,Calc!O3602,"")</f>
        <v/>
      </c>
    </row>
    <row r="3603">
      <c r="A3603" s="16">
        <f>IF(Calc!$B3603,Calc!E3603,"")</f>
        <v/>
      </c>
      <c r="B3603">
        <f>IF(Calc!$B3603,INDEX(MineNames,Calc!C3603),"")</f>
        <v/>
      </c>
      <c r="C3603" s="17">
        <f>IF(Calc!$B3603,Calc!O3603,"")</f>
        <v/>
      </c>
    </row>
    <row r="3604">
      <c r="A3604" s="16">
        <f>IF(Calc!$B3604,Calc!E3604,"")</f>
        <v/>
      </c>
      <c r="B3604">
        <f>IF(Calc!$B3604,INDEX(MineNames,Calc!C3604),"")</f>
        <v/>
      </c>
      <c r="C3604" s="17">
        <f>IF(Calc!$B3604,Calc!O3604,"")</f>
        <v/>
      </c>
    </row>
    <row r="3605">
      <c r="A3605" s="16">
        <f>IF(Calc!$B3605,Calc!E3605,"")</f>
        <v/>
      </c>
      <c r="B3605">
        <f>IF(Calc!$B3605,INDEX(MineNames,Calc!C3605),"")</f>
        <v/>
      </c>
      <c r="C3605" s="17">
        <f>IF(Calc!$B3605,Calc!O3605,"")</f>
        <v/>
      </c>
    </row>
    <row r="3606">
      <c r="A3606" s="16">
        <f>IF(Calc!$B3606,Calc!E3606,"")</f>
        <v/>
      </c>
      <c r="B3606">
        <f>IF(Calc!$B3606,INDEX(MineNames,Calc!C3606),"")</f>
        <v/>
      </c>
      <c r="C3606" s="17">
        <f>IF(Calc!$B3606,Calc!O3606,"")</f>
        <v/>
      </c>
    </row>
    <row r="3607">
      <c r="A3607" s="16">
        <f>IF(Calc!$B3607,Calc!E3607,"")</f>
        <v/>
      </c>
      <c r="B3607">
        <f>IF(Calc!$B3607,INDEX(MineNames,Calc!C3607),"")</f>
        <v/>
      </c>
      <c r="C3607" s="17">
        <f>IF(Calc!$B3607,Calc!O3607,"")</f>
        <v/>
      </c>
    </row>
    <row r="3608">
      <c r="A3608" s="16">
        <f>IF(Calc!$B3608,Calc!E3608,"")</f>
        <v/>
      </c>
      <c r="B3608">
        <f>IF(Calc!$B3608,INDEX(MineNames,Calc!C3608),"")</f>
        <v/>
      </c>
      <c r="C3608" s="17">
        <f>IF(Calc!$B3608,Calc!O3608,"")</f>
        <v/>
      </c>
    </row>
    <row r="3609">
      <c r="A3609" s="16">
        <f>IF(Calc!$B3609,Calc!E3609,"")</f>
        <v/>
      </c>
      <c r="B3609">
        <f>IF(Calc!$B3609,INDEX(MineNames,Calc!C3609),"")</f>
        <v/>
      </c>
      <c r="C3609" s="17">
        <f>IF(Calc!$B3609,Calc!O3609,"")</f>
        <v/>
      </c>
    </row>
    <row r="3610">
      <c r="A3610" s="16">
        <f>IF(Calc!$B3610,Calc!E3610,"")</f>
        <v/>
      </c>
      <c r="B3610">
        <f>IF(Calc!$B3610,INDEX(MineNames,Calc!C3610),"")</f>
        <v/>
      </c>
      <c r="C3610" s="17">
        <f>IF(Calc!$B3610,Calc!O3610,"")</f>
        <v/>
      </c>
    </row>
    <row r="3611">
      <c r="A3611" s="16">
        <f>IF(Calc!$B3611,Calc!E3611,"")</f>
        <v/>
      </c>
      <c r="B3611">
        <f>IF(Calc!$B3611,INDEX(MineNames,Calc!C3611),"")</f>
        <v/>
      </c>
      <c r="C3611" s="17">
        <f>IF(Calc!$B3611,Calc!O3611,"")</f>
        <v/>
      </c>
    </row>
    <row r="3612">
      <c r="A3612" s="16">
        <f>IF(Calc!$B3612,Calc!E3612,"")</f>
        <v/>
      </c>
      <c r="B3612">
        <f>IF(Calc!$B3612,INDEX(MineNames,Calc!C3612),"")</f>
        <v/>
      </c>
      <c r="C3612" s="17">
        <f>IF(Calc!$B3612,Calc!O3612,"")</f>
        <v/>
      </c>
    </row>
    <row r="3613">
      <c r="A3613" s="16">
        <f>IF(Calc!$B3613,Calc!E3613,"")</f>
        <v/>
      </c>
      <c r="B3613">
        <f>IF(Calc!$B3613,INDEX(MineNames,Calc!C3613),"")</f>
        <v/>
      </c>
      <c r="C3613" s="17">
        <f>IF(Calc!$B3613,Calc!O3613,"")</f>
        <v/>
      </c>
    </row>
    <row r="3614">
      <c r="A3614" s="16">
        <f>IF(Calc!$B3614,Calc!E3614,"")</f>
        <v/>
      </c>
      <c r="B3614">
        <f>IF(Calc!$B3614,INDEX(MineNames,Calc!C3614),"")</f>
        <v/>
      </c>
      <c r="C3614" s="17">
        <f>IF(Calc!$B3614,Calc!O3614,"")</f>
        <v/>
      </c>
    </row>
    <row r="3615">
      <c r="A3615" s="16">
        <f>IF(Calc!$B3615,Calc!E3615,"")</f>
        <v/>
      </c>
      <c r="B3615">
        <f>IF(Calc!$B3615,INDEX(MineNames,Calc!C3615),"")</f>
        <v/>
      </c>
      <c r="C3615" s="17">
        <f>IF(Calc!$B3615,Calc!O3615,"")</f>
        <v/>
      </c>
    </row>
    <row r="3616">
      <c r="A3616" s="16">
        <f>IF(Calc!$B3616,Calc!E3616,"")</f>
        <v/>
      </c>
      <c r="B3616">
        <f>IF(Calc!$B3616,INDEX(MineNames,Calc!C3616),"")</f>
        <v/>
      </c>
      <c r="C3616" s="17">
        <f>IF(Calc!$B3616,Calc!O3616,"")</f>
        <v/>
      </c>
    </row>
    <row r="3617">
      <c r="A3617" s="16">
        <f>IF(Calc!$B3617,Calc!E3617,"")</f>
        <v/>
      </c>
      <c r="B3617">
        <f>IF(Calc!$B3617,INDEX(MineNames,Calc!C3617),"")</f>
        <v/>
      </c>
      <c r="C3617" s="17">
        <f>IF(Calc!$B3617,Calc!O3617,"")</f>
        <v/>
      </c>
    </row>
    <row r="3618">
      <c r="A3618" s="16">
        <f>IF(Calc!$B3618,Calc!E3618,"")</f>
        <v/>
      </c>
      <c r="B3618">
        <f>IF(Calc!$B3618,INDEX(MineNames,Calc!C3618),"")</f>
        <v/>
      </c>
      <c r="C3618" s="17">
        <f>IF(Calc!$B3618,Calc!O3618,"")</f>
        <v/>
      </c>
    </row>
    <row r="3619">
      <c r="A3619" s="16">
        <f>IF(Calc!$B3619,Calc!E3619,"")</f>
        <v/>
      </c>
      <c r="B3619">
        <f>IF(Calc!$B3619,INDEX(MineNames,Calc!C3619),"")</f>
        <v/>
      </c>
      <c r="C3619" s="17">
        <f>IF(Calc!$B3619,Calc!O3619,"")</f>
        <v/>
      </c>
    </row>
    <row r="3620">
      <c r="A3620" s="16">
        <f>IF(Calc!$B3620,Calc!E3620,"")</f>
        <v/>
      </c>
      <c r="B3620">
        <f>IF(Calc!$B3620,INDEX(MineNames,Calc!C3620),"")</f>
        <v/>
      </c>
      <c r="C3620" s="17">
        <f>IF(Calc!$B3620,Calc!O3620,"")</f>
        <v/>
      </c>
    </row>
    <row r="3621">
      <c r="A3621" s="16">
        <f>IF(Calc!$B3621,Calc!E3621,"")</f>
        <v/>
      </c>
      <c r="B3621">
        <f>IF(Calc!$B3621,INDEX(MineNames,Calc!C3621),"")</f>
        <v/>
      </c>
      <c r="C3621" s="17">
        <f>IF(Calc!$B3621,Calc!O3621,"")</f>
        <v/>
      </c>
    </row>
    <row r="3622">
      <c r="A3622" s="16">
        <f>IF(Calc!$B3622,Calc!E3622,"")</f>
        <v/>
      </c>
      <c r="B3622">
        <f>IF(Calc!$B3622,INDEX(MineNames,Calc!C3622),"")</f>
        <v/>
      </c>
      <c r="C3622" s="17">
        <f>IF(Calc!$B3622,Calc!O3622,"")</f>
        <v/>
      </c>
    </row>
    <row r="3623">
      <c r="A3623" s="16">
        <f>IF(Calc!$B3623,Calc!E3623,"")</f>
        <v/>
      </c>
      <c r="B3623">
        <f>IF(Calc!$B3623,INDEX(MineNames,Calc!C3623),"")</f>
        <v/>
      </c>
      <c r="C3623" s="17">
        <f>IF(Calc!$B3623,Calc!O3623,"")</f>
        <v/>
      </c>
    </row>
    <row r="3624">
      <c r="A3624" s="16">
        <f>IF(Calc!$B3624,Calc!E3624,"")</f>
        <v/>
      </c>
      <c r="B3624">
        <f>IF(Calc!$B3624,INDEX(MineNames,Calc!C3624),"")</f>
        <v/>
      </c>
      <c r="C3624" s="17">
        <f>IF(Calc!$B3624,Calc!O3624,"")</f>
        <v/>
      </c>
    </row>
    <row r="3625">
      <c r="A3625" s="16">
        <f>IF(Calc!$B3625,Calc!E3625,"")</f>
        <v/>
      </c>
      <c r="B3625">
        <f>IF(Calc!$B3625,INDEX(MineNames,Calc!C3625),"")</f>
        <v/>
      </c>
      <c r="C3625" s="17">
        <f>IF(Calc!$B3625,Calc!O3625,"")</f>
        <v/>
      </c>
    </row>
    <row r="3626">
      <c r="A3626" s="16">
        <f>IF(Calc!$B3626,Calc!E3626,"")</f>
        <v/>
      </c>
      <c r="B3626">
        <f>IF(Calc!$B3626,INDEX(MineNames,Calc!C3626),"")</f>
        <v/>
      </c>
      <c r="C3626" s="17">
        <f>IF(Calc!$B3626,Calc!O3626,"")</f>
        <v/>
      </c>
    </row>
    <row r="3627">
      <c r="A3627" s="16">
        <f>IF(Calc!$B3627,Calc!E3627,"")</f>
        <v/>
      </c>
      <c r="B3627">
        <f>IF(Calc!$B3627,INDEX(MineNames,Calc!C3627),"")</f>
        <v/>
      </c>
      <c r="C3627" s="17">
        <f>IF(Calc!$B3627,Calc!O3627,"")</f>
        <v/>
      </c>
    </row>
    <row r="3628">
      <c r="A3628" s="16">
        <f>IF(Calc!$B3628,Calc!E3628,"")</f>
        <v/>
      </c>
      <c r="B3628">
        <f>IF(Calc!$B3628,INDEX(MineNames,Calc!C3628),"")</f>
        <v/>
      </c>
      <c r="C3628" s="17">
        <f>IF(Calc!$B3628,Calc!O3628,"")</f>
        <v/>
      </c>
    </row>
    <row r="3629">
      <c r="A3629" s="16">
        <f>IF(Calc!$B3629,Calc!E3629,"")</f>
        <v/>
      </c>
      <c r="B3629">
        <f>IF(Calc!$B3629,INDEX(MineNames,Calc!C3629),"")</f>
        <v/>
      </c>
      <c r="C3629" s="17">
        <f>IF(Calc!$B3629,Calc!O3629,"")</f>
        <v/>
      </c>
    </row>
    <row r="3630">
      <c r="A3630" s="16">
        <f>IF(Calc!$B3630,Calc!E3630,"")</f>
        <v/>
      </c>
      <c r="B3630">
        <f>IF(Calc!$B3630,INDEX(MineNames,Calc!C3630),"")</f>
        <v/>
      </c>
      <c r="C3630" s="17">
        <f>IF(Calc!$B3630,Calc!O3630,"")</f>
        <v/>
      </c>
    </row>
    <row r="3631">
      <c r="A3631" s="16">
        <f>IF(Calc!$B3631,Calc!E3631,"")</f>
        <v/>
      </c>
      <c r="B3631">
        <f>IF(Calc!$B3631,INDEX(MineNames,Calc!C3631),"")</f>
        <v/>
      </c>
      <c r="C3631" s="17">
        <f>IF(Calc!$B3631,Calc!O3631,"")</f>
        <v/>
      </c>
    </row>
    <row r="3632">
      <c r="A3632" s="16">
        <f>IF(Calc!$B3632,Calc!E3632,"")</f>
        <v/>
      </c>
      <c r="B3632">
        <f>IF(Calc!$B3632,INDEX(MineNames,Calc!C3632),"")</f>
        <v/>
      </c>
      <c r="C3632" s="17">
        <f>IF(Calc!$B3632,Calc!O3632,"")</f>
        <v/>
      </c>
    </row>
    <row r="3633">
      <c r="A3633" s="16">
        <f>IF(Calc!$B3633,Calc!E3633,"")</f>
        <v/>
      </c>
      <c r="B3633">
        <f>IF(Calc!$B3633,INDEX(MineNames,Calc!C3633),"")</f>
        <v/>
      </c>
      <c r="C3633" s="17">
        <f>IF(Calc!$B3633,Calc!O3633,"")</f>
        <v/>
      </c>
    </row>
    <row r="3634">
      <c r="A3634" s="16">
        <f>IF(Calc!$B3634,Calc!E3634,"")</f>
        <v/>
      </c>
      <c r="B3634">
        <f>IF(Calc!$B3634,INDEX(MineNames,Calc!C3634),"")</f>
        <v/>
      </c>
      <c r="C3634" s="17">
        <f>IF(Calc!$B3634,Calc!O3634,"")</f>
        <v/>
      </c>
    </row>
    <row r="3635">
      <c r="A3635" s="16">
        <f>IF(Calc!$B3635,Calc!E3635,"")</f>
        <v/>
      </c>
      <c r="B3635">
        <f>IF(Calc!$B3635,INDEX(MineNames,Calc!C3635),"")</f>
        <v/>
      </c>
      <c r="C3635" s="17">
        <f>IF(Calc!$B3635,Calc!O3635,"")</f>
        <v/>
      </c>
    </row>
    <row r="3636">
      <c r="A3636" s="16">
        <f>IF(Calc!$B3636,Calc!E3636,"")</f>
        <v/>
      </c>
      <c r="B3636">
        <f>IF(Calc!$B3636,INDEX(MineNames,Calc!C3636),"")</f>
        <v/>
      </c>
      <c r="C3636" s="17">
        <f>IF(Calc!$B3636,Calc!O3636,"")</f>
        <v/>
      </c>
    </row>
    <row r="3637">
      <c r="A3637" s="16">
        <f>IF(Calc!$B3637,Calc!E3637,"")</f>
        <v/>
      </c>
      <c r="B3637">
        <f>IF(Calc!$B3637,INDEX(MineNames,Calc!C3637),"")</f>
        <v/>
      </c>
      <c r="C3637" s="17">
        <f>IF(Calc!$B3637,Calc!O3637,"")</f>
        <v/>
      </c>
    </row>
    <row r="3638">
      <c r="A3638" s="16">
        <f>IF(Calc!$B3638,Calc!E3638,"")</f>
        <v/>
      </c>
      <c r="B3638">
        <f>IF(Calc!$B3638,INDEX(MineNames,Calc!C3638),"")</f>
        <v/>
      </c>
      <c r="C3638" s="17">
        <f>IF(Calc!$B3638,Calc!O3638,"")</f>
        <v/>
      </c>
    </row>
    <row r="3639">
      <c r="A3639" s="16">
        <f>IF(Calc!$B3639,Calc!E3639,"")</f>
        <v/>
      </c>
      <c r="B3639">
        <f>IF(Calc!$B3639,INDEX(MineNames,Calc!C3639),"")</f>
        <v/>
      </c>
      <c r="C3639" s="17">
        <f>IF(Calc!$B3639,Calc!O3639,"")</f>
        <v/>
      </c>
    </row>
    <row r="3640">
      <c r="A3640" s="16">
        <f>IF(Calc!$B3640,Calc!E3640,"")</f>
        <v/>
      </c>
      <c r="B3640">
        <f>IF(Calc!$B3640,INDEX(MineNames,Calc!C3640),"")</f>
        <v/>
      </c>
      <c r="C3640" s="17">
        <f>IF(Calc!$B3640,Calc!O3640,"")</f>
        <v/>
      </c>
    </row>
    <row r="3641">
      <c r="A3641" s="16">
        <f>IF(Calc!$B3641,Calc!E3641,"")</f>
        <v/>
      </c>
      <c r="B3641">
        <f>IF(Calc!$B3641,INDEX(MineNames,Calc!C3641),"")</f>
        <v/>
      </c>
      <c r="C3641" s="17">
        <f>IF(Calc!$B3641,Calc!O3641,"")</f>
        <v/>
      </c>
    </row>
    <row r="3642">
      <c r="A3642" s="16">
        <f>IF(Calc!$B3642,Calc!E3642,"")</f>
        <v/>
      </c>
      <c r="B3642">
        <f>IF(Calc!$B3642,INDEX(MineNames,Calc!C3642),"")</f>
        <v/>
      </c>
      <c r="C3642" s="17">
        <f>IF(Calc!$B3642,Calc!O3642,"")</f>
        <v/>
      </c>
    </row>
    <row r="3643">
      <c r="A3643" s="16">
        <f>IF(Calc!$B3643,Calc!E3643,"")</f>
        <v/>
      </c>
      <c r="B3643">
        <f>IF(Calc!$B3643,INDEX(MineNames,Calc!C3643),"")</f>
        <v/>
      </c>
      <c r="C3643" s="17">
        <f>IF(Calc!$B3643,Calc!O3643,"")</f>
        <v/>
      </c>
    </row>
    <row r="3644">
      <c r="A3644" s="16">
        <f>IF(Calc!$B3644,Calc!E3644,"")</f>
        <v/>
      </c>
      <c r="B3644">
        <f>IF(Calc!$B3644,INDEX(MineNames,Calc!C3644),"")</f>
        <v/>
      </c>
      <c r="C3644" s="17">
        <f>IF(Calc!$B3644,Calc!O3644,"")</f>
        <v/>
      </c>
    </row>
    <row r="3645">
      <c r="A3645" s="16">
        <f>IF(Calc!$B3645,Calc!E3645,"")</f>
        <v/>
      </c>
      <c r="B3645">
        <f>IF(Calc!$B3645,INDEX(MineNames,Calc!C3645),"")</f>
        <v/>
      </c>
      <c r="C3645" s="17">
        <f>IF(Calc!$B3645,Calc!O3645,"")</f>
        <v/>
      </c>
    </row>
    <row r="3646">
      <c r="A3646" s="16">
        <f>IF(Calc!$B3646,Calc!E3646,"")</f>
        <v/>
      </c>
      <c r="B3646">
        <f>IF(Calc!$B3646,INDEX(MineNames,Calc!C3646),"")</f>
        <v/>
      </c>
      <c r="C3646" s="17">
        <f>IF(Calc!$B3646,Calc!O3646,"")</f>
        <v/>
      </c>
    </row>
    <row r="3647">
      <c r="A3647" s="16">
        <f>IF(Calc!$B3647,Calc!E3647,"")</f>
        <v/>
      </c>
      <c r="B3647">
        <f>IF(Calc!$B3647,INDEX(MineNames,Calc!C3647),"")</f>
        <v/>
      </c>
      <c r="C3647" s="17">
        <f>IF(Calc!$B3647,Calc!O3647,"")</f>
        <v/>
      </c>
    </row>
    <row r="3648">
      <c r="A3648" s="16">
        <f>IF(Calc!$B3648,Calc!E3648,"")</f>
        <v/>
      </c>
      <c r="B3648">
        <f>IF(Calc!$B3648,INDEX(MineNames,Calc!C3648),"")</f>
        <v/>
      </c>
      <c r="C3648" s="17">
        <f>IF(Calc!$B3648,Calc!O3648,"")</f>
        <v/>
      </c>
    </row>
    <row r="3649">
      <c r="A3649" s="16">
        <f>IF(Calc!$B3649,Calc!E3649,"")</f>
        <v/>
      </c>
      <c r="B3649">
        <f>IF(Calc!$B3649,INDEX(MineNames,Calc!C3649),"")</f>
        <v/>
      </c>
      <c r="C3649" s="17">
        <f>IF(Calc!$B3649,Calc!O3649,"")</f>
        <v/>
      </c>
    </row>
    <row r="3650">
      <c r="A3650" s="16">
        <f>IF(Calc!$B3650,Calc!E3650,"")</f>
        <v/>
      </c>
      <c r="B3650">
        <f>IF(Calc!$B3650,INDEX(MineNames,Calc!C3650),"")</f>
        <v/>
      </c>
      <c r="C3650" s="17">
        <f>IF(Calc!$B3650,Calc!O3650,"")</f>
        <v/>
      </c>
    </row>
    <row r="3651">
      <c r="A3651" s="16">
        <f>IF(Calc!$B3651,Calc!E3651,"")</f>
        <v/>
      </c>
      <c r="B3651">
        <f>IF(Calc!$B3651,INDEX(MineNames,Calc!C3651),"")</f>
        <v/>
      </c>
      <c r="C3651" s="17">
        <f>IF(Calc!$B3651,Calc!O3651,"")</f>
        <v/>
      </c>
    </row>
    <row r="3652">
      <c r="A3652" s="16">
        <f>IF(Calc!$B3652,Calc!E3652,"")</f>
        <v/>
      </c>
      <c r="B3652">
        <f>IF(Calc!$B3652,INDEX(MineNames,Calc!C3652),"")</f>
        <v/>
      </c>
      <c r="C3652" s="17">
        <f>IF(Calc!$B3652,Calc!O3652,"")</f>
        <v/>
      </c>
    </row>
    <row r="3653">
      <c r="A3653" s="16">
        <f>IF(Calc!$B3653,Calc!E3653,"")</f>
        <v/>
      </c>
      <c r="B3653">
        <f>IF(Calc!$B3653,INDEX(MineNames,Calc!C3653),"")</f>
        <v/>
      </c>
      <c r="C3653" s="17">
        <f>IF(Calc!$B3653,Calc!O3653,"")</f>
        <v/>
      </c>
    </row>
    <row r="3654">
      <c r="A3654" s="16">
        <f>IF(Calc!$B3654,Calc!E3654,"")</f>
        <v/>
      </c>
      <c r="B3654">
        <f>IF(Calc!$B3654,INDEX(MineNames,Calc!C3654),"")</f>
        <v/>
      </c>
      <c r="C3654" s="17">
        <f>IF(Calc!$B3654,Calc!O3654,"")</f>
        <v/>
      </c>
    </row>
    <row r="3655">
      <c r="A3655" s="16">
        <f>IF(Calc!$B3655,Calc!E3655,"")</f>
        <v/>
      </c>
      <c r="B3655">
        <f>IF(Calc!$B3655,INDEX(MineNames,Calc!C3655),"")</f>
        <v/>
      </c>
      <c r="C3655" s="17">
        <f>IF(Calc!$B3655,Calc!O3655,"")</f>
        <v/>
      </c>
    </row>
    <row r="3656">
      <c r="A3656" s="16">
        <f>IF(Calc!$B3656,Calc!E3656,"")</f>
        <v/>
      </c>
      <c r="B3656">
        <f>IF(Calc!$B3656,INDEX(MineNames,Calc!C3656),"")</f>
        <v/>
      </c>
      <c r="C3656" s="17">
        <f>IF(Calc!$B3656,Calc!O3656,"")</f>
        <v/>
      </c>
    </row>
    <row r="3657">
      <c r="A3657" s="16">
        <f>IF(Calc!$B3657,Calc!E3657,"")</f>
        <v/>
      </c>
      <c r="B3657">
        <f>IF(Calc!$B3657,INDEX(MineNames,Calc!C3657),"")</f>
        <v/>
      </c>
      <c r="C3657" s="17">
        <f>IF(Calc!$B3657,Calc!O3657,"")</f>
        <v/>
      </c>
    </row>
    <row r="3658">
      <c r="A3658" s="16">
        <f>IF(Calc!$B3658,Calc!E3658,"")</f>
        <v/>
      </c>
      <c r="B3658">
        <f>IF(Calc!$B3658,INDEX(MineNames,Calc!C3658),"")</f>
        <v/>
      </c>
      <c r="C3658" s="17">
        <f>IF(Calc!$B3658,Calc!O3658,"")</f>
        <v/>
      </c>
    </row>
    <row r="3659">
      <c r="A3659" s="16">
        <f>IF(Calc!$B3659,Calc!E3659,"")</f>
        <v/>
      </c>
      <c r="B3659">
        <f>IF(Calc!$B3659,INDEX(MineNames,Calc!C3659),"")</f>
        <v/>
      </c>
      <c r="C3659" s="17">
        <f>IF(Calc!$B3659,Calc!O3659,"")</f>
        <v/>
      </c>
    </row>
    <row r="3660">
      <c r="A3660" s="16">
        <f>IF(Calc!$B3660,Calc!E3660,"")</f>
        <v/>
      </c>
      <c r="B3660">
        <f>IF(Calc!$B3660,INDEX(MineNames,Calc!C3660),"")</f>
        <v/>
      </c>
      <c r="C3660" s="17">
        <f>IF(Calc!$B3660,Calc!O3660,"")</f>
        <v/>
      </c>
    </row>
    <row r="3661">
      <c r="A3661" s="16">
        <f>IF(Calc!$B3661,Calc!E3661,"")</f>
        <v/>
      </c>
      <c r="B3661">
        <f>IF(Calc!$B3661,INDEX(MineNames,Calc!C3661),"")</f>
        <v/>
      </c>
      <c r="C3661" s="17">
        <f>IF(Calc!$B3661,Calc!O3661,"")</f>
        <v/>
      </c>
    </row>
    <row r="3662">
      <c r="A3662" s="16">
        <f>IF(Calc!$B3662,Calc!E3662,"")</f>
        <v/>
      </c>
      <c r="B3662">
        <f>IF(Calc!$B3662,INDEX(MineNames,Calc!C3662),"")</f>
        <v/>
      </c>
      <c r="C3662" s="17">
        <f>IF(Calc!$B3662,Calc!O3662,"")</f>
        <v/>
      </c>
    </row>
    <row r="3663">
      <c r="A3663" s="16">
        <f>IF(Calc!$B3663,Calc!E3663,"")</f>
        <v/>
      </c>
      <c r="B3663">
        <f>IF(Calc!$B3663,INDEX(MineNames,Calc!C3663),"")</f>
        <v/>
      </c>
      <c r="C3663" s="17">
        <f>IF(Calc!$B3663,Calc!O3663,"")</f>
        <v/>
      </c>
    </row>
    <row r="3664">
      <c r="A3664" s="16">
        <f>IF(Calc!$B3664,Calc!E3664,"")</f>
        <v/>
      </c>
      <c r="B3664">
        <f>IF(Calc!$B3664,INDEX(MineNames,Calc!C3664),"")</f>
        <v/>
      </c>
      <c r="C3664" s="17">
        <f>IF(Calc!$B3664,Calc!O3664,"")</f>
        <v/>
      </c>
    </row>
    <row r="3665">
      <c r="A3665" s="16">
        <f>IF(Calc!$B3665,Calc!E3665,"")</f>
        <v/>
      </c>
      <c r="B3665">
        <f>IF(Calc!$B3665,INDEX(MineNames,Calc!C3665),"")</f>
        <v/>
      </c>
      <c r="C3665" s="17">
        <f>IF(Calc!$B3665,Calc!O3665,"")</f>
        <v/>
      </c>
    </row>
    <row r="3666">
      <c r="A3666" s="16">
        <f>IF(Calc!$B3666,Calc!E3666,"")</f>
        <v/>
      </c>
      <c r="B3666">
        <f>IF(Calc!$B3666,INDEX(MineNames,Calc!C3666),"")</f>
        <v/>
      </c>
      <c r="C3666" s="17">
        <f>IF(Calc!$B3666,Calc!O3666,"")</f>
        <v/>
      </c>
    </row>
    <row r="3667">
      <c r="A3667" s="16">
        <f>IF(Calc!$B3667,Calc!E3667,"")</f>
        <v/>
      </c>
      <c r="B3667">
        <f>IF(Calc!$B3667,INDEX(MineNames,Calc!C3667),"")</f>
        <v/>
      </c>
      <c r="C3667" s="17">
        <f>IF(Calc!$B3667,Calc!O3667,"")</f>
        <v/>
      </c>
    </row>
    <row r="3668">
      <c r="A3668" s="16">
        <f>IF(Calc!$B3668,Calc!E3668,"")</f>
        <v/>
      </c>
      <c r="B3668">
        <f>IF(Calc!$B3668,INDEX(MineNames,Calc!C3668),"")</f>
        <v/>
      </c>
      <c r="C3668" s="17">
        <f>IF(Calc!$B3668,Calc!O3668,"")</f>
        <v/>
      </c>
    </row>
    <row r="3669">
      <c r="A3669" s="16">
        <f>IF(Calc!$B3669,Calc!E3669,"")</f>
        <v/>
      </c>
      <c r="B3669">
        <f>IF(Calc!$B3669,INDEX(MineNames,Calc!C3669),"")</f>
        <v/>
      </c>
      <c r="C3669" s="17">
        <f>IF(Calc!$B3669,Calc!O3669,"")</f>
        <v/>
      </c>
    </row>
    <row r="3670">
      <c r="A3670" s="16">
        <f>IF(Calc!$B3670,Calc!E3670,"")</f>
        <v/>
      </c>
      <c r="B3670">
        <f>IF(Calc!$B3670,INDEX(MineNames,Calc!C3670),"")</f>
        <v/>
      </c>
      <c r="C3670" s="17">
        <f>IF(Calc!$B3670,Calc!O3670,"")</f>
        <v/>
      </c>
    </row>
    <row r="3671">
      <c r="A3671" s="16">
        <f>IF(Calc!$B3671,Calc!E3671,"")</f>
        <v/>
      </c>
      <c r="B3671">
        <f>IF(Calc!$B3671,INDEX(MineNames,Calc!C3671),"")</f>
        <v/>
      </c>
      <c r="C3671" s="17">
        <f>IF(Calc!$B3671,Calc!O3671,"")</f>
        <v/>
      </c>
    </row>
    <row r="3672">
      <c r="A3672" s="16">
        <f>IF(Calc!$B3672,Calc!E3672,"")</f>
        <v/>
      </c>
      <c r="B3672">
        <f>IF(Calc!$B3672,INDEX(MineNames,Calc!C3672),"")</f>
        <v/>
      </c>
      <c r="C3672" s="17">
        <f>IF(Calc!$B3672,Calc!O3672,"")</f>
        <v/>
      </c>
    </row>
    <row r="3673">
      <c r="A3673" s="16">
        <f>IF(Calc!$B3673,Calc!E3673,"")</f>
        <v/>
      </c>
      <c r="B3673">
        <f>IF(Calc!$B3673,INDEX(MineNames,Calc!C3673),"")</f>
        <v/>
      </c>
      <c r="C3673" s="17">
        <f>IF(Calc!$B3673,Calc!O3673,"")</f>
        <v/>
      </c>
    </row>
    <row r="3674">
      <c r="A3674" s="16">
        <f>IF(Calc!$B3674,Calc!E3674,"")</f>
        <v/>
      </c>
      <c r="B3674">
        <f>IF(Calc!$B3674,INDEX(MineNames,Calc!C3674),"")</f>
        <v/>
      </c>
      <c r="C3674" s="17">
        <f>IF(Calc!$B3674,Calc!O3674,"")</f>
        <v/>
      </c>
    </row>
    <row r="3675">
      <c r="A3675" s="16">
        <f>IF(Calc!$B3675,Calc!E3675,"")</f>
        <v/>
      </c>
      <c r="B3675">
        <f>IF(Calc!$B3675,INDEX(MineNames,Calc!C3675),"")</f>
        <v/>
      </c>
      <c r="C3675" s="17">
        <f>IF(Calc!$B3675,Calc!O3675,"")</f>
        <v/>
      </c>
    </row>
    <row r="3676">
      <c r="A3676" s="16">
        <f>IF(Calc!$B3676,Calc!E3676,"")</f>
        <v/>
      </c>
      <c r="B3676">
        <f>IF(Calc!$B3676,INDEX(MineNames,Calc!C3676),"")</f>
        <v/>
      </c>
      <c r="C3676" s="17">
        <f>IF(Calc!$B3676,Calc!O3676,"")</f>
        <v/>
      </c>
    </row>
    <row r="3677">
      <c r="A3677" s="16">
        <f>IF(Calc!$B3677,Calc!E3677,"")</f>
        <v/>
      </c>
      <c r="B3677">
        <f>IF(Calc!$B3677,INDEX(MineNames,Calc!C3677),"")</f>
        <v/>
      </c>
      <c r="C3677" s="17">
        <f>IF(Calc!$B3677,Calc!O3677,"")</f>
        <v/>
      </c>
    </row>
    <row r="3678">
      <c r="A3678" s="16">
        <f>IF(Calc!$B3678,Calc!E3678,"")</f>
        <v/>
      </c>
      <c r="B3678">
        <f>IF(Calc!$B3678,INDEX(MineNames,Calc!C3678),"")</f>
        <v/>
      </c>
      <c r="C3678" s="17">
        <f>IF(Calc!$B3678,Calc!O3678,"")</f>
        <v/>
      </c>
    </row>
    <row r="3679">
      <c r="A3679" s="16">
        <f>IF(Calc!$B3679,Calc!E3679,"")</f>
        <v/>
      </c>
      <c r="B3679">
        <f>IF(Calc!$B3679,INDEX(MineNames,Calc!C3679),"")</f>
        <v/>
      </c>
      <c r="C3679" s="17">
        <f>IF(Calc!$B3679,Calc!O3679,"")</f>
        <v/>
      </c>
    </row>
    <row r="3680">
      <c r="A3680" s="16">
        <f>IF(Calc!$B3680,Calc!E3680,"")</f>
        <v/>
      </c>
      <c r="B3680">
        <f>IF(Calc!$B3680,INDEX(MineNames,Calc!C3680),"")</f>
        <v/>
      </c>
      <c r="C3680" s="17">
        <f>IF(Calc!$B3680,Calc!O3680,"")</f>
        <v/>
      </c>
    </row>
    <row r="3681">
      <c r="A3681" s="16">
        <f>IF(Calc!$B3681,Calc!E3681,"")</f>
        <v/>
      </c>
      <c r="B3681">
        <f>IF(Calc!$B3681,INDEX(MineNames,Calc!C3681),"")</f>
        <v/>
      </c>
      <c r="C3681" s="17">
        <f>IF(Calc!$B3681,Calc!O3681,"")</f>
        <v/>
      </c>
    </row>
    <row r="3682">
      <c r="A3682" s="16">
        <f>IF(Calc!$B3682,Calc!E3682,"")</f>
        <v/>
      </c>
      <c r="B3682">
        <f>IF(Calc!$B3682,INDEX(MineNames,Calc!C3682),"")</f>
        <v/>
      </c>
      <c r="C3682" s="17">
        <f>IF(Calc!$B3682,Calc!O3682,"")</f>
        <v/>
      </c>
    </row>
    <row r="3683">
      <c r="A3683" s="16">
        <f>IF(Calc!$B3683,Calc!E3683,"")</f>
        <v/>
      </c>
      <c r="B3683">
        <f>IF(Calc!$B3683,INDEX(MineNames,Calc!C3683),"")</f>
        <v/>
      </c>
      <c r="C3683" s="17">
        <f>IF(Calc!$B3683,Calc!O3683,"")</f>
        <v/>
      </c>
    </row>
    <row r="3684">
      <c r="A3684" s="16">
        <f>IF(Calc!$B3684,Calc!E3684,"")</f>
        <v/>
      </c>
      <c r="B3684">
        <f>IF(Calc!$B3684,INDEX(MineNames,Calc!C3684),"")</f>
        <v/>
      </c>
      <c r="C3684" s="17">
        <f>IF(Calc!$B3684,Calc!O3684,"")</f>
        <v/>
      </c>
    </row>
    <row r="3685">
      <c r="A3685" s="16">
        <f>IF(Calc!$B3685,Calc!E3685,"")</f>
        <v/>
      </c>
      <c r="B3685">
        <f>IF(Calc!$B3685,INDEX(MineNames,Calc!C3685),"")</f>
        <v/>
      </c>
      <c r="C3685" s="17">
        <f>IF(Calc!$B3685,Calc!O3685,"")</f>
        <v/>
      </c>
    </row>
    <row r="3686">
      <c r="A3686" s="16">
        <f>IF(Calc!$B3686,Calc!E3686,"")</f>
        <v/>
      </c>
      <c r="B3686">
        <f>IF(Calc!$B3686,INDEX(MineNames,Calc!C3686),"")</f>
        <v/>
      </c>
      <c r="C3686" s="17">
        <f>IF(Calc!$B3686,Calc!O3686,"")</f>
        <v/>
      </c>
    </row>
    <row r="3687">
      <c r="A3687" s="16">
        <f>IF(Calc!$B3687,Calc!E3687,"")</f>
        <v/>
      </c>
      <c r="B3687">
        <f>IF(Calc!$B3687,INDEX(MineNames,Calc!C3687),"")</f>
        <v/>
      </c>
      <c r="C3687" s="17">
        <f>IF(Calc!$B3687,Calc!O3687,"")</f>
        <v/>
      </c>
    </row>
    <row r="3688">
      <c r="A3688" s="16">
        <f>IF(Calc!$B3688,Calc!E3688,"")</f>
        <v/>
      </c>
      <c r="B3688">
        <f>IF(Calc!$B3688,INDEX(MineNames,Calc!C3688),"")</f>
        <v/>
      </c>
      <c r="C3688" s="17">
        <f>IF(Calc!$B3688,Calc!O3688,"")</f>
        <v/>
      </c>
    </row>
    <row r="3689">
      <c r="A3689" s="16">
        <f>IF(Calc!$B3689,Calc!E3689,"")</f>
        <v/>
      </c>
      <c r="B3689">
        <f>IF(Calc!$B3689,INDEX(MineNames,Calc!C3689),"")</f>
        <v/>
      </c>
      <c r="C3689" s="17">
        <f>IF(Calc!$B3689,Calc!O3689,"")</f>
        <v/>
      </c>
    </row>
    <row r="3690">
      <c r="A3690" s="16">
        <f>IF(Calc!$B3690,Calc!E3690,"")</f>
        <v/>
      </c>
      <c r="B3690">
        <f>IF(Calc!$B3690,INDEX(MineNames,Calc!C3690),"")</f>
        <v/>
      </c>
      <c r="C3690" s="17">
        <f>IF(Calc!$B3690,Calc!O3690,"")</f>
        <v/>
      </c>
    </row>
    <row r="3691">
      <c r="A3691" s="16">
        <f>IF(Calc!$B3691,Calc!E3691,"")</f>
        <v/>
      </c>
      <c r="B3691">
        <f>IF(Calc!$B3691,INDEX(MineNames,Calc!C3691),"")</f>
        <v/>
      </c>
      <c r="C3691" s="17">
        <f>IF(Calc!$B3691,Calc!O3691,"")</f>
        <v/>
      </c>
    </row>
    <row r="3692">
      <c r="A3692" s="16">
        <f>IF(Calc!$B3692,Calc!E3692,"")</f>
        <v/>
      </c>
      <c r="B3692">
        <f>IF(Calc!$B3692,INDEX(MineNames,Calc!C3692),"")</f>
        <v/>
      </c>
      <c r="C3692" s="17">
        <f>IF(Calc!$B3692,Calc!O3692,"")</f>
        <v/>
      </c>
    </row>
    <row r="3693">
      <c r="A3693" s="16">
        <f>IF(Calc!$B3693,Calc!E3693,"")</f>
        <v/>
      </c>
      <c r="B3693">
        <f>IF(Calc!$B3693,INDEX(MineNames,Calc!C3693),"")</f>
        <v/>
      </c>
      <c r="C3693" s="17">
        <f>IF(Calc!$B3693,Calc!O3693,"")</f>
        <v/>
      </c>
    </row>
    <row r="3694">
      <c r="A3694" s="16">
        <f>IF(Calc!$B3694,Calc!E3694,"")</f>
        <v/>
      </c>
      <c r="B3694">
        <f>IF(Calc!$B3694,INDEX(MineNames,Calc!C3694),"")</f>
        <v/>
      </c>
      <c r="C3694" s="17">
        <f>IF(Calc!$B3694,Calc!O3694,"")</f>
        <v/>
      </c>
    </row>
    <row r="3695">
      <c r="A3695" s="16">
        <f>IF(Calc!$B3695,Calc!E3695,"")</f>
        <v/>
      </c>
      <c r="B3695">
        <f>IF(Calc!$B3695,INDEX(MineNames,Calc!C3695),"")</f>
        <v/>
      </c>
      <c r="C3695" s="17">
        <f>IF(Calc!$B3695,Calc!O3695,"")</f>
        <v/>
      </c>
    </row>
    <row r="3696">
      <c r="A3696" s="16">
        <f>IF(Calc!$B3696,Calc!E3696,"")</f>
        <v/>
      </c>
      <c r="B3696">
        <f>IF(Calc!$B3696,INDEX(MineNames,Calc!C3696),"")</f>
        <v/>
      </c>
      <c r="C3696" s="17">
        <f>IF(Calc!$B3696,Calc!O3696,"")</f>
        <v/>
      </c>
    </row>
    <row r="3697">
      <c r="A3697" s="16">
        <f>IF(Calc!$B3697,Calc!E3697,"")</f>
        <v/>
      </c>
      <c r="B3697">
        <f>IF(Calc!$B3697,INDEX(MineNames,Calc!C3697),"")</f>
        <v/>
      </c>
      <c r="C3697" s="17">
        <f>IF(Calc!$B3697,Calc!O3697,"")</f>
        <v/>
      </c>
    </row>
    <row r="3698">
      <c r="A3698" s="16">
        <f>IF(Calc!$B3698,Calc!E3698,"")</f>
        <v/>
      </c>
      <c r="B3698">
        <f>IF(Calc!$B3698,INDEX(MineNames,Calc!C3698),"")</f>
        <v/>
      </c>
      <c r="C3698" s="17">
        <f>IF(Calc!$B3698,Calc!O3698,"")</f>
        <v/>
      </c>
    </row>
    <row r="3699">
      <c r="A3699" s="16">
        <f>IF(Calc!$B3699,Calc!E3699,"")</f>
        <v/>
      </c>
      <c r="B3699">
        <f>IF(Calc!$B3699,INDEX(MineNames,Calc!C3699),"")</f>
        <v/>
      </c>
      <c r="C3699" s="17">
        <f>IF(Calc!$B3699,Calc!O3699,"")</f>
        <v/>
      </c>
    </row>
    <row r="3700">
      <c r="A3700" s="16">
        <f>IF(Calc!$B3700,Calc!E3700,"")</f>
        <v/>
      </c>
      <c r="B3700">
        <f>IF(Calc!$B3700,INDEX(MineNames,Calc!C3700),"")</f>
        <v/>
      </c>
      <c r="C3700" s="17">
        <f>IF(Calc!$B3700,Calc!O3700,"")</f>
        <v/>
      </c>
    </row>
    <row r="3701">
      <c r="A3701" s="16">
        <f>IF(Calc!$B3701,Calc!E3701,"")</f>
        <v/>
      </c>
      <c r="B3701">
        <f>IF(Calc!$B3701,INDEX(MineNames,Calc!C3701),"")</f>
        <v/>
      </c>
      <c r="C3701" s="17">
        <f>IF(Calc!$B3701,Calc!O3701,"")</f>
        <v/>
      </c>
    </row>
    <row r="3702">
      <c r="A3702" s="16">
        <f>IF(Calc!$B3702,Calc!E3702,"")</f>
        <v/>
      </c>
      <c r="B3702">
        <f>IF(Calc!$B3702,INDEX(MineNames,Calc!C3702),"")</f>
        <v/>
      </c>
      <c r="C3702" s="17">
        <f>IF(Calc!$B3702,Calc!O3702,"")</f>
        <v/>
      </c>
    </row>
    <row r="3703">
      <c r="A3703" s="16">
        <f>IF(Calc!$B3703,Calc!E3703,"")</f>
        <v/>
      </c>
      <c r="B3703">
        <f>IF(Calc!$B3703,INDEX(MineNames,Calc!C3703),"")</f>
        <v/>
      </c>
      <c r="C3703" s="17">
        <f>IF(Calc!$B3703,Calc!O3703,"")</f>
        <v/>
      </c>
    </row>
    <row r="3704">
      <c r="A3704" s="16">
        <f>IF(Calc!$B3704,Calc!E3704,"")</f>
        <v/>
      </c>
      <c r="B3704">
        <f>IF(Calc!$B3704,INDEX(MineNames,Calc!C3704),"")</f>
        <v/>
      </c>
      <c r="C3704" s="17">
        <f>IF(Calc!$B3704,Calc!O3704,"")</f>
        <v/>
      </c>
    </row>
    <row r="3705">
      <c r="A3705" s="16">
        <f>IF(Calc!$B3705,Calc!E3705,"")</f>
        <v/>
      </c>
      <c r="B3705">
        <f>IF(Calc!$B3705,INDEX(MineNames,Calc!C3705),"")</f>
        <v/>
      </c>
      <c r="C3705" s="17">
        <f>IF(Calc!$B3705,Calc!O3705,"")</f>
        <v/>
      </c>
    </row>
    <row r="3706">
      <c r="A3706" s="16">
        <f>IF(Calc!$B3706,Calc!E3706,"")</f>
        <v/>
      </c>
      <c r="B3706">
        <f>IF(Calc!$B3706,INDEX(MineNames,Calc!C3706),"")</f>
        <v/>
      </c>
      <c r="C3706" s="17">
        <f>IF(Calc!$B3706,Calc!O3706,"")</f>
        <v/>
      </c>
    </row>
    <row r="3707">
      <c r="A3707" s="16">
        <f>IF(Calc!$B3707,Calc!E3707,"")</f>
        <v/>
      </c>
      <c r="B3707">
        <f>IF(Calc!$B3707,INDEX(MineNames,Calc!C3707),"")</f>
        <v/>
      </c>
      <c r="C3707" s="17">
        <f>IF(Calc!$B3707,Calc!O3707,"")</f>
        <v/>
      </c>
    </row>
    <row r="3708">
      <c r="A3708" s="16">
        <f>IF(Calc!$B3708,Calc!E3708,"")</f>
        <v/>
      </c>
      <c r="B3708">
        <f>IF(Calc!$B3708,INDEX(MineNames,Calc!C3708),"")</f>
        <v/>
      </c>
      <c r="C3708" s="17">
        <f>IF(Calc!$B3708,Calc!O3708,"")</f>
        <v/>
      </c>
    </row>
    <row r="3709">
      <c r="A3709" s="16">
        <f>IF(Calc!$B3709,Calc!E3709,"")</f>
        <v/>
      </c>
      <c r="B3709">
        <f>IF(Calc!$B3709,INDEX(MineNames,Calc!C3709),"")</f>
        <v/>
      </c>
      <c r="C3709" s="17">
        <f>IF(Calc!$B3709,Calc!O3709,"")</f>
        <v/>
      </c>
    </row>
    <row r="3710">
      <c r="A3710" s="16">
        <f>IF(Calc!$B3710,Calc!E3710,"")</f>
        <v/>
      </c>
      <c r="B3710">
        <f>IF(Calc!$B3710,INDEX(MineNames,Calc!C3710),"")</f>
        <v/>
      </c>
      <c r="C3710" s="17">
        <f>IF(Calc!$B3710,Calc!O3710,"")</f>
        <v/>
      </c>
    </row>
    <row r="3711">
      <c r="A3711" s="16">
        <f>IF(Calc!$B3711,Calc!E3711,"")</f>
        <v/>
      </c>
      <c r="B3711">
        <f>IF(Calc!$B3711,INDEX(MineNames,Calc!C3711),"")</f>
        <v/>
      </c>
      <c r="C3711" s="17">
        <f>IF(Calc!$B3711,Calc!O3711,"")</f>
        <v/>
      </c>
    </row>
    <row r="3712">
      <c r="A3712" s="16">
        <f>IF(Calc!$B3712,Calc!E3712,"")</f>
        <v/>
      </c>
      <c r="B3712">
        <f>IF(Calc!$B3712,INDEX(MineNames,Calc!C3712),"")</f>
        <v/>
      </c>
      <c r="C3712" s="17">
        <f>IF(Calc!$B3712,Calc!O3712,"")</f>
        <v/>
      </c>
    </row>
    <row r="3713">
      <c r="A3713" s="16">
        <f>IF(Calc!$B3713,Calc!E3713,"")</f>
        <v/>
      </c>
      <c r="B3713">
        <f>IF(Calc!$B3713,INDEX(MineNames,Calc!C3713),"")</f>
        <v/>
      </c>
      <c r="C3713" s="17">
        <f>IF(Calc!$B3713,Calc!O3713,"")</f>
        <v/>
      </c>
    </row>
    <row r="3714">
      <c r="A3714" s="16">
        <f>IF(Calc!$B3714,Calc!E3714,"")</f>
        <v/>
      </c>
      <c r="B3714">
        <f>IF(Calc!$B3714,INDEX(MineNames,Calc!C3714),"")</f>
        <v/>
      </c>
      <c r="C3714" s="17">
        <f>IF(Calc!$B3714,Calc!O3714,"")</f>
        <v/>
      </c>
    </row>
    <row r="3715">
      <c r="A3715" s="16">
        <f>IF(Calc!$B3715,Calc!E3715,"")</f>
        <v/>
      </c>
      <c r="B3715">
        <f>IF(Calc!$B3715,INDEX(MineNames,Calc!C3715),"")</f>
        <v/>
      </c>
      <c r="C3715" s="17">
        <f>IF(Calc!$B3715,Calc!O3715,"")</f>
        <v/>
      </c>
    </row>
    <row r="3716">
      <c r="A3716" s="16">
        <f>IF(Calc!$B3716,Calc!E3716,"")</f>
        <v/>
      </c>
      <c r="B3716">
        <f>IF(Calc!$B3716,INDEX(MineNames,Calc!C3716),"")</f>
        <v/>
      </c>
      <c r="C3716" s="17">
        <f>IF(Calc!$B3716,Calc!O3716,"")</f>
        <v/>
      </c>
    </row>
    <row r="3717">
      <c r="A3717" s="16">
        <f>IF(Calc!$B3717,Calc!E3717,"")</f>
        <v/>
      </c>
      <c r="B3717">
        <f>IF(Calc!$B3717,INDEX(MineNames,Calc!C3717),"")</f>
        <v/>
      </c>
      <c r="C3717" s="17">
        <f>IF(Calc!$B3717,Calc!O3717,"")</f>
        <v/>
      </c>
    </row>
    <row r="3718">
      <c r="A3718" s="16">
        <f>IF(Calc!$B3718,Calc!E3718,"")</f>
        <v/>
      </c>
      <c r="B3718">
        <f>IF(Calc!$B3718,INDEX(MineNames,Calc!C3718),"")</f>
        <v/>
      </c>
      <c r="C3718" s="17">
        <f>IF(Calc!$B3718,Calc!O3718,"")</f>
        <v/>
      </c>
    </row>
    <row r="3719">
      <c r="A3719" s="16">
        <f>IF(Calc!$B3719,Calc!E3719,"")</f>
        <v/>
      </c>
      <c r="B3719">
        <f>IF(Calc!$B3719,INDEX(MineNames,Calc!C3719),"")</f>
        <v/>
      </c>
      <c r="C3719" s="17">
        <f>IF(Calc!$B3719,Calc!O3719,"")</f>
        <v/>
      </c>
    </row>
    <row r="3720">
      <c r="A3720" s="16">
        <f>IF(Calc!$B3720,Calc!E3720,"")</f>
        <v/>
      </c>
      <c r="B3720">
        <f>IF(Calc!$B3720,INDEX(MineNames,Calc!C3720),"")</f>
        <v/>
      </c>
      <c r="C3720" s="17">
        <f>IF(Calc!$B3720,Calc!O3720,"")</f>
        <v/>
      </c>
    </row>
    <row r="3721">
      <c r="A3721" s="16">
        <f>IF(Calc!$B3721,Calc!E3721,"")</f>
        <v/>
      </c>
      <c r="B3721">
        <f>IF(Calc!$B3721,INDEX(MineNames,Calc!C3721),"")</f>
        <v/>
      </c>
      <c r="C3721" s="17">
        <f>IF(Calc!$B3721,Calc!O3721,"")</f>
        <v/>
      </c>
    </row>
    <row r="3722">
      <c r="A3722" s="16">
        <f>IF(Calc!$B3722,Calc!E3722,"")</f>
        <v/>
      </c>
      <c r="B3722">
        <f>IF(Calc!$B3722,INDEX(MineNames,Calc!C3722),"")</f>
        <v/>
      </c>
      <c r="C3722" s="17">
        <f>IF(Calc!$B3722,Calc!O3722,"")</f>
        <v/>
      </c>
    </row>
    <row r="3723">
      <c r="A3723" s="16">
        <f>IF(Calc!$B3723,Calc!E3723,"")</f>
        <v/>
      </c>
      <c r="B3723">
        <f>IF(Calc!$B3723,INDEX(MineNames,Calc!C3723),"")</f>
        <v/>
      </c>
      <c r="C3723" s="17">
        <f>IF(Calc!$B3723,Calc!O3723,"")</f>
        <v/>
      </c>
    </row>
    <row r="3724">
      <c r="A3724" s="16">
        <f>IF(Calc!$B3724,Calc!E3724,"")</f>
        <v/>
      </c>
      <c r="B3724">
        <f>IF(Calc!$B3724,INDEX(MineNames,Calc!C3724),"")</f>
        <v/>
      </c>
      <c r="C3724" s="17">
        <f>IF(Calc!$B3724,Calc!O3724,"")</f>
        <v/>
      </c>
    </row>
    <row r="3725">
      <c r="A3725" s="16">
        <f>IF(Calc!$B3725,Calc!E3725,"")</f>
        <v/>
      </c>
      <c r="B3725">
        <f>IF(Calc!$B3725,INDEX(MineNames,Calc!C3725),"")</f>
        <v/>
      </c>
      <c r="C3725" s="17">
        <f>IF(Calc!$B3725,Calc!O3725,"")</f>
        <v/>
      </c>
    </row>
    <row r="3726">
      <c r="A3726" s="16">
        <f>IF(Calc!$B3726,Calc!E3726,"")</f>
        <v/>
      </c>
      <c r="B3726">
        <f>IF(Calc!$B3726,INDEX(MineNames,Calc!C3726),"")</f>
        <v/>
      </c>
      <c r="C3726" s="17">
        <f>IF(Calc!$B3726,Calc!O3726,"")</f>
        <v/>
      </c>
    </row>
    <row r="3727">
      <c r="A3727" s="16">
        <f>IF(Calc!$B3727,Calc!E3727,"")</f>
        <v/>
      </c>
      <c r="B3727">
        <f>IF(Calc!$B3727,INDEX(MineNames,Calc!C3727),"")</f>
        <v/>
      </c>
      <c r="C3727" s="17">
        <f>IF(Calc!$B3727,Calc!O3727,"")</f>
        <v/>
      </c>
    </row>
    <row r="3728">
      <c r="A3728" s="16">
        <f>IF(Calc!$B3728,Calc!E3728,"")</f>
        <v/>
      </c>
      <c r="B3728">
        <f>IF(Calc!$B3728,INDEX(MineNames,Calc!C3728),"")</f>
        <v/>
      </c>
      <c r="C3728" s="17">
        <f>IF(Calc!$B3728,Calc!O3728,"")</f>
        <v/>
      </c>
    </row>
    <row r="3729">
      <c r="A3729" s="16">
        <f>IF(Calc!$B3729,Calc!E3729,"")</f>
        <v/>
      </c>
      <c r="B3729">
        <f>IF(Calc!$B3729,INDEX(MineNames,Calc!C3729),"")</f>
        <v/>
      </c>
      <c r="C3729" s="17">
        <f>IF(Calc!$B3729,Calc!O3729,"")</f>
        <v/>
      </c>
    </row>
    <row r="3730">
      <c r="A3730" s="16">
        <f>IF(Calc!$B3730,Calc!E3730,"")</f>
        <v/>
      </c>
      <c r="B3730">
        <f>IF(Calc!$B3730,INDEX(MineNames,Calc!C3730),"")</f>
        <v/>
      </c>
      <c r="C3730" s="17">
        <f>IF(Calc!$B3730,Calc!O3730,"")</f>
        <v/>
      </c>
    </row>
    <row r="3731">
      <c r="A3731" s="16">
        <f>IF(Calc!$B3731,Calc!E3731,"")</f>
        <v/>
      </c>
      <c r="B3731">
        <f>IF(Calc!$B3731,INDEX(MineNames,Calc!C3731),"")</f>
        <v/>
      </c>
      <c r="C3731" s="17">
        <f>IF(Calc!$B3731,Calc!O3731,"")</f>
        <v/>
      </c>
    </row>
    <row r="3732">
      <c r="A3732" s="16">
        <f>IF(Calc!$B3732,Calc!E3732,"")</f>
        <v/>
      </c>
      <c r="B3732">
        <f>IF(Calc!$B3732,INDEX(MineNames,Calc!C3732),"")</f>
        <v/>
      </c>
      <c r="C3732" s="17">
        <f>IF(Calc!$B3732,Calc!O3732,"")</f>
        <v/>
      </c>
    </row>
    <row r="3733">
      <c r="A3733" s="16">
        <f>IF(Calc!$B3733,Calc!E3733,"")</f>
        <v/>
      </c>
      <c r="B3733">
        <f>IF(Calc!$B3733,INDEX(MineNames,Calc!C3733),"")</f>
        <v/>
      </c>
      <c r="C3733" s="17">
        <f>IF(Calc!$B3733,Calc!O3733,"")</f>
        <v/>
      </c>
    </row>
    <row r="3734">
      <c r="A3734" s="16">
        <f>IF(Calc!$B3734,Calc!E3734,"")</f>
        <v/>
      </c>
      <c r="B3734">
        <f>IF(Calc!$B3734,INDEX(MineNames,Calc!C3734),"")</f>
        <v/>
      </c>
      <c r="C3734" s="17">
        <f>IF(Calc!$B3734,Calc!O3734,"")</f>
        <v/>
      </c>
    </row>
    <row r="3735">
      <c r="A3735" s="16">
        <f>IF(Calc!$B3735,Calc!E3735,"")</f>
        <v/>
      </c>
      <c r="B3735">
        <f>IF(Calc!$B3735,INDEX(MineNames,Calc!C3735),"")</f>
        <v/>
      </c>
      <c r="C3735" s="17">
        <f>IF(Calc!$B3735,Calc!O3735,"")</f>
        <v/>
      </c>
    </row>
    <row r="3736">
      <c r="A3736" s="16">
        <f>IF(Calc!$B3736,Calc!E3736,"")</f>
        <v/>
      </c>
      <c r="B3736">
        <f>IF(Calc!$B3736,INDEX(MineNames,Calc!C3736),"")</f>
        <v/>
      </c>
      <c r="C3736" s="17">
        <f>IF(Calc!$B3736,Calc!O3736,"")</f>
        <v/>
      </c>
    </row>
    <row r="3737">
      <c r="A3737" s="16">
        <f>IF(Calc!$B3737,Calc!E3737,"")</f>
        <v/>
      </c>
      <c r="B3737">
        <f>IF(Calc!$B3737,INDEX(MineNames,Calc!C3737),"")</f>
        <v/>
      </c>
      <c r="C3737" s="17">
        <f>IF(Calc!$B3737,Calc!O3737,"")</f>
        <v/>
      </c>
    </row>
    <row r="3738">
      <c r="A3738" s="16">
        <f>IF(Calc!$B3738,Calc!E3738,"")</f>
        <v/>
      </c>
      <c r="B3738">
        <f>IF(Calc!$B3738,INDEX(MineNames,Calc!C3738),"")</f>
        <v/>
      </c>
      <c r="C3738" s="17">
        <f>IF(Calc!$B3738,Calc!O3738,"")</f>
        <v/>
      </c>
    </row>
    <row r="3739">
      <c r="A3739" s="16">
        <f>IF(Calc!$B3739,Calc!E3739,"")</f>
        <v/>
      </c>
      <c r="B3739">
        <f>IF(Calc!$B3739,INDEX(MineNames,Calc!C3739),"")</f>
        <v/>
      </c>
      <c r="C3739" s="17">
        <f>IF(Calc!$B3739,Calc!O3739,"")</f>
        <v/>
      </c>
    </row>
    <row r="3740">
      <c r="A3740" s="16">
        <f>IF(Calc!$B3740,Calc!E3740,"")</f>
        <v/>
      </c>
      <c r="B3740">
        <f>IF(Calc!$B3740,INDEX(MineNames,Calc!C3740),"")</f>
        <v/>
      </c>
      <c r="C3740" s="17">
        <f>IF(Calc!$B3740,Calc!O3740,"")</f>
        <v/>
      </c>
    </row>
    <row r="3741">
      <c r="A3741" s="16">
        <f>IF(Calc!$B3741,Calc!E3741,"")</f>
        <v/>
      </c>
      <c r="B3741">
        <f>IF(Calc!$B3741,INDEX(MineNames,Calc!C3741),"")</f>
        <v/>
      </c>
      <c r="C3741" s="17">
        <f>IF(Calc!$B3741,Calc!O3741,"")</f>
        <v/>
      </c>
    </row>
    <row r="3742">
      <c r="A3742" s="16">
        <f>IF(Calc!$B3742,Calc!E3742,"")</f>
        <v/>
      </c>
      <c r="B3742">
        <f>IF(Calc!$B3742,INDEX(MineNames,Calc!C3742),"")</f>
        <v/>
      </c>
      <c r="C3742" s="17">
        <f>IF(Calc!$B3742,Calc!O3742,"")</f>
        <v/>
      </c>
    </row>
    <row r="3743">
      <c r="A3743" s="16">
        <f>IF(Calc!$B3743,Calc!E3743,"")</f>
        <v/>
      </c>
      <c r="B3743">
        <f>IF(Calc!$B3743,INDEX(MineNames,Calc!C3743),"")</f>
        <v/>
      </c>
      <c r="C3743" s="17">
        <f>IF(Calc!$B3743,Calc!O3743,"")</f>
        <v/>
      </c>
    </row>
    <row r="3744">
      <c r="A3744" s="16">
        <f>IF(Calc!$B3744,Calc!E3744,"")</f>
        <v/>
      </c>
      <c r="B3744">
        <f>IF(Calc!$B3744,INDEX(MineNames,Calc!C3744),"")</f>
        <v/>
      </c>
      <c r="C3744" s="17">
        <f>IF(Calc!$B3744,Calc!O3744,"")</f>
        <v/>
      </c>
    </row>
    <row r="3745">
      <c r="A3745" s="16">
        <f>IF(Calc!$B3745,Calc!E3745,"")</f>
        <v/>
      </c>
      <c r="B3745">
        <f>IF(Calc!$B3745,INDEX(MineNames,Calc!C3745),"")</f>
        <v/>
      </c>
      <c r="C3745" s="17">
        <f>IF(Calc!$B3745,Calc!O3745,"")</f>
        <v/>
      </c>
    </row>
    <row r="3746">
      <c r="A3746" s="16">
        <f>IF(Calc!$B3746,Calc!E3746,"")</f>
        <v/>
      </c>
      <c r="B3746">
        <f>IF(Calc!$B3746,INDEX(MineNames,Calc!C3746),"")</f>
        <v/>
      </c>
      <c r="C3746" s="17">
        <f>IF(Calc!$B3746,Calc!O3746,"")</f>
        <v/>
      </c>
    </row>
    <row r="3747">
      <c r="A3747" s="16">
        <f>IF(Calc!$B3747,Calc!E3747,"")</f>
        <v/>
      </c>
      <c r="B3747">
        <f>IF(Calc!$B3747,INDEX(MineNames,Calc!C3747),"")</f>
        <v/>
      </c>
      <c r="C3747" s="17">
        <f>IF(Calc!$B3747,Calc!O3747,"")</f>
        <v/>
      </c>
    </row>
    <row r="3748">
      <c r="A3748" s="16">
        <f>IF(Calc!$B3748,Calc!E3748,"")</f>
        <v/>
      </c>
      <c r="B3748">
        <f>IF(Calc!$B3748,INDEX(MineNames,Calc!C3748),"")</f>
        <v/>
      </c>
      <c r="C3748" s="17">
        <f>IF(Calc!$B3748,Calc!O3748,"")</f>
        <v/>
      </c>
    </row>
    <row r="3749">
      <c r="A3749" s="16">
        <f>IF(Calc!$B3749,Calc!E3749,"")</f>
        <v/>
      </c>
      <c r="B3749">
        <f>IF(Calc!$B3749,INDEX(MineNames,Calc!C3749),"")</f>
        <v/>
      </c>
      <c r="C3749" s="17">
        <f>IF(Calc!$B3749,Calc!O3749,"")</f>
        <v/>
      </c>
    </row>
    <row r="3750">
      <c r="A3750" s="16">
        <f>IF(Calc!$B3750,Calc!E3750,"")</f>
        <v/>
      </c>
      <c r="B3750">
        <f>IF(Calc!$B3750,INDEX(MineNames,Calc!C3750),"")</f>
        <v/>
      </c>
      <c r="C3750" s="17">
        <f>IF(Calc!$B3750,Calc!O3750,"")</f>
        <v/>
      </c>
    </row>
    <row r="3751">
      <c r="A3751" s="16">
        <f>IF(Calc!$B3751,Calc!E3751,"")</f>
        <v/>
      </c>
      <c r="B3751">
        <f>IF(Calc!$B3751,INDEX(MineNames,Calc!C3751),"")</f>
        <v/>
      </c>
      <c r="C3751" s="17">
        <f>IF(Calc!$B3751,Calc!O3751,"")</f>
        <v/>
      </c>
    </row>
    <row r="3752">
      <c r="A3752" s="16">
        <f>IF(Calc!$B3752,Calc!E3752,"")</f>
        <v/>
      </c>
      <c r="B3752">
        <f>IF(Calc!$B3752,INDEX(MineNames,Calc!C3752),"")</f>
        <v/>
      </c>
      <c r="C3752" s="17">
        <f>IF(Calc!$B3752,Calc!O3752,"")</f>
        <v/>
      </c>
    </row>
    <row r="3753">
      <c r="A3753" s="16">
        <f>IF(Calc!$B3753,Calc!E3753,"")</f>
        <v/>
      </c>
      <c r="B3753">
        <f>IF(Calc!$B3753,INDEX(MineNames,Calc!C3753),"")</f>
        <v/>
      </c>
      <c r="C3753" s="17">
        <f>IF(Calc!$B3753,Calc!O3753,"")</f>
        <v/>
      </c>
    </row>
    <row r="3754">
      <c r="A3754" s="16">
        <f>IF(Calc!$B3754,Calc!E3754,"")</f>
        <v/>
      </c>
      <c r="B3754">
        <f>IF(Calc!$B3754,INDEX(MineNames,Calc!C3754),"")</f>
        <v/>
      </c>
      <c r="C3754" s="17">
        <f>IF(Calc!$B3754,Calc!O3754,"")</f>
        <v/>
      </c>
    </row>
    <row r="3755">
      <c r="A3755" s="16">
        <f>IF(Calc!$B3755,Calc!E3755,"")</f>
        <v/>
      </c>
      <c r="B3755">
        <f>IF(Calc!$B3755,INDEX(MineNames,Calc!C3755),"")</f>
        <v/>
      </c>
      <c r="C3755" s="17">
        <f>IF(Calc!$B3755,Calc!O3755,"")</f>
        <v/>
      </c>
    </row>
    <row r="3756">
      <c r="A3756" s="16">
        <f>IF(Calc!$B3756,Calc!E3756,"")</f>
        <v/>
      </c>
      <c r="B3756">
        <f>IF(Calc!$B3756,INDEX(MineNames,Calc!C3756),"")</f>
        <v/>
      </c>
      <c r="C3756" s="17">
        <f>IF(Calc!$B3756,Calc!O3756,"")</f>
        <v/>
      </c>
    </row>
    <row r="3757">
      <c r="A3757" s="16">
        <f>IF(Calc!$B3757,Calc!E3757,"")</f>
        <v/>
      </c>
      <c r="B3757">
        <f>IF(Calc!$B3757,INDEX(MineNames,Calc!C3757),"")</f>
        <v/>
      </c>
      <c r="C3757" s="17">
        <f>IF(Calc!$B3757,Calc!O3757,"")</f>
        <v/>
      </c>
    </row>
    <row r="3758">
      <c r="A3758" s="16">
        <f>IF(Calc!$B3758,Calc!E3758,"")</f>
        <v/>
      </c>
      <c r="B3758">
        <f>IF(Calc!$B3758,INDEX(MineNames,Calc!C3758),"")</f>
        <v/>
      </c>
      <c r="C3758" s="17">
        <f>IF(Calc!$B3758,Calc!O3758,"")</f>
        <v/>
      </c>
    </row>
    <row r="3759">
      <c r="A3759" s="16">
        <f>IF(Calc!$B3759,Calc!E3759,"")</f>
        <v/>
      </c>
      <c r="B3759">
        <f>IF(Calc!$B3759,INDEX(MineNames,Calc!C3759),"")</f>
        <v/>
      </c>
      <c r="C3759" s="17">
        <f>IF(Calc!$B3759,Calc!O3759,"")</f>
        <v/>
      </c>
    </row>
    <row r="3760">
      <c r="A3760" s="16">
        <f>IF(Calc!$B3760,Calc!E3760,"")</f>
        <v/>
      </c>
      <c r="B3760">
        <f>IF(Calc!$B3760,INDEX(MineNames,Calc!C3760),"")</f>
        <v/>
      </c>
      <c r="C3760" s="17">
        <f>IF(Calc!$B3760,Calc!O3760,"")</f>
        <v/>
      </c>
    </row>
    <row r="3761">
      <c r="A3761" s="16">
        <f>IF(Calc!$B3761,Calc!E3761,"")</f>
        <v/>
      </c>
      <c r="B3761">
        <f>IF(Calc!$B3761,INDEX(MineNames,Calc!C3761),"")</f>
        <v/>
      </c>
      <c r="C3761" s="17">
        <f>IF(Calc!$B3761,Calc!O3761,"")</f>
        <v/>
      </c>
    </row>
    <row r="3762">
      <c r="A3762" s="16">
        <f>IF(Calc!$B3762,Calc!E3762,"")</f>
        <v/>
      </c>
      <c r="B3762">
        <f>IF(Calc!$B3762,INDEX(MineNames,Calc!C3762),"")</f>
        <v/>
      </c>
      <c r="C3762" s="17">
        <f>IF(Calc!$B3762,Calc!O3762,"")</f>
        <v/>
      </c>
    </row>
    <row r="3763">
      <c r="A3763" s="16">
        <f>IF(Calc!$B3763,Calc!E3763,"")</f>
        <v/>
      </c>
      <c r="B3763">
        <f>IF(Calc!$B3763,INDEX(MineNames,Calc!C3763),"")</f>
        <v/>
      </c>
      <c r="C3763" s="17">
        <f>IF(Calc!$B3763,Calc!O3763,"")</f>
        <v/>
      </c>
    </row>
    <row r="3764">
      <c r="A3764" s="16">
        <f>IF(Calc!$B3764,Calc!E3764,"")</f>
        <v/>
      </c>
      <c r="B3764">
        <f>IF(Calc!$B3764,INDEX(MineNames,Calc!C3764),"")</f>
        <v/>
      </c>
      <c r="C3764" s="17">
        <f>IF(Calc!$B3764,Calc!O3764,"")</f>
        <v/>
      </c>
    </row>
    <row r="3765">
      <c r="A3765" s="16">
        <f>IF(Calc!$B3765,Calc!E3765,"")</f>
        <v/>
      </c>
      <c r="B3765">
        <f>IF(Calc!$B3765,INDEX(MineNames,Calc!C3765),"")</f>
        <v/>
      </c>
      <c r="C3765" s="17">
        <f>IF(Calc!$B3765,Calc!O3765,"")</f>
        <v/>
      </c>
    </row>
    <row r="3766">
      <c r="A3766" s="16">
        <f>IF(Calc!$B3766,Calc!E3766,"")</f>
        <v/>
      </c>
      <c r="B3766">
        <f>IF(Calc!$B3766,INDEX(MineNames,Calc!C3766),"")</f>
        <v/>
      </c>
      <c r="C3766" s="17">
        <f>IF(Calc!$B3766,Calc!O3766,"")</f>
        <v/>
      </c>
    </row>
    <row r="3767">
      <c r="A3767" s="16">
        <f>IF(Calc!$B3767,Calc!E3767,"")</f>
        <v/>
      </c>
      <c r="B3767">
        <f>IF(Calc!$B3767,INDEX(MineNames,Calc!C3767),"")</f>
        <v/>
      </c>
      <c r="C3767" s="17">
        <f>IF(Calc!$B3767,Calc!O3767,"")</f>
        <v/>
      </c>
    </row>
    <row r="3768">
      <c r="A3768" s="16">
        <f>IF(Calc!$B3768,Calc!E3768,"")</f>
        <v/>
      </c>
      <c r="B3768">
        <f>IF(Calc!$B3768,INDEX(MineNames,Calc!C3768),"")</f>
        <v/>
      </c>
      <c r="C3768" s="17">
        <f>IF(Calc!$B3768,Calc!O3768,"")</f>
        <v/>
      </c>
    </row>
    <row r="3769">
      <c r="A3769" s="16">
        <f>IF(Calc!$B3769,Calc!E3769,"")</f>
        <v/>
      </c>
      <c r="B3769">
        <f>IF(Calc!$B3769,INDEX(MineNames,Calc!C3769),"")</f>
        <v/>
      </c>
      <c r="C3769" s="17">
        <f>IF(Calc!$B3769,Calc!O3769,"")</f>
        <v/>
      </c>
    </row>
    <row r="3770">
      <c r="A3770" s="16">
        <f>IF(Calc!$B3770,Calc!E3770,"")</f>
        <v/>
      </c>
      <c r="B3770">
        <f>IF(Calc!$B3770,INDEX(MineNames,Calc!C3770),"")</f>
        <v/>
      </c>
      <c r="C3770" s="17">
        <f>IF(Calc!$B3770,Calc!O3770,"")</f>
        <v/>
      </c>
    </row>
    <row r="3771">
      <c r="A3771" s="16">
        <f>IF(Calc!$B3771,Calc!E3771,"")</f>
        <v/>
      </c>
      <c r="B3771">
        <f>IF(Calc!$B3771,INDEX(MineNames,Calc!C3771),"")</f>
        <v/>
      </c>
      <c r="C3771" s="17">
        <f>IF(Calc!$B3771,Calc!O3771,"")</f>
        <v/>
      </c>
    </row>
    <row r="3772">
      <c r="A3772" s="16">
        <f>IF(Calc!$B3772,Calc!E3772,"")</f>
        <v/>
      </c>
      <c r="B3772">
        <f>IF(Calc!$B3772,INDEX(MineNames,Calc!C3772),"")</f>
        <v/>
      </c>
      <c r="C3772" s="17">
        <f>IF(Calc!$B3772,Calc!O3772,"")</f>
        <v/>
      </c>
    </row>
    <row r="3773">
      <c r="A3773" s="16">
        <f>IF(Calc!$B3773,Calc!E3773,"")</f>
        <v/>
      </c>
      <c r="B3773">
        <f>IF(Calc!$B3773,INDEX(MineNames,Calc!C3773),"")</f>
        <v/>
      </c>
      <c r="C3773" s="17">
        <f>IF(Calc!$B3773,Calc!O3773,"")</f>
        <v/>
      </c>
    </row>
    <row r="3774">
      <c r="A3774" s="16">
        <f>IF(Calc!$B3774,Calc!E3774,"")</f>
        <v/>
      </c>
      <c r="B3774">
        <f>IF(Calc!$B3774,INDEX(MineNames,Calc!C3774),"")</f>
        <v/>
      </c>
      <c r="C3774" s="17">
        <f>IF(Calc!$B3774,Calc!O3774,"")</f>
        <v/>
      </c>
    </row>
    <row r="3775">
      <c r="A3775" s="16">
        <f>IF(Calc!$B3775,Calc!E3775,"")</f>
        <v/>
      </c>
      <c r="B3775">
        <f>IF(Calc!$B3775,INDEX(MineNames,Calc!C3775),"")</f>
        <v/>
      </c>
      <c r="C3775" s="17">
        <f>IF(Calc!$B3775,Calc!O3775,"")</f>
        <v/>
      </c>
    </row>
    <row r="3776">
      <c r="A3776" s="16">
        <f>IF(Calc!$B3776,Calc!E3776,"")</f>
        <v/>
      </c>
      <c r="B3776">
        <f>IF(Calc!$B3776,INDEX(MineNames,Calc!C3776),"")</f>
        <v/>
      </c>
      <c r="C3776" s="17">
        <f>IF(Calc!$B3776,Calc!O3776,"")</f>
        <v/>
      </c>
    </row>
    <row r="3777">
      <c r="A3777" s="16">
        <f>IF(Calc!$B3777,Calc!E3777,"")</f>
        <v/>
      </c>
      <c r="B3777">
        <f>IF(Calc!$B3777,INDEX(MineNames,Calc!C3777),"")</f>
        <v/>
      </c>
      <c r="C3777" s="17">
        <f>IF(Calc!$B3777,Calc!O3777,"")</f>
        <v/>
      </c>
    </row>
    <row r="3778">
      <c r="A3778" s="16">
        <f>IF(Calc!$B3778,Calc!E3778,"")</f>
        <v/>
      </c>
      <c r="B3778">
        <f>IF(Calc!$B3778,INDEX(MineNames,Calc!C3778),"")</f>
        <v/>
      </c>
      <c r="C3778" s="17">
        <f>IF(Calc!$B3778,Calc!O3778,"")</f>
        <v/>
      </c>
    </row>
    <row r="3779">
      <c r="A3779" s="16">
        <f>IF(Calc!$B3779,Calc!E3779,"")</f>
        <v/>
      </c>
      <c r="B3779">
        <f>IF(Calc!$B3779,INDEX(MineNames,Calc!C3779),"")</f>
        <v/>
      </c>
      <c r="C3779" s="17">
        <f>IF(Calc!$B3779,Calc!O3779,"")</f>
        <v/>
      </c>
    </row>
    <row r="3780">
      <c r="A3780" s="16">
        <f>IF(Calc!$B3780,Calc!E3780,"")</f>
        <v/>
      </c>
      <c r="B3780">
        <f>IF(Calc!$B3780,INDEX(MineNames,Calc!C3780),"")</f>
        <v/>
      </c>
      <c r="C3780" s="17">
        <f>IF(Calc!$B3780,Calc!O3780,"")</f>
        <v/>
      </c>
    </row>
    <row r="3781">
      <c r="A3781" s="16">
        <f>IF(Calc!$B3781,Calc!E3781,"")</f>
        <v/>
      </c>
      <c r="B3781">
        <f>IF(Calc!$B3781,INDEX(MineNames,Calc!C3781),"")</f>
        <v/>
      </c>
      <c r="C3781" s="17">
        <f>IF(Calc!$B3781,Calc!O3781,"")</f>
        <v/>
      </c>
    </row>
    <row r="3782">
      <c r="A3782" s="16">
        <f>IF(Calc!$B3782,Calc!E3782,"")</f>
        <v/>
      </c>
      <c r="B3782">
        <f>IF(Calc!$B3782,INDEX(MineNames,Calc!C3782),"")</f>
        <v/>
      </c>
      <c r="C3782" s="17">
        <f>IF(Calc!$B3782,Calc!O3782,"")</f>
        <v/>
      </c>
    </row>
    <row r="3783">
      <c r="A3783" s="16">
        <f>IF(Calc!$B3783,Calc!E3783,"")</f>
        <v/>
      </c>
      <c r="B3783">
        <f>IF(Calc!$B3783,INDEX(MineNames,Calc!C3783),"")</f>
        <v/>
      </c>
      <c r="C3783" s="17">
        <f>IF(Calc!$B3783,Calc!O3783,"")</f>
        <v/>
      </c>
    </row>
    <row r="3784">
      <c r="A3784" s="16">
        <f>IF(Calc!$B3784,Calc!E3784,"")</f>
        <v/>
      </c>
      <c r="B3784">
        <f>IF(Calc!$B3784,INDEX(MineNames,Calc!C3784),"")</f>
        <v/>
      </c>
      <c r="C3784" s="17">
        <f>IF(Calc!$B3784,Calc!O3784,"")</f>
        <v/>
      </c>
    </row>
    <row r="3785">
      <c r="A3785" s="16">
        <f>IF(Calc!$B3785,Calc!E3785,"")</f>
        <v/>
      </c>
      <c r="B3785">
        <f>IF(Calc!$B3785,INDEX(MineNames,Calc!C3785),"")</f>
        <v/>
      </c>
      <c r="C3785" s="17">
        <f>IF(Calc!$B3785,Calc!O3785,"")</f>
        <v/>
      </c>
    </row>
    <row r="3786">
      <c r="A3786" s="16">
        <f>IF(Calc!$B3786,Calc!E3786,"")</f>
        <v/>
      </c>
      <c r="B3786">
        <f>IF(Calc!$B3786,INDEX(MineNames,Calc!C3786),"")</f>
        <v/>
      </c>
      <c r="C3786" s="17">
        <f>IF(Calc!$B3786,Calc!O3786,"")</f>
        <v/>
      </c>
    </row>
    <row r="3787">
      <c r="A3787" s="16">
        <f>IF(Calc!$B3787,Calc!E3787,"")</f>
        <v/>
      </c>
      <c r="B3787">
        <f>IF(Calc!$B3787,INDEX(MineNames,Calc!C3787),"")</f>
        <v/>
      </c>
      <c r="C3787" s="17">
        <f>IF(Calc!$B3787,Calc!O3787,"")</f>
        <v/>
      </c>
    </row>
    <row r="3788">
      <c r="A3788" s="16">
        <f>IF(Calc!$B3788,Calc!E3788,"")</f>
        <v/>
      </c>
      <c r="B3788">
        <f>IF(Calc!$B3788,INDEX(MineNames,Calc!C3788),"")</f>
        <v/>
      </c>
      <c r="C3788" s="17">
        <f>IF(Calc!$B3788,Calc!O3788,"")</f>
        <v/>
      </c>
    </row>
    <row r="3789">
      <c r="A3789" s="16">
        <f>IF(Calc!$B3789,Calc!E3789,"")</f>
        <v/>
      </c>
      <c r="B3789">
        <f>IF(Calc!$B3789,INDEX(MineNames,Calc!C3789),"")</f>
        <v/>
      </c>
      <c r="C3789" s="17">
        <f>IF(Calc!$B3789,Calc!O3789,"")</f>
        <v/>
      </c>
    </row>
    <row r="3790">
      <c r="A3790" s="16">
        <f>IF(Calc!$B3790,Calc!E3790,"")</f>
        <v/>
      </c>
      <c r="B3790">
        <f>IF(Calc!$B3790,INDEX(MineNames,Calc!C3790),"")</f>
        <v/>
      </c>
      <c r="C3790" s="17">
        <f>IF(Calc!$B3790,Calc!O3790,"")</f>
        <v/>
      </c>
    </row>
    <row r="3791">
      <c r="A3791" s="16">
        <f>IF(Calc!$B3791,Calc!E3791,"")</f>
        <v/>
      </c>
      <c r="B3791">
        <f>IF(Calc!$B3791,INDEX(MineNames,Calc!C3791),"")</f>
        <v/>
      </c>
      <c r="C3791" s="17">
        <f>IF(Calc!$B3791,Calc!O3791,"")</f>
        <v/>
      </c>
    </row>
    <row r="3792">
      <c r="A3792" s="16">
        <f>IF(Calc!$B3792,Calc!E3792,"")</f>
        <v/>
      </c>
      <c r="B3792">
        <f>IF(Calc!$B3792,INDEX(MineNames,Calc!C3792),"")</f>
        <v/>
      </c>
      <c r="C3792" s="17">
        <f>IF(Calc!$B3792,Calc!O3792,"")</f>
        <v/>
      </c>
    </row>
    <row r="3793">
      <c r="A3793" s="16">
        <f>IF(Calc!$B3793,Calc!E3793,"")</f>
        <v/>
      </c>
      <c r="B3793">
        <f>IF(Calc!$B3793,INDEX(MineNames,Calc!C3793),"")</f>
        <v/>
      </c>
      <c r="C3793" s="17">
        <f>IF(Calc!$B3793,Calc!O3793,"")</f>
        <v/>
      </c>
    </row>
    <row r="3794">
      <c r="A3794" s="16">
        <f>IF(Calc!$B3794,Calc!E3794,"")</f>
        <v/>
      </c>
      <c r="B3794">
        <f>IF(Calc!$B3794,INDEX(MineNames,Calc!C3794),"")</f>
        <v/>
      </c>
      <c r="C3794" s="17">
        <f>IF(Calc!$B3794,Calc!O3794,"")</f>
        <v/>
      </c>
    </row>
    <row r="3795">
      <c r="A3795" s="16">
        <f>IF(Calc!$B3795,Calc!E3795,"")</f>
        <v/>
      </c>
      <c r="B3795">
        <f>IF(Calc!$B3795,INDEX(MineNames,Calc!C3795),"")</f>
        <v/>
      </c>
      <c r="C3795" s="17">
        <f>IF(Calc!$B3795,Calc!O3795,"")</f>
        <v/>
      </c>
    </row>
    <row r="3796">
      <c r="A3796" s="16">
        <f>IF(Calc!$B3796,Calc!E3796,"")</f>
        <v/>
      </c>
      <c r="B3796">
        <f>IF(Calc!$B3796,INDEX(MineNames,Calc!C3796),"")</f>
        <v/>
      </c>
      <c r="C3796" s="17">
        <f>IF(Calc!$B3796,Calc!O3796,"")</f>
        <v/>
      </c>
    </row>
    <row r="3797">
      <c r="A3797" s="16">
        <f>IF(Calc!$B3797,Calc!E3797,"")</f>
        <v/>
      </c>
      <c r="B3797">
        <f>IF(Calc!$B3797,INDEX(MineNames,Calc!C3797),"")</f>
        <v/>
      </c>
      <c r="C3797" s="17">
        <f>IF(Calc!$B3797,Calc!O3797,"")</f>
        <v/>
      </c>
    </row>
    <row r="3798">
      <c r="A3798" s="16">
        <f>IF(Calc!$B3798,Calc!E3798,"")</f>
        <v/>
      </c>
      <c r="B3798">
        <f>IF(Calc!$B3798,INDEX(MineNames,Calc!C3798),"")</f>
        <v/>
      </c>
      <c r="C3798" s="17">
        <f>IF(Calc!$B3798,Calc!O3798,"")</f>
        <v/>
      </c>
    </row>
    <row r="3799">
      <c r="A3799" s="16">
        <f>IF(Calc!$B3799,Calc!E3799,"")</f>
        <v/>
      </c>
      <c r="B3799">
        <f>IF(Calc!$B3799,INDEX(MineNames,Calc!C3799),"")</f>
        <v/>
      </c>
      <c r="C3799" s="17">
        <f>IF(Calc!$B3799,Calc!O3799,"")</f>
        <v/>
      </c>
    </row>
    <row r="3800">
      <c r="A3800" s="16">
        <f>IF(Calc!$B3800,Calc!E3800,"")</f>
        <v/>
      </c>
      <c r="B3800">
        <f>IF(Calc!$B3800,INDEX(MineNames,Calc!C3800),"")</f>
        <v/>
      </c>
      <c r="C3800" s="17">
        <f>IF(Calc!$B3800,Calc!O3800,"")</f>
        <v/>
      </c>
    </row>
    <row r="3801">
      <c r="A3801" s="16">
        <f>IF(Calc!$B3801,Calc!E3801,"")</f>
        <v/>
      </c>
      <c r="B3801">
        <f>IF(Calc!$B3801,INDEX(MineNames,Calc!C3801),"")</f>
        <v/>
      </c>
      <c r="C3801" s="17">
        <f>IF(Calc!$B3801,Calc!O3801,"")</f>
        <v/>
      </c>
    </row>
    <row r="3802">
      <c r="A3802" s="16">
        <f>IF(Calc!$B3802,Calc!E3802,"")</f>
        <v/>
      </c>
      <c r="B3802">
        <f>IF(Calc!$B3802,INDEX(MineNames,Calc!C3802),"")</f>
        <v/>
      </c>
      <c r="C3802" s="17">
        <f>IF(Calc!$B3802,Calc!O3802,"")</f>
        <v/>
      </c>
    </row>
    <row r="3803">
      <c r="A3803" s="16">
        <f>IF(Calc!$B3803,Calc!E3803,"")</f>
        <v/>
      </c>
      <c r="B3803">
        <f>IF(Calc!$B3803,INDEX(MineNames,Calc!C3803),"")</f>
        <v/>
      </c>
      <c r="C3803" s="17">
        <f>IF(Calc!$B3803,Calc!O3803,"")</f>
        <v/>
      </c>
    </row>
    <row r="3804">
      <c r="A3804" s="16">
        <f>IF(Calc!$B3804,Calc!E3804,"")</f>
        <v/>
      </c>
      <c r="B3804">
        <f>IF(Calc!$B3804,INDEX(MineNames,Calc!C3804),"")</f>
        <v/>
      </c>
      <c r="C3804" s="17">
        <f>IF(Calc!$B3804,Calc!O3804,"")</f>
        <v/>
      </c>
    </row>
    <row r="3805">
      <c r="A3805" s="16">
        <f>IF(Calc!$B3805,Calc!E3805,"")</f>
        <v/>
      </c>
      <c r="B3805">
        <f>IF(Calc!$B3805,INDEX(MineNames,Calc!C3805),"")</f>
        <v/>
      </c>
      <c r="C3805" s="17">
        <f>IF(Calc!$B3805,Calc!O3805,"")</f>
        <v/>
      </c>
    </row>
    <row r="3806">
      <c r="A3806" s="16">
        <f>IF(Calc!$B3806,Calc!E3806,"")</f>
        <v/>
      </c>
      <c r="B3806">
        <f>IF(Calc!$B3806,INDEX(MineNames,Calc!C3806),"")</f>
        <v/>
      </c>
      <c r="C3806" s="17">
        <f>IF(Calc!$B3806,Calc!O3806,"")</f>
        <v/>
      </c>
    </row>
    <row r="3807">
      <c r="A3807" s="16">
        <f>IF(Calc!$B3807,Calc!E3807,"")</f>
        <v/>
      </c>
      <c r="B3807">
        <f>IF(Calc!$B3807,INDEX(MineNames,Calc!C3807),"")</f>
        <v/>
      </c>
      <c r="C3807" s="17">
        <f>IF(Calc!$B3807,Calc!O3807,"")</f>
        <v/>
      </c>
    </row>
    <row r="3808">
      <c r="A3808" s="16">
        <f>IF(Calc!$B3808,Calc!E3808,"")</f>
        <v/>
      </c>
      <c r="B3808">
        <f>IF(Calc!$B3808,INDEX(MineNames,Calc!C3808),"")</f>
        <v/>
      </c>
      <c r="C3808" s="17">
        <f>IF(Calc!$B3808,Calc!O3808,"")</f>
        <v/>
      </c>
    </row>
    <row r="3809">
      <c r="A3809" s="16">
        <f>IF(Calc!$B3809,Calc!E3809,"")</f>
        <v/>
      </c>
      <c r="B3809">
        <f>IF(Calc!$B3809,INDEX(MineNames,Calc!C3809),"")</f>
        <v/>
      </c>
      <c r="C3809" s="17">
        <f>IF(Calc!$B3809,Calc!O3809,"")</f>
        <v/>
      </c>
    </row>
    <row r="3810">
      <c r="A3810" s="16">
        <f>IF(Calc!$B3810,Calc!E3810,"")</f>
        <v/>
      </c>
      <c r="B3810">
        <f>IF(Calc!$B3810,INDEX(MineNames,Calc!C3810),"")</f>
        <v/>
      </c>
      <c r="C3810" s="17">
        <f>IF(Calc!$B3810,Calc!O3810,"")</f>
        <v/>
      </c>
    </row>
    <row r="3811">
      <c r="A3811" s="16">
        <f>IF(Calc!$B3811,Calc!E3811,"")</f>
        <v/>
      </c>
      <c r="B3811">
        <f>IF(Calc!$B3811,INDEX(MineNames,Calc!C3811),"")</f>
        <v/>
      </c>
      <c r="C3811" s="17">
        <f>IF(Calc!$B3811,Calc!O3811,"")</f>
        <v/>
      </c>
    </row>
    <row r="3812">
      <c r="A3812" s="16">
        <f>IF(Calc!$B3812,Calc!E3812,"")</f>
        <v/>
      </c>
      <c r="B3812">
        <f>IF(Calc!$B3812,INDEX(MineNames,Calc!C3812),"")</f>
        <v/>
      </c>
      <c r="C3812" s="17">
        <f>IF(Calc!$B3812,Calc!O3812,"")</f>
        <v/>
      </c>
    </row>
    <row r="3813">
      <c r="A3813" s="16">
        <f>IF(Calc!$B3813,Calc!E3813,"")</f>
        <v/>
      </c>
      <c r="B3813">
        <f>IF(Calc!$B3813,INDEX(MineNames,Calc!C3813),"")</f>
        <v/>
      </c>
      <c r="C3813" s="17">
        <f>IF(Calc!$B3813,Calc!O3813,"")</f>
        <v/>
      </c>
    </row>
    <row r="3814">
      <c r="A3814" s="16">
        <f>IF(Calc!$B3814,Calc!E3814,"")</f>
        <v/>
      </c>
      <c r="B3814">
        <f>IF(Calc!$B3814,INDEX(MineNames,Calc!C3814),"")</f>
        <v/>
      </c>
      <c r="C3814" s="17">
        <f>IF(Calc!$B3814,Calc!O3814,"")</f>
        <v/>
      </c>
    </row>
    <row r="3815">
      <c r="A3815" s="16">
        <f>IF(Calc!$B3815,Calc!E3815,"")</f>
        <v/>
      </c>
      <c r="B3815">
        <f>IF(Calc!$B3815,INDEX(MineNames,Calc!C3815),"")</f>
        <v/>
      </c>
      <c r="C3815" s="17">
        <f>IF(Calc!$B3815,Calc!O3815,"")</f>
        <v/>
      </c>
    </row>
    <row r="3816">
      <c r="A3816" s="16">
        <f>IF(Calc!$B3816,Calc!E3816,"")</f>
        <v/>
      </c>
      <c r="B3816">
        <f>IF(Calc!$B3816,INDEX(MineNames,Calc!C3816),"")</f>
        <v/>
      </c>
      <c r="C3816" s="17">
        <f>IF(Calc!$B3816,Calc!O3816,"")</f>
        <v/>
      </c>
    </row>
    <row r="3817">
      <c r="A3817" s="16">
        <f>IF(Calc!$B3817,Calc!E3817,"")</f>
        <v/>
      </c>
      <c r="B3817">
        <f>IF(Calc!$B3817,INDEX(MineNames,Calc!C3817),"")</f>
        <v/>
      </c>
      <c r="C3817" s="17">
        <f>IF(Calc!$B3817,Calc!O3817,"")</f>
        <v/>
      </c>
    </row>
    <row r="3818">
      <c r="A3818" s="16">
        <f>IF(Calc!$B3818,Calc!E3818,"")</f>
        <v/>
      </c>
      <c r="B3818">
        <f>IF(Calc!$B3818,INDEX(MineNames,Calc!C3818),"")</f>
        <v/>
      </c>
      <c r="C3818" s="17">
        <f>IF(Calc!$B3818,Calc!O3818,"")</f>
        <v/>
      </c>
    </row>
    <row r="3819">
      <c r="A3819" s="16">
        <f>IF(Calc!$B3819,Calc!E3819,"")</f>
        <v/>
      </c>
      <c r="B3819">
        <f>IF(Calc!$B3819,INDEX(MineNames,Calc!C3819),"")</f>
        <v/>
      </c>
      <c r="C3819" s="17">
        <f>IF(Calc!$B3819,Calc!O3819,"")</f>
        <v/>
      </c>
    </row>
    <row r="3820">
      <c r="A3820" s="16">
        <f>IF(Calc!$B3820,Calc!E3820,"")</f>
        <v/>
      </c>
      <c r="B3820">
        <f>IF(Calc!$B3820,INDEX(MineNames,Calc!C3820),"")</f>
        <v/>
      </c>
      <c r="C3820" s="17">
        <f>IF(Calc!$B3820,Calc!O3820,"")</f>
        <v/>
      </c>
    </row>
    <row r="3821">
      <c r="A3821" s="16">
        <f>IF(Calc!$B3821,Calc!E3821,"")</f>
        <v/>
      </c>
      <c r="B3821">
        <f>IF(Calc!$B3821,INDEX(MineNames,Calc!C3821),"")</f>
        <v/>
      </c>
      <c r="C3821" s="17">
        <f>IF(Calc!$B3821,Calc!O3821,"")</f>
        <v/>
      </c>
    </row>
    <row r="3822">
      <c r="A3822" s="16">
        <f>IF(Calc!$B3822,Calc!E3822,"")</f>
        <v/>
      </c>
      <c r="B3822">
        <f>IF(Calc!$B3822,INDEX(MineNames,Calc!C3822),"")</f>
        <v/>
      </c>
      <c r="C3822" s="17">
        <f>IF(Calc!$B3822,Calc!O3822,"")</f>
        <v/>
      </c>
    </row>
    <row r="3823">
      <c r="A3823" s="16">
        <f>IF(Calc!$B3823,Calc!E3823,"")</f>
        <v/>
      </c>
      <c r="B3823">
        <f>IF(Calc!$B3823,INDEX(MineNames,Calc!C3823),"")</f>
        <v/>
      </c>
      <c r="C3823" s="17">
        <f>IF(Calc!$B3823,Calc!O3823,"")</f>
        <v/>
      </c>
    </row>
    <row r="3824">
      <c r="A3824" s="16">
        <f>IF(Calc!$B3824,Calc!E3824,"")</f>
        <v/>
      </c>
      <c r="B3824">
        <f>IF(Calc!$B3824,INDEX(MineNames,Calc!C3824),"")</f>
        <v/>
      </c>
      <c r="C3824" s="17">
        <f>IF(Calc!$B3824,Calc!O3824,"")</f>
        <v/>
      </c>
    </row>
    <row r="3825">
      <c r="A3825" s="16">
        <f>IF(Calc!$B3825,Calc!E3825,"")</f>
        <v/>
      </c>
      <c r="B3825">
        <f>IF(Calc!$B3825,INDEX(MineNames,Calc!C3825),"")</f>
        <v/>
      </c>
      <c r="C3825" s="17">
        <f>IF(Calc!$B3825,Calc!O3825,"")</f>
        <v/>
      </c>
    </row>
    <row r="3826">
      <c r="A3826" s="16">
        <f>IF(Calc!$B3826,Calc!E3826,"")</f>
        <v/>
      </c>
      <c r="B3826">
        <f>IF(Calc!$B3826,INDEX(MineNames,Calc!C3826),"")</f>
        <v/>
      </c>
      <c r="C3826" s="17">
        <f>IF(Calc!$B3826,Calc!O3826,"")</f>
        <v/>
      </c>
    </row>
    <row r="3827">
      <c r="A3827" s="16">
        <f>IF(Calc!$B3827,Calc!E3827,"")</f>
        <v/>
      </c>
      <c r="B3827">
        <f>IF(Calc!$B3827,INDEX(MineNames,Calc!C3827),"")</f>
        <v/>
      </c>
      <c r="C3827" s="17">
        <f>IF(Calc!$B3827,Calc!O3827,"")</f>
        <v/>
      </c>
    </row>
    <row r="3828">
      <c r="A3828" s="16">
        <f>IF(Calc!$B3828,Calc!E3828,"")</f>
        <v/>
      </c>
      <c r="B3828">
        <f>IF(Calc!$B3828,INDEX(MineNames,Calc!C3828),"")</f>
        <v/>
      </c>
      <c r="C3828" s="17">
        <f>IF(Calc!$B3828,Calc!O3828,"")</f>
        <v/>
      </c>
    </row>
    <row r="3829">
      <c r="A3829" s="16">
        <f>IF(Calc!$B3829,Calc!E3829,"")</f>
        <v/>
      </c>
      <c r="B3829">
        <f>IF(Calc!$B3829,INDEX(MineNames,Calc!C3829),"")</f>
        <v/>
      </c>
      <c r="C3829" s="17">
        <f>IF(Calc!$B3829,Calc!O3829,"")</f>
        <v/>
      </c>
    </row>
    <row r="3830">
      <c r="A3830" s="16">
        <f>IF(Calc!$B3830,Calc!E3830,"")</f>
        <v/>
      </c>
      <c r="B3830">
        <f>IF(Calc!$B3830,INDEX(MineNames,Calc!C3830),"")</f>
        <v/>
      </c>
      <c r="C3830" s="17">
        <f>IF(Calc!$B3830,Calc!O3830,"")</f>
        <v/>
      </c>
    </row>
    <row r="3831">
      <c r="A3831" s="16">
        <f>IF(Calc!$B3831,Calc!E3831,"")</f>
        <v/>
      </c>
      <c r="B3831">
        <f>IF(Calc!$B3831,INDEX(MineNames,Calc!C3831),"")</f>
        <v/>
      </c>
      <c r="C3831" s="17">
        <f>IF(Calc!$B3831,Calc!O3831,"")</f>
        <v/>
      </c>
    </row>
    <row r="3832">
      <c r="A3832" s="16">
        <f>IF(Calc!$B3832,Calc!E3832,"")</f>
        <v/>
      </c>
      <c r="B3832">
        <f>IF(Calc!$B3832,INDEX(MineNames,Calc!C3832),"")</f>
        <v/>
      </c>
      <c r="C3832" s="17">
        <f>IF(Calc!$B3832,Calc!O3832,"")</f>
        <v/>
      </c>
    </row>
    <row r="3833">
      <c r="A3833" s="16">
        <f>IF(Calc!$B3833,Calc!E3833,"")</f>
        <v/>
      </c>
      <c r="B3833">
        <f>IF(Calc!$B3833,INDEX(MineNames,Calc!C3833),"")</f>
        <v/>
      </c>
      <c r="C3833" s="17">
        <f>IF(Calc!$B3833,Calc!O3833,"")</f>
        <v/>
      </c>
    </row>
    <row r="3834">
      <c r="A3834" s="16">
        <f>IF(Calc!$B3834,Calc!E3834,"")</f>
        <v/>
      </c>
      <c r="B3834">
        <f>IF(Calc!$B3834,INDEX(MineNames,Calc!C3834),"")</f>
        <v/>
      </c>
      <c r="C3834" s="17">
        <f>IF(Calc!$B3834,Calc!O3834,"")</f>
        <v/>
      </c>
    </row>
    <row r="3835">
      <c r="A3835" s="16">
        <f>IF(Calc!$B3835,Calc!E3835,"")</f>
        <v/>
      </c>
      <c r="B3835">
        <f>IF(Calc!$B3835,INDEX(MineNames,Calc!C3835),"")</f>
        <v/>
      </c>
      <c r="C3835" s="17">
        <f>IF(Calc!$B3835,Calc!O3835,"")</f>
        <v/>
      </c>
    </row>
    <row r="3836">
      <c r="A3836" s="16">
        <f>IF(Calc!$B3836,Calc!E3836,"")</f>
        <v/>
      </c>
      <c r="B3836">
        <f>IF(Calc!$B3836,INDEX(MineNames,Calc!C3836),"")</f>
        <v/>
      </c>
      <c r="C3836" s="17">
        <f>IF(Calc!$B3836,Calc!O3836,"")</f>
        <v/>
      </c>
    </row>
    <row r="3837">
      <c r="A3837" s="16">
        <f>IF(Calc!$B3837,Calc!E3837,"")</f>
        <v/>
      </c>
      <c r="B3837">
        <f>IF(Calc!$B3837,INDEX(MineNames,Calc!C3837),"")</f>
        <v/>
      </c>
      <c r="C3837" s="17">
        <f>IF(Calc!$B3837,Calc!O3837,"")</f>
        <v/>
      </c>
    </row>
    <row r="3838">
      <c r="A3838" s="16">
        <f>IF(Calc!$B3838,Calc!E3838,"")</f>
        <v/>
      </c>
      <c r="B3838">
        <f>IF(Calc!$B3838,INDEX(MineNames,Calc!C3838),"")</f>
        <v/>
      </c>
      <c r="C3838" s="17">
        <f>IF(Calc!$B3838,Calc!O3838,"")</f>
        <v/>
      </c>
    </row>
    <row r="3839">
      <c r="A3839" s="16">
        <f>IF(Calc!$B3839,Calc!E3839,"")</f>
        <v/>
      </c>
      <c r="B3839">
        <f>IF(Calc!$B3839,INDEX(MineNames,Calc!C3839),"")</f>
        <v/>
      </c>
      <c r="C3839" s="17">
        <f>IF(Calc!$B3839,Calc!O3839,"")</f>
        <v/>
      </c>
    </row>
    <row r="3840">
      <c r="A3840" s="16">
        <f>IF(Calc!$B3840,Calc!E3840,"")</f>
        <v/>
      </c>
      <c r="B3840">
        <f>IF(Calc!$B3840,INDEX(MineNames,Calc!C3840),"")</f>
        <v/>
      </c>
      <c r="C3840" s="17">
        <f>IF(Calc!$B3840,Calc!O3840,"")</f>
        <v/>
      </c>
    </row>
    <row r="3841">
      <c r="A3841" s="16">
        <f>IF(Calc!$B3841,Calc!E3841,"")</f>
        <v/>
      </c>
      <c r="B3841">
        <f>IF(Calc!$B3841,INDEX(MineNames,Calc!C3841),"")</f>
        <v/>
      </c>
      <c r="C3841" s="17">
        <f>IF(Calc!$B3841,Calc!O3841,"")</f>
        <v/>
      </c>
    </row>
    <row r="3842">
      <c r="A3842" s="16">
        <f>IF(Calc!$B3842,Calc!E3842,"")</f>
        <v/>
      </c>
      <c r="B3842">
        <f>IF(Calc!$B3842,INDEX(MineNames,Calc!C3842),"")</f>
        <v/>
      </c>
      <c r="C3842" s="17">
        <f>IF(Calc!$B3842,Calc!O3842,"")</f>
        <v/>
      </c>
    </row>
    <row r="3843">
      <c r="A3843" s="16">
        <f>IF(Calc!$B3843,Calc!E3843,"")</f>
        <v/>
      </c>
      <c r="B3843">
        <f>IF(Calc!$B3843,INDEX(MineNames,Calc!C3843),"")</f>
        <v/>
      </c>
      <c r="C3843" s="17">
        <f>IF(Calc!$B3843,Calc!O3843,"")</f>
        <v/>
      </c>
    </row>
    <row r="3844">
      <c r="A3844" s="16">
        <f>IF(Calc!$B3844,Calc!E3844,"")</f>
        <v/>
      </c>
      <c r="B3844">
        <f>IF(Calc!$B3844,INDEX(MineNames,Calc!C3844),"")</f>
        <v/>
      </c>
      <c r="C3844" s="17">
        <f>IF(Calc!$B3844,Calc!O3844,"")</f>
        <v/>
      </c>
    </row>
    <row r="3845">
      <c r="A3845" s="16">
        <f>IF(Calc!$B3845,Calc!E3845,"")</f>
        <v/>
      </c>
      <c r="B3845">
        <f>IF(Calc!$B3845,INDEX(MineNames,Calc!C3845),"")</f>
        <v/>
      </c>
      <c r="C3845" s="17">
        <f>IF(Calc!$B3845,Calc!O3845,"")</f>
        <v/>
      </c>
    </row>
    <row r="3846">
      <c r="A3846" s="16">
        <f>IF(Calc!$B3846,Calc!E3846,"")</f>
        <v/>
      </c>
      <c r="B3846">
        <f>IF(Calc!$B3846,INDEX(MineNames,Calc!C3846),"")</f>
        <v/>
      </c>
      <c r="C3846" s="17">
        <f>IF(Calc!$B3846,Calc!O3846,"")</f>
        <v/>
      </c>
    </row>
    <row r="3847">
      <c r="A3847" s="16">
        <f>IF(Calc!$B3847,Calc!E3847,"")</f>
        <v/>
      </c>
      <c r="B3847">
        <f>IF(Calc!$B3847,INDEX(MineNames,Calc!C3847),"")</f>
        <v/>
      </c>
      <c r="C3847" s="17">
        <f>IF(Calc!$B3847,Calc!O3847,"")</f>
        <v/>
      </c>
    </row>
    <row r="3848">
      <c r="A3848" s="16">
        <f>IF(Calc!$B3848,Calc!E3848,"")</f>
        <v/>
      </c>
      <c r="B3848">
        <f>IF(Calc!$B3848,INDEX(MineNames,Calc!C3848),"")</f>
        <v/>
      </c>
      <c r="C3848" s="17">
        <f>IF(Calc!$B3848,Calc!O3848,"")</f>
        <v/>
      </c>
    </row>
    <row r="3849">
      <c r="A3849" s="16">
        <f>IF(Calc!$B3849,Calc!E3849,"")</f>
        <v/>
      </c>
      <c r="B3849">
        <f>IF(Calc!$B3849,INDEX(MineNames,Calc!C3849),"")</f>
        <v/>
      </c>
      <c r="C3849" s="17">
        <f>IF(Calc!$B3849,Calc!O3849,"")</f>
        <v/>
      </c>
    </row>
    <row r="3850">
      <c r="A3850" s="16">
        <f>IF(Calc!$B3850,Calc!E3850,"")</f>
        <v/>
      </c>
      <c r="B3850">
        <f>IF(Calc!$B3850,INDEX(MineNames,Calc!C3850),"")</f>
        <v/>
      </c>
      <c r="C3850" s="17">
        <f>IF(Calc!$B3850,Calc!O3850,"")</f>
        <v/>
      </c>
    </row>
    <row r="3851">
      <c r="A3851" s="16">
        <f>IF(Calc!$B3851,Calc!E3851,"")</f>
        <v/>
      </c>
      <c r="B3851">
        <f>IF(Calc!$B3851,INDEX(MineNames,Calc!C3851),"")</f>
        <v/>
      </c>
      <c r="C3851" s="17">
        <f>IF(Calc!$B3851,Calc!O3851,"")</f>
        <v/>
      </c>
    </row>
    <row r="3852">
      <c r="A3852" s="16">
        <f>IF(Calc!$B3852,Calc!E3852,"")</f>
        <v/>
      </c>
      <c r="B3852">
        <f>IF(Calc!$B3852,INDEX(MineNames,Calc!C3852),"")</f>
        <v/>
      </c>
      <c r="C3852" s="17">
        <f>IF(Calc!$B3852,Calc!O3852,"")</f>
        <v/>
      </c>
    </row>
    <row r="3853">
      <c r="A3853" s="16">
        <f>IF(Calc!$B3853,Calc!E3853,"")</f>
        <v/>
      </c>
      <c r="B3853">
        <f>IF(Calc!$B3853,INDEX(MineNames,Calc!C3853),"")</f>
        <v/>
      </c>
      <c r="C3853" s="17">
        <f>IF(Calc!$B3853,Calc!O3853,"")</f>
        <v/>
      </c>
    </row>
    <row r="3854">
      <c r="A3854" s="16">
        <f>IF(Calc!$B3854,Calc!E3854,"")</f>
        <v/>
      </c>
      <c r="B3854">
        <f>IF(Calc!$B3854,INDEX(MineNames,Calc!C3854),"")</f>
        <v/>
      </c>
      <c r="C3854" s="17">
        <f>IF(Calc!$B3854,Calc!O3854,"")</f>
        <v/>
      </c>
    </row>
    <row r="3855">
      <c r="A3855" s="16">
        <f>IF(Calc!$B3855,Calc!E3855,"")</f>
        <v/>
      </c>
      <c r="B3855">
        <f>IF(Calc!$B3855,INDEX(MineNames,Calc!C3855),"")</f>
        <v/>
      </c>
      <c r="C3855" s="17">
        <f>IF(Calc!$B3855,Calc!O3855,"")</f>
        <v/>
      </c>
    </row>
    <row r="3856">
      <c r="A3856" s="16">
        <f>IF(Calc!$B3856,Calc!E3856,"")</f>
        <v/>
      </c>
      <c r="B3856">
        <f>IF(Calc!$B3856,INDEX(MineNames,Calc!C3856),"")</f>
        <v/>
      </c>
      <c r="C3856" s="17">
        <f>IF(Calc!$B3856,Calc!O3856,"")</f>
        <v/>
      </c>
    </row>
    <row r="3857">
      <c r="A3857" s="16">
        <f>IF(Calc!$B3857,Calc!E3857,"")</f>
        <v/>
      </c>
      <c r="B3857">
        <f>IF(Calc!$B3857,INDEX(MineNames,Calc!C3857),"")</f>
        <v/>
      </c>
      <c r="C3857" s="17">
        <f>IF(Calc!$B3857,Calc!O3857,"")</f>
        <v/>
      </c>
    </row>
    <row r="3858">
      <c r="A3858" s="16">
        <f>IF(Calc!$B3858,Calc!E3858,"")</f>
        <v/>
      </c>
      <c r="B3858">
        <f>IF(Calc!$B3858,INDEX(MineNames,Calc!C3858),"")</f>
        <v/>
      </c>
      <c r="C3858" s="17">
        <f>IF(Calc!$B3858,Calc!O3858,"")</f>
        <v/>
      </c>
    </row>
    <row r="3859">
      <c r="A3859" s="16">
        <f>IF(Calc!$B3859,Calc!E3859,"")</f>
        <v/>
      </c>
      <c r="B3859">
        <f>IF(Calc!$B3859,INDEX(MineNames,Calc!C3859),"")</f>
        <v/>
      </c>
      <c r="C3859" s="17">
        <f>IF(Calc!$B3859,Calc!O3859,"")</f>
        <v/>
      </c>
    </row>
    <row r="3860">
      <c r="A3860" s="16">
        <f>IF(Calc!$B3860,Calc!E3860,"")</f>
        <v/>
      </c>
      <c r="B3860">
        <f>IF(Calc!$B3860,INDEX(MineNames,Calc!C3860),"")</f>
        <v/>
      </c>
      <c r="C3860" s="17">
        <f>IF(Calc!$B3860,Calc!O3860,"")</f>
        <v/>
      </c>
    </row>
    <row r="3861">
      <c r="A3861" s="16">
        <f>IF(Calc!$B3861,Calc!E3861,"")</f>
        <v/>
      </c>
      <c r="B3861">
        <f>IF(Calc!$B3861,INDEX(MineNames,Calc!C3861),"")</f>
        <v/>
      </c>
      <c r="C3861" s="17">
        <f>IF(Calc!$B3861,Calc!O3861,"")</f>
        <v/>
      </c>
    </row>
    <row r="3862">
      <c r="A3862" s="16">
        <f>IF(Calc!$B3862,Calc!E3862,"")</f>
        <v/>
      </c>
      <c r="B3862">
        <f>IF(Calc!$B3862,INDEX(MineNames,Calc!C3862),"")</f>
        <v/>
      </c>
      <c r="C3862" s="17">
        <f>IF(Calc!$B3862,Calc!O3862,"")</f>
        <v/>
      </c>
    </row>
    <row r="3863">
      <c r="A3863" s="16">
        <f>IF(Calc!$B3863,Calc!E3863,"")</f>
        <v/>
      </c>
      <c r="B3863">
        <f>IF(Calc!$B3863,INDEX(MineNames,Calc!C3863),"")</f>
        <v/>
      </c>
      <c r="C3863" s="17">
        <f>IF(Calc!$B3863,Calc!O3863,"")</f>
        <v/>
      </c>
    </row>
    <row r="3864">
      <c r="A3864" s="16">
        <f>IF(Calc!$B3864,Calc!E3864,"")</f>
        <v/>
      </c>
      <c r="B3864">
        <f>IF(Calc!$B3864,INDEX(MineNames,Calc!C3864),"")</f>
        <v/>
      </c>
      <c r="C3864" s="17">
        <f>IF(Calc!$B3864,Calc!O3864,"")</f>
        <v/>
      </c>
    </row>
    <row r="3865">
      <c r="A3865" s="16">
        <f>IF(Calc!$B3865,Calc!E3865,"")</f>
        <v/>
      </c>
      <c r="B3865">
        <f>IF(Calc!$B3865,INDEX(MineNames,Calc!C3865),"")</f>
        <v/>
      </c>
      <c r="C3865" s="17">
        <f>IF(Calc!$B3865,Calc!O3865,"")</f>
        <v/>
      </c>
    </row>
    <row r="3866">
      <c r="A3866" s="16">
        <f>IF(Calc!$B3866,Calc!E3866,"")</f>
        <v/>
      </c>
      <c r="B3866">
        <f>IF(Calc!$B3866,INDEX(MineNames,Calc!C3866),"")</f>
        <v/>
      </c>
      <c r="C3866" s="17">
        <f>IF(Calc!$B3866,Calc!O3866,"")</f>
        <v/>
      </c>
    </row>
    <row r="3867">
      <c r="A3867" s="16">
        <f>IF(Calc!$B3867,Calc!E3867,"")</f>
        <v/>
      </c>
      <c r="B3867">
        <f>IF(Calc!$B3867,INDEX(MineNames,Calc!C3867),"")</f>
        <v/>
      </c>
      <c r="C3867" s="17">
        <f>IF(Calc!$B3867,Calc!O3867,"")</f>
        <v/>
      </c>
    </row>
    <row r="3868">
      <c r="A3868" s="16">
        <f>IF(Calc!$B3868,Calc!E3868,"")</f>
        <v/>
      </c>
      <c r="B3868">
        <f>IF(Calc!$B3868,INDEX(MineNames,Calc!C3868),"")</f>
        <v/>
      </c>
      <c r="C3868" s="17">
        <f>IF(Calc!$B3868,Calc!O3868,"")</f>
        <v/>
      </c>
    </row>
    <row r="3869">
      <c r="A3869" s="16">
        <f>IF(Calc!$B3869,Calc!E3869,"")</f>
        <v/>
      </c>
      <c r="B3869">
        <f>IF(Calc!$B3869,INDEX(MineNames,Calc!C3869),"")</f>
        <v/>
      </c>
      <c r="C3869" s="17">
        <f>IF(Calc!$B3869,Calc!O3869,"")</f>
        <v/>
      </c>
    </row>
    <row r="3870">
      <c r="A3870" s="16">
        <f>IF(Calc!$B3870,Calc!E3870,"")</f>
        <v/>
      </c>
      <c r="B3870">
        <f>IF(Calc!$B3870,INDEX(MineNames,Calc!C3870),"")</f>
        <v/>
      </c>
      <c r="C3870" s="17">
        <f>IF(Calc!$B3870,Calc!O3870,"")</f>
        <v/>
      </c>
    </row>
    <row r="3871">
      <c r="A3871" s="16">
        <f>IF(Calc!$B3871,Calc!E3871,"")</f>
        <v/>
      </c>
      <c r="B3871">
        <f>IF(Calc!$B3871,INDEX(MineNames,Calc!C3871),"")</f>
        <v/>
      </c>
      <c r="C3871" s="17">
        <f>IF(Calc!$B3871,Calc!O3871,"")</f>
        <v/>
      </c>
    </row>
    <row r="3872">
      <c r="A3872" s="16">
        <f>IF(Calc!$B3872,Calc!E3872,"")</f>
        <v/>
      </c>
      <c r="B3872">
        <f>IF(Calc!$B3872,INDEX(MineNames,Calc!C3872),"")</f>
        <v/>
      </c>
      <c r="C3872" s="17">
        <f>IF(Calc!$B3872,Calc!O3872,"")</f>
        <v/>
      </c>
    </row>
    <row r="3873">
      <c r="A3873" s="16">
        <f>IF(Calc!$B3873,Calc!E3873,"")</f>
        <v/>
      </c>
      <c r="B3873">
        <f>IF(Calc!$B3873,INDEX(MineNames,Calc!C3873),"")</f>
        <v/>
      </c>
      <c r="C3873" s="17">
        <f>IF(Calc!$B3873,Calc!O3873,"")</f>
        <v/>
      </c>
    </row>
    <row r="3874">
      <c r="A3874" s="16">
        <f>IF(Calc!$B3874,Calc!E3874,"")</f>
        <v/>
      </c>
      <c r="B3874">
        <f>IF(Calc!$B3874,INDEX(MineNames,Calc!C3874),"")</f>
        <v/>
      </c>
      <c r="C3874" s="17">
        <f>IF(Calc!$B3874,Calc!O3874,"")</f>
        <v/>
      </c>
    </row>
    <row r="3875">
      <c r="A3875" s="16">
        <f>IF(Calc!$B3875,Calc!E3875,"")</f>
        <v/>
      </c>
      <c r="B3875">
        <f>IF(Calc!$B3875,INDEX(MineNames,Calc!C3875),"")</f>
        <v/>
      </c>
      <c r="C3875" s="17">
        <f>IF(Calc!$B3875,Calc!O3875,"")</f>
        <v/>
      </c>
    </row>
    <row r="3876">
      <c r="A3876" s="16">
        <f>IF(Calc!$B3876,Calc!E3876,"")</f>
        <v/>
      </c>
      <c r="B3876">
        <f>IF(Calc!$B3876,INDEX(MineNames,Calc!C3876),"")</f>
        <v/>
      </c>
      <c r="C3876" s="17">
        <f>IF(Calc!$B3876,Calc!O3876,"")</f>
        <v/>
      </c>
    </row>
    <row r="3877">
      <c r="A3877" s="16">
        <f>IF(Calc!$B3877,Calc!E3877,"")</f>
        <v/>
      </c>
      <c r="B3877">
        <f>IF(Calc!$B3877,INDEX(MineNames,Calc!C3877),"")</f>
        <v/>
      </c>
      <c r="C3877" s="17">
        <f>IF(Calc!$B3877,Calc!O3877,"")</f>
        <v/>
      </c>
    </row>
    <row r="3878">
      <c r="A3878" s="16">
        <f>IF(Calc!$B3878,Calc!E3878,"")</f>
        <v/>
      </c>
      <c r="B3878">
        <f>IF(Calc!$B3878,INDEX(MineNames,Calc!C3878),"")</f>
        <v/>
      </c>
      <c r="C3878" s="17">
        <f>IF(Calc!$B3878,Calc!O3878,"")</f>
        <v/>
      </c>
    </row>
    <row r="3879">
      <c r="A3879" s="16">
        <f>IF(Calc!$B3879,Calc!E3879,"")</f>
        <v/>
      </c>
      <c r="B3879">
        <f>IF(Calc!$B3879,INDEX(MineNames,Calc!C3879),"")</f>
        <v/>
      </c>
      <c r="C3879" s="17">
        <f>IF(Calc!$B3879,Calc!O3879,"")</f>
        <v/>
      </c>
    </row>
    <row r="3880">
      <c r="A3880" s="16">
        <f>IF(Calc!$B3880,Calc!E3880,"")</f>
        <v/>
      </c>
      <c r="B3880">
        <f>IF(Calc!$B3880,INDEX(MineNames,Calc!C3880),"")</f>
        <v/>
      </c>
      <c r="C3880" s="17">
        <f>IF(Calc!$B3880,Calc!O3880,"")</f>
        <v/>
      </c>
    </row>
    <row r="3881">
      <c r="A3881" s="16">
        <f>IF(Calc!$B3881,Calc!E3881,"")</f>
        <v/>
      </c>
      <c r="B3881">
        <f>IF(Calc!$B3881,INDEX(MineNames,Calc!C3881),"")</f>
        <v/>
      </c>
      <c r="C3881" s="17">
        <f>IF(Calc!$B3881,Calc!O3881,"")</f>
        <v/>
      </c>
    </row>
    <row r="3882">
      <c r="A3882" s="16">
        <f>IF(Calc!$B3882,Calc!E3882,"")</f>
        <v/>
      </c>
      <c r="B3882">
        <f>IF(Calc!$B3882,INDEX(MineNames,Calc!C3882),"")</f>
        <v/>
      </c>
      <c r="C3882" s="17">
        <f>IF(Calc!$B3882,Calc!O3882,"")</f>
        <v/>
      </c>
    </row>
    <row r="3883">
      <c r="A3883" s="16">
        <f>IF(Calc!$B3883,Calc!E3883,"")</f>
        <v/>
      </c>
      <c r="B3883">
        <f>IF(Calc!$B3883,INDEX(MineNames,Calc!C3883),"")</f>
        <v/>
      </c>
      <c r="C3883" s="17">
        <f>IF(Calc!$B3883,Calc!O3883,"")</f>
        <v/>
      </c>
    </row>
    <row r="3884">
      <c r="A3884" s="16">
        <f>IF(Calc!$B3884,Calc!E3884,"")</f>
        <v/>
      </c>
      <c r="B3884">
        <f>IF(Calc!$B3884,INDEX(MineNames,Calc!C3884),"")</f>
        <v/>
      </c>
      <c r="C3884" s="17">
        <f>IF(Calc!$B3884,Calc!O3884,"")</f>
        <v/>
      </c>
    </row>
    <row r="3885">
      <c r="A3885" s="16">
        <f>IF(Calc!$B3885,Calc!E3885,"")</f>
        <v/>
      </c>
      <c r="B3885">
        <f>IF(Calc!$B3885,INDEX(MineNames,Calc!C3885),"")</f>
        <v/>
      </c>
      <c r="C3885" s="17">
        <f>IF(Calc!$B3885,Calc!O3885,"")</f>
        <v/>
      </c>
    </row>
    <row r="3886">
      <c r="A3886" s="16">
        <f>IF(Calc!$B3886,Calc!E3886,"")</f>
        <v/>
      </c>
      <c r="B3886">
        <f>IF(Calc!$B3886,INDEX(MineNames,Calc!C3886),"")</f>
        <v/>
      </c>
      <c r="C3886" s="17">
        <f>IF(Calc!$B3886,Calc!O3886,"")</f>
        <v/>
      </c>
    </row>
    <row r="3887">
      <c r="A3887" s="16">
        <f>IF(Calc!$B3887,Calc!E3887,"")</f>
        <v/>
      </c>
      <c r="B3887">
        <f>IF(Calc!$B3887,INDEX(MineNames,Calc!C3887),"")</f>
        <v/>
      </c>
      <c r="C3887" s="17">
        <f>IF(Calc!$B3887,Calc!O3887,"")</f>
        <v/>
      </c>
    </row>
    <row r="3888">
      <c r="A3888" s="16">
        <f>IF(Calc!$B3888,Calc!E3888,"")</f>
        <v/>
      </c>
      <c r="B3888">
        <f>IF(Calc!$B3888,INDEX(MineNames,Calc!C3888),"")</f>
        <v/>
      </c>
      <c r="C3888" s="17">
        <f>IF(Calc!$B3888,Calc!O3888,"")</f>
        <v/>
      </c>
    </row>
    <row r="3889">
      <c r="A3889" s="16">
        <f>IF(Calc!$B3889,Calc!E3889,"")</f>
        <v/>
      </c>
      <c r="B3889">
        <f>IF(Calc!$B3889,INDEX(MineNames,Calc!C3889),"")</f>
        <v/>
      </c>
      <c r="C3889" s="17">
        <f>IF(Calc!$B3889,Calc!O3889,"")</f>
        <v/>
      </c>
    </row>
    <row r="3890">
      <c r="A3890" s="16">
        <f>IF(Calc!$B3890,Calc!E3890,"")</f>
        <v/>
      </c>
      <c r="B3890">
        <f>IF(Calc!$B3890,INDEX(MineNames,Calc!C3890),"")</f>
        <v/>
      </c>
      <c r="C3890" s="17">
        <f>IF(Calc!$B3890,Calc!O3890,"")</f>
        <v/>
      </c>
    </row>
    <row r="3891">
      <c r="A3891" s="16">
        <f>IF(Calc!$B3891,Calc!E3891,"")</f>
        <v/>
      </c>
      <c r="B3891">
        <f>IF(Calc!$B3891,INDEX(MineNames,Calc!C3891),"")</f>
        <v/>
      </c>
      <c r="C3891" s="17">
        <f>IF(Calc!$B3891,Calc!O3891,"")</f>
        <v/>
      </c>
    </row>
    <row r="3892">
      <c r="A3892" s="16">
        <f>IF(Calc!$B3892,Calc!E3892,"")</f>
        <v/>
      </c>
      <c r="B3892">
        <f>IF(Calc!$B3892,INDEX(MineNames,Calc!C3892),"")</f>
        <v/>
      </c>
      <c r="C3892" s="17">
        <f>IF(Calc!$B3892,Calc!O3892,"")</f>
        <v/>
      </c>
    </row>
    <row r="3893">
      <c r="A3893" s="16">
        <f>IF(Calc!$B3893,Calc!E3893,"")</f>
        <v/>
      </c>
      <c r="B3893">
        <f>IF(Calc!$B3893,INDEX(MineNames,Calc!C3893),"")</f>
        <v/>
      </c>
      <c r="C3893" s="17">
        <f>IF(Calc!$B3893,Calc!O3893,"")</f>
        <v/>
      </c>
    </row>
    <row r="3894">
      <c r="A3894" s="16">
        <f>IF(Calc!$B3894,Calc!E3894,"")</f>
        <v/>
      </c>
      <c r="B3894">
        <f>IF(Calc!$B3894,INDEX(MineNames,Calc!C3894),"")</f>
        <v/>
      </c>
      <c r="C3894" s="17">
        <f>IF(Calc!$B3894,Calc!O3894,"")</f>
        <v/>
      </c>
    </row>
    <row r="3895">
      <c r="A3895" s="16">
        <f>IF(Calc!$B3895,Calc!E3895,"")</f>
        <v/>
      </c>
      <c r="B3895">
        <f>IF(Calc!$B3895,INDEX(MineNames,Calc!C3895),"")</f>
        <v/>
      </c>
      <c r="C3895" s="17">
        <f>IF(Calc!$B3895,Calc!O3895,"")</f>
        <v/>
      </c>
    </row>
    <row r="3896">
      <c r="A3896" s="16">
        <f>IF(Calc!$B3896,Calc!E3896,"")</f>
        <v/>
      </c>
      <c r="B3896">
        <f>IF(Calc!$B3896,INDEX(MineNames,Calc!C3896),"")</f>
        <v/>
      </c>
      <c r="C3896" s="17">
        <f>IF(Calc!$B3896,Calc!O3896,"")</f>
        <v/>
      </c>
    </row>
    <row r="3897">
      <c r="A3897" s="16">
        <f>IF(Calc!$B3897,Calc!E3897,"")</f>
        <v/>
      </c>
      <c r="B3897">
        <f>IF(Calc!$B3897,INDEX(MineNames,Calc!C3897),"")</f>
        <v/>
      </c>
      <c r="C3897" s="17">
        <f>IF(Calc!$B3897,Calc!O3897,"")</f>
        <v/>
      </c>
    </row>
    <row r="3898">
      <c r="A3898" s="16">
        <f>IF(Calc!$B3898,Calc!E3898,"")</f>
        <v/>
      </c>
      <c r="B3898">
        <f>IF(Calc!$B3898,INDEX(MineNames,Calc!C3898),"")</f>
        <v/>
      </c>
      <c r="C3898" s="17">
        <f>IF(Calc!$B3898,Calc!O3898,"")</f>
        <v/>
      </c>
    </row>
    <row r="3899">
      <c r="A3899" s="16">
        <f>IF(Calc!$B3899,Calc!E3899,"")</f>
        <v/>
      </c>
      <c r="B3899">
        <f>IF(Calc!$B3899,INDEX(MineNames,Calc!C3899),"")</f>
        <v/>
      </c>
      <c r="C3899" s="17">
        <f>IF(Calc!$B3899,Calc!O3899,"")</f>
        <v/>
      </c>
    </row>
    <row r="3900">
      <c r="A3900" s="16">
        <f>IF(Calc!$B3900,Calc!E3900,"")</f>
        <v/>
      </c>
      <c r="B3900">
        <f>IF(Calc!$B3900,INDEX(MineNames,Calc!C3900),"")</f>
        <v/>
      </c>
      <c r="C3900" s="17">
        <f>IF(Calc!$B3900,Calc!O3900,"")</f>
        <v/>
      </c>
    </row>
    <row r="3901">
      <c r="A3901" s="16">
        <f>IF(Calc!$B3901,Calc!E3901,"")</f>
        <v/>
      </c>
      <c r="B3901">
        <f>IF(Calc!$B3901,INDEX(MineNames,Calc!C3901),"")</f>
        <v/>
      </c>
      <c r="C3901" s="17">
        <f>IF(Calc!$B3901,Calc!O3901,"")</f>
        <v/>
      </c>
    </row>
    <row r="3902">
      <c r="A3902" s="16">
        <f>IF(Calc!$B3902,Calc!E3902,"")</f>
        <v/>
      </c>
      <c r="B3902">
        <f>IF(Calc!$B3902,INDEX(MineNames,Calc!C3902),"")</f>
        <v/>
      </c>
      <c r="C3902" s="17">
        <f>IF(Calc!$B3902,Calc!O3902,"")</f>
        <v/>
      </c>
    </row>
    <row r="3903">
      <c r="A3903" s="16">
        <f>IF(Calc!$B3903,Calc!E3903,"")</f>
        <v/>
      </c>
      <c r="B3903">
        <f>IF(Calc!$B3903,INDEX(MineNames,Calc!C3903),"")</f>
        <v/>
      </c>
      <c r="C3903" s="17">
        <f>IF(Calc!$B3903,Calc!O3903,"")</f>
        <v/>
      </c>
    </row>
    <row r="3904">
      <c r="A3904" s="16">
        <f>IF(Calc!$B3904,Calc!E3904,"")</f>
        <v/>
      </c>
      <c r="B3904">
        <f>IF(Calc!$B3904,INDEX(MineNames,Calc!C3904),"")</f>
        <v/>
      </c>
      <c r="C3904" s="17">
        <f>IF(Calc!$B3904,Calc!O3904,"")</f>
        <v/>
      </c>
    </row>
    <row r="3905">
      <c r="A3905" s="16">
        <f>IF(Calc!$B3905,Calc!E3905,"")</f>
        <v/>
      </c>
      <c r="B3905">
        <f>IF(Calc!$B3905,INDEX(MineNames,Calc!C3905),"")</f>
        <v/>
      </c>
      <c r="C3905" s="17">
        <f>IF(Calc!$B3905,Calc!O3905,"")</f>
        <v/>
      </c>
    </row>
    <row r="3906">
      <c r="A3906" s="16">
        <f>IF(Calc!$B3906,Calc!E3906,"")</f>
        <v/>
      </c>
      <c r="B3906">
        <f>IF(Calc!$B3906,INDEX(MineNames,Calc!C3906),"")</f>
        <v/>
      </c>
      <c r="C3906" s="17">
        <f>IF(Calc!$B3906,Calc!O3906,"")</f>
        <v/>
      </c>
    </row>
    <row r="3907">
      <c r="A3907" s="16">
        <f>IF(Calc!$B3907,Calc!E3907,"")</f>
        <v/>
      </c>
      <c r="B3907">
        <f>IF(Calc!$B3907,INDEX(MineNames,Calc!C3907),"")</f>
        <v/>
      </c>
      <c r="C3907" s="17">
        <f>IF(Calc!$B3907,Calc!O3907,"")</f>
        <v/>
      </c>
    </row>
    <row r="3908">
      <c r="A3908" s="16">
        <f>IF(Calc!$B3908,Calc!E3908,"")</f>
        <v/>
      </c>
      <c r="B3908">
        <f>IF(Calc!$B3908,INDEX(MineNames,Calc!C3908),"")</f>
        <v/>
      </c>
      <c r="C3908" s="17">
        <f>IF(Calc!$B3908,Calc!O3908,"")</f>
        <v/>
      </c>
    </row>
    <row r="3909">
      <c r="A3909" s="16">
        <f>IF(Calc!$B3909,Calc!E3909,"")</f>
        <v/>
      </c>
      <c r="B3909">
        <f>IF(Calc!$B3909,INDEX(MineNames,Calc!C3909),"")</f>
        <v/>
      </c>
      <c r="C3909" s="17">
        <f>IF(Calc!$B3909,Calc!O3909,"")</f>
        <v/>
      </c>
    </row>
    <row r="3910">
      <c r="A3910" s="16">
        <f>IF(Calc!$B3910,Calc!E3910,"")</f>
        <v/>
      </c>
      <c r="B3910">
        <f>IF(Calc!$B3910,INDEX(MineNames,Calc!C3910),"")</f>
        <v/>
      </c>
      <c r="C3910" s="17">
        <f>IF(Calc!$B3910,Calc!O3910,"")</f>
        <v/>
      </c>
    </row>
    <row r="3911">
      <c r="A3911" s="16">
        <f>IF(Calc!$B3911,Calc!E3911,"")</f>
        <v/>
      </c>
      <c r="B3911">
        <f>IF(Calc!$B3911,INDEX(MineNames,Calc!C3911),"")</f>
        <v/>
      </c>
      <c r="C3911" s="17">
        <f>IF(Calc!$B3911,Calc!O3911,"")</f>
        <v/>
      </c>
    </row>
    <row r="3912">
      <c r="A3912" s="16">
        <f>IF(Calc!$B3912,Calc!E3912,"")</f>
        <v/>
      </c>
      <c r="B3912">
        <f>IF(Calc!$B3912,INDEX(MineNames,Calc!C3912),"")</f>
        <v/>
      </c>
      <c r="C3912" s="17">
        <f>IF(Calc!$B3912,Calc!O3912,"")</f>
        <v/>
      </c>
    </row>
    <row r="3913">
      <c r="A3913" s="16">
        <f>IF(Calc!$B3913,Calc!E3913,"")</f>
        <v/>
      </c>
      <c r="B3913">
        <f>IF(Calc!$B3913,INDEX(MineNames,Calc!C3913),"")</f>
        <v/>
      </c>
      <c r="C3913" s="17">
        <f>IF(Calc!$B3913,Calc!O3913,"")</f>
        <v/>
      </c>
    </row>
    <row r="3914">
      <c r="A3914" s="16">
        <f>IF(Calc!$B3914,Calc!E3914,"")</f>
        <v/>
      </c>
      <c r="B3914">
        <f>IF(Calc!$B3914,INDEX(MineNames,Calc!C3914),"")</f>
        <v/>
      </c>
      <c r="C3914" s="17">
        <f>IF(Calc!$B3914,Calc!O3914,"")</f>
        <v/>
      </c>
    </row>
    <row r="3915">
      <c r="A3915" s="16">
        <f>IF(Calc!$B3915,Calc!E3915,"")</f>
        <v/>
      </c>
      <c r="B3915">
        <f>IF(Calc!$B3915,INDEX(MineNames,Calc!C3915),"")</f>
        <v/>
      </c>
      <c r="C3915" s="17">
        <f>IF(Calc!$B3915,Calc!O3915,"")</f>
        <v/>
      </c>
    </row>
    <row r="3916">
      <c r="A3916" s="16">
        <f>IF(Calc!$B3916,Calc!E3916,"")</f>
        <v/>
      </c>
      <c r="B3916">
        <f>IF(Calc!$B3916,INDEX(MineNames,Calc!C3916),"")</f>
        <v/>
      </c>
      <c r="C3916" s="17">
        <f>IF(Calc!$B3916,Calc!O3916,"")</f>
        <v/>
      </c>
    </row>
    <row r="3917">
      <c r="A3917" s="16">
        <f>IF(Calc!$B3917,Calc!E3917,"")</f>
        <v/>
      </c>
      <c r="B3917">
        <f>IF(Calc!$B3917,INDEX(MineNames,Calc!C3917),"")</f>
        <v/>
      </c>
      <c r="C3917" s="17">
        <f>IF(Calc!$B3917,Calc!O3917,"")</f>
        <v/>
      </c>
    </row>
    <row r="3918">
      <c r="A3918" s="16">
        <f>IF(Calc!$B3918,Calc!E3918,"")</f>
        <v/>
      </c>
      <c r="B3918">
        <f>IF(Calc!$B3918,INDEX(MineNames,Calc!C3918),"")</f>
        <v/>
      </c>
      <c r="C3918" s="17">
        <f>IF(Calc!$B3918,Calc!O3918,"")</f>
        <v/>
      </c>
    </row>
    <row r="3919">
      <c r="A3919" s="16">
        <f>IF(Calc!$B3919,Calc!E3919,"")</f>
        <v/>
      </c>
      <c r="B3919">
        <f>IF(Calc!$B3919,INDEX(MineNames,Calc!C3919),"")</f>
        <v/>
      </c>
      <c r="C3919" s="17">
        <f>IF(Calc!$B3919,Calc!O3919,"")</f>
        <v/>
      </c>
    </row>
    <row r="3920">
      <c r="A3920" s="16">
        <f>IF(Calc!$B3920,Calc!E3920,"")</f>
        <v/>
      </c>
      <c r="B3920">
        <f>IF(Calc!$B3920,INDEX(MineNames,Calc!C3920),"")</f>
        <v/>
      </c>
      <c r="C3920" s="17">
        <f>IF(Calc!$B3920,Calc!O3920,"")</f>
        <v/>
      </c>
    </row>
    <row r="3921">
      <c r="A3921" s="16">
        <f>IF(Calc!$B3921,Calc!E3921,"")</f>
        <v/>
      </c>
      <c r="B3921">
        <f>IF(Calc!$B3921,INDEX(MineNames,Calc!C3921),"")</f>
        <v/>
      </c>
      <c r="C3921" s="17">
        <f>IF(Calc!$B3921,Calc!O3921,"")</f>
        <v/>
      </c>
    </row>
    <row r="3922">
      <c r="A3922" s="16">
        <f>IF(Calc!$B3922,Calc!E3922,"")</f>
        <v/>
      </c>
      <c r="B3922">
        <f>IF(Calc!$B3922,INDEX(MineNames,Calc!C3922),"")</f>
        <v/>
      </c>
      <c r="C3922" s="17">
        <f>IF(Calc!$B3922,Calc!O3922,"")</f>
        <v/>
      </c>
    </row>
    <row r="3923">
      <c r="A3923" s="16">
        <f>IF(Calc!$B3923,Calc!E3923,"")</f>
        <v/>
      </c>
      <c r="B3923">
        <f>IF(Calc!$B3923,INDEX(MineNames,Calc!C3923),"")</f>
        <v/>
      </c>
      <c r="C3923" s="17">
        <f>IF(Calc!$B3923,Calc!O3923,"")</f>
        <v/>
      </c>
    </row>
    <row r="3924">
      <c r="A3924" s="16">
        <f>IF(Calc!$B3924,Calc!E3924,"")</f>
        <v/>
      </c>
      <c r="B3924">
        <f>IF(Calc!$B3924,INDEX(MineNames,Calc!C3924),"")</f>
        <v/>
      </c>
      <c r="C3924" s="17">
        <f>IF(Calc!$B3924,Calc!O3924,"")</f>
        <v/>
      </c>
    </row>
    <row r="3925">
      <c r="A3925" s="16">
        <f>IF(Calc!$B3925,Calc!E3925,"")</f>
        <v/>
      </c>
      <c r="B3925">
        <f>IF(Calc!$B3925,INDEX(MineNames,Calc!C3925),"")</f>
        <v/>
      </c>
      <c r="C3925" s="17">
        <f>IF(Calc!$B3925,Calc!O3925,"")</f>
        <v/>
      </c>
    </row>
    <row r="3926">
      <c r="A3926" s="16">
        <f>IF(Calc!$B3926,Calc!E3926,"")</f>
        <v/>
      </c>
      <c r="B3926">
        <f>IF(Calc!$B3926,INDEX(MineNames,Calc!C3926),"")</f>
        <v/>
      </c>
      <c r="C3926" s="17">
        <f>IF(Calc!$B3926,Calc!O3926,"")</f>
        <v/>
      </c>
    </row>
    <row r="3927">
      <c r="A3927" s="16">
        <f>IF(Calc!$B3927,Calc!E3927,"")</f>
        <v/>
      </c>
      <c r="B3927">
        <f>IF(Calc!$B3927,INDEX(MineNames,Calc!C3927),"")</f>
        <v/>
      </c>
      <c r="C3927" s="17">
        <f>IF(Calc!$B3927,Calc!O3927,"")</f>
        <v/>
      </c>
    </row>
    <row r="3928">
      <c r="A3928" s="16">
        <f>IF(Calc!$B3928,Calc!E3928,"")</f>
        <v/>
      </c>
      <c r="B3928">
        <f>IF(Calc!$B3928,INDEX(MineNames,Calc!C3928),"")</f>
        <v/>
      </c>
      <c r="C3928" s="17">
        <f>IF(Calc!$B3928,Calc!O3928,"")</f>
        <v/>
      </c>
    </row>
    <row r="3929">
      <c r="A3929" s="16">
        <f>IF(Calc!$B3929,Calc!E3929,"")</f>
        <v/>
      </c>
      <c r="B3929">
        <f>IF(Calc!$B3929,INDEX(MineNames,Calc!C3929),"")</f>
        <v/>
      </c>
      <c r="C3929" s="17">
        <f>IF(Calc!$B3929,Calc!O3929,"")</f>
        <v/>
      </c>
    </row>
    <row r="3930">
      <c r="A3930" s="16">
        <f>IF(Calc!$B3930,Calc!E3930,"")</f>
        <v/>
      </c>
      <c r="B3930">
        <f>IF(Calc!$B3930,INDEX(MineNames,Calc!C3930),"")</f>
        <v/>
      </c>
      <c r="C3930" s="17">
        <f>IF(Calc!$B3930,Calc!O3930,"")</f>
        <v/>
      </c>
    </row>
    <row r="3931">
      <c r="A3931" s="16">
        <f>IF(Calc!$B3931,Calc!E3931,"")</f>
        <v/>
      </c>
      <c r="B3931">
        <f>IF(Calc!$B3931,INDEX(MineNames,Calc!C3931),"")</f>
        <v/>
      </c>
      <c r="C3931" s="17">
        <f>IF(Calc!$B3931,Calc!O3931,"")</f>
        <v/>
      </c>
    </row>
    <row r="3932">
      <c r="A3932" s="16">
        <f>IF(Calc!$B3932,Calc!E3932,"")</f>
        <v/>
      </c>
      <c r="B3932">
        <f>IF(Calc!$B3932,INDEX(MineNames,Calc!C3932),"")</f>
        <v/>
      </c>
      <c r="C3932" s="17">
        <f>IF(Calc!$B3932,Calc!O3932,"")</f>
        <v/>
      </c>
    </row>
    <row r="3933">
      <c r="A3933" s="16">
        <f>IF(Calc!$B3933,Calc!E3933,"")</f>
        <v/>
      </c>
      <c r="B3933">
        <f>IF(Calc!$B3933,INDEX(MineNames,Calc!C3933),"")</f>
        <v/>
      </c>
      <c r="C3933" s="17">
        <f>IF(Calc!$B3933,Calc!O3933,"")</f>
        <v/>
      </c>
    </row>
    <row r="3934">
      <c r="A3934" s="16">
        <f>IF(Calc!$B3934,Calc!E3934,"")</f>
        <v/>
      </c>
      <c r="B3934">
        <f>IF(Calc!$B3934,INDEX(MineNames,Calc!C3934),"")</f>
        <v/>
      </c>
      <c r="C3934" s="17">
        <f>IF(Calc!$B3934,Calc!O3934,"")</f>
        <v/>
      </c>
    </row>
    <row r="3935">
      <c r="A3935" s="16">
        <f>IF(Calc!$B3935,Calc!E3935,"")</f>
        <v/>
      </c>
      <c r="B3935">
        <f>IF(Calc!$B3935,INDEX(MineNames,Calc!C3935),"")</f>
        <v/>
      </c>
      <c r="C3935" s="17">
        <f>IF(Calc!$B3935,Calc!O3935,"")</f>
        <v/>
      </c>
    </row>
    <row r="3936">
      <c r="A3936" s="16">
        <f>IF(Calc!$B3936,Calc!E3936,"")</f>
        <v/>
      </c>
      <c r="B3936">
        <f>IF(Calc!$B3936,INDEX(MineNames,Calc!C3936),"")</f>
        <v/>
      </c>
      <c r="C3936" s="17">
        <f>IF(Calc!$B3936,Calc!O3936,"")</f>
        <v/>
      </c>
    </row>
    <row r="3937">
      <c r="A3937" s="16">
        <f>IF(Calc!$B3937,Calc!E3937,"")</f>
        <v/>
      </c>
      <c r="B3937">
        <f>IF(Calc!$B3937,INDEX(MineNames,Calc!C3937),"")</f>
        <v/>
      </c>
      <c r="C3937" s="17">
        <f>IF(Calc!$B3937,Calc!O3937,"")</f>
        <v/>
      </c>
    </row>
    <row r="3938">
      <c r="A3938" s="16">
        <f>IF(Calc!$B3938,Calc!E3938,"")</f>
        <v/>
      </c>
      <c r="B3938">
        <f>IF(Calc!$B3938,INDEX(MineNames,Calc!C3938),"")</f>
        <v/>
      </c>
      <c r="C3938" s="17">
        <f>IF(Calc!$B3938,Calc!O3938,"")</f>
        <v/>
      </c>
    </row>
    <row r="3939">
      <c r="A3939" s="16">
        <f>IF(Calc!$B3939,Calc!E3939,"")</f>
        <v/>
      </c>
      <c r="B3939">
        <f>IF(Calc!$B3939,INDEX(MineNames,Calc!C3939),"")</f>
        <v/>
      </c>
      <c r="C3939" s="17">
        <f>IF(Calc!$B3939,Calc!O3939,"")</f>
        <v/>
      </c>
    </row>
    <row r="3940">
      <c r="A3940" s="16">
        <f>IF(Calc!$B3940,Calc!E3940,"")</f>
        <v/>
      </c>
      <c r="B3940">
        <f>IF(Calc!$B3940,INDEX(MineNames,Calc!C3940),"")</f>
        <v/>
      </c>
      <c r="C3940" s="17">
        <f>IF(Calc!$B3940,Calc!O3940,"")</f>
        <v/>
      </c>
    </row>
    <row r="3941">
      <c r="A3941" s="16">
        <f>IF(Calc!$B3941,Calc!E3941,"")</f>
        <v/>
      </c>
      <c r="B3941">
        <f>IF(Calc!$B3941,INDEX(MineNames,Calc!C3941),"")</f>
        <v/>
      </c>
      <c r="C3941" s="17">
        <f>IF(Calc!$B3941,Calc!O3941,"")</f>
        <v/>
      </c>
    </row>
    <row r="3942">
      <c r="A3942" s="16">
        <f>IF(Calc!$B3942,Calc!E3942,"")</f>
        <v/>
      </c>
      <c r="B3942">
        <f>IF(Calc!$B3942,INDEX(MineNames,Calc!C3942),"")</f>
        <v/>
      </c>
      <c r="C3942" s="17">
        <f>IF(Calc!$B3942,Calc!O3942,"")</f>
        <v/>
      </c>
    </row>
    <row r="3943">
      <c r="A3943" s="16">
        <f>IF(Calc!$B3943,Calc!E3943,"")</f>
        <v/>
      </c>
      <c r="B3943">
        <f>IF(Calc!$B3943,INDEX(MineNames,Calc!C3943),"")</f>
        <v/>
      </c>
      <c r="C3943" s="17">
        <f>IF(Calc!$B3943,Calc!O3943,"")</f>
        <v/>
      </c>
    </row>
    <row r="3944">
      <c r="A3944" s="16">
        <f>IF(Calc!$B3944,Calc!E3944,"")</f>
        <v/>
      </c>
      <c r="B3944">
        <f>IF(Calc!$B3944,INDEX(MineNames,Calc!C3944),"")</f>
        <v/>
      </c>
      <c r="C3944" s="17">
        <f>IF(Calc!$B3944,Calc!O3944,"")</f>
        <v/>
      </c>
    </row>
    <row r="3945">
      <c r="A3945" s="16">
        <f>IF(Calc!$B3945,Calc!E3945,"")</f>
        <v/>
      </c>
      <c r="B3945">
        <f>IF(Calc!$B3945,INDEX(MineNames,Calc!C3945),"")</f>
        <v/>
      </c>
      <c r="C3945" s="17">
        <f>IF(Calc!$B3945,Calc!O3945,"")</f>
        <v/>
      </c>
    </row>
    <row r="3946">
      <c r="A3946" s="16">
        <f>IF(Calc!$B3946,Calc!E3946,"")</f>
        <v/>
      </c>
      <c r="B3946">
        <f>IF(Calc!$B3946,INDEX(MineNames,Calc!C3946),"")</f>
        <v/>
      </c>
      <c r="C3946" s="17">
        <f>IF(Calc!$B3946,Calc!O3946,"")</f>
        <v/>
      </c>
    </row>
    <row r="3947">
      <c r="A3947" s="16">
        <f>IF(Calc!$B3947,Calc!E3947,"")</f>
        <v/>
      </c>
      <c r="B3947">
        <f>IF(Calc!$B3947,INDEX(MineNames,Calc!C3947),"")</f>
        <v/>
      </c>
      <c r="C3947" s="17">
        <f>IF(Calc!$B3947,Calc!O3947,"")</f>
        <v/>
      </c>
    </row>
    <row r="3948">
      <c r="A3948" s="16">
        <f>IF(Calc!$B3948,Calc!E3948,"")</f>
        <v/>
      </c>
      <c r="B3948">
        <f>IF(Calc!$B3948,INDEX(MineNames,Calc!C3948),"")</f>
        <v/>
      </c>
      <c r="C3948" s="17">
        <f>IF(Calc!$B3948,Calc!O3948,"")</f>
        <v/>
      </c>
    </row>
    <row r="3949">
      <c r="A3949" s="16">
        <f>IF(Calc!$B3949,Calc!E3949,"")</f>
        <v/>
      </c>
      <c r="B3949">
        <f>IF(Calc!$B3949,INDEX(MineNames,Calc!C3949),"")</f>
        <v/>
      </c>
      <c r="C3949" s="17">
        <f>IF(Calc!$B3949,Calc!O3949,"")</f>
        <v/>
      </c>
    </row>
    <row r="3950">
      <c r="A3950" s="16">
        <f>IF(Calc!$B3950,Calc!E3950,"")</f>
        <v/>
      </c>
      <c r="B3950">
        <f>IF(Calc!$B3950,INDEX(MineNames,Calc!C3950),"")</f>
        <v/>
      </c>
      <c r="C3950" s="17">
        <f>IF(Calc!$B3950,Calc!O3950,"")</f>
        <v/>
      </c>
    </row>
    <row r="3951">
      <c r="A3951" s="16">
        <f>IF(Calc!$B3951,Calc!E3951,"")</f>
        <v/>
      </c>
      <c r="B3951">
        <f>IF(Calc!$B3951,INDEX(MineNames,Calc!C3951),"")</f>
        <v/>
      </c>
      <c r="C3951" s="17">
        <f>IF(Calc!$B3951,Calc!O3951,"")</f>
        <v/>
      </c>
    </row>
    <row r="3952">
      <c r="A3952" s="16">
        <f>IF(Calc!$B3952,Calc!E3952,"")</f>
        <v/>
      </c>
      <c r="B3952">
        <f>IF(Calc!$B3952,INDEX(MineNames,Calc!C3952),"")</f>
        <v/>
      </c>
      <c r="C3952" s="17">
        <f>IF(Calc!$B3952,Calc!O3952,"")</f>
        <v/>
      </c>
    </row>
    <row r="3953">
      <c r="A3953" s="16">
        <f>IF(Calc!$B3953,Calc!E3953,"")</f>
        <v/>
      </c>
      <c r="B3953">
        <f>IF(Calc!$B3953,INDEX(MineNames,Calc!C3953),"")</f>
        <v/>
      </c>
      <c r="C3953" s="17">
        <f>IF(Calc!$B3953,Calc!O3953,"")</f>
        <v/>
      </c>
    </row>
    <row r="3954">
      <c r="A3954" s="16">
        <f>IF(Calc!$B3954,Calc!E3954,"")</f>
        <v/>
      </c>
      <c r="B3954">
        <f>IF(Calc!$B3954,INDEX(MineNames,Calc!C3954),"")</f>
        <v/>
      </c>
      <c r="C3954" s="17">
        <f>IF(Calc!$B3954,Calc!O3954,"")</f>
        <v/>
      </c>
    </row>
    <row r="3955">
      <c r="A3955" s="16">
        <f>IF(Calc!$B3955,Calc!E3955,"")</f>
        <v/>
      </c>
      <c r="B3955">
        <f>IF(Calc!$B3955,INDEX(MineNames,Calc!C3955),"")</f>
        <v/>
      </c>
      <c r="C3955" s="17">
        <f>IF(Calc!$B3955,Calc!O3955,"")</f>
        <v/>
      </c>
    </row>
    <row r="3956">
      <c r="A3956" s="16">
        <f>IF(Calc!$B3956,Calc!E3956,"")</f>
        <v/>
      </c>
      <c r="B3956">
        <f>IF(Calc!$B3956,INDEX(MineNames,Calc!C3956),"")</f>
        <v/>
      </c>
      <c r="C3956" s="17">
        <f>IF(Calc!$B3956,Calc!O3956,"")</f>
        <v/>
      </c>
    </row>
    <row r="3957">
      <c r="A3957" s="16">
        <f>IF(Calc!$B3957,Calc!E3957,"")</f>
        <v/>
      </c>
      <c r="B3957">
        <f>IF(Calc!$B3957,INDEX(MineNames,Calc!C3957),"")</f>
        <v/>
      </c>
      <c r="C3957" s="17">
        <f>IF(Calc!$B3957,Calc!O3957,"")</f>
        <v/>
      </c>
    </row>
    <row r="3958">
      <c r="A3958" s="16">
        <f>IF(Calc!$B3958,Calc!E3958,"")</f>
        <v/>
      </c>
      <c r="B3958">
        <f>IF(Calc!$B3958,INDEX(MineNames,Calc!C3958),"")</f>
        <v/>
      </c>
      <c r="C3958" s="17">
        <f>IF(Calc!$B3958,Calc!O3958,"")</f>
        <v/>
      </c>
    </row>
    <row r="3959">
      <c r="A3959" s="16">
        <f>IF(Calc!$B3959,Calc!E3959,"")</f>
        <v/>
      </c>
      <c r="B3959">
        <f>IF(Calc!$B3959,INDEX(MineNames,Calc!C3959),"")</f>
        <v/>
      </c>
      <c r="C3959" s="17">
        <f>IF(Calc!$B3959,Calc!O3959,"")</f>
        <v/>
      </c>
    </row>
    <row r="3960">
      <c r="A3960" s="16">
        <f>IF(Calc!$B3960,Calc!E3960,"")</f>
        <v/>
      </c>
      <c r="B3960">
        <f>IF(Calc!$B3960,INDEX(MineNames,Calc!C3960),"")</f>
        <v/>
      </c>
      <c r="C3960" s="17">
        <f>IF(Calc!$B3960,Calc!O3960,"")</f>
        <v/>
      </c>
    </row>
    <row r="3961">
      <c r="A3961" s="16">
        <f>IF(Calc!$B3961,Calc!E3961,"")</f>
        <v/>
      </c>
      <c r="B3961">
        <f>IF(Calc!$B3961,INDEX(MineNames,Calc!C3961),"")</f>
        <v/>
      </c>
      <c r="C3961" s="17">
        <f>IF(Calc!$B3961,Calc!O3961,"")</f>
        <v/>
      </c>
    </row>
    <row r="3962">
      <c r="A3962" s="16">
        <f>IF(Calc!$B3962,Calc!E3962,"")</f>
        <v/>
      </c>
      <c r="B3962">
        <f>IF(Calc!$B3962,INDEX(MineNames,Calc!C3962),"")</f>
        <v/>
      </c>
      <c r="C3962" s="17">
        <f>IF(Calc!$B3962,Calc!O3962,"")</f>
        <v/>
      </c>
    </row>
    <row r="3963">
      <c r="A3963" s="16">
        <f>IF(Calc!$B3963,Calc!E3963,"")</f>
        <v/>
      </c>
      <c r="B3963">
        <f>IF(Calc!$B3963,INDEX(MineNames,Calc!C3963),"")</f>
        <v/>
      </c>
      <c r="C3963" s="17">
        <f>IF(Calc!$B3963,Calc!O3963,"")</f>
        <v/>
      </c>
    </row>
    <row r="3964">
      <c r="A3964" s="16">
        <f>IF(Calc!$B3964,Calc!E3964,"")</f>
        <v/>
      </c>
      <c r="B3964">
        <f>IF(Calc!$B3964,INDEX(MineNames,Calc!C3964),"")</f>
        <v/>
      </c>
      <c r="C3964" s="17">
        <f>IF(Calc!$B3964,Calc!O3964,"")</f>
        <v/>
      </c>
    </row>
    <row r="3965">
      <c r="A3965" s="16">
        <f>IF(Calc!$B3965,Calc!E3965,"")</f>
        <v/>
      </c>
      <c r="B3965">
        <f>IF(Calc!$B3965,INDEX(MineNames,Calc!C3965),"")</f>
        <v/>
      </c>
      <c r="C3965" s="17">
        <f>IF(Calc!$B3965,Calc!O3965,"")</f>
        <v/>
      </c>
    </row>
    <row r="3966">
      <c r="A3966" s="16">
        <f>IF(Calc!$B3966,Calc!E3966,"")</f>
        <v/>
      </c>
      <c r="B3966">
        <f>IF(Calc!$B3966,INDEX(MineNames,Calc!C3966),"")</f>
        <v/>
      </c>
      <c r="C3966" s="17">
        <f>IF(Calc!$B3966,Calc!O3966,"")</f>
        <v/>
      </c>
    </row>
    <row r="3967">
      <c r="A3967" s="16">
        <f>IF(Calc!$B3967,Calc!E3967,"")</f>
        <v/>
      </c>
      <c r="B3967">
        <f>IF(Calc!$B3967,INDEX(MineNames,Calc!C3967),"")</f>
        <v/>
      </c>
      <c r="C3967" s="17">
        <f>IF(Calc!$B3967,Calc!O3967,"")</f>
        <v/>
      </c>
    </row>
    <row r="3968">
      <c r="A3968" s="16">
        <f>IF(Calc!$B3968,Calc!E3968,"")</f>
        <v/>
      </c>
      <c r="B3968">
        <f>IF(Calc!$B3968,INDEX(MineNames,Calc!C3968),"")</f>
        <v/>
      </c>
      <c r="C3968" s="17">
        <f>IF(Calc!$B3968,Calc!O3968,"")</f>
        <v/>
      </c>
    </row>
    <row r="3969">
      <c r="A3969" s="16">
        <f>IF(Calc!$B3969,Calc!E3969,"")</f>
        <v/>
      </c>
      <c r="B3969">
        <f>IF(Calc!$B3969,INDEX(MineNames,Calc!C3969),"")</f>
        <v/>
      </c>
      <c r="C3969" s="17">
        <f>IF(Calc!$B3969,Calc!O3969,"")</f>
        <v/>
      </c>
    </row>
    <row r="3970">
      <c r="A3970" s="16">
        <f>IF(Calc!$B3970,Calc!E3970,"")</f>
        <v/>
      </c>
      <c r="B3970">
        <f>IF(Calc!$B3970,INDEX(MineNames,Calc!C3970),"")</f>
        <v/>
      </c>
      <c r="C3970" s="17">
        <f>IF(Calc!$B3970,Calc!O3970,"")</f>
        <v/>
      </c>
    </row>
    <row r="3971">
      <c r="A3971" s="16">
        <f>IF(Calc!$B3971,Calc!E3971,"")</f>
        <v/>
      </c>
      <c r="B3971">
        <f>IF(Calc!$B3971,INDEX(MineNames,Calc!C3971),"")</f>
        <v/>
      </c>
      <c r="C3971" s="17">
        <f>IF(Calc!$B3971,Calc!O3971,"")</f>
        <v/>
      </c>
    </row>
    <row r="3972">
      <c r="A3972" s="16">
        <f>IF(Calc!$B3972,Calc!E3972,"")</f>
        <v/>
      </c>
      <c r="B3972">
        <f>IF(Calc!$B3972,INDEX(MineNames,Calc!C3972),"")</f>
        <v/>
      </c>
      <c r="C3972" s="17">
        <f>IF(Calc!$B3972,Calc!O3972,"")</f>
        <v/>
      </c>
    </row>
    <row r="3973">
      <c r="A3973" s="16">
        <f>IF(Calc!$B3973,Calc!E3973,"")</f>
        <v/>
      </c>
      <c r="B3973">
        <f>IF(Calc!$B3973,INDEX(MineNames,Calc!C3973),"")</f>
        <v/>
      </c>
      <c r="C3973" s="17">
        <f>IF(Calc!$B3973,Calc!O3973,"")</f>
        <v/>
      </c>
    </row>
    <row r="3974">
      <c r="A3974" s="16">
        <f>IF(Calc!$B3974,Calc!E3974,"")</f>
        <v/>
      </c>
      <c r="B3974">
        <f>IF(Calc!$B3974,INDEX(MineNames,Calc!C3974),"")</f>
        <v/>
      </c>
      <c r="C3974" s="17">
        <f>IF(Calc!$B3974,Calc!O3974,"")</f>
        <v/>
      </c>
    </row>
    <row r="3975">
      <c r="A3975" s="16">
        <f>IF(Calc!$B3975,Calc!E3975,"")</f>
        <v/>
      </c>
      <c r="B3975">
        <f>IF(Calc!$B3975,INDEX(MineNames,Calc!C3975),"")</f>
        <v/>
      </c>
      <c r="C3975" s="17">
        <f>IF(Calc!$B3975,Calc!O3975,"")</f>
        <v/>
      </c>
    </row>
    <row r="3976">
      <c r="A3976" s="16">
        <f>IF(Calc!$B3976,Calc!E3976,"")</f>
        <v/>
      </c>
      <c r="B3976">
        <f>IF(Calc!$B3976,INDEX(MineNames,Calc!C3976),"")</f>
        <v/>
      </c>
      <c r="C3976" s="17">
        <f>IF(Calc!$B3976,Calc!O3976,"")</f>
        <v/>
      </c>
    </row>
    <row r="3977">
      <c r="A3977" s="16">
        <f>IF(Calc!$B3977,Calc!E3977,"")</f>
        <v/>
      </c>
      <c r="B3977">
        <f>IF(Calc!$B3977,INDEX(MineNames,Calc!C3977),"")</f>
        <v/>
      </c>
      <c r="C3977" s="17">
        <f>IF(Calc!$B3977,Calc!O3977,"")</f>
        <v/>
      </c>
    </row>
    <row r="3978">
      <c r="A3978" s="16">
        <f>IF(Calc!$B3978,Calc!E3978,"")</f>
        <v/>
      </c>
      <c r="B3978">
        <f>IF(Calc!$B3978,INDEX(MineNames,Calc!C3978),"")</f>
        <v/>
      </c>
      <c r="C3978" s="17">
        <f>IF(Calc!$B3978,Calc!O3978,"")</f>
        <v/>
      </c>
    </row>
    <row r="3979">
      <c r="A3979" s="16">
        <f>IF(Calc!$B3979,Calc!E3979,"")</f>
        <v/>
      </c>
      <c r="B3979">
        <f>IF(Calc!$B3979,INDEX(MineNames,Calc!C3979),"")</f>
        <v/>
      </c>
      <c r="C3979" s="17">
        <f>IF(Calc!$B3979,Calc!O3979,"")</f>
        <v/>
      </c>
    </row>
    <row r="3980">
      <c r="A3980" s="16">
        <f>IF(Calc!$B3980,Calc!E3980,"")</f>
        <v/>
      </c>
      <c r="B3980">
        <f>IF(Calc!$B3980,INDEX(MineNames,Calc!C3980),"")</f>
        <v/>
      </c>
      <c r="C3980" s="17">
        <f>IF(Calc!$B3980,Calc!O3980,"")</f>
        <v/>
      </c>
    </row>
    <row r="3981">
      <c r="A3981" s="16">
        <f>IF(Calc!$B3981,Calc!E3981,"")</f>
        <v/>
      </c>
      <c r="B3981">
        <f>IF(Calc!$B3981,INDEX(MineNames,Calc!C3981),"")</f>
        <v/>
      </c>
      <c r="C3981" s="17">
        <f>IF(Calc!$B3981,Calc!O3981,"")</f>
        <v/>
      </c>
    </row>
    <row r="3982">
      <c r="A3982" s="16">
        <f>IF(Calc!$B3982,Calc!E3982,"")</f>
        <v/>
      </c>
      <c r="B3982">
        <f>IF(Calc!$B3982,INDEX(MineNames,Calc!C3982),"")</f>
        <v/>
      </c>
      <c r="C3982" s="17">
        <f>IF(Calc!$B3982,Calc!O3982,"")</f>
        <v/>
      </c>
    </row>
    <row r="3983">
      <c r="A3983" s="16">
        <f>IF(Calc!$B3983,Calc!E3983,"")</f>
        <v/>
      </c>
      <c r="B3983">
        <f>IF(Calc!$B3983,INDEX(MineNames,Calc!C3983),"")</f>
        <v/>
      </c>
      <c r="C3983" s="17">
        <f>IF(Calc!$B3983,Calc!O3983,"")</f>
        <v/>
      </c>
    </row>
    <row r="3984">
      <c r="A3984" s="16">
        <f>IF(Calc!$B3984,Calc!E3984,"")</f>
        <v/>
      </c>
      <c r="B3984">
        <f>IF(Calc!$B3984,INDEX(MineNames,Calc!C3984),"")</f>
        <v/>
      </c>
      <c r="C3984" s="17">
        <f>IF(Calc!$B3984,Calc!O3984,"")</f>
        <v/>
      </c>
    </row>
    <row r="3985">
      <c r="A3985" s="16">
        <f>IF(Calc!$B3985,Calc!E3985,"")</f>
        <v/>
      </c>
      <c r="B3985">
        <f>IF(Calc!$B3985,INDEX(MineNames,Calc!C3985),"")</f>
        <v/>
      </c>
      <c r="C3985" s="17">
        <f>IF(Calc!$B3985,Calc!O3985,"")</f>
        <v/>
      </c>
    </row>
    <row r="3986">
      <c r="A3986" s="16">
        <f>IF(Calc!$B3986,Calc!E3986,"")</f>
        <v/>
      </c>
      <c r="B3986">
        <f>IF(Calc!$B3986,INDEX(MineNames,Calc!C3986),"")</f>
        <v/>
      </c>
      <c r="C3986" s="17">
        <f>IF(Calc!$B3986,Calc!O3986,"")</f>
        <v/>
      </c>
    </row>
    <row r="3987">
      <c r="A3987" s="16">
        <f>IF(Calc!$B3987,Calc!E3987,"")</f>
        <v/>
      </c>
      <c r="B3987">
        <f>IF(Calc!$B3987,INDEX(MineNames,Calc!C3987),"")</f>
        <v/>
      </c>
      <c r="C3987" s="17">
        <f>IF(Calc!$B3987,Calc!O3987,"")</f>
        <v/>
      </c>
    </row>
    <row r="3988">
      <c r="A3988" s="16">
        <f>IF(Calc!$B3988,Calc!E3988,"")</f>
        <v/>
      </c>
      <c r="B3988">
        <f>IF(Calc!$B3988,INDEX(MineNames,Calc!C3988),"")</f>
        <v/>
      </c>
      <c r="C3988" s="17">
        <f>IF(Calc!$B3988,Calc!O3988,"")</f>
        <v/>
      </c>
    </row>
    <row r="3989">
      <c r="A3989" s="16">
        <f>IF(Calc!$B3989,Calc!E3989,"")</f>
        <v/>
      </c>
      <c r="B3989">
        <f>IF(Calc!$B3989,INDEX(MineNames,Calc!C3989),"")</f>
        <v/>
      </c>
      <c r="C3989" s="17">
        <f>IF(Calc!$B3989,Calc!O3989,"")</f>
        <v/>
      </c>
    </row>
    <row r="3990">
      <c r="A3990" s="16">
        <f>IF(Calc!$B3990,Calc!E3990,"")</f>
        <v/>
      </c>
      <c r="B3990">
        <f>IF(Calc!$B3990,INDEX(MineNames,Calc!C3990),"")</f>
        <v/>
      </c>
      <c r="C3990" s="17">
        <f>IF(Calc!$B3990,Calc!O3990,"")</f>
        <v/>
      </c>
    </row>
    <row r="3991">
      <c r="A3991" s="16">
        <f>IF(Calc!$B3991,Calc!E3991,"")</f>
        <v/>
      </c>
      <c r="B3991">
        <f>IF(Calc!$B3991,INDEX(MineNames,Calc!C3991),"")</f>
        <v/>
      </c>
      <c r="C3991" s="17">
        <f>IF(Calc!$B3991,Calc!O3991,"")</f>
        <v/>
      </c>
    </row>
    <row r="3992">
      <c r="A3992" s="16">
        <f>IF(Calc!$B3992,Calc!E3992,"")</f>
        <v/>
      </c>
      <c r="B3992">
        <f>IF(Calc!$B3992,INDEX(MineNames,Calc!C3992),"")</f>
        <v/>
      </c>
      <c r="C3992" s="17">
        <f>IF(Calc!$B3992,Calc!O3992,"")</f>
        <v/>
      </c>
    </row>
    <row r="3993">
      <c r="A3993" s="16">
        <f>IF(Calc!$B3993,Calc!E3993,"")</f>
        <v/>
      </c>
      <c r="B3993">
        <f>IF(Calc!$B3993,INDEX(MineNames,Calc!C3993),"")</f>
        <v/>
      </c>
      <c r="C3993" s="17">
        <f>IF(Calc!$B3993,Calc!O3993,"")</f>
        <v/>
      </c>
    </row>
    <row r="3994">
      <c r="A3994" s="16">
        <f>IF(Calc!$B3994,Calc!E3994,"")</f>
        <v/>
      </c>
      <c r="B3994">
        <f>IF(Calc!$B3994,INDEX(MineNames,Calc!C3994),"")</f>
        <v/>
      </c>
      <c r="C3994" s="17">
        <f>IF(Calc!$B3994,Calc!O3994,"")</f>
        <v/>
      </c>
    </row>
    <row r="3995">
      <c r="A3995" s="16">
        <f>IF(Calc!$B3995,Calc!E3995,"")</f>
        <v/>
      </c>
      <c r="B3995">
        <f>IF(Calc!$B3995,INDEX(MineNames,Calc!C3995),"")</f>
        <v/>
      </c>
      <c r="C3995" s="17">
        <f>IF(Calc!$B3995,Calc!O3995,"")</f>
        <v/>
      </c>
    </row>
    <row r="3996">
      <c r="A3996" s="16">
        <f>IF(Calc!$B3996,Calc!E3996,"")</f>
        <v/>
      </c>
      <c r="B3996">
        <f>IF(Calc!$B3996,INDEX(MineNames,Calc!C3996),"")</f>
        <v/>
      </c>
      <c r="C3996" s="17">
        <f>IF(Calc!$B3996,Calc!O3996,"")</f>
        <v/>
      </c>
    </row>
    <row r="3997">
      <c r="A3997" s="16">
        <f>IF(Calc!$B3997,Calc!E3997,"")</f>
        <v/>
      </c>
      <c r="B3997">
        <f>IF(Calc!$B3997,INDEX(MineNames,Calc!C3997),"")</f>
        <v/>
      </c>
      <c r="C3997" s="17">
        <f>IF(Calc!$B3997,Calc!O3997,"")</f>
        <v/>
      </c>
    </row>
    <row r="3998">
      <c r="A3998" s="16">
        <f>IF(Calc!$B3998,Calc!E3998,"")</f>
        <v/>
      </c>
      <c r="B3998">
        <f>IF(Calc!$B3998,INDEX(MineNames,Calc!C3998),"")</f>
        <v/>
      </c>
      <c r="C3998" s="17">
        <f>IF(Calc!$B3998,Calc!O3998,"")</f>
        <v/>
      </c>
    </row>
    <row r="3999">
      <c r="A3999" s="16">
        <f>IF(Calc!$B3999,Calc!E3999,"")</f>
        <v/>
      </c>
      <c r="B3999">
        <f>IF(Calc!$B3999,INDEX(MineNames,Calc!C3999),"")</f>
        <v/>
      </c>
      <c r="C3999" s="17">
        <f>IF(Calc!$B3999,Calc!O3999,"")</f>
        <v/>
      </c>
    </row>
    <row r="4000">
      <c r="A4000" s="16">
        <f>IF(Calc!$B4000,Calc!E4000,"")</f>
        <v/>
      </c>
      <c r="B4000">
        <f>IF(Calc!$B4000,INDEX(MineNames,Calc!C4000),"")</f>
        <v/>
      </c>
      <c r="C4000" s="17">
        <f>IF(Calc!$B4000,Calc!O4000,"")</f>
        <v/>
      </c>
    </row>
    <row r="4001">
      <c r="A4001" s="16">
        <f>IF(Calc!$B4001,Calc!E4001,"")</f>
        <v/>
      </c>
      <c r="B4001">
        <f>IF(Calc!$B4001,INDEX(MineNames,Calc!C4001),"")</f>
        <v/>
      </c>
      <c r="C4001" s="17">
        <f>IF(Calc!$B4001,Calc!O4001,"")</f>
        <v/>
      </c>
    </row>
    <row r="4002">
      <c r="A4002" s="16">
        <f>IF(Calc!$B4002,Calc!E4002,"")</f>
        <v/>
      </c>
      <c r="B4002">
        <f>IF(Calc!$B4002,INDEX(MineNames,Calc!C4002),"")</f>
        <v/>
      </c>
      <c r="C4002" s="17">
        <f>IF(Calc!$B4002,Calc!O4002,"")</f>
        <v/>
      </c>
    </row>
    <row r="4003">
      <c r="A4003" s="16">
        <f>IF(Calc!$B4003,Calc!E4003,"")</f>
        <v/>
      </c>
      <c r="B4003">
        <f>IF(Calc!$B4003,INDEX(MineNames,Calc!C4003),"")</f>
        <v/>
      </c>
      <c r="C4003" s="17">
        <f>IF(Calc!$B4003,Calc!O4003,"")</f>
        <v/>
      </c>
    </row>
    <row r="4004">
      <c r="A4004" s="16">
        <f>IF(Calc!$B4004,Calc!E4004,"")</f>
        <v/>
      </c>
      <c r="B4004">
        <f>IF(Calc!$B4004,INDEX(MineNames,Calc!C4004),"")</f>
        <v/>
      </c>
      <c r="C4004" s="17">
        <f>IF(Calc!$B4004,Calc!O4004,"")</f>
        <v/>
      </c>
    </row>
    <row r="4005">
      <c r="A4005" s="16">
        <f>IF(Calc!$B4005,Calc!E4005,"")</f>
        <v/>
      </c>
      <c r="B4005">
        <f>IF(Calc!$B4005,INDEX(MineNames,Calc!C4005),"")</f>
        <v/>
      </c>
      <c r="C4005" s="17">
        <f>IF(Calc!$B4005,Calc!O4005,"")</f>
        <v/>
      </c>
    </row>
    <row r="4006">
      <c r="A4006" s="16">
        <f>IF(Calc!$B4006,Calc!E4006,"")</f>
        <v/>
      </c>
      <c r="B4006">
        <f>IF(Calc!$B4006,INDEX(MineNames,Calc!C4006),"")</f>
        <v/>
      </c>
      <c r="C4006" s="17">
        <f>IF(Calc!$B4006,Calc!O4006,"")</f>
        <v/>
      </c>
    </row>
    <row r="4007">
      <c r="A4007" s="16">
        <f>IF(Calc!$B4007,Calc!E4007,"")</f>
        <v/>
      </c>
      <c r="B4007">
        <f>IF(Calc!$B4007,INDEX(MineNames,Calc!C4007),"")</f>
        <v/>
      </c>
      <c r="C4007" s="17">
        <f>IF(Calc!$B4007,Calc!O4007,"")</f>
        <v/>
      </c>
    </row>
    <row r="4008">
      <c r="A4008" s="16">
        <f>IF(Calc!$B4008,Calc!E4008,"")</f>
        <v/>
      </c>
      <c r="B4008">
        <f>IF(Calc!$B4008,INDEX(MineNames,Calc!C4008),"")</f>
        <v/>
      </c>
      <c r="C4008" s="17">
        <f>IF(Calc!$B4008,Calc!O4008,"")</f>
        <v/>
      </c>
    </row>
    <row r="4009">
      <c r="A4009" s="16">
        <f>IF(Calc!$B4009,Calc!E4009,"")</f>
        <v/>
      </c>
      <c r="B4009">
        <f>IF(Calc!$B4009,INDEX(MineNames,Calc!C4009),"")</f>
        <v/>
      </c>
      <c r="C4009" s="17">
        <f>IF(Calc!$B4009,Calc!O4009,"")</f>
        <v/>
      </c>
    </row>
    <row r="4010">
      <c r="A4010" s="16">
        <f>IF(Calc!$B4010,Calc!E4010,"")</f>
        <v/>
      </c>
      <c r="B4010">
        <f>IF(Calc!$B4010,INDEX(MineNames,Calc!C4010),"")</f>
        <v/>
      </c>
      <c r="C4010" s="17">
        <f>IF(Calc!$B4010,Calc!O4010,"")</f>
        <v/>
      </c>
    </row>
    <row r="4011">
      <c r="A4011" s="16">
        <f>IF(Calc!$B4011,Calc!E4011,"")</f>
        <v/>
      </c>
      <c r="B4011">
        <f>IF(Calc!$B4011,INDEX(MineNames,Calc!C4011),"")</f>
        <v/>
      </c>
      <c r="C4011" s="17">
        <f>IF(Calc!$B4011,Calc!O4011,"")</f>
        <v/>
      </c>
    </row>
    <row r="4012">
      <c r="A4012" s="16">
        <f>IF(Calc!$B4012,Calc!E4012,"")</f>
        <v/>
      </c>
      <c r="B4012">
        <f>IF(Calc!$B4012,INDEX(MineNames,Calc!C4012),"")</f>
        <v/>
      </c>
      <c r="C4012" s="17">
        <f>IF(Calc!$B4012,Calc!O4012,"")</f>
        <v/>
      </c>
    </row>
    <row r="4013">
      <c r="A4013" s="16">
        <f>IF(Calc!$B4013,Calc!E4013,"")</f>
        <v/>
      </c>
      <c r="B4013">
        <f>IF(Calc!$B4013,INDEX(MineNames,Calc!C4013),"")</f>
        <v/>
      </c>
      <c r="C4013" s="17">
        <f>IF(Calc!$B4013,Calc!O4013,"")</f>
        <v/>
      </c>
    </row>
    <row r="4014">
      <c r="A4014" s="16">
        <f>IF(Calc!$B4014,Calc!E4014,"")</f>
        <v/>
      </c>
      <c r="B4014">
        <f>IF(Calc!$B4014,INDEX(MineNames,Calc!C4014),"")</f>
        <v/>
      </c>
      <c r="C4014" s="17">
        <f>IF(Calc!$B4014,Calc!O4014,"")</f>
        <v/>
      </c>
    </row>
    <row r="4015">
      <c r="A4015" s="16">
        <f>IF(Calc!$B4015,Calc!E4015,"")</f>
        <v/>
      </c>
      <c r="B4015">
        <f>IF(Calc!$B4015,INDEX(MineNames,Calc!C4015),"")</f>
        <v/>
      </c>
      <c r="C4015" s="17">
        <f>IF(Calc!$B4015,Calc!O4015,"")</f>
        <v/>
      </c>
    </row>
    <row r="4016">
      <c r="A4016" s="16">
        <f>IF(Calc!$B4016,Calc!E4016,"")</f>
        <v/>
      </c>
      <c r="B4016">
        <f>IF(Calc!$B4016,INDEX(MineNames,Calc!C4016),"")</f>
        <v/>
      </c>
      <c r="C4016" s="17">
        <f>IF(Calc!$B4016,Calc!O4016,"")</f>
        <v/>
      </c>
    </row>
    <row r="4017">
      <c r="A4017" s="16">
        <f>IF(Calc!$B4017,Calc!E4017,"")</f>
        <v/>
      </c>
      <c r="B4017">
        <f>IF(Calc!$B4017,INDEX(MineNames,Calc!C4017),"")</f>
        <v/>
      </c>
      <c r="C4017" s="17">
        <f>IF(Calc!$B4017,Calc!O4017,"")</f>
        <v/>
      </c>
    </row>
    <row r="4018">
      <c r="A4018" s="16">
        <f>IF(Calc!$B4018,Calc!E4018,"")</f>
        <v/>
      </c>
      <c r="B4018">
        <f>IF(Calc!$B4018,INDEX(MineNames,Calc!C4018),"")</f>
        <v/>
      </c>
      <c r="C4018" s="17">
        <f>IF(Calc!$B4018,Calc!O4018,"")</f>
        <v/>
      </c>
    </row>
    <row r="4019">
      <c r="A4019" s="16">
        <f>IF(Calc!$B4019,Calc!E4019,"")</f>
        <v/>
      </c>
      <c r="B4019">
        <f>IF(Calc!$B4019,INDEX(MineNames,Calc!C4019),"")</f>
        <v/>
      </c>
      <c r="C4019" s="17">
        <f>IF(Calc!$B4019,Calc!O4019,"")</f>
        <v/>
      </c>
    </row>
    <row r="4020">
      <c r="A4020" s="16">
        <f>IF(Calc!$B4020,Calc!E4020,"")</f>
        <v/>
      </c>
      <c r="B4020">
        <f>IF(Calc!$B4020,INDEX(MineNames,Calc!C4020),"")</f>
        <v/>
      </c>
      <c r="C4020" s="17">
        <f>IF(Calc!$B4020,Calc!O4020,"")</f>
        <v/>
      </c>
    </row>
    <row r="4021">
      <c r="A4021" s="16">
        <f>IF(Calc!$B4021,Calc!E4021,"")</f>
        <v/>
      </c>
      <c r="B4021">
        <f>IF(Calc!$B4021,INDEX(MineNames,Calc!C4021),"")</f>
        <v/>
      </c>
      <c r="C4021" s="17">
        <f>IF(Calc!$B4021,Calc!O4021,"")</f>
        <v/>
      </c>
    </row>
    <row r="4022">
      <c r="A4022" s="16">
        <f>IF(Calc!$B4022,Calc!E4022,"")</f>
        <v/>
      </c>
      <c r="B4022">
        <f>IF(Calc!$B4022,INDEX(MineNames,Calc!C4022),"")</f>
        <v/>
      </c>
      <c r="C4022" s="17">
        <f>IF(Calc!$B4022,Calc!O4022,"")</f>
        <v/>
      </c>
    </row>
    <row r="4023">
      <c r="A4023" s="16">
        <f>IF(Calc!$B4023,Calc!E4023,"")</f>
        <v/>
      </c>
      <c r="B4023">
        <f>IF(Calc!$B4023,INDEX(MineNames,Calc!C4023),"")</f>
        <v/>
      </c>
      <c r="C4023" s="17">
        <f>IF(Calc!$B4023,Calc!O4023,"")</f>
        <v/>
      </c>
    </row>
    <row r="4024">
      <c r="A4024" s="16">
        <f>IF(Calc!$B4024,Calc!E4024,"")</f>
        <v/>
      </c>
      <c r="B4024">
        <f>IF(Calc!$B4024,INDEX(MineNames,Calc!C4024),"")</f>
        <v/>
      </c>
      <c r="C4024" s="17">
        <f>IF(Calc!$B4024,Calc!O4024,"")</f>
        <v/>
      </c>
    </row>
    <row r="4025">
      <c r="A4025" s="16">
        <f>IF(Calc!$B4025,Calc!E4025,"")</f>
        <v/>
      </c>
      <c r="B4025">
        <f>IF(Calc!$B4025,INDEX(MineNames,Calc!C4025),"")</f>
        <v/>
      </c>
      <c r="C4025" s="17">
        <f>IF(Calc!$B4025,Calc!O4025,"")</f>
        <v/>
      </c>
    </row>
    <row r="4026">
      <c r="A4026" s="16">
        <f>IF(Calc!$B4026,Calc!E4026,"")</f>
        <v/>
      </c>
      <c r="B4026">
        <f>IF(Calc!$B4026,INDEX(MineNames,Calc!C4026),"")</f>
        <v/>
      </c>
      <c r="C4026" s="17">
        <f>IF(Calc!$B4026,Calc!O4026,"")</f>
        <v/>
      </c>
    </row>
    <row r="4027">
      <c r="A4027" s="16">
        <f>IF(Calc!$B4027,Calc!E4027,"")</f>
        <v/>
      </c>
      <c r="B4027">
        <f>IF(Calc!$B4027,INDEX(MineNames,Calc!C4027),"")</f>
        <v/>
      </c>
      <c r="C4027" s="17">
        <f>IF(Calc!$B4027,Calc!O4027,"")</f>
        <v/>
      </c>
    </row>
    <row r="4028">
      <c r="A4028" s="16">
        <f>IF(Calc!$B4028,Calc!E4028,"")</f>
        <v/>
      </c>
      <c r="B4028">
        <f>IF(Calc!$B4028,INDEX(MineNames,Calc!C4028),"")</f>
        <v/>
      </c>
      <c r="C4028" s="17">
        <f>IF(Calc!$B4028,Calc!O4028,"")</f>
        <v/>
      </c>
    </row>
    <row r="4029">
      <c r="A4029" s="16">
        <f>IF(Calc!$B4029,Calc!E4029,"")</f>
        <v/>
      </c>
      <c r="B4029">
        <f>IF(Calc!$B4029,INDEX(MineNames,Calc!C4029),"")</f>
        <v/>
      </c>
      <c r="C4029" s="17">
        <f>IF(Calc!$B4029,Calc!O4029,"")</f>
        <v/>
      </c>
    </row>
    <row r="4030">
      <c r="A4030" s="16">
        <f>IF(Calc!$B4030,Calc!E4030,"")</f>
        <v/>
      </c>
      <c r="B4030">
        <f>IF(Calc!$B4030,INDEX(MineNames,Calc!C4030),"")</f>
        <v/>
      </c>
      <c r="C4030" s="17">
        <f>IF(Calc!$B4030,Calc!O4030,"")</f>
        <v/>
      </c>
    </row>
    <row r="4031">
      <c r="A4031" s="16">
        <f>IF(Calc!$B4031,Calc!E4031,"")</f>
        <v/>
      </c>
      <c r="B4031">
        <f>IF(Calc!$B4031,INDEX(MineNames,Calc!C4031),"")</f>
        <v/>
      </c>
      <c r="C4031" s="17">
        <f>IF(Calc!$B4031,Calc!O4031,"")</f>
        <v/>
      </c>
    </row>
    <row r="4032">
      <c r="A4032" s="16">
        <f>IF(Calc!$B4032,Calc!E4032,"")</f>
        <v/>
      </c>
      <c r="B4032">
        <f>IF(Calc!$B4032,INDEX(MineNames,Calc!C4032),"")</f>
        <v/>
      </c>
      <c r="C4032" s="17">
        <f>IF(Calc!$B4032,Calc!O4032,"")</f>
        <v/>
      </c>
    </row>
    <row r="4033">
      <c r="A4033" s="16">
        <f>IF(Calc!$B4033,Calc!E4033,"")</f>
        <v/>
      </c>
      <c r="B4033">
        <f>IF(Calc!$B4033,INDEX(MineNames,Calc!C4033),"")</f>
        <v/>
      </c>
      <c r="C4033" s="17">
        <f>IF(Calc!$B4033,Calc!O4033,"")</f>
        <v/>
      </c>
    </row>
    <row r="4034">
      <c r="A4034" s="16">
        <f>IF(Calc!$B4034,Calc!E4034,"")</f>
        <v/>
      </c>
      <c r="B4034">
        <f>IF(Calc!$B4034,INDEX(MineNames,Calc!C4034),"")</f>
        <v/>
      </c>
      <c r="C4034" s="17">
        <f>IF(Calc!$B4034,Calc!O4034,"")</f>
        <v/>
      </c>
    </row>
    <row r="4035">
      <c r="A4035" s="16">
        <f>IF(Calc!$B4035,Calc!E4035,"")</f>
        <v/>
      </c>
      <c r="B4035">
        <f>IF(Calc!$B4035,INDEX(MineNames,Calc!C4035),"")</f>
        <v/>
      </c>
      <c r="C4035" s="17">
        <f>IF(Calc!$B4035,Calc!O4035,"")</f>
        <v/>
      </c>
    </row>
    <row r="4036">
      <c r="A4036" s="16">
        <f>IF(Calc!$B4036,Calc!E4036,"")</f>
        <v/>
      </c>
      <c r="B4036">
        <f>IF(Calc!$B4036,INDEX(MineNames,Calc!C4036),"")</f>
        <v/>
      </c>
      <c r="C4036" s="17">
        <f>IF(Calc!$B4036,Calc!O4036,"")</f>
        <v/>
      </c>
    </row>
    <row r="4037">
      <c r="A4037" s="16">
        <f>IF(Calc!$B4037,Calc!E4037,"")</f>
        <v/>
      </c>
      <c r="B4037">
        <f>IF(Calc!$B4037,INDEX(MineNames,Calc!C4037),"")</f>
        <v/>
      </c>
      <c r="C4037" s="17">
        <f>IF(Calc!$B4037,Calc!O4037,"")</f>
        <v/>
      </c>
    </row>
    <row r="4038">
      <c r="A4038" s="16">
        <f>IF(Calc!$B4038,Calc!E4038,"")</f>
        <v/>
      </c>
      <c r="B4038">
        <f>IF(Calc!$B4038,INDEX(MineNames,Calc!C4038),"")</f>
        <v/>
      </c>
      <c r="C4038" s="17">
        <f>IF(Calc!$B4038,Calc!O4038,"")</f>
        <v/>
      </c>
    </row>
    <row r="4039">
      <c r="A4039" s="16">
        <f>IF(Calc!$B4039,Calc!E4039,"")</f>
        <v/>
      </c>
      <c r="B4039">
        <f>IF(Calc!$B4039,INDEX(MineNames,Calc!C4039),"")</f>
        <v/>
      </c>
      <c r="C4039" s="17">
        <f>IF(Calc!$B4039,Calc!O4039,"")</f>
        <v/>
      </c>
    </row>
    <row r="4040">
      <c r="A4040" s="16">
        <f>IF(Calc!$B4040,Calc!E4040,"")</f>
        <v/>
      </c>
      <c r="B4040">
        <f>IF(Calc!$B4040,INDEX(MineNames,Calc!C4040),"")</f>
        <v/>
      </c>
      <c r="C4040" s="17">
        <f>IF(Calc!$B4040,Calc!O4040,"")</f>
        <v/>
      </c>
    </row>
    <row r="4041">
      <c r="A4041" s="16">
        <f>IF(Calc!$B4041,Calc!E4041,"")</f>
        <v/>
      </c>
      <c r="B4041">
        <f>IF(Calc!$B4041,INDEX(MineNames,Calc!C4041),"")</f>
        <v/>
      </c>
      <c r="C4041" s="17">
        <f>IF(Calc!$B4041,Calc!O4041,"")</f>
        <v/>
      </c>
    </row>
    <row r="4042">
      <c r="A4042" s="16">
        <f>IF(Calc!$B4042,Calc!E4042,"")</f>
        <v/>
      </c>
      <c r="B4042">
        <f>IF(Calc!$B4042,INDEX(MineNames,Calc!C4042),"")</f>
        <v/>
      </c>
      <c r="C4042" s="17">
        <f>IF(Calc!$B4042,Calc!O4042,"")</f>
        <v/>
      </c>
    </row>
    <row r="4043">
      <c r="A4043" s="16">
        <f>IF(Calc!$B4043,Calc!E4043,"")</f>
        <v/>
      </c>
      <c r="B4043">
        <f>IF(Calc!$B4043,INDEX(MineNames,Calc!C4043),"")</f>
        <v/>
      </c>
      <c r="C4043" s="17">
        <f>IF(Calc!$B4043,Calc!O4043,"")</f>
        <v/>
      </c>
    </row>
    <row r="4044">
      <c r="A4044" s="16">
        <f>IF(Calc!$B4044,Calc!E4044,"")</f>
        <v/>
      </c>
      <c r="B4044">
        <f>IF(Calc!$B4044,INDEX(MineNames,Calc!C4044),"")</f>
        <v/>
      </c>
      <c r="C4044" s="17">
        <f>IF(Calc!$B4044,Calc!O4044,"")</f>
        <v/>
      </c>
    </row>
    <row r="4045">
      <c r="A4045" s="16">
        <f>IF(Calc!$B4045,Calc!E4045,"")</f>
        <v/>
      </c>
      <c r="B4045">
        <f>IF(Calc!$B4045,INDEX(MineNames,Calc!C4045),"")</f>
        <v/>
      </c>
      <c r="C4045" s="17">
        <f>IF(Calc!$B4045,Calc!O4045,"")</f>
        <v/>
      </c>
    </row>
    <row r="4046">
      <c r="A4046" s="16">
        <f>IF(Calc!$B4046,Calc!E4046,"")</f>
        <v/>
      </c>
      <c r="B4046">
        <f>IF(Calc!$B4046,INDEX(MineNames,Calc!C4046),"")</f>
        <v/>
      </c>
      <c r="C4046" s="17">
        <f>IF(Calc!$B4046,Calc!O4046,"")</f>
        <v/>
      </c>
    </row>
    <row r="4047">
      <c r="A4047" s="16">
        <f>IF(Calc!$B4047,Calc!E4047,"")</f>
        <v/>
      </c>
      <c r="B4047">
        <f>IF(Calc!$B4047,INDEX(MineNames,Calc!C4047),"")</f>
        <v/>
      </c>
      <c r="C4047" s="17">
        <f>IF(Calc!$B4047,Calc!O4047,"")</f>
        <v/>
      </c>
    </row>
    <row r="4048">
      <c r="A4048" s="16">
        <f>IF(Calc!$B4048,Calc!E4048,"")</f>
        <v/>
      </c>
      <c r="B4048">
        <f>IF(Calc!$B4048,INDEX(MineNames,Calc!C4048),"")</f>
        <v/>
      </c>
      <c r="C4048" s="17">
        <f>IF(Calc!$B4048,Calc!O4048,"")</f>
        <v/>
      </c>
    </row>
    <row r="4049">
      <c r="A4049" s="16">
        <f>IF(Calc!$B4049,Calc!E4049,"")</f>
        <v/>
      </c>
      <c r="B4049">
        <f>IF(Calc!$B4049,INDEX(MineNames,Calc!C4049),"")</f>
        <v/>
      </c>
      <c r="C4049" s="17">
        <f>IF(Calc!$B4049,Calc!O4049,"")</f>
        <v/>
      </c>
    </row>
    <row r="4050">
      <c r="A4050" s="16">
        <f>IF(Calc!$B4050,Calc!E4050,"")</f>
        <v/>
      </c>
      <c r="B4050">
        <f>IF(Calc!$B4050,INDEX(MineNames,Calc!C4050),"")</f>
        <v/>
      </c>
      <c r="C4050" s="17">
        <f>IF(Calc!$B4050,Calc!O4050,"")</f>
        <v/>
      </c>
    </row>
    <row r="4051">
      <c r="A4051" s="16">
        <f>IF(Calc!$B4051,Calc!E4051,"")</f>
        <v/>
      </c>
      <c r="B4051">
        <f>IF(Calc!$B4051,INDEX(MineNames,Calc!C4051),"")</f>
        <v/>
      </c>
      <c r="C4051" s="17">
        <f>IF(Calc!$B4051,Calc!O4051,"")</f>
        <v/>
      </c>
    </row>
    <row r="4052">
      <c r="A4052" s="16">
        <f>IF(Calc!$B4052,Calc!E4052,"")</f>
        <v/>
      </c>
      <c r="B4052">
        <f>IF(Calc!$B4052,INDEX(MineNames,Calc!C4052),"")</f>
        <v/>
      </c>
      <c r="C4052" s="17">
        <f>IF(Calc!$B4052,Calc!O4052,"")</f>
        <v/>
      </c>
    </row>
    <row r="4053">
      <c r="A4053" s="16">
        <f>IF(Calc!$B4053,Calc!E4053,"")</f>
        <v/>
      </c>
      <c r="B4053">
        <f>IF(Calc!$B4053,INDEX(MineNames,Calc!C4053),"")</f>
        <v/>
      </c>
      <c r="C4053" s="17">
        <f>IF(Calc!$B4053,Calc!O4053,"")</f>
        <v/>
      </c>
    </row>
    <row r="4054">
      <c r="A4054" s="16">
        <f>IF(Calc!$B4054,Calc!E4054,"")</f>
        <v/>
      </c>
      <c r="B4054">
        <f>IF(Calc!$B4054,INDEX(MineNames,Calc!C4054),"")</f>
        <v/>
      </c>
      <c r="C4054" s="17">
        <f>IF(Calc!$B4054,Calc!O4054,"")</f>
        <v/>
      </c>
    </row>
    <row r="4055">
      <c r="A4055" s="16">
        <f>IF(Calc!$B4055,Calc!E4055,"")</f>
        <v/>
      </c>
      <c r="B4055">
        <f>IF(Calc!$B4055,INDEX(MineNames,Calc!C4055),"")</f>
        <v/>
      </c>
      <c r="C4055" s="17">
        <f>IF(Calc!$B4055,Calc!O4055,"")</f>
        <v/>
      </c>
    </row>
    <row r="4056">
      <c r="A4056" s="16">
        <f>IF(Calc!$B4056,Calc!E4056,"")</f>
        <v/>
      </c>
      <c r="B4056">
        <f>IF(Calc!$B4056,INDEX(MineNames,Calc!C4056),"")</f>
        <v/>
      </c>
      <c r="C4056" s="17">
        <f>IF(Calc!$B4056,Calc!O4056,"")</f>
        <v/>
      </c>
    </row>
    <row r="4057">
      <c r="A4057" s="16">
        <f>IF(Calc!$B4057,Calc!E4057,"")</f>
        <v/>
      </c>
      <c r="B4057">
        <f>IF(Calc!$B4057,INDEX(MineNames,Calc!C4057),"")</f>
        <v/>
      </c>
      <c r="C4057" s="17">
        <f>IF(Calc!$B4057,Calc!O4057,"")</f>
        <v/>
      </c>
    </row>
    <row r="4058">
      <c r="A4058" s="16">
        <f>IF(Calc!$B4058,Calc!E4058,"")</f>
        <v/>
      </c>
      <c r="B4058">
        <f>IF(Calc!$B4058,INDEX(MineNames,Calc!C4058),"")</f>
        <v/>
      </c>
      <c r="C4058" s="17">
        <f>IF(Calc!$B4058,Calc!O4058,"")</f>
        <v/>
      </c>
    </row>
    <row r="4059">
      <c r="A4059" s="16">
        <f>IF(Calc!$B4059,Calc!E4059,"")</f>
        <v/>
      </c>
      <c r="B4059">
        <f>IF(Calc!$B4059,INDEX(MineNames,Calc!C4059),"")</f>
        <v/>
      </c>
      <c r="C4059" s="17">
        <f>IF(Calc!$B4059,Calc!O4059,"")</f>
        <v/>
      </c>
    </row>
    <row r="4060">
      <c r="A4060" s="16">
        <f>IF(Calc!$B4060,Calc!E4060,"")</f>
        <v/>
      </c>
      <c r="B4060">
        <f>IF(Calc!$B4060,INDEX(MineNames,Calc!C4060),"")</f>
        <v/>
      </c>
      <c r="C4060" s="17">
        <f>IF(Calc!$B4060,Calc!O4060,"")</f>
        <v/>
      </c>
    </row>
    <row r="4061">
      <c r="A4061" s="16">
        <f>IF(Calc!$B4061,Calc!E4061,"")</f>
        <v/>
      </c>
      <c r="B4061">
        <f>IF(Calc!$B4061,INDEX(MineNames,Calc!C4061),"")</f>
        <v/>
      </c>
      <c r="C4061" s="17">
        <f>IF(Calc!$B4061,Calc!O4061,"")</f>
        <v/>
      </c>
    </row>
    <row r="4062">
      <c r="A4062" s="16">
        <f>IF(Calc!$B4062,Calc!E4062,"")</f>
        <v/>
      </c>
      <c r="B4062">
        <f>IF(Calc!$B4062,INDEX(MineNames,Calc!C4062),"")</f>
        <v/>
      </c>
      <c r="C4062" s="17">
        <f>IF(Calc!$B4062,Calc!O4062,"")</f>
        <v/>
      </c>
    </row>
    <row r="4063">
      <c r="A4063" s="16">
        <f>IF(Calc!$B4063,Calc!E4063,"")</f>
        <v/>
      </c>
      <c r="B4063">
        <f>IF(Calc!$B4063,INDEX(MineNames,Calc!C4063),"")</f>
        <v/>
      </c>
      <c r="C4063" s="17">
        <f>IF(Calc!$B4063,Calc!O4063,"")</f>
        <v/>
      </c>
    </row>
    <row r="4064">
      <c r="A4064" s="16">
        <f>IF(Calc!$B4064,Calc!E4064,"")</f>
        <v/>
      </c>
      <c r="B4064">
        <f>IF(Calc!$B4064,INDEX(MineNames,Calc!C4064),"")</f>
        <v/>
      </c>
      <c r="C4064" s="17">
        <f>IF(Calc!$B4064,Calc!O4064,"")</f>
        <v/>
      </c>
    </row>
    <row r="4065">
      <c r="A4065" s="16">
        <f>IF(Calc!$B4065,Calc!E4065,"")</f>
        <v/>
      </c>
      <c r="B4065">
        <f>IF(Calc!$B4065,INDEX(MineNames,Calc!C4065),"")</f>
        <v/>
      </c>
      <c r="C4065" s="17">
        <f>IF(Calc!$B4065,Calc!O4065,"")</f>
        <v/>
      </c>
    </row>
    <row r="4066">
      <c r="A4066" s="16">
        <f>IF(Calc!$B4066,Calc!E4066,"")</f>
        <v/>
      </c>
      <c r="B4066">
        <f>IF(Calc!$B4066,INDEX(MineNames,Calc!C4066),"")</f>
        <v/>
      </c>
      <c r="C4066" s="17">
        <f>IF(Calc!$B4066,Calc!O4066,"")</f>
        <v/>
      </c>
    </row>
    <row r="4067">
      <c r="A4067" s="16">
        <f>IF(Calc!$B4067,Calc!E4067,"")</f>
        <v/>
      </c>
      <c r="B4067">
        <f>IF(Calc!$B4067,INDEX(MineNames,Calc!C4067),"")</f>
        <v/>
      </c>
      <c r="C4067" s="17">
        <f>IF(Calc!$B4067,Calc!O4067,"")</f>
        <v/>
      </c>
    </row>
    <row r="4068">
      <c r="A4068" s="16">
        <f>IF(Calc!$B4068,Calc!E4068,"")</f>
        <v/>
      </c>
      <c r="B4068">
        <f>IF(Calc!$B4068,INDEX(MineNames,Calc!C4068),"")</f>
        <v/>
      </c>
      <c r="C4068" s="17">
        <f>IF(Calc!$B4068,Calc!O4068,"")</f>
        <v/>
      </c>
    </row>
    <row r="4069">
      <c r="A4069" s="16">
        <f>IF(Calc!$B4069,Calc!E4069,"")</f>
        <v/>
      </c>
      <c r="B4069">
        <f>IF(Calc!$B4069,INDEX(MineNames,Calc!C4069),"")</f>
        <v/>
      </c>
      <c r="C4069" s="17">
        <f>IF(Calc!$B4069,Calc!O4069,"")</f>
        <v/>
      </c>
    </row>
    <row r="4070">
      <c r="A4070" s="16">
        <f>IF(Calc!$B4070,Calc!E4070,"")</f>
        <v/>
      </c>
      <c r="B4070">
        <f>IF(Calc!$B4070,INDEX(MineNames,Calc!C4070),"")</f>
        <v/>
      </c>
      <c r="C4070" s="17">
        <f>IF(Calc!$B4070,Calc!O4070,"")</f>
        <v/>
      </c>
    </row>
    <row r="4071">
      <c r="A4071" s="16">
        <f>IF(Calc!$B4071,Calc!E4071,"")</f>
        <v/>
      </c>
      <c r="B4071">
        <f>IF(Calc!$B4071,INDEX(MineNames,Calc!C4071),"")</f>
        <v/>
      </c>
      <c r="C4071" s="17">
        <f>IF(Calc!$B4071,Calc!O4071,"")</f>
        <v/>
      </c>
    </row>
    <row r="4072">
      <c r="A4072" s="16">
        <f>IF(Calc!$B4072,Calc!E4072,"")</f>
        <v/>
      </c>
      <c r="B4072">
        <f>IF(Calc!$B4072,INDEX(MineNames,Calc!C4072),"")</f>
        <v/>
      </c>
      <c r="C4072" s="17">
        <f>IF(Calc!$B4072,Calc!O4072,"")</f>
        <v/>
      </c>
    </row>
    <row r="4073">
      <c r="A4073" s="16">
        <f>IF(Calc!$B4073,Calc!E4073,"")</f>
        <v/>
      </c>
      <c r="B4073">
        <f>IF(Calc!$B4073,INDEX(MineNames,Calc!C4073),"")</f>
        <v/>
      </c>
      <c r="C4073" s="17">
        <f>IF(Calc!$B4073,Calc!O4073,"")</f>
        <v/>
      </c>
    </row>
    <row r="4074">
      <c r="A4074" s="16">
        <f>IF(Calc!$B4074,Calc!E4074,"")</f>
        <v/>
      </c>
      <c r="B4074">
        <f>IF(Calc!$B4074,INDEX(MineNames,Calc!C4074),"")</f>
        <v/>
      </c>
      <c r="C4074" s="17">
        <f>IF(Calc!$B4074,Calc!O4074,"")</f>
        <v/>
      </c>
    </row>
    <row r="4075">
      <c r="A4075" s="16">
        <f>IF(Calc!$B4075,Calc!E4075,"")</f>
        <v/>
      </c>
      <c r="B4075">
        <f>IF(Calc!$B4075,INDEX(MineNames,Calc!C4075),"")</f>
        <v/>
      </c>
      <c r="C4075" s="17">
        <f>IF(Calc!$B4075,Calc!O4075,"")</f>
        <v/>
      </c>
    </row>
    <row r="4076">
      <c r="A4076" s="16">
        <f>IF(Calc!$B4076,Calc!E4076,"")</f>
        <v/>
      </c>
      <c r="B4076">
        <f>IF(Calc!$B4076,INDEX(MineNames,Calc!C4076),"")</f>
        <v/>
      </c>
      <c r="C4076" s="17">
        <f>IF(Calc!$B4076,Calc!O4076,"")</f>
        <v/>
      </c>
    </row>
    <row r="4077">
      <c r="A4077" s="16">
        <f>IF(Calc!$B4077,Calc!E4077,"")</f>
        <v/>
      </c>
      <c r="B4077">
        <f>IF(Calc!$B4077,INDEX(MineNames,Calc!C4077),"")</f>
        <v/>
      </c>
      <c r="C4077" s="17">
        <f>IF(Calc!$B4077,Calc!O4077,"")</f>
        <v/>
      </c>
    </row>
    <row r="4078">
      <c r="A4078" s="16">
        <f>IF(Calc!$B4078,Calc!E4078,"")</f>
        <v/>
      </c>
      <c r="B4078">
        <f>IF(Calc!$B4078,INDEX(MineNames,Calc!C4078),"")</f>
        <v/>
      </c>
      <c r="C4078" s="17">
        <f>IF(Calc!$B4078,Calc!O4078,"")</f>
        <v/>
      </c>
    </row>
    <row r="4079">
      <c r="A4079" s="16">
        <f>IF(Calc!$B4079,Calc!E4079,"")</f>
        <v/>
      </c>
      <c r="B4079">
        <f>IF(Calc!$B4079,INDEX(MineNames,Calc!C4079),"")</f>
        <v/>
      </c>
      <c r="C4079" s="17">
        <f>IF(Calc!$B4079,Calc!O4079,"")</f>
        <v/>
      </c>
    </row>
    <row r="4080">
      <c r="A4080" s="16">
        <f>IF(Calc!$B4080,Calc!E4080,"")</f>
        <v/>
      </c>
      <c r="B4080">
        <f>IF(Calc!$B4080,INDEX(MineNames,Calc!C4080),"")</f>
        <v/>
      </c>
      <c r="C4080" s="17">
        <f>IF(Calc!$B4080,Calc!O4080,"")</f>
        <v/>
      </c>
    </row>
    <row r="4081">
      <c r="A4081" s="16">
        <f>IF(Calc!$B4081,Calc!E4081,"")</f>
        <v/>
      </c>
      <c r="B4081">
        <f>IF(Calc!$B4081,INDEX(MineNames,Calc!C4081),"")</f>
        <v/>
      </c>
      <c r="C4081" s="17">
        <f>IF(Calc!$B4081,Calc!O4081,"")</f>
        <v/>
      </c>
    </row>
    <row r="4082">
      <c r="A4082" s="16">
        <f>IF(Calc!$B4082,Calc!E4082,"")</f>
        <v/>
      </c>
      <c r="B4082">
        <f>IF(Calc!$B4082,INDEX(MineNames,Calc!C4082),"")</f>
        <v/>
      </c>
      <c r="C4082" s="17">
        <f>IF(Calc!$B4082,Calc!O4082,"")</f>
        <v/>
      </c>
    </row>
    <row r="4083">
      <c r="A4083" s="16">
        <f>IF(Calc!$B4083,Calc!E4083,"")</f>
        <v/>
      </c>
      <c r="B4083">
        <f>IF(Calc!$B4083,INDEX(MineNames,Calc!C4083),"")</f>
        <v/>
      </c>
      <c r="C4083" s="17">
        <f>IF(Calc!$B4083,Calc!O4083,"")</f>
        <v/>
      </c>
    </row>
    <row r="4084">
      <c r="A4084" s="16">
        <f>IF(Calc!$B4084,Calc!E4084,"")</f>
        <v/>
      </c>
      <c r="B4084">
        <f>IF(Calc!$B4084,INDEX(MineNames,Calc!C4084),"")</f>
        <v/>
      </c>
      <c r="C4084" s="17">
        <f>IF(Calc!$B4084,Calc!O4084,"")</f>
        <v/>
      </c>
    </row>
    <row r="4085">
      <c r="A4085" s="16">
        <f>IF(Calc!$B4085,Calc!E4085,"")</f>
        <v/>
      </c>
      <c r="B4085">
        <f>IF(Calc!$B4085,INDEX(MineNames,Calc!C4085),"")</f>
        <v/>
      </c>
      <c r="C4085" s="17">
        <f>IF(Calc!$B4085,Calc!O4085,"")</f>
        <v/>
      </c>
    </row>
    <row r="4086">
      <c r="A4086" s="16">
        <f>IF(Calc!$B4086,Calc!E4086,"")</f>
        <v/>
      </c>
      <c r="B4086">
        <f>IF(Calc!$B4086,INDEX(MineNames,Calc!C4086),"")</f>
        <v/>
      </c>
      <c r="C4086" s="17">
        <f>IF(Calc!$B4086,Calc!O4086,"")</f>
        <v/>
      </c>
    </row>
    <row r="4087">
      <c r="A4087" s="16">
        <f>IF(Calc!$B4087,Calc!E4087,"")</f>
        <v/>
      </c>
      <c r="B4087">
        <f>IF(Calc!$B4087,INDEX(MineNames,Calc!C4087),"")</f>
        <v/>
      </c>
      <c r="C4087" s="17">
        <f>IF(Calc!$B4087,Calc!O4087,"")</f>
        <v/>
      </c>
    </row>
    <row r="4088">
      <c r="A4088" s="16">
        <f>IF(Calc!$B4088,Calc!E4088,"")</f>
        <v/>
      </c>
      <c r="B4088">
        <f>IF(Calc!$B4088,INDEX(MineNames,Calc!C4088),"")</f>
        <v/>
      </c>
      <c r="C4088" s="17">
        <f>IF(Calc!$B4088,Calc!O4088,"")</f>
        <v/>
      </c>
    </row>
    <row r="4089">
      <c r="A4089" s="16">
        <f>IF(Calc!$B4089,Calc!E4089,"")</f>
        <v/>
      </c>
      <c r="B4089">
        <f>IF(Calc!$B4089,INDEX(MineNames,Calc!C4089),"")</f>
        <v/>
      </c>
      <c r="C4089" s="17">
        <f>IF(Calc!$B4089,Calc!O4089,"")</f>
        <v/>
      </c>
    </row>
    <row r="4090">
      <c r="A4090" s="16">
        <f>IF(Calc!$B4090,Calc!E4090,"")</f>
        <v/>
      </c>
      <c r="B4090">
        <f>IF(Calc!$B4090,INDEX(MineNames,Calc!C4090),"")</f>
        <v/>
      </c>
      <c r="C4090" s="17">
        <f>IF(Calc!$B4090,Calc!O4090,"")</f>
        <v/>
      </c>
    </row>
    <row r="4091">
      <c r="A4091" s="16">
        <f>IF(Calc!$B4091,Calc!E4091,"")</f>
        <v/>
      </c>
      <c r="B4091">
        <f>IF(Calc!$B4091,INDEX(MineNames,Calc!C4091),"")</f>
        <v/>
      </c>
      <c r="C4091" s="17">
        <f>IF(Calc!$B4091,Calc!O4091,"")</f>
        <v/>
      </c>
    </row>
    <row r="4092">
      <c r="A4092" s="16">
        <f>IF(Calc!$B4092,Calc!E4092,"")</f>
        <v/>
      </c>
      <c r="B4092">
        <f>IF(Calc!$B4092,INDEX(MineNames,Calc!C4092),"")</f>
        <v/>
      </c>
      <c r="C4092" s="17">
        <f>IF(Calc!$B4092,Calc!O4092,"")</f>
        <v/>
      </c>
    </row>
    <row r="4093">
      <c r="A4093" s="16">
        <f>IF(Calc!$B4093,Calc!E4093,"")</f>
        <v/>
      </c>
      <c r="B4093">
        <f>IF(Calc!$B4093,INDEX(MineNames,Calc!C4093),"")</f>
        <v/>
      </c>
      <c r="C4093" s="17">
        <f>IF(Calc!$B4093,Calc!O4093,"")</f>
        <v/>
      </c>
    </row>
    <row r="4094">
      <c r="A4094" s="16">
        <f>IF(Calc!$B4094,Calc!E4094,"")</f>
        <v/>
      </c>
      <c r="B4094">
        <f>IF(Calc!$B4094,INDEX(MineNames,Calc!C4094),"")</f>
        <v/>
      </c>
      <c r="C4094" s="17">
        <f>IF(Calc!$B4094,Calc!O4094,"")</f>
        <v/>
      </c>
    </row>
    <row r="4095">
      <c r="A4095" s="16">
        <f>IF(Calc!$B4095,Calc!E4095,"")</f>
        <v/>
      </c>
      <c r="B4095">
        <f>IF(Calc!$B4095,INDEX(MineNames,Calc!C4095),"")</f>
        <v/>
      </c>
      <c r="C4095" s="17">
        <f>IF(Calc!$B4095,Calc!O4095,"")</f>
        <v/>
      </c>
    </row>
    <row r="4096">
      <c r="A4096" s="16">
        <f>IF(Calc!$B4096,Calc!E4096,"")</f>
        <v/>
      </c>
      <c r="B4096">
        <f>IF(Calc!$B4096,INDEX(MineNames,Calc!C4096),"")</f>
        <v/>
      </c>
      <c r="C4096" s="17">
        <f>IF(Calc!$B4096,Calc!O4096,"")</f>
        <v/>
      </c>
    </row>
    <row r="4097">
      <c r="A4097" s="16">
        <f>IF(Calc!$B4097,Calc!E4097,"")</f>
        <v/>
      </c>
      <c r="B4097">
        <f>IF(Calc!$B4097,INDEX(MineNames,Calc!C4097),"")</f>
        <v/>
      </c>
      <c r="C4097" s="17">
        <f>IF(Calc!$B4097,Calc!O4097,"")</f>
        <v/>
      </c>
    </row>
    <row r="4098">
      <c r="A4098" s="16">
        <f>IF(Calc!$B4098,Calc!E4098,"")</f>
        <v/>
      </c>
      <c r="B4098">
        <f>IF(Calc!$B4098,INDEX(MineNames,Calc!C4098),"")</f>
        <v/>
      </c>
      <c r="C4098" s="17">
        <f>IF(Calc!$B4098,Calc!O4098,"")</f>
        <v/>
      </c>
    </row>
    <row r="4099">
      <c r="A4099" s="16">
        <f>IF(Calc!$B4099,Calc!E4099,"")</f>
        <v/>
      </c>
      <c r="B4099">
        <f>IF(Calc!$B4099,INDEX(MineNames,Calc!C4099),"")</f>
        <v/>
      </c>
      <c r="C4099" s="17">
        <f>IF(Calc!$B4099,Calc!O4099,"")</f>
        <v/>
      </c>
    </row>
    <row r="4100">
      <c r="A4100" s="16">
        <f>IF(Calc!$B4100,Calc!E4100,"")</f>
        <v/>
      </c>
      <c r="B4100">
        <f>IF(Calc!$B4100,INDEX(MineNames,Calc!C4100),"")</f>
        <v/>
      </c>
      <c r="C4100" s="17">
        <f>IF(Calc!$B4100,Calc!O4100,"")</f>
        <v/>
      </c>
    </row>
    <row r="4101">
      <c r="A4101" s="16">
        <f>IF(Calc!$B4101,Calc!E4101,"")</f>
        <v/>
      </c>
      <c r="B4101">
        <f>IF(Calc!$B4101,INDEX(MineNames,Calc!C4101),"")</f>
        <v/>
      </c>
      <c r="C4101" s="17">
        <f>IF(Calc!$B4101,Calc!O4101,"")</f>
        <v/>
      </c>
    </row>
    <row r="4102">
      <c r="A4102" s="16">
        <f>IF(Calc!$B4102,Calc!E4102,"")</f>
        <v/>
      </c>
      <c r="B4102">
        <f>IF(Calc!$B4102,INDEX(MineNames,Calc!C4102),"")</f>
        <v/>
      </c>
      <c r="C4102" s="17">
        <f>IF(Calc!$B4102,Calc!O4102,"")</f>
        <v/>
      </c>
    </row>
    <row r="4103">
      <c r="A4103" s="16">
        <f>IF(Calc!$B4103,Calc!E4103,"")</f>
        <v/>
      </c>
      <c r="B4103">
        <f>IF(Calc!$B4103,INDEX(MineNames,Calc!C4103),"")</f>
        <v/>
      </c>
      <c r="C4103" s="17">
        <f>IF(Calc!$B4103,Calc!O4103,"")</f>
        <v/>
      </c>
    </row>
    <row r="4104">
      <c r="A4104" s="16">
        <f>IF(Calc!$B4104,Calc!E4104,"")</f>
        <v/>
      </c>
      <c r="B4104">
        <f>IF(Calc!$B4104,INDEX(MineNames,Calc!C4104),"")</f>
        <v/>
      </c>
      <c r="C4104" s="17">
        <f>IF(Calc!$B4104,Calc!O4104,"")</f>
        <v/>
      </c>
    </row>
    <row r="4105">
      <c r="A4105" s="16">
        <f>IF(Calc!$B4105,Calc!E4105,"")</f>
        <v/>
      </c>
      <c r="B4105">
        <f>IF(Calc!$B4105,INDEX(MineNames,Calc!C4105),"")</f>
        <v/>
      </c>
      <c r="C4105" s="17">
        <f>IF(Calc!$B4105,Calc!O4105,"")</f>
        <v/>
      </c>
    </row>
    <row r="4106">
      <c r="A4106" s="16">
        <f>IF(Calc!$B4106,Calc!E4106,"")</f>
        <v/>
      </c>
      <c r="B4106">
        <f>IF(Calc!$B4106,INDEX(MineNames,Calc!C4106),"")</f>
        <v/>
      </c>
      <c r="C4106" s="17">
        <f>IF(Calc!$B4106,Calc!O4106,"")</f>
        <v/>
      </c>
    </row>
    <row r="4107">
      <c r="A4107" s="16">
        <f>IF(Calc!$B4107,Calc!E4107,"")</f>
        <v/>
      </c>
      <c r="B4107">
        <f>IF(Calc!$B4107,INDEX(MineNames,Calc!C4107),"")</f>
        <v/>
      </c>
      <c r="C4107" s="17">
        <f>IF(Calc!$B4107,Calc!O4107,"")</f>
        <v/>
      </c>
    </row>
    <row r="4108">
      <c r="A4108" s="16">
        <f>IF(Calc!$B4108,Calc!E4108,"")</f>
        <v/>
      </c>
      <c r="B4108">
        <f>IF(Calc!$B4108,INDEX(MineNames,Calc!C4108),"")</f>
        <v/>
      </c>
      <c r="C4108" s="17">
        <f>IF(Calc!$B4108,Calc!O4108,"")</f>
        <v/>
      </c>
    </row>
    <row r="4109">
      <c r="A4109" s="16">
        <f>IF(Calc!$B4109,Calc!E4109,"")</f>
        <v/>
      </c>
      <c r="B4109">
        <f>IF(Calc!$B4109,INDEX(MineNames,Calc!C4109),"")</f>
        <v/>
      </c>
      <c r="C4109" s="17">
        <f>IF(Calc!$B4109,Calc!O4109,"")</f>
        <v/>
      </c>
    </row>
    <row r="4110">
      <c r="A4110" s="16">
        <f>IF(Calc!$B4110,Calc!E4110,"")</f>
        <v/>
      </c>
      <c r="B4110">
        <f>IF(Calc!$B4110,INDEX(MineNames,Calc!C4110),"")</f>
        <v/>
      </c>
      <c r="C4110" s="17">
        <f>IF(Calc!$B4110,Calc!O4110,"")</f>
        <v/>
      </c>
    </row>
    <row r="4111">
      <c r="A4111" s="16">
        <f>IF(Calc!$B4111,Calc!E4111,"")</f>
        <v/>
      </c>
      <c r="B4111">
        <f>IF(Calc!$B4111,INDEX(MineNames,Calc!C4111),"")</f>
        <v/>
      </c>
      <c r="C4111" s="17">
        <f>IF(Calc!$B4111,Calc!O4111,"")</f>
        <v/>
      </c>
    </row>
    <row r="4112">
      <c r="A4112" s="16">
        <f>IF(Calc!$B4112,Calc!E4112,"")</f>
        <v/>
      </c>
      <c r="B4112">
        <f>IF(Calc!$B4112,INDEX(MineNames,Calc!C4112),"")</f>
        <v/>
      </c>
      <c r="C4112" s="17">
        <f>IF(Calc!$B4112,Calc!O4112,"")</f>
        <v/>
      </c>
    </row>
    <row r="4113">
      <c r="A4113" s="16">
        <f>IF(Calc!$B4113,Calc!E4113,"")</f>
        <v/>
      </c>
      <c r="B4113">
        <f>IF(Calc!$B4113,INDEX(MineNames,Calc!C4113),"")</f>
        <v/>
      </c>
      <c r="C4113" s="17">
        <f>IF(Calc!$B4113,Calc!O4113,"")</f>
        <v/>
      </c>
    </row>
    <row r="4114">
      <c r="A4114" s="16">
        <f>IF(Calc!$B4114,Calc!E4114,"")</f>
        <v/>
      </c>
      <c r="B4114">
        <f>IF(Calc!$B4114,INDEX(MineNames,Calc!C4114),"")</f>
        <v/>
      </c>
      <c r="C4114" s="17">
        <f>IF(Calc!$B4114,Calc!O4114,"")</f>
        <v/>
      </c>
    </row>
    <row r="4115">
      <c r="A4115" s="16">
        <f>IF(Calc!$B4115,Calc!E4115,"")</f>
        <v/>
      </c>
      <c r="B4115">
        <f>IF(Calc!$B4115,INDEX(MineNames,Calc!C4115),"")</f>
        <v/>
      </c>
      <c r="C4115" s="17">
        <f>IF(Calc!$B4115,Calc!O4115,"")</f>
        <v/>
      </c>
    </row>
    <row r="4116">
      <c r="A4116" s="16">
        <f>IF(Calc!$B4116,Calc!E4116,"")</f>
        <v/>
      </c>
      <c r="B4116">
        <f>IF(Calc!$B4116,INDEX(MineNames,Calc!C4116),"")</f>
        <v/>
      </c>
      <c r="C4116" s="17">
        <f>IF(Calc!$B4116,Calc!O4116,"")</f>
        <v/>
      </c>
    </row>
    <row r="4117">
      <c r="A4117" s="16">
        <f>IF(Calc!$B4117,Calc!E4117,"")</f>
        <v/>
      </c>
      <c r="B4117">
        <f>IF(Calc!$B4117,INDEX(MineNames,Calc!C4117),"")</f>
        <v/>
      </c>
      <c r="C4117" s="17">
        <f>IF(Calc!$B4117,Calc!O4117,"")</f>
        <v/>
      </c>
    </row>
    <row r="4118">
      <c r="A4118" s="16">
        <f>IF(Calc!$B4118,Calc!E4118,"")</f>
        <v/>
      </c>
      <c r="B4118">
        <f>IF(Calc!$B4118,INDEX(MineNames,Calc!C4118),"")</f>
        <v/>
      </c>
      <c r="C4118" s="17">
        <f>IF(Calc!$B4118,Calc!O4118,"")</f>
        <v/>
      </c>
    </row>
    <row r="4119">
      <c r="A4119" s="16">
        <f>IF(Calc!$B4119,Calc!E4119,"")</f>
        <v/>
      </c>
      <c r="B4119">
        <f>IF(Calc!$B4119,INDEX(MineNames,Calc!C4119),"")</f>
        <v/>
      </c>
      <c r="C4119" s="17">
        <f>IF(Calc!$B4119,Calc!O4119,"")</f>
        <v/>
      </c>
    </row>
    <row r="4120">
      <c r="A4120" s="16">
        <f>IF(Calc!$B4120,Calc!E4120,"")</f>
        <v/>
      </c>
      <c r="B4120">
        <f>IF(Calc!$B4120,INDEX(MineNames,Calc!C4120),"")</f>
        <v/>
      </c>
      <c r="C4120" s="17">
        <f>IF(Calc!$B4120,Calc!O4120,"")</f>
        <v/>
      </c>
    </row>
    <row r="4121">
      <c r="A4121" s="16">
        <f>IF(Calc!$B4121,Calc!E4121,"")</f>
        <v/>
      </c>
      <c r="B4121">
        <f>IF(Calc!$B4121,INDEX(MineNames,Calc!C4121),"")</f>
        <v/>
      </c>
      <c r="C4121" s="17">
        <f>IF(Calc!$B4121,Calc!O4121,"")</f>
        <v/>
      </c>
    </row>
    <row r="4122">
      <c r="A4122" s="16">
        <f>IF(Calc!$B4122,Calc!E4122,"")</f>
        <v/>
      </c>
      <c r="B4122">
        <f>IF(Calc!$B4122,INDEX(MineNames,Calc!C4122),"")</f>
        <v/>
      </c>
      <c r="C4122" s="17">
        <f>IF(Calc!$B4122,Calc!O4122,"")</f>
        <v/>
      </c>
    </row>
    <row r="4123">
      <c r="A4123" s="16">
        <f>IF(Calc!$B4123,Calc!E4123,"")</f>
        <v/>
      </c>
      <c r="B4123">
        <f>IF(Calc!$B4123,INDEX(MineNames,Calc!C4123),"")</f>
        <v/>
      </c>
      <c r="C4123" s="17">
        <f>IF(Calc!$B4123,Calc!O4123,"")</f>
        <v/>
      </c>
    </row>
    <row r="4124">
      <c r="A4124" s="16">
        <f>IF(Calc!$B4124,Calc!E4124,"")</f>
        <v/>
      </c>
      <c r="B4124">
        <f>IF(Calc!$B4124,INDEX(MineNames,Calc!C4124),"")</f>
        <v/>
      </c>
      <c r="C4124" s="17">
        <f>IF(Calc!$B4124,Calc!O4124,"")</f>
        <v/>
      </c>
    </row>
    <row r="4125">
      <c r="A4125" s="16">
        <f>IF(Calc!$B4125,Calc!E4125,"")</f>
        <v/>
      </c>
      <c r="B4125">
        <f>IF(Calc!$B4125,INDEX(MineNames,Calc!C4125),"")</f>
        <v/>
      </c>
      <c r="C4125" s="17">
        <f>IF(Calc!$B4125,Calc!O4125,"")</f>
        <v/>
      </c>
    </row>
    <row r="4126">
      <c r="A4126" s="16">
        <f>IF(Calc!$B4126,Calc!E4126,"")</f>
        <v/>
      </c>
      <c r="B4126">
        <f>IF(Calc!$B4126,INDEX(MineNames,Calc!C4126),"")</f>
        <v/>
      </c>
      <c r="C4126" s="17">
        <f>IF(Calc!$B4126,Calc!O4126,"")</f>
        <v/>
      </c>
    </row>
    <row r="4127">
      <c r="A4127" s="16">
        <f>IF(Calc!$B4127,Calc!E4127,"")</f>
        <v/>
      </c>
      <c r="B4127">
        <f>IF(Calc!$B4127,INDEX(MineNames,Calc!C4127),"")</f>
        <v/>
      </c>
      <c r="C4127" s="17">
        <f>IF(Calc!$B4127,Calc!O4127,"")</f>
        <v/>
      </c>
    </row>
    <row r="4128">
      <c r="A4128" s="16">
        <f>IF(Calc!$B4128,Calc!E4128,"")</f>
        <v/>
      </c>
      <c r="B4128">
        <f>IF(Calc!$B4128,INDEX(MineNames,Calc!C4128),"")</f>
        <v/>
      </c>
      <c r="C4128" s="17">
        <f>IF(Calc!$B4128,Calc!O4128,"")</f>
        <v/>
      </c>
    </row>
    <row r="4129">
      <c r="A4129" s="16">
        <f>IF(Calc!$B4129,Calc!E4129,"")</f>
        <v/>
      </c>
      <c r="B4129">
        <f>IF(Calc!$B4129,INDEX(MineNames,Calc!C4129),"")</f>
        <v/>
      </c>
      <c r="C4129" s="17">
        <f>IF(Calc!$B4129,Calc!O4129,"")</f>
        <v/>
      </c>
    </row>
    <row r="4130">
      <c r="A4130" s="16">
        <f>IF(Calc!$B4130,Calc!E4130,"")</f>
        <v/>
      </c>
      <c r="B4130">
        <f>IF(Calc!$B4130,INDEX(MineNames,Calc!C4130),"")</f>
        <v/>
      </c>
      <c r="C4130" s="17">
        <f>IF(Calc!$B4130,Calc!O4130,"")</f>
        <v/>
      </c>
    </row>
    <row r="4131">
      <c r="A4131" s="16">
        <f>IF(Calc!$B4131,Calc!E4131,"")</f>
        <v/>
      </c>
      <c r="B4131">
        <f>IF(Calc!$B4131,INDEX(MineNames,Calc!C4131),"")</f>
        <v/>
      </c>
      <c r="C4131" s="17">
        <f>IF(Calc!$B4131,Calc!O4131,"")</f>
        <v/>
      </c>
    </row>
    <row r="4132">
      <c r="A4132" s="16">
        <f>IF(Calc!$B4132,Calc!E4132,"")</f>
        <v/>
      </c>
      <c r="B4132">
        <f>IF(Calc!$B4132,INDEX(MineNames,Calc!C4132),"")</f>
        <v/>
      </c>
      <c r="C4132" s="17">
        <f>IF(Calc!$B4132,Calc!O4132,"")</f>
        <v/>
      </c>
    </row>
    <row r="4133">
      <c r="A4133" s="16">
        <f>IF(Calc!$B4133,Calc!E4133,"")</f>
        <v/>
      </c>
      <c r="B4133">
        <f>IF(Calc!$B4133,INDEX(MineNames,Calc!C4133),"")</f>
        <v/>
      </c>
      <c r="C4133" s="17">
        <f>IF(Calc!$B4133,Calc!O4133,"")</f>
        <v/>
      </c>
    </row>
    <row r="4134">
      <c r="A4134" s="16">
        <f>IF(Calc!$B4134,Calc!E4134,"")</f>
        <v/>
      </c>
      <c r="B4134">
        <f>IF(Calc!$B4134,INDEX(MineNames,Calc!C4134),"")</f>
        <v/>
      </c>
      <c r="C4134" s="17">
        <f>IF(Calc!$B4134,Calc!O4134,"")</f>
        <v/>
      </c>
    </row>
    <row r="4135">
      <c r="A4135" s="16">
        <f>IF(Calc!$B4135,Calc!E4135,"")</f>
        <v/>
      </c>
      <c r="B4135">
        <f>IF(Calc!$B4135,INDEX(MineNames,Calc!C4135),"")</f>
        <v/>
      </c>
      <c r="C4135" s="17">
        <f>IF(Calc!$B4135,Calc!O4135,"")</f>
        <v/>
      </c>
    </row>
    <row r="4136">
      <c r="A4136" s="16">
        <f>IF(Calc!$B4136,Calc!E4136,"")</f>
        <v/>
      </c>
      <c r="B4136">
        <f>IF(Calc!$B4136,INDEX(MineNames,Calc!C4136),"")</f>
        <v/>
      </c>
      <c r="C4136" s="17">
        <f>IF(Calc!$B4136,Calc!O4136,"")</f>
        <v/>
      </c>
    </row>
    <row r="4137">
      <c r="A4137" s="16">
        <f>IF(Calc!$B4137,Calc!E4137,"")</f>
        <v/>
      </c>
      <c r="B4137">
        <f>IF(Calc!$B4137,INDEX(MineNames,Calc!C4137),"")</f>
        <v/>
      </c>
      <c r="C4137" s="17">
        <f>IF(Calc!$B4137,Calc!O4137,"")</f>
        <v/>
      </c>
    </row>
    <row r="4138">
      <c r="A4138" s="16">
        <f>IF(Calc!$B4138,Calc!E4138,"")</f>
        <v/>
      </c>
      <c r="B4138">
        <f>IF(Calc!$B4138,INDEX(MineNames,Calc!C4138),"")</f>
        <v/>
      </c>
      <c r="C4138" s="17">
        <f>IF(Calc!$B4138,Calc!O4138,"")</f>
        <v/>
      </c>
    </row>
    <row r="4139">
      <c r="A4139" s="16">
        <f>IF(Calc!$B4139,Calc!E4139,"")</f>
        <v/>
      </c>
      <c r="B4139">
        <f>IF(Calc!$B4139,INDEX(MineNames,Calc!C4139),"")</f>
        <v/>
      </c>
      <c r="C4139" s="17">
        <f>IF(Calc!$B4139,Calc!O4139,"")</f>
        <v/>
      </c>
    </row>
    <row r="4140">
      <c r="A4140" s="16">
        <f>IF(Calc!$B4140,Calc!E4140,"")</f>
        <v/>
      </c>
      <c r="B4140">
        <f>IF(Calc!$B4140,INDEX(MineNames,Calc!C4140),"")</f>
        <v/>
      </c>
      <c r="C4140" s="17">
        <f>IF(Calc!$B4140,Calc!O4140,"")</f>
        <v/>
      </c>
    </row>
    <row r="4141">
      <c r="A4141" s="16">
        <f>IF(Calc!$B4141,Calc!E4141,"")</f>
        <v/>
      </c>
      <c r="B4141">
        <f>IF(Calc!$B4141,INDEX(MineNames,Calc!C4141),"")</f>
        <v/>
      </c>
      <c r="C4141" s="17">
        <f>IF(Calc!$B4141,Calc!O4141,"")</f>
        <v/>
      </c>
    </row>
    <row r="4142">
      <c r="A4142" s="16">
        <f>IF(Calc!$B4142,Calc!E4142,"")</f>
        <v/>
      </c>
      <c r="B4142">
        <f>IF(Calc!$B4142,INDEX(MineNames,Calc!C4142),"")</f>
        <v/>
      </c>
      <c r="C4142" s="17">
        <f>IF(Calc!$B4142,Calc!O4142,"")</f>
        <v/>
      </c>
    </row>
    <row r="4143">
      <c r="A4143" s="16">
        <f>IF(Calc!$B4143,Calc!E4143,"")</f>
        <v/>
      </c>
      <c r="B4143">
        <f>IF(Calc!$B4143,INDEX(MineNames,Calc!C4143),"")</f>
        <v/>
      </c>
      <c r="C4143" s="17">
        <f>IF(Calc!$B4143,Calc!O4143,"")</f>
        <v/>
      </c>
    </row>
    <row r="4144">
      <c r="A4144" s="16">
        <f>IF(Calc!$B4144,Calc!E4144,"")</f>
        <v/>
      </c>
      <c r="B4144">
        <f>IF(Calc!$B4144,INDEX(MineNames,Calc!C4144),"")</f>
        <v/>
      </c>
      <c r="C4144" s="17">
        <f>IF(Calc!$B4144,Calc!O4144,"")</f>
        <v/>
      </c>
    </row>
    <row r="4145">
      <c r="A4145" s="16">
        <f>IF(Calc!$B4145,Calc!E4145,"")</f>
        <v/>
      </c>
      <c r="B4145">
        <f>IF(Calc!$B4145,INDEX(MineNames,Calc!C4145),"")</f>
        <v/>
      </c>
      <c r="C4145" s="17">
        <f>IF(Calc!$B4145,Calc!O4145,"")</f>
        <v/>
      </c>
    </row>
    <row r="4146">
      <c r="A4146" s="16">
        <f>IF(Calc!$B4146,Calc!E4146,"")</f>
        <v/>
      </c>
      <c r="B4146">
        <f>IF(Calc!$B4146,INDEX(MineNames,Calc!C4146),"")</f>
        <v/>
      </c>
      <c r="C4146" s="17">
        <f>IF(Calc!$B4146,Calc!O4146,"")</f>
        <v/>
      </c>
    </row>
    <row r="4147">
      <c r="A4147" s="16">
        <f>IF(Calc!$B4147,Calc!E4147,"")</f>
        <v/>
      </c>
      <c r="B4147">
        <f>IF(Calc!$B4147,INDEX(MineNames,Calc!C4147),"")</f>
        <v/>
      </c>
      <c r="C4147" s="17">
        <f>IF(Calc!$B4147,Calc!O4147,"")</f>
        <v/>
      </c>
    </row>
    <row r="4148">
      <c r="A4148" s="16">
        <f>IF(Calc!$B4148,Calc!E4148,"")</f>
        <v/>
      </c>
      <c r="B4148">
        <f>IF(Calc!$B4148,INDEX(MineNames,Calc!C4148),"")</f>
        <v/>
      </c>
      <c r="C4148" s="17">
        <f>IF(Calc!$B4148,Calc!O4148,"")</f>
        <v/>
      </c>
    </row>
    <row r="4149">
      <c r="A4149" s="16">
        <f>IF(Calc!$B4149,Calc!E4149,"")</f>
        <v/>
      </c>
      <c r="B4149">
        <f>IF(Calc!$B4149,INDEX(MineNames,Calc!C4149),"")</f>
        <v/>
      </c>
      <c r="C4149" s="17">
        <f>IF(Calc!$B4149,Calc!O4149,"")</f>
        <v/>
      </c>
    </row>
    <row r="4150">
      <c r="A4150" s="16">
        <f>IF(Calc!$B4150,Calc!E4150,"")</f>
        <v/>
      </c>
      <c r="B4150">
        <f>IF(Calc!$B4150,INDEX(MineNames,Calc!C4150),"")</f>
        <v/>
      </c>
      <c r="C4150" s="17">
        <f>IF(Calc!$B4150,Calc!O4150,"")</f>
        <v/>
      </c>
    </row>
    <row r="4151">
      <c r="A4151" s="16">
        <f>IF(Calc!$B4151,Calc!E4151,"")</f>
        <v/>
      </c>
      <c r="B4151">
        <f>IF(Calc!$B4151,INDEX(MineNames,Calc!C4151),"")</f>
        <v/>
      </c>
      <c r="C4151" s="17">
        <f>IF(Calc!$B4151,Calc!O4151,"")</f>
        <v/>
      </c>
    </row>
    <row r="4152">
      <c r="A4152" s="16">
        <f>IF(Calc!$B4152,Calc!E4152,"")</f>
        <v/>
      </c>
      <c r="B4152">
        <f>IF(Calc!$B4152,INDEX(MineNames,Calc!C4152),"")</f>
        <v/>
      </c>
      <c r="C4152" s="17">
        <f>IF(Calc!$B4152,Calc!O4152,"")</f>
        <v/>
      </c>
    </row>
    <row r="4153">
      <c r="A4153" s="16">
        <f>IF(Calc!$B4153,Calc!E4153,"")</f>
        <v/>
      </c>
      <c r="B4153">
        <f>IF(Calc!$B4153,INDEX(MineNames,Calc!C4153),"")</f>
        <v/>
      </c>
      <c r="C4153" s="17">
        <f>IF(Calc!$B4153,Calc!O4153,"")</f>
        <v/>
      </c>
    </row>
    <row r="4154">
      <c r="A4154" s="16">
        <f>IF(Calc!$B4154,Calc!E4154,"")</f>
        <v/>
      </c>
      <c r="B4154">
        <f>IF(Calc!$B4154,INDEX(MineNames,Calc!C4154),"")</f>
        <v/>
      </c>
      <c r="C4154" s="17">
        <f>IF(Calc!$B4154,Calc!O4154,"")</f>
        <v/>
      </c>
    </row>
    <row r="4155">
      <c r="A4155" s="16">
        <f>IF(Calc!$B4155,Calc!E4155,"")</f>
        <v/>
      </c>
      <c r="B4155">
        <f>IF(Calc!$B4155,INDEX(MineNames,Calc!C4155),"")</f>
        <v/>
      </c>
      <c r="C4155" s="17">
        <f>IF(Calc!$B4155,Calc!O4155,"")</f>
        <v/>
      </c>
    </row>
    <row r="4156">
      <c r="A4156" s="16">
        <f>IF(Calc!$B4156,Calc!E4156,"")</f>
        <v/>
      </c>
      <c r="B4156">
        <f>IF(Calc!$B4156,INDEX(MineNames,Calc!C4156),"")</f>
        <v/>
      </c>
      <c r="C4156" s="17">
        <f>IF(Calc!$B4156,Calc!O4156,"")</f>
        <v/>
      </c>
    </row>
    <row r="4157">
      <c r="A4157" s="16">
        <f>IF(Calc!$B4157,Calc!E4157,"")</f>
        <v/>
      </c>
      <c r="B4157">
        <f>IF(Calc!$B4157,INDEX(MineNames,Calc!C4157),"")</f>
        <v/>
      </c>
      <c r="C4157" s="17">
        <f>IF(Calc!$B4157,Calc!O4157,"")</f>
        <v/>
      </c>
    </row>
    <row r="4158">
      <c r="A4158" s="16">
        <f>IF(Calc!$B4158,Calc!E4158,"")</f>
        <v/>
      </c>
      <c r="B4158">
        <f>IF(Calc!$B4158,INDEX(MineNames,Calc!C4158),"")</f>
        <v/>
      </c>
      <c r="C4158" s="17">
        <f>IF(Calc!$B4158,Calc!O4158,"")</f>
        <v/>
      </c>
    </row>
    <row r="4159">
      <c r="A4159" s="16">
        <f>IF(Calc!$B4159,Calc!E4159,"")</f>
        <v/>
      </c>
      <c r="B4159">
        <f>IF(Calc!$B4159,INDEX(MineNames,Calc!C4159),"")</f>
        <v/>
      </c>
      <c r="C4159" s="17">
        <f>IF(Calc!$B4159,Calc!O4159,"")</f>
        <v/>
      </c>
    </row>
    <row r="4160">
      <c r="A4160" s="16">
        <f>IF(Calc!$B4160,Calc!E4160,"")</f>
        <v/>
      </c>
      <c r="B4160">
        <f>IF(Calc!$B4160,INDEX(MineNames,Calc!C4160),"")</f>
        <v/>
      </c>
      <c r="C4160" s="17">
        <f>IF(Calc!$B4160,Calc!O4160,"")</f>
        <v/>
      </c>
    </row>
    <row r="4161">
      <c r="A4161" s="16">
        <f>IF(Calc!$B4161,Calc!E4161,"")</f>
        <v/>
      </c>
      <c r="B4161">
        <f>IF(Calc!$B4161,INDEX(MineNames,Calc!C4161),"")</f>
        <v/>
      </c>
      <c r="C4161" s="17">
        <f>IF(Calc!$B4161,Calc!O4161,"")</f>
        <v/>
      </c>
    </row>
    <row r="4162">
      <c r="A4162" s="16">
        <f>IF(Calc!$B4162,Calc!E4162,"")</f>
        <v/>
      </c>
      <c r="B4162">
        <f>IF(Calc!$B4162,INDEX(MineNames,Calc!C4162),"")</f>
        <v/>
      </c>
      <c r="C4162" s="17">
        <f>IF(Calc!$B4162,Calc!O4162,"")</f>
        <v/>
      </c>
    </row>
    <row r="4163">
      <c r="A4163" s="16">
        <f>IF(Calc!$B4163,Calc!E4163,"")</f>
        <v/>
      </c>
      <c r="B4163">
        <f>IF(Calc!$B4163,INDEX(MineNames,Calc!C4163),"")</f>
        <v/>
      </c>
      <c r="C4163" s="17">
        <f>IF(Calc!$B4163,Calc!O4163,"")</f>
        <v/>
      </c>
    </row>
    <row r="4164">
      <c r="A4164" s="16">
        <f>IF(Calc!$B4164,Calc!E4164,"")</f>
        <v/>
      </c>
      <c r="B4164">
        <f>IF(Calc!$B4164,INDEX(MineNames,Calc!C4164),"")</f>
        <v/>
      </c>
      <c r="C4164" s="17">
        <f>IF(Calc!$B4164,Calc!O4164,"")</f>
        <v/>
      </c>
    </row>
    <row r="4165">
      <c r="A4165" s="16">
        <f>IF(Calc!$B4165,Calc!E4165,"")</f>
        <v/>
      </c>
      <c r="B4165">
        <f>IF(Calc!$B4165,INDEX(MineNames,Calc!C4165),"")</f>
        <v/>
      </c>
      <c r="C4165" s="17">
        <f>IF(Calc!$B4165,Calc!O4165,"")</f>
        <v/>
      </c>
    </row>
    <row r="4166">
      <c r="A4166" s="16">
        <f>IF(Calc!$B4166,Calc!E4166,"")</f>
        <v/>
      </c>
      <c r="B4166">
        <f>IF(Calc!$B4166,INDEX(MineNames,Calc!C4166),"")</f>
        <v/>
      </c>
      <c r="C4166" s="17">
        <f>IF(Calc!$B4166,Calc!O4166,"")</f>
        <v/>
      </c>
    </row>
    <row r="4167">
      <c r="A4167" s="16">
        <f>IF(Calc!$B4167,Calc!E4167,"")</f>
        <v/>
      </c>
      <c r="B4167">
        <f>IF(Calc!$B4167,INDEX(MineNames,Calc!C4167),"")</f>
        <v/>
      </c>
      <c r="C4167" s="17">
        <f>IF(Calc!$B4167,Calc!O4167,"")</f>
        <v/>
      </c>
    </row>
    <row r="4168">
      <c r="A4168" s="16">
        <f>IF(Calc!$B4168,Calc!E4168,"")</f>
        <v/>
      </c>
      <c r="B4168">
        <f>IF(Calc!$B4168,INDEX(MineNames,Calc!C4168),"")</f>
        <v/>
      </c>
      <c r="C4168" s="17">
        <f>IF(Calc!$B4168,Calc!O4168,"")</f>
        <v/>
      </c>
    </row>
    <row r="4169">
      <c r="A4169" s="16">
        <f>IF(Calc!$B4169,Calc!E4169,"")</f>
        <v/>
      </c>
      <c r="B4169">
        <f>IF(Calc!$B4169,INDEX(MineNames,Calc!C4169),"")</f>
        <v/>
      </c>
      <c r="C4169" s="17">
        <f>IF(Calc!$B4169,Calc!O4169,"")</f>
        <v/>
      </c>
    </row>
    <row r="4170">
      <c r="A4170" s="16">
        <f>IF(Calc!$B4170,Calc!E4170,"")</f>
        <v/>
      </c>
      <c r="B4170">
        <f>IF(Calc!$B4170,INDEX(MineNames,Calc!C4170),"")</f>
        <v/>
      </c>
      <c r="C4170" s="17">
        <f>IF(Calc!$B4170,Calc!O4170,"")</f>
        <v/>
      </c>
    </row>
    <row r="4171">
      <c r="A4171" s="16">
        <f>IF(Calc!$B4171,Calc!E4171,"")</f>
        <v/>
      </c>
      <c r="B4171">
        <f>IF(Calc!$B4171,INDEX(MineNames,Calc!C4171),"")</f>
        <v/>
      </c>
      <c r="C4171" s="17">
        <f>IF(Calc!$B4171,Calc!O4171,"")</f>
        <v/>
      </c>
    </row>
    <row r="4172">
      <c r="A4172" s="16">
        <f>IF(Calc!$B4172,Calc!E4172,"")</f>
        <v/>
      </c>
      <c r="B4172">
        <f>IF(Calc!$B4172,INDEX(MineNames,Calc!C4172),"")</f>
        <v/>
      </c>
      <c r="C4172" s="17">
        <f>IF(Calc!$B4172,Calc!O4172,"")</f>
        <v/>
      </c>
    </row>
    <row r="4173">
      <c r="A4173" s="16">
        <f>IF(Calc!$B4173,Calc!E4173,"")</f>
        <v/>
      </c>
      <c r="B4173">
        <f>IF(Calc!$B4173,INDEX(MineNames,Calc!C4173),"")</f>
        <v/>
      </c>
      <c r="C4173" s="17">
        <f>IF(Calc!$B4173,Calc!O4173,"")</f>
        <v/>
      </c>
    </row>
    <row r="4174">
      <c r="A4174" s="16">
        <f>IF(Calc!$B4174,Calc!E4174,"")</f>
        <v/>
      </c>
      <c r="B4174">
        <f>IF(Calc!$B4174,INDEX(MineNames,Calc!C4174),"")</f>
        <v/>
      </c>
      <c r="C4174" s="17">
        <f>IF(Calc!$B4174,Calc!O4174,"")</f>
        <v/>
      </c>
    </row>
    <row r="4175">
      <c r="A4175" s="16">
        <f>IF(Calc!$B4175,Calc!E4175,"")</f>
        <v/>
      </c>
      <c r="B4175">
        <f>IF(Calc!$B4175,INDEX(MineNames,Calc!C4175),"")</f>
        <v/>
      </c>
      <c r="C4175" s="17">
        <f>IF(Calc!$B4175,Calc!O4175,"")</f>
        <v/>
      </c>
    </row>
    <row r="4176">
      <c r="A4176" s="16">
        <f>IF(Calc!$B4176,Calc!E4176,"")</f>
        <v/>
      </c>
      <c r="B4176">
        <f>IF(Calc!$B4176,INDEX(MineNames,Calc!C4176),"")</f>
        <v/>
      </c>
      <c r="C4176" s="17">
        <f>IF(Calc!$B4176,Calc!O4176,"")</f>
        <v/>
      </c>
    </row>
    <row r="4177">
      <c r="A4177" s="16">
        <f>IF(Calc!$B4177,Calc!E4177,"")</f>
        <v/>
      </c>
      <c r="B4177">
        <f>IF(Calc!$B4177,INDEX(MineNames,Calc!C4177),"")</f>
        <v/>
      </c>
      <c r="C4177" s="17">
        <f>IF(Calc!$B4177,Calc!O4177,"")</f>
        <v/>
      </c>
    </row>
    <row r="4178">
      <c r="A4178" s="16">
        <f>IF(Calc!$B4178,Calc!E4178,"")</f>
        <v/>
      </c>
      <c r="B4178">
        <f>IF(Calc!$B4178,INDEX(MineNames,Calc!C4178),"")</f>
        <v/>
      </c>
      <c r="C4178" s="17">
        <f>IF(Calc!$B4178,Calc!O4178,"")</f>
        <v/>
      </c>
    </row>
    <row r="4179">
      <c r="A4179" s="16">
        <f>IF(Calc!$B4179,Calc!E4179,"")</f>
        <v/>
      </c>
      <c r="B4179">
        <f>IF(Calc!$B4179,INDEX(MineNames,Calc!C4179),"")</f>
        <v/>
      </c>
      <c r="C4179" s="17">
        <f>IF(Calc!$B4179,Calc!O4179,"")</f>
        <v/>
      </c>
    </row>
    <row r="4180">
      <c r="A4180" s="16">
        <f>IF(Calc!$B4180,Calc!E4180,"")</f>
        <v/>
      </c>
      <c r="B4180">
        <f>IF(Calc!$B4180,INDEX(MineNames,Calc!C4180),"")</f>
        <v/>
      </c>
      <c r="C4180" s="17">
        <f>IF(Calc!$B4180,Calc!O4180,"")</f>
        <v/>
      </c>
    </row>
    <row r="4181">
      <c r="A4181" s="16">
        <f>IF(Calc!$B4181,Calc!E4181,"")</f>
        <v/>
      </c>
      <c r="B4181">
        <f>IF(Calc!$B4181,INDEX(MineNames,Calc!C4181),"")</f>
        <v/>
      </c>
      <c r="C4181" s="17">
        <f>IF(Calc!$B4181,Calc!O4181,"")</f>
        <v/>
      </c>
    </row>
    <row r="4182">
      <c r="A4182" s="16">
        <f>IF(Calc!$B4182,Calc!E4182,"")</f>
        <v/>
      </c>
      <c r="B4182">
        <f>IF(Calc!$B4182,INDEX(MineNames,Calc!C4182),"")</f>
        <v/>
      </c>
      <c r="C4182" s="17">
        <f>IF(Calc!$B4182,Calc!O4182,"")</f>
        <v/>
      </c>
    </row>
    <row r="4183">
      <c r="A4183" s="16">
        <f>IF(Calc!$B4183,Calc!E4183,"")</f>
        <v/>
      </c>
      <c r="B4183">
        <f>IF(Calc!$B4183,INDEX(MineNames,Calc!C4183),"")</f>
        <v/>
      </c>
      <c r="C4183" s="17">
        <f>IF(Calc!$B4183,Calc!O4183,"")</f>
        <v/>
      </c>
    </row>
    <row r="4184">
      <c r="A4184" s="16">
        <f>IF(Calc!$B4184,Calc!E4184,"")</f>
        <v/>
      </c>
      <c r="B4184">
        <f>IF(Calc!$B4184,INDEX(MineNames,Calc!C4184),"")</f>
        <v/>
      </c>
      <c r="C4184" s="17">
        <f>IF(Calc!$B4184,Calc!O4184,"")</f>
        <v/>
      </c>
    </row>
    <row r="4185">
      <c r="A4185" s="16">
        <f>IF(Calc!$B4185,Calc!E4185,"")</f>
        <v/>
      </c>
      <c r="B4185">
        <f>IF(Calc!$B4185,INDEX(MineNames,Calc!C4185),"")</f>
        <v/>
      </c>
      <c r="C4185" s="17">
        <f>IF(Calc!$B4185,Calc!O4185,"")</f>
        <v/>
      </c>
    </row>
    <row r="4186">
      <c r="A4186" s="16">
        <f>IF(Calc!$B4186,Calc!E4186,"")</f>
        <v/>
      </c>
      <c r="B4186">
        <f>IF(Calc!$B4186,INDEX(MineNames,Calc!C4186),"")</f>
        <v/>
      </c>
      <c r="C4186" s="17">
        <f>IF(Calc!$B4186,Calc!O4186,"")</f>
        <v/>
      </c>
    </row>
    <row r="4187">
      <c r="A4187" s="16">
        <f>IF(Calc!$B4187,Calc!E4187,"")</f>
        <v/>
      </c>
      <c r="B4187">
        <f>IF(Calc!$B4187,INDEX(MineNames,Calc!C4187),"")</f>
        <v/>
      </c>
      <c r="C4187" s="17">
        <f>IF(Calc!$B4187,Calc!O4187,"")</f>
        <v/>
      </c>
    </row>
    <row r="4188">
      <c r="A4188" s="16">
        <f>IF(Calc!$B4188,Calc!E4188,"")</f>
        <v/>
      </c>
      <c r="B4188">
        <f>IF(Calc!$B4188,INDEX(MineNames,Calc!C4188),"")</f>
        <v/>
      </c>
      <c r="C4188" s="17">
        <f>IF(Calc!$B4188,Calc!O4188,"")</f>
        <v/>
      </c>
    </row>
    <row r="4189">
      <c r="A4189" s="16">
        <f>IF(Calc!$B4189,Calc!E4189,"")</f>
        <v/>
      </c>
      <c r="B4189">
        <f>IF(Calc!$B4189,INDEX(MineNames,Calc!C4189),"")</f>
        <v/>
      </c>
      <c r="C4189" s="17">
        <f>IF(Calc!$B4189,Calc!O4189,"")</f>
        <v/>
      </c>
    </row>
    <row r="4190">
      <c r="A4190" s="16">
        <f>IF(Calc!$B4190,Calc!E4190,"")</f>
        <v/>
      </c>
      <c r="B4190">
        <f>IF(Calc!$B4190,INDEX(MineNames,Calc!C4190),"")</f>
        <v/>
      </c>
      <c r="C4190" s="17">
        <f>IF(Calc!$B4190,Calc!O4190,"")</f>
        <v/>
      </c>
    </row>
    <row r="4191">
      <c r="A4191" s="16">
        <f>IF(Calc!$B4191,Calc!E4191,"")</f>
        <v/>
      </c>
      <c r="B4191">
        <f>IF(Calc!$B4191,INDEX(MineNames,Calc!C4191),"")</f>
        <v/>
      </c>
      <c r="C4191" s="17">
        <f>IF(Calc!$B4191,Calc!O4191,"")</f>
        <v/>
      </c>
    </row>
    <row r="4192">
      <c r="A4192" s="16">
        <f>IF(Calc!$B4192,Calc!E4192,"")</f>
        <v/>
      </c>
      <c r="B4192">
        <f>IF(Calc!$B4192,INDEX(MineNames,Calc!C4192),"")</f>
        <v/>
      </c>
      <c r="C4192" s="17">
        <f>IF(Calc!$B4192,Calc!O4192,"")</f>
        <v/>
      </c>
    </row>
    <row r="4193">
      <c r="A4193" s="16">
        <f>IF(Calc!$B4193,Calc!E4193,"")</f>
        <v/>
      </c>
      <c r="B4193">
        <f>IF(Calc!$B4193,INDEX(MineNames,Calc!C4193),"")</f>
        <v/>
      </c>
      <c r="C4193" s="17">
        <f>IF(Calc!$B4193,Calc!O4193,"")</f>
        <v/>
      </c>
    </row>
    <row r="4194">
      <c r="A4194" s="16">
        <f>IF(Calc!$B4194,Calc!E4194,"")</f>
        <v/>
      </c>
      <c r="B4194">
        <f>IF(Calc!$B4194,INDEX(MineNames,Calc!C4194),"")</f>
        <v/>
      </c>
      <c r="C4194" s="17">
        <f>IF(Calc!$B4194,Calc!O4194,"")</f>
        <v/>
      </c>
    </row>
    <row r="4195">
      <c r="A4195" s="16">
        <f>IF(Calc!$B4195,Calc!E4195,"")</f>
        <v/>
      </c>
      <c r="B4195">
        <f>IF(Calc!$B4195,INDEX(MineNames,Calc!C4195),"")</f>
        <v/>
      </c>
      <c r="C4195" s="17">
        <f>IF(Calc!$B4195,Calc!O4195,"")</f>
        <v/>
      </c>
    </row>
    <row r="4196">
      <c r="A4196" s="16">
        <f>IF(Calc!$B4196,Calc!E4196,"")</f>
        <v/>
      </c>
      <c r="B4196">
        <f>IF(Calc!$B4196,INDEX(MineNames,Calc!C4196),"")</f>
        <v/>
      </c>
      <c r="C4196" s="17">
        <f>IF(Calc!$B4196,Calc!O4196,"")</f>
        <v/>
      </c>
    </row>
    <row r="4197">
      <c r="A4197" s="16">
        <f>IF(Calc!$B4197,Calc!E4197,"")</f>
        <v/>
      </c>
      <c r="B4197">
        <f>IF(Calc!$B4197,INDEX(MineNames,Calc!C4197),"")</f>
        <v/>
      </c>
      <c r="C4197" s="17">
        <f>IF(Calc!$B4197,Calc!O4197,"")</f>
        <v/>
      </c>
    </row>
    <row r="4198">
      <c r="A4198" s="16">
        <f>IF(Calc!$B4198,Calc!E4198,"")</f>
        <v/>
      </c>
      <c r="B4198">
        <f>IF(Calc!$B4198,INDEX(MineNames,Calc!C4198),"")</f>
        <v/>
      </c>
      <c r="C4198" s="17">
        <f>IF(Calc!$B4198,Calc!O4198,"")</f>
        <v/>
      </c>
    </row>
    <row r="4199">
      <c r="A4199" s="16">
        <f>IF(Calc!$B4199,Calc!E4199,"")</f>
        <v/>
      </c>
      <c r="B4199">
        <f>IF(Calc!$B4199,INDEX(MineNames,Calc!C4199),"")</f>
        <v/>
      </c>
      <c r="C4199" s="17">
        <f>IF(Calc!$B4199,Calc!O4199,"")</f>
        <v/>
      </c>
    </row>
    <row r="4200">
      <c r="A4200" s="16">
        <f>IF(Calc!$B4200,Calc!E4200,"")</f>
        <v/>
      </c>
      <c r="B4200">
        <f>IF(Calc!$B4200,INDEX(MineNames,Calc!C4200),"")</f>
        <v/>
      </c>
      <c r="C4200" s="17">
        <f>IF(Calc!$B4200,Calc!O4200,"")</f>
        <v/>
      </c>
    </row>
    <row r="4201">
      <c r="A4201" s="16">
        <f>IF(Calc!$B4201,Calc!E4201,"")</f>
        <v/>
      </c>
      <c r="B4201">
        <f>IF(Calc!$B4201,INDEX(MineNames,Calc!C4201),"")</f>
        <v/>
      </c>
      <c r="C4201" s="17">
        <f>IF(Calc!$B4201,Calc!O4201,"")</f>
        <v/>
      </c>
    </row>
    <row r="4202">
      <c r="A4202" s="16">
        <f>IF(Calc!$B4202,Calc!E4202,"")</f>
        <v/>
      </c>
      <c r="B4202">
        <f>IF(Calc!$B4202,INDEX(MineNames,Calc!C4202),"")</f>
        <v/>
      </c>
      <c r="C4202" s="17">
        <f>IF(Calc!$B4202,Calc!O4202,"")</f>
        <v/>
      </c>
    </row>
    <row r="4203">
      <c r="A4203" s="16">
        <f>IF(Calc!$B4203,Calc!E4203,"")</f>
        <v/>
      </c>
      <c r="B4203">
        <f>IF(Calc!$B4203,INDEX(MineNames,Calc!C4203),"")</f>
        <v/>
      </c>
      <c r="C4203" s="17">
        <f>IF(Calc!$B4203,Calc!O4203,"")</f>
        <v/>
      </c>
    </row>
    <row r="4204">
      <c r="A4204" s="16">
        <f>IF(Calc!$B4204,Calc!E4204,"")</f>
        <v/>
      </c>
      <c r="B4204">
        <f>IF(Calc!$B4204,INDEX(MineNames,Calc!C4204),"")</f>
        <v/>
      </c>
      <c r="C4204" s="17">
        <f>IF(Calc!$B4204,Calc!O4204,"")</f>
        <v/>
      </c>
    </row>
    <row r="4205">
      <c r="A4205" s="16">
        <f>IF(Calc!$B4205,Calc!E4205,"")</f>
        <v/>
      </c>
      <c r="B4205">
        <f>IF(Calc!$B4205,INDEX(MineNames,Calc!C4205),"")</f>
        <v/>
      </c>
      <c r="C4205" s="17">
        <f>IF(Calc!$B4205,Calc!O4205,"")</f>
        <v/>
      </c>
    </row>
    <row r="4206">
      <c r="A4206" s="16">
        <f>IF(Calc!$B4206,Calc!E4206,"")</f>
        <v/>
      </c>
      <c r="B4206">
        <f>IF(Calc!$B4206,INDEX(MineNames,Calc!C4206),"")</f>
        <v/>
      </c>
      <c r="C4206" s="17">
        <f>IF(Calc!$B4206,Calc!O4206,"")</f>
        <v/>
      </c>
    </row>
    <row r="4207">
      <c r="A4207" s="16">
        <f>IF(Calc!$B4207,Calc!E4207,"")</f>
        <v/>
      </c>
      <c r="B4207">
        <f>IF(Calc!$B4207,INDEX(MineNames,Calc!C4207),"")</f>
        <v/>
      </c>
      <c r="C4207" s="17">
        <f>IF(Calc!$B4207,Calc!O4207,"")</f>
        <v/>
      </c>
    </row>
    <row r="4208">
      <c r="A4208" s="16">
        <f>IF(Calc!$B4208,Calc!E4208,"")</f>
        <v/>
      </c>
      <c r="B4208">
        <f>IF(Calc!$B4208,INDEX(MineNames,Calc!C4208),"")</f>
        <v/>
      </c>
      <c r="C4208" s="17">
        <f>IF(Calc!$B4208,Calc!O4208,"")</f>
        <v/>
      </c>
    </row>
    <row r="4209">
      <c r="A4209" s="16">
        <f>IF(Calc!$B4209,Calc!E4209,"")</f>
        <v/>
      </c>
      <c r="B4209">
        <f>IF(Calc!$B4209,INDEX(MineNames,Calc!C4209),"")</f>
        <v/>
      </c>
      <c r="C4209" s="17">
        <f>IF(Calc!$B4209,Calc!O4209,"")</f>
        <v/>
      </c>
    </row>
    <row r="4210">
      <c r="A4210" s="16">
        <f>IF(Calc!$B4210,Calc!E4210,"")</f>
        <v/>
      </c>
      <c r="B4210">
        <f>IF(Calc!$B4210,INDEX(MineNames,Calc!C4210),"")</f>
        <v/>
      </c>
      <c r="C4210" s="17">
        <f>IF(Calc!$B4210,Calc!O4210,"")</f>
        <v/>
      </c>
    </row>
    <row r="4211">
      <c r="A4211" s="16">
        <f>IF(Calc!$B4211,Calc!E4211,"")</f>
        <v/>
      </c>
      <c r="B4211">
        <f>IF(Calc!$B4211,INDEX(MineNames,Calc!C4211),"")</f>
        <v/>
      </c>
      <c r="C4211" s="17">
        <f>IF(Calc!$B4211,Calc!O4211,"")</f>
        <v/>
      </c>
    </row>
    <row r="4212">
      <c r="A4212" s="16">
        <f>IF(Calc!$B4212,Calc!E4212,"")</f>
        <v/>
      </c>
      <c r="B4212">
        <f>IF(Calc!$B4212,INDEX(MineNames,Calc!C4212),"")</f>
        <v/>
      </c>
      <c r="C4212" s="17">
        <f>IF(Calc!$B4212,Calc!O4212,"")</f>
        <v/>
      </c>
    </row>
    <row r="4213">
      <c r="A4213" s="16">
        <f>IF(Calc!$B4213,Calc!E4213,"")</f>
        <v/>
      </c>
      <c r="B4213">
        <f>IF(Calc!$B4213,INDEX(MineNames,Calc!C4213),"")</f>
        <v/>
      </c>
      <c r="C4213" s="17">
        <f>IF(Calc!$B4213,Calc!O4213,"")</f>
        <v/>
      </c>
    </row>
    <row r="4214">
      <c r="A4214" s="16">
        <f>IF(Calc!$B4214,Calc!E4214,"")</f>
        <v/>
      </c>
      <c r="B4214">
        <f>IF(Calc!$B4214,INDEX(MineNames,Calc!C4214),"")</f>
        <v/>
      </c>
      <c r="C4214" s="17">
        <f>IF(Calc!$B4214,Calc!O4214,"")</f>
        <v/>
      </c>
    </row>
    <row r="4215">
      <c r="A4215" s="16">
        <f>IF(Calc!$B4215,Calc!E4215,"")</f>
        <v/>
      </c>
      <c r="B4215">
        <f>IF(Calc!$B4215,INDEX(MineNames,Calc!C4215),"")</f>
        <v/>
      </c>
      <c r="C4215" s="17">
        <f>IF(Calc!$B4215,Calc!O4215,"")</f>
        <v/>
      </c>
    </row>
    <row r="4216">
      <c r="A4216" s="16">
        <f>IF(Calc!$B4216,Calc!E4216,"")</f>
        <v/>
      </c>
      <c r="B4216">
        <f>IF(Calc!$B4216,INDEX(MineNames,Calc!C4216),"")</f>
        <v/>
      </c>
      <c r="C4216" s="17">
        <f>IF(Calc!$B4216,Calc!O4216,"")</f>
        <v/>
      </c>
    </row>
    <row r="4217">
      <c r="A4217" s="16">
        <f>IF(Calc!$B4217,Calc!E4217,"")</f>
        <v/>
      </c>
      <c r="B4217">
        <f>IF(Calc!$B4217,INDEX(MineNames,Calc!C4217),"")</f>
        <v/>
      </c>
      <c r="C4217" s="17">
        <f>IF(Calc!$B4217,Calc!O4217,"")</f>
        <v/>
      </c>
    </row>
    <row r="4218">
      <c r="A4218" s="16">
        <f>IF(Calc!$B4218,Calc!E4218,"")</f>
        <v/>
      </c>
      <c r="B4218">
        <f>IF(Calc!$B4218,INDEX(MineNames,Calc!C4218),"")</f>
        <v/>
      </c>
      <c r="C4218" s="17">
        <f>IF(Calc!$B4218,Calc!O4218,"")</f>
        <v/>
      </c>
    </row>
    <row r="4219">
      <c r="A4219" s="16">
        <f>IF(Calc!$B4219,Calc!E4219,"")</f>
        <v/>
      </c>
      <c r="B4219">
        <f>IF(Calc!$B4219,INDEX(MineNames,Calc!C4219),"")</f>
        <v/>
      </c>
      <c r="C4219" s="17">
        <f>IF(Calc!$B4219,Calc!O4219,"")</f>
        <v/>
      </c>
    </row>
    <row r="4220">
      <c r="A4220" s="16">
        <f>IF(Calc!$B4220,Calc!E4220,"")</f>
        <v/>
      </c>
      <c r="B4220">
        <f>IF(Calc!$B4220,INDEX(MineNames,Calc!C4220),"")</f>
        <v/>
      </c>
      <c r="C4220" s="17">
        <f>IF(Calc!$B4220,Calc!O4220,"")</f>
        <v/>
      </c>
    </row>
    <row r="4221">
      <c r="A4221" s="16">
        <f>IF(Calc!$B4221,Calc!E4221,"")</f>
        <v/>
      </c>
      <c r="B4221">
        <f>IF(Calc!$B4221,INDEX(MineNames,Calc!C4221),"")</f>
        <v/>
      </c>
      <c r="C4221" s="17">
        <f>IF(Calc!$B4221,Calc!O4221,"")</f>
        <v/>
      </c>
    </row>
    <row r="4222">
      <c r="A4222" s="16">
        <f>IF(Calc!$B4222,Calc!E4222,"")</f>
        <v/>
      </c>
      <c r="B4222">
        <f>IF(Calc!$B4222,INDEX(MineNames,Calc!C4222),"")</f>
        <v/>
      </c>
      <c r="C4222" s="17">
        <f>IF(Calc!$B4222,Calc!O4222,"")</f>
        <v/>
      </c>
    </row>
    <row r="4223">
      <c r="A4223" s="16">
        <f>IF(Calc!$B4223,Calc!E4223,"")</f>
        <v/>
      </c>
      <c r="B4223">
        <f>IF(Calc!$B4223,INDEX(MineNames,Calc!C4223),"")</f>
        <v/>
      </c>
      <c r="C4223" s="17">
        <f>IF(Calc!$B4223,Calc!O4223,"")</f>
        <v/>
      </c>
    </row>
    <row r="4224">
      <c r="A4224" s="16">
        <f>IF(Calc!$B4224,Calc!E4224,"")</f>
        <v/>
      </c>
      <c r="B4224">
        <f>IF(Calc!$B4224,INDEX(MineNames,Calc!C4224),"")</f>
        <v/>
      </c>
      <c r="C4224" s="17">
        <f>IF(Calc!$B4224,Calc!O4224,"")</f>
        <v/>
      </c>
    </row>
    <row r="4225">
      <c r="A4225" s="16">
        <f>IF(Calc!$B4225,Calc!E4225,"")</f>
        <v/>
      </c>
      <c r="B4225">
        <f>IF(Calc!$B4225,INDEX(MineNames,Calc!C4225),"")</f>
        <v/>
      </c>
      <c r="C4225" s="17">
        <f>IF(Calc!$B4225,Calc!O4225,"")</f>
        <v/>
      </c>
    </row>
    <row r="4226">
      <c r="A4226" s="16">
        <f>IF(Calc!$B4226,Calc!E4226,"")</f>
        <v/>
      </c>
      <c r="B4226">
        <f>IF(Calc!$B4226,INDEX(MineNames,Calc!C4226),"")</f>
        <v/>
      </c>
      <c r="C4226" s="17">
        <f>IF(Calc!$B4226,Calc!O4226,"")</f>
        <v/>
      </c>
    </row>
    <row r="4227">
      <c r="A4227" s="16">
        <f>IF(Calc!$B4227,Calc!E4227,"")</f>
        <v/>
      </c>
      <c r="B4227">
        <f>IF(Calc!$B4227,INDEX(MineNames,Calc!C4227),"")</f>
        <v/>
      </c>
      <c r="C4227" s="17">
        <f>IF(Calc!$B4227,Calc!O4227,"")</f>
        <v/>
      </c>
    </row>
    <row r="4228">
      <c r="A4228" s="16">
        <f>IF(Calc!$B4228,Calc!E4228,"")</f>
        <v/>
      </c>
      <c r="B4228">
        <f>IF(Calc!$B4228,INDEX(MineNames,Calc!C4228),"")</f>
        <v/>
      </c>
      <c r="C4228" s="17">
        <f>IF(Calc!$B4228,Calc!O4228,"")</f>
        <v/>
      </c>
    </row>
    <row r="4229">
      <c r="A4229" s="16">
        <f>IF(Calc!$B4229,Calc!E4229,"")</f>
        <v/>
      </c>
      <c r="B4229">
        <f>IF(Calc!$B4229,INDEX(MineNames,Calc!C4229),"")</f>
        <v/>
      </c>
      <c r="C4229" s="17">
        <f>IF(Calc!$B4229,Calc!O4229,"")</f>
        <v/>
      </c>
    </row>
    <row r="4230">
      <c r="A4230" s="16">
        <f>IF(Calc!$B4230,Calc!E4230,"")</f>
        <v/>
      </c>
      <c r="B4230">
        <f>IF(Calc!$B4230,INDEX(MineNames,Calc!C4230),"")</f>
        <v/>
      </c>
      <c r="C4230" s="17">
        <f>IF(Calc!$B4230,Calc!O4230,"")</f>
        <v/>
      </c>
    </row>
    <row r="4231">
      <c r="A4231" s="16">
        <f>IF(Calc!$B4231,Calc!E4231,"")</f>
        <v/>
      </c>
      <c r="B4231">
        <f>IF(Calc!$B4231,INDEX(MineNames,Calc!C4231),"")</f>
        <v/>
      </c>
      <c r="C4231" s="17">
        <f>IF(Calc!$B4231,Calc!O4231,"")</f>
        <v/>
      </c>
    </row>
    <row r="4232">
      <c r="A4232" s="16">
        <f>IF(Calc!$B4232,Calc!E4232,"")</f>
        <v/>
      </c>
      <c r="B4232">
        <f>IF(Calc!$B4232,INDEX(MineNames,Calc!C4232),"")</f>
        <v/>
      </c>
      <c r="C4232" s="17">
        <f>IF(Calc!$B4232,Calc!O4232,"")</f>
        <v/>
      </c>
    </row>
    <row r="4233">
      <c r="A4233" s="16">
        <f>IF(Calc!$B4233,Calc!E4233,"")</f>
        <v/>
      </c>
      <c r="B4233">
        <f>IF(Calc!$B4233,INDEX(MineNames,Calc!C4233),"")</f>
        <v/>
      </c>
      <c r="C4233" s="17">
        <f>IF(Calc!$B4233,Calc!O4233,"")</f>
        <v/>
      </c>
    </row>
    <row r="4234">
      <c r="A4234" s="16">
        <f>IF(Calc!$B4234,Calc!E4234,"")</f>
        <v/>
      </c>
      <c r="B4234">
        <f>IF(Calc!$B4234,INDEX(MineNames,Calc!C4234),"")</f>
        <v/>
      </c>
      <c r="C4234" s="17">
        <f>IF(Calc!$B4234,Calc!O4234,"")</f>
        <v/>
      </c>
    </row>
    <row r="4235">
      <c r="A4235" s="16">
        <f>IF(Calc!$B4235,Calc!E4235,"")</f>
        <v/>
      </c>
      <c r="B4235">
        <f>IF(Calc!$B4235,INDEX(MineNames,Calc!C4235),"")</f>
        <v/>
      </c>
      <c r="C4235" s="17">
        <f>IF(Calc!$B4235,Calc!O4235,"")</f>
        <v/>
      </c>
    </row>
    <row r="4236">
      <c r="A4236" s="16">
        <f>IF(Calc!$B4236,Calc!E4236,"")</f>
        <v/>
      </c>
      <c r="B4236">
        <f>IF(Calc!$B4236,INDEX(MineNames,Calc!C4236),"")</f>
        <v/>
      </c>
      <c r="C4236" s="17">
        <f>IF(Calc!$B4236,Calc!O4236,"")</f>
        <v/>
      </c>
    </row>
    <row r="4237">
      <c r="A4237" s="16">
        <f>IF(Calc!$B4237,Calc!E4237,"")</f>
        <v/>
      </c>
      <c r="B4237">
        <f>IF(Calc!$B4237,INDEX(MineNames,Calc!C4237),"")</f>
        <v/>
      </c>
      <c r="C4237" s="17">
        <f>IF(Calc!$B4237,Calc!O4237,"")</f>
        <v/>
      </c>
    </row>
    <row r="4238">
      <c r="A4238" s="16">
        <f>IF(Calc!$B4238,Calc!E4238,"")</f>
        <v/>
      </c>
      <c r="B4238">
        <f>IF(Calc!$B4238,INDEX(MineNames,Calc!C4238),"")</f>
        <v/>
      </c>
      <c r="C4238" s="17">
        <f>IF(Calc!$B4238,Calc!O4238,"")</f>
        <v/>
      </c>
    </row>
    <row r="4239">
      <c r="A4239" s="16">
        <f>IF(Calc!$B4239,Calc!E4239,"")</f>
        <v/>
      </c>
      <c r="B4239">
        <f>IF(Calc!$B4239,INDEX(MineNames,Calc!C4239),"")</f>
        <v/>
      </c>
      <c r="C4239" s="17">
        <f>IF(Calc!$B4239,Calc!O4239,"")</f>
        <v/>
      </c>
    </row>
    <row r="4240">
      <c r="A4240" s="16">
        <f>IF(Calc!$B4240,Calc!E4240,"")</f>
        <v/>
      </c>
      <c r="B4240">
        <f>IF(Calc!$B4240,INDEX(MineNames,Calc!C4240),"")</f>
        <v/>
      </c>
      <c r="C4240" s="17">
        <f>IF(Calc!$B4240,Calc!O4240,"")</f>
        <v/>
      </c>
    </row>
    <row r="4241">
      <c r="A4241" s="16">
        <f>IF(Calc!$B4241,Calc!E4241,"")</f>
        <v/>
      </c>
      <c r="B4241">
        <f>IF(Calc!$B4241,INDEX(MineNames,Calc!C4241),"")</f>
        <v/>
      </c>
      <c r="C4241" s="17">
        <f>IF(Calc!$B4241,Calc!O4241,"")</f>
        <v/>
      </c>
    </row>
    <row r="4242">
      <c r="A4242" s="16">
        <f>IF(Calc!$B4242,Calc!E4242,"")</f>
        <v/>
      </c>
      <c r="B4242">
        <f>IF(Calc!$B4242,INDEX(MineNames,Calc!C4242),"")</f>
        <v/>
      </c>
      <c r="C4242" s="17">
        <f>IF(Calc!$B4242,Calc!O4242,"")</f>
        <v/>
      </c>
    </row>
    <row r="4243">
      <c r="A4243" s="16">
        <f>IF(Calc!$B4243,Calc!E4243,"")</f>
        <v/>
      </c>
      <c r="B4243">
        <f>IF(Calc!$B4243,INDEX(MineNames,Calc!C4243),"")</f>
        <v/>
      </c>
      <c r="C4243" s="17">
        <f>IF(Calc!$B4243,Calc!O4243,"")</f>
        <v/>
      </c>
    </row>
    <row r="4244">
      <c r="A4244" s="16">
        <f>IF(Calc!$B4244,Calc!E4244,"")</f>
        <v/>
      </c>
      <c r="B4244">
        <f>IF(Calc!$B4244,INDEX(MineNames,Calc!C4244),"")</f>
        <v/>
      </c>
      <c r="C4244" s="17">
        <f>IF(Calc!$B4244,Calc!O4244,"")</f>
        <v/>
      </c>
    </row>
    <row r="4245">
      <c r="A4245" s="16">
        <f>IF(Calc!$B4245,Calc!E4245,"")</f>
        <v/>
      </c>
      <c r="B4245">
        <f>IF(Calc!$B4245,INDEX(MineNames,Calc!C4245),"")</f>
        <v/>
      </c>
      <c r="C4245" s="17">
        <f>IF(Calc!$B4245,Calc!O4245,"")</f>
        <v/>
      </c>
    </row>
    <row r="4246">
      <c r="A4246" s="16">
        <f>IF(Calc!$B4246,Calc!E4246,"")</f>
        <v/>
      </c>
      <c r="B4246">
        <f>IF(Calc!$B4246,INDEX(MineNames,Calc!C4246),"")</f>
        <v/>
      </c>
      <c r="C4246" s="17">
        <f>IF(Calc!$B4246,Calc!O4246,"")</f>
        <v/>
      </c>
    </row>
    <row r="4247">
      <c r="A4247" s="16">
        <f>IF(Calc!$B4247,Calc!E4247,"")</f>
        <v/>
      </c>
      <c r="B4247">
        <f>IF(Calc!$B4247,INDEX(MineNames,Calc!C4247),"")</f>
        <v/>
      </c>
      <c r="C4247" s="17">
        <f>IF(Calc!$B4247,Calc!O4247,"")</f>
        <v/>
      </c>
    </row>
    <row r="4248">
      <c r="A4248" s="16">
        <f>IF(Calc!$B4248,Calc!E4248,"")</f>
        <v/>
      </c>
      <c r="B4248">
        <f>IF(Calc!$B4248,INDEX(MineNames,Calc!C4248),"")</f>
        <v/>
      </c>
      <c r="C4248" s="17">
        <f>IF(Calc!$B4248,Calc!O4248,"")</f>
        <v/>
      </c>
    </row>
    <row r="4249">
      <c r="A4249" s="16">
        <f>IF(Calc!$B4249,Calc!E4249,"")</f>
        <v/>
      </c>
      <c r="B4249">
        <f>IF(Calc!$B4249,INDEX(MineNames,Calc!C4249),"")</f>
        <v/>
      </c>
      <c r="C4249" s="17">
        <f>IF(Calc!$B4249,Calc!O4249,"")</f>
        <v/>
      </c>
    </row>
    <row r="4250">
      <c r="A4250" s="16">
        <f>IF(Calc!$B4250,Calc!E4250,"")</f>
        <v/>
      </c>
      <c r="B4250">
        <f>IF(Calc!$B4250,INDEX(MineNames,Calc!C4250),"")</f>
        <v/>
      </c>
      <c r="C4250" s="17">
        <f>IF(Calc!$B4250,Calc!O4250,"")</f>
        <v/>
      </c>
    </row>
    <row r="4251">
      <c r="A4251" s="16">
        <f>IF(Calc!$B4251,Calc!E4251,"")</f>
        <v/>
      </c>
      <c r="B4251">
        <f>IF(Calc!$B4251,INDEX(MineNames,Calc!C4251),"")</f>
        <v/>
      </c>
      <c r="C4251" s="17">
        <f>IF(Calc!$B4251,Calc!O4251,"")</f>
        <v/>
      </c>
    </row>
    <row r="4252">
      <c r="A4252" s="16">
        <f>IF(Calc!$B4252,Calc!E4252,"")</f>
        <v/>
      </c>
      <c r="B4252">
        <f>IF(Calc!$B4252,INDEX(MineNames,Calc!C4252),"")</f>
        <v/>
      </c>
      <c r="C4252" s="17">
        <f>IF(Calc!$B4252,Calc!O4252,"")</f>
        <v/>
      </c>
    </row>
    <row r="4253">
      <c r="A4253" s="16">
        <f>IF(Calc!$B4253,Calc!E4253,"")</f>
        <v/>
      </c>
      <c r="B4253">
        <f>IF(Calc!$B4253,INDEX(MineNames,Calc!C4253),"")</f>
        <v/>
      </c>
      <c r="C4253" s="17">
        <f>IF(Calc!$B4253,Calc!O4253,"")</f>
        <v/>
      </c>
    </row>
    <row r="4254">
      <c r="A4254" s="16">
        <f>IF(Calc!$B4254,Calc!E4254,"")</f>
        <v/>
      </c>
      <c r="B4254">
        <f>IF(Calc!$B4254,INDEX(MineNames,Calc!C4254),"")</f>
        <v/>
      </c>
      <c r="C4254" s="17">
        <f>IF(Calc!$B4254,Calc!O4254,"")</f>
        <v/>
      </c>
    </row>
    <row r="4255">
      <c r="A4255" s="16">
        <f>IF(Calc!$B4255,Calc!E4255,"")</f>
        <v/>
      </c>
      <c r="B4255">
        <f>IF(Calc!$B4255,INDEX(MineNames,Calc!C4255),"")</f>
        <v/>
      </c>
      <c r="C4255" s="17">
        <f>IF(Calc!$B4255,Calc!O4255,"")</f>
        <v/>
      </c>
    </row>
    <row r="4256">
      <c r="A4256" s="16">
        <f>IF(Calc!$B4256,Calc!E4256,"")</f>
        <v/>
      </c>
      <c r="B4256">
        <f>IF(Calc!$B4256,INDEX(MineNames,Calc!C4256),"")</f>
        <v/>
      </c>
      <c r="C4256" s="17">
        <f>IF(Calc!$B4256,Calc!O4256,"")</f>
        <v/>
      </c>
    </row>
    <row r="4257">
      <c r="A4257" s="16">
        <f>IF(Calc!$B4257,Calc!E4257,"")</f>
        <v/>
      </c>
      <c r="B4257">
        <f>IF(Calc!$B4257,INDEX(MineNames,Calc!C4257),"")</f>
        <v/>
      </c>
      <c r="C4257" s="17">
        <f>IF(Calc!$B4257,Calc!O4257,"")</f>
        <v/>
      </c>
    </row>
    <row r="4258">
      <c r="A4258" s="16">
        <f>IF(Calc!$B4258,Calc!E4258,"")</f>
        <v/>
      </c>
      <c r="B4258">
        <f>IF(Calc!$B4258,INDEX(MineNames,Calc!C4258),"")</f>
        <v/>
      </c>
      <c r="C4258" s="17">
        <f>IF(Calc!$B4258,Calc!O4258,"")</f>
        <v/>
      </c>
    </row>
    <row r="4259">
      <c r="A4259" s="16">
        <f>IF(Calc!$B4259,Calc!E4259,"")</f>
        <v/>
      </c>
      <c r="B4259">
        <f>IF(Calc!$B4259,INDEX(MineNames,Calc!C4259),"")</f>
        <v/>
      </c>
      <c r="C4259" s="17">
        <f>IF(Calc!$B4259,Calc!O4259,"")</f>
        <v/>
      </c>
    </row>
    <row r="4260">
      <c r="A4260" s="16">
        <f>IF(Calc!$B4260,Calc!E4260,"")</f>
        <v/>
      </c>
      <c r="B4260">
        <f>IF(Calc!$B4260,INDEX(MineNames,Calc!C4260),"")</f>
        <v/>
      </c>
      <c r="C4260" s="17">
        <f>IF(Calc!$B4260,Calc!O4260,"")</f>
        <v/>
      </c>
    </row>
    <row r="4261">
      <c r="A4261" s="16">
        <f>IF(Calc!$B4261,Calc!E4261,"")</f>
        <v/>
      </c>
      <c r="B4261">
        <f>IF(Calc!$B4261,INDEX(MineNames,Calc!C4261),"")</f>
        <v/>
      </c>
      <c r="C4261" s="17">
        <f>IF(Calc!$B4261,Calc!O4261,"")</f>
        <v/>
      </c>
    </row>
    <row r="4262">
      <c r="A4262" s="16">
        <f>IF(Calc!$B4262,Calc!E4262,"")</f>
        <v/>
      </c>
      <c r="B4262">
        <f>IF(Calc!$B4262,INDEX(MineNames,Calc!C4262),"")</f>
        <v/>
      </c>
      <c r="C4262" s="17">
        <f>IF(Calc!$B4262,Calc!O4262,"")</f>
        <v/>
      </c>
    </row>
    <row r="4263">
      <c r="A4263" s="16">
        <f>IF(Calc!$B4263,Calc!E4263,"")</f>
        <v/>
      </c>
      <c r="B4263">
        <f>IF(Calc!$B4263,INDEX(MineNames,Calc!C4263),"")</f>
        <v/>
      </c>
      <c r="C4263" s="17">
        <f>IF(Calc!$B4263,Calc!O4263,"")</f>
        <v/>
      </c>
    </row>
    <row r="4264">
      <c r="A4264" s="16">
        <f>IF(Calc!$B4264,Calc!E4264,"")</f>
        <v/>
      </c>
      <c r="B4264">
        <f>IF(Calc!$B4264,INDEX(MineNames,Calc!C4264),"")</f>
        <v/>
      </c>
      <c r="C4264" s="17">
        <f>IF(Calc!$B4264,Calc!O4264,"")</f>
        <v/>
      </c>
    </row>
    <row r="4265">
      <c r="A4265" s="16">
        <f>IF(Calc!$B4265,Calc!E4265,"")</f>
        <v/>
      </c>
      <c r="B4265">
        <f>IF(Calc!$B4265,INDEX(MineNames,Calc!C4265),"")</f>
        <v/>
      </c>
      <c r="C4265" s="17">
        <f>IF(Calc!$B4265,Calc!O4265,"")</f>
        <v/>
      </c>
    </row>
    <row r="4266">
      <c r="A4266" s="16">
        <f>IF(Calc!$B4266,Calc!E4266,"")</f>
        <v/>
      </c>
      <c r="B4266">
        <f>IF(Calc!$B4266,INDEX(MineNames,Calc!C4266),"")</f>
        <v/>
      </c>
      <c r="C4266" s="17">
        <f>IF(Calc!$B4266,Calc!O4266,"")</f>
        <v/>
      </c>
    </row>
    <row r="4267">
      <c r="A4267" s="16">
        <f>IF(Calc!$B4267,Calc!E4267,"")</f>
        <v/>
      </c>
      <c r="B4267">
        <f>IF(Calc!$B4267,INDEX(MineNames,Calc!C4267),"")</f>
        <v/>
      </c>
      <c r="C4267" s="17">
        <f>IF(Calc!$B4267,Calc!O4267,"")</f>
        <v/>
      </c>
    </row>
    <row r="4268">
      <c r="A4268" s="16">
        <f>IF(Calc!$B4268,Calc!E4268,"")</f>
        <v/>
      </c>
      <c r="B4268">
        <f>IF(Calc!$B4268,INDEX(MineNames,Calc!C4268),"")</f>
        <v/>
      </c>
      <c r="C4268" s="17">
        <f>IF(Calc!$B4268,Calc!O4268,"")</f>
        <v/>
      </c>
    </row>
    <row r="4269">
      <c r="A4269" s="16">
        <f>IF(Calc!$B4269,Calc!E4269,"")</f>
        <v/>
      </c>
      <c r="B4269">
        <f>IF(Calc!$B4269,INDEX(MineNames,Calc!C4269),"")</f>
        <v/>
      </c>
      <c r="C4269" s="17">
        <f>IF(Calc!$B4269,Calc!O4269,"")</f>
        <v/>
      </c>
    </row>
    <row r="4270">
      <c r="A4270" s="16">
        <f>IF(Calc!$B4270,Calc!E4270,"")</f>
        <v/>
      </c>
      <c r="B4270">
        <f>IF(Calc!$B4270,INDEX(MineNames,Calc!C4270),"")</f>
        <v/>
      </c>
      <c r="C4270" s="17">
        <f>IF(Calc!$B4270,Calc!O4270,"")</f>
        <v/>
      </c>
    </row>
    <row r="4271">
      <c r="A4271" s="16">
        <f>IF(Calc!$B4271,Calc!E4271,"")</f>
        <v/>
      </c>
      <c r="B4271">
        <f>IF(Calc!$B4271,INDEX(MineNames,Calc!C4271),"")</f>
        <v/>
      </c>
      <c r="C4271" s="17">
        <f>IF(Calc!$B4271,Calc!O4271,"")</f>
        <v/>
      </c>
    </row>
    <row r="4272">
      <c r="A4272" s="16">
        <f>IF(Calc!$B4272,Calc!E4272,"")</f>
        <v/>
      </c>
      <c r="B4272">
        <f>IF(Calc!$B4272,INDEX(MineNames,Calc!C4272),"")</f>
        <v/>
      </c>
      <c r="C4272" s="17">
        <f>IF(Calc!$B4272,Calc!O4272,"")</f>
        <v/>
      </c>
    </row>
    <row r="4273">
      <c r="A4273" s="16">
        <f>IF(Calc!$B4273,Calc!E4273,"")</f>
        <v/>
      </c>
      <c r="B4273">
        <f>IF(Calc!$B4273,INDEX(MineNames,Calc!C4273),"")</f>
        <v/>
      </c>
      <c r="C4273" s="17">
        <f>IF(Calc!$B4273,Calc!O4273,"")</f>
        <v/>
      </c>
    </row>
    <row r="4274">
      <c r="A4274" s="16">
        <f>IF(Calc!$B4274,Calc!E4274,"")</f>
        <v/>
      </c>
      <c r="B4274">
        <f>IF(Calc!$B4274,INDEX(MineNames,Calc!C4274),"")</f>
        <v/>
      </c>
      <c r="C4274" s="17">
        <f>IF(Calc!$B4274,Calc!O4274,"")</f>
        <v/>
      </c>
    </row>
    <row r="4275">
      <c r="A4275" s="16">
        <f>IF(Calc!$B4275,Calc!E4275,"")</f>
        <v/>
      </c>
      <c r="B4275">
        <f>IF(Calc!$B4275,INDEX(MineNames,Calc!C4275),"")</f>
        <v/>
      </c>
      <c r="C4275" s="17">
        <f>IF(Calc!$B4275,Calc!O4275,"")</f>
        <v/>
      </c>
    </row>
    <row r="4276">
      <c r="A4276" s="16">
        <f>IF(Calc!$B4276,Calc!E4276,"")</f>
        <v/>
      </c>
      <c r="B4276">
        <f>IF(Calc!$B4276,INDEX(MineNames,Calc!C4276),"")</f>
        <v/>
      </c>
      <c r="C4276" s="17">
        <f>IF(Calc!$B4276,Calc!O4276,"")</f>
        <v/>
      </c>
    </row>
    <row r="4277">
      <c r="A4277" s="16">
        <f>IF(Calc!$B4277,Calc!E4277,"")</f>
        <v/>
      </c>
      <c r="B4277">
        <f>IF(Calc!$B4277,INDEX(MineNames,Calc!C4277),"")</f>
        <v/>
      </c>
      <c r="C4277" s="17">
        <f>IF(Calc!$B4277,Calc!O4277,"")</f>
        <v/>
      </c>
    </row>
    <row r="4278">
      <c r="A4278" s="16">
        <f>IF(Calc!$B4278,Calc!E4278,"")</f>
        <v/>
      </c>
      <c r="B4278">
        <f>IF(Calc!$B4278,INDEX(MineNames,Calc!C4278),"")</f>
        <v/>
      </c>
      <c r="C4278" s="17">
        <f>IF(Calc!$B4278,Calc!O4278,"")</f>
        <v/>
      </c>
    </row>
    <row r="4279">
      <c r="A4279" s="16">
        <f>IF(Calc!$B4279,Calc!E4279,"")</f>
        <v/>
      </c>
      <c r="B4279">
        <f>IF(Calc!$B4279,INDEX(MineNames,Calc!C4279),"")</f>
        <v/>
      </c>
      <c r="C4279" s="17">
        <f>IF(Calc!$B4279,Calc!O4279,"")</f>
        <v/>
      </c>
    </row>
    <row r="4280">
      <c r="A4280" s="16">
        <f>IF(Calc!$B4280,Calc!E4280,"")</f>
        <v/>
      </c>
      <c r="B4280">
        <f>IF(Calc!$B4280,INDEX(MineNames,Calc!C4280),"")</f>
        <v/>
      </c>
      <c r="C4280" s="17">
        <f>IF(Calc!$B4280,Calc!O4280,"")</f>
        <v/>
      </c>
    </row>
    <row r="4281">
      <c r="A4281" s="16">
        <f>IF(Calc!$B4281,Calc!E4281,"")</f>
        <v/>
      </c>
      <c r="B4281">
        <f>IF(Calc!$B4281,INDEX(MineNames,Calc!C4281),"")</f>
        <v/>
      </c>
      <c r="C4281" s="17">
        <f>IF(Calc!$B4281,Calc!O4281,"")</f>
        <v/>
      </c>
    </row>
    <row r="4282">
      <c r="A4282" s="16">
        <f>IF(Calc!$B4282,Calc!E4282,"")</f>
        <v/>
      </c>
      <c r="B4282">
        <f>IF(Calc!$B4282,INDEX(MineNames,Calc!C4282),"")</f>
        <v/>
      </c>
      <c r="C4282" s="17">
        <f>IF(Calc!$B4282,Calc!O4282,"")</f>
        <v/>
      </c>
    </row>
    <row r="4283">
      <c r="A4283" s="16">
        <f>IF(Calc!$B4283,Calc!E4283,"")</f>
        <v/>
      </c>
      <c r="B4283">
        <f>IF(Calc!$B4283,INDEX(MineNames,Calc!C4283),"")</f>
        <v/>
      </c>
      <c r="C4283" s="17">
        <f>IF(Calc!$B4283,Calc!O4283,"")</f>
        <v/>
      </c>
    </row>
    <row r="4284">
      <c r="A4284" s="16">
        <f>IF(Calc!$B4284,Calc!E4284,"")</f>
        <v/>
      </c>
      <c r="B4284">
        <f>IF(Calc!$B4284,INDEX(MineNames,Calc!C4284),"")</f>
        <v/>
      </c>
      <c r="C4284" s="17">
        <f>IF(Calc!$B4284,Calc!O4284,"")</f>
        <v/>
      </c>
    </row>
    <row r="4285">
      <c r="A4285" s="16">
        <f>IF(Calc!$B4285,Calc!E4285,"")</f>
        <v/>
      </c>
      <c r="B4285">
        <f>IF(Calc!$B4285,INDEX(MineNames,Calc!C4285),"")</f>
        <v/>
      </c>
      <c r="C4285" s="17">
        <f>IF(Calc!$B4285,Calc!O4285,"")</f>
        <v/>
      </c>
    </row>
    <row r="4286">
      <c r="A4286" s="16">
        <f>IF(Calc!$B4286,Calc!E4286,"")</f>
        <v/>
      </c>
      <c r="B4286">
        <f>IF(Calc!$B4286,INDEX(MineNames,Calc!C4286),"")</f>
        <v/>
      </c>
      <c r="C4286" s="17">
        <f>IF(Calc!$B4286,Calc!O4286,"")</f>
        <v/>
      </c>
    </row>
    <row r="4287">
      <c r="A4287" s="16">
        <f>IF(Calc!$B4287,Calc!E4287,"")</f>
        <v/>
      </c>
      <c r="B4287">
        <f>IF(Calc!$B4287,INDEX(MineNames,Calc!C4287),"")</f>
        <v/>
      </c>
      <c r="C4287" s="17">
        <f>IF(Calc!$B4287,Calc!O4287,"")</f>
        <v/>
      </c>
    </row>
    <row r="4288">
      <c r="A4288" s="16">
        <f>IF(Calc!$B4288,Calc!E4288,"")</f>
        <v/>
      </c>
      <c r="B4288">
        <f>IF(Calc!$B4288,INDEX(MineNames,Calc!C4288),"")</f>
        <v/>
      </c>
      <c r="C4288" s="17">
        <f>IF(Calc!$B4288,Calc!O4288,"")</f>
        <v/>
      </c>
    </row>
    <row r="4289">
      <c r="A4289" s="16">
        <f>IF(Calc!$B4289,Calc!E4289,"")</f>
        <v/>
      </c>
      <c r="B4289">
        <f>IF(Calc!$B4289,INDEX(MineNames,Calc!C4289),"")</f>
        <v/>
      </c>
      <c r="C4289" s="17">
        <f>IF(Calc!$B4289,Calc!O4289,"")</f>
        <v/>
      </c>
    </row>
    <row r="4290">
      <c r="A4290" s="16">
        <f>IF(Calc!$B4290,Calc!E4290,"")</f>
        <v/>
      </c>
      <c r="B4290">
        <f>IF(Calc!$B4290,INDEX(MineNames,Calc!C4290),"")</f>
        <v/>
      </c>
      <c r="C4290" s="17">
        <f>IF(Calc!$B4290,Calc!O4290,"")</f>
        <v/>
      </c>
    </row>
    <row r="4291">
      <c r="A4291" s="16">
        <f>IF(Calc!$B4291,Calc!E4291,"")</f>
        <v/>
      </c>
      <c r="B4291">
        <f>IF(Calc!$B4291,INDEX(MineNames,Calc!C4291),"")</f>
        <v/>
      </c>
      <c r="C4291" s="17">
        <f>IF(Calc!$B4291,Calc!O4291,"")</f>
        <v/>
      </c>
    </row>
    <row r="4292">
      <c r="A4292" s="16">
        <f>IF(Calc!$B4292,Calc!E4292,"")</f>
        <v/>
      </c>
      <c r="B4292">
        <f>IF(Calc!$B4292,INDEX(MineNames,Calc!C4292),"")</f>
        <v/>
      </c>
      <c r="C4292" s="17">
        <f>IF(Calc!$B4292,Calc!O4292,"")</f>
        <v/>
      </c>
    </row>
    <row r="4293">
      <c r="A4293" s="16">
        <f>IF(Calc!$B4293,Calc!E4293,"")</f>
        <v/>
      </c>
      <c r="B4293">
        <f>IF(Calc!$B4293,INDEX(MineNames,Calc!C4293),"")</f>
        <v/>
      </c>
      <c r="C4293" s="17">
        <f>IF(Calc!$B4293,Calc!O4293,"")</f>
        <v/>
      </c>
    </row>
    <row r="4294">
      <c r="A4294" s="16">
        <f>IF(Calc!$B4294,Calc!E4294,"")</f>
        <v/>
      </c>
      <c r="B4294">
        <f>IF(Calc!$B4294,INDEX(MineNames,Calc!C4294),"")</f>
        <v/>
      </c>
      <c r="C4294" s="17">
        <f>IF(Calc!$B4294,Calc!O4294,"")</f>
        <v/>
      </c>
    </row>
    <row r="4295">
      <c r="A4295" s="16">
        <f>IF(Calc!$B4295,Calc!E4295,"")</f>
        <v/>
      </c>
      <c r="B4295">
        <f>IF(Calc!$B4295,INDEX(MineNames,Calc!C4295),"")</f>
        <v/>
      </c>
      <c r="C4295" s="17">
        <f>IF(Calc!$B4295,Calc!O4295,"")</f>
        <v/>
      </c>
    </row>
    <row r="4296">
      <c r="A4296" s="16">
        <f>IF(Calc!$B4296,Calc!E4296,"")</f>
        <v/>
      </c>
      <c r="B4296">
        <f>IF(Calc!$B4296,INDEX(MineNames,Calc!C4296),"")</f>
        <v/>
      </c>
      <c r="C4296" s="17">
        <f>IF(Calc!$B4296,Calc!O4296,"")</f>
        <v/>
      </c>
    </row>
    <row r="4297">
      <c r="A4297" s="16">
        <f>IF(Calc!$B4297,Calc!E4297,"")</f>
        <v/>
      </c>
      <c r="B4297">
        <f>IF(Calc!$B4297,INDEX(MineNames,Calc!C4297),"")</f>
        <v/>
      </c>
      <c r="C4297" s="17">
        <f>IF(Calc!$B4297,Calc!O4297,"")</f>
        <v/>
      </c>
    </row>
    <row r="4298">
      <c r="A4298" s="16">
        <f>IF(Calc!$B4298,Calc!E4298,"")</f>
        <v/>
      </c>
      <c r="B4298">
        <f>IF(Calc!$B4298,INDEX(MineNames,Calc!C4298),"")</f>
        <v/>
      </c>
      <c r="C4298" s="17">
        <f>IF(Calc!$B4298,Calc!O4298,"")</f>
        <v/>
      </c>
    </row>
    <row r="4299">
      <c r="A4299" s="16">
        <f>IF(Calc!$B4299,Calc!E4299,"")</f>
        <v/>
      </c>
      <c r="B4299">
        <f>IF(Calc!$B4299,INDEX(MineNames,Calc!C4299),"")</f>
        <v/>
      </c>
      <c r="C4299" s="17">
        <f>IF(Calc!$B4299,Calc!O4299,"")</f>
        <v/>
      </c>
    </row>
    <row r="4300">
      <c r="A4300" s="16">
        <f>IF(Calc!$B4300,Calc!E4300,"")</f>
        <v/>
      </c>
      <c r="B4300">
        <f>IF(Calc!$B4300,INDEX(MineNames,Calc!C4300),"")</f>
        <v/>
      </c>
      <c r="C4300" s="17">
        <f>IF(Calc!$B4300,Calc!O4300,"")</f>
        <v/>
      </c>
    </row>
    <row r="4301">
      <c r="A4301" s="16">
        <f>IF(Calc!$B4301,Calc!E4301,"")</f>
        <v/>
      </c>
      <c r="B4301">
        <f>IF(Calc!$B4301,INDEX(MineNames,Calc!C4301),"")</f>
        <v/>
      </c>
      <c r="C4301" s="17">
        <f>IF(Calc!$B4301,Calc!O4301,"")</f>
        <v/>
      </c>
    </row>
    <row r="4302">
      <c r="A4302" s="16">
        <f>IF(Calc!$B4302,Calc!E4302,"")</f>
        <v/>
      </c>
      <c r="B4302">
        <f>IF(Calc!$B4302,INDEX(MineNames,Calc!C4302),"")</f>
        <v/>
      </c>
      <c r="C4302" s="17">
        <f>IF(Calc!$B4302,Calc!O4302,"")</f>
        <v/>
      </c>
    </row>
    <row r="4303">
      <c r="A4303" s="16">
        <f>IF(Calc!$B4303,Calc!E4303,"")</f>
        <v/>
      </c>
      <c r="B4303">
        <f>IF(Calc!$B4303,INDEX(MineNames,Calc!C4303),"")</f>
        <v/>
      </c>
      <c r="C4303" s="17">
        <f>IF(Calc!$B4303,Calc!O4303,"")</f>
        <v/>
      </c>
    </row>
    <row r="4304">
      <c r="A4304" s="16">
        <f>IF(Calc!$B4304,Calc!E4304,"")</f>
        <v/>
      </c>
      <c r="B4304">
        <f>IF(Calc!$B4304,INDEX(MineNames,Calc!C4304),"")</f>
        <v/>
      </c>
      <c r="C4304" s="17">
        <f>IF(Calc!$B4304,Calc!O4304,"")</f>
        <v/>
      </c>
    </row>
    <row r="4305">
      <c r="A4305" s="16">
        <f>IF(Calc!$B4305,Calc!E4305,"")</f>
        <v/>
      </c>
      <c r="B4305">
        <f>IF(Calc!$B4305,INDEX(MineNames,Calc!C4305),"")</f>
        <v/>
      </c>
      <c r="C4305" s="17">
        <f>IF(Calc!$B4305,Calc!O4305,"")</f>
        <v/>
      </c>
    </row>
    <row r="4306">
      <c r="A4306" s="16">
        <f>IF(Calc!$B4306,Calc!E4306,"")</f>
        <v/>
      </c>
      <c r="B4306">
        <f>IF(Calc!$B4306,INDEX(MineNames,Calc!C4306),"")</f>
        <v/>
      </c>
      <c r="C4306" s="17">
        <f>IF(Calc!$B4306,Calc!O4306,"")</f>
        <v/>
      </c>
    </row>
    <row r="4307">
      <c r="A4307" s="16">
        <f>IF(Calc!$B4307,Calc!E4307,"")</f>
        <v/>
      </c>
      <c r="B4307">
        <f>IF(Calc!$B4307,INDEX(MineNames,Calc!C4307),"")</f>
        <v/>
      </c>
      <c r="C4307" s="17">
        <f>IF(Calc!$B4307,Calc!O4307,"")</f>
        <v/>
      </c>
    </row>
    <row r="4308">
      <c r="A4308" s="16">
        <f>IF(Calc!$B4308,Calc!E4308,"")</f>
        <v/>
      </c>
      <c r="B4308">
        <f>IF(Calc!$B4308,INDEX(MineNames,Calc!C4308),"")</f>
        <v/>
      </c>
      <c r="C4308" s="17">
        <f>IF(Calc!$B4308,Calc!O4308,"")</f>
        <v/>
      </c>
    </row>
    <row r="4309">
      <c r="A4309" s="16">
        <f>IF(Calc!$B4309,Calc!E4309,"")</f>
        <v/>
      </c>
      <c r="B4309">
        <f>IF(Calc!$B4309,INDEX(MineNames,Calc!C4309),"")</f>
        <v/>
      </c>
      <c r="C4309" s="17">
        <f>IF(Calc!$B4309,Calc!O4309,"")</f>
        <v/>
      </c>
    </row>
    <row r="4310">
      <c r="A4310" s="16">
        <f>IF(Calc!$B4310,Calc!E4310,"")</f>
        <v/>
      </c>
      <c r="B4310">
        <f>IF(Calc!$B4310,INDEX(MineNames,Calc!C4310),"")</f>
        <v/>
      </c>
      <c r="C4310" s="17">
        <f>IF(Calc!$B4310,Calc!O4310,"")</f>
        <v/>
      </c>
    </row>
    <row r="4311">
      <c r="A4311" s="16">
        <f>IF(Calc!$B4311,Calc!E4311,"")</f>
        <v/>
      </c>
      <c r="B4311">
        <f>IF(Calc!$B4311,INDEX(MineNames,Calc!C4311),"")</f>
        <v/>
      </c>
      <c r="C4311" s="17">
        <f>IF(Calc!$B4311,Calc!O4311,"")</f>
        <v/>
      </c>
    </row>
    <row r="4312">
      <c r="A4312" s="16">
        <f>IF(Calc!$B4312,Calc!E4312,"")</f>
        <v/>
      </c>
      <c r="B4312">
        <f>IF(Calc!$B4312,INDEX(MineNames,Calc!C4312),"")</f>
        <v/>
      </c>
      <c r="C4312" s="17">
        <f>IF(Calc!$B4312,Calc!O4312,"")</f>
        <v/>
      </c>
    </row>
    <row r="4313">
      <c r="A4313" s="16">
        <f>IF(Calc!$B4313,Calc!E4313,"")</f>
        <v/>
      </c>
      <c r="B4313">
        <f>IF(Calc!$B4313,INDEX(MineNames,Calc!C4313),"")</f>
        <v/>
      </c>
      <c r="C4313" s="17">
        <f>IF(Calc!$B4313,Calc!O4313,"")</f>
        <v/>
      </c>
    </row>
    <row r="4314">
      <c r="A4314" s="16">
        <f>IF(Calc!$B4314,Calc!E4314,"")</f>
        <v/>
      </c>
      <c r="B4314">
        <f>IF(Calc!$B4314,INDEX(MineNames,Calc!C4314),"")</f>
        <v/>
      </c>
      <c r="C4314" s="17">
        <f>IF(Calc!$B4314,Calc!O4314,"")</f>
        <v/>
      </c>
    </row>
    <row r="4315">
      <c r="A4315" s="16">
        <f>IF(Calc!$B4315,Calc!E4315,"")</f>
        <v/>
      </c>
      <c r="B4315">
        <f>IF(Calc!$B4315,INDEX(MineNames,Calc!C4315),"")</f>
        <v/>
      </c>
      <c r="C4315" s="17">
        <f>IF(Calc!$B4315,Calc!O4315,"")</f>
        <v/>
      </c>
    </row>
    <row r="4316">
      <c r="A4316" s="16">
        <f>IF(Calc!$B4316,Calc!E4316,"")</f>
        <v/>
      </c>
      <c r="B4316">
        <f>IF(Calc!$B4316,INDEX(MineNames,Calc!C4316),"")</f>
        <v/>
      </c>
      <c r="C4316" s="17">
        <f>IF(Calc!$B4316,Calc!O4316,"")</f>
        <v/>
      </c>
    </row>
    <row r="4317">
      <c r="A4317" s="16">
        <f>IF(Calc!$B4317,Calc!E4317,"")</f>
        <v/>
      </c>
      <c r="B4317">
        <f>IF(Calc!$B4317,INDEX(MineNames,Calc!C4317),"")</f>
        <v/>
      </c>
      <c r="C4317" s="17">
        <f>IF(Calc!$B4317,Calc!O4317,"")</f>
        <v/>
      </c>
    </row>
    <row r="4318">
      <c r="A4318" s="16">
        <f>IF(Calc!$B4318,Calc!E4318,"")</f>
        <v/>
      </c>
      <c r="B4318">
        <f>IF(Calc!$B4318,INDEX(MineNames,Calc!C4318),"")</f>
        <v/>
      </c>
      <c r="C4318" s="17">
        <f>IF(Calc!$B4318,Calc!O4318,"")</f>
        <v/>
      </c>
    </row>
    <row r="4319">
      <c r="A4319" s="16">
        <f>IF(Calc!$B4319,Calc!E4319,"")</f>
        <v/>
      </c>
      <c r="B4319">
        <f>IF(Calc!$B4319,INDEX(MineNames,Calc!C4319),"")</f>
        <v/>
      </c>
      <c r="C4319" s="17">
        <f>IF(Calc!$B4319,Calc!O4319,"")</f>
        <v/>
      </c>
    </row>
    <row r="4320">
      <c r="A4320" s="16">
        <f>IF(Calc!$B4320,Calc!E4320,"")</f>
        <v/>
      </c>
      <c r="B4320">
        <f>IF(Calc!$B4320,INDEX(MineNames,Calc!C4320),"")</f>
        <v/>
      </c>
      <c r="C4320" s="17">
        <f>IF(Calc!$B4320,Calc!O4320,"")</f>
        <v/>
      </c>
    </row>
    <row r="4321">
      <c r="A4321" s="16">
        <f>IF(Calc!$B4321,Calc!E4321,"")</f>
        <v/>
      </c>
      <c r="B4321">
        <f>IF(Calc!$B4321,INDEX(MineNames,Calc!C4321),"")</f>
        <v/>
      </c>
      <c r="C4321" s="17">
        <f>IF(Calc!$B4321,Calc!O4321,"")</f>
        <v/>
      </c>
    </row>
    <row r="4322">
      <c r="A4322" s="16">
        <f>IF(Calc!$B4322,Calc!E4322,"")</f>
        <v/>
      </c>
      <c r="B4322">
        <f>IF(Calc!$B4322,INDEX(MineNames,Calc!C4322),"")</f>
        <v/>
      </c>
      <c r="C4322" s="17">
        <f>IF(Calc!$B4322,Calc!O4322,"")</f>
        <v/>
      </c>
    </row>
    <row r="4323">
      <c r="A4323" s="16">
        <f>IF(Calc!$B4323,Calc!E4323,"")</f>
        <v/>
      </c>
      <c r="B4323">
        <f>IF(Calc!$B4323,INDEX(MineNames,Calc!C4323),"")</f>
        <v/>
      </c>
      <c r="C4323" s="17">
        <f>IF(Calc!$B4323,Calc!O4323,"")</f>
        <v/>
      </c>
    </row>
    <row r="4324">
      <c r="A4324" s="16">
        <f>IF(Calc!$B4324,Calc!E4324,"")</f>
        <v/>
      </c>
      <c r="B4324">
        <f>IF(Calc!$B4324,INDEX(MineNames,Calc!C4324),"")</f>
        <v/>
      </c>
      <c r="C4324" s="17">
        <f>IF(Calc!$B4324,Calc!O4324,"")</f>
        <v/>
      </c>
    </row>
    <row r="4325">
      <c r="A4325" s="16">
        <f>IF(Calc!$B4325,Calc!E4325,"")</f>
        <v/>
      </c>
      <c r="B4325">
        <f>IF(Calc!$B4325,INDEX(MineNames,Calc!C4325),"")</f>
        <v/>
      </c>
      <c r="C4325" s="17">
        <f>IF(Calc!$B4325,Calc!O4325,"")</f>
        <v/>
      </c>
    </row>
    <row r="4326">
      <c r="A4326" s="16">
        <f>IF(Calc!$B4326,Calc!E4326,"")</f>
        <v/>
      </c>
      <c r="B4326">
        <f>IF(Calc!$B4326,INDEX(MineNames,Calc!C4326),"")</f>
        <v/>
      </c>
      <c r="C4326" s="17">
        <f>IF(Calc!$B4326,Calc!O4326,"")</f>
        <v/>
      </c>
    </row>
    <row r="4327">
      <c r="A4327" s="16">
        <f>IF(Calc!$B4327,Calc!E4327,"")</f>
        <v/>
      </c>
      <c r="B4327">
        <f>IF(Calc!$B4327,INDEX(MineNames,Calc!C4327),"")</f>
        <v/>
      </c>
      <c r="C4327" s="17">
        <f>IF(Calc!$B4327,Calc!O4327,"")</f>
        <v/>
      </c>
    </row>
    <row r="4328">
      <c r="A4328" s="16">
        <f>IF(Calc!$B4328,Calc!E4328,"")</f>
        <v/>
      </c>
      <c r="B4328">
        <f>IF(Calc!$B4328,INDEX(MineNames,Calc!C4328),"")</f>
        <v/>
      </c>
      <c r="C4328" s="17">
        <f>IF(Calc!$B4328,Calc!O4328,"")</f>
        <v/>
      </c>
    </row>
    <row r="4329">
      <c r="A4329" s="16">
        <f>IF(Calc!$B4329,Calc!E4329,"")</f>
        <v/>
      </c>
      <c r="B4329">
        <f>IF(Calc!$B4329,INDEX(MineNames,Calc!C4329),"")</f>
        <v/>
      </c>
      <c r="C4329" s="17">
        <f>IF(Calc!$B4329,Calc!O4329,"")</f>
        <v/>
      </c>
    </row>
    <row r="4330">
      <c r="A4330" s="16">
        <f>IF(Calc!$B4330,Calc!E4330,"")</f>
        <v/>
      </c>
      <c r="B4330">
        <f>IF(Calc!$B4330,INDEX(MineNames,Calc!C4330),"")</f>
        <v/>
      </c>
      <c r="C4330" s="17">
        <f>IF(Calc!$B4330,Calc!O4330,"")</f>
        <v/>
      </c>
    </row>
    <row r="4331">
      <c r="A4331" s="16">
        <f>IF(Calc!$B4331,Calc!E4331,"")</f>
        <v/>
      </c>
      <c r="B4331">
        <f>IF(Calc!$B4331,INDEX(MineNames,Calc!C4331),"")</f>
        <v/>
      </c>
      <c r="C4331" s="17">
        <f>IF(Calc!$B4331,Calc!O4331,"")</f>
        <v/>
      </c>
    </row>
    <row r="4332">
      <c r="A4332" s="16">
        <f>IF(Calc!$B4332,Calc!E4332,"")</f>
        <v/>
      </c>
      <c r="B4332">
        <f>IF(Calc!$B4332,INDEX(MineNames,Calc!C4332),"")</f>
        <v/>
      </c>
      <c r="C4332" s="17">
        <f>IF(Calc!$B4332,Calc!O4332,"")</f>
        <v/>
      </c>
    </row>
    <row r="4333">
      <c r="A4333" s="16">
        <f>IF(Calc!$B4333,Calc!E4333,"")</f>
        <v/>
      </c>
      <c r="B4333">
        <f>IF(Calc!$B4333,INDEX(MineNames,Calc!C4333),"")</f>
        <v/>
      </c>
      <c r="C4333" s="17">
        <f>IF(Calc!$B4333,Calc!O4333,"")</f>
        <v/>
      </c>
    </row>
    <row r="4334">
      <c r="A4334" s="16">
        <f>IF(Calc!$B4334,Calc!E4334,"")</f>
        <v/>
      </c>
      <c r="B4334">
        <f>IF(Calc!$B4334,INDEX(MineNames,Calc!C4334),"")</f>
        <v/>
      </c>
      <c r="C4334" s="17">
        <f>IF(Calc!$B4334,Calc!O4334,"")</f>
        <v/>
      </c>
    </row>
    <row r="4335">
      <c r="A4335" s="16">
        <f>IF(Calc!$B4335,Calc!E4335,"")</f>
        <v/>
      </c>
      <c r="B4335">
        <f>IF(Calc!$B4335,INDEX(MineNames,Calc!C4335),"")</f>
        <v/>
      </c>
      <c r="C4335" s="17">
        <f>IF(Calc!$B4335,Calc!O4335,"")</f>
        <v/>
      </c>
    </row>
    <row r="4336">
      <c r="A4336" s="16">
        <f>IF(Calc!$B4336,Calc!E4336,"")</f>
        <v/>
      </c>
      <c r="B4336">
        <f>IF(Calc!$B4336,INDEX(MineNames,Calc!C4336),"")</f>
        <v/>
      </c>
      <c r="C4336" s="17">
        <f>IF(Calc!$B4336,Calc!O4336,"")</f>
        <v/>
      </c>
    </row>
    <row r="4337">
      <c r="A4337" s="16">
        <f>IF(Calc!$B4337,Calc!E4337,"")</f>
        <v/>
      </c>
      <c r="B4337">
        <f>IF(Calc!$B4337,INDEX(MineNames,Calc!C4337),"")</f>
        <v/>
      </c>
      <c r="C4337" s="17">
        <f>IF(Calc!$B4337,Calc!O4337,"")</f>
        <v/>
      </c>
    </row>
    <row r="4338">
      <c r="A4338" s="16">
        <f>IF(Calc!$B4338,Calc!E4338,"")</f>
        <v/>
      </c>
      <c r="B4338">
        <f>IF(Calc!$B4338,INDEX(MineNames,Calc!C4338),"")</f>
        <v/>
      </c>
      <c r="C4338" s="17">
        <f>IF(Calc!$B4338,Calc!O4338,"")</f>
        <v/>
      </c>
    </row>
    <row r="4339">
      <c r="A4339" s="16">
        <f>IF(Calc!$B4339,Calc!E4339,"")</f>
        <v/>
      </c>
      <c r="B4339">
        <f>IF(Calc!$B4339,INDEX(MineNames,Calc!C4339),"")</f>
        <v/>
      </c>
      <c r="C4339" s="17">
        <f>IF(Calc!$B4339,Calc!O4339,"")</f>
        <v/>
      </c>
    </row>
    <row r="4340">
      <c r="A4340" s="16">
        <f>IF(Calc!$B4340,Calc!E4340,"")</f>
        <v/>
      </c>
      <c r="B4340">
        <f>IF(Calc!$B4340,INDEX(MineNames,Calc!C4340),"")</f>
        <v/>
      </c>
      <c r="C4340" s="17">
        <f>IF(Calc!$B4340,Calc!O4340,"")</f>
        <v/>
      </c>
    </row>
    <row r="4341">
      <c r="A4341" s="16">
        <f>IF(Calc!$B4341,Calc!E4341,"")</f>
        <v/>
      </c>
      <c r="B4341">
        <f>IF(Calc!$B4341,INDEX(MineNames,Calc!C4341),"")</f>
        <v/>
      </c>
      <c r="C4341" s="17">
        <f>IF(Calc!$B4341,Calc!O4341,"")</f>
        <v/>
      </c>
    </row>
    <row r="4342">
      <c r="A4342" s="16">
        <f>IF(Calc!$B4342,Calc!E4342,"")</f>
        <v/>
      </c>
      <c r="B4342">
        <f>IF(Calc!$B4342,INDEX(MineNames,Calc!C4342),"")</f>
        <v/>
      </c>
      <c r="C4342" s="17">
        <f>IF(Calc!$B4342,Calc!O4342,"")</f>
        <v/>
      </c>
    </row>
    <row r="4343">
      <c r="A4343" s="16">
        <f>IF(Calc!$B4343,Calc!E4343,"")</f>
        <v/>
      </c>
      <c r="B4343">
        <f>IF(Calc!$B4343,INDEX(MineNames,Calc!C4343),"")</f>
        <v/>
      </c>
      <c r="C4343" s="17">
        <f>IF(Calc!$B4343,Calc!O4343,"")</f>
        <v/>
      </c>
    </row>
    <row r="4344">
      <c r="A4344" s="16">
        <f>IF(Calc!$B4344,Calc!E4344,"")</f>
        <v/>
      </c>
      <c r="B4344">
        <f>IF(Calc!$B4344,INDEX(MineNames,Calc!C4344),"")</f>
        <v/>
      </c>
      <c r="C4344" s="17">
        <f>IF(Calc!$B4344,Calc!O4344,"")</f>
        <v/>
      </c>
    </row>
    <row r="4345">
      <c r="A4345" s="16">
        <f>IF(Calc!$B4345,Calc!E4345,"")</f>
        <v/>
      </c>
      <c r="B4345">
        <f>IF(Calc!$B4345,INDEX(MineNames,Calc!C4345),"")</f>
        <v/>
      </c>
      <c r="C4345" s="17">
        <f>IF(Calc!$B4345,Calc!O4345,"")</f>
        <v/>
      </c>
    </row>
    <row r="4346">
      <c r="A4346" s="16">
        <f>IF(Calc!$B4346,Calc!E4346,"")</f>
        <v/>
      </c>
      <c r="B4346">
        <f>IF(Calc!$B4346,INDEX(MineNames,Calc!C4346),"")</f>
        <v/>
      </c>
      <c r="C4346" s="17">
        <f>IF(Calc!$B4346,Calc!O4346,"")</f>
        <v/>
      </c>
    </row>
    <row r="4347">
      <c r="A4347" s="16">
        <f>IF(Calc!$B4347,Calc!E4347,"")</f>
        <v/>
      </c>
      <c r="B4347">
        <f>IF(Calc!$B4347,INDEX(MineNames,Calc!C4347),"")</f>
        <v/>
      </c>
      <c r="C4347" s="17">
        <f>IF(Calc!$B4347,Calc!O4347,"")</f>
        <v/>
      </c>
    </row>
    <row r="4348">
      <c r="A4348" s="16">
        <f>IF(Calc!$B4348,Calc!E4348,"")</f>
        <v/>
      </c>
      <c r="B4348">
        <f>IF(Calc!$B4348,INDEX(MineNames,Calc!C4348),"")</f>
        <v/>
      </c>
      <c r="C4348" s="17">
        <f>IF(Calc!$B4348,Calc!O4348,"")</f>
        <v/>
      </c>
    </row>
    <row r="4349">
      <c r="A4349" s="16">
        <f>IF(Calc!$B4349,Calc!E4349,"")</f>
        <v/>
      </c>
      <c r="B4349">
        <f>IF(Calc!$B4349,INDEX(MineNames,Calc!C4349),"")</f>
        <v/>
      </c>
      <c r="C4349" s="17">
        <f>IF(Calc!$B4349,Calc!O4349,"")</f>
        <v/>
      </c>
    </row>
    <row r="4350">
      <c r="A4350" s="16">
        <f>IF(Calc!$B4350,Calc!E4350,"")</f>
        <v/>
      </c>
      <c r="B4350">
        <f>IF(Calc!$B4350,INDEX(MineNames,Calc!C4350),"")</f>
        <v/>
      </c>
      <c r="C4350" s="17">
        <f>IF(Calc!$B4350,Calc!O4350,"")</f>
        <v/>
      </c>
    </row>
    <row r="4351">
      <c r="A4351" s="16">
        <f>IF(Calc!$B4351,Calc!E4351,"")</f>
        <v/>
      </c>
      <c r="B4351">
        <f>IF(Calc!$B4351,INDEX(MineNames,Calc!C4351),"")</f>
        <v/>
      </c>
      <c r="C4351" s="17">
        <f>IF(Calc!$B4351,Calc!O4351,"")</f>
        <v/>
      </c>
    </row>
    <row r="4352">
      <c r="A4352" s="16">
        <f>IF(Calc!$B4352,Calc!E4352,"")</f>
        <v/>
      </c>
      <c r="B4352">
        <f>IF(Calc!$B4352,INDEX(MineNames,Calc!C4352),"")</f>
        <v/>
      </c>
      <c r="C4352" s="17">
        <f>IF(Calc!$B4352,Calc!O4352,"")</f>
        <v/>
      </c>
    </row>
    <row r="4353">
      <c r="A4353" s="16">
        <f>IF(Calc!$B4353,Calc!E4353,"")</f>
        <v/>
      </c>
      <c r="B4353">
        <f>IF(Calc!$B4353,INDEX(MineNames,Calc!C4353),"")</f>
        <v/>
      </c>
      <c r="C4353" s="17">
        <f>IF(Calc!$B4353,Calc!O4353,"")</f>
        <v/>
      </c>
    </row>
    <row r="4354">
      <c r="A4354" s="16">
        <f>IF(Calc!$B4354,Calc!E4354,"")</f>
        <v/>
      </c>
      <c r="B4354">
        <f>IF(Calc!$B4354,INDEX(MineNames,Calc!C4354),"")</f>
        <v/>
      </c>
      <c r="C4354" s="17">
        <f>IF(Calc!$B4354,Calc!O4354,"")</f>
        <v/>
      </c>
    </row>
    <row r="4355">
      <c r="A4355" s="16">
        <f>IF(Calc!$B4355,Calc!E4355,"")</f>
        <v/>
      </c>
      <c r="B4355">
        <f>IF(Calc!$B4355,INDEX(MineNames,Calc!C4355),"")</f>
        <v/>
      </c>
      <c r="C4355" s="17">
        <f>IF(Calc!$B4355,Calc!O4355,"")</f>
        <v/>
      </c>
    </row>
    <row r="4356">
      <c r="A4356" s="16">
        <f>IF(Calc!$B4356,Calc!E4356,"")</f>
        <v/>
      </c>
      <c r="B4356">
        <f>IF(Calc!$B4356,INDEX(MineNames,Calc!C4356),"")</f>
        <v/>
      </c>
      <c r="C4356" s="17">
        <f>IF(Calc!$B4356,Calc!O4356,"")</f>
        <v/>
      </c>
    </row>
    <row r="4357">
      <c r="A4357" s="16">
        <f>IF(Calc!$B4357,Calc!E4357,"")</f>
        <v/>
      </c>
      <c r="B4357">
        <f>IF(Calc!$B4357,INDEX(MineNames,Calc!C4357),"")</f>
        <v/>
      </c>
      <c r="C4357" s="17">
        <f>IF(Calc!$B4357,Calc!O4357,"")</f>
        <v/>
      </c>
    </row>
    <row r="4358">
      <c r="A4358" s="16">
        <f>IF(Calc!$B4358,Calc!E4358,"")</f>
        <v/>
      </c>
      <c r="B4358">
        <f>IF(Calc!$B4358,INDEX(MineNames,Calc!C4358),"")</f>
        <v/>
      </c>
      <c r="C4358" s="17">
        <f>IF(Calc!$B4358,Calc!O4358,"")</f>
        <v/>
      </c>
    </row>
    <row r="4359">
      <c r="A4359" s="16">
        <f>IF(Calc!$B4359,Calc!E4359,"")</f>
        <v/>
      </c>
      <c r="B4359">
        <f>IF(Calc!$B4359,INDEX(MineNames,Calc!C4359),"")</f>
        <v/>
      </c>
      <c r="C4359" s="17">
        <f>IF(Calc!$B4359,Calc!O4359,"")</f>
        <v/>
      </c>
    </row>
    <row r="4360">
      <c r="A4360" s="16">
        <f>IF(Calc!$B4360,Calc!E4360,"")</f>
        <v/>
      </c>
      <c r="B4360">
        <f>IF(Calc!$B4360,INDEX(MineNames,Calc!C4360),"")</f>
        <v/>
      </c>
      <c r="C4360" s="17">
        <f>IF(Calc!$B4360,Calc!O4360,"")</f>
        <v/>
      </c>
    </row>
    <row r="4361">
      <c r="A4361" s="16">
        <f>IF(Calc!$B4361,Calc!E4361,"")</f>
        <v/>
      </c>
      <c r="B4361">
        <f>IF(Calc!$B4361,INDEX(MineNames,Calc!C4361),"")</f>
        <v/>
      </c>
      <c r="C4361" s="17">
        <f>IF(Calc!$B4361,Calc!O4361,"")</f>
        <v/>
      </c>
    </row>
    <row r="4362">
      <c r="A4362" s="16">
        <f>IF(Calc!$B4362,Calc!E4362,"")</f>
        <v/>
      </c>
      <c r="B4362">
        <f>IF(Calc!$B4362,INDEX(MineNames,Calc!C4362),"")</f>
        <v/>
      </c>
      <c r="C4362" s="17">
        <f>IF(Calc!$B4362,Calc!O4362,"")</f>
        <v/>
      </c>
    </row>
    <row r="4363">
      <c r="A4363" s="16">
        <f>IF(Calc!$B4363,Calc!E4363,"")</f>
        <v/>
      </c>
      <c r="B4363">
        <f>IF(Calc!$B4363,INDEX(MineNames,Calc!C4363),"")</f>
        <v/>
      </c>
      <c r="C4363" s="17">
        <f>IF(Calc!$B4363,Calc!O4363,"")</f>
        <v/>
      </c>
    </row>
    <row r="4364">
      <c r="A4364" s="16">
        <f>IF(Calc!$B4364,Calc!E4364,"")</f>
        <v/>
      </c>
      <c r="B4364">
        <f>IF(Calc!$B4364,INDEX(MineNames,Calc!C4364),"")</f>
        <v/>
      </c>
      <c r="C4364" s="17">
        <f>IF(Calc!$B4364,Calc!O4364,"")</f>
        <v/>
      </c>
    </row>
    <row r="4365">
      <c r="A4365" s="16">
        <f>IF(Calc!$B4365,Calc!E4365,"")</f>
        <v/>
      </c>
      <c r="B4365">
        <f>IF(Calc!$B4365,INDEX(MineNames,Calc!C4365),"")</f>
        <v/>
      </c>
      <c r="C4365" s="17">
        <f>IF(Calc!$B4365,Calc!O4365,"")</f>
        <v/>
      </c>
    </row>
    <row r="4366">
      <c r="A4366" s="16">
        <f>IF(Calc!$B4366,Calc!E4366,"")</f>
        <v/>
      </c>
      <c r="B4366">
        <f>IF(Calc!$B4366,INDEX(MineNames,Calc!C4366),"")</f>
        <v/>
      </c>
      <c r="C4366" s="17">
        <f>IF(Calc!$B4366,Calc!O4366,"")</f>
        <v/>
      </c>
    </row>
    <row r="4367">
      <c r="A4367" s="16">
        <f>IF(Calc!$B4367,Calc!E4367,"")</f>
        <v/>
      </c>
      <c r="B4367">
        <f>IF(Calc!$B4367,INDEX(MineNames,Calc!C4367),"")</f>
        <v/>
      </c>
      <c r="C4367" s="17">
        <f>IF(Calc!$B4367,Calc!O4367,"")</f>
        <v/>
      </c>
    </row>
    <row r="4368">
      <c r="A4368" s="16">
        <f>IF(Calc!$B4368,Calc!E4368,"")</f>
        <v/>
      </c>
      <c r="B4368">
        <f>IF(Calc!$B4368,INDEX(MineNames,Calc!C4368),"")</f>
        <v/>
      </c>
      <c r="C4368" s="17">
        <f>IF(Calc!$B4368,Calc!O4368,"")</f>
        <v/>
      </c>
    </row>
    <row r="4369">
      <c r="A4369" s="16">
        <f>IF(Calc!$B4369,Calc!E4369,"")</f>
        <v/>
      </c>
      <c r="B4369">
        <f>IF(Calc!$B4369,INDEX(MineNames,Calc!C4369),"")</f>
        <v/>
      </c>
      <c r="C4369" s="17">
        <f>IF(Calc!$B4369,Calc!O4369,"")</f>
        <v/>
      </c>
    </row>
    <row r="4370">
      <c r="A4370" s="16">
        <f>IF(Calc!$B4370,Calc!E4370,"")</f>
        <v/>
      </c>
      <c r="B4370">
        <f>IF(Calc!$B4370,INDEX(MineNames,Calc!C4370),"")</f>
        <v/>
      </c>
      <c r="C4370" s="17">
        <f>IF(Calc!$B4370,Calc!O4370,"")</f>
        <v/>
      </c>
    </row>
    <row r="4371">
      <c r="A4371" s="16">
        <f>IF(Calc!$B4371,Calc!E4371,"")</f>
        <v/>
      </c>
      <c r="B4371">
        <f>IF(Calc!$B4371,INDEX(MineNames,Calc!C4371),"")</f>
        <v/>
      </c>
      <c r="C4371" s="17">
        <f>IF(Calc!$B4371,Calc!O4371,"")</f>
        <v/>
      </c>
    </row>
    <row r="4372">
      <c r="A4372" s="16">
        <f>IF(Calc!$B4372,Calc!E4372,"")</f>
        <v/>
      </c>
      <c r="B4372">
        <f>IF(Calc!$B4372,INDEX(MineNames,Calc!C4372),"")</f>
        <v/>
      </c>
      <c r="C4372" s="17">
        <f>IF(Calc!$B4372,Calc!O4372,"")</f>
        <v/>
      </c>
    </row>
    <row r="4373">
      <c r="A4373" s="16">
        <f>IF(Calc!$B4373,Calc!E4373,"")</f>
        <v/>
      </c>
      <c r="B4373">
        <f>IF(Calc!$B4373,INDEX(MineNames,Calc!C4373),"")</f>
        <v/>
      </c>
      <c r="C4373" s="17">
        <f>IF(Calc!$B4373,Calc!O4373,"")</f>
        <v/>
      </c>
    </row>
    <row r="4374">
      <c r="A4374" s="16">
        <f>IF(Calc!$B4374,Calc!E4374,"")</f>
        <v/>
      </c>
      <c r="B4374">
        <f>IF(Calc!$B4374,INDEX(MineNames,Calc!C4374),"")</f>
        <v/>
      </c>
      <c r="C4374" s="17">
        <f>IF(Calc!$B4374,Calc!O4374,"")</f>
        <v/>
      </c>
    </row>
    <row r="4375">
      <c r="A4375" s="16">
        <f>IF(Calc!$B4375,Calc!E4375,"")</f>
        <v/>
      </c>
      <c r="B4375">
        <f>IF(Calc!$B4375,INDEX(MineNames,Calc!C4375),"")</f>
        <v/>
      </c>
      <c r="C4375" s="17">
        <f>IF(Calc!$B4375,Calc!O4375,"")</f>
        <v/>
      </c>
    </row>
    <row r="4376">
      <c r="A4376" s="16">
        <f>IF(Calc!$B4376,Calc!E4376,"")</f>
        <v/>
      </c>
      <c r="B4376">
        <f>IF(Calc!$B4376,INDEX(MineNames,Calc!C4376),"")</f>
        <v/>
      </c>
      <c r="C4376" s="17">
        <f>IF(Calc!$B4376,Calc!O4376,"")</f>
        <v/>
      </c>
    </row>
    <row r="4377">
      <c r="A4377" s="16">
        <f>IF(Calc!$B4377,Calc!E4377,"")</f>
        <v/>
      </c>
      <c r="B4377">
        <f>IF(Calc!$B4377,INDEX(MineNames,Calc!C4377),"")</f>
        <v/>
      </c>
      <c r="C4377" s="17">
        <f>IF(Calc!$B4377,Calc!O4377,"")</f>
        <v/>
      </c>
    </row>
    <row r="4378">
      <c r="A4378" s="16">
        <f>IF(Calc!$B4378,Calc!E4378,"")</f>
        <v/>
      </c>
      <c r="B4378">
        <f>IF(Calc!$B4378,INDEX(MineNames,Calc!C4378),"")</f>
        <v/>
      </c>
      <c r="C4378" s="17">
        <f>IF(Calc!$B4378,Calc!O4378,"")</f>
        <v/>
      </c>
    </row>
    <row r="4379">
      <c r="A4379" s="16">
        <f>IF(Calc!$B4379,Calc!E4379,"")</f>
        <v/>
      </c>
      <c r="B4379">
        <f>IF(Calc!$B4379,INDEX(MineNames,Calc!C4379),"")</f>
        <v/>
      </c>
      <c r="C4379" s="17">
        <f>IF(Calc!$B4379,Calc!O4379,"")</f>
        <v/>
      </c>
    </row>
    <row r="4380">
      <c r="A4380" s="16">
        <f>IF(Calc!$B4380,Calc!E4380,"")</f>
        <v/>
      </c>
      <c r="B4380">
        <f>IF(Calc!$B4380,INDEX(MineNames,Calc!C4380),"")</f>
        <v/>
      </c>
      <c r="C4380" s="17">
        <f>IF(Calc!$B4380,Calc!O4380,"")</f>
        <v/>
      </c>
    </row>
    <row r="4381">
      <c r="A4381" s="16">
        <f>IF(Calc!$B4381,Calc!E4381,"")</f>
        <v/>
      </c>
      <c r="B4381">
        <f>IF(Calc!$B4381,INDEX(MineNames,Calc!C4381),"")</f>
        <v/>
      </c>
      <c r="C4381" s="17">
        <f>IF(Calc!$B4381,Calc!O4381,"")</f>
        <v/>
      </c>
    </row>
    <row r="4382">
      <c r="A4382" s="16">
        <f>IF(Calc!$B4382,Calc!E4382,"")</f>
        <v/>
      </c>
      <c r="B4382">
        <f>IF(Calc!$B4382,INDEX(MineNames,Calc!C4382),"")</f>
        <v/>
      </c>
      <c r="C4382" s="17">
        <f>IF(Calc!$B4382,Calc!O4382,"")</f>
        <v/>
      </c>
    </row>
    <row r="4383">
      <c r="A4383" s="16">
        <f>IF(Calc!$B4383,Calc!E4383,"")</f>
        <v/>
      </c>
      <c r="B4383">
        <f>IF(Calc!$B4383,INDEX(MineNames,Calc!C4383),"")</f>
        <v/>
      </c>
      <c r="C4383" s="17">
        <f>IF(Calc!$B4383,Calc!O4383,"")</f>
        <v/>
      </c>
    </row>
    <row r="4384">
      <c r="A4384" s="16">
        <f>IF(Calc!$B4384,Calc!E4384,"")</f>
        <v/>
      </c>
      <c r="B4384">
        <f>IF(Calc!$B4384,INDEX(MineNames,Calc!C4384),"")</f>
        <v/>
      </c>
      <c r="C4384" s="17">
        <f>IF(Calc!$B4384,Calc!O4384,"")</f>
        <v/>
      </c>
    </row>
    <row r="4385">
      <c r="A4385" s="16">
        <f>IF(Calc!$B4385,Calc!E4385,"")</f>
        <v/>
      </c>
      <c r="B4385">
        <f>IF(Calc!$B4385,INDEX(MineNames,Calc!C4385),"")</f>
        <v/>
      </c>
      <c r="C4385" s="17">
        <f>IF(Calc!$B4385,Calc!O4385,"")</f>
        <v/>
      </c>
    </row>
    <row r="4386">
      <c r="A4386" s="16">
        <f>IF(Calc!$B4386,Calc!E4386,"")</f>
        <v/>
      </c>
      <c r="B4386">
        <f>IF(Calc!$B4386,INDEX(MineNames,Calc!C4386),"")</f>
        <v/>
      </c>
      <c r="C4386" s="17">
        <f>IF(Calc!$B4386,Calc!O4386,"")</f>
        <v/>
      </c>
    </row>
    <row r="4387">
      <c r="A4387" s="16">
        <f>IF(Calc!$B4387,Calc!E4387,"")</f>
        <v/>
      </c>
      <c r="B4387">
        <f>IF(Calc!$B4387,INDEX(MineNames,Calc!C4387),"")</f>
        <v/>
      </c>
      <c r="C4387" s="17">
        <f>IF(Calc!$B4387,Calc!O4387,"")</f>
        <v/>
      </c>
    </row>
    <row r="4388">
      <c r="A4388" s="16">
        <f>IF(Calc!$B4388,Calc!E4388,"")</f>
        <v/>
      </c>
      <c r="B4388">
        <f>IF(Calc!$B4388,INDEX(MineNames,Calc!C4388),"")</f>
        <v/>
      </c>
      <c r="C4388" s="17">
        <f>IF(Calc!$B4388,Calc!O4388,"")</f>
        <v/>
      </c>
    </row>
    <row r="4389">
      <c r="A4389" s="16">
        <f>IF(Calc!$B4389,Calc!E4389,"")</f>
        <v/>
      </c>
      <c r="B4389">
        <f>IF(Calc!$B4389,INDEX(MineNames,Calc!C4389),"")</f>
        <v/>
      </c>
      <c r="C4389" s="17">
        <f>IF(Calc!$B4389,Calc!O4389,"")</f>
        <v/>
      </c>
    </row>
    <row r="4390">
      <c r="A4390" s="16">
        <f>IF(Calc!$B4390,Calc!E4390,"")</f>
        <v/>
      </c>
      <c r="B4390">
        <f>IF(Calc!$B4390,INDEX(MineNames,Calc!C4390),"")</f>
        <v/>
      </c>
      <c r="C4390" s="17">
        <f>IF(Calc!$B4390,Calc!O4390,"")</f>
        <v/>
      </c>
    </row>
    <row r="4391">
      <c r="A4391" s="16">
        <f>IF(Calc!$B4391,Calc!E4391,"")</f>
        <v/>
      </c>
      <c r="B4391">
        <f>IF(Calc!$B4391,INDEX(MineNames,Calc!C4391),"")</f>
        <v/>
      </c>
      <c r="C4391" s="17">
        <f>IF(Calc!$B4391,Calc!O4391,"")</f>
        <v/>
      </c>
    </row>
    <row r="4392">
      <c r="A4392" s="16">
        <f>IF(Calc!$B4392,Calc!E4392,"")</f>
        <v/>
      </c>
      <c r="B4392">
        <f>IF(Calc!$B4392,INDEX(MineNames,Calc!C4392),"")</f>
        <v/>
      </c>
      <c r="C4392" s="17">
        <f>IF(Calc!$B4392,Calc!O4392,"")</f>
        <v/>
      </c>
    </row>
    <row r="4393">
      <c r="A4393" s="16">
        <f>IF(Calc!$B4393,Calc!E4393,"")</f>
        <v/>
      </c>
      <c r="B4393">
        <f>IF(Calc!$B4393,INDEX(MineNames,Calc!C4393),"")</f>
        <v/>
      </c>
      <c r="C4393" s="17">
        <f>IF(Calc!$B4393,Calc!O4393,"")</f>
        <v/>
      </c>
    </row>
    <row r="4394">
      <c r="A4394" s="16">
        <f>IF(Calc!$B4394,Calc!E4394,"")</f>
        <v/>
      </c>
      <c r="B4394">
        <f>IF(Calc!$B4394,INDEX(MineNames,Calc!C4394),"")</f>
        <v/>
      </c>
      <c r="C4394" s="17">
        <f>IF(Calc!$B4394,Calc!O4394,"")</f>
        <v/>
      </c>
    </row>
    <row r="4395">
      <c r="A4395" s="16">
        <f>IF(Calc!$B4395,Calc!E4395,"")</f>
        <v/>
      </c>
      <c r="B4395">
        <f>IF(Calc!$B4395,INDEX(MineNames,Calc!C4395),"")</f>
        <v/>
      </c>
      <c r="C4395" s="17">
        <f>IF(Calc!$B4395,Calc!O4395,"")</f>
        <v/>
      </c>
    </row>
    <row r="4396">
      <c r="A4396" s="16">
        <f>IF(Calc!$B4396,Calc!E4396,"")</f>
        <v/>
      </c>
      <c r="B4396">
        <f>IF(Calc!$B4396,INDEX(MineNames,Calc!C4396),"")</f>
        <v/>
      </c>
      <c r="C4396" s="17">
        <f>IF(Calc!$B4396,Calc!O4396,"")</f>
        <v/>
      </c>
    </row>
    <row r="4397">
      <c r="A4397" s="16">
        <f>IF(Calc!$B4397,Calc!E4397,"")</f>
        <v/>
      </c>
      <c r="B4397">
        <f>IF(Calc!$B4397,INDEX(MineNames,Calc!C4397),"")</f>
        <v/>
      </c>
      <c r="C4397" s="17">
        <f>IF(Calc!$B4397,Calc!O4397,"")</f>
        <v/>
      </c>
    </row>
    <row r="4398">
      <c r="A4398" s="16">
        <f>IF(Calc!$B4398,Calc!E4398,"")</f>
        <v/>
      </c>
      <c r="B4398">
        <f>IF(Calc!$B4398,INDEX(MineNames,Calc!C4398),"")</f>
        <v/>
      </c>
      <c r="C4398" s="17">
        <f>IF(Calc!$B4398,Calc!O4398,"")</f>
        <v/>
      </c>
    </row>
    <row r="4399">
      <c r="A4399" s="16">
        <f>IF(Calc!$B4399,Calc!E4399,"")</f>
        <v/>
      </c>
      <c r="B4399">
        <f>IF(Calc!$B4399,INDEX(MineNames,Calc!C4399),"")</f>
        <v/>
      </c>
      <c r="C4399" s="17">
        <f>IF(Calc!$B4399,Calc!O4399,"")</f>
        <v/>
      </c>
    </row>
    <row r="4400">
      <c r="A4400" s="16">
        <f>IF(Calc!$B4400,Calc!E4400,"")</f>
        <v/>
      </c>
      <c r="B4400">
        <f>IF(Calc!$B4400,INDEX(MineNames,Calc!C4400),"")</f>
        <v/>
      </c>
      <c r="C4400" s="17">
        <f>IF(Calc!$B4400,Calc!O4400,"")</f>
        <v/>
      </c>
    </row>
    <row r="4401">
      <c r="A4401" s="16">
        <f>IF(Calc!$B4401,Calc!E4401,"")</f>
        <v/>
      </c>
      <c r="B4401">
        <f>IF(Calc!$B4401,INDEX(MineNames,Calc!C4401),"")</f>
        <v/>
      </c>
      <c r="C4401" s="17">
        <f>IF(Calc!$B4401,Calc!O4401,"")</f>
        <v/>
      </c>
    </row>
    <row r="4402">
      <c r="A4402" s="16">
        <f>IF(Calc!$B4402,Calc!E4402,"")</f>
        <v/>
      </c>
      <c r="B4402">
        <f>IF(Calc!$B4402,INDEX(MineNames,Calc!C4402),"")</f>
        <v/>
      </c>
      <c r="C4402" s="17">
        <f>IF(Calc!$B4402,Calc!O4402,"")</f>
        <v/>
      </c>
    </row>
    <row r="4403">
      <c r="A4403" s="16">
        <f>IF(Calc!$B4403,Calc!E4403,"")</f>
        <v/>
      </c>
      <c r="B4403">
        <f>IF(Calc!$B4403,INDEX(MineNames,Calc!C4403),"")</f>
        <v/>
      </c>
      <c r="C4403" s="17">
        <f>IF(Calc!$B4403,Calc!O4403,"")</f>
        <v/>
      </c>
    </row>
    <row r="4404">
      <c r="A4404" s="16">
        <f>IF(Calc!$B4404,Calc!E4404,"")</f>
        <v/>
      </c>
      <c r="B4404">
        <f>IF(Calc!$B4404,INDEX(MineNames,Calc!C4404),"")</f>
        <v/>
      </c>
      <c r="C4404" s="17">
        <f>IF(Calc!$B4404,Calc!O4404,"")</f>
        <v/>
      </c>
    </row>
    <row r="4405">
      <c r="A4405" s="16">
        <f>IF(Calc!$B4405,Calc!E4405,"")</f>
        <v/>
      </c>
      <c r="B4405">
        <f>IF(Calc!$B4405,INDEX(MineNames,Calc!C4405),"")</f>
        <v/>
      </c>
      <c r="C4405" s="17">
        <f>IF(Calc!$B4405,Calc!O4405,"")</f>
        <v/>
      </c>
    </row>
    <row r="4406">
      <c r="A4406" s="16">
        <f>IF(Calc!$B4406,Calc!E4406,"")</f>
        <v/>
      </c>
      <c r="B4406">
        <f>IF(Calc!$B4406,INDEX(MineNames,Calc!C4406),"")</f>
        <v/>
      </c>
      <c r="C4406" s="17">
        <f>IF(Calc!$B4406,Calc!O4406,"")</f>
        <v/>
      </c>
    </row>
    <row r="4407">
      <c r="A4407" s="16">
        <f>IF(Calc!$B4407,Calc!E4407,"")</f>
        <v/>
      </c>
      <c r="B4407">
        <f>IF(Calc!$B4407,INDEX(MineNames,Calc!C4407),"")</f>
        <v/>
      </c>
      <c r="C4407" s="17">
        <f>IF(Calc!$B4407,Calc!O4407,"")</f>
        <v/>
      </c>
    </row>
    <row r="4408">
      <c r="A4408" s="16">
        <f>IF(Calc!$B4408,Calc!E4408,"")</f>
        <v/>
      </c>
      <c r="B4408">
        <f>IF(Calc!$B4408,INDEX(MineNames,Calc!C4408),"")</f>
        <v/>
      </c>
      <c r="C4408" s="17">
        <f>IF(Calc!$B4408,Calc!O4408,"")</f>
        <v/>
      </c>
    </row>
    <row r="4409">
      <c r="A4409" s="16">
        <f>IF(Calc!$B4409,Calc!E4409,"")</f>
        <v/>
      </c>
      <c r="B4409">
        <f>IF(Calc!$B4409,INDEX(MineNames,Calc!C4409),"")</f>
        <v/>
      </c>
      <c r="C4409" s="17">
        <f>IF(Calc!$B4409,Calc!O4409,"")</f>
        <v/>
      </c>
    </row>
    <row r="4410">
      <c r="A4410" s="16">
        <f>IF(Calc!$B4410,Calc!E4410,"")</f>
        <v/>
      </c>
      <c r="B4410">
        <f>IF(Calc!$B4410,INDEX(MineNames,Calc!C4410),"")</f>
        <v/>
      </c>
      <c r="C4410" s="17">
        <f>IF(Calc!$B4410,Calc!O4410,"")</f>
        <v/>
      </c>
    </row>
    <row r="4411">
      <c r="A4411" s="16">
        <f>IF(Calc!$B4411,Calc!E4411,"")</f>
        <v/>
      </c>
      <c r="B4411">
        <f>IF(Calc!$B4411,INDEX(MineNames,Calc!C4411),"")</f>
        <v/>
      </c>
      <c r="C4411" s="17">
        <f>IF(Calc!$B4411,Calc!O4411,"")</f>
        <v/>
      </c>
    </row>
    <row r="4412">
      <c r="A4412" s="16">
        <f>IF(Calc!$B4412,Calc!E4412,"")</f>
        <v/>
      </c>
      <c r="B4412">
        <f>IF(Calc!$B4412,INDEX(MineNames,Calc!C4412),"")</f>
        <v/>
      </c>
      <c r="C4412" s="17">
        <f>IF(Calc!$B4412,Calc!O4412,"")</f>
        <v/>
      </c>
    </row>
    <row r="4413">
      <c r="A4413" s="16">
        <f>IF(Calc!$B4413,Calc!E4413,"")</f>
        <v/>
      </c>
      <c r="B4413">
        <f>IF(Calc!$B4413,INDEX(MineNames,Calc!C4413),"")</f>
        <v/>
      </c>
      <c r="C4413" s="17">
        <f>IF(Calc!$B4413,Calc!O4413,"")</f>
        <v/>
      </c>
    </row>
    <row r="4414">
      <c r="A4414" s="16">
        <f>IF(Calc!$B4414,Calc!E4414,"")</f>
        <v/>
      </c>
      <c r="B4414">
        <f>IF(Calc!$B4414,INDEX(MineNames,Calc!C4414),"")</f>
        <v/>
      </c>
      <c r="C4414" s="17">
        <f>IF(Calc!$B4414,Calc!O4414,"")</f>
        <v/>
      </c>
    </row>
    <row r="4415">
      <c r="A4415" s="16">
        <f>IF(Calc!$B4415,Calc!E4415,"")</f>
        <v/>
      </c>
      <c r="B4415">
        <f>IF(Calc!$B4415,INDEX(MineNames,Calc!C4415),"")</f>
        <v/>
      </c>
      <c r="C4415" s="17">
        <f>IF(Calc!$B4415,Calc!O4415,"")</f>
        <v/>
      </c>
    </row>
    <row r="4416">
      <c r="A4416" s="16">
        <f>IF(Calc!$B4416,Calc!E4416,"")</f>
        <v/>
      </c>
      <c r="B4416">
        <f>IF(Calc!$B4416,INDEX(MineNames,Calc!C4416),"")</f>
        <v/>
      </c>
      <c r="C4416" s="17">
        <f>IF(Calc!$B4416,Calc!O4416,"")</f>
        <v/>
      </c>
    </row>
    <row r="4417">
      <c r="A4417" s="16">
        <f>IF(Calc!$B4417,Calc!E4417,"")</f>
        <v/>
      </c>
      <c r="B4417">
        <f>IF(Calc!$B4417,INDEX(MineNames,Calc!C4417),"")</f>
        <v/>
      </c>
      <c r="C4417" s="17">
        <f>IF(Calc!$B4417,Calc!O4417,"")</f>
        <v/>
      </c>
    </row>
    <row r="4418">
      <c r="A4418" s="16">
        <f>IF(Calc!$B4418,Calc!E4418,"")</f>
        <v/>
      </c>
      <c r="B4418">
        <f>IF(Calc!$B4418,INDEX(MineNames,Calc!C4418),"")</f>
        <v/>
      </c>
      <c r="C4418" s="17">
        <f>IF(Calc!$B4418,Calc!O4418,"")</f>
        <v/>
      </c>
    </row>
    <row r="4419">
      <c r="A4419" s="16">
        <f>IF(Calc!$B4419,Calc!E4419,"")</f>
        <v/>
      </c>
      <c r="B4419">
        <f>IF(Calc!$B4419,INDEX(MineNames,Calc!C4419),"")</f>
        <v/>
      </c>
      <c r="C4419" s="17">
        <f>IF(Calc!$B4419,Calc!O4419,"")</f>
        <v/>
      </c>
    </row>
    <row r="4420">
      <c r="A4420" s="16">
        <f>IF(Calc!$B4420,Calc!E4420,"")</f>
        <v/>
      </c>
      <c r="B4420">
        <f>IF(Calc!$B4420,INDEX(MineNames,Calc!C4420),"")</f>
        <v/>
      </c>
      <c r="C4420" s="17">
        <f>IF(Calc!$B4420,Calc!O4420,"")</f>
        <v/>
      </c>
    </row>
    <row r="4421">
      <c r="A4421" s="16">
        <f>IF(Calc!$B4421,Calc!E4421,"")</f>
        <v/>
      </c>
      <c r="B4421">
        <f>IF(Calc!$B4421,INDEX(MineNames,Calc!C4421),"")</f>
        <v/>
      </c>
      <c r="C4421" s="17">
        <f>IF(Calc!$B4421,Calc!O4421,"")</f>
        <v/>
      </c>
    </row>
    <row r="4422">
      <c r="A4422" s="16">
        <f>IF(Calc!$B4422,Calc!E4422,"")</f>
        <v/>
      </c>
      <c r="B4422">
        <f>IF(Calc!$B4422,INDEX(MineNames,Calc!C4422),"")</f>
        <v/>
      </c>
      <c r="C4422" s="17">
        <f>IF(Calc!$B4422,Calc!O4422,"")</f>
        <v/>
      </c>
    </row>
    <row r="4423">
      <c r="A4423" s="16">
        <f>IF(Calc!$B4423,Calc!E4423,"")</f>
        <v/>
      </c>
      <c r="B4423">
        <f>IF(Calc!$B4423,INDEX(MineNames,Calc!C4423),"")</f>
        <v/>
      </c>
      <c r="C4423" s="17">
        <f>IF(Calc!$B4423,Calc!O4423,"")</f>
        <v/>
      </c>
    </row>
    <row r="4424">
      <c r="A4424" s="16">
        <f>IF(Calc!$B4424,Calc!E4424,"")</f>
        <v/>
      </c>
      <c r="B4424">
        <f>IF(Calc!$B4424,INDEX(MineNames,Calc!C4424),"")</f>
        <v/>
      </c>
      <c r="C4424" s="17">
        <f>IF(Calc!$B4424,Calc!O4424,"")</f>
        <v/>
      </c>
    </row>
    <row r="4425">
      <c r="A4425" s="16">
        <f>IF(Calc!$B4425,Calc!E4425,"")</f>
        <v/>
      </c>
      <c r="B4425">
        <f>IF(Calc!$B4425,INDEX(MineNames,Calc!C4425),"")</f>
        <v/>
      </c>
      <c r="C4425" s="17">
        <f>IF(Calc!$B4425,Calc!O4425,"")</f>
        <v/>
      </c>
    </row>
    <row r="4426">
      <c r="A4426" s="16">
        <f>IF(Calc!$B4426,Calc!E4426,"")</f>
        <v/>
      </c>
      <c r="B4426">
        <f>IF(Calc!$B4426,INDEX(MineNames,Calc!C4426),"")</f>
        <v/>
      </c>
      <c r="C4426" s="17">
        <f>IF(Calc!$B4426,Calc!O4426,"")</f>
        <v/>
      </c>
    </row>
    <row r="4427">
      <c r="A4427" s="16">
        <f>IF(Calc!$B4427,Calc!E4427,"")</f>
        <v/>
      </c>
      <c r="B4427">
        <f>IF(Calc!$B4427,INDEX(MineNames,Calc!C4427),"")</f>
        <v/>
      </c>
      <c r="C4427" s="17">
        <f>IF(Calc!$B4427,Calc!O4427,"")</f>
        <v/>
      </c>
    </row>
    <row r="4428">
      <c r="A4428" s="16">
        <f>IF(Calc!$B4428,Calc!E4428,"")</f>
        <v/>
      </c>
      <c r="B4428">
        <f>IF(Calc!$B4428,INDEX(MineNames,Calc!C4428),"")</f>
        <v/>
      </c>
      <c r="C4428" s="17">
        <f>IF(Calc!$B4428,Calc!O4428,"")</f>
        <v/>
      </c>
    </row>
    <row r="4429">
      <c r="A4429" s="16">
        <f>IF(Calc!$B4429,Calc!E4429,"")</f>
        <v/>
      </c>
      <c r="B4429">
        <f>IF(Calc!$B4429,INDEX(MineNames,Calc!C4429),"")</f>
        <v/>
      </c>
      <c r="C4429" s="17">
        <f>IF(Calc!$B4429,Calc!O4429,"")</f>
        <v/>
      </c>
    </row>
    <row r="4430">
      <c r="A4430" s="16">
        <f>IF(Calc!$B4430,Calc!E4430,"")</f>
        <v/>
      </c>
      <c r="B4430">
        <f>IF(Calc!$B4430,INDEX(MineNames,Calc!C4430),"")</f>
        <v/>
      </c>
      <c r="C4430" s="17">
        <f>IF(Calc!$B4430,Calc!O4430,"")</f>
        <v/>
      </c>
    </row>
    <row r="4431">
      <c r="A4431" s="16">
        <f>IF(Calc!$B4431,Calc!E4431,"")</f>
        <v/>
      </c>
      <c r="B4431">
        <f>IF(Calc!$B4431,INDEX(MineNames,Calc!C4431),"")</f>
        <v/>
      </c>
      <c r="C4431" s="17">
        <f>IF(Calc!$B4431,Calc!O4431,"")</f>
        <v/>
      </c>
    </row>
    <row r="4432">
      <c r="A4432" s="16">
        <f>IF(Calc!$B4432,Calc!E4432,"")</f>
        <v/>
      </c>
      <c r="B4432">
        <f>IF(Calc!$B4432,INDEX(MineNames,Calc!C4432),"")</f>
        <v/>
      </c>
      <c r="C4432" s="17">
        <f>IF(Calc!$B4432,Calc!O4432,"")</f>
        <v/>
      </c>
    </row>
    <row r="4433">
      <c r="A4433" s="16">
        <f>IF(Calc!$B4433,Calc!E4433,"")</f>
        <v/>
      </c>
      <c r="B4433">
        <f>IF(Calc!$B4433,INDEX(MineNames,Calc!C4433),"")</f>
        <v/>
      </c>
      <c r="C4433" s="17">
        <f>IF(Calc!$B4433,Calc!O4433,"")</f>
        <v/>
      </c>
    </row>
    <row r="4434">
      <c r="A4434" s="16">
        <f>IF(Calc!$B4434,Calc!E4434,"")</f>
        <v/>
      </c>
      <c r="B4434">
        <f>IF(Calc!$B4434,INDEX(MineNames,Calc!C4434),"")</f>
        <v/>
      </c>
      <c r="C4434" s="17">
        <f>IF(Calc!$B4434,Calc!O4434,"")</f>
        <v/>
      </c>
    </row>
    <row r="4435">
      <c r="A4435" s="16">
        <f>IF(Calc!$B4435,Calc!E4435,"")</f>
        <v/>
      </c>
      <c r="B4435">
        <f>IF(Calc!$B4435,INDEX(MineNames,Calc!C4435),"")</f>
        <v/>
      </c>
      <c r="C4435" s="17">
        <f>IF(Calc!$B4435,Calc!O4435,"")</f>
        <v/>
      </c>
    </row>
    <row r="4436">
      <c r="A4436" s="16">
        <f>IF(Calc!$B4436,Calc!E4436,"")</f>
        <v/>
      </c>
      <c r="B4436">
        <f>IF(Calc!$B4436,INDEX(MineNames,Calc!C4436),"")</f>
        <v/>
      </c>
      <c r="C4436" s="17">
        <f>IF(Calc!$B4436,Calc!O4436,"")</f>
        <v/>
      </c>
    </row>
    <row r="4437">
      <c r="A4437" s="16">
        <f>IF(Calc!$B4437,Calc!E4437,"")</f>
        <v/>
      </c>
      <c r="B4437">
        <f>IF(Calc!$B4437,INDEX(MineNames,Calc!C4437),"")</f>
        <v/>
      </c>
      <c r="C4437" s="17">
        <f>IF(Calc!$B4437,Calc!O4437,"")</f>
        <v/>
      </c>
    </row>
    <row r="4438">
      <c r="A4438" s="16">
        <f>IF(Calc!$B4438,Calc!E4438,"")</f>
        <v/>
      </c>
      <c r="B4438">
        <f>IF(Calc!$B4438,INDEX(MineNames,Calc!C4438),"")</f>
        <v/>
      </c>
      <c r="C4438" s="17">
        <f>IF(Calc!$B4438,Calc!O4438,"")</f>
        <v/>
      </c>
    </row>
    <row r="4439">
      <c r="A4439" s="16">
        <f>IF(Calc!$B4439,Calc!E4439,"")</f>
        <v/>
      </c>
      <c r="B4439">
        <f>IF(Calc!$B4439,INDEX(MineNames,Calc!C4439),"")</f>
        <v/>
      </c>
      <c r="C4439" s="17">
        <f>IF(Calc!$B4439,Calc!O4439,"")</f>
        <v/>
      </c>
    </row>
    <row r="4440">
      <c r="A4440" s="16">
        <f>IF(Calc!$B4440,Calc!E4440,"")</f>
        <v/>
      </c>
      <c r="B4440">
        <f>IF(Calc!$B4440,INDEX(MineNames,Calc!C4440),"")</f>
        <v/>
      </c>
      <c r="C4440" s="17">
        <f>IF(Calc!$B4440,Calc!O4440,"")</f>
        <v/>
      </c>
    </row>
    <row r="4441">
      <c r="A4441" s="16">
        <f>IF(Calc!$B4441,Calc!E4441,"")</f>
        <v/>
      </c>
      <c r="B4441">
        <f>IF(Calc!$B4441,INDEX(MineNames,Calc!C4441),"")</f>
        <v/>
      </c>
      <c r="C4441" s="17">
        <f>IF(Calc!$B4441,Calc!O4441,"")</f>
        <v/>
      </c>
    </row>
    <row r="4442">
      <c r="A4442" s="16">
        <f>IF(Calc!$B4442,Calc!E4442,"")</f>
        <v/>
      </c>
      <c r="B4442">
        <f>IF(Calc!$B4442,INDEX(MineNames,Calc!C4442),"")</f>
        <v/>
      </c>
      <c r="C4442" s="17">
        <f>IF(Calc!$B4442,Calc!O4442,"")</f>
        <v/>
      </c>
    </row>
    <row r="4443">
      <c r="A4443" s="16">
        <f>IF(Calc!$B4443,Calc!E4443,"")</f>
        <v/>
      </c>
      <c r="B4443">
        <f>IF(Calc!$B4443,INDEX(MineNames,Calc!C4443),"")</f>
        <v/>
      </c>
      <c r="C4443" s="17">
        <f>IF(Calc!$B4443,Calc!O4443,"")</f>
        <v/>
      </c>
    </row>
    <row r="4444">
      <c r="A4444" s="16">
        <f>IF(Calc!$B4444,Calc!E4444,"")</f>
        <v/>
      </c>
      <c r="B4444">
        <f>IF(Calc!$B4444,INDEX(MineNames,Calc!C4444),"")</f>
        <v/>
      </c>
      <c r="C4444" s="17">
        <f>IF(Calc!$B4444,Calc!O4444,"")</f>
        <v/>
      </c>
    </row>
    <row r="4445">
      <c r="A4445" s="16">
        <f>IF(Calc!$B4445,Calc!E4445,"")</f>
        <v/>
      </c>
      <c r="B4445">
        <f>IF(Calc!$B4445,INDEX(MineNames,Calc!C4445),"")</f>
        <v/>
      </c>
      <c r="C4445" s="17">
        <f>IF(Calc!$B4445,Calc!O4445,"")</f>
        <v/>
      </c>
    </row>
    <row r="4446">
      <c r="A4446" s="16">
        <f>IF(Calc!$B4446,Calc!E4446,"")</f>
        <v/>
      </c>
      <c r="B4446">
        <f>IF(Calc!$B4446,INDEX(MineNames,Calc!C4446),"")</f>
        <v/>
      </c>
      <c r="C4446" s="17">
        <f>IF(Calc!$B4446,Calc!O4446,"")</f>
        <v/>
      </c>
    </row>
    <row r="4447">
      <c r="A4447" s="16">
        <f>IF(Calc!$B4447,Calc!E4447,"")</f>
        <v/>
      </c>
      <c r="B4447">
        <f>IF(Calc!$B4447,INDEX(MineNames,Calc!C4447),"")</f>
        <v/>
      </c>
      <c r="C4447" s="17">
        <f>IF(Calc!$B4447,Calc!O4447,"")</f>
        <v/>
      </c>
    </row>
    <row r="4448">
      <c r="A4448" s="16">
        <f>IF(Calc!$B4448,Calc!E4448,"")</f>
        <v/>
      </c>
      <c r="B4448">
        <f>IF(Calc!$B4448,INDEX(MineNames,Calc!C4448),"")</f>
        <v/>
      </c>
      <c r="C4448" s="17">
        <f>IF(Calc!$B4448,Calc!O4448,"")</f>
        <v/>
      </c>
    </row>
    <row r="4449">
      <c r="A4449" s="16">
        <f>IF(Calc!$B4449,Calc!E4449,"")</f>
        <v/>
      </c>
      <c r="B4449">
        <f>IF(Calc!$B4449,INDEX(MineNames,Calc!C4449),"")</f>
        <v/>
      </c>
      <c r="C4449" s="17">
        <f>IF(Calc!$B4449,Calc!O4449,"")</f>
        <v/>
      </c>
    </row>
    <row r="4450">
      <c r="A4450" s="16">
        <f>IF(Calc!$B4450,Calc!E4450,"")</f>
        <v/>
      </c>
      <c r="B4450">
        <f>IF(Calc!$B4450,INDEX(MineNames,Calc!C4450),"")</f>
        <v/>
      </c>
      <c r="C4450" s="17">
        <f>IF(Calc!$B4450,Calc!O4450,"")</f>
        <v/>
      </c>
    </row>
    <row r="4451">
      <c r="A4451" s="16">
        <f>IF(Calc!$B4451,Calc!E4451,"")</f>
        <v/>
      </c>
      <c r="B4451">
        <f>IF(Calc!$B4451,INDEX(MineNames,Calc!C4451),"")</f>
        <v/>
      </c>
      <c r="C4451" s="17">
        <f>IF(Calc!$B4451,Calc!O4451,"")</f>
        <v/>
      </c>
    </row>
    <row r="4452">
      <c r="A4452" s="16">
        <f>IF(Calc!$B4452,Calc!E4452,"")</f>
        <v/>
      </c>
      <c r="B4452">
        <f>IF(Calc!$B4452,INDEX(MineNames,Calc!C4452),"")</f>
        <v/>
      </c>
      <c r="C4452" s="17">
        <f>IF(Calc!$B4452,Calc!O4452,"")</f>
        <v/>
      </c>
    </row>
    <row r="4453">
      <c r="A4453" s="16">
        <f>IF(Calc!$B4453,Calc!E4453,"")</f>
        <v/>
      </c>
      <c r="B4453">
        <f>IF(Calc!$B4453,INDEX(MineNames,Calc!C4453),"")</f>
        <v/>
      </c>
      <c r="C4453" s="17">
        <f>IF(Calc!$B4453,Calc!O4453,"")</f>
        <v/>
      </c>
    </row>
    <row r="4454">
      <c r="A4454" s="16">
        <f>IF(Calc!$B4454,Calc!E4454,"")</f>
        <v/>
      </c>
      <c r="B4454">
        <f>IF(Calc!$B4454,INDEX(MineNames,Calc!C4454),"")</f>
        <v/>
      </c>
      <c r="C4454" s="17">
        <f>IF(Calc!$B4454,Calc!O4454,"")</f>
        <v/>
      </c>
    </row>
    <row r="4455">
      <c r="A4455" s="16">
        <f>IF(Calc!$B4455,Calc!E4455,"")</f>
        <v/>
      </c>
      <c r="B4455">
        <f>IF(Calc!$B4455,INDEX(MineNames,Calc!C4455),"")</f>
        <v/>
      </c>
      <c r="C4455" s="17">
        <f>IF(Calc!$B4455,Calc!O4455,"")</f>
        <v/>
      </c>
    </row>
    <row r="4456">
      <c r="A4456" s="16">
        <f>IF(Calc!$B4456,Calc!E4456,"")</f>
        <v/>
      </c>
      <c r="B4456">
        <f>IF(Calc!$B4456,INDEX(MineNames,Calc!C4456),"")</f>
        <v/>
      </c>
      <c r="C4456" s="17">
        <f>IF(Calc!$B4456,Calc!O4456,"")</f>
        <v/>
      </c>
    </row>
    <row r="4457">
      <c r="A4457" s="16">
        <f>IF(Calc!$B4457,Calc!E4457,"")</f>
        <v/>
      </c>
      <c r="B4457">
        <f>IF(Calc!$B4457,INDEX(MineNames,Calc!C4457),"")</f>
        <v/>
      </c>
      <c r="C4457" s="17">
        <f>IF(Calc!$B4457,Calc!O4457,"")</f>
        <v/>
      </c>
    </row>
    <row r="4458">
      <c r="A4458" s="16">
        <f>IF(Calc!$B4458,Calc!E4458,"")</f>
        <v/>
      </c>
      <c r="B4458">
        <f>IF(Calc!$B4458,INDEX(MineNames,Calc!C4458),"")</f>
        <v/>
      </c>
      <c r="C4458" s="17">
        <f>IF(Calc!$B4458,Calc!O4458,"")</f>
        <v/>
      </c>
    </row>
    <row r="4459">
      <c r="A4459" s="16">
        <f>IF(Calc!$B4459,Calc!E4459,"")</f>
        <v/>
      </c>
      <c r="B4459">
        <f>IF(Calc!$B4459,INDEX(MineNames,Calc!C4459),"")</f>
        <v/>
      </c>
      <c r="C4459" s="17">
        <f>IF(Calc!$B4459,Calc!O4459,"")</f>
        <v/>
      </c>
    </row>
    <row r="4460">
      <c r="A4460" s="16">
        <f>IF(Calc!$B4460,Calc!E4460,"")</f>
        <v/>
      </c>
      <c r="B4460">
        <f>IF(Calc!$B4460,INDEX(MineNames,Calc!C4460),"")</f>
        <v/>
      </c>
      <c r="C4460" s="17">
        <f>IF(Calc!$B4460,Calc!O4460,"")</f>
        <v/>
      </c>
    </row>
    <row r="4461">
      <c r="A4461" s="16">
        <f>IF(Calc!$B4461,Calc!E4461,"")</f>
        <v/>
      </c>
      <c r="B4461">
        <f>IF(Calc!$B4461,INDEX(MineNames,Calc!C4461),"")</f>
        <v/>
      </c>
      <c r="C4461" s="17">
        <f>IF(Calc!$B4461,Calc!O4461,"")</f>
        <v/>
      </c>
    </row>
    <row r="4462">
      <c r="A4462" s="16">
        <f>IF(Calc!$B4462,Calc!E4462,"")</f>
        <v/>
      </c>
      <c r="B4462">
        <f>IF(Calc!$B4462,INDEX(MineNames,Calc!C4462),"")</f>
        <v/>
      </c>
      <c r="C4462" s="17">
        <f>IF(Calc!$B4462,Calc!O4462,"")</f>
        <v/>
      </c>
    </row>
    <row r="4463">
      <c r="A4463" s="16">
        <f>IF(Calc!$B4463,Calc!E4463,"")</f>
        <v/>
      </c>
      <c r="B4463">
        <f>IF(Calc!$B4463,INDEX(MineNames,Calc!C4463),"")</f>
        <v/>
      </c>
      <c r="C4463" s="17">
        <f>IF(Calc!$B4463,Calc!O4463,"")</f>
        <v/>
      </c>
    </row>
    <row r="4464">
      <c r="A4464" s="16">
        <f>IF(Calc!$B4464,Calc!E4464,"")</f>
        <v/>
      </c>
      <c r="B4464">
        <f>IF(Calc!$B4464,INDEX(MineNames,Calc!C4464),"")</f>
        <v/>
      </c>
      <c r="C4464" s="17">
        <f>IF(Calc!$B4464,Calc!O4464,"")</f>
        <v/>
      </c>
    </row>
    <row r="4465">
      <c r="A4465" s="16">
        <f>IF(Calc!$B4465,Calc!E4465,"")</f>
        <v/>
      </c>
      <c r="B4465">
        <f>IF(Calc!$B4465,INDEX(MineNames,Calc!C4465),"")</f>
        <v/>
      </c>
      <c r="C4465" s="17">
        <f>IF(Calc!$B4465,Calc!O4465,"")</f>
        <v/>
      </c>
    </row>
    <row r="4466">
      <c r="A4466" s="16">
        <f>IF(Calc!$B4466,Calc!E4466,"")</f>
        <v/>
      </c>
      <c r="B4466">
        <f>IF(Calc!$B4466,INDEX(MineNames,Calc!C4466),"")</f>
        <v/>
      </c>
      <c r="C4466" s="17">
        <f>IF(Calc!$B4466,Calc!O4466,"")</f>
        <v/>
      </c>
    </row>
    <row r="4467">
      <c r="A4467" s="16">
        <f>IF(Calc!$B4467,Calc!E4467,"")</f>
        <v/>
      </c>
      <c r="B4467">
        <f>IF(Calc!$B4467,INDEX(MineNames,Calc!C4467),"")</f>
        <v/>
      </c>
      <c r="C4467" s="17">
        <f>IF(Calc!$B4467,Calc!O4467,"")</f>
        <v/>
      </c>
    </row>
    <row r="4468">
      <c r="A4468" s="16">
        <f>IF(Calc!$B4468,Calc!E4468,"")</f>
        <v/>
      </c>
      <c r="B4468">
        <f>IF(Calc!$B4468,INDEX(MineNames,Calc!C4468),"")</f>
        <v/>
      </c>
      <c r="C4468" s="17">
        <f>IF(Calc!$B4468,Calc!O4468,"")</f>
        <v/>
      </c>
    </row>
    <row r="4469">
      <c r="A4469" s="16">
        <f>IF(Calc!$B4469,Calc!E4469,"")</f>
        <v/>
      </c>
      <c r="B4469">
        <f>IF(Calc!$B4469,INDEX(MineNames,Calc!C4469),"")</f>
        <v/>
      </c>
      <c r="C4469" s="17">
        <f>IF(Calc!$B4469,Calc!O4469,"")</f>
        <v/>
      </c>
    </row>
    <row r="4470">
      <c r="A4470" s="16">
        <f>IF(Calc!$B4470,Calc!E4470,"")</f>
        <v/>
      </c>
      <c r="B4470">
        <f>IF(Calc!$B4470,INDEX(MineNames,Calc!C4470),"")</f>
        <v/>
      </c>
      <c r="C4470" s="17">
        <f>IF(Calc!$B4470,Calc!O4470,"")</f>
        <v/>
      </c>
    </row>
    <row r="4471">
      <c r="A4471" s="16">
        <f>IF(Calc!$B4471,Calc!E4471,"")</f>
        <v/>
      </c>
      <c r="B4471">
        <f>IF(Calc!$B4471,INDEX(MineNames,Calc!C4471),"")</f>
        <v/>
      </c>
      <c r="C4471" s="17">
        <f>IF(Calc!$B4471,Calc!O4471,"")</f>
        <v/>
      </c>
    </row>
    <row r="4472">
      <c r="A4472" s="16">
        <f>IF(Calc!$B4472,Calc!E4472,"")</f>
        <v/>
      </c>
      <c r="B4472">
        <f>IF(Calc!$B4472,INDEX(MineNames,Calc!C4472),"")</f>
        <v/>
      </c>
      <c r="C4472" s="17">
        <f>IF(Calc!$B4472,Calc!O4472,"")</f>
        <v/>
      </c>
    </row>
    <row r="4473">
      <c r="A4473" s="16">
        <f>IF(Calc!$B4473,Calc!E4473,"")</f>
        <v/>
      </c>
      <c r="B4473">
        <f>IF(Calc!$B4473,INDEX(MineNames,Calc!C4473),"")</f>
        <v/>
      </c>
      <c r="C4473" s="17">
        <f>IF(Calc!$B4473,Calc!O4473,"")</f>
        <v/>
      </c>
    </row>
    <row r="4474">
      <c r="A4474" s="16">
        <f>IF(Calc!$B4474,Calc!E4474,"")</f>
        <v/>
      </c>
      <c r="B4474">
        <f>IF(Calc!$B4474,INDEX(MineNames,Calc!C4474),"")</f>
        <v/>
      </c>
      <c r="C4474" s="17">
        <f>IF(Calc!$B4474,Calc!O4474,"")</f>
        <v/>
      </c>
    </row>
    <row r="4475">
      <c r="A4475" s="16">
        <f>IF(Calc!$B4475,Calc!E4475,"")</f>
        <v/>
      </c>
      <c r="B4475">
        <f>IF(Calc!$B4475,INDEX(MineNames,Calc!C4475),"")</f>
        <v/>
      </c>
      <c r="C4475" s="17">
        <f>IF(Calc!$B4475,Calc!O4475,"")</f>
        <v/>
      </c>
    </row>
    <row r="4476">
      <c r="A4476" s="16">
        <f>IF(Calc!$B4476,Calc!E4476,"")</f>
        <v/>
      </c>
      <c r="B4476">
        <f>IF(Calc!$B4476,INDEX(MineNames,Calc!C4476),"")</f>
        <v/>
      </c>
      <c r="C4476" s="17">
        <f>IF(Calc!$B4476,Calc!O4476,"")</f>
        <v/>
      </c>
    </row>
    <row r="4477">
      <c r="A4477" s="16">
        <f>IF(Calc!$B4477,Calc!E4477,"")</f>
        <v/>
      </c>
      <c r="B4477">
        <f>IF(Calc!$B4477,INDEX(MineNames,Calc!C4477),"")</f>
        <v/>
      </c>
      <c r="C4477" s="17">
        <f>IF(Calc!$B4477,Calc!O4477,"")</f>
        <v/>
      </c>
    </row>
    <row r="4478">
      <c r="A4478" s="16">
        <f>IF(Calc!$B4478,Calc!E4478,"")</f>
        <v/>
      </c>
      <c r="B4478">
        <f>IF(Calc!$B4478,INDEX(MineNames,Calc!C4478),"")</f>
        <v/>
      </c>
      <c r="C4478" s="17">
        <f>IF(Calc!$B4478,Calc!O4478,"")</f>
        <v/>
      </c>
    </row>
    <row r="4479">
      <c r="A4479" s="16">
        <f>IF(Calc!$B4479,Calc!E4479,"")</f>
        <v/>
      </c>
      <c r="B4479">
        <f>IF(Calc!$B4479,INDEX(MineNames,Calc!C4479),"")</f>
        <v/>
      </c>
      <c r="C4479" s="17">
        <f>IF(Calc!$B4479,Calc!O4479,"")</f>
        <v/>
      </c>
    </row>
    <row r="4480">
      <c r="A4480" s="16">
        <f>IF(Calc!$B4480,Calc!E4480,"")</f>
        <v/>
      </c>
      <c r="B4480">
        <f>IF(Calc!$B4480,INDEX(MineNames,Calc!C4480),"")</f>
        <v/>
      </c>
      <c r="C4480" s="17">
        <f>IF(Calc!$B4480,Calc!O4480,"")</f>
        <v/>
      </c>
    </row>
    <row r="4481">
      <c r="A4481" s="16">
        <f>IF(Calc!$B4481,Calc!E4481,"")</f>
        <v/>
      </c>
      <c r="B4481">
        <f>IF(Calc!$B4481,INDEX(MineNames,Calc!C4481),"")</f>
        <v/>
      </c>
      <c r="C4481" s="17">
        <f>IF(Calc!$B4481,Calc!O4481,"")</f>
        <v/>
      </c>
    </row>
    <row r="4482">
      <c r="A4482" s="16">
        <f>IF(Calc!$B4482,Calc!E4482,"")</f>
        <v/>
      </c>
      <c r="B4482">
        <f>IF(Calc!$B4482,INDEX(MineNames,Calc!C4482),"")</f>
        <v/>
      </c>
      <c r="C4482" s="17">
        <f>IF(Calc!$B4482,Calc!O4482,"")</f>
        <v/>
      </c>
    </row>
    <row r="4483">
      <c r="A4483" s="16">
        <f>IF(Calc!$B4483,Calc!E4483,"")</f>
        <v/>
      </c>
      <c r="B4483">
        <f>IF(Calc!$B4483,INDEX(MineNames,Calc!C4483),"")</f>
        <v/>
      </c>
      <c r="C4483" s="17">
        <f>IF(Calc!$B4483,Calc!O4483,"")</f>
        <v/>
      </c>
    </row>
    <row r="4484">
      <c r="A4484" s="16">
        <f>IF(Calc!$B4484,Calc!E4484,"")</f>
        <v/>
      </c>
      <c r="B4484">
        <f>IF(Calc!$B4484,INDEX(MineNames,Calc!C4484),"")</f>
        <v/>
      </c>
      <c r="C4484" s="17">
        <f>IF(Calc!$B4484,Calc!O4484,"")</f>
        <v/>
      </c>
    </row>
    <row r="4485">
      <c r="A4485" s="16">
        <f>IF(Calc!$B4485,Calc!E4485,"")</f>
        <v/>
      </c>
      <c r="B4485">
        <f>IF(Calc!$B4485,INDEX(MineNames,Calc!C4485),"")</f>
        <v/>
      </c>
      <c r="C4485" s="17">
        <f>IF(Calc!$B4485,Calc!O4485,"")</f>
        <v/>
      </c>
    </row>
    <row r="4486">
      <c r="A4486" s="16">
        <f>IF(Calc!$B4486,Calc!E4486,"")</f>
        <v/>
      </c>
      <c r="B4486">
        <f>IF(Calc!$B4486,INDEX(MineNames,Calc!C4486),"")</f>
        <v/>
      </c>
      <c r="C4486" s="17">
        <f>IF(Calc!$B4486,Calc!O4486,"")</f>
        <v/>
      </c>
    </row>
    <row r="4487">
      <c r="A4487" s="16">
        <f>IF(Calc!$B4487,Calc!E4487,"")</f>
        <v/>
      </c>
      <c r="B4487">
        <f>IF(Calc!$B4487,INDEX(MineNames,Calc!C4487),"")</f>
        <v/>
      </c>
      <c r="C4487" s="17">
        <f>IF(Calc!$B4487,Calc!O4487,"")</f>
        <v/>
      </c>
    </row>
    <row r="4488">
      <c r="A4488" s="16">
        <f>IF(Calc!$B4488,Calc!E4488,"")</f>
        <v/>
      </c>
      <c r="B4488">
        <f>IF(Calc!$B4488,INDEX(MineNames,Calc!C4488),"")</f>
        <v/>
      </c>
      <c r="C4488" s="17">
        <f>IF(Calc!$B4488,Calc!O4488,"")</f>
        <v/>
      </c>
    </row>
    <row r="4489">
      <c r="A4489" s="16">
        <f>IF(Calc!$B4489,Calc!E4489,"")</f>
        <v/>
      </c>
      <c r="B4489">
        <f>IF(Calc!$B4489,INDEX(MineNames,Calc!C4489),"")</f>
        <v/>
      </c>
      <c r="C4489" s="17">
        <f>IF(Calc!$B4489,Calc!O4489,"")</f>
        <v/>
      </c>
    </row>
    <row r="4490">
      <c r="A4490" s="16">
        <f>IF(Calc!$B4490,Calc!E4490,"")</f>
        <v/>
      </c>
      <c r="B4490">
        <f>IF(Calc!$B4490,INDEX(MineNames,Calc!C4490),"")</f>
        <v/>
      </c>
      <c r="C4490" s="17">
        <f>IF(Calc!$B4490,Calc!O4490,"")</f>
        <v/>
      </c>
    </row>
    <row r="4491">
      <c r="A4491" s="16">
        <f>IF(Calc!$B4491,Calc!E4491,"")</f>
        <v/>
      </c>
      <c r="B4491">
        <f>IF(Calc!$B4491,INDEX(MineNames,Calc!C4491),"")</f>
        <v/>
      </c>
      <c r="C4491" s="17">
        <f>IF(Calc!$B4491,Calc!O4491,"")</f>
        <v/>
      </c>
    </row>
    <row r="4492">
      <c r="A4492" s="16">
        <f>IF(Calc!$B4492,Calc!E4492,"")</f>
        <v/>
      </c>
      <c r="B4492">
        <f>IF(Calc!$B4492,INDEX(MineNames,Calc!C4492),"")</f>
        <v/>
      </c>
      <c r="C4492" s="17">
        <f>IF(Calc!$B4492,Calc!O4492,"")</f>
        <v/>
      </c>
    </row>
    <row r="4493">
      <c r="A4493" s="16">
        <f>IF(Calc!$B4493,Calc!E4493,"")</f>
        <v/>
      </c>
      <c r="B4493">
        <f>IF(Calc!$B4493,INDEX(MineNames,Calc!C4493),"")</f>
        <v/>
      </c>
      <c r="C4493" s="17">
        <f>IF(Calc!$B4493,Calc!O4493,"")</f>
        <v/>
      </c>
    </row>
    <row r="4494">
      <c r="A4494" s="16">
        <f>IF(Calc!$B4494,Calc!E4494,"")</f>
        <v/>
      </c>
      <c r="B4494">
        <f>IF(Calc!$B4494,INDEX(MineNames,Calc!C4494),"")</f>
        <v/>
      </c>
      <c r="C4494" s="17">
        <f>IF(Calc!$B4494,Calc!O4494,"")</f>
        <v/>
      </c>
    </row>
    <row r="4495">
      <c r="A4495" s="16">
        <f>IF(Calc!$B4495,Calc!E4495,"")</f>
        <v/>
      </c>
      <c r="B4495">
        <f>IF(Calc!$B4495,INDEX(MineNames,Calc!C4495),"")</f>
        <v/>
      </c>
      <c r="C4495" s="17">
        <f>IF(Calc!$B4495,Calc!O4495,"")</f>
        <v/>
      </c>
    </row>
    <row r="4496">
      <c r="A4496" s="16">
        <f>IF(Calc!$B4496,Calc!E4496,"")</f>
        <v/>
      </c>
      <c r="B4496">
        <f>IF(Calc!$B4496,INDEX(MineNames,Calc!C4496),"")</f>
        <v/>
      </c>
      <c r="C4496" s="17">
        <f>IF(Calc!$B4496,Calc!O4496,"")</f>
        <v/>
      </c>
    </row>
    <row r="4497">
      <c r="A4497" s="16">
        <f>IF(Calc!$B4497,Calc!E4497,"")</f>
        <v/>
      </c>
      <c r="B4497">
        <f>IF(Calc!$B4497,INDEX(MineNames,Calc!C4497),"")</f>
        <v/>
      </c>
      <c r="C4497" s="17">
        <f>IF(Calc!$B4497,Calc!O4497,"")</f>
        <v/>
      </c>
    </row>
    <row r="4498">
      <c r="A4498" s="16">
        <f>IF(Calc!$B4498,Calc!E4498,"")</f>
        <v/>
      </c>
      <c r="B4498">
        <f>IF(Calc!$B4498,INDEX(MineNames,Calc!C4498),"")</f>
        <v/>
      </c>
      <c r="C4498" s="17">
        <f>IF(Calc!$B4498,Calc!O4498,"")</f>
        <v/>
      </c>
    </row>
    <row r="4499">
      <c r="A4499" s="16">
        <f>IF(Calc!$B4499,Calc!E4499,"")</f>
        <v/>
      </c>
      <c r="B4499">
        <f>IF(Calc!$B4499,INDEX(MineNames,Calc!C4499),"")</f>
        <v/>
      </c>
      <c r="C4499" s="17">
        <f>IF(Calc!$B4499,Calc!O4499,"")</f>
        <v/>
      </c>
    </row>
    <row r="4500">
      <c r="A4500" s="16">
        <f>IF(Calc!$B4500,Calc!E4500,"")</f>
        <v/>
      </c>
      <c r="B4500">
        <f>IF(Calc!$B4500,INDEX(MineNames,Calc!C4500),"")</f>
        <v/>
      </c>
      <c r="C4500" s="17">
        <f>IF(Calc!$B4500,Calc!O4500,"")</f>
        <v/>
      </c>
    </row>
    <row r="4501">
      <c r="A4501" s="16">
        <f>IF(Calc!$B4501,Calc!E4501,"")</f>
        <v/>
      </c>
      <c r="B4501">
        <f>IF(Calc!$B4501,INDEX(MineNames,Calc!C4501),"")</f>
        <v/>
      </c>
      <c r="C4501" s="17">
        <f>IF(Calc!$B4501,Calc!O4501,"")</f>
        <v/>
      </c>
    </row>
    <row r="4502">
      <c r="A4502" s="16">
        <f>IF(Calc!$B4502,Calc!E4502,"")</f>
        <v/>
      </c>
      <c r="B4502">
        <f>IF(Calc!$B4502,INDEX(MineNames,Calc!C4502),"")</f>
        <v/>
      </c>
      <c r="C4502" s="17">
        <f>IF(Calc!$B4502,Calc!O4502,"")</f>
        <v/>
      </c>
    </row>
    <row r="4503">
      <c r="A4503" s="16">
        <f>IF(Calc!$B4503,Calc!E4503,"")</f>
        <v/>
      </c>
      <c r="B4503">
        <f>IF(Calc!$B4503,INDEX(MineNames,Calc!C4503),"")</f>
        <v/>
      </c>
      <c r="C4503" s="17">
        <f>IF(Calc!$B4503,Calc!O4503,"")</f>
        <v/>
      </c>
    </row>
    <row r="4504">
      <c r="A4504" s="16">
        <f>IF(Calc!$B4504,Calc!E4504,"")</f>
        <v/>
      </c>
      <c r="B4504">
        <f>IF(Calc!$B4504,INDEX(MineNames,Calc!C4504),"")</f>
        <v/>
      </c>
      <c r="C4504" s="17">
        <f>IF(Calc!$B4504,Calc!O4504,"")</f>
        <v/>
      </c>
    </row>
    <row r="4505">
      <c r="A4505" s="16">
        <f>IF(Calc!$B4505,Calc!E4505,"")</f>
        <v/>
      </c>
      <c r="B4505">
        <f>IF(Calc!$B4505,INDEX(MineNames,Calc!C4505),"")</f>
        <v/>
      </c>
      <c r="C4505" s="17">
        <f>IF(Calc!$B4505,Calc!O4505,"")</f>
        <v/>
      </c>
    </row>
    <row r="4506">
      <c r="A4506" s="16">
        <f>IF(Calc!$B4506,Calc!E4506,"")</f>
        <v/>
      </c>
      <c r="B4506">
        <f>IF(Calc!$B4506,INDEX(MineNames,Calc!C4506),"")</f>
        <v/>
      </c>
      <c r="C4506" s="17">
        <f>IF(Calc!$B4506,Calc!O4506,"")</f>
        <v/>
      </c>
    </row>
    <row r="4507">
      <c r="A4507" s="16">
        <f>IF(Calc!$B4507,Calc!E4507,"")</f>
        <v/>
      </c>
      <c r="B4507">
        <f>IF(Calc!$B4507,INDEX(MineNames,Calc!C4507),"")</f>
        <v/>
      </c>
      <c r="C4507" s="17">
        <f>IF(Calc!$B4507,Calc!O4507,"")</f>
        <v/>
      </c>
    </row>
    <row r="4508">
      <c r="A4508" s="16">
        <f>IF(Calc!$B4508,Calc!E4508,"")</f>
        <v/>
      </c>
      <c r="B4508">
        <f>IF(Calc!$B4508,INDEX(MineNames,Calc!C4508),"")</f>
        <v/>
      </c>
      <c r="C4508" s="17">
        <f>IF(Calc!$B4508,Calc!O4508,"")</f>
        <v/>
      </c>
    </row>
    <row r="4509">
      <c r="A4509" s="16">
        <f>IF(Calc!$B4509,Calc!E4509,"")</f>
        <v/>
      </c>
      <c r="B4509">
        <f>IF(Calc!$B4509,INDEX(MineNames,Calc!C4509),"")</f>
        <v/>
      </c>
      <c r="C4509" s="17">
        <f>IF(Calc!$B4509,Calc!O4509,"")</f>
        <v/>
      </c>
    </row>
    <row r="4510">
      <c r="A4510" s="16">
        <f>IF(Calc!$B4510,Calc!E4510,"")</f>
        <v/>
      </c>
      <c r="B4510">
        <f>IF(Calc!$B4510,INDEX(MineNames,Calc!C4510),"")</f>
        <v/>
      </c>
      <c r="C4510" s="17">
        <f>IF(Calc!$B4510,Calc!O4510,"")</f>
        <v/>
      </c>
    </row>
    <row r="4511">
      <c r="A4511" s="16">
        <f>IF(Calc!$B4511,Calc!E4511,"")</f>
        <v/>
      </c>
      <c r="B4511">
        <f>IF(Calc!$B4511,INDEX(MineNames,Calc!C4511),"")</f>
        <v/>
      </c>
      <c r="C4511" s="17">
        <f>IF(Calc!$B4511,Calc!O4511,"")</f>
        <v/>
      </c>
    </row>
    <row r="4512">
      <c r="A4512" s="16">
        <f>IF(Calc!$B4512,Calc!E4512,"")</f>
        <v/>
      </c>
      <c r="B4512">
        <f>IF(Calc!$B4512,INDEX(MineNames,Calc!C4512),"")</f>
        <v/>
      </c>
      <c r="C4512" s="17">
        <f>IF(Calc!$B4512,Calc!O4512,"")</f>
        <v/>
      </c>
    </row>
    <row r="4513">
      <c r="A4513" s="16">
        <f>IF(Calc!$B4513,Calc!E4513,"")</f>
        <v/>
      </c>
      <c r="B4513">
        <f>IF(Calc!$B4513,INDEX(MineNames,Calc!C4513),"")</f>
        <v/>
      </c>
      <c r="C4513" s="17">
        <f>IF(Calc!$B4513,Calc!O4513,"")</f>
        <v/>
      </c>
    </row>
    <row r="4514">
      <c r="A4514" s="16">
        <f>IF(Calc!$B4514,Calc!E4514,"")</f>
        <v/>
      </c>
      <c r="B4514">
        <f>IF(Calc!$B4514,INDEX(MineNames,Calc!C4514),"")</f>
        <v/>
      </c>
      <c r="C4514" s="17">
        <f>IF(Calc!$B4514,Calc!O4514,"")</f>
        <v/>
      </c>
    </row>
    <row r="4515">
      <c r="A4515" s="16">
        <f>IF(Calc!$B4515,Calc!E4515,"")</f>
        <v/>
      </c>
      <c r="B4515">
        <f>IF(Calc!$B4515,INDEX(MineNames,Calc!C4515),"")</f>
        <v/>
      </c>
      <c r="C4515" s="17">
        <f>IF(Calc!$B4515,Calc!O4515,"")</f>
        <v/>
      </c>
    </row>
    <row r="4516">
      <c r="A4516" s="16">
        <f>IF(Calc!$B4516,Calc!E4516,"")</f>
        <v/>
      </c>
      <c r="B4516">
        <f>IF(Calc!$B4516,INDEX(MineNames,Calc!C4516),"")</f>
        <v/>
      </c>
      <c r="C4516" s="17">
        <f>IF(Calc!$B4516,Calc!O4516,"")</f>
        <v/>
      </c>
    </row>
    <row r="4517">
      <c r="A4517" s="16">
        <f>IF(Calc!$B4517,Calc!E4517,"")</f>
        <v/>
      </c>
      <c r="B4517">
        <f>IF(Calc!$B4517,INDEX(MineNames,Calc!C4517),"")</f>
        <v/>
      </c>
      <c r="C4517" s="17">
        <f>IF(Calc!$B4517,Calc!O4517,"")</f>
        <v/>
      </c>
    </row>
    <row r="4518">
      <c r="A4518" s="16">
        <f>IF(Calc!$B4518,Calc!E4518,"")</f>
        <v/>
      </c>
      <c r="B4518">
        <f>IF(Calc!$B4518,INDEX(MineNames,Calc!C4518),"")</f>
        <v/>
      </c>
      <c r="C4518" s="17">
        <f>IF(Calc!$B4518,Calc!O4518,"")</f>
        <v/>
      </c>
    </row>
    <row r="4519">
      <c r="A4519" s="16">
        <f>IF(Calc!$B4519,Calc!E4519,"")</f>
        <v/>
      </c>
      <c r="B4519">
        <f>IF(Calc!$B4519,INDEX(MineNames,Calc!C4519),"")</f>
        <v/>
      </c>
      <c r="C4519" s="17">
        <f>IF(Calc!$B4519,Calc!O4519,"")</f>
        <v/>
      </c>
    </row>
    <row r="4520">
      <c r="A4520" s="16">
        <f>IF(Calc!$B4520,Calc!E4520,"")</f>
        <v/>
      </c>
      <c r="B4520">
        <f>IF(Calc!$B4520,INDEX(MineNames,Calc!C4520),"")</f>
        <v/>
      </c>
      <c r="C4520" s="17">
        <f>IF(Calc!$B4520,Calc!O4520,"")</f>
        <v/>
      </c>
    </row>
    <row r="4521">
      <c r="A4521" s="16">
        <f>IF(Calc!$B4521,Calc!E4521,"")</f>
        <v/>
      </c>
      <c r="B4521">
        <f>IF(Calc!$B4521,INDEX(MineNames,Calc!C4521),"")</f>
        <v/>
      </c>
      <c r="C4521" s="17">
        <f>IF(Calc!$B4521,Calc!O4521,"")</f>
        <v/>
      </c>
    </row>
    <row r="4522">
      <c r="A4522" s="16">
        <f>IF(Calc!$B4522,Calc!E4522,"")</f>
        <v/>
      </c>
      <c r="B4522">
        <f>IF(Calc!$B4522,INDEX(MineNames,Calc!C4522),"")</f>
        <v/>
      </c>
      <c r="C4522" s="17">
        <f>IF(Calc!$B4522,Calc!O4522,"")</f>
        <v/>
      </c>
    </row>
    <row r="4523">
      <c r="A4523" s="16">
        <f>IF(Calc!$B4523,Calc!E4523,"")</f>
        <v/>
      </c>
      <c r="B4523">
        <f>IF(Calc!$B4523,INDEX(MineNames,Calc!C4523),"")</f>
        <v/>
      </c>
      <c r="C4523" s="17">
        <f>IF(Calc!$B4523,Calc!O4523,"")</f>
        <v/>
      </c>
    </row>
    <row r="4524">
      <c r="A4524" s="16">
        <f>IF(Calc!$B4524,Calc!E4524,"")</f>
        <v/>
      </c>
      <c r="B4524">
        <f>IF(Calc!$B4524,INDEX(MineNames,Calc!C4524),"")</f>
        <v/>
      </c>
      <c r="C4524" s="17">
        <f>IF(Calc!$B4524,Calc!O4524,"")</f>
        <v/>
      </c>
    </row>
    <row r="4525">
      <c r="A4525" s="16">
        <f>IF(Calc!$B4525,Calc!E4525,"")</f>
        <v/>
      </c>
      <c r="B4525">
        <f>IF(Calc!$B4525,INDEX(MineNames,Calc!C4525),"")</f>
        <v/>
      </c>
      <c r="C4525" s="17">
        <f>IF(Calc!$B4525,Calc!O4525,"")</f>
        <v/>
      </c>
    </row>
    <row r="4526">
      <c r="A4526" s="16">
        <f>IF(Calc!$B4526,Calc!E4526,"")</f>
        <v/>
      </c>
      <c r="B4526">
        <f>IF(Calc!$B4526,INDEX(MineNames,Calc!C4526),"")</f>
        <v/>
      </c>
      <c r="C4526" s="17">
        <f>IF(Calc!$B4526,Calc!O4526,"")</f>
        <v/>
      </c>
    </row>
    <row r="4527">
      <c r="A4527" s="16">
        <f>IF(Calc!$B4527,Calc!E4527,"")</f>
        <v/>
      </c>
      <c r="B4527">
        <f>IF(Calc!$B4527,INDEX(MineNames,Calc!C4527),"")</f>
        <v/>
      </c>
      <c r="C4527" s="17">
        <f>IF(Calc!$B4527,Calc!O4527,"")</f>
        <v/>
      </c>
    </row>
    <row r="4528">
      <c r="A4528" s="16">
        <f>IF(Calc!$B4528,Calc!E4528,"")</f>
        <v/>
      </c>
      <c r="B4528">
        <f>IF(Calc!$B4528,INDEX(MineNames,Calc!C4528),"")</f>
        <v/>
      </c>
      <c r="C4528" s="17">
        <f>IF(Calc!$B4528,Calc!O4528,"")</f>
        <v/>
      </c>
    </row>
    <row r="4529">
      <c r="A4529" s="16">
        <f>IF(Calc!$B4529,Calc!E4529,"")</f>
        <v/>
      </c>
      <c r="B4529">
        <f>IF(Calc!$B4529,INDEX(MineNames,Calc!C4529),"")</f>
        <v/>
      </c>
      <c r="C4529" s="17">
        <f>IF(Calc!$B4529,Calc!O4529,"")</f>
        <v/>
      </c>
    </row>
    <row r="4530">
      <c r="A4530" s="16">
        <f>IF(Calc!$B4530,Calc!E4530,"")</f>
        <v/>
      </c>
      <c r="B4530">
        <f>IF(Calc!$B4530,INDEX(MineNames,Calc!C4530),"")</f>
        <v/>
      </c>
      <c r="C4530" s="17">
        <f>IF(Calc!$B4530,Calc!O4530,"")</f>
        <v/>
      </c>
    </row>
    <row r="4531">
      <c r="A4531" s="16">
        <f>IF(Calc!$B4531,Calc!E4531,"")</f>
        <v/>
      </c>
      <c r="B4531">
        <f>IF(Calc!$B4531,INDEX(MineNames,Calc!C4531),"")</f>
        <v/>
      </c>
      <c r="C4531" s="17">
        <f>IF(Calc!$B4531,Calc!O4531,"")</f>
        <v/>
      </c>
    </row>
    <row r="4532">
      <c r="A4532" s="16">
        <f>IF(Calc!$B4532,Calc!E4532,"")</f>
        <v/>
      </c>
      <c r="B4532">
        <f>IF(Calc!$B4532,INDEX(MineNames,Calc!C4532),"")</f>
        <v/>
      </c>
      <c r="C4532" s="17">
        <f>IF(Calc!$B4532,Calc!O4532,"")</f>
        <v/>
      </c>
    </row>
    <row r="4533">
      <c r="A4533" s="16">
        <f>IF(Calc!$B4533,Calc!E4533,"")</f>
        <v/>
      </c>
      <c r="B4533">
        <f>IF(Calc!$B4533,INDEX(MineNames,Calc!C4533),"")</f>
        <v/>
      </c>
      <c r="C4533" s="17">
        <f>IF(Calc!$B4533,Calc!O4533,"")</f>
        <v/>
      </c>
    </row>
    <row r="4534">
      <c r="A4534" s="16">
        <f>IF(Calc!$B4534,Calc!E4534,"")</f>
        <v/>
      </c>
      <c r="B4534">
        <f>IF(Calc!$B4534,INDEX(MineNames,Calc!C4534),"")</f>
        <v/>
      </c>
      <c r="C4534" s="17">
        <f>IF(Calc!$B4534,Calc!O4534,"")</f>
        <v/>
      </c>
    </row>
    <row r="4535">
      <c r="A4535" s="16">
        <f>IF(Calc!$B4535,Calc!E4535,"")</f>
        <v/>
      </c>
      <c r="B4535">
        <f>IF(Calc!$B4535,INDEX(MineNames,Calc!C4535),"")</f>
        <v/>
      </c>
      <c r="C4535" s="17">
        <f>IF(Calc!$B4535,Calc!O4535,"")</f>
        <v/>
      </c>
    </row>
    <row r="4536">
      <c r="A4536" s="16">
        <f>IF(Calc!$B4536,Calc!E4536,"")</f>
        <v/>
      </c>
      <c r="B4536">
        <f>IF(Calc!$B4536,INDEX(MineNames,Calc!C4536),"")</f>
        <v/>
      </c>
      <c r="C4536" s="17">
        <f>IF(Calc!$B4536,Calc!O4536,"")</f>
        <v/>
      </c>
    </row>
    <row r="4537">
      <c r="A4537" s="16">
        <f>IF(Calc!$B4537,Calc!E4537,"")</f>
        <v/>
      </c>
      <c r="B4537">
        <f>IF(Calc!$B4537,INDEX(MineNames,Calc!C4537),"")</f>
        <v/>
      </c>
      <c r="C4537" s="17">
        <f>IF(Calc!$B4537,Calc!O4537,"")</f>
        <v/>
      </c>
    </row>
    <row r="4538">
      <c r="A4538" s="16">
        <f>IF(Calc!$B4538,Calc!E4538,"")</f>
        <v/>
      </c>
      <c r="B4538">
        <f>IF(Calc!$B4538,INDEX(MineNames,Calc!C4538),"")</f>
        <v/>
      </c>
      <c r="C4538" s="17">
        <f>IF(Calc!$B4538,Calc!O4538,"")</f>
        <v/>
      </c>
    </row>
    <row r="4539">
      <c r="A4539" s="16">
        <f>IF(Calc!$B4539,Calc!E4539,"")</f>
        <v/>
      </c>
      <c r="B4539">
        <f>IF(Calc!$B4539,INDEX(MineNames,Calc!C4539),"")</f>
        <v/>
      </c>
      <c r="C4539" s="17">
        <f>IF(Calc!$B4539,Calc!O4539,"")</f>
        <v/>
      </c>
    </row>
    <row r="4540">
      <c r="A4540" s="16">
        <f>IF(Calc!$B4540,Calc!E4540,"")</f>
        <v/>
      </c>
      <c r="B4540">
        <f>IF(Calc!$B4540,INDEX(MineNames,Calc!C4540),"")</f>
        <v/>
      </c>
      <c r="C4540" s="17">
        <f>IF(Calc!$B4540,Calc!O4540,"")</f>
        <v/>
      </c>
    </row>
    <row r="4541">
      <c r="A4541" s="16">
        <f>IF(Calc!$B4541,Calc!E4541,"")</f>
        <v/>
      </c>
      <c r="B4541">
        <f>IF(Calc!$B4541,INDEX(MineNames,Calc!C4541),"")</f>
        <v/>
      </c>
      <c r="C4541" s="17">
        <f>IF(Calc!$B4541,Calc!O4541,"")</f>
        <v/>
      </c>
    </row>
    <row r="4542">
      <c r="A4542" s="16">
        <f>IF(Calc!$B4542,Calc!E4542,"")</f>
        <v/>
      </c>
      <c r="B4542">
        <f>IF(Calc!$B4542,INDEX(MineNames,Calc!C4542),"")</f>
        <v/>
      </c>
      <c r="C4542" s="17">
        <f>IF(Calc!$B4542,Calc!O4542,"")</f>
        <v/>
      </c>
    </row>
    <row r="4543">
      <c r="A4543" s="16">
        <f>IF(Calc!$B4543,Calc!E4543,"")</f>
        <v/>
      </c>
      <c r="B4543">
        <f>IF(Calc!$B4543,INDEX(MineNames,Calc!C4543),"")</f>
        <v/>
      </c>
      <c r="C4543" s="17">
        <f>IF(Calc!$B4543,Calc!O4543,"")</f>
        <v/>
      </c>
    </row>
    <row r="4544">
      <c r="A4544" s="16">
        <f>IF(Calc!$B4544,Calc!E4544,"")</f>
        <v/>
      </c>
      <c r="B4544">
        <f>IF(Calc!$B4544,INDEX(MineNames,Calc!C4544),"")</f>
        <v/>
      </c>
      <c r="C4544" s="17">
        <f>IF(Calc!$B4544,Calc!O4544,"")</f>
        <v/>
      </c>
    </row>
    <row r="4545">
      <c r="A4545" s="16">
        <f>IF(Calc!$B4545,Calc!E4545,"")</f>
        <v/>
      </c>
      <c r="B4545">
        <f>IF(Calc!$B4545,INDEX(MineNames,Calc!C4545),"")</f>
        <v/>
      </c>
      <c r="C4545" s="17">
        <f>IF(Calc!$B4545,Calc!O4545,"")</f>
        <v/>
      </c>
    </row>
    <row r="4546">
      <c r="A4546" s="16">
        <f>IF(Calc!$B4546,Calc!E4546,"")</f>
        <v/>
      </c>
      <c r="B4546">
        <f>IF(Calc!$B4546,INDEX(MineNames,Calc!C4546),"")</f>
        <v/>
      </c>
      <c r="C4546" s="17">
        <f>IF(Calc!$B4546,Calc!O4546,"")</f>
        <v/>
      </c>
    </row>
    <row r="4547">
      <c r="A4547" s="16">
        <f>IF(Calc!$B4547,Calc!E4547,"")</f>
        <v/>
      </c>
      <c r="B4547">
        <f>IF(Calc!$B4547,INDEX(MineNames,Calc!C4547),"")</f>
        <v/>
      </c>
      <c r="C4547" s="17">
        <f>IF(Calc!$B4547,Calc!O4547,"")</f>
        <v/>
      </c>
    </row>
    <row r="4548">
      <c r="A4548" s="16">
        <f>IF(Calc!$B4548,Calc!E4548,"")</f>
        <v/>
      </c>
      <c r="B4548">
        <f>IF(Calc!$B4548,INDEX(MineNames,Calc!C4548),"")</f>
        <v/>
      </c>
      <c r="C4548" s="17">
        <f>IF(Calc!$B4548,Calc!O4548,"")</f>
        <v/>
      </c>
    </row>
    <row r="4549">
      <c r="A4549" s="16">
        <f>IF(Calc!$B4549,Calc!E4549,"")</f>
        <v/>
      </c>
      <c r="B4549">
        <f>IF(Calc!$B4549,INDEX(MineNames,Calc!C4549),"")</f>
        <v/>
      </c>
      <c r="C4549" s="17">
        <f>IF(Calc!$B4549,Calc!O4549,"")</f>
        <v/>
      </c>
    </row>
    <row r="4550">
      <c r="A4550" s="16">
        <f>IF(Calc!$B4550,Calc!E4550,"")</f>
        <v/>
      </c>
      <c r="B4550">
        <f>IF(Calc!$B4550,INDEX(MineNames,Calc!C4550),"")</f>
        <v/>
      </c>
      <c r="C4550" s="17">
        <f>IF(Calc!$B4550,Calc!O4550,"")</f>
        <v/>
      </c>
    </row>
    <row r="4551">
      <c r="A4551" s="16">
        <f>IF(Calc!$B4551,Calc!E4551,"")</f>
        <v/>
      </c>
      <c r="B4551">
        <f>IF(Calc!$B4551,INDEX(MineNames,Calc!C4551),"")</f>
        <v/>
      </c>
      <c r="C4551" s="17">
        <f>IF(Calc!$B4551,Calc!O4551,"")</f>
        <v/>
      </c>
    </row>
    <row r="4552">
      <c r="A4552" s="16">
        <f>IF(Calc!$B4552,Calc!E4552,"")</f>
        <v/>
      </c>
      <c r="B4552">
        <f>IF(Calc!$B4552,INDEX(MineNames,Calc!C4552),"")</f>
        <v/>
      </c>
      <c r="C4552" s="17">
        <f>IF(Calc!$B4552,Calc!O4552,"")</f>
        <v/>
      </c>
    </row>
    <row r="4553">
      <c r="A4553" s="16">
        <f>IF(Calc!$B4553,Calc!E4553,"")</f>
        <v/>
      </c>
      <c r="B4553">
        <f>IF(Calc!$B4553,INDEX(MineNames,Calc!C4553),"")</f>
        <v/>
      </c>
      <c r="C4553" s="17">
        <f>IF(Calc!$B4553,Calc!O4553,"")</f>
        <v/>
      </c>
    </row>
    <row r="4554">
      <c r="A4554" s="16">
        <f>IF(Calc!$B4554,Calc!E4554,"")</f>
        <v/>
      </c>
      <c r="B4554">
        <f>IF(Calc!$B4554,INDEX(MineNames,Calc!C4554),"")</f>
        <v/>
      </c>
      <c r="C4554" s="17">
        <f>IF(Calc!$B4554,Calc!O4554,"")</f>
        <v/>
      </c>
    </row>
    <row r="4555">
      <c r="A4555" s="16">
        <f>IF(Calc!$B4555,Calc!E4555,"")</f>
        <v/>
      </c>
      <c r="B4555">
        <f>IF(Calc!$B4555,INDEX(MineNames,Calc!C4555),"")</f>
        <v/>
      </c>
      <c r="C4555" s="17">
        <f>IF(Calc!$B4555,Calc!O4555,"")</f>
        <v/>
      </c>
    </row>
    <row r="4556">
      <c r="A4556" s="16">
        <f>IF(Calc!$B4556,Calc!E4556,"")</f>
        <v/>
      </c>
      <c r="B4556">
        <f>IF(Calc!$B4556,INDEX(MineNames,Calc!C4556),"")</f>
        <v/>
      </c>
      <c r="C4556" s="17">
        <f>IF(Calc!$B4556,Calc!O4556,"")</f>
        <v/>
      </c>
    </row>
    <row r="4557">
      <c r="A4557" s="16">
        <f>IF(Calc!$B4557,Calc!E4557,"")</f>
        <v/>
      </c>
      <c r="B4557">
        <f>IF(Calc!$B4557,INDEX(MineNames,Calc!C4557),"")</f>
        <v/>
      </c>
      <c r="C4557" s="17">
        <f>IF(Calc!$B4557,Calc!O4557,"")</f>
        <v/>
      </c>
    </row>
    <row r="4558">
      <c r="A4558" s="16">
        <f>IF(Calc!$B4558,Calc!E4558,"")</f>
        <v/>
      </c>
      <c r="B4558">
        <f>IF(Calc!$B4558,INDEX(MineNames,Calc!C4558),"")</f>
        <v/>
      </c>
      <c r="C4558" s="17">
        <f>IF(Calc!$B4558,Calc!O4558,"")</f>
        <v/>
      </c>
    </row>
    <row r="4559">
      <c r="A4559" s="16">
        <f>IF(Calc!$B4559,Calc!E4559,"")</f>
        <v/>
      </c>
      <c r="B4559">
        <f>IF(Calc!$B4559,INDEX(MineNames,Calc!C4559),"")</f>
        <v/>
      </c>
      <c r="C4559" s="17">
        <f>IF(Calc!$B4559,Calc!O4559,"")</f>
        <v/>
      </c>
    </row>
    <row r="4560">
      <c r="A4560" s="16">
        <f>IF(Calc!$B4560,Calc!E4560,"")</f>
        <v/>
      </c>
      <c r="B4560">
        <f>IF(Calc!$B4560,INDEX(MineNames,Calc!C4560),"")</f>
        <v/>
      </c>
      <c r="C4560" s="17">
        <f>IF(Calc!$B4560,Calc!O4560,"")</f>
        <v/>
      </c>
    </row>
    <row r="4561">
      <c r="A4561" s="16">
        <f>IF(Calc!$B4561,Calc!E4561,"")</f>
        <v/>
      </c>
      <c r="B4561">
        <f>IF(Calc!$B4561,INDEX(MineNames,Calc!C4561),"")</f>
        <v/>
      </c>
      <c r="C4561" s="17">
        <f>IF(Calc!$B4561,Calc!O4561,"")</f>
        <v/>
      </c>
    </row>
    <row r="4562">
      <c r="A4562" s="16">
        <f>IF(Calc!$B4562,Calc!E4562,"")</f>
        <v/>
      </c>
      <c r="B4562">
        <f>IF(Calc!$B4562,INDEX(MineNames,Calc!C4562),"")</f>
        <v/>
      </c>
      <c r="C4562" s="17">
        <f>IF(Calc!$B4562,Calc!O4562,"")</f>
        <v/>
      </c>
    </row>
    <row r="4563">
      <c r="A4563" s="16">
        <f>IF(Calc!$B4563,Calc!E4563,"")</f>
        <v/>
      </c>
      <c r="B4563">
        <f>IF(Calc!$B4563,INDEX(MineNames,Calc!C4563),"")</f>
        <v/>
      </c>
      <c r="C4563" s="17">
        <f>IF(Calc!$B4563,Calc!O4563,"")</f>
        <v/>
      </c>
    </row>
    <row r="4564">
      <c r="A4564" s="16">
        <f>IF(Calc!$B4564,Calc!E4564,"")</f>
        <v/>
      </c>
      <c r="B4564">
        <f>IF(Calc!$B4564,INDEX(MineNames,Calc!C4564),"")</f>
        <v/>
      </c>
      <c r="C4564" s="17">
        <f>IF(Calc!$B4564,Calc!O4564,"")</f>
        <v/>
      </c>
    </row>
    <row r="4565">
      <c r="A4565" s="16">
        <f>IF(Calc!$B4565,Calc!E4565,"")</f>
        <v/>
      </c>
      <c r="B4565">
        <f>IF(Calc!$B4565,INDEX(MineNames,Calc!C4565),"")</f>
        <v/>
      </c>
      <c r="C4565" s="17">
        <f>IF(Calc!$B4565,Calc!O4565,"")</f>
        <v/>
      </c>
    </row>
    <row r="4566">
      <c r="A4566" s="16">
        <f>IF(Calc!$B4566,Calc!E4566,"")</f>
        <v/>
      </c>
      <c r="B4566">
        <f>IF(Calc!$B4566,INDEX(MineNames,Calc!C4566),"")</f>
        <v/>
      </c>
      <c r="C4566" s="17">
        <f>IF(Calc!$B4566,Calc!O4566,"")</f>
        <v/>
      </c>
    </row>
    <row r="4567">
      <c r="A4567" s="16">
        <f>IF(Calc!$B4567,Calc!E4567,"")</f>
        <v/>
      </c>
      <c r="B4567">
        <f>IF(Calc!$B4567,INDEX(MineNames,Calc!C4567),"")</f>
        <v/>
      </c>
      <c r="C4567" s="17">
        <f>IF(Calc!$B4567,Calc!O4567,"")</f>
        <v/>
      </c>
    </row>
    <row r="4568">
      <c r="A4568" s="16">
        <f>IF(Calc!$B4568,Calc!E4568,"")</f>
        <v/>
      </c>
      <c r="B4568">
        <f>IF(Calc!$B4568,INDEX(MineNames,Calc!C4568),"")</f>
        <v/>
      </c>
      <c r="C4568" s="17">
        <f>IF(Calc!$B4568,Calc!O4568,"")</f>
        <v/>
      </c>
    </row>
    <row r="4569">
      <c r="A4569" s="16">
        <f>IF(Calc!$B4569,Calc!E4569,"")</f>
        <v/>
      </c>
      <c r="B4569">
        <f>IF(Calc!$B4569,INDEX(MineNames,Calc!C4569),"")</f>
        <v/>
      </c>
      <c r="C4569" s="17">
        <f>IF(Calc!$B4569,Calc!O4569,"")</f>
        <v/>
      </c>
    </row>
    <row r="4570">
      <c r="A4570" s="16">
        <f>IF(Calc!$B4570,Calc!E4570,"")</f>
        <v/>
      </c>
      <c r="B4570">
        <f>IF(Calc!$B4570,INDEX(MineNames,Calc!C4570),"")</f>
        <v/>
      </c>
      <c r="C4570" s="17">
        <f>IF(Calc!$B4570,Calc!O4570,"")</f>
        <v/>
      </c>
    </row>
    <row r="4571">
      <c r="A4571" s="16">
        <f>IF(Calc!$B4571,Calc!E4571,"")</f>
        <v/>
      </c>
      <c r="B4571">
        <f>IF(Calc!$B4571,INDEX(MineNames,Calc!C4571),"")</f>
        <v/>
      </c>
      <c r="C4571" s="17">
        <f>IF(Calc!$B4571,Calc!O4571,"")</f>
        <v/>
      </c>
    </row>
    <row r="4572">
      <c r="A4572" s="16">
        <f>IF(Calc!$B4572,Calc!E4572,"")</f>
        <v/>
      </c>
      <c r="B4572">
        <f>IF(Calc!$B4572,INDEX(MineNames,Calc!C4572),"")</f>
        <v/>
      </c>
      <c r="C4572" s="17">
        <f>IF(Calc!$B4572,Calc!O4572,"")</f>
        <v/>
      </c>
    </row>
    <row r="4573">
      <c r="A4573" s="16">
        <f>IF(Calc!$B4573,Calc!E4573,"")</f>
        <v/>
      </c>
      <c r="B4573">
        <f>IF(Calc!$B4573,INDEX(MineNames,Calc!C4573),"")</f>
        <v/>
      </c>
      <c r="C4573" s="17">
        <f>IF(Calc!$B4573,Calc!O4573,"")</f>
        <v/>
      </c>
    </row>
    <row r="4574">
      <c r="A4574" s="16">
        <f>IF(Calc!$B4574,Calc!E4574,"")</f>
        <v/>
      </c>
      <c r="B4574">
        <f>IF(Calc!$B4574,INDEX(MineNames,Calc!C4574),"")</f>
        <v/>
      </c>
      <c r="C4574" s="17">
        <f>IF(Calc!$B4574,Calc!O4574,"")</f>
        <v/>
      </c>
    </row>
    <row r="4575">
      <c r="A4575" s="16">
        <f>IF(Calc!$B4575,Calc!E4575,"")</f>
        <v/>
      </c>
      <c r="B4575">
        <f>IF(Calc!$B4575,INDEX(MineNames,Calc!C4575),"")</f>
        <v/>
      </c>
      <c r="C4575" s="17">
        <f>IF(Calc!$B4575,Calc!O4575,"")</f>
        <v/>
      </c>
    </row>
    <row r="4576">
      <c r="A4576" s="16">
        <f>IF(Calc!$B4576,Calc!E4576,"")</f>
        <v/>
      </c>
      <c r="B4576">
        <f>IF(Calc!$B4576,INDEX(MineNames,Calc!C4576),"")</f>
        <v/>
      </c>
      <c r="C4576" s="17">
        <f>IF(Calc!$B4576,Calc!O4576,"")</f>
        <v/>
      </c>
    </row>
    <row r="4577">
      <c r="A4577" s="16">
        <f>IF(Calc!$B4577,Calc!E4577,"")</f>
        <v/>
      </c>
      <c r="B4577">
        <f>IF(Calc!$B4577,INDEX(MineNames,Calc!C4577),"")</f>
        <v/>
      </c>
      <c r="C4577" s="17">
        <f>IF(Calc!$B4577,Calc!O4577,"")</f>
        <v/>
      </c>
    </row>
    <row r="4578">
      <c r="A4578" s="16">
        <f>IF(Calc!$B4578,Calc!E4578,"")</f>
        <v/>
      </c>
      <c r="B4578">
        <f>IF(Calc!$B4578,INDEX(MineNames,Calc!C4578),"")</f>
        <v/>
      </c>
      <c r="C4578" s="17">
        <f>IF(Calc!$B4578,Calc!O4578,"")</f>
        <v/>
      </c>
    </row>
    <row r="4579">
      <c r="A4579" s="16">
        <f>IF(Calc!$B4579,Calc!E4579,"")</f>
        <v/>
      </c>
      <c r="B4579">
        <f>IF(Calc!$B4579,INDEX(MineNames,Calc!C4579),"")</f>
        <v/>
      </c>
      <c r="C4579" s="17">
        <f>IF(Calc!$B4579,Calc!O4579,"")</f>
        <v/>
      </c>
    </row>
    <row r="4580">
      <c r="A4580" s="16">
        <f>IF(Calc!$B4580,Calc!E4580,"")</f>
        <v/>
      </c>
      <c r="B4580">
        <f>IF(Calc!$B4580,INDEX(MineNames,Calc!C4580),"")</f>
        <v/>
      </c>
      <c r="C4580" s="17">
        <f>IF(Calc!$B4580,Calc!O4580,"")</f>
        <v/>
      </c>
    </row>
    <row r="4581">
      <c r="A4581" s="16">
        <f>IF(Calc!$B4581,Calc!E4581,"")</f>
        <v/>
      </c>
      <c r="B4581">
        <f>IF(Calc!$B4581,INDEX(MineNames,Calc!C4581),"")</f>
        <v/>
      </c>
      <c r="C4581" s="17">
        <f>IF(Calc!$B4581,Calc!O4581,"")</f>
        <v/>
      </c>
    </row>
    <row r="4582">
      <c r="A4582" s="16">
        <f>IF(Calc!$B4582,Calc!E4582,"")</f>
        <v/>
      </c>
      <c r="B4582">
        <f>IF(Calc!$B4582,INDEX(MineNames,Calc!C4582),"")</f>
        <v/>
      </c>
      <c r="C4582" s="17">
        <f>IF(Calc!$B4582,Calc!O4582,"")</f>
        <v/>
      </c>
    </row>
    <row r="4583">
      <c r="A4583" s="16">
        <f>IF(Calc!$B4583,Calc!E4583,"")</f>
        <v/>
      </c>
      <c r="B4583">
        <f>IF(Calc!$B4583,INDEX(MineNames,Calc!C4583),"")</f>
        <v/>
      </c>
      <c r="C4583" s="17">
        <f>IF(Calc!$B4583,Calc!O4583,"")</f>
        <v/>
      </c>
    </row>
    <row r="4584">
      <c r="A4584" s="16">
        <f>IF(Calc!$B4584,Calc!E4584,"")</f>
        <v/>
      </c>
      <c r="B4584">
        <f>IF(Calc!$B4584,INDEX(MineNames,Calc!C4584),"")</f>
        <v/>
      </c>
      <c r="C4584" s="17">
        <f>IF(Calc!$B4584,Calc!O4584,"")</f>
        <v/>
      </c>
    </row>
    <row r="4585">
      <c r="A4585" s="16">
        <f>IF(Calc!$B4585,Calc!E4585,"")</f>
        <v/>
      </c>
      <c r="B4585">
        <f>IF(Calc!$B4585,INDEX(MineNames,Calc!C4585),"")</f>
        <v/>
      </c>
      <c r="C4585" s="17">
        <f>IF(Calc!$B4585,Calc!O4585,"")</f>
        <v/>
      </c>
    </row>
    <row r="4586">
      <c r="A4586" s="16">
        <f>IF(Calc!$B4586,Calc!E4586,"")</f>
        <v/>
      </c>
      <c r="B4586">
        <f>IF(Calc!$B4586,INDEX(MineNames,Calc!C4586),"")</f>
        <v/>
      </c>
      <c r="C4586" s="17">
        <f>IF(Calc!$B4586,Calc!O4586,"")</f>
        <v/>
      </c>
    </row>
    <row r="4587">
      <c r="A4587" s="16">
        <f>IF(Calc!$B4587,Calc!E4587,"")</f>
        <v/>
      </c>
      <c r="B4587">
        <f>IF(Calc!$B4587,INDEX(MineNames,Calc!C4587),"")</f>
        <v/>
      </c>
      <c r="C4587" s="17">
        <f>IF(Calc!$B4587,Calc!O4587,"")</f>
        <v/>
      </c>
    </row>
    <row r="4588">
      <c r="A4588" s="16">
        <f>IF(Calc!$B4588,Calc!E4588,"")</f>
        <v/>
      </c>
      <c r="B4588">
        <f>IF(Calc!$B4588,INDEX(MineNames,Calc!C4588),"")</f>
        <v/>
      </c>
      <c r="C4588" s="17">
        <f>IF(Calc!$B4588,Calc!O4588,"")</f>
        <v/>
      </c>
    </row>
    <row r="4589">
      <c r="A4589" s="16">
        <f>IF(Calc!$B4589,Calc!E4589,"")</f>
        <v/>
      </c>
      <c r="B4589">
        <f>IF(Calc!$B4589,INDEX(MineNames,Calc!C4589),"")</f>
        <v/>
      </c>
      <c r="C4589" s="17">
        <f>IF(Calc!$B4589,Calc!O4589,"")</f>
        <v/>
      </c>
    </row>
    <row r="4590">
      <c r="A4590" s="16">
        <f>IF(Calc!$B4590,Calc!E4590,"")</f>
        <v/>
      </c>
      <c r="B4590">
        <f>IF(Calc!$B4590,INDEX(MineNames,Calc!C4590),"")</f>
        <v/>
      </c>
      <c r="C4590" s="17">
        <f>IF(Calc!$B4590,Calc!O4590,"")</f>
        <v/>
      </c>
    </row>
    <row r="4591">
      <c r="A4591" s="16">
        <f>IF(Calc!$B4591,Calc!E4591,"")</f>
        <v/>
      </c>
      <c r="B4591">
        <f>IF(Calc!$B4591,INDEX(MineNames,Calc!C4591),"")</f>
        <v/>
      </c>
      <c r="C4591" s="17">
        <f>IF(Calc!$B4591,Calc!O4591,"")</f>
        <v/>
      </c>
    </row>
    <row r="4592">
      <c r="A4592" s="16">
        <f>IF(Calc!$B4592,Calc!E4592,"")</f>
        <v/>
      </c>
      <c r="B4592">
        <f>IF(Calc!$B4592,INDEX(MineNames,Calc!C4592),"")</f>
        <v/>
      </c>
      <c r="C4592" s="17">
        <f>IF(Calc!$B4592,Calc!O4592,"")</f>
        <v/>
      </c>
    </row>
    <row r="4593">
      <c r="A4593" s="16">
        <f>IF(Calc!$B4593,Calc!E4593,"")</f>
        <v/>
      </c>
      <c r="B4593">
        <f>IF(Calc!$B4593,INDEX(MineNames,Calc!C4593),"")</f>
        <v/>
      </c>
      <c r="C4593" s="17">
        <f>IF(Calc!$B4593,Calc!O4593,"")</f>
        <v/>
      </c>
    </row>
    <row r="4594">
      <c r="A4594" s="16">
        <f>IF(Calc!$B4594,Calc!E4594,"")</f>
        <v/>
      </c>
      <c r="B4594">
        <f>IF(Calc!$B4594,INDEX(MineNames,Calc!C4594),"")</f>
        <v/>
      </c>
      <c r="C4594" s="17">
        <f>IF(Calc!$B4594,Calc!O4594,"")</f>
        <v/>
      </c>
    </row>
    <row r="4595">
      <c r="A4595" s="16">
        <f>IF(Calc!$B4595,Calc!E4595,"")</f>
        <v/>
      </c>
      <c r="B4595">
        <f>IF(Calc!$B4595,INDEX(MineNames,Calc!C4595),"")</f>
        <v/>
      </c>
      <c r="C4595" s="17">
        <f>IF(Calc!$B4595,Calc!O4595,"")</f>
        <v/>
      </c>
    </row>
    <row r="4596">
      <c r="A4596" s="16">
        <f>IF(Calc!$B4596,Calc!E4596,"")</f>
        <v/>
      </c>
      <c r="B4596">
        <f>IF(Calc!$B4596,INDEX(MineNames,Calc!C4596),"")</f>
        <v/>
      </c>
      <c r="C4596" s="17">
        <f>IF(Calc!$B4596,Calc!O4596,"")</f>
        <v/>
      </c>
    </row>
    <row r="4597">
      <c r="A4597" s="16">
        <f>IF(Calc!$B4597,Calc!E4597,"")</f>
        <v/>
      </c>
      <c r="B4597">
        <f>IF(Calc!$B4597,INDEX(MineNames,Calc!C4597),"")</f>
        <v/>
      </c>
      <c r="C4597" s="17">
        <f>IF(Calc!$B4597,Calc!O4597,"")</f>
        <v/>
      </c>
    </row>
    <row r="4598">
      <c r="A4598" s="16">
        <f>IF(Calc!$B4598,Calc!E4598,"")</f>
        <v/>
      </c>
      <c r="B4598">
        <f>IF(Calc!$B4598,INDEX(MineNames,Calc!C4598),"")</f>
        <v/>
      </c>
      <c r="C4598" s="17">
        <f>IF(Calc!$B4598,Calc!O4598,"")</f>
        <v/>
      </c>
    </row>
    <row r="4599">
      <c r="A4599" s="16">
        <f>IF(Calc!$B4599,Calc!E4599,"")</f>
        <v/>
      </c>
      <c r="B4599">
        <f>IF(Calc!$B4599,INDEX(MineNames,Calc!C4599),"")</f>
        <v/>
      </c>
      <c r="C4599" s="17">
        <f>IF(Calc!$B4599,Calc!O4599,"")</f>
        <v/>
      </c>
    </row>
    <row r="4600">
      <c r="A4600" s="16">
        <f>IF(Calc!$B4600,Calc!E4600,"")</f>
        <v/>
      </c>
      <c r="B4600">
        <f>IF(Calc!$B4600,INDEX(MineNames,Calc!C4600),"")</f>
        <v/>
      </c>
      <c r="C4600" s="17">
        <f>IF(Calc!$B4600,Calc!O4600,"")</f>
        <v/>
      </c>
    </row>
    <row r="4601">
      <c r="A4601" s="16">
        <f>IF(Calc!$B4601,Calc!E4601,"")</f>
        <v/>
      </c>
      <c r="B4601">
        <f>IF(Calc!$B4601,INDEX(MineNames,Calc!C4601),"")</f>
        <v/>
      </c>
      <c r="C4601" s="17">
        <f>IF(Calc!$B4601,Calc!O4601,"")</f>
        <v/>
      </c>
    </row>
    <row r="4602">
      <c r="A4602" s="16">
        <f>IF(Calc!$B4602,Calc!E4602,"")</f>
        <v/>
      </c>
      <c r="B4602">
        <f>IF(Calc!$B4602,INDEX(MineNames,Calc!C4602),"")</f>
        <v/>
      </c>
      <c r="C4602" s="17">
        <f>IF(Calc!$B4602,Calc!O4602,"")</f>
        <v/>
      </c>
    </row>
    <row r="4603">
      <c r="A4603" s="16">
        <f>IF(Calc!$B4603,Calc!E4603,"")</f>
        <v/>
      </c>
      <c r="B4603">
        <f>IF(Calc!$B4603,INDEX(MineNames,Calc!C4603),"")</f>
        <v/>
      </c>
      <c r="C4603" s="17">
        <f>IF(Calc!$B4603,Calc!O4603,"")</f>
        <v/>
      </c>
    </row>
    <row r="4604">
      <c r="A4604" s="16">
        <f>IF(Calc!$B4604,Calc!E4604,"")</f>
        <v/>
      </c>
      <c r="B4604">
        <f>IF(Calc!$B4604,INDEX(MineNames,Calc!C4604),"")</f>
        <v/>
      </c>
      <c r="C4604" s="17">
        <f>IF(Calc!$B4604,Calc!O4604,"")</f>
        <v/>
      </c>
    </row>
    <row r="4605">
      <c r="A4605" s="16">
        <f>IF(Calc!$B4605,Calc!E4605,"")</f>
        <v/>
      </c>
      <c r="B4605">
        <f>IF(Calc!$B4605,INDEX(MineNames,Calc!C4605),"")</f>
        <v/>
      </c>
      <c r="C4605" s="17">
        <f>IF(Calc!$B4605,Calc!O4605,"")</f>
        <v/>
      </c>
    </row>
    <row r="4606">
      <c r="A4606" s="16">
        <f>IF(Calc!$B4606,Calc!E4606,"")</f>
        <v/>
      </c>
      <c r="B4606">
        <f>IF(Calc!$B4606,INDEX(MineNames,Calc!C4606),"")</f>
        <v/>
      </c>
      <c r="C4606" s="17">
        <f>IF(Calc!$B4606,Calc!O4606,"")</f>
        <v/>
      </c>
    </row>
    <row r="4607">
      <c r="A4607" s="16">
        <f>IF(Calc!$B4607,Calc!E4607,"")</f>
        <v/>
      </c>
      <c r="B4607">
        <f>IF(Calc!$B4607,INDEX(MineNames,Calc!C4607),"")</f>
        <v/>
      </c>
      <c r="C4607" s="17">
        <f>IF(Calc!$B4607,Calc!O4607,"")</f>
        <v/>
      </c>
    </row>
    <row r="4608">
      <c r="A4608" s="16">
        <f>IF(Calc!$B4608,Calc!E4608,"")</f>
        <v/>
      </c>
      <c r="B4608">
        <f>IF(Calc!$B4608,INDEX(MineNames,Calc!C4608),"")</f>
        <v/>
      </c>
      <c r="C4608" s="17">
        <f>IF(Calc!$B4608,Calc!O4608,"")</f>
        <v/>
      </c>
    </row>
    <row r="4609">
      <c r="A4609" s="16">
        <f>IF(Calc!$B4609,Calc!E4609,"")</f>
        <v/>
      </c>
      <c r="B4609">
        <f>IF(Calc!$B4609,INDEX(MineNames,Calc!C4609),"")</f>
        <v/>
      </c>
      <c r="C4609" s="17">
        <f>IF(Calc!$B4609,Calc!O4609,"")</f>
        <v/>
      </c>
    </row>
    <row r="4610">
      <c r="A4610" s="16">
        <f>IF(Calc!$B4610,Calc!E4610,"")</f>
        <v/>
      </c>
      <c r="B4610">
        <f>IF(Calc!$B4610,INDEX(MineNames,Calc!C4610),"")</f>
        <v/>
      </c>
      <c r="C4610" s="17">
        <f>IF(Calc!$B4610,Calc!O4610,"")</f>
        <v/>
      </c>
    </row>
    <row r="4611">
      <c r="A4611" s="16">
        <f>IF(Calc!$B4611,Calc!E4611,"")</f>
        <v/>
      </c>
      <c r="B4611">
        <f>IF(Calc!$B4611,INDEX(MineNames,Calc!C4611),"")</f>
        <v/>
      </c>
      <c r="C4611" s="17">
        <f>IF(Calc!$B4611,Calc!O4611,"")</f>
        <v/>
      </c>
    </row>
    <row r="4612">
      <c r="A4612" s="16">
        <f>IF(Calc!$B4612,Calc!E4612,"")</f>
        <v/>
      </c>
      <c r="B4612">
        <f>IF(Calc!$B4612,INDEX(MineNames,Calc!C4612),"")</f>
        <v/>
      </c>
      <c r="C4612" s="17">
        <f>IF(Calc!$B4612,Calc!O4612,"")</f>
        <v/>
      </c>
    </row>
    <row r="4613">
      <c r="A4613" s="16">
        <f>IF(Calc!$B4613,Calc!E4613,"")</f>
        <v/>
      </c>
      <c r="B4613">
        <f>IF(Calc!$B4613,INDEX(MineNames,Calc!C4613),"")</f>
        <v/>
      </c>
      <c r="C4613" s="17">
        <f>IF(Calc!$B4613,Calc!O4613,"")</f>
        <v/>
      </c>
    </row>
    <row r="4614">
      <c r="A4614" s="16">
        <f>IF(Calc!$B4614,Calc!E4614,"")</f>
        <v/>
      </c>
      <c r="B4614">
        <f>IF(Calc!$B4614,INDEX(MineNames,Calc!C4614),"")</f>
        <v/>
      </c>
      <c r="C4614" s="17">
        <f>IF(Calc!$B4614,Calc!O4614,"")</f>
        <v/>
      </c>
    </row>
    <row r="4615">
      <c r="A4615" s="16">
        <f>IF(Calc!$B4615,Calc!E4615,"")</f>
        <v/>
      </c>
      <c r="B4615">
        <f>IF(Calc!$B4615,INDEX(MineNames,Calc!C4615),"")</f>
        <v/>
      </c>
      <c r="C4615" s="17">
        <f>IF(Calc!$B4615,Calc!O4615,"")</f>
        <v/>
      </c>
    </row>
    <row r="4616">
      <c r="A4616" s="16">
        <f>IF(Calc!$B4616,Calc!E4616,"")</f>
        <v/>
      </c>
      <c r="B4616">
        <f>IF(Calc!$B4616,INDEX(MineNames,Calc!C4616),"")</f>
        <v/>
      </c>
      <c r="C4616" s="17">
        <f>IF(Calc!$B4616,Calc!O4616,"")</f>
        <v/>
      </c>
    </row>
    <row r="4617">
      <c r="A4617" s="16">
        <f>IF(Calc!$B4617,Calc!E4617,"")</f>
        <v/>
      </c>
      <c r="B4617">
        <f>IF(Calc!$B4617,INDEX(MineNames,Calc!C4617),"")</f>
        <v/>
      </c>
      <c r="C4617" s="17">
        <f>IF(Calc!$B4617,Calc!O4617,"")</f>
        <v/>
      </c>
    </row>
    <row r="4618">
      <c r="A4618" s="16">
        <f>IF(Calc!$B4618,Calc!E4618,"")</f>
        <v/>
      </c>
      <c r="B4618">
        <f>IF(Calc!$B4618,INDEX(MineNames,Calc!C4618),"")</f>
        <v/>
      </c>
      <c r="C4618" s="17">
        <f>IF(Calc!$B4618,Calc!O4618,"")</f>
        <v/>
      </c>
    </row>
    <row r="4619">
      <c r="A4619" s="16">
        <f>IF(Calc!$B4619,Calc!E4619,"")</f>
        <v/>
      </c>
      <c r="B4619">
        <f>IF(Calc!$B4619,INDEX(MineNames,Calc!C4619),"")</f>
        <v/>
      </c>
      <c r="C4619" s="17">
        <f>IF(Calc!$B4619,Calc!O4619,"")</f>
        <v/>
      </c>
    </row>
    <row r="4620">
      <c r="A4620" s="16">
        <f>IF(Calc!$B4620,Calc!E4620,"")</f>
        <v/>
      </c>
      <c r="B4620">
        <f>IF(Calc!$B4620,INDEX(MineNames,Calc!C4620),"")</f>
        <v/>
      </c>
      <c r="C4620" s="17">
        <f>IF(Calc!$B4620,Calc!O4620,"")</f>
        <v/>
      </c>
    </row>
    <row r="4621">
      <c r="A4621" s="16">
        <f>IF(Calc!$B4621,Calc!E4621,"")</f>
        <v/>
      </c>
      <c r="B4621">
        <f>IF(Calc!$B4621,INDEX(MineNames,Calc!C4621),"")</f>
        <v/>
      </c>
      <c r="C4621" s="17">
        <f>IF(Calc!$B4621,Calc!O4621,"")</f>
        <v/>
      </c>
    </row>
    <row r="4622">
      <c r="A4622" s="16">
        <f>IF(Calc!$B4622,Calc!E4622,"")</f>
        <v/>
      </c>
      <c r="B4622">
        <f>IF(Calc!$B4622,INDEX(MineNames,Calc!C4622),"")</f>
        <v/>
      </c>
      <c r="C4622" s="17">
        <f>IF(Calc!$B4622,Calc!O4622,"")</f>
        <v/>
      </c>
    </row>
    <row r="4623">
      <c r="A4623" s="16">
        <f>IF(Calc!$B4623,Calc!E4623,"")</f>
        <v/>
      </c>
      <c r="B4623">
        <f>IF(Calc!$B4623,INDEX(MineNames,Calc!C4623),"")</f>
        <v/>
      </c>
      <c r="C4623" s="17">
        <f>IF(Calc!$B4623,Calc!O4623,"")</f>
        <v/>
      </c>
    </row>
    <row r="4624">
      <c r="A4624" s="16">
        <f>IF(Calc!$B4624,Calc!E4624,"")</f>
        <v/>
      </c>
      <c r="B4624">
        <f>IF(Calc!$B4624,INDEX(MineNames,Calc!C4624),"")</f>
        <v/>
      </c>
      <c r="C4624" s="17">
        <f>IF(Calc!$B4624,Calc!O4624,"")</f>
        <v/>
      </c>
    </row>
    <row r="4625">
      <c r="A4625" s="16">
        <f>IF(Calc!$B4625,Calc!E4625,"")</f>
        <v/>
      </c>
      <c r="B4625">
        <f>IF(Calc!$B4625,INDEX(MineNames,Calc!C4625),"")</f>
        <v/>
      </c>
      <c r="C4625" s="17">
        <f>IF(Calc!$B4625,Calc!O4625,"")</f>
        <v/>
      </c>
    </row>
    <row r="4626">
      <c r="A4626" s="16">
        <f>IF(Calc!$B4626,Calc!E4626,"")</f>
        <v/>
      </c>
      <c r="B4626">
        <f>IF(Calc!$B4626,INDEX(MineNames,Calc!C4626),"")</f>
        <v/>
      </c>
      <c r="C4626" s="17">
        <f>IF(Calc!$B4626,Calc!O4626,"")</f>
        <v/>
      </c>
    </row>
    <row r="4627">
      <c r="A4627" s="16">
        <f>IF(Calc!$B4627,Calc!E4627,"")</f>
        <v/>
      </c>
      <c r="B4627">
        <f>IF(Calc!$B4627,INDEX(MineNames,Calc!C4627),"")</f>
        <v/>
      </c>
      <c r="C4627" s="17">
        <f>IF(Calc!$B4627,Calc!O4627,"")</f>
        <v/>
      </c>
    </row>
    <row r="4628">
      <c r="A4628" s="16">
        <f>IF(Calc!$B4628,Calc!E4628,"")</f>
        <v/>
      </c>
      <c r="B4628">
        <f>IF(Calc!$B4628,INDEX(MineNames,Calc!C4628),"")</f>
        <v/>
      </c>
      <c r="C4628" s="17">
        <f>IF(Calc!$B4628,Calc!O4628,"")</f>
        <v/>
      </c>
    </row>
    <row r="4629">
      <c r="A4629" s="16">
        <f>IF(Calc!$B4629,Calc!E4629,"")</f>
        <v/>
      </c>
      <c r="B4629">
        <f>IF(Calc!$B4629,INDEX(MineNames,Calc!C4629),"")</f>
        <v/>
      </c>
      <c r="C4629" s="17">
        <f>IF(Calc!$B4629,Calc!O4629,"")</f>
        <v/>
      </c>
    </row>
    <row r="4630">
      <c r="A4630" s="16">
        <f>IF(Calc!$B4630,Calc!E4630,"")</f>
        <v/>
      </c>
      <c r="B4630">
        <f>IF(Calc!$B4630,INDEX(MineNames,Calc!C4630),"")</f>
        <v/>
      </c>
      <c r="C4630" s="17">
        <f>IF(Calc!$B4630,Calc!O4630,"")</f>
        <v/>
      </c>
    </row>
    <row r="4631">
      <c r="A4631" s="16">
        <f>IF(Calc!$B4631,Calc!E4631,"")</f>
        <v/>
      </c>
      <c r="B4631">
        <f>IF(Calc!$B4631,INDEX(MineNames,Calc!C4631),"")</f>
        <v/>
      </c>
      <c r="C4631" s="17">
        <f>IF(Calc!$B4631,Calc!O4631,"")</f>
        <v/>
      </c>
    </row>
    <row r="4632">
      <c r="A4632" s="16">
        <f>IF(Calc!$B4632,Calc!E4632,"")</f>
        <v/>
      </c>
      <c r="B4632">
        <f>IF(Calc!$B4632,INDEX(MineNames,Calc!C4632),"")</f>
        <v/>
      </c>
      <c r="C4632" s="17">
        <f>IF(Calc!$B4632,Calc!O4632,"")</f>
        <v/>
      </c>
    </row>
    <row r="4633">
      <c r="A4633" s="16">
        <f>IF(Calc!$B4633,Calc!E4633,"")</f>
        <v/>
      </c>
      <c r="B4633">
        <f>IF(Calc!$B4633,INDEX(MineNames,Calc!C4633),"")</f>
        <v/>
      </c>
      <c r="C4633" s="17">
        <f>IF(Calc!$B4633,Calc!O4633,"")</f>
        <v/>
      </c>
    </row>
    <row r="4634">
      <c r="A4634" s="16">
        <f>IF(Calc!$B4634,Calc!E4634,"")</f>
        <v/>
      </c>
      <c r="B4634">
        <f>IF(Calc!$B4634,INDEX(MineNames,Calc!C4634),"")</f>
        <v/>
      </c>
      <c r="C4634" s="17">
        <f>IF(Calc!$B4634,Calc!O4634,"")</f>
        <v/>
      </c>
    </row>
    <row r="4635">
      <c r="A4635" s="16">
        <f>IF(Calc!$B4635,Calc!E4635,"")</f>
        <v/>
      </c>
      <c r="B4635">
        <f>IF(Calc!$B4635,INDEX(MineNames,Calc!C4635),"")</f>
        <v/>
      </c>
      <c r="C4635" s="17">
        <f>IF(Calc!$B4635,Calc!O4635,"")</f>
        <v/>
      </c>
    </row>
    <row r="4636">
      <c r="A4636" s="16">
        <f>IF(Calc!$B4636,Calc!E4636,"")</f>
        <v/>
      </c>
      <c r="B4636">
        <f>IF(Calc!$B4636,INDEX(MineNames,Calc!C4636),"")</f>
        <v/>
      </c>
      <c r="C4636" s="17">
        <f>IF(Calc!$B4636,Calc!O4636,"")</f>
        <v/>
      </c>
    </row>
    <row r="4637">
      <c r="A4637" s="16">
        <f>IF(Calc!$B4637,Calc!E4637,"")</f>
        <v/>
      </c>
      <c r="B4637">
        <f>IF(Calc!$B4637,INDEX(MineNames,Calc!C4637),"")</f>
        <v/>
      </c>
      <c r="C4637" s="17">
        <f>IF(Calc!$B4637,Calc!O4637,"")</f>
        <v/>
      </c>
    </row>
    <row r="4638">
      <c r="A4638" s="16">
        <f>IF(Calc!$B4638,Calc!E4638,"")</f>
        <v/>
      </c>
      <c r="B4638">
        <f>IF(Calc!$B4638,INDEX(MineNames,Calc!C4638),"")</f>
        <v/>
      </c>
      <c r="C4638" s="17">
        <f>IF(Calc!$B4638,Calc!O4638,"")</f>
        <v/>
      </c>
    </row>
    <row r="4639">
      <c r="A4639" s="16">
        <f>IF(Calc!$B4639,Calc!E4639,"")</f>
        <v/>
      </c>
      <c r="B4639">
        <f>IF(Calc!$B4639,INDEX(MineNames,Calc!C4639),"")</f>
        <v/>
      </c>
      <c r="C4639" s="17">
        <f>IF(Calc!$B4639,Calc!O4639,"")</f>
        <v/>
      </c>
    </row>
    <row r="4640">
      <c r="A4640" s="16">
        <f>IF(Calc!$B4640,Calc!E4640,"")</f>
        <v/>
      </c>
      <c r="B4640">
        <f>IF(Calc!$B4640,INDEX(MineNames,Calc!C4640),"")</f>
        <v/>
      </c>
      <c r="C4640" s="17">
        <f>IF(Calc!$B4640,Calc!O4640,"")</f>
        <v/>
      </c>
    </row>
    <row r="4641">
      <c r="A4641" s="16">
        <f>IF(Calc!$B4641,Calc!E4641,"")</f>
        <v/>
      </c>
      <c r="B4641">
        <f>IF(Calc!$B4641,INDEX(MineNames,Calc!C4641),"")</f>
        <v/>
      </c>
      <c r="C4641" s="17">
        <f>IF(Calc!$B4641,Calc!O4641,"")</f>
        <v/>
      </c>
    </row>
    <row r="4642">
      <c r="A4642" s="16">
        <f>IF(Calc!$B4642,Calc!E4642,"")</f>
        <v/>
      </c>
      <c r="B4642">
        <f>IF(Calc!$B4642,INDEX(MineNames,Calc!C4642),"")</f>
        <v/>
      </c>
      <c r="C4642" s="17">
        <f>IF(Calc!$B4642,Calc!O4642,"")</f>
        <v/>
      </c>
    </row>
    <row r="4643">
      <c r="A4643" s="16">
        <f>IF(Calc!$B4643,Calc!E4643,"")</f>
        <v/>
      </c>
      <c r="B4643">
        <f>IF(Calc!$B4643,INDEX(MineNames,Calc!C4643),"")</f>
        <v/>
      </c>
      <c r="C4643" s="17">
        <f>IF(Calc!$B4643,Calc!O4643,"")</f>
        <v/>
      </c>
    </row>
    <row r="4644">
      <c r="A4644" s="16">
        <f>IF(Calc!$B4644,Calc!E4644,"")</f>
        <v/>
      </c>
      <c r="B4644">
        <f>IF(Calc!$B4644,INDEX(MineNames,Calc!C4644),"")</f>
        <v/>
      </c>
      <c r="C4644" s="17">
        <f>IF(Calc!$B4644,Calc!O4644,"")</f>
        <v/>
      </c>
    </row>
    <row r="4645">
      <c r="A4645" s="16">
        <f>IF(Calc!$B4645,Calc!E4645,"")</f>
        <v/>
      </c>
      <c r="B4645">
        <f>IF(Calc!$B4645,INDEX(MineNames,Calc!C4645),"")</f>
        <v/>
      </c>
      <c r="C4645" s="17">
        <f>IF(Calc!$B4645,Calc!O4645,"")</f>
        <v/>
      </c>
    </row>
    <row r="4646">
      <c r="A4646" s="16">
        <f>IF(Calc!$B4646,Calc!E4646,"")</f>
        <v/>
      </c>
      <c r="B4646">
        <f>IF(Calc!$B4646,INDEX(MineNames,Calc!C4646),"")</f>
        <v/>
      </c>
      <c r="C4646" s="17">
        <f>IF(Calc!$B4646,Calc!O4646,"")</f>
        <v/>
      </c>
    </row>
    <row r="4647">
      <c r="A4647" s="16">
        <f>IF(Calc!$B4647,Calc!E4647,"")</f>
        <v/>
      </c>
      <c r="B4647">
        <f>IF(Calc!$B4647,INDEX(MineNames,Calc!C4647),"")</f>
        <v/>
      </c>
      <c r="C4647" s="17">
        <f>IF(Calc!$B4647,Calc!O4647,"")</f>
        <v/>
      </c>
    </row>
    <row r="4648">
      <c r="A4648" s="16">
        <f>IF(Calc!$B4648,Calc!E4648,"")</f>
        <v/>
      </c>
      <c r="B4648">
        <f>IF(Calc!$B4648,INDEX(MineNames,Calc!C4648),"")</f>
        <v/>
      </c>
      <c r="C4648" s="17">
        <f>IF(Calc!$B4648,Calc!O4648,"")</f>
        <v/>
      </c>
    </row>
    <row r="4649">
      <c r="A4649" s="16">
        <f>IF(Calc!$B4649,Calc!E4649,"")</f>
        <v/>
      </c>
      <c r="B4649">
        <f>IF(Calc!$B4649,INDEX(MineNames,Calc!C4649),"")</f>
        <v/>
      </c>
      <c r="C4649" s="17">
        <f>IF(Calc!$B4649,Calc!O4649,"")</f>
        <v/>
      </c>
    </row>
    <row r="4650">
      <c r="A4650" s="16">
        <f>IF(Calc!$B4650,Calc!E4650,"")</f>
        <v/>
      </c>
      <c r="B4650">
        <f>IF(Calc!$B4650,INDEX(MineNames,Calc!C4650),"")</f>
        <v/>
      </c>
      <c r="C4650" s="17">
        <f>IF(Calc!$B4650,Calc!O4650,"")</f>
        <v/>
      </c>
    </row>
    <row r="4651">
      <c r="A4651" s="16">
        <f>IF(Calc!$B4651,Calc!E4651,"")</f>
        <v/>
      </c>
      <c r="B4651">
        <f>IF(Calc!$B4651,INDEX(MineNames,Calc!C4651),"")</f>
        <v/>
      </c>
      <c r="C4651" s="17">
        <f>IF(Calc!$B4651,Calc!O4651,"")</f>
        <v/>
      </c>
    </row>
    <row r="4652">
      <c r="A4652" s="16">
        <f>IF(Calc!$B4652,Calc!E4652,"")</f>
        <v/>
      </c>
      <c r="B4652">
        <f>IF(Calc!$B4652,INDEX(MineNames,Calc!C4652),"")</f>
        <v/>
      </c>
      <c r="C4652" s="17">
        <f>IF(Calc!$B4652,Calc!O4652,"")</f>
        <v/>
      </c>
    </row>
    <row r="4653">
      <c r="A4653" s="16">
        <f>IF(Calc!$B4653,Calc!E4653,"")</f>
        <v/>
      </c>
      <c r="B4653">
        <f>IF(Calc!$B4653,INDEX(MineNames,Calc!C4653),"")</f>
        <v/>
      </c>
      <c r="C4653" s="17">
        <f>IF(Calc!$B4653,Calc!O4653,"")</f>
        <v/>
      </c>
    </row>
    <row r="4654">
      <c r="A4654" s="16">
        <f>IF(Calc!$B4654,Calc!E4654,"")</f>
        <v/>
      </c>
      <c r="B4654">
        <f>IF(Calc!$B4654,INDEX(MineNames,Calc!C4654),"")</f>
        <v/>
      </c>
      <c r="C4654" s="17">
        <f>IF(Calc!$B4654,Calc!O4654,"")</f>
        <v/>
      </c>
    </row>
    <row r="4655">
      <c r="A4655" s="16">
        <f>IF(Calc!$B4655,Calc!E4655,"")</f>
        <v/>
      </c>
      <c r="B4655">
        <f>IF(Calc!$B4655,INDEX(MineNames,Calc!C4655),"")</f>
        <v/>
      </c>
      <c r="C4655" s="17">
        <f>IF(Calc!$B4655,Calc!O4655,"")</f>
        <v/>
      </c>
    </row>
    <row r="4656">
      <c r="A4656" s="16">
        <f>IF(Calc!$B4656,Calc!E4656,"")</f>
        <v/>
      </c>
      <c r="B4656">
        <f>IF(Calc!$B4656,INDEX(MineNames,Calc!C4656),"")</f>
        <v/>
      </c>
      <c r="C4656" s="17">
        <f>IF(Calc!$B4656,Calc!O4656,"")</f>
        <v/>
      </c>
    </row>
    <row r="4657">
      <c r="A4657" s="16">
        <f>IF(Calc!$B4657,Calc!E4657,"")</f>
        <v/>
      </c>
      <c r="B4657">
        <f>IF(Calc!$B4657,INDEX(MineNames,Calc!C4657),"")</f>
        <v/>
      </c>
      <c r="C4657" s="17">
        <f>IF(Calc!$B4657,Calc!O4657,"")</f>
        <v/>
      </c>
    </row>
    <row r="4658">
      <c r="A4658" s="16">
        <f>IF(Calc!$B4658,Calc!E4658,"")</f>
        <v/>
      </c>
      <c r="B4658">
        <f>IF(Calc!$B4658,INDEX(MineNames,Calc!C4658),"")</f>
        <v/>
      </c>
      <c r="C4658" s="17">
        <f>IF(Calc!$B4658,Calc!O4658,"")</f>
        <v/>
      </c>
    </row>
    <row r="4659">
      <c r="A4659" s="16">
        <f>IF(Calc!$B4659,Calc!E4659,"")</f>
        <v/>
      </c>
      <c r="B4659">
        <f>IF(Calc!$B4659,INDEX(MineNames,Calc!C4659),"")</f>
        <v/>
      </c>
      <c r="C4659" s="17">
        <f>IF(Calc!$B4659,Calc!O4659,"")</f>
        <v/>
      </c>
    </row>
    <row r="4660">
      <c r="A4660" s="16">
        <f>IF(Calc!$B4660,Calc!E4660,"")</f>
        <v/>
      </c>
      <c r="B4660">
        <f>IF(Calc!$B4660,INDEX(MineNames,Calc!C4660),"")</f>
        <v/>
      </c>
      <c r="C4660" s="17">
        <f>IF(Calc!$B4660,Calc!O4660,"")</f>
        <v/>
      </c>
    </row>
    <row r="4661">
      <c r="A4661" s="16">
        <f>IF(Calc!$B4661,Calc!E4661,"")</f>
        <v/>
      </c>
      <c r="B4661">
        <f>IF(Calc!$B4661,INDEX(MineNames,Calc!C4661),"")</f>
        <v/>
      </c>
      <c r="C4661" s="17">
        <f>IF(Calc!$B4661,Calc!O4661,"")</f>
        <v/>
      </c>
    </row>
    <row r="4662">
      <c r="A4662" s="16">
        <f>IF(Calc!$B4662,Calc!E4662,"")</f>
        <v/>
      </c>
      <c r="B4662">
        <f>IF(Calc!$B4662,INDEX(MineNames,Calc!C4662),"")</f>
        <v/>
      </c>
      <c r="C4662" s="17">
        <f>IF(Calc!$B4662,Calc!O4662,"")</f>
        <v/>
      </c>
    </row>
    <row r="4663">
      <c r="A4663" s="16">
        <f>IF(Calc!$B4663,Calc!E4663,"")</f>
        <v/>
      </c>
      <c r="B4663">
        <f>IF(Calc!$B4663,INDEX(MineNames,Calc!C4663),"")</f>
        <v/>
      </c>
      <c r="C4663" s="17">
        <f>IF(Calc!$B4663,Calc!O4663,"")</f>
        <v/>
      </c>
    </row>
    <row r="4664">
      <c r="A4664" s="16">
        <f>IF(Calc!$B4664,Calc!E4664,"")</f>
        <v/>
      </c>
      <c r="B4664">
        <f>IF(Calc!$B4664,INDEX(MineNames,Calc!C4664),"")</f>
        <v/>
      </c>
      <c r="C4664" s="17">
        <f>IF(Calc!$B4664,Calc!O4664,"")</f>
        <v/>
      </c>
    </row>
    <row r="4665">
      <c r="A4665" s="16">
        <f>IF(Calc!$B4665,Calc!E4665,"")</f>
        <v/>
      </c>
      <c r="B4665">
        <f>IF(Calc!$B4665,INDEX(MineNames,Calc!C4665),"")</f>
        <v/>
      </c>
      <c r="C4665" s="17">
        <f>IF(Calc!$B4665,Calc!O4665,"")</f>
        <v/>
      </c>
    </row>
    <row r="4666">
      <c r="A4666" s="16">
        <f>IF(Calc!$B4666,Calc!E4666,"")</f>
        <v/>
      </c>
      <c r="B4666">
        <f>IF(Calc!$B4666,INDEX(MineNames,Calc!C4666),"")</f>
        <v/>
      </c>
      <c r="C4666" s="17">
        <f>IF(Calc!$B4666,Calc!O4666,"")</f>
        <v/>
      </c>
    </row>
    <row r="4667">
      <c r="A4667" s="16">
        <f>IF(Calc!$B4667,Calc!E4667,"")</f>
        <v/>
      </c>
      <c r="B4667">
        <f>IF(Calc!$B4667,INDEX(MineNames,Calc!C4667),"")</f>
        <v/>
      </c>
      <c r="C4667" s="17">
        <f>IF(Calc!$B4667,Calc!O4667,"")</f>
        <v/>
      </c>
    </row>
    <row r="4668">
      <c r="A4668" s="16">
        <f>IF(Calc!$B4668,Calc!E4668,"")</f>
        <v/>
      </c>
      <c r="B4668">
        <f>IF(Calc!$B4668,INDEX(MineNames,Calc!C4668),"")</f>
        <v/>
      </c>
      <c r="C4668" s="17">
        <f>IF(Calc!$B4668,Calc!O4668,"")</f>
        <v/>
      </c>
    </row>
    <row r="4669">
      <c r="A4669" s="16">
        <f>IF(Calc!$B4669,Calc!E4669,"")</f>
        <v/>
      </c>
      <c r="B4669">
        <f>IF(Calc!$B4669,INDEX(MineNames,Calc!C4669),"")</f>
        <v/>
      </c>
      <c r="C4669" s="17">
        <f>IF(Calc!$B4669,Calc!O4669,"")</f>
        <v/>
      </c>
    </row>
    <row r="4670">
      <c r="A4670" s="16">
        <f>IF(Calc!$B4670,Calc!E4670,"")</f>
        <v/>
      </c>
      <c r="B4670">
        <f>IF(Calc!$B4670,INDEX(MineNames,Calc!C4670),"")</f>
        <v/>
      </c>
      <c r="C4670" s="17">
        <f>IF(Calc!$B4670,Calc!O4670,"")</f>
        <v/>
      </c>
    </row>
    <row r="4671">
      <c r="A4671" s="16">
        <f>IF(Calc!$B4671,Calc!E4671,"")</f>
        <v/>
      </c>
      <c r="B4671">
        <f>IF(Calc!$B4671,INDEX(MineNames,Calc!C4671),"")</f>
        <v/>
      </c>
      <c r="C4671" s="17">
        <f>IF(Calc!$B4671,Calc!O4671,"")</f>
        <v/>
      </c>
    </row>
    <row r="4672">
      <c r="A4672" s="16">
        <f>IF(Calc!$B4672,Calc!E4672,"")</f>
        <v/>
      </c>
      <c r="B4672">
        <f>IF(Calc!$B4672,INDEX(MineNames,Calc!C4672),"")</f>
        <v/>
      </c>
      <c r="C4672" s="17">
        <f>IF(Calc!$B4672,Calc!O4672,"")</f>
        <v/>
      </c>
    </row>
    <row r="4673">
      <c r="A4673" s="16">
        <f>IF(Calc!$B4673,Calc!E4673,"")</f>
        <v/>
      </c>
      <c r="B4673">
        <f>IF(Calc!$B4673,INDEX(MineNames,Calc!C4673),"")</f>
        <v/>
      </c>
      <c r="C4673" s="17">
        <f>IF(Calc!$B4673,Calc!O4673,"")</f>
        <v/>
      </c>
    </row>
    <row r="4674">
      <c r="A4674" s="16">
        <f>IF(Calc!$B4674,Calc!E4674,"")</f>
        <v/>
      </c>
      <c r="B4674">
        <f>IF(Calc!$B4674,INDEX(MineNames,Calc!C4674),"")</f>
        <v/>
      </c>
      <c r="C4674" s="17">
        <f>IF(Calc!$B4674,Calc!O4674,"")</f>
        <v/>
      </c>
    </row>
    <row r="4675">
      <c r="A4675" s="16">
        <f>IF(Calc!$B4675,Calc!E4675,"")</f>
        <v/>
      </c>
      <c r="B4675">
        <f>IF(Calc!$B4675,INDEX(MineNames,Calc!C4675),"")</f>
        <v/>
      </c>
      <c r="C4675" s="17">
        <f>IF(Calc!$B4675,Calc!O4675,"")</f>
        <v/>
      </c>
    </row>
    <row r="4676">
      <c r="A4676" s="16">
        <f>IF(Calc!$B4676,Calc!E4676,"")</f>
        <v/>
      </c>
      <c r="B4676">
        <f>IF(Calc!$B4676,INDEX(MineNames,Calc!C4676),"")</f>
        <v/>
      </c>
      <c r="C4676" s="17">
        <f>IF(Calc!$B4676,Calc!O4676,"")</f>
        <v/>
      </c>
    </row>
    <row r="4677">
      <c r="A4677" s="16">
        <f>IF(Calc!$B4677,Calc!E4677,"")</f>
        <v/>
      </c>
      <c r="B4677">
        <f>IF(Calc!$B4677,INDEX(MineNames,Calc!C4677),"")</f>
        <v/>
      </c>
      <c r="C4677" s="17">
        <f>IF(Calc!$B4677,Calc!O4677,"")</f>
        <v/>
      </c>
    </row>
    <row r="4678">
      <c r="A4678" s="16">
        <f>IF(Calc!$B4678,Calc!E4678,"")</f>
        <v/>
      </c>
      <c r="B4678">
        <f>IF(Calc!$B4678,INDEX(MineNames,Calc!C4678),"")</f>
        <v/>
      </c>
      <c r="C4678" s="17">
        <f>IF(Calc!$B4678,Calc!O4678,"")</f>
        <v/>
      </c>
    </row>
    <row r="4679">
      <c r="A4679" s="16">
        <f>IF(Calc!$B4679,Calc!E4679,"")</f>
        <v/>
      </c>
      <c r="B4679">
        <f>IF(Calc!$B4679,INDEX(MineNames,Calc!C4679),"")</f>
        <v/>
      </c>
      <c r="C4679" s="17">
        <f>IF(Calc!$B4679,Calc!O4679,"")</f>
        <v/>
      </c>
    </row>
    <row r="4680">
      <c r="A4680" s="16">
        <f>IF(Calc!$B4680,Calc!E4680,"")</f>
        <v/>
      </c>
      <c r="B4680">
        <f>IF(Calc!$B4680,INDEX(MineNames,Calc!C4680),"")</f>
        <v/>
      </c>
      <c r="C4680" s="17">
        <f>IF(Calc!$B4680,Calc!O4680,"")</f>
        <v/>
      </c>
    </row>
    <row r="4681">
      <c r="A4681" s="16">
        <f>IF(Calc!$B4681,Calc!E4681,"")</f>
        <v/>
      </c>
      <c r="B4681">
        <f>IF(Calc!$B4681,INDEX(MineNames,Calc!C4681),"")</f>
        <v/>
      </c>
      <c r="C4681" s="17">
        <f>IF(Calc!$B4681,Calc!O4681,"")</f>
        <v/>
      </c>
    </row>
    <row r="4682">
      <c r="A4682" s="16">
        <f>IF(Calc!$B4682,Calc!E4682,"")</f>
        <v/>
      </c>
      <c r="B4682">
        <f>IF(Calc!$B4682,INDEX(MineNames,Calc!C4682),"")</f>
        <v/>
      </c>
      <c r="C4682" s="17">
        <f>IF(Calc!$B4682,Calc!O4682,"")</f>
        <v/>
      </c>
    </row>
    <row r="4683">
      <c r="A4683" s="16">
        <f>IF(Calc!$B4683,Calc!E4683,"")</f>
        <v/>
      </c>
      <c r="B4683">
        <f>IF(Calc!$B4683,INDEX(MineNames,Calc!C4683),"")</f>
        <v/>
      </c>
      <c r="C4683" s="17">
        <f>IF(Calc!$B4683,Calc!O4683,"")</f>
        <v/>
      </c>
    </row>
    <row r="4684">
      <c r="A4684" s="16">
        <f>IF(Calc!$B4684,Calc!E4684,"")</f>
        <v/>
      </c>
      <c r="B4684">
        <f>IF(Calc!$B4684,INDEX(MineNames,Calc!C4684),"")</f>
        <v/>
      </c>
      <c r="C4684" s="17">
        <f>IF(Calc!$B4684,Calc!O4684,"")</f>
        <v/>
      </c>
    </row>
    <row r="4685">
      <c r="A4685" s="16">
        <f>IF(Calc!$B4685,Calc!E4685,"")</f>
        <v/>
      </c>
      <c r="B4685">
        <f>IF(Calc!$B4685,INDEX(MineNames,Calc!C4685),"")</f>
        <v/>
      </c>
      <c r="C4685" s="17">
        <f>IF(Calc!$B4685,Calc!O4685,"")</f>
        <v/>
      </c>
    </row>
    <row r="4686">
      <c r="A4686" s="16">
        <f>IF(Calc!$B4686,Calc!E4686,"")</f>
        <v/>
      </c>
      <c r="B4686">
        <f>IF(Calc!$B4686,INDEX(MineNames,Calc!C4686),"")</f>
        <v/>
      </c>
      <c r="C4686" s="17">
        <f>IF(Calc!$B4686,Calc!O4686,"")</f>
        <v/>
      </c>
    </row>
    <row r="4687">
      <c r="A4687" s="16">
        <f>IF(Calc!$B4687,Calc!E4687,"")</f>
        <v/>
      </c>
      <c r="B4687">
        <f>IF(Calc!$B4687,INDEX(MineNames,Calc!C4687),"")</f>
        <v/>
      </c>
      <c r="C4687" s="17">
        <f>IF(Calc!$B4687,Calc!O4687,"")</f>
        <v/>
      </c>
    </row>
    <row r="4688">
      <c r="A4688" s="16">
        <f>IF(Calc!$B4688,Calc!E4688,"")</f>
        <v/>
      </c>
      <c r="B4688">
        <f>IF(Calc!$B4688,INDEX(MineNames,Calc!C4688),"")</f>
        <v/>
      </c>
      <c r="C4688" s="17">
        <f>IF(Calc!$B4688,Calc!O4688,"")</f>
        <v/>
      </c>
    </row>
    <row r="4689">
      <c r="A4689" s="16">
        <f>IF(Calc!$B4689,Calc!E4689,"")</f>
        <v/>
      </c>
      <c r="B4689">
        <f>IF(Calc!$B4689,INDEX(MineNames,Calc!C4689),"")</f>
        <v/>
      </c>
      <c r="C4689" s="17">
        <f>IF(Calc!$B4689,Calc!O4689,"")</f>
        <v/>
      </c>
    </row>
    <row r="4690">
      <c r="A4690" s="16">
        <f>IF(Calc!$B4690,Calc!E4690,"")</f>
        <v/>
      </c>
      <c r="B4690">
        <f>IF(Calc!$B4690,INDEX(MineNames,Calc!C4690),"")</f>
        <v/>
      </c>
      <c r="C4690" s="17">
        <f>IF(Calc!$B4690,Calc!O4690,"")</f>
        <v/>
      </c>
    </row>
    <row r="4691">
      <c r="A4691" s="16">
        <f>IF(Calc!$B4691,Calc!E4691,"")</f>
        <v/>
      </c>
      <c r="B4691">
        <f>IF(Calc!$B4691,INDEX(MineNames,Calc!C4691),"")</f>
        <v/>
      </c>
      <c r="C4691" s="17">
        <f>IF(Calc!$B4691,Calc!O4691,"")</f>
        <v/>
      </c>
    </row>
    <row r="4692">
      <c r="A4692" s="16">
        <f>IF(Calc!$B4692,Calc!E4692,"")</f>
        <v/>
      </c>
      <c r="B4692">
        <f>IF(Calc!$B4692,INDEX(MineNames,Calc!C4692),"")</f>
        <v/>
      </c>
      <c r="C4692" s="17">
        <f>IF(Calc!$B4692,Calc!O4692,"")</f>
        <v/>
      </c>
    </row>
    <row r="4693">
      <c r="A4693" s="16">
        <f>IF(Calc!$B4693,Calc!E4693,"")</f>
        <v/>
      </c>
      <c r="B4693">
        <f>IF(Calc!$B4693,INDEX(MineNames,Calc!C4693),"")</f>
        <v/>
      </c>
      <c r="C4693" s="17">
        <f>IF(Calc!$B4693,Calc!O4693,"")</f>
        <v/>
      </c>
    </row>
    <row r="4694">
      <c r="A4694" s="16">
        <f>IF(Calc!$B4694,Calc!E4694,"")</f>
        <v/>
      </c>
      <c r="B4694">
        <f>IF(Calc!$B4694,INDEX(MineNames,Calc!C4694),"")</f>
        <v/>
      </c>
      <c r="C4694" s="17">
        <f>IF(Calc!$B4694,Calc!O4694,"")</f>
        <v/>
      </c>
    </row>
    <row r="4695">
      <c r="A4695" s="16">
        <f>IF(Calc!$B4695,Calc!E4695,"")</f>
        <v/>
      </c>
      <c r="B4695">
        <f>IF(Calc!$B4695,INDEX(MineNames,Calc!C4695),"")</f>
        <v/>
      </c>
      <c r="C4695" s="17">
        <f>IF(Calc!$B4695,Calc!O4695,"")</f>
        <v/>
      </c>
    </row>
    <row r="4696">
      <c r="A4696" s="16">
        <f>IF(Calc!$B4696,Calc!E4696,"")</f>
        <v/>
      </c>
      <c r="B4696">
        <f>IF(Calc!$B4696,INDEX(MineNames,Calc!C4696),"")</f>
        <v/>
      </c>
      <c r="C4696" s="17">
        <f>IF(Calc!$B4696,Calc!O4696,"")</f>
        <v/>
      </c>
    </row>
    <row r="4697">
      <c r="A4697" s="16">
        <f>IF(Calc!$B4697,Calc!E4697,"")</f>
        <v/>
      </c>
      <c r="B4697">
        <f>IF(Calc!$B4697,INDEX(MineNames,Calc!C4697),"")</f>
        <v/>
      </c>
      <c r="C4697" s="17">
        <f>IF(Calc!$B4697,Calc!O4697,"")</f>
        <v/>
      </c>
    </row>
    <row r="4698">
      <c r="A4698" s="16">
        <f>IF(Calc!$B4698,Calc!E4698,"")</f>
        <v/>
      </c>
      <c r="B4698">
        <f>IF(Calc!$B4698,INDEX(MineNames,Calc!C4698),"")</f>
        <v/>
      </c>
      <c r="C4698" s="17">
        <f>IF(Calc!$B4698,Calc!O4698,"")</f>
        <v/>
      </c>
    </row>
    <row r="4699">
      <c r="A4699" s="16">
        <f>IF(Calc!$B4699,Calc!E4699,"")</f>
        <v/>
      </c>
      <c r="B4699">
        <f>IF(Calc!$B4699,INDEX(MineNames,Calc!C4699),"")</f>
        <v/>
      </c>
      <c r="C4699" s="17">
        <f>IF(Calc!$B4699,Calc!O4699,"")</f>
        <v/>
      </c>
    </row>
    <row r="4700">
      <c r="A4700" s="16">
        <f>IF(Calc!$B4700,Calc!E4700,"")</f>
        <v/>
      </c>
      <c r="B4700">
        <f>IF(Calc!$B4700,INDEX(MineNames,Calc!C4700),"")</f>
        <v/>
      </c>
      <c r="C4700" s="17">
        <f>IF(Calc!$B4700,Calc!O4700,"")</f>
        <v/>
      </c>
    </row>
    <row r="4701">
      <c r="A4701" s="16">
        <f>IF(Calc!$B4701,Calc!E4701,"")</f>
        <v/>
      </c>
      <c r="B4701">
        <f>IF(Calc!$B4701,INDEX(MineNames,Calc!C4701),"")</f>
        <v/>
      </c>
      <c r="C4701" s="17">
        <f>IF(Calc!$B4701,Calc!O4701,"")</f>
        <v/>
      </c>
    </row>
    <row r="4702">
      <c r="A4702" s="16">
        <f>IF(Calc!$B4702,Calc!E4702,"")</f>
        <v/>
      </c>
      <c r="B4702">
        <f>IF(Calc!$B4702,INDEX(MineNames,Calc!C4702),"")</f>
        <v/>
      </c>
      <c r="C4702" s="17">
        <f>IF(Calc!$B4702,Calc!O4702,"")</f>
        <v/>
      </c>
    </row>
    <row r="4703">
      <c r="A4703" s="16">
        <f>IF(Calc!$B4703,Calc!E4703,"")</f>
        <v/>
      </c>
      <c r="B4703">
        <f>IF(Calc!$B4703,INDEX(MineNames,Calc!C4703),"")</f>
        <v/>
      </c>
      <c r="C4703" s="17">
        <f>IF(Calc!$B4703,Calc!O4703,"")</f>
        <v/>
      </c>
    </row>
    <row r="4704">
      <c r="A4704" s="16">
        <f>IF(Calc!$B4704,Calc!E4704,"")</f>
        <v/>
      </c>
      <c r="B4704">
        <f>IF(Calc!$B4704,INDEX(MineNames,Calc!C4704),"")</f>
        <v/>
      </c>
      <c r="C4704" s="17">
        <f>IF(Calc!$B4704,Calc!O4704,"")</f>
        <v/>
      </c>
    </row>
    <row r="4705">
      <c r="A4705" s="16">
        <f>IF(Calc!$B4705,Calc!E4705,"")</f>
        <v/>
      </c>
      <c r="B4705">
        <f>IF(Calc!$B4705,INDEX(MineNames,Calc!C4705),"")</f>
        <v/>
      </c>
      <c r="C4705" s="17">
        <f>IF(Calc!$B4705,Calc!O4705,"")</f>
        <v/>
      </c>
    </row>
    <row r="4706">
      <c r="A4706" s="16">
        <f>IF(Calc!$B4706,Calc!E4706,"")</f>
        <v/>
      </c>
      <c r="B4706">
        <f>IF(Calc!$B4706,INDEX(MineNames,Calc!C4706),"")</f>
        <v/>
      </c>
      <c r="C4706" s="17">
        <f>IF(Calc!$B4706,Calc!O4706,"")</f>
        <v/>
      </c>
    </row>
    <row r="4707">
      <c r="A4707" s="16">
        <f>IF(Calc!$B4707,Calc!E4707,"")</f>
        <v/>
      </c>
      <c r="B4707">
        <f>IF(Calc!$B4707,INDEX(MineNames,Calc!C4707),"")</f>
        <v/>
      </c>
      <c r="C4707" s="17">
        <f>IF(Calc!$B4707,Calc!O4707,"")</f>
        <v/>
      </c>
    </row>
    <row r="4708">
      <c r="A4708" s="16">
        <f>IF(Calc!$B4708,Calc!E4708,"")</f>
        <v/>
      </c>
      <c r="B4708">
        <f>IF(Calc!$B4708,INDEX(MineNames,Calc!C4708),"")</f>
        <v/>
      </c>
      <c r="C4708" s="17">
        <f>IF(Calc!$B4708,Calc!O4708,"")</f>
        <v/>
      </c>
    </row>
    <row r="4709">
      <c r="A4709" s="16">
        <f>IF(Calc!$B4709,Calc!E4709,"")</f>
        <v/>
      </c>
      <c r="B4709">
        <f>IF(Calc!$B4709,INDEX(MineNames,Calc!C4709),"")</f>
        <v/>
      </c>
      <c r="C4709" s="17">
        <f>IF(Calc!$B4709,Calc!O4709,"")</f>
        <v/>
      </c>
    </row>
    <row r="4710">
      <c r="A4710" s="16">
        <f>IF(Calc!$B4710,Calc!E4710,"")</f>
        <v/>
      </c>
      <c r="B4710">
        <f>IF(Calc!$B4710,INDEX(MineNames,Calc!C4710),"")</f>
        <v/>
      </c>
      <c r="C4710" s="17">
        <f>IF(Calc!$B4710,Calc!O4710,"")</f>
        <v/>
      </c>
    </row>
    <row r="4711">
      <c r="A4711" s="16">
        <f>IF(Calc!$B4711,Calc!E4711,"")</f>
        <v/>
      </c>
      <c r="B4711">
        <f>IF(Calc!$B4711,INDEX(MineNames,Calc!C4711),"")</f>
        <v/>
      </c>
      <c r="C4711" s="17">
        <f>IF(Calc!$B4711,Calc!O4711,"")</f>
        <v/>
      </c>
    </row>
    <row r="4712">
      <c r="A4712" s="16">
        <f>IF(Calc!$B4712,Calc!E4712,"")</f>
        <v/>
      </c>
      <c r="B4712">
        <f>IF(Calc!$B4712,INDEX(MineNames,Calc!C4712),"")</f>
        <v/>
      </c>
      <c r="C4712" s="17">
        <f>IF(Calc!$B4712,Calc!O4712,"")</f>
        <v/>
      </c>
    </row>
    <row r="4713">
      <c r="A4713" s="16">
        <f>IF(Calc!$B4713,Calc!E4713,"")</f>
        <v/>
      </c>
      <c r="B4713">
        <f>IF(Calc!$B4713,INDEX(MineNames,Calc!C4713),"")</f>
        <v/>
      </c>
      <c r="C4713" s="17">
        <f>IF(Calc!$B4713,Calc!O4713,"")</f>
        <v/>
      </c>
    </row>
    <row r="4714">
      <c r="A4714" s="16">
        <f>IF(Calc!$B4714,Calc!E4714,"")</f>
        <v/>
      </c>
      <c r="B4714">
        <f>IF(Calc!$B4714,INDEX(MineNames,Calc!C4714),"")</f>
        <v/>
      </c>
      <c r="C4714" s="17">
        <f>IF(Calc!$B4714,Calc!O4714,"")</f>
        <v/>
      </c>
    </row>
    <row r="4715">
      <c r="A4715" s="16">
        <f>IF(Calc!$B4715,Calc!E4715,"")</f>
        <v/>
      </c>
      <c r="B4715">
        <f>IF(Calc!$B4715,INDEX(MineNames,Calc!C4715),"")</f>
        <v/>
      </c>
      <c r="C4715" s="17">
        <f>IF(Calc!$B4715,Calc!O4715,"")</f>
        <v/>
      </c>
    </row>
    <row r="4716">
      <c r="A4716" s="16">
        <f>IF(Calc!$B4716,Calc!E4716,"")</f>
        <v/>
      </c>
      <c r="B4716">
        <f>IF(Calc!$B4716,INDEX(MineNames,Calc!C4716),"")</f>
        <v/>
      </c>
      <c r="C4716" s="17">
        <f>IF(Calc!$B4716,Calc!O4716,"")</f>
        <v/>
      </c>
    </row>
    <row r="4717">
      <c r="A4717" s="16">
        <f>IF(Calc!$B4717,Calc!E4717,"")</f>
        <v/>
      </c>
      <c r="B4717">
        <f>IF(Calc!$B4717,INDEX(MineNames,Calc!C4717),"")</f>
        <v/>
      </c>
      <c r="C4717" s="17">
        <f>IF(Calc!$B4717,Calc!O4717,"")</f>
        <v/>
      </c>
    </row>
    <row r="4718">
      <c r="A4718" s="16">
        <f>IF(Calc!$B4718,Calc!E4718,"")</f>
        <v/>
      </c>
      <c r="B4718">
        <f>IF(Calc!$B4718,INDEX(MineNames,Calc!C4718),"")</f>
        <v/>
      </c>
      <c r="C4718" s="17">
        <f>IF(Calc!$B4718,Calc!O4718,"")</f>
        <v/>
      </c>
    </row>
    <row r="4719">
      <c r="A4719" s="16">
        <f>IF(Calc!$B4719,Calc!E4719,"")</f>
        <v/>
      </c>
      <c r="B4719">
        <f>IF(Calc!$B4719,INDEX(MineNames,Calc!C4719),"")</f>
        <v/>
      </c>
      <c r="C4719" s="17">
        <f>IF(Calc!$B4719,Calc!O4719,"")</f>
        <v/>
      </c>
    </row>
    <row r="4720">
      <c r="A4720" s="16">
        <f>IF(Calc!$B4720,Calc!E4720,"")</f>
        <v/>
      </c>
      <c r="B4720">
        <f>IF(Calc!$B4720,INDEX(MineNames,Calc!C4720),"")</f>
        <v/>
      </c>
      <c r="C4720" s="17">
        <f>IF(Calc!$B4720,Calc!O4720,"")</f>
        <v/>
      </c>
    </row>
    <row r="4721">
      <c r="A4721" s="16">
        <f>IF(Calc!$B4721,Calc!E4721,"")</f>
        <v/>
      </c>
      <c r="B4721">
        <f>IF(Calc!$B4721,INDEX(MineNames,Calc!C4721),"")</f>
        <v/>
      </c>
      <c r="C4721" s="17">
        <f>IF(Calc!$B4721,Calc!O4721,"")</f>
        <v/>
      </c>
    </row>
    <row r="4722">
      <c r="A4722" s="16">
        <f>IF(Calc!$B4722,Calc!E4722,"")</f>
        <v/>
      </c>
      <c r="B4722">
        <f>IF(Calc!$B4722,INDEX(MineNames,Calc!C4722),"")</f>
        <v/>
      </c>
      <c r="C4722" s="17">
        <f>IF(Calc!$B4722,Calc!O4722,"")</f>
        <v/>
      </c>
    </row>
    <row r="4723">
      <c r="A4723" s="16">
        <f>IF(Calc!$B4723,Calc!E4723,"")</f>
        <v/>
      </c>
      <c r="B4723">
        <f>IF(Calc!$B4723,INDEX(MineNames,Calc!C4723),"")</f>
        <v/>
      </c>
      <c r="C4723" s="17">
        <f>IF(Calc!$B4723,Calc!O4723,"")</f>
        <v/>
      </c>
    </row>
    <row r="4724">
      <c r="A4724" s="16">
        <f>IF(Calc!$B4724,Calc!E4724,"")</f>
        <v/>
      </c>
      <c r="B4724">
        <f>IF(Calc!$B4724,INDEX(MineNames,Calc!C4724),"")</f>
        <v/>
      </c>
      <c r="C4724" s="17">
        <f>IF(Calc!$B4724,Calc!O4724,"")</f>
        <v/>
      </c>
    </row>
    <row r="4725">
      <c r="A4725" s="16">
        <f>IF(Calc!$B4725,Calc!E4725,"")</f>
        <v/>
      </c>
      <c r="B4725">
        <f>IF(Calc!$B4725,INDEX(MineNames,Calc!C4725),"")</f>
        <v/>
      </c>
      <c r="C4725" s="17">
        <f>IF(Calc!$B4725,Calc!O4725,"")</f>
        <v/>
      </c>
    </row>
    <row r="4726">
      <c r="A4726" s="16">
        <f>IF(Calc!$B4726,Calc!E4726,"")</f>
        <v/>
      </c>
      <c r="B4726">
        <f>IF(Calc!$B4726,INDEX(MineNames,Calc!C4726),"")</f>
        <v/>
      </c>
      <c r="C4726" s="17">
        <f>IF(Calc!$B4726,Calc!O4726,"")</f>
        <v/>
      </c>
    </row>
    <row r="4727">
      <c r="A4727" s="16">
        <f>IF(Calc!$B4727,Calc!E4727,"")</f>
        <v/>
      </c>
      <c r="B4727">
        <f>IF(Calc!$B4727,INDEX(MineNames,Calc!C4727),"")</f>
        <v/>
      </c>
      <c r="C4727" s="17">
        <f>IF(Calc!$B4727,Calc!O4727,"")</f>
        <v/>
      </c>
    </row>
    <row r="4728">
      <c r="A4728" s="16">
        <f>IF(Calc!$B4728,Calc!E4728,"")</f>
        <v/>
      </c>
      <c r="B4728">
        <f>IF(Calc!$B4728,INDEX(MineNames,Calc!C4728),"")</f>
        <v/>
      </c>
      <c r="C4728" s="17">
        <f>IF(Calc!$B4728,Calc!O4728,"")</f>
        <v/>
      </c>
    </row>
    <row r="4729">
      <c r="A4729" s="16">
        <f>IF(Calc!$B4729,Calc!E4729,"")</f>
        <v/>
      </c>
      <c r="B4729">
        <f>IF(Calc!$B4729,INDEX(MineNames,Calc!C4729),"")</f>
        <v/>
      </c>
      <c r="C4729" s="17">
        <f>IF(Calc!$B4729,Calc!O4729,"")</f>
        <v/>
      </c>
    </row>
    <row r="4730">
      <c r="A4730" s="16">
        <f>IF(Calc!$B4730,Calc!E4730,"")</f>
        <v/>
      </c>
      <c r="B4730">
        <f>IF(Calc!$B4730,INDEX(MineNames,Calc!C4730),"")</f>
        <v/>
      </c>
      <c r="C4730" s="17">
        <f>IF(Calc!$B4730,Calc!O4730,"")</f>
        <v/>
      </c>
    </row>
    <row r="4731">
      <c r="A4731" s="16">
        <f>IF(Calc!$B4731,Calc!E4731,"")</f>
        <v/>
      </c>
      <c r="B4731">
        <f>IF(Calc!$B4731,INDEX(MineNames,Calc!C4731),"")</f>
        <v/>
      </c>
      <c r="C4731" s="17">
        <f>IF(Calc!$B4731,Calc!O4731,"")</f>
        <v/>
      </c>
    </row>
    <row r="4732">
      <c r="A4732" s="16">
        <f>IF(Calc!$B4732,Calc!E4732,"")</f>
        <v/>
      </c>
      <c r="B4732">
        <f>IF(Calc!$B4732,INDEX(MineNames,Calc!C4732),"")</f>
        <v/>
      </c>
      <c r="C4732" s="17">
        <f>IF(Calc!$B4732,Calc!O4732,"")</f>
        <v/>
      </c>
    </row>
    <row r="4733">
      <c r="A4733" s="16">
        <f>IF(Calc!$B4733,Calc!E4733,"")</f>
        <v/>
      </c>
      <c r="B4733">
        <f>IF(Calc!$B4733,INDEX(MineNames,Calc!C4733),"")</f>
        <v/>
      </c>
      <c r="C4733" s="17">
        <f>IF(Calc!$B4733,Calc!O4733,"")</f>
        <v/>
      </c>
    </row>
    <row r="4734">
      <c r="A4734" s="16">
        <f>IF(Calc!$B4734,Calc!E4734,"")</f>
        <v/>
      </c>
      <c r="B4734">
        <f>IF(Calc!$B4734,INDEX(MineNames,Calc!C4734),"")</f>
        <v/>
      </c>
      <c r="C4734" s="17">
        <f>IF(Calc!$B4734,Calc!O4734,"")</f>
        <v/>
      </c>
    </row>
    <row r="4735">
      <c r="A4735" s="16">
        <f>IF(Calc!$B4735,Calc!E4735,"")</f>
        <v/>
      </c>
      <c r="B4735">
        <f>IF(Calc!$B4735,INDEX(MineNames,Calc!C4735),"")</f>
        <v/>
      </c>
      <c r="C4735" s="17">
        <f>IF(Calc!$B4735,Calc!O4735,"")</f>
        <v/>
      </c>
    </row>
    <row r="4736">
      <c r="A4736" s="16">
        <f>IF(Calc!$B4736,Calc!E4736,"")</f>
        <v/>
      </c>
      <c r="B4736">
        <f>IF(Calc!$B4736,INDEX(MineNames,Calc!C4736),"")</f>
        <v/>
      </c>
      <c r="C4736" s="17">
        <f>IF(Calc!$B4736,Calc!O4736,"")</f>
        <v/>
      </c>
    </row>
    <row r="4737">
      <c r="A4737" s="16">
        <f>IF(Calc!$B4737,Calc!E4737,"")</f>
        <v/>
      </c>
      <c r="B4737">
        <f>IF(Calc!$B4737,INDEX(MineNames,Calc!C4737),"")</f>
        <v/>
      </c>
      <c r="C4737" s="17">
        <f>IF(Calc!$B4737,Calc!O4737,"")</f>
        <v/>
      </c>
    </row>
    <row r="4738">
      <c r="A4738" s="16">
        <f>IF(Calc!$B4738,Calc!E4738,"")</f>
        <v/>
      </c>
      <c r="B4738">
        <f>IF(Calc!$B4738,INDEX(MineNames,Calc!C4738),"")</f>
        <v/>
      </c>
      <c r="C4738" s="17">
        <f>IF(Calc!$B4738,Calc!O4738,"")</f>
        <v/>
      </c>
    </row>
    <row r="4739">
      <c r="A4739" s="16">
        <f>IF(Calc!$B4739,Calc!E4739,"")</f>
        <v/>
      </c>
      <c r="B4739">
        <f>IF(Calc!$B4739,INDEX(MineNames,Calc!C4739),"")</f>
        <v/>
      </c>
      <c r="C4739" s="17">
        <f>IF(Calc!$B4739,Calc!O4739,"")</f>
        <v/>
      </c>
    </row>
    <row r="4740">
      <c r="A4740" s="16">
        <f>IF(Calc!$B4740,Calc!E4740,"")</f>
        <v/>
      </c>
      <c r="B4740">
        <f>IF(Calc!$B4740,INDEX(MineNames,Calc!C4740),"")</f>
        <v/>
      </c>
      <c r="C4740" s="17">
        <f>IF(Calc!$B4740,Calc!O4740,"")</f>
        <v/>
      </c>
    </row>
    <row r="4741">
      <c r="A4741" s="16">
        <f>IF(Calc!$B4741,Calc!E4741,"")</f>
        <v/>
      </c>
      <c r="B4741">
        <f>IF(Calc!$B4741,INDEX(MineNames,Calc!C4741),"")</f>
        <v/>
      </c>
      <c r="C4741" s="17">
        <f>IF(Calc!$B4741,Calc!O4741,"")</f>
        <v/>
      </c>
    </row>
    <row r="4742">
      <c r="A4742" s="16">
        <f>IF(Calc!$B4742,Calc!E4742,"")</f>
        <v/>
      </c>
      <c r="B4742">
        <f>IF(Calc!$B4742,INDEX(MineNames,Calc!C4742),"")</f>
        <v/>
      </c>
      <c r="C4742" s="17">
        <f>IF(Calc!$B4742,Calc!O4742,"")</f>
        <v/>
      </c>
    </row>
    <row r="4743">
      <c r="A4743" s="16">
        <f>IF(Calc!$B4743,Calc!E4743,"")</f>
        <v/>
      </c>
      <c r="B4743">
        <f>IF(Calc!$B4743,INDEX(MineNames,Calc!C4743),"")</f>
        <v/>
      </c>
      <c r="C4743" s="17">
        <f>IF(Calc!$B4743,Calc!O4743,"")</f>
        <v/>
      </c>
    </row>
    <row r="4744">
      <c r="A4744" s="16">
        <f>IF(Calc!$B4744,Calc!E4744,"")</f>
        <v/>
      </c>
      <c r="B4744">
        <f>IF(Calc!$B4744,INDEX(MineNames,Calc!C4744),"")</f>
        <v/>
      </c>
      <c r="C4744" s="17">
        <f>IF(Calc!$B4744,Calc!O4744,"")</f>
        <v/>
      </c>
    </row>
    <row r="4745">
      <c r="A4745" s="16">
        <f>IF(Calc!$B4745,Calc!E4745,"")</f>
        <v/>
      </c>
      <c r="B4745">
        <f>IF(Calc!$B4745,INDEX(MineNames,Calc!C4745),"")</f>
        <v/>
      </c>
      <c r="C4745" s="17">
        <f>IF(Calc!$B4745,Calc!O4745,"")</f>
        <v/>
      </c>
    </row>
    <row r="4746">
      <c r="A4746" s="16">
        <f>IF(Calc!$B4746,Calc!E4746,"")</f>
        <v/>
      </c>
      <c r="B4746">
        <f>IF(Calc!$B4746,INDEX(MineNames,Calc!C4746),"")</f>
        <v/>
      </c>
      <c r="C4746" s="17">
        <f>IF(Calc!$B4746,Calc!O4746,"")</f>
        <v/>
      </c>
    </row>
    <row r="4747">
      <c r="A4747" s="16">
        <f>IF(Calc!$B4747,Calc!E4747,"")</f>
        <v/>
      </c>
      <c r="B4747">
        <f>IF(Calc!$B4747,INDEX(MineNames,Calc!C4747),"")</f>
        <v/>
      </c>
      <c r="C4747" s="17">
        <f>IF(Calc!$B4747,Calc!O4747,"")</f>
        <v/>
      </c>
    </row>
    <row r="4748">
      <c r="A4748" s="16">
        <f>IF(Calc!$B4748,Calc!E4748,"")</f>
        <v/>
      </c>
      <c r="B4748">
        <f>IF(Calc!$B4748,INDEX(MineNames,Calc!C4748),"")</f>
        <v/>
      </c>
      <c r="C4748" s="17">
        <f>IF(Calc!$B4748,Calc!O4748,"")</f>
        <v/>
      </c>
    </row>
    <row r="4749">
      <c r="A4749" s="16">
        <f>IF(Calc!$B4749,Calc!E4749,"")</f>
        <v/>
      </c>
      <c r="B4749">
        <f>IF(Calc!$B4749,INDEX(MineNames,Calc!C4749),"")</f>
        <v/>
      </c>
      <c r="C4749" s="17">
        <f>IF(Calc!$B4749,Calc!O4749,"")</f>
        <v/>
      </c>
    </row>
    <row r="4750">
      <c r="A4750" s="16">
        <f>IF(Calc!$B4750,Calc!E4750,"")</f>
        <v/>
      </c>
      <c r="B4750">
        <f>IF(Calc!$B4750,INDEX(MineNames,Calc!C4750),"")</f>
        <v/>
      </c>
      <c r="C4750" s="17">
        <f>IF(Calc!$B4750,Calc!O4750,"")</f>
        <v/>
      </c>
    </row>
    <row r="4751">
      <c r="A4751" s="16">
        <f>IF(Calc!$B4751,Calc!E4751,"")</f>
        <v/>
      </c>
      <c r="B4751">
        <f>IF(Calc!$B4751,INDEX(MineNames,Calc!C4751),"")</f>
        <v/>
      </c>
      <c r="C4751" s="17">
        <f>IF(Calc!$B4751,Calc!O4751,"")</f>
        <v/>
      </c>
    </row>
    <row r="4752">
      <c r="A4752" s="16">
        <f>IF(Calc!$B4752,Calc!E4752,"")</f>
        <v/>
      </c>
      <c r="B4752">
        <f>IF(Calc!$B4752,INDEX(MineNames,Calc!C4752),"")</f>
        <v/>
      </c>
      <c r="C4752" s="17">
        <f>IF(Calc!$B4752,Calc!O4752,"")</f>
        <v/>
      </c>
    </row>
    <row r="4753">
      <c r="A4753" s="16">
        <f>IF(Calc!$B4753,Calc!E4753,"")</f>
        <v/>
      </c>
      <c r="B4753">
        <f>IF(Calc!$B4753,INDEX(MineNames,Calc!C4753),"")</f>
        <v/>
      </c>
      <c r="C4753" s="17">
        <f>IF(Calc!$B4753,Calc!O4753,"")</f>
        <v/>
      </c>
    </row>
    <row r="4754">
      <c r="A4754" s="16">
        <f>IF(Calc!$B4754,Calc!E4754,"")</f>
        <v/>
      </c>
      <c r="B4754">
        <f>IF(Calc!$B4754,INDEX(MineNames,Calc!C4754),"")</f>
        <v/>
      </c>
      <c r="C4754" s="17">
        <f>IF(Calc!$B4754,Calc!O4754,"")</f>
        <v/>
      </c>
    </row>
    <row r="4755">
      <c r="A4755" s="16">
        <f>IF(Calc!$B4755,Calc!E4755,"")</f>
        <v/>
      </c>
      <c r="B4755">
        <f>IF(Calc!$B4755,INDEX(MineNames,Calc!C4755),"")</f>
        <v/>
      </c>
      <c r="C4755" s="17">
        <f>IF(Calc!$B4755,Calc!O4755,"")</f>
        <v/>
      </c>
    </row>
    <row r="4756">
      <c r="A4756" s="16">
        <f>IF(Calc!$B4756,Calc!E4756,"")</f>
        <v/>
      </c>
      <c r="B4756">
        <f>IF(Calc!$B4756,INDEX(MineNames,Calc!C4756),"")</f>
        <v/>
      </c>
      <c r="C4756" s="17">
        <f>IF(Calc!$B4756,Calc!O4756,"")</f>
        <v/>
      </c>
    </row>
    <row r="4757">
      <c r="A4757" s="16">
        <f>IF(Calc!$B4757,Calc!E4757,"")</f>
        <v/>
      </c>
      <c r="B4757">
        <f>IF(Calc!$B4757,INDEX(MineNames,Calc!C4757),"")</f>
        <v/>
      </c>
      <c r="C4757" s="17">
        <f>IF(Calc!$B4757,Calc!O4757,"")</f>
        <v/>
      </c>
    </row>
    <row r="4758">
      <c r="A4758" s="16">
        <f>IF(Calc!$B4758,Calc!E4758,"")</f>
        <v/>
      </c>
      <c r="B4758">
        <f>IF(Calc!$B4758,INDEX(MineNames,Calc!C4758),"")</f>
        <v/>
      </c>
      <c r="C4758" s="17">
        <f>IF(Calc!$B4758,Calc!O4758,"")</f>
        <v/>
      </c>
    </row>
    <row r="4759">
      <c r="A4759" s="16">
        <f>IF(Calc!$B4759,Calc!E4759,"")</f>
        <v/>
      </c>
      <c r="B4759">
        <f>IF(Calc!$B4759,INDEX(MineNames,Calc!C4759),"")</f>
        <v/>
      </c>
      <c r="C4759" s="17">
        <f>IF(Calc!$B4759,Calc!O4759,"")</f>
        <v/>
      </c>
    </row>
    <row r="4760">
      <c r="A4760" s="16">
        <f>IF(Calc!$B4760,Calc!E4760,"")</f>
        <v/>
      </c>
      <c r="B4760">
        <f>IF(Calc!$B4760,INDEX(MineNames,Calc!C4760),"")</f>
        <v/>
      </c>
      <c r="C4760" s="17">
        <f>IF(Calc!$B4760,Calc!O4760,"")</f>
        <v/>
      </c>
    </row>
    <row r="4761">
      <c r="A4761" s="16">
        <f>IF(Calc!$B4761,Calc!E4761,"")</f>
        <v/>
      </c>
      <c r="B4761">
        <f>IF(Calc!$B4761,INDEX(MineNames,Calc!C4761),"")</f>
        <v/>
      </c>
      <c r="C4761" s="17">
        <f>IF(Calc!$B4761,Calc!O4761,"")</f>
        <v/>
      </c>
    </row>
    <row r="4762">
      <c r="A4762" s="16">
        <f>IF(Calc!$B4762,Calc!E4762,"")</f>
        <v/>
      </c>
      <c r="B4762">
        <f>IF(Calc!$B4762,INDEX(MineNames,Calc!C4762),"")</f>
        <v/>
      </c>
      <c r="C4762" s="17">
        <f>IF(Calc!$B4762,Calc!O4762,"")</f>
        <v/>
      </c>
    </row>
    <row r="4763">
      <c r="A4763" s="16">
        <f>IF(Calc!$B4763,Calc!E4763,"")</f>
        <v/>
      </c>
      <c r="B4763">
        <f>IF(Calc!$B4763,INDEX(MineNames,Calc!C4763),"")</f>
        <v/>
      </c>
      <c r="C4763" s="17">
        <f>IF(Calc!$B4763,Calc!O4763,"")</f>
        <v/>
      </c>
    </row>
    <row r="4764">
      <c r="A4764" s="16">
        <f>IF(Calc!$B4764,Calc!E4764,"")</f>
        <v/>
      </c>
      <c r="B4764">
        <f>IF(Calc!$B4764,INDEX(MineNames,Calc!C4764),"")</f>
        <v/>
      </c>
      <c r="C4764" s="17">
        <f>IF(Calc!$B4764,Calc!O4764,"")</f>
        <v/>
      </c>
    </row>
    <row r="4765">
      <c r="A4765" s="16">
        <f>IF(Calc!$B4765,Calc!E4765,"")</f>
        <v/>
      </c>
      <c r="B4765">
        <f>IF(Calc!$B4765,INDEX(MineNames,Calc!C4765),"")</f>
        <v/>
      </c>
      <c r="C4765" s="17">
        <f>IF(Calc!$B4765,Calc!O4765,"")</f>
        <v/>
      </c>
    </row>
    <row r="4766">
      <c r="A4766" s="16">
        <f>IF(Calc!$B4766,Calc!E4766,"")</f>
        <v/>
      </c>
      <c r="B4766">
        <f>IF(Calc!$B4766,INDEX(MineNames,Calc!C4766),"")</f>
        <v/>
      </c>
      <c r="C4766" s="17">
        <f>IF(Calc!$B4766,Calc!O4766,"")</f>
        <v/>
      </c>
    </row>
    <row r="4767">
      <c r="A4767" s="16">
        <f>IF(Calc!$B4767,Calc!E4767,"")</f>
        <v/>
      </c>
      <c r="B4767">
        <f>IF(Calc!$B4767,INDEX(MineNames,Calc!C4767),"")</f>
        <v/>
      </c>
      <c r="C4767" s="17">
        <f>IF(Calc!$B4767,Calc!O4767,"")</f>
        <v/>
      </c>
    </row>
    <row r="4768">
      <c r="A4768" s="16">
        <f>IF(Calc!$B4768,Calc!E4768,"")</f>
        <v/>
      </c>
      <c r="B4768">
        <f>IF(Calc!$B4768,INDEX(MineNames,Calc!C4768),"")</f>
        <v/>
      </c>
      <c r="C4768" s="17">
        <f>IF(Calc!$B4768,Calc!O4768,"")</f>
        <v/>
      </c>
    </row>
    <row r="4769">
      <c r="A4769" s="16">
        <f>IF(Calc!$B4769,Calc!E4769,"")</f>
        <v/>
      </c>
      <c r="B4769">
        <f>IF(Calc!$B4769,INDEX(MineNames,Calc!C4769),"")</f>
        <v/>
      </c>
      <c r="C4769" s="17">
        <f>IF(Calc!$B4769,Calc!O4769,"")</f>
        <v/>
      </c>
    </row>
    <row r="4770">
      <c r="A4770" s="16">
        <f>IF(Calc!$B4770,Calc!E4770,"")</f>
        <v/>
      </c>
      <c r="B4770">
        <f>IF(Calc!$B4770,INDEX(MineNames,Calc!C4770),"")</f>
        <v/>
      </c>
      <c r="C4770" s="17">
        <f>IF(Calc!$B4770,Calc!O4770,"")</f>
        <v/>
      </c>
    </row>
    <row r="4771">
      <c r="A4771" s="16">
        <f>IF(Calc!$B4771,Calc!E4771,"")</f>
        <v/>
      </c>
      <c r="B4771">
        <f>IF(Calc!$B4771,INDEX(MineNames,Calc!C4771),"")</f>
        <v/>
      </c>
      <c r="C4771" s="17">
        <f>IF(Calc!$B4771,Calc!O4771,"")</f>
        <v/>
      </c>
    </row>
    <row r="4772">
      <c r="A4772" s="16">
        <f>IF(Calc!$B4772,Calc!E4772,"")</f>
        <v/>
      </c>
      <c r="B4772">
        <f>IF(Calc!$B4772,INDEX(MineNames,Calc!C4772),"")</f>
        <v/>
      </c>
      <c r="C4772" s="17">
        <f>IF(Calc!$B4772,Calc!O4772,"")</f>
        <v/>
      </c>
    </row>
    <row r="4773">
      <c r="A4773" s="16">
        <f>IF(Calc!$B4773,Calc!E4773,"")</f>
        <v/>
      </c>
      <c r="B4773">
        <f>IF(Calc!$B4773,INDEX(MineNames,Calc!C4773),"")</f>
        <v/>
      </c>
      <c r="C4773" s="17">
        <f>IF(Calc!$B4773,Calc!O4773,"")</f>
        <v/>
      </c>
    </row>
    <row r="4774">
      <c r="A4774" s="16">
        <f>IF(Calc!$B4774,Calc!E4774,"")</f>
        <v/>
      </c>
      <c r="B4774">
        <f>IF(Calc!$B4774,INDEX(MineNames,Calc!C4774),"")</f>
        <v/>
      </c>
      <c r="C4774" s="17">
        <f>IF(Calc!$B4774,Calc!O4774,"")</f>
        <v/>
      </c>
    </row>
    <row r="4775">
      <c r="A4775" s="16">
        <f>IF(Calc!$B4775,Calc!E4775,"")</f>
        <v/>
      </c>
      <c r="B4775">
        <f>IF(Calc!$B4775,INDEX(MineNames,Calc!C4775),"")</f>
        <v/>
      </c>
      <c r="C4775" s="17">
        <f>IF(Calc!$B4775,Calc!O4775,"")</f>
        <v/>
      </c>
    </row>
    <row r="4776">
      <c r="A4776" s="16">
        <f>IF(Calc!$B4776,Calc!E4776,"")</f>
        <v/>
      </c>
      <c r="B4776">
        <f>IF(Calc!$B4776,INDEX(MineNames,Calc!C4776),"")</f>
        <v/>
      </c>
      <c r="C4776" s="17">
        <f>IF(Calc!$B4776,Calc!O4776,"")</f>
        <v/>
      </c>
    </row>
    <row r="4777">
      <c r="A4777" s="16">
        <f>IF(Calc!$B4777,Calc!E4777,"")</f>
        <v/>
      </c>
      <c r="B4777">
        <f>IF(Calc!$B4777,INDEX(MineNames,Calc!C4777),"")</f>
        <v/>
      </c>
      <c r="C4777" s="17">
        <f>IF(Calc!$B4777,Calc!O4777,"")</f>
        <v/>
      </c>
    </row>
    <row r="4778">
      <c r="A4778" s="16">
        <f>IF(Calc!$B4778,Calc!E4778,"")</f>
        <v/>
      </c>
      <c r="B4778">
        <f>IF(Calc!$B4778,INDEX(MineNames,Calc!C4778),"")</f>
        <v/>
      </c>
      <c r="C4778" s="17">
        <f>IF(Calc!$B4778,Calc!O4778,"")</f>
        <v/>
      </c>
    </row>
    <row r="4779">
      <c r="A4779" s="16">
        <f>IF(Calc!$B4779,Calc!E4779,"")</f>
        <v/>
      </c>
      <c r="B4779">
        <f>IF(Calc!$B4779,INDEX(MineNames,Calc!C4779),"")</f>
        <v/>
      </c>
      <c r="C4779" s="17">
        <f>IF(Calc!$B4779,Calc!O4779,"")</f>
        <v/>
      </c>
    </row>
    <row r="4780">
      <c r="A4780" s="16">
        <f>IF(Calc!$B4780,Calc!E4780,"")</f>
        <v/>
      </c>
      <c r="B4780">
        <f>IF(Calc!$B4780,INDEX(MineNames,Calc!C4780),"")</f>
        <v/>
      </c>
      <c r="C4780" s="17">
        <f>IF(Calc!$B4780,Calc!O4780,"")</f>
        <v/>
      </c>
    </row>
    <row r="4781">
      <c r="A4781" s="16">
        <f>IF(Calc!$B4781,Calc!E4781,"")</f>
        <v/>
      </c>
      <c r="B4781">
        <f>IF(Calc!$B4781,INDEX(MineNames,Calc!C4781),"")</f>
        <v/>
      </c>
      <c r="C4781" s="17">
        <f>IF(Calc!$B4781,Calc!O4781,"")</f>
        <v/>
      </c>
    </row>
    <row r="4782">
      <c r="A4782" s="16">
        <f>IF(Calc!$B4782,Calc!E4782,"")</f>
        <v/>
      </c>
      <c r="B4782">
        <f>IF(Calc!$B4782,INDEX(MineNames,Calc!C4782),"")</f>
        <v/>
      </c>
      <c r="C4782" s="17">
        <f>IF(Calc!$B4782,Calc!O4782,"")</f>
        <v/>
      </c>
    </row>
    <row r="4783">
      <c r="A4783" s="16">
        <f>IF(Calc!$B4783,Calc!E4783,"")</f>
        <v/>
      </c>
      <c r="B4783">
        <f>IF(Calc!$B4783,INDEX(MineNames,Calc!C4783),"")</f>
        <v/>
      </c>
      <c r="C4783" s="17">
        <f>IF(Calc!$B4783,Calc!O4783,"")</f>
        <v/>
      </c>
    </row>
    <row r="4784">
      <c r="A4784" s="16">
        <f>IF(Calc!$B4784,Calc!E4784,"")</f>
        <v/>
      </c>
      <c r="B4784">
        <f>IF(Calc!$B4784,INDEX(MineNames,Calc!C4784),"")</f>
        <v/>
      </c>
      <c r="C4784" s="17">
        <f>IF(Calc!$B4784,Calc!O4784,"")</f>
        <v/>
      </c>
    </row>
    <row r="4785">
      <c r="A4785" s="16">
        <f>IF(Calc!$B4785,Calc!E4785,"")</f>
        <v/>
      </c>
      <c r="B4785">
        <f>IF(Calc!$B4785,INDEX(MineNames,Calc!C4785),"")</f>
        <v/>
      </c>
      <c r="C4785" s="17">
        <f>IF(Calc!$B4785,Calc!O4785,"")</f>
        <v/>
      </c>
    </row>
    <row r="4786">
      <c r="A4786" s="16">
        <f>IF(Calc!$B4786,Calc!E4786,"")</f>
        <v/>
      </c>
      <c r="B4786">
        <f>IF(Calc!$B4786,INDEX(MineNames,Calc!C4786),"")</f>
        <v/>
      </c>
      <c r="C4786" s="17">
        <f>IF(Calc!$B4786,Calc!O4786,"")</f>
        <v/>
      </c>
    </row>
    <row r="4787">
      <c r="A4787" s="16">
        <f>IF(Calc!$B4787,Calc!E4787,"")</f>
        <v/>
      </c>
      <c r="B4787">
        <f>IF(Calc!$B4787,INDEX(MineNames,Calc!C4787),"")</f>
        <v/>
      </c>
      <c r="C4787" s="17">
        <f>IF(Calc!$B4787,Calc!O4787,"")</f>
        <v/>
      </c>
    </row>
    <row r="4788">
      <c r="A4788" s="16">
        <f>IF(Calc!$B4788,Calc!E4788,"")</f>
        <v/>
      </c>
      <c r="B4788">
        <f>IF(Calc!$B4788,INDEX(MineNames,Calc!C4788),"")</f>
        <v/>
      </c>
      <c r="C4788" s="17">
        <f>IF(Calc!$B4788,Calc!O4788,"")</f>
        <v/>
      </c>
    </row>
    <row r="4789">
      <c r="A4789" s="16">
        <f>IF(Calc!$B4789,Calc!E4789,"")</f>
        <v/>
      </c>
      <c r="B4789">
        <f>IF(Calc!$B4789,INDEX(MineNames,Calc!C4789),"")</f>
        <v/>
      </c>
      <c r="C4789" s="17">
        <f>IF(Calc!$B4789,Calc!O4789,"")</f>
        <v/>
      </c>
    </row>
    <row r="4790">
      <c r="A4790" s="16">
        <f>IF(Calc!$B4790,Calc!E4790,"")</f>
        <v/>
      </c>
      <c r="B4790">
        <f>IF(Calc!$B4790,INDEX(MineNames,Calc!C4790),"")</f>
        <v/>
      </c>
      <c r="C4790" s="17">
        <f>IF(Calc!$B4790,Calc!O4790,"")</f>
        <v/>
      </c>
    </row>
    <row r="4791">
      <c r="A4791" s="16">
        <f>IF(Calc!$B4791,Calc!E4791,"")</f>
        <v/>
      </c>
      <c r="B4791">
        <f>IF(Calc!$B4791,INDEX(MineNames,Calc!C4791),"")</f>
        <v/>
      </c>
      <c r="C4791" s="17">
        <f>IF(Calc!$B4791,Calc!O4791,"")</f>
        <v/>
      </c>
    </row>
    <row r="4792">
      <c r="A4792" s="16">
        <f>IF(Calc!$B4792,Calc!E4792,"")</f>
        <v/>
      </c>
      <c r="B4792">
        <f>IF(Calc!$B4792,INDEX(MineNames,Calc!C4792),"")</f>
        <v/>
      </c>
      <c r="C4792" s="17">
        <f>IF(Calc!$B4792,Calc!O4792,"")</f>
        <v/>
      </c>
    </row>
    <row r="4793">
      <c r="A4793" s="16">
        <f>IF(Calc!$B4793,Calc!E4793,"")</f>
        <v/>
      </c>
      <c r="B4793">
        <f>IF(Calc!$B4793,INDEX(MineNames,Calc!C4793),"")</f>
        <v/>
      </c>
      <c r="C4793" s="17">
        <f>IF(Calc!$B4793,Calc!O4793,"")</f>
        <v/>
      </c>
    </row>
    <row r="4794">
      <c r="A4794" s="16">
        <f>IF(Calc!$B4794,Calc!E4794,"")</f>
        <v/>
      </c>
      <c r="B4794">
        <f>IF(Calc!$B4794,INDEX(MineNames,Calc!C4794),"")</f>
        <v/>
      </c>
      <c r="C4794" s="17">
        <f>IF(Calc!$B4794,Calc!O4794,"")</f>
        <v/>
      </c>
    </row>
    <row r="4795">
      <c r="A4795" s="16">
        <f>IF(Calc!$B4795,Calc!E4795,"")</f>
        <v/>
      </c>
      <c r="B4795">
        <f>IF(Calc!$B4795,INDEX(MineNames,Calc!C4795),"")</f>
        <v/>
      </c>
      <c r="C4795" s="17">
        <f>IF(Calc!$B4795,Calc!O4795,"")</f>
        <v/>
      </c>
    </row>
    <row r="4796">
      <c r="A4796" s="16">
        <f>IF(Calc!$B4796,Calc!E4796,"")</f>
        <v/>
      </c>
      <c r="B4796">
        <f>IF(Calc!$B4796,INDEX(MineNames,Calc!C4796),"")</f>
        <v/>
      </c>
      <c r="C4796" s="17">
        <f>IF(Calc!$B4796,Calc!O4796,"")</f>
        <v/>
      </c>
    </row>
    <row r="4797">
      <c r="A4797" s="16">
        <f>IF(Calc!$B4797,Calc!E4797,"")</f>
        <v/>
      </c>
      <c r="B4797">
        <f>IF(Calc!$B4797,INDEX(MineNames,Calc!C4797),"")</f>
        <v/>
      </c>
      <c r="C4797" s="17">
        <f>IF(Calc!$B4797,Calc!O4797,"")</f>
        <v/>
      </c>
    </row>
    <row r="4798">
      <c r="A4798" s="16">
        <f>IF(Calc!$B4798,Calc!E4798,"")</f>
        <v/>
      </c>
      <c r="B4798">
        <f>IF(Calc!$B4798,INDEX(MineNames,Calc!C4798),"")</f>
        <v/>
      </c>
      <c r="C4798" s="17">
        <f>IF(Calc!$B4798,Calc!O4798,"")</f>
        <v/>
      </c>
    </row>
    <row r="4799">
      <c r="A4799" s="16">
        <f>IF(Calc!$B4799,Calc!E4799,"")</f>
        <v/>
      </c>
      <c r="B4799">
        <f>IF(Calc!$B4799,INDEX(MineNames,Calc!C4799),"")</f>
        <v/>
      </c>
      <c r="C4799" s="17">
        <f>IF(Calc!$B4799,Calc!O4799,"")</f>
        <v/>
      </c>
    </row>
    <row r="4800">
      <c r="A4800" s="16">
        <f>IF(Calc!$B4800,Calc!E4800,"")</f>
        <v/>
      </c>
      <c r="B4800">
        <f>IF(Calc!$B4800,INDEX(MineNames,Calc!C4800),"")</f>
        <v/>
      </c>
      <c r="C4800" s="17">
        <f>IF(Calc!$B4800,Calc!O4800,"")</f>
        <v/>
      </c>
    </row>
    <row r="4801">
      <c r="A4801" s="16">
        <f>IF(Calc!$B4801,Calc!E4801,"")</f>
        <v/>
      </c>
      <c r="B4801">
        <f>IF(Calc!$B4801,INDEX(MineNames,Calc!C4801),"")</f>
        <v/>
      </c>
      <c r="C4801" s="17">
        <f>IF(Calc!$B4801,Calc!O4801,"")</f>
        <v/>
      </c>
    </row>
    <row r="4802">
      <c r="A4802" s="16">
        <f>IF(Calc!$B4802,Calc!E4802,"")</f>
        <v/>
      </c>
      <c r="B4802">
        <f>IF(Calc!$B4802,INDEX(MineNames,Calc!C4802),"")</f>
        <v/>
      </c>
      <c r="C4802" s="17">
        <f>IF(Calc!$B4802,Calc!O4802,"")</f>
        <v/>
      </c>
    </row>
    <row r="4803">
      <c r="A4803" s="16">
        <f>IF(Calc!$B4803,Calc!E4803,"")</f>
        <v/>
      </c>
      <c r="B4803">
        <f>IF(Calc!$B4803,INDEX(MineNames,Calc!C4803),"")</f>
        <v/>
      </c>
      <c r="C4803" s="17">
        <f>IF(Calc!$B4803,Calc!O4803,"")</f>
        <v/>
      </c>
    </row>
    <row r="4804">
      <c r="A4804" s="16">
        <f>IF(Calc!$B4804,Calc!E4804,"")</f>
        <v/>
      </c>
      <c r="B4804">
        <f>IF(Calc!$B4804,INDEX(MineNames,Calc!C4804),"")</f>
        <v/>
      </c>
      <c r="C4804" s="17">
        <f>IF(Calc!$B4804,Calc!O4804,"")</f>
        <v/>
      </c>
    </row>
    <row r="4805">
      <c r="A4805" s="16">
        <f>IF(Calc!$B4805,Calc!E4805,"")</f>
        <v/>
      </c>
      <c r="B4805">
        <f>IF(Calc!$B4805,INDEX(MineNames,Calc!C4805),"")</f>
        <v/>
      </c>
      <c r="C4805" s="17">
        <f>IF(Calc!$B4805,Calc!O4805,"")</f>
        <v/>
      </c>
    </row>
    <row r="4806">
      <c r="A4806" s="16">
        <f>IF(Calc!$B4806,Calc!E4806,"")</f>
        <v/>
      </c>
      <c r="B4806">
        <f>IF(Calc!$B4806,INDEX(MineNames,Calc!C4806),"")</f>
        <v/>
      </c>
      <c r="C4806" s="17">
        <f>IF(Calc!$B4806,Calc!O4806,"")</f>
        <v/>
      </c>
    </row>
    <row r="4807">
      <c r="A4807" s="16">
        <f>IF(Calc!$B4807,Calc!E4807,"")</f>
        <v/>
      </c>
      <c r="B4807">
        <f>IF(Calc!$B4807,INDEX(MineNames,Calc!C4807),"")</f>
        <v/>
      </c>
      <c r="C4807" s="17">
        <f>IF(Calc!$B4807,Calc!O4807,"")</f>
        <v/>
      </c>
    </row>
    <row r="4808">
      <c r="A4808" s="16">
        <f>IF(Calc!$B4808,Calc!E4808,"")</f>
        <v/>
      </c>
      <c r="B4808">
        <f>IF(Calc!$B4808,INDEX(MineNames,Calc!C4808),"")</f>
        <v/>
      </c>
      <c r="C4808" s="17">
        <f>IF(Calc!$B4808,Calc!O4808,"")</f>
        <v/>
      </c>
    </row>
    <row r="4809">
      <c r="A4809" s="16">
        <f>IF(Calc!$B4809,Calc!E4809,"")</f>
        <v/>
      </c>
      <c r="B4809">
        <f>IF(Calc!$B4809,INDEX(MineNames,Calc!C4809),"")</f>
        <v/>
      </c>
      <c r="C4809" s="17">
        <f>IF(Calc!$B4809,Calc!O4809,"")</f>
        <v/>
      </c>
    </row>
    <row r="4810">
      <c r="A4810" s="16">
        <f>IF(Calc!$B4810,Calc!E4810,"")</f>
        <v/>
      </c>
      <c r="B4810">
        <f>IF(Calc!$B4810,INDEX(MineNames,Calc!C4810),"")</f>
        <v/>
      </c>
      <c r="C4810" s="17">
        <f>IF(Calc!$B4810,Calc!O4810,"")</f>
        <v/>
      </c>
    </row>
    <row r="4811">
      <c r="A4811" s="16">
        <f>IF(Calc!$B4811,Calc!E4811,"")</f>
        <v/>
      </c>
      <c r="B4811">
        <f>IF(Calc!$B4811,INDEX(MineNames,Calc!C4811),"")</f>
        <v/>
      </c>
      <c r="C4811" s="17">
        <f>IF(Calc!$B4811,Calc!O4811,"")</f>
        <v/>
      </c>
    </row>
    <row r="4812">
      <c r="A4812" s="16">
        <f>IF(Calc!$B4812,Calc!E4812,"")</f>
        <v/>
      </c>
      <c r="B4812">
        <f>IF(Calc!$B4812,INDEX(MineNames,Calc!C4812),"")</f>
        <v/>
      </c>
      <c r="C4812" s="17">
        <f>IF(Calc!$B4812,Calc!O4812,"")</f>
        <v/>
      </c>
    </row>
    <row r="4813">
      <c r="A4813" s="16">
        <f>IF(Calc!$B4813,Calc!E4813,"")</f>
        <v/>
      </c>
      <c r="B4813">
        <f>IF(Calc!$B4813,INDEX(MineNames,Calc!C4813),"")</f>
        <v/>
      </c>
      <c r="C4813" s="17">
        <f>IF(Calc!$B4813,Calc!O4813,"")</f>
        <v/>
      </c>
    </row>
    <row r="4814">
      <c r="A4814" s="16">
        <f>IF(Calc!$B4814,Calc!E4814,"")</f>
        <v/>
      </c>
      <c r="B4814">
        <f>IF(Calc!$B4814,INDEX(MineNames,Calc!C4814),"")</f>
        <v/>
      </c>
      <c r="C4814" s="17">
        <f>IF(Calc!$B4814,Calc!O4814,"")</f>
        <v/>
      </c>
    </row>
    <row r="4815">
      <c r="A4815" s="16">
        <f>IF(Calc!$B4815,Calc!E4815,"")</f>
        <v/>
      </c>
      <c r="B4815">
        <f>IF(Calc!$B4815,INDEX(MineNames,Calc!C4815),"")</f>
        <v/>
      </c>
      <c r="C4815" s="17">
        <f>IF(Calc!$B4815,Calc!O4815,"")</f>
        <v/>
      </c>
    </row>
    <row r="4816">
      <c r="A4816" s="16">
        <f>IF(Calc!$B4816,Calc!E4816,"")</f>
        <v/>
      </c>
      <c r="B4816">
        <f>IF(Calc!$B4816,INDEX(MineNames,Calc!C4816),"")</f>
        <v/>
      </c>
      <c r="C4816" s="17">
        <f>IF(Calc!$B4816,Calc!O4816,"")</f>
        <v/>
      </c>
    </row>
    <row r="4817">
      <c r="A4817" s="16">
        <f>IF(Calc!$B4817,Calc!E4817,"")</f>
        <v/>
      </c>
      <c r="B4817">
        <f>IF(Calc!$B4817,INDEX(MineNames,Calc!C4817),"")</f>
        <v/>
      </c>
      <c r="C4817" s="17">
        <f>IF(Calc!$B4817,Calc!O4817,"")</f>
        <v/>
      </c>
    </row>
    <row r="4818">
      <c r="A4818" s="16">
        <f>IF(Calc!$B4818,Calc!E4818,"")</f>
        <v/>
      </c>
      <c r="B4818">
        <f>IF(Calc!$B4818,INDEX(MineNames,Calc!C4818),"")</f>
        <v/>
      </c>
      <c r="C4818" s="17">
        <f>IF(Calc!$B4818,Calc!O4818,"")</f>
        <v/>
      </c>
    </row>
    <row r="4819">
      <c r="A4819" s="16">
        <f>IF(Calc!$B4819,Calc!E4819,"")</f>
        <v/>
      </c>
      <c r="B4819">
        <f>IF(Calc!$B4819,INDEX(MineNames,Calc!C4819),"")</f>
        <v/>
      </c>
      <c r="C4819" s="17">
        <f>IF(Calc!$B4819,Calc!O4819,"")</f>
        <v/>
      </c>
    </row>
    <row r="4820">
      <c r="A4820" s="16">
        <f>IF(Calc!$B4820,Calc!E4820,"")</f>
        <v/>
      </c>
      <c r="B4820">
        <f>IF(Calc!$B4820,INDEX(MineNames,Calc!C4820),"")</f>
        <v/>
      </c>
      <c r="C4820" s="17">
        <f>IF(Calc!$B4820,Calc!O4820,"")</f>
        <v/>
      </c>
    </row>
    <row r="4821">
      <c r="A4821" s="16">
        <f>IF(Calc!$B4821,Calc!E4821,"")</f>
        <v/>
      </c>
      <c r="B4821">
        <f>IF(Calc!$B4821,INDEX(MineNames,Calc!C4821),"")</f>
        <v/>
      </c>
      <c r="C4821" s="17">
        <f>IF(Calc!$B4821,Calc!O4821,"")</f>
        <v/>
      </c>
    </row>
    <row r="4822">
      <c r="A4822" s="16">
        <f>IF(Calc!$B4822,Calc!E4822,"")</f>
        <v/>
      </c>
      <c r="B4822">
        <f>IF(Calc!$B4822,INDEX(MineNames,Calc!C4822),"")</f>
        <v/>
      </c>
      <c r="C4822" s="17">
        <f>IF(Calc!$B4822,Calc!O4822,"")</f>
        <v/>
      </c>
    </row>
    <row r="4823">
      <c r="A4823" s="16">
        <f>IF(Calc!$B4823,Calc!E4823,"")</f>
        <v/>
      </c>
      <c r="B4823">
        <f>IF(Calc!$B4823,INDEX(MineNames,Calc!C4823),"")</f>
        <v/>
      </c>
      <c r="C4823" s="17">
        <f>IF(Calc!$B4823,Calc!O4823,"")</f>
        <v/>
      </c>
    </row>
    <row r="4824">
      <c r="A4824" s="16">
        <f>IF(Calc!$B4824,Calc!E4824,"")</f>
        <v/>
      </c>
      <c r="B4824">
        <f>IF(Calc!$B4824,INDEX(MineNames,Calc!C4824),"")</f>
        <v/>
      </c>
      <c r="C4824" s="17">
        <f>IF(Calc!$B4824,Calc!O4824,"")</f>
        <v/>
      </c>
    </row>
    <row r="4825">
      <c r="A4825" s="16">
        <f>IF(Calc!$B4825,Calc!E4825,"")</f>
        <v/>
      </c>
      <c r="B4825">
        <f>IF(Calc!$B4825,INDEX(MineNames,Calc!C4825),"")</f>
        <v/>
      </c>
      <c r="C4825" s="17">
        <f>IF(Calc!$B4825,Calc!O4825,"")</f>
        <v/>
      </c>
    </row>
    <row r="4826">
      <c r="A4826" s="16">
        <f>IF(Calc!$B4826,Calc!E4826,"")</f>
        <v/>
      </c>
      <c r="B4826">
        <f>IF(Calc!$B4826,INDEX(MineNames,Calc!C4826),"")</f>
        <v/>
      </c>
      <c r="C4826" s="17">
        <f>IF(Calc!$B4826,Calc!O4826,"")</f>
        <v/>
      </c>
    </row>
    <row r="4827">
      <c r="A4827" s="16">
        <f>IF(Calc!$B4827,Calc!E4827,"")</f>
        <v/>
      </c>
      <c r="B4827">
        <f>IF(Calc!$B4827,INDEX(MineNames,Calc!C4827),"")</f>
        <v/>
      </c>
      <c r="C4827" s="17">
        <f>IF(Calc!$B4827,Calc!O4827,"")</f>
        <v/>
      </c>
    </row>
    <row r="4828">
      <c r="A4828" s="16">
        <f>IF(Calc!$B4828,Calc!E4828,"")</f>
        <v/>
      </c>
      <c r="B4828">
        <f>IF(Calc!$B4828,INDEX(MineNames,Calc!C4828),"")</f>
        <v/>
      </c>
      <c r="C4828" s="17">
        <f>IF(Calc!$B4828,Calc!O4828,"")</f>
        <v/>
      </c>
    </row>
    <row r="4829">
      <c r="A4829" s="16">
        <f>IF(Calc!$B4829,Calc!E4829,"")</f>
        <v/>
      </c>
      <c r="B4829">
        <f>IF(Calc!$B4829,INDEX(MineNames,Calc!C4829),"")</f>
        <v/>
      </c>
      <c r="C4829" s="17">
        <f>IF(Calc!$B4829,Calc!O4829,"")</f>
        <v/>
      </c>
    </row>
    <row r="4830">
      <c r="A4830" s="16">
        <f>IF(Calc!$B4830,Calc!E4830,"")</f>
        <v/>
      </c>
      <c r="B4830">
        <f>IF(Calc!$B4830,INDEX(MineNames,Calc!C4830),"")</f>
        <v/>
      </c>
      <c r="C4830" s="17">
        <f>IF(Calc!$B4830,Calc!O4830,"")</f>
        <v/>
      </c>
    </row>
    <row r="4831">
      <c r="A4831" s="16">
        <f>IF(Calc!$B4831,Calc!E4831,"")</f>
        <v/>
      </c>
      <c r="B4831">
        <f>IF(Calc!$B4831,INDEX(MineNames,Calc!C4831),"")</f>
        <v/>
      </c>
      <c r="C4831" s="17">
        <f>IF(Calc!$B4831,Calc!O4831,"")</f>
        <v/>
      </c>
    </row>
    <row r="4832">
      <c r="A4832" s="16">
        <f>IF(Calc!$B4832,Calc!E4832,"")</f>
        <v/>
      </c>
      <c r="B4832">
        <f>IF(Calc!$B4832,INDEX(MineNames,Calc!C4832),"")</f>
        <v/>
      </c>
      <c r="C4832" s="17">
        <f>IF(Calc!$B4832,Calc!O4832,"")</f>
        <v/>
      </c>
    </row>
    <row r="4833">
      <c r="A4833" s="16">
        <f>IF(Calc!$B4833,Calc!E4833,"")</f>
        <v/>
      </c>
      <c r="B4833">
        <f>IF(Calc!$B4833,INDEX(MineNames,Calc!C4833),"")</f>
        <v/>
      </c>
      <c r="C4833" s="17">
        <f>IF(Calc!$B4833,Calc!O4833,"")</f>
        <v/>
      </c>
    </row>
    <row r="4834">
      <c r="A4834" s="16">
        <f>IF(Calc!$B4834,Calc!E4834,"")</f>
        <v/>
      </c>
      <c r="B4834">
        <f>IF(Calc!$B4834,INDEX(MineNames,Calc!C4834),"")</f>
        <v/>
      </c>
      <c r="C4834" s="17">
        <f>IF(Calc!$B4834,Calc!O4834,"")</f>
        <v/>
      </c>
    </row>
    <row r="4835">
      <c r="A4835" s="16">
        <f>IF(Calc!$B4835,Calc!E4835,"")</f>
        <v/>
      </c>
      <c r="B4835">
        <f>IF(Calc!$B4835,INDEX(MineNames,Calc!C4835),"")</f>
        <v/>
      </c>
      <c r="C4835" s="17">
        <f>IF(Calc!$B4835,Calc!O4835,"")</f>
        <v/>
      </c>
    </row>
    <row r="4836">
      <c r="A4836" s="16">
        <f>IF(Calc!$B4836,Calc!E4836,"")</f>
        <v/>
      </c>
      <c r="B4836">
        <f>IF(Calc!$B4836,INDEX(MineNames,Calc!C4836),"")</f>
        <v/>
      </c>
      <c r="C4836" s="17">
        <f>IF(Calc!$B4836,Calc!O4836,"")</f>
        <v/>
      </c>
    </row>
    <row r="4837">
      <c r="A4837" s="16">
        <f>IF(Calc!$B4837,Calc!E4837,"")</f>
        <v/>
      </c>
      <c r="B4837">
        <f>IF(Calc!$B4837,INDEX(MineNames,Calc!C4837),"")</f>
        <v/>
      </c>
      <c r="C4837" s="17">
        <f>IF(Calc!$B4837,Calc!O4837,"")</f>
        <v/>
      </c>
    </row>
    <row r="4838">
      <c r="A4838" s="16">
        <f>IF(Calc!$B4838,Calc!E4838,"")</f>
        <v/>
      </c>
      <c r="B4838">
        <f>IF(Calc!$B4838,INDEX(MineNames,Calc!C4838),"")</f>
        <v/>
      </c>
      <c r="C4838" s="17">
        <f>IF(Calc!$B4838,Calc!O4838,"")</f>
        <v/>
      </c>
    </row>
    <row r="4839">
      <c r="A4839" s="16">
        <f>IF(Calc!$B4839,Calc!E4839,"")</f>
        <v/>
      </c>
      <c r="B4839">
        <f>IF(Calc!$B4839,INDEX(MineNames,Calc!C4839),"")</f>
        <v/>
      </c>
      <c r="C4839" s="17">
        <f>IF(Calc!$B4839,Calc!O4839,"")</f>
        <v/>
      </c>
    </row>
    <row r="4840">
      <c r="A4840" s="16">
        <f>IF(Calc!$B4840,Calc!E4840,"")</f>
        <v/>
      </c>
      <c r="B4840">
        <f>IF(Calc!$B4840,INDEX(MineNames,Calc!C4840),"")</f>
        <v/>
      </c>
      <c r="C4840" s="17">
        <f>IF(Calc!$B4840,Calc!O4840,"")</f>
        <v/>
      </c>
    </row>
    <row r="4841">
      <c r="A4841" s="16">
        <f>IF(Calc!$B4841,Calc!E4841,"")</f>
        <v/>
      </c>
      <c r="B4841">
        <f>IF(Calc!$B4841,INDEX(MineNames,Calc!C4841),"")</f>
        <v/>
      </c>
      <c r="C4841" s="17">
        <f>IF(Calc!$B4841,Calc!O4841,"")</f>
        <v/>
      </c>
    </row>
    <row r="4842">
      <c r="A4842" s="16">
        <f>IF(Calc!$B4842,Calc!E4842,"")</f>
        <v/>
      </c>
      <c r="B4842">
        <f>IF(Calc!$B4842,INDEX(MineNames,Calc!C4842),"")</f>
        <v/>
      </c>
      <c r="C4842" s="17">
        <f>IF(Calc!$B4842,Calc!O4842,"")</f>
        <v/>
      </c>
    </row>
    <row r="4843">
      <c r="A4843" s="16">
        <f>IF(Calc!$B4843,Calc!E4843,"")</f>
        <v/>
      </c>
      <c r="B4843">
        <f>IF(Calc!$B4843,INDEX(MineNames,Calc!C4843),"")</f>
        <v/>
      </c>
      <c r="C4843" s="17">
        <f>IF(Calc!$B4843,Calc!O4843,"")</f>
        <v/>
      </c>
    </row>
    <row r="4844">
      <c r="A4844" s="16">
        <f>IF(Calc!$B4844,Calc!E4844,"")</f>
        <v/>
      </c>
      <c r="B4844">
        <f>IF(Calc!$B4844,INDEX(MineNames,Calc!C4844),"")</f>
        <v/>
      </c>
      <c r="C4844" s="17">
        <f>IF(Calc!$B4844,Calc!O4844,"")</f>
        <v/>
      </c>
    </row>
    <row r="4845">
      <c r="A4845" s="16">
        <f>IF(Calc!$B4845,Calc!E4845,"")</f>
        <v/>
      </c>
      <c r="B4845">
        <f>IF(Calc!$B4845,INDEX(MineNames,Calc!C4845),"")</f>
        <v/>
      </c>
      <c r="C4845" s="17">
        <f>IF(Calc!$B4845,Calc!O4845,"")</f>
        <v/>
      </c>
    </row>
    <row r="4846">
      <c r="A4846" s="16">
        <f>IF(Calc!$B4846,Calc!E4846,"")</f>
        <v/>
      </c>
      <c r="B4846">
        <f>IF(Calc!$B4846,INDEX(MineNames,Calc!C4846),"")</f>
        <v/>
      </c>
      <c r="C4846" s="17">
        <f>IF(Calc!$B4846,Calc!O4846,"")</f>
        <v/>
      </c>
    </row>
    <row r="4847">
      <c r="A4847" s="16">
        <f>IF(Calc!$B4847,Calc!E4847,"")</f>
        <v/>
      </c>
      <c r="B4847">
        <f>IF(Calc!$B4847,INDEX(MineNames,Calc!C4847),"")</f>
        <v/>
      </c>
      <c r="C4847" s="17">
        <f>IF(Calc!$B4847,Calc!O4847,"")</f>
        <v/>
      </c>
    </row>
    <row r="4848">
      <c r="A4848" s="16">
        <f>IF(Calc!$B4848,Calc!E4848,"")</f>
        <v/>
      </c>
      <c r="B4848">
        <f>IF(Calc!$B4848,INDEX(MineNames,Calc!C4848),"")</f>
        <v/>
      </c>
      <c r="C4848" s="17">
        <f>IF(Calc!$B4848,Calc!O4848,"")</f>
        <v/>
      </c>
    </row>
    <row r="4849">
      <c r="A4849" s="16">
        <f>IF(Calc!$B4849,Calc!E4849,"")</f>
        <v/>
      </c>
      <c r="B4849">
        <f>IF(Calc!$B4849,INDEX(MineNames,Calc!C4849),"")</f>
        <v/>
      </c>
      <c r="C4849" s="17">
        <f>IF(Calc!$B4849,Calc!O4849,"")</f>
        <v/>
      </c>
    </row>
    <row r="4850">
      <c r="A4850" s="16">
        <f>IF(Calc!$B4850,Calc!E4850,"")</f>
        <v/>
      </c>
      <c r="B4850">
        <f>IF(Calc!$B4850,INDEX(MineNames,Calc!C4850),"")</f>
        <v/>
      </c>
      <c r="C4850" s="17">
        <f>IF(Calc!$B4850,Calc!O4850,"")</f>
        <v/>
      </c>
    </row>
    <row r="4851">
      <c r="A4851" s="16">
        <f>IF(Calc!$B4851,Calc!E4851,"")</f>
        <v/>
      </c>
      <c r="B4851">
        <f>IF(Calc!$B4851,INDEX(MineNames,Calc!C4851),"")</f>
        <v/>
      </c>
      <c r="C4851" s="17">
        <f>IF(Calc!$B4851,Calc!O4851,"")</f>
        <v/>
      </c>
    </row>
    <row r="4852">
      <c r="A4852" s="16">
        <f>IF(Calc!$B4852,Calc!E4852,"")</f>
        <v/>
      </c>
      <c r="B4852">
        <f>IF(Calc!$B4852,INDEX(MineNames,Calc!C4852),"")</f>
        <v/>
      </c>
      <c r="C4852" s="17">
        <f>IF(Calc!$B4852,Calc!O4852,"")</f>
        <v/>
      </c>
    </row>
    <row r="4853">
      <c r="A4853" s="16">
        <f>IF(Calc!$B4853,Calc!E4853,"")</f>
        <v/>
      </c>
      <c r="B4853">
        <f>IF(Calc!$B4853,INDEX(MineNames,Calc!C4853),"")</f>
        <v/>
      </c>
      <c r="C4853" s="17">
        <f>IF(Calc!$B4853,Calc!O4853,"")</f>
        <v/>
      </c>
    </row>
    <row r="4854">
      <c r="A4854" s="16">
        <f>IF(Calc!$B4854,Calc!E4854,"")</f>
        <v/>
      </c>
      <c r="B4854">
        <f>IF(Calc!$B4854,INDEX(MineNames,Calc!C4854),"")</f>
        <v/>
      </c>
      <c r="C4854" s="17">
        <f>IF(Calc!$B4854,Calc!O4854,"")</f>
        <v/>
      </c>
    </row>
    <row r="4855">
      <c r="A4855" s="16">
        <f>IF(Calc!$B4855,Calc!E4855,"")</f>
        <v/>
      </c>
      <c r="B4855">
        <f>IF(Calc!$B4855,INDEX(MineNames,Calc!C4855),"")</f>
        <v/>
      </c>
      <c r="C4855" s="17">
        <f>IF(Calc!$B4855,Calc!O4855,"")</f>
        <v/>
      </c>
    </row>
    <row r="4856">
      <c r="A4856" s="16">
        <f>IF(Calc!$B4856,Calc!E4856,"")</f>
        <v/>
      </c>
      <c r="B4856">
        <f>IF(Calc!$B4856,INDEX(MineNames,Calc!C4856),"")</f>
        <v/>
      </c>
      <c r="C4856" s="17">
        <f>IF(Calc!$B4856,Calc!O4856,"")</f>
        <v/>
      </c>
    </row>
    <row r="4857">
      <c r="A4857" s="16">
        <f>IF(Calc!$B4857,Calc!E4857,"")</f>
        <v/>
      </c>
      <c r="B4857">
        <f>IF(Calc!$B4857,INDEX(MineNames,Calc!C4857),"")</f>
        <v/>
      </c>
      <c r="C4857" s="17">
        <f>IF(Calc!$B4857,Calc!O4857,"")</f>
        <v/>
      </c>
    </row>
    <row r="4858">
      <c r="A4858" s="16">
        <f>IF(Calc!$B4858,Calc!E4858,"")</f>
        <v/>
      </c>
      <c r="B4858">
        <f>IF(Calc!$B4858,INDEX(MineNames,Calc!C4858),"")</f>
        <v/>
      </c>
      <c r="C4858" s="17">
        <f>IF(Calc!$B4858,Calc!O4858,"")</f>
        <v/>
      </c>
    </row>
    <row r="4859">
      <c r="A4859" s="16">
        <f>IF(Calc!$B4859,Calc!E4859,"")</f>
        <v/>
      </c>
      <c r="B4859">
        <f>IF(Calc!$B4859,INDEX(MineNames,Calc!C4859),"")</f>
        <v/>
      </c>
      <c r="C4859" s="17">
        <f>IF(Calc!$B4859,Calc!O4859,"")</f>
        <v/>
      </c>
    </row>
    <row r="4860">
      <c r="A4860" s="16">
        <f>IF(Calc!$B4860,Calc!E4860,"")</f>
        <v/>
      </c>
      <c r="B4860">
        <f>IF(Calc!$B4860,INDEX(MineNames,Calc!C4860),"")</f>
        <v/>
      </c>
      <c r="C4860" s="17">
        <f>IF(Calc!$B4860,Calc!O4860,"")</f>
        <v/>
      </c>
    </row>
    <row r="4861">
      <c r="A4861" s="16">
        <f>IF(Calc!$B4861,Calc!E4861,"")</f>
        <v/>
      </c>
      <c r="B4861">
        <f>IF(Calc!$B4861,INDEX(MineNames,Calc!C4861),"")</f>
        <v/>
      </c>
      <c r="C4861" s="17">
        <f>IF(Calc!$B4861,Calc!O4861,"")</f>
        <v/>
      </c>
    </row>
    <row r="4862">
      <c r="A4862" s="16">
        <f>IF(Calc!$B4862,Calc!E4862,"")</f>
        <v/>
      </c>
      <c r="B4862">
        <f>IF(Calc!$B4862,INDEX(MineNames,Calc!C4862),"")</f>
        <v/>
      </c>
      <c r="C4862" s="17">
        <f>IF(Calc!$B4862,Calc!O4862,"")</f>
        <v/>
      </c>
    </row>
    <row r="4863">
      <c r="A4863" s="16">
        <f>IF(Calc!$B4863,Calc!E4863,"")</f>
        <v/>
      </c>
      <c r="B4863">
        <f>IF(Calc!$B4863,INDEX(MineNames,Calc!C4863),"")</f>
        <v/>
      </c>
      <c r="C4863" s="17">
        <f>IF(Calc!$B4863,Calc!O4863,"")</f>
        <v/>
      </c>
    </row>
    <row r="4864">
      <c r="A4864" s="16">
        <f>IF(Calc!$B4864,Calc!E4864,"")</f>
        <v/>
      </c>
      <c r="B4864">
        <f>IF(Calc!$B4864,INDEX(MineNames,Calc!C4864),"")</f>
        <v/>
      </c>
      <c r="C4864" s="17">
        <f>IF(Calc!$B4864,Calc!O4864,"")</f>
        <v/>
      </c>
    </row>
    <row r="4865">
      <c r="A4865" s="16">
        <f>IF(Calc!$B4865,Calc!E4865,"")</f>
        <v/>
      </c>
      <c r="B4865">
        <f>IF(Calc!$B4865,INDEX(MineNames,Calc!C4865),"")</f>
        <v/>
      </c>
      <c r="C4865" s="17">
        <f>IF(Calc!$B4865,Calc!O4865,"")</f>
        <v/>
      </c>
    </row>
    <row r="4866">
      <c r="A4866" s="16">
        <f>IF(Calc!$B4866,Calc!E4866,"")</f>
        <v/>
      </c>
      <c r="B4866">
        <f>IF(Calc!$B4866,INDEX(MineNames,Calc!C4866),"")</f>
        <v/>
      </c>
      <c r="C4866" s="17">
        <f>IF(Calc!$B4866,Calc!O4866,"")</f>
        <v/>
      </c>
    </row>
    <row r="4867">
      <c r="A4867" s="16">
        <f>IF(Calc!$B4867,Calc!E4867,"")</f>
        <v/>
      </c>
      <c r="B4867">
        <f>IF(Calc!$B4867,INDEX(MineNames,Calc!C4867),"")</f>
        <v/>
      </c>
      <c r="C4867" s="17">
        <f>IF(Calc!$B4867,Calc!O4867,"")</f>
        <v/>
      </c>
    </row>
    <row r="4868">
      <c r="A4868" s="16">
        <f>IF(Calc!$B4868,Calc!E4868,"")</f>
        <v/>
      </c>
      <c r="B4868">
        <f>IF(Calc!$B4868,INDEX(MineNames,Calc!C4868),"")</f>
        <v/>
      </c>
      <c r="C4868" s="17">
        <f>IF(Calc!$B4868,Calc!O4868,"")</f>
        <v/>
      </c>
    </row>
    <row r="4869">
      <c r="A4869" s="16">
        <f>IF(Calc!$B4869,Calc!E4869,"")</f>
        <v/>
      </c>
      <c r="B4869">
        <f>IF(Calc!$B4869,INDEX(MineNames,Calc!C4869),"")</f>
        <v/>
      </c>
      <c r="C4869" s="17">
        <f>IF(Calc!$B4869,Calc!O4869,"")</f>
        <v/>
      </c>
    </row>
    <row r="4870">
      <c r="A4870" s="16">
        <f>IF(Calc!$B4870,Calc!E4870,"")</f>
        <v/>
      </c>
      <c r="B4870">
        <f>IF(Calc!$B4870,INDEX(MineNames,Calc!C4870),"")</f>
        <v/>
      </c>
      <c r="C4870" s="17">
        <f>IF(Calc!$B4870,Calc!O4870,"")</f>
        <v/>
      </c>
    </row>
    <row r="4871">
      <c r="A4871" s="16">
        <f>IF(Calc!$B4871,Calc!E4871,"")</f>
        <v/>
      </c>
      <c r="B4871">
        <f>IF(Calc!$B4871,INDEX(MineNames,Calc!C4871),"")</f>
        <v/>
      </c>
      <c r="C4871" s="17">
        <f>IF(Calc!$B4871,Calc!O4871,"")</f>
        <v/>
      </c>
    </row>
    <row r="4872">
      <c r="A4872" s="16">
        <f>IF(Calc!$B4872,Calc!E4872,"")</f>
        <v/>
      </c>
      <c r="B4872">
        <f>IF(Calc!$B4872,INDEX(MineNames,Calc!C4872),"")</f>
        <v/>
      </c>
      <c r="C4872" s="17">
        <f>IF(Calc!$B4872,Calc!O4872,"")</f>
        <v/>
      </c>
    </row>
    <row r="4873">
      <c r="A4873" s="16">
        <f>IF(Calc!$B4873,Calc!E4873,"")</f>
        <v/>
      </c>
      <c r="B4873">
        <f>IF(Calc!$B4873,INDEX(MineNames,Calc!C4873),"")</f>
        <v/>
      </c>
      <c r="C4873" s="17">
        <f>IF(Calc!$B4873,Calc!O4873,"")</f>
        <v/>
      </c>
    </row>
    <row r="4874">
      <c r="A4874" s="16">
        <f>IF(Calc!$B4874,Calc!E4874,"")</f>
        <v/>
      </c>
      <c r="B4874">
        <f>IF(Calc!$B4874,INDEX(MineNames,Calc!C4874),"")</f>
        <v/>
      </c>
      <c r="C4874" s="17">
        <f>IF(Calc!$B4874,Calc!O4874,"")</f>
        <v/>
      </c>
    </row>
    <row r="4875">
      <c r="A4875" s="16">
        <f>IF(Calc!$B4875,Calc!E4875,"")</f>
        <v/>
      </c>
      <c r="B4875">
        <f>IF(Calc!$B4875,INDEX(MineNames,Calc!C4875),"")</f>
        <v/>
      </c>
      <c r="C4875" s="17">
        <f>IF(Calc!$B4875,Calc!O4875,"")</f>
        <v/>
      </c>
    </row>
    <row r="4876">
      <c r="A4876" s="16">
        <f>IF(Calc!$B4876,Calc!E4876,"")</f>
        <v/>
      </c>
      <c r="B4876">
        <f>IF(Calc!$B4876,INDEX(MineNames,Calc!C4876),"")</f>
        <v/>
      </c>
      <c r="C4876" s="17">
        <f>IF(Calc!$B4876,Calc!O4876,"")</f>
        <v/>
      </c>
    </row>
    <row r="4877">
      <c r="A4877" s="16">
        <f>IF(Calc!$B4877,Calc!E4877,"")</f>
        <v/>
      </c>
      <c r="B4877">
        <f>IF(Calc!$B4877,INDEX(MineNames,Calc!C4877),"")</f>
        <v/>
      </c>
      <c r="C4877" s="17">
        <f>IF(Calc!$B4877,Calc!O4877,"")</f>
        <v/>
      </c>
    </row>
    <row r="4878">
      <c r="A4878" s="16">
        <f>IF(Calc!$B4878,Calc!E4878,"")</f>
        <v/>
      </c>
      <c r="B4878">
        <f>IF(Calc!$B4878,INDEX(MineNames,Calc!C4878),"")</f>
        <v/>
      </c>
      <c r="C4878" s="17">
        <f>IF(Calc!$B4878,Calc!O4878,"")</f>
        <v/>
      </c>
    </row>
    <row r="4879">
      <c r="A4879" s="16">
        <f>IF(Calc!$B4879,Calc!E4879,"")</f>
        <v/>
      </c>
      <c r="B4879">
        <f>IF(Calc!$B4879,INDEX(MineNames,Calc!C4879),"")</f>
        <v/>
      </c>
      <c r="C4879" s="17">
        <f>IF(Calc!$B4879,Calc!O4879,"")</f>
        <v/>
      </c>
    </row>
    <row r="4880">
      <c r="A4880" s="16">
        <f>IF(Calc!$B4880,Calc!E4880,"")</f>
        <v/>
      </c>
      <c r="B4880">
        <f>IF(Calc!$B4880,INDEX(MineNames,Calc!C4880),"")</f>
        <v/>
      </c>
      <c r="C4880" s="17">
        <f>IF(Calc!$B4880,Calc!O4880,"")</f>
        <v/>
      </c>
    </row>
    <row r="4881">
      <c r="A4881" s="16">
        <f>IF(Calc!$B4881,Calc!E4881,"")</f>
        <v/>
      </c>
      <c r="B4881">
        <f>IF(Calc!$B4881,INDEX(MineNames,Calc!C4881),"")</f>
        <v/>
      </c>
      <c r="C4881" s="17">
        <f>IF(Calc!$B4881,Calc!O4881,"")</f>
        <v/>
      </c>
    </row>
    <row r="4882">
      <c r="A4882" s="16">
        <f>IF(Calc!$B4882,Calc!E4882,"")</f>
        <v/>
      </c>
      <c r="B4882">
        <f>IF(Calc!$B4882,INDEX(MineNames,Calc!C4882),"")</f>
        <v/>
      </c>
      <c r="C4882" s="17">
        <f>IF(Calc!$B4882,Calc!O4882,"")</f>
        <v/>
      </c>
    </row>
    <row r="4883">
      <c r="A4883" s="16">
        <f>IF(Calc!$B4883,Calc!E4883,"")</f>
        <v/>
      </c>
      <c r="B4883">
        <f>IF(Calc!$B4883,INDEX(MineNames,Calc!C4883),"")</f>
        <v/>
      </c>
      <c r="C4883" s="17">
        <f>IF(Calc!$B4883,Calc!O4883,"")</f>
        <v/>
      </c>
    </row>
    <row r="4884">
      <c r="A4884" s="16">
        <f>IF(Calc!$B4884,Calc!E4884,"")</f>
        <v/>
      </c>
      <c r="B4884">
        <f>IF(Calc!$B4884,INDEX(MineNames,Calc!C4884),"")</f>
        <v/>
      </c>
      <c r="C4884" s="17">
        <f>IF(Calc!$B4884,Calc!O4884,"")</f>
        <v/>
      </c>
    </row>
    <row r="4885">
      <c r="A4885" s="16">
        <f>IF(Calc!$B4885,Calc!E4885,"")</f>
        <v/>
      </c>
      <c r="B4885">
        <f>IF(Calc!$B4885,INDEX(MineNames,Calc!C4885),"")</f>
        <v/>
      </c>
      <c r="C4885" s="17">
        <f>IF(Calc!$B4885,Calc!O4885,"")</f>
        <v/>
      </c>
    </row>
    <row r="4886">
      <c r="A4886" s="16">
        <f>IF(Calc!$B4886,Calc!E4886,"")</f>
        <v/>
      </c>
      <c r="B4886">
        <f>IF(Calc!$B4886,INDEX(MineNames,Calc!C4886),"")</f>
        <v/>
      </c>
      <c r="C4886" s="17">
        <f>IF(Calc!$B4886,Calc!O4886,"")</f>
        <v/>
      </c>
    </row>
    <row r="4887">
      <c r="A4887" s="16">
        <f>IF(Calc!$B4887,Calc!E4887,"")</f>
        <v/>
      </c>
      <c r="B4887">
        <f>IF(Calc!$B4887,INDEX(MineNames,Calc!C4887),"")</f>
        <v/>
      </c>
      <c r="C4887" s="17">
        <f>IF(Calc!$B4887,Calc!O4887,"")</f>
        <v/>
      </c>
    </row>
    <row r="4888">
      <c r="A4888" s="16">
        <f>IF(Calc!$B4888,Calc!E4888,"")</f>
        <v/>
      </c>
      <c r="B4888">
        <f>IF(Calc!$B4888,INDEX(MineNames,Calc!C4888),"")</f>
        <v/>
      </c>
      <c r="C4888" s="17">
        <f>IF(Calc!$B4888,Calc!O4888,"")</f>
        <v/>
      </c>
    </row>
    <row r="4889">
      <c r="A4889" s="16">
        <f>IF(Calc!$B4889,Calc!E4889,"")</f>
        <v/>
      </c>
      <c r="B4889">
        <f>IF(Calc!$B4889,INDEX(MineNames,Calc!C4889),"")</f>
        <v/>
      </c>
      <c r="C4889" s="17">
        <f>IF(Calc!$B4889,Calc!O4889,"")</f>
        <v/>
      </c>
    </row>
    <row r="4890">
      <c r="A4890" s="16">
        <f>IF(Calc!$B4890,Calc!E4890,"")</f>
        <v/>
      </c>
      <c r="B4890">
        <f>IF(Calc!$B4890,INDEX(MineNames,Calc!C4890),"")</f>
        <v/>
      </c>
      <c r="C4890" s="17">
        <f>IF(Calc!$B4890,Calc!O4890,"")</f>
        <v/>
      </c>
    </row>
    <row r="4891">
      <c r="A4891" s="16">
        <f>IF(Calc!$B4891,Calc!E4891,"")</f>
        <v/>
      </c>
      <c r="B4891">
        <f>IF(Calc!$B4891,INDEX(MineNames,Calc!C4891),"")</f>
        <v/>
      </c>
      <c r="C4891" s="17">
        <f>IF(Calc!$B4891,Calc!O4891,"")</f>
        <v/>
      </c>
    </row>
    <row r="4892">
      <c r="A4892" s="16">
        <f>IF(Calc!$B4892,Calc!E4892,"")</f>
        <v/>
      </c>
      <c r="B4892">
        <f>IF(Calc!$B4892,INDEX(MineNames,Calc!C4892),"")</f>
        <v/>
      </c>
      <c r="C4892" s="17">
        <f>IF(Calc!$B4892,Calc!O4892,"")</f>
        <v/>
      </c>
    </row>
    <row r="4893">
      <c r="A4893" s="16">
        <f>IF(Calc!$B4893,Calc!E4893,"")</f>
        <v/>
      </c>
      <c r="B4893">
        <f>IF(Calc!$B4893,INDEX(MineNames,Calc!C4893),"")</f>
        <v/>
      </c>
      <c r="C4893" s="17">
        <f>IF(Calc!$B4893,Calc!O4893,"")</f>
        <v/>
      </c>
    </row>
    <row r="4894">
      <c r="A4894" s="16">
        <f>IF(Calc!$B4894,Calc!E4894,"")</f>
        <v/>
      </c>
      <c r="B4894">
        <f>IF(Calc!$B4894,INDEX(MineNames,Calc!C4894),"")</f>
        <v/>
      </c>
      <c r="C4894" s="17">
        <f>IF(Calc!$B4894,Calc!O4894,"")</f>
        <v/>
      </c>
    </row>
    <row r="4895">
      <c r="A4895" s="16">
        <f>IF(Calc!$B4895,Calc!E4895,"")</f>
        <v/>
      </c>
      <c r="B4895">
        <f>IF(Calc!$B4895,INDEX(MineNames,Calc!C4895),"")</f>
        <v/>
      </c>
      <c r="C4895" s="17">
        <f>IF(Calc!$B4895,Calc!O4895,"")</f>
        <v/>
      </c>
    </row>
    <row r="4896">
      <c r="A4896" s="16">
        <f>IF(Calc!$B4896,Calc!E4896,"")</f>
        <v/>
      </c>
      <c r="B4896">
        <f>IF(Calc!$B4896,INDEX(MineNames,Calc!C4896),"")</f>
        <v/>
      </c>
      <c r="C4896" s="17">
        <f>IF(Calc!$B4896,Calc!O4896,"")</f>
        <v/>
      </c>
    </row>
    <row r="4897">
      <c r="A4897" s="16">
        <f>IF(Calc!$B4897,Calc!E4897,"")</f>
        <v/>
      </c>
      <c r="B4897">
        <f>IF(Calc!$B4897,INDEX(MineNames,Calc!C4897),"")</f>
        <v/>
      </c>
      <c r="C4897" s="17">
        <f>IF(Calc!$B4897,Calc!O4897,"")</f>
        <v/>
      </c>
    </row>
    <row r="4898">
      <c r="A4898" s="16">
        <f>IF(Calc!$B4898,Calc!E4898,"")</f>
        <v/>
      </c>
      <c r="B4898">
        <f>IF(Calc!$B4898,INDEX(MineNames,Calc!C4898),"")</f>
        <v/>
      </c>
      <c r="C4898" s="17">
        <f>IF(Calc!$B4898,Calc!O4898,"")</f>
        <v/>
      </c>
    </row>
    <row r="4899">
      <c r="A4899" s="16">
        <f>IF(Calc!$B4899,Calc!E4899,"")</f>
        <v/>
      </c>
      <c r="B4899">
        <f>IF(Calc!$B4899,INDEX(MineNames,Calc!C4899),"")</f>
        <v/>
      </c>
      <c r="C4899" s="17">
        <f>IF(Calc!$B4899,Calc!O4899,"")</f>
        <v/>
      </c>
    </row>
    <row r="4900">
      <c r="A4900" s="16">
        <f>IF(Calc!$B4900,Calc!E4900,"")</f>
        <v/>
      </c>
      <c r="B4900">
        <f>IF(Calc!$B4900,INDEX(MineNames,Calc!C4900),"")</f>
        <v/>
      </c>
      <c r="C4900" s="17">
        <f>IF(Calc!$B4900,Calc!O4900,"")</f>
        <v/>
      </c>
    </row>
    <row r="4901">
      <c r="A4901" s="16">
        <f>IF(Calc!$B4901,Calc!E4901,"")</f>
        <v/>
      </c>
      <c r="B4901">
        <f>IF(Calc!$B4901,INDEX(MineNames,Calc!C4901),"")</f>
        <v/>
      </c>
      <c r="C4901" s="17">
        <f>IF(Calc!$B4901,Calc!O4901,"")</f>
        <v/>
      </c>
    </row>
    <row r="4902">
      <c r="A4902" s="16">
        <f>IF(Calc!$B4902,Calc!E4902,"")</f>
        <v/>
      </c>
      <c r="B4902">
        <f>IF(Calc!$B4902,INDEX(MineNames,Calc!C4902),"")</f>
        <v/>
      </c>
      <c r="C4902" s="17">
        <f>IF(Calc!$B4902,Calc!O4902,"")</f>
        <v/>
      </c>
    </row>
    <row r="4903">
      <c r="A4903" s="16">
        <f>IF(Calc!$B4903,Calc!E4903,"")</f>
        <v/>
      </c>
      <c r="B4903">
        <f>IF(Calc!$B4903,INDEX(MineNames,Calc!C4903),"")</f>
        <v/>
      </c>
      <c r="C4903" s="17">
        <f>IF(Calc!$B4903,Calc!O4903,"")</f>
        <v/>
      </c>
    </row>
    <row r="4904">
      <c r="A4904" s="16">
        <f>IF(Calc!$B4904,Calc!E4904,"")</f>
        <v/>
      </c>
      <c r="B4904">
        <f>IF(Calc!$B4904,INDEX(MineNames,Calc!C4904),"")</f>
        <v/>
      </c>
      <c r="C4904" s="17">
        <f>IF(Calc!$B4904,Calc!O4904,"")</f>
        <v/>
      </c>
    </row>
    <row r="4905">
      <c r="A4905" s="16">
        <f>IF(Calc!$B4905,Calc!E4905,"")</f>
        <v/>
      </c>
      <c r="B4905">
        <f>IF(Calc!$B4905,INDEX(MineNames,Calc!C4905),"")</f>
        <v/>
      </c>
      <c r="C4905" s="17">
        <f>IF(Calc!$B4905,Calc!O4905,"")</f>
        <v/>
      </c>
    </row>
    <row r="4906">
      <c r="A4906" s="16">
        <f>IF(Calc!$B4906,Calc!E4906,"")</f>
        <v/>
      </c>
      <c r="B4906">
        <f>IF(Calc!$B4906,INDEX(MineNames,Calc!C4906),"")</f>
        <v/>
      </c>
      <c r="C4906" s="17">
        <f>IF(Calc!$B4906,Calc!O4906,"")</f>
        <v/>
      </c>
    </row>
    <row r="4907">
      <c r="A4907" s="16">
        <f>IF(Calc!$B4907,Calc!E4907,"")</f>
        <v/>
      </c>
      <c r="B4907">
        <f>IF(Calc!$B4907,INDEX(MineNames,Calc!C4907),"")</f>
        <v/>
      </c>
      <c r="C4907" s="17">
        <f>IF(Calc!$B4907,Calc!O4907,"")</f>
        <v/>
      </c>
    </row>
    <row r="4908">
      <c r="A4908" s="16">
        <f>IF(Calc!$B4908,Calc!E4908,"")</f>
        <v/>
      </c>
      <c r="B4908">
        <f>IF(Calc!$B4908,INDEX(MineNames,Calc!C4908),"")</f>
        <v/>
      </c>
      <c r="C4908" s="17">
        <f>IF(Calc!$B4908,Calc!O4908,"")</f>
        <v/>
      </c>
    </row>
    <row r="4909">
      <c r="A4909" s="16">
        <f>IF(Calc!$B4909,Calc!E4909,"")</f>
        <v/>
      </c>
      <c r="B4909">
        <f>IF(Calc!$B4909,INDEX(MineNames,Calc!C4909),"")</f>
        <v/>
      </c>
      <c r="C4909" s="17">
        <f>IF(Calc!$B4909,Calc!O4909,"")</f>
        <v/>
      </c>
    </row>
    <row r="4910">
      <c r="A4910" s="16">
        <f>IF(Calc!$B4910,Calc!E4910,"")</f>
        <v/>
      </c>
      <c r="B4910">
        <f>IF(Calc!$B4910,INDEX(MineNames,Calc!C4910),"")</f>
        <v/>
      </c>
      <c r="C4910" s="17">
        <f>IF(Calc!$B4910,Calc!O4910,"")</f>
        <v/>
      </c>
    </row>
    <row r="4911">
      <c r="A4911" s="16">
        <f>IF(Calc!$B4911,Calc!E4911,"")</f>
        <v/>
      </c>
      <c r="B4911">
        <f>IF(Calc!$B4911,INDEX(MineNames,Calc!C4911),"")</f>
        <v/>
      </c>
      <c r="C4911" s="17">
        <f>IF(Calc!$B4911,Calc!O4911,"")</f>
        <v/>
      </c>
    </row>
    <row r="4912">
      <c r="A4912" s="16">
        <f>IF(Calc!$B4912,Calc!E4912,"")</f>
        <v/>
      </c>
      <c r="B4912">
        <f>IF(Calc!$B4912,INDEX(MineNames,Calc!C4912),"")</f>
        <v/>
      </c>
      <c r="C4912" s="17">
        <f>IF(Calc!$B4912,Calc!O4912,"")</f>
        <v/>
      </c>
    </row>
    <row r="4913">
      <c r="A4913" s="16">
        <f>IF(Calc!$B4913,Calc!E4913,"")</f>
        <v/>
      </c>
      <c r="B4913">
        <f>IF(Calc!$B4913,INDEX(MineNames,Calc!C4913),"")</f>
        <v/>
      </c>
      <c r="C4913" s="17">
        <f>IF(Calc!$B4913,Calc!O4913,"")</f>
        <v/>
      </c>
    </row>
    <row r="4914">
      <c r="A4914" s="16">
        <f>IF(Calc!$B4914,Calc!E4914,"")</f>
        <v/>
      </c>
      <c r="B4914">
        <f>IF(Calc!$B4914,INDEX(MineNames,Calc!C4914),"")</f>
        <v/>
      </c>
      <c r="C4914" s="17">
        <f>IF(Calc!$B4914,Calc!O4914,"")</f>
        <v/>
      </c>
    </row>
    <row r="4915">
      <c r="A4915" s="16">
        <f>IF(Calc!$B4915,Calc!E4915,"")</f>
        <v/>
      </c>
      <c r="B4915">
        <f>IF(Calc!$B4915,INDEX(MineNames,Calc!C4915),"")</f>
        <v/>
      </c>
      <c r="C4915" s="17">
        <f>IF(Calc!$B4915,Calc!O4915,"")</f>
        <v/>
      </c>
    </row>
    <row r="4916">
      <c r="A4916" s="16">
        <f>IF(Calc!$B4916,Calc!E4916,"")</f>
        <v/>
      </c>
      <c r="B4916">
        <f>IF(Calc!$B4916,INDEX(MineNames,Calc!C4916),"")</f>
        <v/>
      </c>
      <c r="C4916" s="17">
        <f>IF(Calc!$B4916,Calc!O4916,"")</f>
        <v/>
      </c>
    </row>
    <row r="4917">
      <c r="A4917" s="16">
        <f>IF(Calc!$B4917,Calc!E4917,"")</f>
        <v/>
      </c>
      <c r="B4917">
        <f>IF(Calc!$B4917,INDEX(MineNames,Calc!C4917),"")</f>
        <v/>
      </c>
      <c r="C4917" s="17">
        <f>IF(Calc!$B4917,Calc!O4917,"")</f>
        <v/>
      </c>
    </row>
    <row r="4918">
      <c r="A4918" s="16">
        <f>IF(Calc!$B4918,Calc!E4918,"")</f>
        <v/>
      </c>
      <c r="B4918">
        <f>IF(Calc!$B4918,INDEX(MineNames,Calc!C4918),"")</f>
        <v/>
      </c>
      <c r="C4918" s="17">
        <f>IF(Calc!$B4918,Calc!O4918,"")</f>
        <v/>
      </c>
    </row>
    <row r="4919">
      <c r="A4919" s="16">
        <f>IF(Calc!$B4919,Calc!E4919,"")</f>
        <v/>
      </c>
      <c r="B4919">
        <f>IF(Calc!$B4919,INDEX(MineNames,Calc!C4919),"")</f>
        <v/>
      </c>
      <c r="C4919" s="17">
        <f>IF(Calc!$B4919,Calc!O4919,"")</f>
        <v/>
      </c>
    </row>
    <row r="4920">
      <c r="A4920" s="16">
        <f>IF(Calc!$B4920,Calc!E4920,"")</f>
        <v/>
      </c>
      <c r="B4920">
        <f>IF(Calc!$B4920,INDEX(MineNames,Calc!C4920),"")</f>
        <v/>
      </c>
      <c r="C4920" s="17">
        <f>IF(Calc!$B4920,Calc!O4920,"")</f>
        <v/>
      </c>
    </row>
    <row r="4921">
      <c r="A4921" s="16">
        <f>IF(Calc!$B4921,Calc!E4921,"")</f>
        <v/>
      </c>
      <c r="B4921">
        <f>IF(Calc!$B4921,INDEX(MineNames,Calc!C4921),"")</f>
        <v/>
      </c>
      <c r="C4921" s="17">
        <f>IF(Calc!$B4921,Calc!O4921,"")</f>
        <v/>
      </c>
    </row>
    <row r="4922">
      <c r="A4922" s="16">
        <f>IF(Calc!$B4922,Calc!E4922,"")</f>
        <v/>
      </c>
      <c r="B4922">
        <f>IF(Calc!$B4922,INDEX(MineNames,Calc!C4922),"")</f>
        <v/>
      </c>
      <c r="C4922" s="17">
        <f>IF(Calc!$B4922,Calc!O4922,"")</f>
        <v/>
      </c>
    </row>
    <row r="4923">
      <c r="A4923" s="16">
        <f>IF(Calc!$B4923,Calc!E4923,"")</f>
        <v/>
      </c>
      <c r="B4923">
        <f>IF(Calc!$B4923,INDEX(MineNames,Calc!C4923),"")</f>
        <v/>
      </c>
      <c r="C4923" s="17">
        <f>IF(Calc!$B4923,Calc!O4923,"")</f>
        <v/>
      </c>
    </row>
    <row r="4924">
      <c r="A4924" s="16">
        <f>IF(Calc!$B4924,Calc!E4924,"")</f>
        <v/>
      </c>
      <c r="B4924">
        <f>IF(Calc!$B4924,INDEX(MineNames,Calc!C4924),"")</f>
        <v/>
      </c>
      <c r="C4924" s="17">
        <f>IF(Calc!$B4924,Calc!O4924,"")</f>
        <v/>
      </c>
    </row>
    <row r="4925">
      <c r="A4925" s="16">
        <f>IF(Calc!$B4925,Calc!E4925,"")</f>
        <v/>
      </c>
      <c r="B4925">
        <f>IF(Calc!$B4925,INDEX(MineNames,Calc!C4925),"")</f>
        <v/>
      </c>
      <c r="C4925" s="17">
        <f>IF(Calc!$B4925,Calc!O4925,"")</f>
        <v/>
      </c>
    </row>
    <row r="4926">
      <c r="A4926" s="16">
        <f>IF(Calc!$B4926,Calc!E4926,"")</f>
        <v/>
      </c>
      <c r="B4926">
        <f>IF(Calc!$B4926,INDEX(MineNames,Calc!C4926),"")</f>
        <v/>
      </c>
      <c r="C4926" s="17">
        <f>IF(Calc!$B4926,Calc!O4926,"")</f>
        <v/>
      </c>
    </row>
    <row r="4927">
      <c r="A4927" s="16">
        <f>IF(Calc!$B4927,Calc!E4927,"")</f>
        <v/>
      </c>
      <c r="B4927">
        <f>IF(Calc!$B4927,INDEX(MineNames,Calc!C4927),"")</f>
        <v/>
      </c>
      <c r="C4927" s="17">
        <f>IF(Calc!$B4927,Calc!O4927,"")</f>
        <v/>
      </c>
    </row>
    <row r="4928">
      <c r="A4928" s="16">
        <f>IF(Calc!$B4928,Calc!E4928,"")</f>
        <v/>
      </c>
      <c r="B4928">
        <f>IF(Calc!$B4928,INDEX(MineNames,Calc!C4928),"")</f>
        <v/>
      </c>
      <c r="C4928" s="17">
        <f>IF(Calc!$B4928,Calc!O4928,"")</f>
        <v/>
      </c>
    </row>
    <row r="4929">
      <c r="A4929" s="16">
        <f>IF(Calc!$B4929,Calc!E4929,"")</f>
        <v/>
      </c>
      <c r="B4929">
        <f>IF(Calc!$B4929,INDEX(MineNames,Calc!C4929),"")</f>
        <v/>
      </c>
      <c r="C4929" s="17">
        <f>IF(Calc!$B4929,Calc!O4929,"")</f>
        <v/>
      </c>
    </row>
    <row r="4930">
      <c r="A4930" s="16">
        <f>IF(Calc!$B4930,Calc!E4930,"")</f>
        <v/>
      </c>
      <c r="B4930">
        <f>IF(Calc!$B4930,INDEX(MineNames,Calc!C4930),"")</f>
        <v/>
      </c>
      <c r="C4930" s="17">
        <f>IF(Calc!$B4930,Calc!O4930,"")</f>
        <v/>
      </c>
    </row>
    <row r="4931">
      <c r="A4931" s="16">
        <f>IF(Calc!$B4931,Calc!E4931,"")</f>
        <v/>
      </c>
      <c r="B4931">
        <f>IF(Calc!$B4931,INDEX(MineNames,Calc!C4931),"")</f>
        <v/>
      </c>
      <c r="C4931" s="17">
        <f>IF(Calc!$B4931,Calc!O4931,"")</f>
        <v/>
      </c>
    </row>
    <row r="4932">
      <c r="A4932" s="16">
        <f>IF(Calc!$B4932,Calc!E4932,"")</f>
        <v/>
      </c>
      <c r="B4932">
        <f>IF(Calc!$B4932,INDEX(MineNames,Calc!C4932),"")</f>
        <v/>
      </c>
      <c r="C4932" s="17">
        <f>IF(Calc!$B4932,Calc!O4932,"")</f>
        <v/>
      </c>
    </row>
    <row r="4933">
      <c r="A4933" s="16">
        <f>IF(Calc!$B4933,Calc!E4933,"")</f>
        <v/>
      </c>
      <c r="B4933">
        <f>IF(Calc!$B4933,INDEX(MineNames,Calc!C4933),"")</f>
        <v/>
      </c>
      <c r="C4933" s="17">
        <f>IF(Calc!$B4933,Calc!O4933,"")</f>
        <v/>
      </c>
    </row>
    <row r="4934">
      <c r="A4934" s="16">
        <f>IF(Calc!$B4934,Calc!E4934,"")</f>
        <v/>
      </c>
      <c r="B4934">
        <f>IF(Calc!$B4934,INDEX(MineNames,Calc!C4934),"")</f>
        <v/>
      </c>
      <c r="C4934" s="17">
        <f>IF(Calc!$B4934,Calc!O4934,"")</f>
        <v/>
      </c>
    </row>
    <row r="4935">
      <c r="A4935" s="16">
        <f>IF(Calc!$B4935,Calc!E4935,"")</f>
        <v/>
      </c>
      <c r="B4935">
        <f>IF(Calc!$B4935,INDEX(MineNames,Calc!C4935),"")</f>
        <v/>
      </c>
      <c r="C4935" s="17">
        <f>IF(Calc!$B4935,Calc!O4935,"")</f>
        <v/>
      </c>
    </row>
    <row r="4936">
      <c r="A4936" s="16">
        <f>IF(Calc!$B4936,Calc!E4936,"")</f>
        <v/>
      </c>
      <c r="B4936">
        <f>IF(Calc!$B4936,INDEX(MineNames,Calc!C4936),"")</f>
        <v/>
      </c>
      <c r="C4936" s="17">
        <f>IF(Calc!$B4936,Calc!O4936,"")</f>
        <v/>
      </c>
    </row>
    <row r="4937">
      <c r="A4937" s="16">
        <f>IF(Calc!$B4937,Calc!E4937,"")</f>
        <v/>
      </c>
      <c r="B4937">
        <f>IF(Calc!$B4937,INDEX(MineNames,Calc!C4937),"")</f>
        <v/>
      </c>
      <c r="C4937" s="17">
        <f>IF(Calc!$B4937,Calc!O4937,"")</f>
        <v/>
      </c>
    </row>
    <row r="4938">
      <c r="A4938" s="16">
        <f>IF(Calc!$B4938,Calc!E4938,"")</f>
        <v/>
      </c>
      <c r="B4938">
        <f>IF(Calc!$B4938,INDEX(MineNames,Calc!C4938),"")</f>
        <v/>
      </c>
      <c r="C4938" s="17">
        <f>IF(Calc!$B4938,Calc!O4938,"")</f>
        <v/>
      </c>
    </row>
    <row r="4939">
      <c r="A4939" s="16">
        <f>IF(Calc!$B4939,Calc!E4939,"")</f>
        <v/>
      </c>
      <c r="B4939">
        <f>IF(Calc!$B4939,INDEX(MineNames,Calc!C4939),"")</f>
        <v/>
      </c>
      <c r="C4939" s="17">
        <f>IF(Calc!$B4939,Calc!O4939,"")</f>
        <v/>
      </c>
    </row>
    <row r="4940">
      <c r="A4940" s="16">
        <f>IF(Calc!$B4940,Calc!E4940,"")</f>
        <v/>
      </c>
      <c r="B4940">
        <f>IF(Calc!$B4940,INDEX(MineNames,Calc!C4940),"")</f>
        <v/>
      </c>
      <c r="C4940" s="17">
        <f>IF(Calc!$B4940,Calc!O4940,"")</f>
        <v/>
      </c>
    </row>
    <row r="4941">
      <c r="A4941" s="16">
        <f>IF(Calc!$B4941,Calc!E4941,"")</f>
        <v/>
      </c>
      <c r="B4941">
        <f>IF(Calc!$B4941,INDEX(MineNames,Calc!C4941),"")</f>
        <v/>
      </c>
      <c r="C4941" s="17">
        <f>IF(Calc!$B4941,Calc!O4941,"")</f>
        <v/>
      </c>
    </row>
    <row r="4942">
      <c r="A4942" s="16">
        <f>IF(Calc!$B4942,Calc!E4942,"")</f>
        <v/>
      </c>
      <c r="B4942">
        <f>IF(Calc!$B4942,INDEX(MineNames,Calc!C4942),"")</f>
        <v/>
      </c>
      <c r="C4942" s="17">
        <f>IF(Calc!$B4942,Calc!O4942,"")</f>
        <v/>
      </c>
    </row>
    <row r="4943">
      <c r="A4943" s="16">
        <f>IF(Calc!$B4943,Calc!E4943,"")</f>
        <v/>
      </c>
      <c r="B4943">
        <f>IF(Calc!$B4943,INDEX(MineNames,Calc!C4943),"")</f>
        <v/>
      </c>
      <c r="C4943" s="17">
        <f>IF(Calc!$B4943,Calc!O4943,"")</f>
        <v/>
      </c>
    </row>
    <row r="4944">
      <c r="A4944" s="16">
        <f>IF(Calc!$B4944,Calc!E4944,"")</f>
        <v/>
      </c>
      <c r="B4944">
        <f>IF(Calc!$B4944,INDEX(MineNames,Calc!C4944),"")</f>
        <v/>
      </c>
      <c r="C4944" s="17">
        <f>IF(Calc!$B4944,Calc!O4944,"")</f>
        <v/>
      </c>
    </row>
    <row r="4945">
      <c r="A4945" s="16">
        <f>IF(Calc!$B4945,Calc!E4945,"")</f>
        <v/>
      </c>
      <c r="B4945">
        <f>IF(Calc!$B4945,INDEX(MineNames,Calc!C4945),"")</f>
        <v/>
      </c>
      <c r="C4945" s="17">
        <f>IF(Calc!$B4945,Calc!O4945,"")</f>
        <v/>
      </c>
    </row>
    <row r="4946">
      <c r="A4946" s="16">
        <f>IF(Calc!$B4946,Calc!E4946,"")</f>
        <v/>
      </c>
      <c r="B4946">
        <f>IF(Calc!$B4946,INDEX(MineNames,Calc!C4946),"")</f>
        <v/>
      </c>
      <c r="C4946" s="17">
        <f>IF(Calc!$B4946,Calc!O4946,"")</f>
        <v/>
      </c>
    </row>
    <row r="4947">
      <c r="A4947" s="16">
        <f>IF(Calc!$B4947,Calc!E4947,"")</f>
        <v/>
      </c>
      <c r="B4947">
        <f>IF(Calc!$B4947,INDEX(MineNames,Calc!C4947),"")</f>
        <v/>
      </c>
      <c r="C4947" s="17">
        <f>IF(Calc!$B4947,Calc!O4947,"")</f>
        <v/>
      </c>
    </row>
    <row r="4948">
      <c r="A4948" s="16">
        <f>IF(Calc!$B4948,Calc!E4948,"")</f>
        <v/>
      </c>
      <c r="B4948">
        <f>IF(Calc!$B4948,INDEX(MineNames,Calc!C4948),"")</f>
        <v/>
      </c>
      <c r="C4948" s="17">
        <f>IF(Calc!$B4948,Calc!O4948,"")</f>
        <v/>
      </c>
    </row>
    <row r="4949">
      <c r="A4949" s="16">
        <f>IF(Calc!$B4949,Calc!E4949,"")</f>
        <v/>
      </c>
      <c r="B4949">
        <f>IF(Calc!$B4949,INDEX(MineNames,Calc!C4949),"")</f>
        <v/>
      </c>
      <c r="C4949" s="17">
        <f>IF(Calc!$B4949,Calc!O4949,"")</f>
        <v/>
      </c>
    </row>
    <row r="4950">
      <c r="A4950" s="16">
        <f>IF(Calc!$B4950,Calc!E4950,"")</f>
        <v/>
      </c>
      <c r="B4950">
        <f>IF(Calc!$B4950,INDEX(MineNames,Calc!C4950),"")</f>
        <v/>
      </c>
      <c r="C4950" s="17">
        <f>IF(Calc!$B4950,Calc!O4950,"")</f>
        <v/>
      </c>
    </row>
    <row r="4951">
      <c r="A4951" s="16">
        <f>IF(Calc!$B4951,Calc!E4951,"")</f>
        <v/>
      </c>
      <c r="B4951">
        <f>IF(Calc!$B4951,INDEX(MineNames,Calc!C4951),"")</f>
        <v/>
      </c>
      <c r="C4951" s="17">
        <f>IF(Calc!$B4951,Calc!O4951,"")</f>
        <v/>
      </c>
    </row>
    <row r="4952">
      <c r="A4952" s="16">
        <f>IF(Calc!$B4952,Calc!E4952,"")</f>
        <v/>
      </c>
      <c r="B4952">
        <f>IF(Calc!$B4952,INDEX(MineNames,Calc!C4952),"")</f>
        <v/>
      </c>
      <c r="C4952" s="17">
        <f>IF(Calc!$B4952,Calc!O4952,"")</f>
        <v/>
      </c>
    </row>
    <row r="4953">
      <c r="A4953" s="16">
        <f>IF(Calc!$B4953,Calc!E4953,"")</f>
        <v/>
      </c>
      <c r="B4953">
        <f>IF(Calc!$B4953,INDEX(MineNames,Calc!C4953),"")</f>
        <v/>
      </c>
      <c r="C4953" s="17">
        <f>IF(Calc!$B4953,Calc!O4953,"")</f>
        <v/>
      </c>
    </row>
    <row r="4954">
      <c r="A4954" s="16">
        <f>IF(Calc!$B4954,Calc!E4954,"")</f>
        <v/>
      </c>
      <c r="B4954">
        <f>IF(Calc!$B4954,INDEX(MineNames,Calc!C4954),"")</f>
        <v/>
      </c>
      <c r="C4954" s="17">
        <f>IF(Calc!$B4954,Calc!O4954,"")</f>
        <v/>
      </c>
    </row>
    <row r="4955">
      <c r="A4955" s="16">
        <f>IF(Calc!$B4955,Calc!E4955,"")</f>
        <v/>
      </c>
      <c r="B4955">
        <f>IF(Calc!$B4955,INDEX(MineNames,Calc!C4955),"")</f>
        <v/>
      </c>
      <c r="C4955" s="17">
        <f>IF(Calc!$B4955,Calc!O4955,"")</f>
        <v/>
      </c>
    </row>
    <row r="4956">
      <c r="A4956" s="16">
        <f>IF(Calc!$B4956,Calc!E4956,"")</f>
        <v/>
      </c>
      <c r="B4956">
        <f>IF(Calc!$B4956,INDEX(MineNames,Calc!C4956),"")</f>
        <v/>
      </c>
      <c r="C4956" s="17">
        <f>IF(Calc!$B4956,Calc!O4956,"")</f>
        <v/>
      </c>
    </row>
    <row r="4957">
      <c r="A4957" s="16">
        <f>IF(Calc!$B4957,Calc!E4957,"")</f>
        <v/>
      </c>
      <c r="B4957">
        <f>IF(Calc!$B4957,INDEX(MineNames,Calc!C4957),"")</f>
        <v/>
      </c>
      <c r="C4957" s="17">
        <f>IF(Calc!$B4957,Calc!O4957,"")</f>
        <v/>
      </c>
    </row>
    <row r="4958">
      <c r="A4958" s="16">
        <f>IF(Calc!$B4958,Calc!E4958,"")</f>
        <v/>
      </c>
      <c r="B4958">
        <f>IF(Calc!$B4958,INDEX(MineNames,Calc!C4958),"")</f>
        <v/>
      </c>
      <c r="C4958" s="17">
        <f>IF(Calc!$B4958,Calc!O4958,"")</f>
        <v/>
      </c>
    </row>
    <row r="4959">
      <c r="A4959" s="16">
        <f>IF(Calc!$B4959,Calc!E4959,"")</f>
        <v/>
      </c>
      <c r="B4959">
        <f>IF(Calc!$B4959,INDEX(MineNames,Calc!C4959),"")</f>
        <v/>
      </c>
      <c r="C4959" s="17">
        <f>IF(Calc!$B4959,Calc!O4959,"")</f>
        <v/>
      </c>
    </row>
    <row r="4960">
      <c r="A4960" s="16">
        <f>IF(Calc!$B4960,Calc!E4960,"")</f>
        <v/>
      </c>
      <c r="B4960">
        <f>IF(Calc!$B4960,INDEX(MineNames,Calc!C4960),"")</f>
        <v/>
      </c>
      <c r="C4960" s="17">
        <f>IF(Calc!$B4960,Calc!O4960,"")</f>
        <v/>
      </c>
    </row>
    <row r="4961">
      <c r="A4961" s="16">
        <f>IF(Calc!$B4961,Calc!E4961,"")</f>
        <v/>
      </c>
      <c r="B4961">
        <f>IF(Calc!$B4961,INDEX(MineNames,Calc!C4961),"")</f>
        <v/>
      </c>
      <c r="C4961" s="17">
        <f>IF(Calc!$B4961,Calc!O4961,"")</f>
        <v/>
      </c>
    </row>
    <row r="4962">
      <c r="A4962" s="16">
        <f>IF(Calc!$B4962,Calc!E4962,"")</f>
        <v/>
      </c>
      <c r="B4962">
        <f>IF(Calc!$B4962,INDEX(MineNames,Calc!C4962),"")</f>
        <v/>
      </c>
      <c r="C4962" s="17">
        <f>IF(Calc!$B4962,Calc!O4962,"")</f>
        <v/>
      </c>
    </row>
    <row r="4963">
      <c r="A4963" s="16">
        <f>IF(Calc!$B4963,Calc!E4963,"")</f>
        <v/>
      </c>
      <c r="B4963">
        <f>IF(Calc!$B4963,INDEX(MineNames,Calc!C4963),"")</f>
        <v/>
      </c>
      <c r="C4963" s="17">
        <f>IF(Calc!$B4963,Calc!O4963,"")</f>
        <v/>
      </c>
    </row>
    <row r="4964">
      <c r="A4964" s="16">
        <f>IF(Calc!$B4964,Calc!E4964,"")</f>
        <v/>
      </c>
      <c r="B4964">
        <f>IF(Calc!$B4964,INDEX(MineNames,Calc!C4964),"")</f>
        <v/>
      </c>
      <c r="C4964" s="17">
        <f>IF(Calc!$B4964,Calc!O4964,"")</f>
        <v/>
      </c>
    </row>
    <row r="4965">
      <c r="A4965" s="16">
        <f>IF(Calc!$B4965,Calc!E4965,"")</f>
        <v/>
      </c>
      <c r="B4965">
        <f>IF(Calc!$B4965,INDEX(MineNames,Calc!C4965),"")</f>
        <v/>
      </c>
      <c r="C4965" s="17">
        <f>IF(Calc!$B4965,Calc!O4965,"")</f>
        <v/>
      </c>
    </row>
    <row r="4966">
      <c r="A4966" s="16">
        <f>IF(Calc!$B4966,Calc!E4966,"")</f>
        <v/>
      </c>
      <c r="B4966">
        <f>IF(Calc!$B4966,INDEX(MineNames,Calc!C4966),"")</f>
        <v/>
      </c>
      <c r="C4966" s="17">
        <f>IF(Calc!$B4966,Calc!O4966,"")</f>
        <v/>
      </c>
    </row>
    <row r="4967">
      <c r="A4967" s="16">
        <f>IF(Calc!$B4967,Calc!E4967,"")</f>
        <v/>
      </c>
      <c r="B4967">
        <f>IF(Calc!$B4967,INDEX(MineNames,Calc!C4967),"")</f>
        <v/>
      </c>
      <c r="C4967" s="17">
        <f>IF(Calc!$B4967,Calc!O4967,"")</f>
        <v/>
      </c>
    </row>
    <row r="4968">
      <c r="A4968" s="16">
        <f>IF(Calc!$B4968,Calc!E4968,"")</f>
        <v/>
      </c>
      <c r="B4968">
        <f>IF(Calc!$B4968,INDEX(MineNames,Calc!C4968),"")</f>
        <v/>
      </c>
      <c r="C4968" s="17">
        <f>IF(Calc!$B4968,Calc!O4968,"")</f>
        <v/>
      </c>
    </row>
    <row r="4969">
      <c r="A4969" s="16">
        <f>IF(Calc!$B4969,Calc!E4969,"")</f>
        <v/>
      </c>
      <c r="B4969">
        <f>IF(Calc!$B4969,INDEX(MineNames,Calc!C4969),"")</f>
        <v/>
      </c>
      <c r="C4969" s="17">
        <f>IF(Calc!$B4969,Calc!O4969,"")</f>
        <v/>
      </c>
    </row>
    <row r="4970">
      <c r="A4970" s="16">
        <f>IF(Calc!$B4970,Calc!E4970,"")</f>
        <v/>
      </c>
      <c r="B4970">
        <f>IF(Calc!$B4970,INDEX(MineNames,Calc!C4970),"")</f>
        <v/>
      </c>
      <c r="C4970" s="17">
        <f>IF(Calc!$B4970,Calc!O4970,"")</f>
        <v/>
      </c>
    </row>
    <row r="4971">
      <c r="A4971" s="16">
        <f>IF(Calc!$B4971,Calc!E4971,"")</f>
        <v/>
      </c>
      <c r="B4971">
        <f>IF(Calc!$B4971,INDEX(MineNames,Calc!C4971),"")</f>
        <v/>
      </c>
      <c r="C4971" s="17">
        <f>IF(Calc!$B4971,Calc!O4971,"")</f>
        <v/>
      </c>
    </row>
    <row r="4972">
      <c r="A4972" s="16">
        <f>IF(Calc!$B4972,Calc!E4972,"")</f>
        <v/>
      </c>
      <c r="B4972">
        <f>IF(Calc!$B4972,INDEX(MineNames,Calc!C4972),"")</f>
        <v/>
      </c>
      <c r="C4972" s="17">
        <f>IF(Calc!$B4972,Calc!O4972,"")</f>
        <v/>
      </c>
    </row>
    <row r="4973">
      <c r="A4973" s="16">
        <f>IF(Calc!$B4973,Calc!E4973,"")</f>
        <v/>
      </c>
      <c r="B4973">
        <f>IF(Calc!$B4973,INDEX(MineNames,Calc!C4973),"")</f>
        <v/>
      </c>
      <c r="C4973" s="17">
        <f>IF(Calc!$B4973,Calc!O4973,"")</f>
        <v/>
      </c>
    </row>
    <row r="4974">
      <c r="A4974" s="16">
        <f>IF(Calc!$B4974,Calc!E4974,"")</f>
        <v/>
      </c>
      <c r="B4974">
        <f>IF(Calc!$B4974,INDEX(MineNames,Calc!C4974),"")</f>
        <v/>
      </c>
      <c r="C4974" s="17">
        <f>IF(Calc!$B4974,Calc!O4974,"")</f>
        <v/>
      </c>
    </row>
    <row r="4975">
      <c r="A4975" s="16">
        <f>IF(Calc!$B4975,Calc!E4975,"")</f>
        <v/>
      </c>
      <c r="B4975">
        <f>IF(Calc!$B4975,INDEX(MineNames,Calc!C4975),"")</f>
        <v/>
      </c>
      <c r="C4975" s="17">
        <f>IF(Calc!$B4975,Calc!O4975,"")</f>
        <v/>
      </c>
    </row>
    <row r="4976">
      <c r="A4976" s="16">
        <f>IF(Calc!$B4976,Calc!E4976,"")</f>
        <v/>
      </c>
      <c r="B4976">
        <f>IF(Calc!$B4976,INDEX(MineNames,Calc!C4976),"")</f>
        <v/>
      </c>
      <c r="C4976" s="17">
        <f>IF(Calc!$B4976,Calc!O4976,"")</f>
        <v/>
      </c>
    </row>
    <row r="4977">
      <c r="A4977" s="16">
        <f>IF(Calc!$B4977,Calc!E4977,"")</f>
        <v/>
      </c>
      <c r="B4977">
        <f>IF(Calc!$B4977,INDEX(MineNames,Calc!C4977),"")</f>
        <v/>
      </c>
      <c r="C4977" s="17">
        <f>IF(Calc!$B4977,Calc!O4977,"")</f>
        <v/>
      </c>
    </row>
    <row r="4978">
      <c r="A4978" s="16">
        <f>IF(Calc!$B4978,Calc!E4978,"")</f>
        <v/>
      </c>
      <c r="B4978">
        <f>IF(Calc!$B4978,INDEX(MineNames,Calc!C4978),"")</f>
        <v/>
      </c>
      <c r="C4978" s="17">
        <f>IF(Calc!$B4978,Calc!O4978,"")</f>
        <v/>
      </c>
    </row>
    <row r="4979">
      <c r="A4979" s="16">
        <f>IF(Calc!$B4979,Calc!E4979,"")</f>
        <v/>
      </c>
      <c r="B4979">
        <f>IF(Calc!$B4979,INDEX(MineNames,Calc!C4979),"")</f>
        <v/>
      </c>
      <c r="C4979" s="17">
        <f>IF(Calc!$B4979,Calc!O4979,"")</f>
        <v/>
      </c>
    </row>
    <row r="4980">
      <c r="A4980" s="16">
        <f>IF(Calc!$B4980,Calc!E4980,"")</f>
        <v/>
      </c>
      <c r="B4980">
        <f>IF(Calc!$B4980,INDEX(MineNames,Calc!C4980),"")</f>
        <v/>
      </c>
      <c r="C4980" s="17">
        <f>IF(Calc!$B4980,Calc!O4980,"")</f>
        <v/>
      </c>
    </row>
    <row r="4981">
      <c r="A4981" s="16">
        <f>IF(Calc!$B4981,Calc!E4981,"")</f>
        <v/>
      </c>
      <c r="B4981">
        <f>IF(Calc!$B4981,INDEX(MineNames,Calc!C4981),"")</f>
        <v/>
      </c>
      <c r="C4981" s="17">
        <f>IF(Calc!$B4981,Calc!O4981,"")</f>
        <v/>
      </c>
    </row>
    <row r="4982">
      <c r="A4982" s="16">
        <f>IF(Calc!$B4982,Calc!E4982,"")</f>
        <v/>
      </c>
      <c r="B4982">
        <f>IF(Calc!$B4982,INDEX(MineNames,Calc!C4982),"")</f>
        <v/>
      </c>
      <c r="C4982" s="17">
        <f>IF(Calc!$B4982,Calc!O4982,"")</f>
        <v/>
      </c>
    </row>
    <row r="4983">
      <c r="A4983" s="16">
        <f>IF(Calc!$B4983,Calc!E4983,"")</f>
        <v/>
      </c>
      <c r="B4983">
        <f>IF(Calc!$B4983,INDEX(MineNames,Calc!C4983),"")</f>
        <v/>
      </c>
      <c r="C4983" s="17">
        <f>IF(Calc!$B4983,Calc!O4983,"")</f>
        <v/>
      </c>
    </row>
    <row r="4984">
      <c r="A4984" s="16">
        <f>IF(Calc!$B4984,Calc!E4984,"")</f>
        <v/>
      </c>
      <c r="B4984">
        <f>IF(Calc!$B4984,INDEX(MineNames,Calc!C4984),"")</f>
        <v/>
      </c>
      <c r="C4984" s="17">
        <f>IF(Calc!$B4984,Calc!O4984,"")</f>
        <v/>
      </c>
    </row>
    <row r="4985">
      <c r="A4985" s="16">
        <f>IF(Calc!$B4985,Calc!E4985,"")</f>
        <v/>
      </c>
      <c r="B4985">
        <f>IF(Calc!$B4985,INDEX(MineNames,Calc!C4985),"")</f>
        <v/>
      </c>
      <c r="C4985" s="17">
        <f>IF(Calc!$B4985,Calc!O4985,"")</f>
        <v/>
      </c>
    </row>
    <row r="4986">
      <c r="A4986" s="16">
        <f>IF(Calc!$B4986,Calc!E4986,"")</f>
        <v/>
      </c>
      <c r="B4986">
        <f>IF(Calc!$B4986,INDEX(MineNames,Calc!C4986),"")</f>
        <v/>
      </c>
      <c r="C4986" s="17">
        <f>IF(Calc!$B4986,Calc!O4986,"")</f>
        <v/>
      </c>
    </row>
    <row r="4987">
      <c r="A4987" s="16">
        <f>IF(Calc!$B4987,Calc!E4987,"")</f>
        <v/>
      </c>
      <c r="B4987">
        <f>IF(Calc!$B4987,INDEX(MineNames,Calc!C4987),"")</f>
        <v/>
      </c>
      <c r="C4987" s="17">
        <f>IF(Calc!$B4987,Calc!O4987,"")</f>
        <v/>
      </c>
    </row>
    <row r="4988">
      <c r="A4988" s="16">
        <f>IF(Calc!$B4988,Calc!E4988,"")</f>
        <v/>
      </c>
      <c r="B4988">
        <f>IF(Calc!$B4988,INDEX(MineNames,Calc!C4988),"")</f>
        <v/>
      </c>
      <c r="C4988" s="17">
        <f>IF(Calc!$B4988,Calc!O4988,"")</f>
        <v/>
      </c>
    </row>
    <row r="4989">
      <c r="A4989" s="16">
        <f>IF(Calc!$B4989,Calc!E4989,"")</f>
        <v/>
      </c>
      <c r="B4989">
        <f>IF(Calc!$B4989,INDEX(MineNames,Calc!C4989),"")</f>
        <v/>
      </c>
      <c r="C4989" s="17">
        <f>IF(Calc!$B4989,Calc!O4989,"")</f>
        <v/>
      </c>
    </row>
    <row r="4990">
      <c r="A4990" s="16">
        <f>IF(Calc!$B4990,Calc!E4990,"")</f>
        <v/>
      </c>
      <c r="B4990">
        <f>IF(Calc!$B4990,INDEX(MineNames,Calc!C4990),"")</f>
        <v/>
      </c>
      <c r="C4990" s="17">
        <f>IF(Calc!$B4990,Calc!O4990,"")</f>
        <v/>
      </c>
    </row>
    <row r="4991">
      <c r="A4991" s="16">
        <f>IF(Calc!$B4991,Calc!E4991,"")</f>
        <v/>
      </c>
      <c r="B4991">
        <f>IF(Calc!$B4991,INDEX(MineNames,Calc!C4991),"")</f>
        <v/>
      </c>
      <c r="C4991" s="17">
        <f>IF(Calc!$B4991,Calc!O4991,"")</f>
        <v/>
      </c>
    </row>
    <row r="4992">
      <c r="A4992" s="16">
        <f>IF(Calc!$B4992,Calc!E4992,"")</f>
        <v/>
      </c>
      <c r="B4992">
        <f>IF(Calc!$B4992,INDEX(MineNames,Calc!C4992),"")</f>
        <v/>
      </c>
      <c r="C4992" s="17">
        <f>IF(Calc!$B4992,Calc!O4992,"")</f>
        <v/>
      </c>
    </row>
    <row r="4993">
      <c r="A4993" s="16">
        <f>IF(Calc!$B4993,Calc!E4993,"")</f>
        <v/>
      </c>
      <c r="B4993">
        <f>IF(Calc!$B4993,INDEX(MineNames,Calc!C4993),"")</f>
        <v/>
      </c>
      <c r="C4993" s="17">
        <f>IF(Calc!$B4993,Calc!O4993,"")</f>
        <v/>
      </c>
    </row>
    <row r="4994">
      <c r="A4994" s="16">
        <f>IF(Calc!$B4994,Calc!E4994,"")</f>
        <v/>
      </c>
      <c r="B4994">
        <f>IF(Calc!$B4994,INDEX(MineNames,Calc!C4994),"")</f>
        <v/>
      </c>
      <c r="C4994" s="17">
        <f>IF(Calc!$B4994,Calc!O4994,"")</f>
        <v/>
      </c>
    </row>
    <row r="4995">
      <c r="A4995" s="16">
        <f>IF(Calc!$B4995,Calc!E4995,"")</f>
        <v/>
      </c>
      <c r="B4995">
        <f>IF(Calc!$B4995,INDEX(MineNames,Calc!C4995),"")</f>
        <v/>
      </c>
      <c r="C4995" s="17">
        <f>IF(Calc!$B4995,Calc!O4995,"")</f>
        <v/>
      </c>
    </row>
    <row r="4996">
      <c r="A4996" s="16">
        <f>IF(Calc!$B4996,Calc!E4996,"")</f>
        <v/>
      </c>
      <c r="B4996">
        <f>IF(Calc!$B4996,INDEX(MineNames,Calc!C4996),"")</f>
        <v/>
      </c>
      <c r="C4996" s="17">
        <f>IF(Calc!$B4996,Calc!O4996,"")</f>
        <v/>
      </c>
    </row>
    <row r="4997">
      <c r="A4997" s="16">
        <f>IF(Calc!$B4997,Calc!E4997,"")</f>
        <v/>
      </c>
      <c r="B4997">
        <f>IF(Calc!$B4997,INDEX(MineNames,Calc!C4997),"")</f>
        <v/>
      </c>
      <c r="C4997" s="17">
        <f>IF(Calc!$B4997,Calc!O4997,"")</f>
        <v/>
      </c>
    </row>
    <row r="4998">
      <c r="A4998" s="16">
        <f>IF(Calc!$B4998,Calc!E4998,"")</f>
        <v/>
      </c>
      <c r="B4998">
        <f>IF(Calc!$B4998,INDEX(MineNames,Calc!C4998),"")</f>
        <v/>
      </c>
      <c r="C4998" s="17">
        <f>IF(Calc!$B4998,Calc!O4998,"")</f>
        <v/>
      </c>
    </row>
    <row r="4999">
      <c r="A4999" s="16">
        <f>IF(Calc!$B4999,Calc!E4999,"")</f>
        <v/>
      </c>
      <c r="B4999">
        <f>IF(Calc!$B4999,INDEX(MineNames,Calc!C4999),"")</f>
        <v/>
      </c>
      <c r="C4999" s="17">
        <f>IF(Calc!$B4999,Calc!O4999,"")</f>
        <v/>
      </c>
    </row>
    <row r="5000">
      <c r="A5000" s="16">
        <f>IF(Calc!$B5000,Calc!E5000,"")</f>
        <v/>
      </c>
      <c r="B5000">
        <f>IF(Calc!$B5000,INDEX(MineNames,Calc!C5000),"")</f>
        <v/>
      </c>
      <c r="C5000" s="17">
        <f>IF(Calc!$B5000,Calc!O5000,"")</f>
        <v/>
      </c>
    </row>
    <row r="5001">
      <c r="A5001" s="16">
        <f>IF(Calc!$B5001,Calc!E5001,"")</f>
        <v/>
      </c>
      <c r="B5001">
        <f>IF(Calc!$B5001,INDEX(MineNames,Calc!C5001),"")</f>
        <v/>
      </c>
      <c r="C5001" s="17">
        <f>IF(Calc!$B5001,Calc!O5001,"")</f>
        <v/>
      </c>
    </row>
    <row r="5002">
      <c r="A5002" s="16">
        <f>IF(Calc!$B5002,Calc!E5002,"")</f>
        <v/>
      </c>
      <c r="B5002">
        <f>IF(Calc!$B5002,INDEX(MineNames,Calc!C5002),"")</f>
        <v/>
      </c>
      <c r="C5002" s="17">
        <f>IF(Calc!$B5002,Calc!O5002,"")</f>
        <v/>
      </c>
    </row>
    <row r="5003">
      <c r="A5003" s="16">
        <f>IF(Calc!$B5003,Calc!E5003,"")</f>
        <v/>
      </c>
      <c r="B5003">
        <f>IF(Calc!$B5003,INDEX(MineNames,Calc!C5003),"")</f>
        <v/>
      </c>
      <c r="C5003" s="17">
        <f>IF(Calc!$B5003,Calc!O5003,"")</f>
        <v/>
      </c>
    </row>
    <row r="5004">
      <c r="A5004" s="16">
        <f>IF(Calc!$B5004,Calc!E5004,"")</f>
        <v/>
      </c>
      <c r="B5004">
        <f>IF(Calc!$B5004,INDEX(MineNames,Calc!C5004),"")</f>
        <v/>
      </c>
      <c r="C5004" s="17">
        <f>IF(Calc!$B5004,Calc!O5004,"")</f>
        <v/>
      </c>
    </row>
    <row r="5005">
      <c r="A5005" s="16">
        <f>IF(Calc!$B5005,Calc!E5005,"")</f>
        <v/>
      </c>
      <c r="B5005">
        <f>IF(Calc!$B5005,INDEX(MineNames,Calc!C5005),"")</f>
        <v/>
      </c>
      <c r="C5005" s="17">
        <f>IF(Calc!$B5005,Calc!O5005,"")</f>
        <v/>
      </c>
    </row>
    <row r="5006">
      <c r="A5006" s="16">
        <f>IF(Calc!$B5006,Calc!E5006,"")</f>
        <v/>
      </c>
      <c r="B5006">
        <f>IF(Calc!$B5006,INDEX(MineNames,Calc!C5006),"")</f>
        <v/>
      </c>
      <c r="C5006" s="17">
        <f>IF(Calc!$B5006,Calc!O5006,"")</f>
        <v/>
      </c>
    </row>
    <row r="5007">
      <c r="A5007" s="16">
        <f>IF(Calc!$B5007,Calc!E5007,"")</f>
        <v/>
      </c>
      <c r="B5007">
        <f>IF(Calc!$B5007,INDEX(MineNames,Calc!C5007),"")</f>
        <v/>
      </c>
      <c r="C5007" s="17">
        <f>IF(Calc!$B5007,Calc!O5007,"")</f>
        <v/>
      </c>
    </row>
    <row r="5008">
      <c r="A5008" s="16">
        <f>IF(Calc!$B5008,Calc!E5008,"")</f>
        <v/>
      </c>
      <c r="B5008">
        <f>IF(Calc!$B5008,INDEX(MineNames,Calc!C5008),"")</f>
        <v/>
      </c>
      <c r="C5008" s="17">
        <f>IF(Calc!$B5008,Calc!O5008,"")</f>
        <v/>
      </c>
    </row>
    <row r="5009">
      <c r="A5009" s="16">
        <f>IF(Calc!$B5009,Calc!E5009,"")</f>
        <v/>
      </c>
      <c r="B5009">
        <f>IF(Calc!$B5009,INDEX(MineNames,Calc!C5009),"")</f>
        <v/>
      </c>
      <c r="C5009" s="17">
        <f>IF(Calc!$B5009,Calc!O5009,"")</f>
        <v/>
      </c>
    </row>
    <row r="5010">
      <c r="A5010" s="16">
        <f>IF(Calc!$B5010,Calc!E5010,"")</f>
        <v/>
      </c>
      <c r="B5010">
        <f>IF(Calc!$B5010,INDEX(MineNames,Calc!C5010),"")</f>
        <v/>
      </c>
      <c r="C5010" s="17">
        <f>IF(Calc!$B5010,Calc!O5010,"")</f>
        <v/>
      </c>
    </row>
    <row r="5011">
      <c r="A5011" s="16">
        <f>IF(Calc!$B5011,Calc!E5011,"")</f>
        <v/>
      </c>
      <c r="B5011">
        <f>IF(Calc!$B5011,INDEX(MineNames,Calc!C5011),"")</f>
        <v/>
      </c>
      <c r="C5011" s="17">
        <f>IF(Calc!$B5011,Calc!O5011,"")</f>
        <v/>
      </c>
    </row>
    <row r="5012">
      <c r="A5012" s="16">
        <f>IF(Calc!$B5012,Calc!E5012,"")</f>
        <v/>
      </c>
      <c r="B5012">
        <f>IF(Calc!$B5012,INDEX(MineNames,Calc!C5012),"")</f>
        <v/>
      </c>
      <c r="C5012" s="17">
        <f>IF(Calc!$B5012,Calc!O5012,"")</f>
        <v/>
      </c>
    </row>
    <row r="5013">
      <c r="A5013" s="16">
        <f>IF(Calc!$B5013,Calc!E5013,"")</f>
        <v/>
      </c>
      <c r="B5013">
        <f>IF(Calc!$B5013,INDEX(MineNames,Calc!C5013),"")</f>
        <v/>
      </c>
      <c r="C5013" s="17">
        <f>IF(Calc!$B5013,Calc!O5013,"")</f>
        <v/>
      </c>
    </row>
    <row r="5014">
      <c r="A5014" s="16">
        <f>IF(Calc!$B5014,Calc!E5014,"")</f>
        <v/>
      </c>
      <c r="B5014">
        <f>IF(Calc!$B5014,INDEX(MineNames,Calc!C5014),"")</f>
        <v/>
      </c>
      <c r="C5014" s="17">
        <f>IF(Calc!$B5014,Calc!O5014,"")</f>
        <v/>
      </c>
    </row>
    <row r="5015">
      <c r="A5015" s="16">
        <f>IF(Calc!$B5015,Calc!E5015,"")</f>
        <v/>
      </c>
      <c r="B5015">
        <f>IF(Calc!$B5015,INDEX(MineNames,Calc!C5015),"")</f>
        <v/>
      </c>
      <c r="C5015" s="17">
        <f>IF(Calc!$B5015,Calc!O5015,"")</f>
        <v/>
      </c>
    </row>
    <row r="5016">
      <c r="A5016" s="16">
        <f>IF(Calc!$B5016,Calc!E5016,"")</f>
        <v/>
      </c>
      <c r="B5016">
        <f>IF(Calc!$B5016,INDEX(MineNames,Calc!C5016),"")</f>
        <v/>
      </c>
      <c r="C5016" s="17">
        <f>IF(Calc!$B5016,Calc!O5016,"")</f>
        <v/>
      </c>
    </row>
    <row r="5017">
      <c r="A5017" s="16">
        <f>IF(Calc!$B5017,Calc!E5017,"")</f>
        <v/>
      </c>
      <c r="B5017">
        <f>IF(Calc!$B5017,INDEX(MineNames,Calc!C5017),"")</f>
        <v/>
      </c>
      <c r="C5017" s="17">
        <f>IF(Calc!$B5017,Calc!O5017,"")</f>
        <v/>
      </c>
    </row>
    <row r="5018">
      <c r="A5018" s="16">
        <f>IF(Calc!$B5018,Calc!E5018,"")</f>
        <v/>
      </c>
      <c r="B5018">
        <f>IF(Calc!$B5018,INDEX(MineNames,Calc!C5018),"")</f>
        <v/>
      </c>
      <c r="C5018" s="17">
        <f>IF(Calc!$B5018,Calc!O5018,"")</f>
        <v/>
      </c>
    </row>
    <row r="5019">
      <c r="A5019" s="16">
        <f>IF(Calc!$B5019,Calc!E5019,"")</f>
        <v/>
      </c>
      <c r="B5019">
        <f>IF(Calc!$B5019,INDEX(MineNames,Calc!C5019),"")</f>
        <v/>
      </c>
      <c r="C5019" s="17">
        <f>IF(Calc!$B5019,Calc!O5019,"")</f>
        <v/>
      </c>
    </row>
    <row r="5020">
      <c r="A5020" s="16">
        <f>IF(Calc!$B5020,Calc!E5020,"")</f>
        <v/>
      </c>
      <c r="B5020">
        <f>IF(Calc!$B5020,INDEX(MineNames,Calc!C5020),"")</f>
        <v/>
      </c>
      <c r="C5020" s="17">
        <f>IF(Calc!$B5020,Calc!O5020,"")</f>
        <v/>
      </c>
    </row>
    <row r="5021">
      <c r="A5021" s="16">
        <f>IF(Calc!$B5021,Calc!E5021,"")</f>
        <v/>
      </c>
      <c r="B5021">
        <f>IF(Calc!$B5021,INDEX(MineNames,Calc!C5021),"")</f>
        <v/>
      </c>
      <c r="C5021" s="17">
        <f>IF(Calc!$B5021,Calc!O5021,"")</f>
        <v/>
      </c>
    </row>
    <row r="5022">
      <c r="A5022" s="16">
        <f>IF(Calc!$B5022,Calc!E5022,"")</f>
        <v/>
      </c>
      <c r="B5022">
        <f>IF(Calc!$B5022,INDEX(MineNames,Calc!C5022),"")</f>
        <v/>
      </c>
      <c r="C5022" s="17">
        <f>IF(Calc!$B5022,Calc!O5022,"")</f>
        <v/>
      </c>
    </row>
    <row r="5023">
      <c r="A5023" s="16">
        <f>IF(Calc!$B5023,Calc!E5023,"")</f>
        <v/>
      </c>
      <c r="B5023">
        <f>IF(Calc!$B5023,INDEX(MineNames,Calc!C5023),"")</f>
        <v/>
      </c>
      <c r="C5023" s="17">
        <f>IF(Calc!$B5023,Calc!O5023,"")</f>
        <v/>
      </c>
    </row>
    <row r="5024">
      <c r="A5024" s="16">
        <f>IF(Calc!$B5024,Calc!E5024,"")</f>
        <v/>
      </c>
      <c r="B5024">
        <f>IF(Calc!$B5024,INDEX(MineNames,Calc!C5024),"")</f>
        <v/>
      </c>
      <c r="C5024" s="17">
        <f>IF(Calc!$B5024,Calc!O5024,"")</f>
        <v/>
      </c>
    </row>
    <row r="5025">
      <c r="A5025" s="16">
        <f>IF(Calc!$B5025,Calc!E5025,"")</f>
        <v/>
      </c>
      <c r="B5025">
        <f>IF(Calc!$B5025,INDEX(MineNames,Calc!C5025),"")</f>
        <v/>
      </c>
      <c r="C5025" s="17">
        <f>IF(Calc!$B5025,Calc!O5025,"")</f>
        <v/>
      </c>
    </row>
    <row r="5026">
      <c r="A5026" s="16">
        <f>IF(Calc!$B5026,Calc!E5026,"")</f>
        <v/>
      </c>
      <c r="B5026">
        <f>IF(Calc!$B5026,INDEX(MineNames,Calc!C5026),"")</f>
        <v/>
      </c>
      <c r="C5026" s="17">
        <f>IF(Calc!$B5026,Calc!O5026,"")</f>
        <v/>
      </c>
    </row>
    <row r="5027">
      <c r="A5027" s="16">
        <f>IF(Calc!$B5027,Calc!E5027,"")</f>
        <v/>
      </c>
      <c r="B5027">
        <f>IF(Calc!$B5027,INDEX(MineNames,Calc!C5027),"")</f>
        <v/>
      </c>
      <c r="C5027" s="17">
        <f>IF(Calc!$B5027,Calc!O5027,"")</f>
        <v/>
      </c>
    </row>
    <row r="5028">
      <c r="A5028" s="16">
        <f>IF(Calc!$B5028,Calc!E5028,"")</f>
        <v/>
      </c>
      <c r="B5028">
        <f>IF(Calc!$B5028,INDEX(MineNames,Calc!C5028),"")</f>
        <v/>
      </c>
      <c r="C5028" s="17">
        <f>IF(Calc!$B5028,Calc!O5028,"")</f>
        <v/>
      </c>
    </row>
    <row r="5029">
      <c r="A5029" s="16">
        <f>IF(Calc!$B5029,Calc!E5029,"")</f>
        <v/>
      </c>
      <c r="B5029">
        <f>IF(Calc!$B5029,INDEX(MineNames,Calc!C5029),"")</f>
        <v/>
      </c>
      <c r="C5029" s="17">
        <f>IF(Calc!$B5029,Calc!O5029,"")</f>
        <v/>
      </c>
    </row>
    <row r="5030">
      <c r="A5030" s="16">
        <f>IF(Calc!$B5030,Calc!E5030,"")</f>
        <v/>
      </c>
      <c r="B5030">
        <f>IF(Calc!$B5030,INDEX(MineNames,Calc!C5030),"")</f>
        <v/>
      </c>
      <c r="C5030" s="17">
        <f>IF(Calc!$B5030,Calc!O5030,"")</f>
        <v/>
      </c>
    </row>
    <row r="5031">
      <c r="A5031" s="16">
        <f>IF(Calc!$B5031,Calc!E5031,"")</f>
        <v/>
      </c>
      <c r="B5031">
        <f>IF(Calc!$B5031,INDEX(MineNames,Calc!C5031),"")</f>
        <v/>
      </c>
      <c r="C5031" s="17">
        <f>IF(Calc!$B5031,Calc!O5031,"")</f>
        <v/>
      </c>
    </row>
    <row r="5032">
      <c r="A5032" s="16">
        <f>IF(Calc!$B5032,Calc!E5032,"")</f>
        <v/>
      </c>
      <c r="B5032">
        <f>IF(Calc!$B5032,INDEX(MineNames,Calc!C5032),"")</f>
        <v/>
      </c>
      <c r="C5032" s="17">
        <f>IF(Calc!$B5032,Calc!O5032,"")</f>
        <v/>
      </c>
    </row>
    <row r="5033">
      <c r="A5033" s="16">
        <f>IF(Calc!$B5033,Calc!E5033,"")</f>
        <v/>
      </c>
      <c r="B5033">
        <f>IF(Calc!$B5033,INDEX(MineNames,Calc!C5033),"")</f>
        <v/>
      </c>
      <c r="C5033" s="17">
        <f>IF(Calc!$B5033,Calc!O5033,"")</f>
        <v/>
      </c>
    </row>
    <row r="5034">
      <c r="A5034" s="16">
        <f>IF(Calc!$B5034,Calc!E5034,"")</f>
        <v/>
      </c>
      <c r="B5034">
        <f>IF(Calc!$B5034,INDEX(MineNames,Calc!C5034),"")</f>
        <v/>
      </c>
      <c r="C5034" s="17">
        <f>IF(Calc!$B5034,Calc!O5034,"")</f>
        <v/>
      </c>
    </row>
    <row r="5035">
      <c r="A5035" s="16">
        <f>IF(Calc!$B5035,Calc!E5035,"")</f>
        <v/>
      </c>
      <c r="B5035">
        <f>IF(Calc!$B5035,INDEX(MineNames,Calc!C5035),"")</f>
        <v/>
      </c>
      <c r="C5035" s="17">
        <f>IF(Calc!$B5035,Calc!O5035,"")</f>
        <v/>
      </c>
    </row>
    <row r="5036">
      <c r="A5036" s="16">
        <f>IF(Calc!$B5036,Calc!E5036,"")</f>
        <v/>
      </c>
      <c r="B5036">
        <f>IF(Calc!$B5036,INDEX(MineNames,Calc!C5036),"")</f>
        <v/>
      </c>
      <c r="C5036" s="17">
        <f>IF(Calc!$B5036,Calc!O5036,"")</f>
        <v/>
      </c>
    </row>
    <row r="5037">
      <c r="A5037" s="16">
        <f>IF(Calc!$B5037,Calc!E5037,"")</f>
        <v/>
      </c>
      <c r="B5037">
        <f>IF(Calc!$B5037,INDEX(MineNames,Calc!C5037),"")</f>
        <v/>
      </c>
      <c r="C5037" s="17">
        <f>IF(Calc!$B5037,Calc!O5037,"")</f>
        <v/>
      </c>
    </row>
    <row r="5038">
      <c r="A5038" s="16">
        <f>IF(Calc!$B5038,Calc!E5038,"")</f>
        <v/>
      </c>
      <c r="B5038">
        <f>IF(Calc!$B5038,INDEX(MineNames,Calc!C5038),"")</f>
        <v/>
      </c>
      <c r="C5038" s="17">
        <f>IF(Calc!$B5038,Calc!O5038,"")</f>
        <v/>
      </c>
    </row>
    <row r="5039">
      <c r="A5039" s="16">
        <f>IF(Calc!$B5039,Calc!E5039,"")</f>
        <v/>
      </c>
      <c r="B5039">
        <f>IF(Calc!$B5039,INDEX(MineNames,Calc!C5039),"")</f>
        <v/>
      </c>
      <c r="C5039" s="17">
        <f>IF(Calc!$B5039,Calc!O5039,"")</f>
        <v/>
      </c>
    </row>
    <row r="5040">
      <c r="A5040" s="16">
        <f>IF(Calc!$B5040,Calc!E5040,"")</f>
        <v/>
      </c>
      <c r="B5040">
        <f>IF(Calc!$B5040,INDEX(MineNames,Calc!C5040),"")</f>
        <v/>
      </c>
      <c r="C5040" s="17">
        <f>IF(Calc!$B5040,Calc!O5040,"")</f>
        <v/>
      </c>
    </row>
    <row r="5041">
      <c r="A5041" s="16">
        <f>IF(Calc!$B5041,Calc!E5041,"")</f>
        <v/>
      </c>
      <c r="B5041">
        <f>IF(Calc!$B5041,INDEX(MineNames,Calc!C5041),"")</f>
        <v/>
      </c>
      <c r="C5041" s="17">
        <f>IF(Calc!$B5041,Calc!O5041,"")</f>
        <v/>
      </c>
    </row>
    <row r="5042">
      <c r="A5042" s="16">
        <f>IF(Calc!$B5042,Calc!E5042,"")</f>
        <v/>
      </c>
      <c r="B5042">
        <f>IF(Calc!$B5042,INDEX(MineNames,Calc!C5042),"")</f>
        <v/>
      </c>
      <c r="C5042" s="17">
        <f>IF(Calc!$B5042,Calc!O5042,"")</f>
        <v/>
      </c>
    </row>
    <row r="5043">
      <c r="A5043" s="16">
        <f>IF(Calc!$B5043,Calc!E5043,"")</f>
        <v/>
      </c>
      <c r="B5043">
        <f>IF(Calc!$B5043,INDEX(MineNames,Calc!C5043),"")</f>
        <v/>
      </c>
      <c r="C5043" s="17">
        <f>IF(Calc!$B5043,Calc!O5043,"")</f>
        <v/>
      </c>
    </row>
    <row r="5044">
      <c r="A5044" s="16">
        <f>IF(Calc!$B5044,Calc!E5044,"")</f>
        <v/>
      </c>
      <c r="B5044">
        <f>IF(Calc!$B5044,INDEX(MineNames,Calc!C5044),"")</f>
        <v/>
      </c>
      <c r="C5044" s="17">
        <f>IF(Calc!$B5044,Calc!O5044,"")</f>
        <v/>
      </c>
    </row>
    <row r="5045">
      <c r="A5045" s="16">
        <f>IF(Calc!$B5045,Calc!E5045,"")</f>
        <v/>
      </c>
      <c r="B5045">
        <f>IF(Calc!$B5045,INDEX(MineNames,Calc!C5045),"")</f>
        <v/>
      </c>
      <c r="C5045" s="17">
        <f>IF(Calc!$B5045,Calc!O5045,"")</f>
        <v/>
      </c>
    </row>
    <row r="5046">
      <c r="A5046" s="16">
        <f>IF(Calc!$B5046,Calc!E5046,"")</f>
        <v/>
      </c>
      <c r="B5046">
        <f>IF(Calc!$B5046,INDEX(MineNames,Calc!C5046),"")</f>
        <v/>
      </c>
      <c r="C5046" s="17">
        <f>IF(Calc!$B5046,Calc!O5046,"")</f>
        <v/>
      </c>
    </row>
    <row r="5047">
      <c r="A5047" s="16">
        <f>IF(Calc!$B5047,Calc!E5047,"")</f>
        <v/>
      </c>
      <c r="B5047">
        <f>IF(Calc!$B5047,INDEX(MineNames,Calc!C5047),"")</f>
        <v/>
      </c>
      <c r="C5047" s="17">
        <f>IF(Calc!$B5047,Calc!O5047,"")</f>
        <v/>
      </c>
    </row>
    <row r="5048">
      <c r="A5048" s="16">
        <f>IF(Calc!$B5048,Calc!E5048,"")</f>
        <v/>
      </c>
      <c r="B5048">
        <f>IF(Calc!$B5048,INDEX(MineNames,Calc!C5048),"")</f>
        <v/>
      </c>
      <c r="C5048" s="17">
        <f>IF(Calc!$B5048,Calc!O5048,"")</f>
        <v/>
      </c>
    </row>
    <row r="5049">
      <c r="A5049" s="16">
        <f>IF(Calc!$B5049,Calc!E5049,"")</f>
        <v/>
      </c>
      <c r="B5049">
        <f>IF(Calc!$B5049,INDEX(MineNames,Calc!C5049),"")</f>
        <v/>
      </c>
      <c r="C5049" s="17">
        <f>IF(Calc!$B5049,Calc!O5049,"")</f>
        <v/>
      </c>
    </row>
    <row r="5050">
      <c r="A5050" s="16">
        <f>IF(Calc!$B5050,Calc!E5050,"")</f>
        <v/>
      </c>
      <c r="B5050">
        <f>IF(Calc!$B5050,INDEX(MineNames,Calc!C5050),"")</f>
        <v/>
      </c>
      <c r="C5050" s="17">
        <f>IF(Calc!$B5050,Calc!O5050,"")</f>
        <v/>
      </c>
    </row>
    <row r="5051">
      <c r="A5051" s="16">
        <f>IF(Calc!$B5051,Calc!E5051,"")</f>
        <v/>
      </c>
      <c r="B5051">
        <f>IF(Calc!$B5051,INDEX(MineNames,Calc!C5051),"")</f>
        <v/>
      </c>
      <c r="C5051" s="17">
        <f>IF(Calc!$B5051,Calc!O5051,"")</f>
        <v/>
      </c>
    </row>
    <row r="5052">
      <c r="A5052" s="16">
        <f>IF(Calc!$B5052,Calc!E5052,"")</f>
        <v/>
      </c>
      <c r="B5052">
        <f>IF(Calc!$B5052,INDEX(MineNames,Calc!C5052),"")</f>
        <v/>
      </c>
      <c r="C5052" s="17">
        <f>IF(Calc!$B5052,Calc!O5052,"")</f>
        <v/>
      </c>
    </row>
    <row r="5053">
      <c r="A5053" s="16">
        <f>IF(Calc!$B5053,Calc!E5053,"")</f>
        <v/>
      </c>
      <c r="B5053">
        <f>IF(Calc!$B5053,INDEX(MineNames,Calc!C5053),"")</f>
        <v/>
      </c>
      <c r="C5053" s="17">
        <f>IF(Calc!$B5053,Calc!O5053,"")</f>
        <v/>
      </c>
    </row>
    <row r="5054">
      <c r="A5054" s="16">
        <f>IF(Calc!$B5054,Calc!E5054,"")</f>
        <v/>
      </c>
      <c r="B5054">
        <f>IF(Calc!$B5054,INDEX(MineNames,Calc!C5054),"")</f>
        <v/>
      </c>
      <c r="C5054" s="17">
        <f>IF(Calc!$B5054,Calc!O5054,"")</f>
        <v/>
      </c>
    </row>
    <row r="5055">
      <c r="A5055" s="16">
        <f>IF(Calc!$B5055,Calc!E5055,"")</f>
        <v/>
      </c>
      <c r="B5055">
        <f>IF(Calc!$B5055,INDEX(MineNames,Calc!C5055),"")</f>
        <v/>
      </c>
      <c r="C5055" s="17">
        <f>IF(Calc!$B5055,Calc!O5055,"")</f>
        <v/>
      </c>
    </row>
    <row r="5056">
      <c r="A5056" s="16">
        <f>IF(Calc!$B5056,Calc!E5056,"")</f>
        <v/>
      </c>
      <c r="B5056">
        <f>IF(Calc!$B5056,INDEX(MineNames,Calc!C5056),"")</f>
        <v/>
      </c>
      <c r="C5056" s="17">
        <f>IF(Calc!$B5056,Calc!O5056,"")</f>
        <v/>
      </c>
    </row>
    <row r="5057">
      <c r="A5057" s="16">
        <f>IF(Calc!$B5057,Calc!E5057,"")</f>
        <v/>
      </c>
      <c r="B5057">
        <f>IF(Calc!$B5057,INDEX(MineNames,Calc!C5057),"")</f>
        <v/>
      </c>
      <c r="C5057" s="17">
        <f>IF(Calc!$B5057,Calc!O5057,"")</f>
        <v/>
      </c>
    </row>
    <row r="5058">
      <c r="A5058" s="16">
        <f>IF(Calc!$B5058,Calc!E5058,"")</f>
        <v/>
      </c>
      <c r="B5058">
        <f>IF(Calc!$B5058,INDEX(MineNames,Calc!C5058),"")</f>
        <v/>
      </c>
      <c r="C5058" s="17">
        <f>IF(Calc!$B5058,Calc!O5058,"")</f>
        <v/>
      </c>
    </row>
    <row r="5059">
      <c r="A5059" s="16">
        <f>IF(Calc!$B5059,Calc!E5059,"")</f>
        <v/>
      </c>
      <c r="B5059">
        <f>IF(Calc!$B5059,INDEX(MineNames,Calc!C5059),"")</f>
        <v/>
      </c>
      <c r="C5059" s="17">
        <f>IF(Calc!$B5059,Calc!O5059,"")</f>
        <v/>
      </c>
    </row>
    <row r="5060">
      <c r="A5060" s="16">
        <f>IF(Calc!$B5060,Calc!E5060,"")</f>
        <v/>
      </c>
      <c r="B5060">
        <f>IF(Calc!$B5060,INDEX(MineNames,Calc!C5060),"")</f>
        <v/>
      </c>
      <c r="C5060" s="17">
        <f>IF(Calc!$B5060,Calc!O5060,"")</f>
        <v/>
      </c>
    </row>
    <row r="5061">
      <c r="A5061" s="16">
        <f>IF(Calc!$B5061,Calc!E5061,"")</f>
        <v/>
      </c>
      <c r="B5061">
        <f>IF(Calc!$B5061,INDEX(MineNames,Calc!C5061),"")</f>
        <v/>
      </c>
      <c r="C5061" s="17">
        <f>IF(Calc!$B5061,Calc!O5061,"")</f>
        <v/>
      </c>
    </row>
    <row r="5062">
      <c r="A5062" s="16">
        <f>IF(Calc!$B5062,Calc!E5062,"")</f>
        <v/>
      </c>
      <c r="B5062">
        <f>IF(Calc!$B5062,INDEX(MineNames,Calc!C5062),"")</f>
        <v/>
      </c>
      <c r="C5062" s="17">
        <f>IF(Calc!$B5062,Calc!O5062,"")</f>
        <v/>
      </c>
    </row>
    <row r="5063">
      <c r="A5063" s="16">
        <f>IF(Calc!$B5063,Calc!E5063,"")</f>
        <v/>
      </c>
      <c r="B5063">
        <f>IF(Calc!$B5063,INDEX(MineNames,Calc!C5063),"")</f>
        <v/>
      </c>
      <c r="C5063" s="17">
        <f>IF(Calc!$B5063,Calc!O5063,"")</f>
        <v/>
      </c>
    </row>
    <row r="5064">
      <c r="A5064" s="16">
        <f>IF(Calc!$B5064,Calc!E5064,"")</f>
        <v/>
      </c>
      <c r="B5064">
        <f>IF(Calc!$B5064,INDEX(MineNames,Calc!C5064),"")</f>
        <v/>
      </c>
      <c r="C5064" s="17">
        <f>IF(Calc!$B5064,Calc!O5064,"")</f>
        <v/>
      </c>
    </row>
    <row r="5065">
      <c r="A5065" s="16">
        <f>IF(Calc!$B5065,Calc!E5065,"")</f>
        <v/>
      </c>
      <c r="B5065">
        <f>IF(Calc!$B5065,INDEX(MineNames,Calc!C5065),"")</f>
        <v/>
      </c>
      <c r="C5065" s="17">
        <f>IF(Calc!$B5065,Calc!O5065,"")</f>
        <v/>
      </c>
    </row>
    <row r="5066">
      <c r="A5066" s="16">
        <f>IF(Calc!$B5066,Calc!E5066,"")</f>
        <v/>
      </c>
      <c r="B5066">
        <f>IF(Calc!$B5066,INDEX(MineNames,Calc!C5066),"")</f>
        <v/>
      </c>
      <c r="C5066" s="17">
        <f>IF(Calc!$B5066,Calc!O5066,"")</f>
        <v/>
      </c>
    </row>
    <row r="5067">
      <c r="A5067" s="16">
        <f>IF(Calc!$B5067,Calc!E5067,"")</f>
        <v/>
      </c>
      <c r="B5067">
        <f>IF(Calc!$B5067,INDEX(MineNames,Calc!C5067),"")</f>
        <v/>
      </c>
      <c r="C5067" s="17">
        <f>IF(Calc!$B5067,Calc!O5067,"")</f>
        <v/>
      </c>
    </row>
    <row r="5068">
      <c r="A5068" s="16">
        <f>IF(Calc!$B5068,Calc!E5068,"")</f>
        <v/>
      </c>
      <c r="B5068">
        <f>IF(Calc!$B5068,INDEX(MineNames,Calc!C5068),"")</f>
        <v/>
      </c>
      <c r="C5068" s="17">
        <f>IF(Calc!$B5068,Calc!O5068,"")</f>
        <v/>
      </c>
    </row>
    <row r="5069">
      <c r="A5069" s="16">
        <f>IF(Calc!$B5069,Calc!E5069,"")</f>
        <v/>
      </c>
      <c r="B5069">
        <f>IF(Calc!$B5069,INDEX(MineNames,Calc!C5069),"")</f>
        <v/>
      </c>
      <c r="C5069" s="17">
        <f>IF(Calc!$B5069,Calc!O5069,"")</f>
        <v/>
      </c>
    </row>
    <row r="5070">
      <c r="A5070" s="16">
        <f>IF(Calc!$B5070,Calc!E5070,"")</f>
        <v/>
      </c>
      <c r="B5070">
        <f>IF(Calc!$B5070,INDEX(MineNames,Calc!C5070),"")</f>
        <v/>
      </c>
      <c r="C5070" s="17">
        <f>IF(Calc!$B5070,Calc!O5070,"")</f>
        <v/>
      </c>
    </row>
    <row r="5071">
      <c r="A5071" s="16">
        <f>IF(Calc!$B5071,Calc!E5071,"")</f>
        <v/>
      </c>
      <c r="B5071">
        <f>IF(Calc!$B5071,INDEX(MineNames,Calc!C5071),"")</f>
        <v/>
      </c>
      <c r="C5071" s="17">
        <f>IF(Calc!$B5071,Calc!O5071,"")</f>
        <v/>
      </c>
    </row>
    <row r="5072">
      <c r="A5072" s="16">
        <f>IF(Calc!$B5072,Calc!E5072,"")</f>
        <v/>
      </c>
      <c r="B5072">
        <f>IF(Calc!$B5072,INDEX(MineNames,Calc!C5072),"")</f>
        <v/>
      </c>
      <c r="C5072" s="17">
        <f>IF(Calc!$B5072,Calc!O5072,"")</f>
        <v/>
      </c>
    </row>
    <row r="5073">
      <c r="A5073" s="16">
        <f>IF(Calc!$B5073,Calc!E5073,"")</f>
        <v/>
      </c>
      <c r="B5073">
        <f>IF(Calc!$B5073,INDEX(MineNames,Calc!C5073),"")</f>
        <v/>
      </c>
      <c r="C5073" s="17">
        <f>IF(Calc!$B5073,Calc!O5073,"")</f>
        <v/>
      </c>
    </row>
    <row r="5074">
      <c r="A5074" s="16">
        <f>IF(Calc!$B5074,Calc!E5074,"")</f>
        <v/>
      </c>
      <c r="B5074">
        <f>IF(Calc!$B5074,INDEX(MineNames,Calc!C5074),"")</f>
        <v/>
      </c>
      <c r="C5074" s="17">
        <f>IF(Calc!$B5074,Calc!O5074,"")</f>
        <v/>
      </c>
    </row>
    <row r="5075">
      <c r="A5075" s="16">
        <f>IF(Calc!$B5075,Calc!E5075,"")</f>
        <v/>
      </c>
      <c r="B5075">
        <f>IF(Calc!$B5075,INDEX(MineNames,Calc!C5075),"")</f>
        <v/>
      </c>
      <c r="C5075" s="17">
        <f>IF(Calc!$B5075,Calc!O5075,"")</f>
        <v/>
      </c>
    </row>
    <row r="5076">
      <c r="A5076" s="16">
        <f>IF(Calc!$B5076,Calc!E5076,"")</f>
        <v/>
      </c>
      <c r="B5076">
        <f>IF(Calc!$B5076,INDEX(MineNames,Calc!C5076),"")</f>
        <v/>
      </c>
      <c r="C5076" s="17">
        <f>IF(Calc!$B5076,Calc!O5076,"")</f>
        <v/>
      </c>
    </row>
    <row r="5077">
      <c r="A5077" s="16">
        <f>IF(Calc!$B5077,Calc!E5077,"")</f>
        <v/>
      </c>
      <c r="B5077">
        <f>IF(Calc!$B5077,INDEX(MineNames,Calc!C5077),"")</f>
        <v/>
      </c>
      <c r="C5077" s="17">
        <f>IF(Calc!$B5077,Calc!O5077,"")</f>
        <v/>
      </c>
    </row>
    <row r="5078">
      <c r="A5078" s="16">
        <f>IF(Calc!$B5078,Calc!E5078,"")</f>
        <v/>
      </c>
      <c r="B5078">
        <f>IF(Calc!$B5078,INDEX(MineNames,Calc!C5078),"")</f>
        <v/>
      </c>
      <c r="C5078" s="17">
        <f>IF(Calc!$B5078,Calc!O5078,"")</f>
        <v/>
      </c>
    </row>
    <row r="5079">
      <c r="A5079" s="16">
        <f>IF(Calc!$B5079,Calc!E5079,"")</f>
        <v/>
      </c>
      <c r="B5079">
        <f>IF(Calc!$B5079,INDEX(MineNames,Calc!C5079),"")</f>
        <v/>
      </c>
      <c r="C5079" s="17">
        <f>IF(Calc!$B5079,Calc!O5079,"")</f>
        <v/>
      </c>
    </row>
    <row r="5080">
      <c r="A5080" s="16">
        <f>IF(Calc!$B5080,Calc!E5080,"")</f>
        <v/>
      </c>
      <c r="B5080">
        <f>IF(Calc!$B5080,INDEX(MineNames,Calc!C5080),"")</f>
        <v/>
      </c>
      <c r="C5080" s="17">
        <f>IF(Calc!$B5080,Calc!O5080,"")</f>
        <v/>
      </c>
    </row>
    <row r="5081">
      <c r="A5081" s="16">
        <f>IF(Calc!$B5081,Calc!E5081,"")</f>
        <v/>
      </c>
      <c r="B5081">
        <f>IF(Calc!$B5081,INDEX(MineNames,Calc!C5081),"")</f>
        <v/>
      </c>
      <c r="C5081" s="17">
        <f>IF(Calc!$B5081,Calc!O5081,"")</f>
        <v/>
      </c>
    </row>
    <row r="5082">
      <c r="A5082" s="16">
        <f>IF(Calc!$B5082,Calc!E5082,"")</f>
        <v/>
      </c>
      <c r="B5082">
        <f>IF(Calc!$B5082,INDEX(MineNames,Calc!C5082),"")</f>
        <v/>
      </c>
      <c r="C5082" s="17">
        <f>IF(Calc!$B5082,Calc!O5082,"")</f>
        <v/>
      </c>
    </row>
    <row r="5083">
      <c r="A5083" s="16">
        <f>IF(Calc!$B5083,Calc!E5083,"")</f>
        <v/>
      </c>
      <c r="B5083">
        <f>IF(Calc!$B5083,INDEX(MineNames,Calc!C5083),"")</f>
        <v/>
      </c>
      <c r="C5083" s="17">
        <f>IF(Calc!$B5083,Calc!O5083,"")</f>
        <v/>
      </c>
    </row>
    <row r="5084">
      <c r="A5084" s="16">
        <f>IF(Calc!$B5084,Calc!E5084,"")</f>
        <v/>
      </c>
      <c r="B5084">
        <f>IF(Calc!$B5084,INDEX(MineNames,Calc!C5084),"")</f>
        <v/>
      </c>
      <c r="C5084" s="17">
        <f>IF(Calc!$B5084,Calc!O5084,"")</f>
        <v/>
      </c>
    </row>
    <row r="5085">
      <c r="A5085" s="16">
        <f>IF(Calc!$B5085,Calc!E5085,"")</f>
        <v/>
      </c>
      <c r="B5085">
        <f>IF(Calc!$B5085,INDEX(MineNames,Calc!C5085),"")</f>
        <v/>
      </c>
      <c r="C5085" s="17">
        <f>IF(Calc!$B5085,Calc!O5085,"")</f>
        <v/>
      </c>
    </row>
    <row r="5086">
      <c r="A5086" s="16">
        <f>IF(Calc!$B5086,Calc!E5086,"")</f>
        <v/>
      </c>
      <c r="B5086">
        <f>IF(Calc!$B5086,INDEX(MineNames,Calc!C5086),"")</f>
        <v/>
      </c>
      <c r="C5086" s="17">
        <f>IF(Calc!$B5086,Calc!O5086,"")</f>
        <v/>
      </c>
    </row>
    <row r="5087">
      <c r="A5087" s="16">
        <f>IF(Calc!$B5087,Calc!E5087,"")</f>
        <v/>
      </c>
      <c r="B5087">
        <f>IF(Calc!$B5087,INDEX(MineNames,Calc!C5087),"")</f>
        <v/>
      </c>
      <c r="C5087" s="17">
        <f>IF(Calc!$B5087,Calc!O5087,"")</f>
        <v/>
      </c>
    </row>
    <row r="5088">
      <c r="A5088" s="16">
        <f>IF(Calc!$B5088,Calc!E5088,"")</f>
        <v/>
      </c>
      <c r="B5088">
        <f>IF(Calc!$B5088,INDEX(MineNames,Calc!C5088),"")</f>
        <v/>
      </c>
      <c r="C5088" s="17">
        <f>IF(Calc!$B5088,Calc!O5088,"")</f>
        <v/>
      </c>
    </row>
    <row r="5089">
      <c r="A5089" s="16">
        <f>IF(Calc!$B5089,Calc!E5089,"")</f>
        <v/>
      </c>
      <c r="B5089">
        <f>IF(Calc!$B5089,INDEX(MineNames,Calc!C5089),"")</f>
        <v/>
      </c>
      <c r="C5089" s="17">
        <f>IF(Calc!$B5089,Calc!O5089,"")</f>
        <v/>
      </c>
    </row>
    <row r="5090">
      <c r="A5090" s="16">
        <f>IF(Calc!$B5090,Calc!E5090,"")</f>
        <v/>
      </c>
      <c r="B5090">
        <f>IF(Calc!$B5090,INDEX(MineNames,Calc!C5090),"")</f>
        <v/>
      </c>
      <c r="C5090" s="17">
        <f>IF(Calc!$B5090,Calc!O5090,"")</f>
        <v/>
      </c>
    </row>
    <row r="5091">
      <c r="A5091" s="16">
        <f>IF(Calc!$B5091,Calc!E5091,"")</f>
        <v/>
      </c>
      <c r="B5091">
        <f>IF(Calc!$B5091,INDEX(MineNames,Calc!C5091),"")</f>
        <v/>
      </c>
      <c r="C5091" s="17">
        <f>IF(Calc!$B5091,Calc!O5091,"")</f>
        <v/>
      </c>
    </row>
    <row r="5092">
      <c r="A5092" s="16">
        <f>IF(Calc!$B5092,Calc!E5092,"")</f>
        <v/>
      </c>
      <c r="B5092">
        <f>IF(Calc!$B5092,INDEX(MineNames,Calc!C5092),"")</f>
        <v/>
      </c>
      <c r="C5092" s="17">
        <f>IF(Calc!$B5092,Calc!O5092,"")</f>
        <v/>
      </c>
    </row>
    <row r="5093">
      <c r="A5093" s="16">
        <f>IF(Calc!$B5093,Calc!E5093,"")</f>
        <v/>
      </c>
      <c r="B5093">
        <f>IF(Calc!$B5093,INDEX(MineNames,Calc!C5093),"")</f>
        <v/>
      </c>
      <c r="C5093" s="17">
        <f>IF(Calc!$B5093,Calc!O5093,"")</f>
        <v/>
      </c>
    </row>
    <row r="5094">
      <c r="A5094" s="16">
        <f>IF(Calc!$B5094,Calc!E5094,"")</f>
        <v/>
      </c>
      <c r="B5094">
        <f>IF(Calc!$B5094,INDEX(MineNames,Calc!C5094),"")</f>
        <v/>
      </c>
      <c r="C5094" s="17">
        <f>IF(Calc!$B5094,Calc!O5094,"")</f>
        <v/>
      </c>
    </row>
    <row r="5095">
      <c r="A5095" s="16">
        <f>IF(Calc!$B5095,Calc!E5095,"")</f>
        <v/>
      </c>
      <c r="B5095">
        <f>IF(Calc!$B5095,INDEX(MineNames,Calc!C5095),"")</f>
        <v/>
      </c>
      <c r="C5095" s="17">
        <f>IF(Calc!$B5095,Calc!O5095,"")</f>
        <v/>
      </c>
    </row>
    <row r="5096">
      <c r="A5096" s="16">
        <f>IF(Calc!$B5096,Calc!E5096,"")</f>
        <v/>
      </c>
      <c r="B5096">
        <f>IF(Calc!$B5096,INDEX(MineNames,Calc!C5096),"")</f>
        <v/>
      </c>
      <c r="C5096" s="17">
        <f>IF(Calc!$B5096,Calc!O5096,"")</f>
        <v/>
      </c>
    </row>
    <row r="5097">
      <c r="A5097" s="16">
        <f>IF(Calc!$B5097,Calc!E5097,"")</f>
        <v/>
      </c>
      <c r="B5097">
        <f>IF(Calc!$B5097,INDEX(MineNames,Calc!C5097),"")</f>
        <v/>
      </c>
      <c r="C5097" s="17">
        <f>IF(Calc!$B5097,Calc!O5097,"")</f>
        <v/>
      </c>
    </row>
    <row r="5098">
      <c r="A5098" s="16">
        <f>IF(Calc!$B5098,Calc!E5098,"")</f>
        <v/>
      </c>
      <c r="B5098">
        <f>IF(Calc!$B5098,INDEX(MineNames,Calc!C5098),"")</f>
        <v/>
      </c>
      <c r="C5098" s="17">
        <f>IF(Calc!$B5098,Calc!O5098,"")</f>
        <v/>
      </c>
    </row>
    <row r="5099">
      <c r="A5099" s="16">
        <f>IF(Calc!$B5099,Calc!E5099,"")</f>
        <v/>
      </c>
      <c r="B5099">
        <f>IF(Calc!$B5099,INDEX(MineNames,Calc!C5099),"")</f>
        <v/>
      </c>
      <c r="C5099" s="17">
        <f>IF(Calc!$B5099,Calc!O5099,"")</f>
        <v/>
      </c>
    </row>
    <row r="5100">
      <c r="A5100" s="16">
        <f>IF(Calc!$B5100,Calc!E5100,"")</f>
        <v/>
      </c>
      <c r="B5100">
        <f>IF(Calc!$B5100,INDEX(MineNames,Calc!C5100),"")</f>
        <v/>
      </c>
      <c r="C5100" s="17">
        <f>IF(Calc!$B5100,Calc!O5100,"")</f>
        <v/>
      </c>
    </row>
    <row r="5101">
      <c r="A5101" s="16">
        <f>IF(Calc!$B5101,Calc!E5101,"")</f>
        <v/>
      </c>
      <c r="B5101">
        <f>IF(Calc!$B5101,INDEX(MineNames,Calc!C5101),"")</f>
        <v/>
      </c>
      <c r="C5101" s="17">
        <f>IF(Calc!$B5101,Calc!O5101,"")</f>
        <v/>
      </c>
    </row>
    <row r="5102">
      <c r="A5102" s="16">
        <f>IF(Calc!$B5102,Calc!E5102,"")</f>
        <v/>
      </c>
      <c r="B5102">
        <f>IF(Calc!$B5102,INDEX(MineNames,Calc!C5102),"")</f>
        <v/>
      </c>
      <c r="C5102" s="17">
        <f>IF(Calc!$B5102,Calc!O5102,"")</f>
        <v/>
      </c>
    </row>
    <row r="5103">
      <c r="A5103" s="16">
        <f>IF(Calc!$B5103,Calc!E5103,"")</f>
        <v/>
      </c>
      <c r="B5103">
        <f>IF(Calc!$B5103,INDEX(MineNames,Calc!C5103),"")</f>
        <v/>
      </c>
      <c r="C5103" s="17">
        <f>IF(Calc!$B5103,Calc!O5103,"")</f>
        <v/>
      </c>
    </row>
    <row r="5104">
      <c r="A5104" s="16">
        <f>IF(Calc!$B5104,Calc!E5104,"")</f>
        <v/>
      </c>
      <c r="B5104">
        <f>IF(Calc!$B5104,INDEX(MineNames,Calc!C5104),"")</f>
        <v/>
      </c>
      <c r="C5104" s="17">
        <f>IF(Calc!$B5104,Calc!O5104,"")</f>
        <v/>
      </c>
    </row>
    <row r="5105">
      <c r="A5105" s="16">
        <f>IF(Calc!$B5105,Calc!E5105,"")</f>
        <v/>
      </c>
      <c r="B5105">
        <f>IF(Calc!$B5105,INDEX(MineNames,Calc!C5105),"")</f>
        <v/>
      </c>
      <c r="C5105" s="17">
        <f>IF(Calc!$B5105,Calc!O5105,"")</f>
        <v/>
      </c>
    </row>
    <row r="5106">
      <c r="A5106" s="16">
        <f>IF(Calc!$B5106,Calc!E5106,"")</f>
        <v/>
      </c>
      <c r="B5106">
        <f>IF(Calc!$B5106,INDEX(MineNames,Calc!C5106),"")</f>
        <v/>
      </c>
      <c r="C5106" s="17">
        <f>IF(Calc!$B5106,Calc!O5106,"")</f>
        <v/>
      </c>
    </row>
    <row r="5107">
      <c r="A5107" s="16">
        <f>IF(Calc!$B5107,Calc!E5107,"")</f>
        <v/>
      </c>
      <c r="B5107">
        <f>IF(Calc!$B5107,INDEX(MineNames,Calc!C5107),"")</f>
        <v/>
      </c>
      <c r="C5107" s="17">
        <f>IF(Calc!$B5107,Calc!O5107,"")</f>
        <v/>
      </c>
    </row>
    <row r="5108">
      <c r="A5108" s="16">
        <f>IF(Calc!$B5108,Calc!E5108,"")</f>
        <v/>
      </c>
      <c r="B5108">
        <f>IF(Calc!$B5108,INDEX(MineNames,Calc!C5108),"")</f>
        <v/>
      </c>
      <c r="C5108" s="17">
        <f>IF(Calc!$B5108,Calc!O5108,"")</f>
        <v/>
      </c>
    </row>
    <row r="5109">
      <c r="A5109" s="16">
        <f>IF(Calc!$B5109,Calc!E5109,"")</f>
        <v/>
      </c>
      <c r="B5109">
        <f>IF(Calc!$B5109,INDEX(MineNames,Calc!C5109),"")</f>
        <v/>
      </c>
      <c r="C5109" s="17">
        <f>IF(Calc!$B5109,Calc!O5109,"")</f>
        <v/>
      </c>
    </row>
    <row r="5110">
      <c r="A5110" s="16">
        <f>IF(Calc!$B5110,Calc!E5110,"")</f>
        <v/>
      </c>
      <c r="B5110">
        <f>IF(Calc!$B5110,INDEX(MineNames,Calc!C5110),"")</f>
        <v/>
      </c>
      <c r="C5110" s="17">
        <f>IF(Calc!$B5110,Calc!O5110,"")</f>
        <v/>
      </c>
    </row>
    <row r="5111">
      <c r="A5111" s="16">
        <f>IF(Calc!$B5111,Calc!E5111,"")</f>
        <v/>
      </c>
      <c r="B5111">
        <f>IF(Calc!$B5111,INDEX(MineNames,Calc!C5111),"")</f>
        <v/>
      </c>
      <c r="C5111" s="17">
        <f>IF(Calc!$B5111,Calc!O5111,"")</f>
        <v/>
      </c>
    </row>
    <row r="5112">
      <c r="A5112" s="16">
        <f>IF(Calc!$B5112,Calc!E5112,"")</f>
        <v/>
      </c>
      <c r="B5112">
        <f>IF(Calc!$B5112,INDEX(MineNames,Calc!C5112),"")</f>
        <v/>
      </c>
      <c r="C5112" s="17">
        <f>IF(Calc!$B5112,Calc!O5112,"")</f>
        <v/>
      </c>
    </row>
    <row r="5113">
      <c r="A5113" s="16">
        <f>IF(Calc!$B5113,Calc!E5113,"")</f>
        <v/>
      </c>
      <c r="B5113">
        <f>IF(Calc!$B5113,INDEX(MineNames,Calc!C5113),"")</f>
        <v/>
      </c>
      <c r="C5113" s="17">
        <f>IF(Calc!$B5113,Calc!O5113,"")</f>
        <v/>
      </c>
    </row>
    <row r="5114">
      <c r="A5114" s="16">
        <f>IF(Calc!$B5114,Calc!E5114,"")</f>
        <v/>
      </c>
      <c r="B5114">
        <f>IF(Calc!$B5114,INDEX(MineNames,Calc!C5114),"")</f>
        <v/>
      </c>
      <c r="C5114" s="17">
        <f>IF(Calc!$B5114,Calc!O5114,"")</f>
        <v/>
      </c>
    </row>
    <row r="5115">
      <c r="A5115" s="16">
        <f>IF(Calc!$B5115,Calc!E5115,"")</f>
        <v/>
      </c>
      <c r="B5115">
        <f>IF(Calc!$B5115,INDEX(MineNames,Calc!C5115),"")</f>
        <v/>
      </c>
      <c r="C5115" s="17">
        <f>IF(Calc!$B5115,Calc!O5115,"")</f>
        <v/>
      </c>
    </row>
    <row r="5116">
      <c r="A5116" s="16">
        <f>IF(Calc!$B5116,Calc!E5116,"")</f>
        <v/>
      </c>
      <c r="B5116">
        <f>IF(Calc!$B5116,INDEX(MineNames,Calc!C5116),"")</f>
        <v/>
      </c>
      <c r="C5116" s="17">
        <f>IF(Calc!$B5116,Calc!O5116,"")</f>
        <v/>
      </c>
    </row>
    <row r="5117">
      <c r="A5117" s="16">
        <f>IF(Calc!$B5117,Calc!E5117,"")</f>
        <v/>
      </c>
      <c r="B5117">
        <f>IF(Calc!$B5117,INDEX(MineNames,Calc!C5117),"")</f>
        <v/>
      </c>
      <c r="C5117" s="17">
        <f>IF(Calc!$B5117,Calc!O5117,"")</f>
        <v/>
      </c>
    </row>
    <row r="5118">
      <c r="A5118" s="16">
        <f>IF(Calc!$B5118,Calc!E5118,"")</f>
        <v/>
      </c>
      <c r="B5118">
        <f>IF(Calc!$B5118,INDEX(MineNames,Calc!C5118),"")</f>
        <v/>
      </c>
      <c r="C5118" s="17">
        <f>IF(Calc!$B5118,Calc!O5118,"")</f>
        <v/>
      </c>
    </row>
    <row r="5119">
      <c r="A5119" s="16">
        <f>IF(Calc!$B5119,Calc!E5119,"")</f>
        <v/>
      </c>
      <c r="B5119">
        <f>IF(Calc!$B5119,INDEX(MineNames,Calc!C5119),"")</f>
        <v/>
      </c>
      <c r="C5119" s="17">
        <f>IF(Calc!$B5119,Calc!O5119,"")</f>
        <v/>
      </c>
    </row>
    <row r="5120">
      <c r="A5120" s="16">
        <f>IF(Calc!$B5120,Calc!E5120,"")</f>
        <v/>
      </c>
      <c r="B5120">
        <f>IF(Calc!$B5120,INDEX(MineNames,Calc!C5120),"")</f>
        <v/>
      </c>
      <c r="C5120" s="17">
        <f>IF(Calc!$B5120,Calc!O5120,"")</f>
        <v/>
      </c>
    </row>
    <row r="5121">
      <c r="A5121" s="16">
        <f>IF(Calc!$B5121,Calc!E5121,"")</f>
        <v/>
      </c>
      <c r="B5121">
        <f>IF(Calc!$B5121,INDEX(MineNames,Calc!C5121),"")</f>
        <v/>
      </c>
      <c r="C5121" s="17">
        <f>IF(Calc!$B5121,Calc!O5121,"")</f>
        <v/>
      </c>
    </row>
    <row r="5122">
      <c r="A5122" s="16">
        <f>IF(Calc!$B5122,Calc!E5122,"")</f>
        <v/>
      </c>
      <c r="B5122">
        <f>IF(Calc!$B5122,INDEX(MineNames,Calc!C5122),"")</f>
        <v/>
      </c>
      <c r="C5122" s="17">
        <f>IF(Calc!$B5122,Calc!O5122,"")</f>
        <v/>
      </c>
    </row>
    <row r="5123">
      <c r="A5123" s="16">
        <f>IF(Calc!$B5123,Calc!E5123,"")</f>
        <v/>
      </c>
      <c r="B5123">
        <f>IF(Calc!$B5123,INDEX(MineNames,Calc!C5123),"")</f>
        <v/>
      </c>
      <c r="C5123" s="17">
        <f>IF(Calc!$B5123,Calc!O5123,"")</f>
        <v/>
      </c>
    </row>
    <row r="5124">
      <c r="A5124" s="16">
        <f>IF(Calc!$B5124,Calc!E5124,"")</f>
        <v/>
      </c>
      <c r="B5124">
        <f>IF(Calc!$B5124,INDEX(MineNames,Calc!C5124),"")</f>
        <v/>
      </c>
      <c r="C5124" s="17">
        <f>IF(Calc!$B5124,Calc!O5124,"")</f>
        <v/>
      </c>
    </row>
    <row r="5125">
      <c r="A5125" s="16">
        <f>IF(Calc!$B5125,Calc!E5125,"")</f>
        <v/>
      </c>
      <c r="B5125">
        <f>IF(Calc!$B5125,INDEX(MineNames,Calc!C5125),"")</f>
        <v/>
      </c>
      <c r="C5125" s="17">
        <f>IF(Calc!$B5125,Calc!O5125,"")</f>
        <v/>
      </c>
    </row>
    <row r="5126">
      <c r="A5126" s="16">
        <f>IF(Calc!$B5126,Calc!E5126,"")</f>
        <v/>
      </c>
      <c r="B5126">
        <f>IF(Calc!$B5126,INDEX(MineNames,Calc!C5126),"")</f>
        <v/>
      </c>
      <c r="C5126" s="17">
        <f>IF(Calc!$B5126,Calc!O5126,"")</f>
        <v/>
      </c>
    </row>
    <row r="5127">
      <c r="A5127" s="16">
        <f>IF(Calc!$B5127,Calc!E5127,"")</f>
        <v/>
      </c>
      <c r="B5127">
        <f>IF(Calc!$B5127,INDEX(MineNames,Calc!C5127),"")</f>
        <v/>
      </c>
      <c r="C5127" s="17">
        <f>IF(Calc!$B5127,Calc!O5127,"")</f>
        <v/>
      </c>
    </row>
    <row r="5128">
      <c r="A5128" s="16">
        <f>IF(Calc!$B5128,Calc!E5128,"")</f>
        <v/>
      </c>
      <c r="B5128">
        <f>IF(Calc!$B5128,INDEX(MineNames,Calc!C5128),"")</f>
        <v/>
      </c>
      <c r="C5128" s="17">
        <f>IF(Calc!$B5128,Calc!O5128,"")</f>
        <v/>
      </c>
    </row>
    <row r="5129">
      <c r="A5129" s="16">
        <f>IF(Calc!$B5129,Calc!E5129,"")</f>
        <v/>
      </c>
      <c r="B5129">
        <f>IF(Calc!$B5129,INDEX(MineNames,Calc!C5129),"")</f>
        <v/>
      </c>
      <c r="C5129" s="17">
        <f>IF(Calc!$B5129,Calc!O5129,"")</f>
        <v/>
      </c>
    </row>
    <row r="5130">
      <c r="A5130" s="16">
        <f>IF(Calc!$B5130,Calc!E5130,"")</f>
        <v/>
      </c>
      <c r="B5130">
        <f>IF(Calc!$B5130,INDEX(MineNames,Calc!C5130),"")</f>
        <v/>
      </c>
      <c r="C5130" s="17">
        <f>IF(Calc!$B5130,Calc!O5130,"")</f>
        <v/>
      </c>
    </row>
    <row r="5131">
      <c r="A5131" s="16">
        <f>IF(Calc!$B5131,Calc!E5131,"")</f>
        <v/>
      </c>
      <c r="B5131">
        <f>IF(Calc!$B5131,INDEX(MineNames,Calc!C5131),"")</f>
        <v/>
      </c>
      <c r="C5131" s="17">
        <f>IF(Calc!$B5131,Calc!O5131,"")</f>
        <v/>
      </c>
    </row>
    <row r="5132">
      <c r="A5132" s="16">
        <f>IF(Calc!$B5132,Calc!E5132,"")</f>
        <v/>
      </c>
      <c r="B5132">
        <f>IF(Calc!$B5132,INDEX(MineNames,Calc!C5132),"")</f>
        <v/>
      </c>
      <c r="C5132" s="17">
        <f>IF(Calc!$B5132,Calc!O5132,"")</f>
        <v/>
      </c>
    </row>
    <row r="5133">
      <c r="A5133" s="16">
        <f>IF(Calc!$B5133,Calc!E5133,"")</f>
        <v/>
      </c>
      <c r="B5133">
        <f>IF(Calc!$B5133,INDEX(MineNames,Calc!C5133),"")</f>
        <v/>
      </c>
      <c r="C5133" s="17">
        <f>IF(Calc!$B5133,Calc!O5133,"")</f>
        <v/>
      </c>
    </row>
    <row r="5134">
      <c r="A5134" s="16">
        <f>IF(Calc!$B5134,Calc!E5134,"")</f>
        <v/>
      </c>
      <c r="B5134">
        <f>IF(Calc!$B5134,INDEX(MineNames,Calc!C5134),"")</f>
        <v/>
      </c>
      <c r="C5134" s="17">
        <f>IF(Calc!$B5134,Calc!O5134,"")</f>
        <v/>
      </c>
    </row>
    <row r="5135">
      <c r="A5135" s="16">
        <f>IF(Calc!$B5135,Calc!E5135,"")</f>
        <v/>
      </c>
      <c r="B5135">
        <f>IF(Calc!$B5135,INDEX(MineNames,Calc!C5135),"")</f>
        <v/>
      </c>
      <c r="C5135" s="17">
        <f>IF(Calc!$B5135,Calc!O5135,"")</f>
        <v/>
      </c>
    </row>
    <row r="5136">
      <c r="A5136" s="16">
        <f>IF(Calc!$B5136,Calc!E5136,"")</f>
        <v/>
      </c>
      <c r="B5136">
        <f>IF(Calc!$B5136,INDEX(MineNames,Calc!C5136),"")</f>
        <v/>
      </c>
      <c r="C5136" s="17">
        <f>IF(Calc!$B5136,Calc!O5136,"")</f>
        <v/>
      </c>
    </row>
    <row r="5137">
      <c r="A5137" s="16">
        <f>IF(Calc!$B5137,Calc!E5137,"")</f>
        <v/>
      </c>
      <c r="B5137">
        <f>IF(Calc!$B5137,INDEX(MineNames,Calc!C5137),"")</f>
        <v/>
      </c>
      <c r="C5137" s="17">
        <f>IF(Calc!$B5137,Calc!O5137,"")</f>
        <v/>
      </c>
    </row>
    <row r="5138">
      <c r="A5138" s="16">
        <f>IF(Calc!$B5138,Calc!E5138,"")</f>
        <v/>
      </c>
      <c r="B5138">
        <f>IF(Calc!$B5138,INDEX(MineNames,Calc!C5138),"")</f>
        <v/>
      </c>
      <c r="C5138" s="17">
        <f>IF(Calc!$B5138,Calc!O5138,"")</f>
        <v/>
      </c>
    </row>
    <row r="5139">
      <c r="A5139" s="16">
        <f>IF(Calc!$B5139,Calc!E5139,"")</f>
        <v/>
      </c>
      <c r="B5139">
        <f>IF(Calc!$B5139,INDEX(MineNames,Calc!C5139),"")</f>
        <v/>
      </c>
      <c r="C5139" s="17">
        <f>IF(Calc!$B5139,Calc!O5139,"")</f>
        <v/>
      </c>
    </row>
    <row r="5140">
      <c r="A5140" s="16">
        <f>IF(Calc!$B5140,Calc!E5140,"")</f>
        <v/>
      </c>
      <c r="B5140">
        <f>IF(Calc!$B5140,INDEX(MineNames,Calc!C5140),"")</f>
        <v/>
      </c>
      <c r="C5140" s="17">
        <f>IF(Calc!$B5140,Calc!O5140,"")</f>
        <v/>
      </c>
    </row>
    <row r="5141">
      <c r="A5141" s="16">
        <f>IF(Calc!$B5141,Calc!E5141,"")</f>
        <v/>
      </c>
      <c r="B5141">
        <f>IF(Calc!$B5141,INDEX(MineNames,Calc!C5141),"")</f>
        <v/>
      </c>
      <c r="C5141" s="17">
        <f>IF(Calc!$B5141,Calc!O5141,"")</f>
        <v/>
      </c>
    </row>
    <row r="5142">
      <c r="A5142" s="16">
        <f>IF(Calc!$B5142,Calc!E5142,"")</f>
        <v/>
      </c>
      <c r="B5142">
        <f>IF(Calc!$B5142,INDEX(MineNames,Calc!C5142),"")</f>
        <v/>
      </c>
      <c r="C5142" s="17">
        <f>IF(Calc!$B5142,Calc!O5142,"")</f>
        <v/>
      </c>
    </row>
    <row r="5143">
      <c r="A5143" s="16">
        <f>IF(Calc!$B5143,Calc!E5143,"")</f>
        <v/>
      </c>
      <c r="B5143">
        <f>IF(Calc!$B5143,INDEX(MineNames,Calc!C5143),"")</f>
        <v/>
      </c>
      <c r="C5143" s="17">
        <f>IF(Calc!$B5143,Calc!O5143,"")</f>
        <v/>
      </c>
    </row>
    <row r="5144">
      <c r="A5144" s="16">
        <f>IF(Calc!$B5144,Calc!E5144,"")</f>
        <v/>
      </c>
      <c r="B5144">
        <f>IF(Calc!$B5144,INDEX(MineNames,Calc!C5144),"")</f>
        <v/>
      </c>
      <c r="C5144" s="17">
        <f>IF(Calc!$B5144,Calc!O5144,"")</f>
        <v/>
      </c>
    </row>
    <row r="5145">
      <c r="A5145" s="16">
        <f>IF(Calc!$B5145,Calc!E5145,"")</f>
        <v/>
      </c>
      <c r="B5145">
        <f>IF(Calc!$B5145,INDEX(MineNames,Calc!C5145),"")</f>
        <v/>
      </c>
      <c r="C5145" s="17">
        <f>IF(Calc!$B5145,Calc!O5145,"")</f>
        <v/>
      </c>
    </row>
    <row r="5146">
      <c r="A5146" s="16">
        <f>IF(Calc!$B5146,Calc!E5146,"")</f>
        <v/>
      </c>
      <c r="B5146">
        <f>IF(Calc!$B5146,INDEX(MineNames,Calc!C5146),"")</f>
        <v/>
      </c>
      <c r="C5146" s="17">
        <f>IF(Calc!$B5146,Calc!O5146,"")</f>
        <v/>
      </c>
    </row>
    <row r="5147">
      <c r="A5147" s="16">
        <f>IF(Calc!$B5147,Calc!E5147,"")</f>
        <v/>
      </c>
      <c r="B5147">
        <f>IF(Calc!$B5147,INDEX(MineNames,Calc!C5147),"")</f>
        <v/>
      </c>
      <c r="C5147" s="17">
        <f>IF(Calc!$B5147,Calc!O5147,"")</f>
        <v/>
      </c>
    </row>
    <row r="5148">
      <c r="A5148" s="16">
        <f>IF(Calc!$B5148,Calc!E5148,"")</f>
        <v/>
      </c>
      <c r="B5148">
        <f>IF(Calc!$B5148,INDEX(MineNames,Calc!C5148),"")</f>
        <v/>
      </c>
      <c r="C5148" s="17">
        <f>IF(Calc!$B5148,Calc!O5148,"")</f>
        <v/>
      </c>
    </row>
    <row r="5149">
      <c r="A5149" s="16">
        <f>IF(Calc!$B5149,Calc!E5149,"")</f>
        <v/>
      </c>
      <c r="B5149">
        <f>IF(Calc!$B5149,INDEX(MineNames,Calc!C5149),"")</f>
        <v/>
      </c>
      <c r="C5149" s="17">
        <f>IF(Calc!$B5149,Calc!O5149,"")</f>
        <v/>
      </c>
    </row>
    <row r="5150">
      <c r="A5150" s="16">
        <f>IF(Calc!$B5150,Calc!E5150,"")</f>
        <v/>
      </c>
      <c r="B5150">
        <f>IF(Calc!$B5150,INDEX(MineNames,Calc!C5150),"")</f>
        <v/>
      </c>
      <c r="C5150" s="17">
        <f>IF(Calc!$B5150,Calc!O5150,"")</f>
        <v/>
      </c>
    </row>
    <row r="5151">
      <c r="A5151" s="16">
        <f>IF(Calc!$B5151,Calc!E5151,"")</f>
        <v/>
      </c>
      <c r="B5151">
        <f>IF(Calc!$B5151,INDEX(MineNames,Calc!C5151),"")</f>
        <v/>
      </c>
      <c r="C5151" s="17">
        <f>IF(Calc!$B5151,Calc!O5151,"")</f>
        <v/>
      </c>
    </row>
    <row r="5152">
      <c r="A5152" s="16">
        <f>IF(Calc!$B5152,Calc!E5152,"")</f>
        <v/>
      </c>
      <c r="B5152">
        <f>IF(Calc!$B5152,INDEX(MineNames,Calc!C5152),"")</f>
        <v/>
      </c>
      <c r="C5152" s="17">
        <f>IF(Calc!$B5152,Calc!O5152,"")</f>
        <v/>
      </c>
    </row>
    <row r="5153">
      <c r="A5153" s="16">
        <f>IF(Calc!$B5153,Calc!E5153,"")</f>
        <v/>
      </c>
      <c r="B5153">
        <f>IF(Calc!$B5153,INDEX(MineNames,Calc!C5153),"")</f>
        <v/>
      </c>
      <c r="C5153" s="17">
        <f>IF(Calc!$B5153,Calc!O5153,"")</f>
        <v/>
      </c>
    </row>
    <row r="5154">
      <c r="A5154" s="16">
        <f>IF(Calc!$B5154,Calc!E5154,"")</f>
        <v/>
      </c>
      <c r="B5154">
        <f>IF(Calc!$B5154,INDEX(MineNames,Calc!C5154),"")</f>
        <v/>
      </c>
      <c r="C5154" s="17">
        <f>IF(Calc!$B5154,Calc!O5154,"")</f>
        <v/>
      </c>
    </row>
    <row r="5155">
      <c r="A5155" s="16">
        <f>IF(Calc!$B5155,Calc!E5155,"")</f>
        <v/>
      </c>
      <c r="B5155">
        <f>IF(Calc!$B5155,INDEX(MineNames,Calc!C5155),"")</f>
        <v/>
      </c>
      <c r="C5155" s="17">
        <f>IF(Calc!$B5155,Calc!O5155,"")</f>
        <v/>
      </c>
    </row>
    <row r="5156">
      <c r="A5156" s="16">
        <f>IF(Calc!$B5156,Calc!E5156,"")</f>
        <v/>
      </c>
      <c r="B5156">
        <f>IF(Calc!$B5156,INDEX(MineNames,Calc!C5156),"")</f>
        <v/>
      </c>
      <c r="C5156" s="17">
        <f>IF(Calc!$B5156,Calc!O5156,"")</f>
        <v/>
      </c>
    </row>
    <row r="5157">
      <c r="A5157" s="16">
        <f>IF(Calc!$B5157,Calc!E5157,"")</f>
        <v/>
      </c>
      <c r="B5157">
        <f>IF(Calc!$B5157,INDEX(MineNames,Calc!C5157),"")</f>
        <v/>
      </c>
      <c r="C5157" s="17">
        <f>IF(Calc!$B5157,Calc!O5157,"")</f>
        <v/>
      </c>
    </row>
    <row r="5158">
      <c r="A5158" s="16">
        <f>IF(Calc!$B5158,Calc!E5158,"")</f>
        <v/>
      </c>
      <c r="B5158">
        <f>IF(Calc!$B5158,INDEX(MineNames,Calc!C5158),"")</f>
        <v/>
      </c>
      <c r="C5158" s="17">
        <f>IF(Calc!$B5158,Calc!O5158,"")</f>
        <v/>
      </c>
    </row>
    <row r="5159">
      <c r="A5159" s="16">
        <f>IF(Calc!$B5159,Calc!E5159,"")</f>
        <v/>
      </c>
      <c r="B5159">
        <f>IF(Calc!$B5159,INDEX(MineNames,Calc!C5159),"")</f>
        <v/>
      </c>
      <c r="C5159" s="17">
        <f>IF(Calc!$B5159,Calc!O5159,"")</f>
        <v/>
      </c>
    </row>
    <row r="5160">
      <c r="A5160" s="16">
        <f>IF(Calc!$B5160,Calc!E5160,"")</f>
        <v/>
      </c>
      <c r="B5160">
        <f>IF(Calc!$B5160,INDEX(MineNames,Calc!C5160),"")</f>
        <v/>
      </c>
      <c r="C5160" s="17">
        <f>IF(Calc!$B5160,Calc!O5160,"")</f>
        <v/>
      </c>
    </row>
    <row r="5161">
      <c r="A5161" s="16">
        <f>IF(Calc!$B5161,Calc!E5161,"")</f>
        <v/>
      </c>
      <c r="B5161">
        <f>IF(Calc!$B5161,INDEX(MineNames,Calc!C5161),"")</f>
        <v/>
      </c>
      <c r="C5161" s="17">
        <f>IF(Calc!$B5161,Calc!O5161,"")</f>
        <v/>
      </c>
    </row>
    <row r="5162">
      <c r="A5162" s="16">
        <f>IF(Calc!$B5162,Calc!E5162,"")</f>
        <v/>
      </c>
      <c r="B5162">
        <f>IF(Calc!$B5162,INDEX(MineNames,Calc!C5162),"")</f>
        <v/>
      </c>
      <c r="C5162" s="17">
        <f>IF(Calc!$B5162,Calc!O5162,"")</f>
        <v/>
      </c>
    </row>
    <row r="5163">
      <c r="A5163" s="16">
        <f>IF(Calc!$B5163,Calc!E5163,"")</f>
        <v/>
      </c>
      <c r="B5163">
        <f>IF(Calc!$B5163,INDEX(MineNames,Calc!C5163),"")</f>
        <v/>
      </c>
      <c r="C5163" s="17">
        <f>IF(Calc!$B5163,Calc!O5163,"")</f>
        <v/>
      </c>
    </row>
    <row r="5164">
      <c r="A5164" s="16">
        <f>IF(Calc!$B5164,Calc!E5164,"")</f>
        <v/>
      </c>
      <c r="B5164">
        <f>IF(Calc!$B5164,INDEX(MineNames,Calc!C5164),"")</f>
        <v/>
      </c>
      <c r="C5164" s="17">
        <f>IF(Calc!$B5164,Calc!O5164,"")</f>
        <v/>
      </c>
    </row>
    <row r="5165">
      <c r="A5165" s="16">
        <f>IF(Calc!$B5165,Calc!E5165,"")</f>
        <v/>
      </c>
      <c r="B5165">
        <f>IF(Calc!$B5165,INDEX(MineNames,Calc!C5165),"")</f>
        <v/>
      </c>
      <c r="C5165" s="17">
        <f>IF(Calc!$B5165,Calc!O5165,"")</f>
        <v/>
      </c>
    </row>
    <row r="5166">
      <c r="A5166" s="16">
        <f>IF(Calc!$B5166,Calc!E5166,"")</f>
        <v/>
      </c>
      <c r="B5166">
        <f>IF(Calc!$B5166,INDEX(MineNames,Calc!C5166),"")</f>
        <v/>
      </c>
      <c r="C5166" s="17">
        <f>IF(Calc!$B5166,Calc!O5166,"")</f>
        <v/>
      </c>
    </row>
    <row r="5167">
      <c r="A5167" s="16">
        <f>IF(Calc!$B5167,Calc!E5167,"")</f>
        <v/>
      </c>
      <c r="B5167">
        <f>IF(Calc!$B5167,INDEX(MineNames,Calc!C5167),"")</f>
        <v/>
      </c>
      <c r="C5167" s="17">
        <f>IF(Calc!$B5167,Calc!O5167,"")</f>
        <v/>
      </c>
    </row>
    <row r="5168">
      <c r="A5168" s="16">
        <f>IF(Calc!$B5168,Calc!E5168,"")</f>
        <v/>
      </c>
      <c r="B5168">
        <f>IF(Calc!$B5168,INDEX(MineNames,Calc!C5168),"")</f>
        <v/>
      </c>
      <c r="C5168" s="17">
        <f>IF(Calc!$B5168,Calc!O5168,"")</f>
        <v/>
      </c>
    </row>
    <row r="5169">
      <c r="A5169" s="16">
        <f>IF(Calc!$B5169,Calc!E5169,"")</f>
        <v/>
      </c>
      <c r="B5169">
        <f>IF(Calc!$B5169,INDEX(MineNames,Calc!C5169),"")</f>
        <v/>
      </c>
      <c r="C5169" s="17">
        <f>IF(Calc!$B5169,Calc!O5169,"")</f>
        <v/>
      </c>
    </row>
    <row r="5170">
      <c r="A5170" s="16">
        <f>IF(Calc!$B5170,Calc!E5170,"")</f>
        <v/>
      </c>
      <c r="B5170">
        <f>IF(Calc!$B5170,INDEX(MineNames,Calc!C5170),"")</f>
        <v/>
      </c>
      <c r="C5170" s="17">
        <f>IF(Calc!$B5170,Calc!O5170,"")</f>
        <v/>
      </c>
    </row>
    <row r="5171">
      <c r="A5171" s="16">
        <f>IF(Calc!$B5171,Calc!E5171,"")</f>
        <v/>
      </c>
      <c r="B5171">
        <f>IF(Calc!$B5171,INDEX(MineNames,Calc!C5171),"")</f>
        <v/>
      </c>
      <c r="C5171" s="17">
        <f>IF(Calc!$B5171,Calc!O5171,"")</f>
        <v/>
      </c>
    </row>
    <row r="5172">
      <c r="A5172" s="16">
        <f>IF(Calc!$B5172,Calc!E5172,"")</f>
        <v/>
      </c>
      <c r="B5172">
        <f>IF(Calc!$B5172,INDEX(MineNames,Calc!C5172),"")</f>
        <v/>
      </c>
      <c r="C5172" s="17">
        <f>IF(Calc!$B5172,Calc!O5172,"")</f>
        <v/>
      </c>
    </row>
    <row r="5173">
      <c r="A5173" s="16">
        <f>IF(Calc!$B5173,Calc!E5173,"")</f>
        <v/>
      </c>
      <c r="B5173">
        <f>IF(Calc!$B5173,INDEX(MineNames,Calc!C5173),"")</f>
        <v/>
      </c>
      <c r="C5173" s="17">
        <f>IF(Calc!$B5173,Calc!O5173,"")</f>
        <v/>
      </c>
    </row>
    <row r="5174">
      <c r="A5174" s="16">
        <f>IF(Calc!$B5174,Calc!E5174,"")</f>
        <v/>
      </c>
      <c r="B5174">
        <f>IF(Calc!$B5174,INDEX(MineNames,Calc!C5174),"")</f>
        <v/>
      </c>
      <c r="C5174" s="17">
        <f>IF(Calc!$B5174,Calc!O5174,"")</f>
        <v/>
      </c>
    </row>
    <row r="5175">
      <c r="A5175" s="16">
        <f>IF(Calc!$B5175,Calc!E5175,"")</f>
        <v/>
      </c>
      <c r="B5175">
        <f>IF(Calc!$B5175,INDEX(MineNames,Calc!C5175),"")</f>
        <v/>
      </c>
      <c r="C5175" s="17">
        <f>IF(Calc!$B5175,Calc!O5175,"")</f>
        <v/>
      </c>
    </row>
    <row r="5176">
      <c r="A5176" s="16">
        <f>IF(Calc!$B5176,Calc!E5176,"")</f>
        <v/>
      </c>
      <c r="B5176">
        <f>IF(Calc!$B5176,INDEX(MineNames,Calc!C5176),"")</f>
        <v/>
      </c>
      <c r="C5176" s="17">
        <f>IF(Calc!$B5176,Calc!O5176,"")</f>
        <v/>
      </c>
    </row>
    <row r="5177">
      <c r="A5177" s="16">
        <f>IF(Calc!$B5177,Calc!E5177,"")</f>
        <v/>
      </c>
      <c r="B5177">
        <f>IF(Calc!$B5177,INDEX(MineNames,Calc!C5177),"")</f>
        <v/>
      </c>
      <c r="C5177" s="17">
        <f>IF(Calc!$B5177,Calc!O5177,"")</f>
        <v/>
      </c>
    </row>
    <row r="5178">
      <c r="A5178" s="16">
        <f>IF(Calc!$B5178,Calc!E5178,"")</f>
        <v/>
      </c>
      <c r="B5178">
        <f>IF(Calc!$B5178,INDEX(MineNames,Calc!C5178),"")</f>
        <v/>
      </c>
      <c r="C5178" s="17">
        <f>IF(Calc!$B5178,Calc!O5178,"")</f>
        <v/>
      </c>
    </row>
    <row r="5179">
      <c r="A5179" s="16">
        <f>IF(Calc!$B5179,Calc!E5179,"")</f>
        <v/>
      </c>
      <c r="B5179">
        <f>IF(Calc!$B5179,INDEX(MineNames,Calc!C5179),"")</f>
        <v/>
      </c>
      <c r="C5179" s="17">
        <f>IF(Calc!$B5179,Calc!O5179,"")</f>
        <v/>
      </c>
    </row>
    <row r="5180">
      <c r="A5180" s="16">
        <f>IF(Calc!$B5180,Calc!E5180,"")</f>
        <v/>
      </c>
      <c r="B5180">
        <f>IF(Calc!$B5180,INDEX(MineNames,Calc!C5180),"")</f>
        <v/>
      </c>
      <c r="C5180" s="17">
        <f>IF(Calc!$B5180,Calc!O5180,"")</f>
        <v/>
      </c>
    </row>
    <row r="5181">
      <c r="A5181" s="16">
        <f>IF(Calc!$B5181,Calc!E5181,"")</f>
        <v/>
      </c>
      <c r="B5181">
        <f>IF(Calc!$B5181,INDEX(MineNames,Calc!C5181),"")</f>
        <v/>
      </c>
      <c r="C5181" s="17">
        <f>IF(Calc!$B5181,Calc!O5181,"")</f>
        <v/>
      </c>
    </row>
    <row r="5182">
      <c r="A5182" s="16">
        <f>IF(Calc!$B5182,Calc!E5182,"")</f>
        <v/>
      </c>
      <c r="B5182">
        <f>IF(Calc!$B5182,INDEX(MineNames,Calc!C5182),"")</f>
        <v/>
      </c>
      <c r="C5182" s="17">
        <f>IF(Calc!$B5182,Calc!O5182,"")</f>
        <v/>
      </c>
    </row>
    <row r="5183">
      <c r="A5183" s="16">
        <f>IF(Calc!$B5183,Calc!E5183,"")</f>
        <v/>
      </c>
      <c r="B5183">
        <f>IF(Calc!$B5183,INDEX(MineNames,Calc!C5183),"")</f>
        <v/>
      </c>
      <c r="C5183" s="17">
        <f>IF(Calc!$B5183,Calc!O5183,"")</f>
        <v/>
      </c>
    </row>
    <row r="5184">
      <c r="A5184" s="16">
        <f>IF(Calc!$B5184,Calc!E5184,"")</f>
        <v/>
      </c>
      <c r="B5184">
        <f>IF(Calc!$B5184,INDEX(MineNames,Calc!C5184),"")</f>
        <v/>
      </c>
      <c r="C5184" s="17">
        <f>IF(Calc!$B5184,Calc!O5184,"")</f>
        <v/>
      </c>
    </row>
    <row r="5185">
      <c r="A5185" s="16">
        <f>IF(Calc!$B5185,Calc!E5185,"")</f>
        <v/>
      </c>
      <c r="B5185">
        <f>IF(Calc!$B5185,INDEX(MineNames,Calc!C5185),"")</f>
        <v/>
      </c>
      <c r="C5185" s="17">
        <f>IF(Calc!$B5185,Calc!O5185,"")</f>
        <v/>
      </c>
    </row>
    <row r="5186">
      <c r="A5186" s="16">
        <f>IF(Calc!$B5186,Calc!E5186,"")</f>
        <v/>
      </c>
      <c r="B5186">
        <f>IF(Calc!$B5186,INDEX(MineNames,Calc!C5186),"")</f>
        <v/>
      </c>
      <c r="C5186" s="17">
        <f>IF(Calc!$B5186,Calc!O5186,"")</f>
        <v/>
      </c>
    </row>
    <row r="5187">
      <c r="A5187" s="16">
        <f>IF(Calc!$B5187,Calc!E5187,"")</f>
        <v/>
      </c>
      <c r="B5187">
        <f>IF(Calc!$B5187,INDEX(MineNames,Calc!C5187),"")</f>
        <v/>
      </c>
      <c r="C5187" s="17">
        <f>IF(Calc!$B5187,Calc!O5187,"")</f>
        <v/>
      </c>
    </row>
    <row r="5188">
      <c r="A5188" s="16">
        <f>IF(Calc!$B5188,Calc!E5188,"")</f>
        <v/>
      </c>
      <c r="B5188">
        <f>IF(Calc!$B5188,INDEX(MineNames,Calc!C5188),"")</f>
        <v/>
      </c>
      <c r="C5188" s="17">
        <f>IF(Calc!$B5188,Calc!O5188,"")</f>
        <v/>
      </c>
    </row>
    <row r="5189">
      <c r="A5189" s="16">
        <f>IF(Calc!$B5189,Calc!E5189,"")</f>
        <v/>
      </c>
      <c r="B5189">
        <f>IF(Calc!$B5189,INDEX(MineNames,Calc!C5189),"")</f>
        <v/>
      </c>
      <c r="C5189" s="17">
        <f>IF(Calc!$B5189,Calc!O5189,"")</f>
        <v/>
      </c>
    </row>
    <row r="5190">
      <c r="A5190" s="16">
        <f>IF(Calc!$B5190,Calc!E5190,"")</f>
        <v/>
      </c>
      <c r="B5190">
        <f>IF(Calc!$B5190,INDEX(MineNames,Calc!C5190),"")</f>
        <v/>
      </c>
      <c r="C5190" s="17">
        <f>IF(Calc!$B5190,Calc!O5190,"")</f>
        <v/>
      </c>
    </row>
    <row r="5191">
      <c r="A5191" s="16">
        <f>IF(Calc!$B5191,Calc!E5191,"")</f>
        <v/>
      </c>
      <c r="B5191">
        <f>IF(Calc!$B5191,INDEX(MineNames,Calc!C5191),"")</f>
        <v/>
      </c>
      <c r="C5191" s="17">
        <f>IF(Calc!$B5191,Calc!O5191,"")</f>
        <v/>
      </c>
    </row>
    <row r="5192">
      <c r="A5192" s="16">
        <f>IF(Calc!$B5192,Calc!E5192,"")</f>
        <v/>
      </c>
      <c r="B5192">
        <f>IF(Calc!$B5192,INDEX(MineNames,Calc!C5192),"")</f>
        <v/>
      </c>
      <c r="C5192" s="17">
        <f>IF(Calc!$B5192,Calc!O5192,"")</f>
        <v/>
      </c>
    </row>
    <row r="5193">
      <c r="A5193" s="16">
        <f>IF(Calc!$B5193,Calc!E5193,"")</f>
        <v/>
      </c>
      <c r="B5193">
        <f>IF(Calc!$B5193,INDEX(MineNames,Calc!C5193),"")</f>
        <v/>
      </c>
      <c r="C5193" s="17">
        <f>IF(Calc!$B5193,Calc!O5193,"")</f>
        <v/>
      </c>
    </row>
    <row r="5194">
      <c r="A5194" s="16">
        <f>IF(Calc!$B5194,Calc!E5194,"")</f>
        <v/>
      </c>
      <c r="B5194">
        <f>IF(Calc!$B5194,INDEX(MineNames,Calc!C5194),"")</f>
        <v/>
      </c>
      <c r="C5194" s="17">
        <f>IF(Calc!$B5194,Calc!O5194,"")</f>
        <v/>
      </c>
    </row>
    <row r="5195">
      <c r="A5195" s="16">
        <f>IF(Calc!$B5195,Calc!E5195,"")</f>
        <v/>
      </c>
      <c r="B5195">
        <f>IF(Calc!$B5195,INDEX(MineNames,Calc!C5195),"")</f>
        <v/>
      </c>
      <c r="C5195" s="17">
        <f>IF(Calc!$B5195,Calc!O5195,"")</f>
        <v/>
      </c>
    </row>
    <row r="5196">
      <c r="A5196" s="16">
        <f>IF(Calc!$B5196,Calc!E5196,"")</f>
        <v/>
      </c>
      <c r="B5196">
        <f>IF(Calc!$B5196,INDEX(MineNames,Calc!C5196),"")</f>
        <v/>
      </c>
      <c r="C5196" s="17">
        <f>IF(Calc!$B5196,Calc!O5196,"")</f>
        <v/>
      </c>
    </row>
    <row r="5197">
      <c r="A5197" s="16">
        <f>IF(Calc!$B5197,Calc!E5197,"")</f>
        <v/>
      </c>
      <c r="B5197">
        <f>IF(Calc!$B5197,INDEX(MineNames,Calc!C5197),"")</f>
        <v/>
      </c>
      <c r="C5197" s="17">
        <f>IF(Calc!$B5197,Calc!O5197,"")</f>
        <v/>
      </c>
    </row>
    <row r="5198">
      <c r="A5198" s="16">
        <f>IF(Calc!$B5198,Calc!E5198,"")</f>
        <v/>
      </c>
      <c r="B5198">
        <f>IF(Calc!$B5198,INDEX(MineNames,Calc!C5198),"")</f>
        <v/>
      </c>
      <c r="C5198" s="17">
        <f>IF(Calc!$B5198,Calc!O5198,"")</f>
        <v/>
      </c>
    </row>
    <row r="5199">
      <c r="A5199" s="16">
        <f>IF(Calc!$B5199,Calc!E5199,"")</f>
        <v/>
      </c>
      <c r="B5199">
        <f>IF(Calc!$B5199,INDEX(MineNames,Calc!C5199),"")</f>
        <v/>
      </c>
      <c r="C5199" s="17">
        <f>IF(Calc!$B5199,Calc!O5199,"")</f>
        <v/>
      </c>
    </row>
    <row r="5200">
      <c r="A5200" s="16">
        <f>IF(Calc!$B5200,Calc!E5200,"")</f>
        <v/>
      </c>
      <c r="B5200">
        <f>IF(Calc!$B5200,INDEX(MineNames,Calc!C5200),"")</f>
        <v/>
      </c>
      <c r="C5200" s="17">
        <f>IF(Calc!$B5200,Calc!O5200,"")</f>
        <v/>
      </c>
    </row>
    <row r="5201">
      <c r="A5201" s="16">
        <f>IF(Calc!$B5201,Calc!E5201,"")</f>
        <v/>
      </c>
      <c r="B5201">
        <f>IF(Calc!$B5201,INDEX(MineNames,Calc!C5201),"")</f>
        <v/>
      </c>
      <c r="C5201" s="17">
        <f>IF(Calc!$B5201,Calc!O5201,"")</f>
        <v/>
      </c>
    </row>
    <row r="5202">
      <c r="A5202" s="16">
        <f>IF(Calc!$B5202,Calc!E5202,"")</f>
        <v/>
      </c>
      <c r="B5202">
        <f>IF(Calc!$B5202,INDEX(MineNames,Calc!C5202),"")</f>
        <v/>
      </c>
      <c r="C5202" s="17">
        <f>IF(Calc!$B5202,Calc!O5202,"")</f>
        <v/>
      </c>
    </row>
    <row r="5203">
      <c r="A5203" s="16">
        <f>IF(Calc!$B5203,Calc!E5203,"")</f>
        <v/>
      </c>
      <c r="B5203">
        <f>IF(Calc!$B5203,INDEX(MineNames,Calc!C5203),"")</f>
        <v/>
      </c>
      <c r="C5203" s="17">
        <f>IF(Calc!$B5203,Calc!O5203,"")</f>
        <v/>
      </c>
    </row>
    <row r="5204">
      <c r="A5204" s="16">
        <f>IF(Calc!$B5204,Calc!E5204,"")</f>
        <v/>
      </c>
      <c r="B5204">
        <f>IF(Calc!$B5204,INDEX(MineNames,Calc!C5204),"")</f>
        <v/>
      </c>
      <c r="C5204" s="17">
        <f>IF(Calc!$B5204,Calc!O5204,"")</f>
        <v/>
      </c>
    </row>
    <row r="5205">
      <c r="A5205" s="16">
        <f>IF(Calc!$B5205,Calc!E5205,"")</f>
        <v/>
      </c>
      <c r="B5205">
        <f>IF(Calc!$B5205,INDEX(MineNames,Calc!C5205),"")</f>
        <v/>
      </c>
      <c r="C5205" s="17">
        <f>IF(Calc!$B5205,Calc!O5205,"")</f>
        <v/>
      </c>
    </row>
    <row r="5206">
      <c r="A5206" s="16">
        <f>IF(Calc!$B5206,Calc!E5206,"")</f>
        <v/>
      </c>
      <c r="B5206">
        <f>IF(Calc!$B5206,INDEX(MineNames,Calc!C5206),"")</f>
        <v/>
      </c>
      <c r="C5206" s="17">
        <f>IF(Calc!$B5206,Calc!O5206,"")</f>
        <v/>
      </c>
    </row>
    <row r="5207">
      <c r="A5207" s="16">
        <f>IF(Calc!$B5207,Calc!E5207,"")</f>
        <v/>
      </c>
      <c r="B5207">
        <f>IF(Calc!$B5207,INDEX(MineNames,Calc!C5207),"")</f>
        <v/>
      </c>
      <c r="C5207" s="17">
        <f>IF(Calc!$B5207,Calc!O5207,"")</f>
        <v/>
      </c>
    </row>
    <row r="5208">
      <c r="A5208" s="16">
        <f>IF(Calc!$B5208,Calc!E5208,"")</f>
        <v/>
      </c>
      <c r="B5208">
        <f>IF(Calc!$B5208,INDEX(MineNames,Calc!C5208),"")</f>
        <v/>
      </c>
      <c r="C5208" s="17">
        <f>IF(Calc!$B5208,Calc!O5208,"")</f>
        <v/>
      </c>
    </row>
    <row r="5209">
      <c r="A5209" s="16">
        <f>IF(Calc!$B5209,Calc!E5209,"")</f>
        <v/>
      </c>
      <c r="B5209">
        <f>IF(Calc!$B5209,INDEX(MineNames,Calc!C5209),"")</f>
        <v/>
      </c>
      <c r="C5209" s="17">
        <f>IF(Calc!$B5209,Calc!O5209,"")</f>
        <v/>
      </c>
    </row>
    <row r="5210">
      <c r="A5210" s="16">
        <f>IF(Calc!$B5210,Calc!E5210,"")</f>
        <v/>
      </c>
      <c r="B5210">
        <f>IF(Calc!$B5210,INDEX(MineNames,Calc!C5210),"")</f>
        <v/>
      </c>
      <c r="C5210" s="17">
        <f>IF(Calc!$B5210,Calc!O5210,"")</f>
        <v/>
      </c>
    </row>
    <row r="5211">
      <c r="A5211" s="16">
        <f>IF(Calc!$B5211,Calc!E5211,"")</f>
        <v/>
      </c>
      <c r="B5211">
        <f>IF(Calc!$B5211,INDEX(MineNames,Calc!C5211),"")</f>
        <v/>
      </c>
      <c r="C5211" s="17">
        <f>IF(Calc!$B5211,Calc!O5211,"")</f>
        <v/>
      </c>
    </row>
    <row r="5212">
      <c r="A5212" s="16">
        <f>IF(Calc!$B5212,Calc!E5212,"")</f>
        <v/>
      </c>
      <c r="B5212">
        <f>IF(Calc!$B5212,INDEX(MineNames,Calc!C5212),"")</f>
        <v/>
      </c>
      <c r="C5212" s="17">
        <f>IF(Calc!$B5212,Calc!O5212,"")</f>
        <v/>
      </c>
    </row>
    <row r="5213">
      <c r="A5213" s="16">
        <f>IF(Calc!$B5213,Calc!E5213,"")</f>
        <v/>
      </c>
      <c r="B5213">
        <f>IF(Calc!$B5213,INDEX(MineNames,Calc!C5213),"")</f>
        <v/>
      </c>
      <c r="C5213" s="17">
        <f>IF(Calc!$B5213,Calc!O5213,"")</f>
        <v/>
      </c>
    </row>
    <row r="5214">
      <c r="A5214" s="16">
        <f>IF(Calc!$B5214,Calc!E5214,"")</f>
        <v/>
      </c>
      <c r="B5214">
        <f>IF(Calc!$B5214,INDEX(MineNames,Calc!C5214),"")</f>
        <v/>
      </c>
      <c r="C5214" s="17">
        <f>IF(Calc!$B5214,Calc!O5214,"")</f>
        <v/>
      </c>
    </row>
    <row r="5215">
      <c r="A5215" s="16">
        <f>IF(Calc!$B5215,Calc!E5215,"")</f>
        <v/>
      </c>
      <c r="B5215">
        <f>IF(Calc!$B5215,INDEX(MineNames,Calc!C5215),"")</f>
        <v/>
      </c>
      <c r="C5215" s="17">
        <f>IF(Calc!$B5215,Calc!O5215,"")</f>
        <v/>
      </c>
    </row>
    <row r="5216">
      <c r="A5216" s="16">
        <f>IF(Calc!$B5216,Calc!E5216,"")</f>
        <v/>
      </c>
      <c r="B5216">
        <f>IF(Calc!$B5216,INDEX(MineNames,Calc!C5216),"")</f>
        <v/>
      </c>
      <c r="C5216" s="17">
        <f>IF(Calc!$B5216,Calc!O5216,"")</f>
        <v/>
      </c>
    </row>
    <row r="5217">
      <c r="A5217" s="16">
        <f>IF(Calc!$B5217,Calc!E5217,"")</f>
        <v/>
      </c>
      <c r="B5217">
        <f>IF(Calc!$B5217,INDEX(MineNames,Calc!C5217),"")</f>
        <v/>
      </c>
      <c r="C5217" s="17">
        <f>IF(Calc!$B5217,Calc!O5217,"")</f>
        <v/>
      </c>
    </row>
    <row r="5218">
      <c r="A5218" s="16">
        <f>IF(Calc!$B5218,Calc!E5218,"")</f>
        <v/>
      </c>
      <c r="B5218">
        <f>IF(Calc!$B5218,INDEX(MineNames,Calc!C5218),"")</f>
        <v/>
      </c>
      <c r="C5218" s="17">
        <f>IF(Calc!$B5218,Calc!O5218,"")</f>
        <v/>
      </c>
    </row>
    <row r="5219">
      <c r="A5219" s="16">
        <f>IF(Calc!$B5219,Calc!E5219,"")</f>
        <v/>
      </c>
      <c r="B5219">
        <f>IF(Calc!$B5219,INDEX(MineNames,Calc!C5219),"")</f>
        <v/>
      </c>
      <c r="C5219" s="17">
        <f>IF(Calc!$B5219,Calc!O5219,"")</f>
        <v/>
      </c>
    </row>
    <row r="5220">
      <c r="A5220" s="16">
        <f>IF(Calc!$B5220,Calc!E5220,"")</f>
        <v/>
      </c>
      <c r="B5220">
        <f>IF(Calc!$B5220,INDEX(MineNames,Calc!C5220),"")</f>
        <v/>
      </c>
      <c r="C5220" s="17">
        <f>IF(Calc!$B5220,Calc!O5220,"")</f>
        <v/>
      </c>
    </row>
    <row r="5221">
      <c r="A5221" s="16">
        <f>IF(Calc!$B5221,Calc!E5221,"")</f>
        <v/>
      </c>
      <c r="B5221">
        <f>IF(Calc!$B5221,INDEX(MineNames,Calc!C5221),"")</f>
        <v/>
      </c>
      <c r="C5221" s="17">
        <f>IF(Calc!$B5221,Calc!O5221,"")</f>
        <v/>
      </c>
    </row>
    <row r="5222">
      <c r="A5222" s="16">
        <f>IF(Calc!$B5222,Calc!E5222,"")</f>
        <v/>
      </c>
      <c r="B5222">
        <f>IF(Calc!$B5222,INDEX(MineNames,Calc!C5222),"")</f>
        <v/>
      </c>
      <c r="C5222" s="17">
        <f>IF(Calc!$B5222,Calc!O5222,"")</f>
        <v/>
      </c>
    </row>
    <row r="5223">
      <c r="A5223" s="16">
        <f>IF(Calc!$B5223,Calc!E5223,"")</f>
        <v/>
      </c>
      <c r="B5223">
        <f>IF(Calc!$B5223,INDEX(MineNames,Calc!C5223),"")</f>
        <v/>
      </c>
      <c r="C5223" s="17">
        <f>IF(Calc!$B5223,Calc!O5223,"")</f>
        <v/>
      </c>
    </row>
    <row r="5224">
      <c r="A5224" s="16">
        <f>IF(Calc!$B5224,Calc!E5224,"")</f>
        <v/>
      </c>
      <c r="B5224">
        <f>IF(Calc!$B5224,INDEX(MineNames,Calc!C5224),"")</f>
        <v/>
      </c>
      <c r="C5224" s="17">
        <f>IF(Calc!$B5224,Calc!O5224,"")</f>
        <v/>
      </c>
    </row>
    <row r="5225">
      <c r="A5225" s="16">
        <f>IF(Calc!$B5225,Calc!E5225,"")</f>
        <v/>
      </c>
      <c r="B5225">
        <f>IF(Calc!$B5225,INDEX(MineNames,Calc!C5225),"")</f>
        <v/>
      </c>
      <c r="C5225" s="17">
        <f>IF(Calc!$B5225,Calc!O5225,"")</f>
        <v/>
      </c>
    </row>
    <row r="5226">
      <c r="A5226" s="16">
        <f>IF(Calc!$B5226,Calc!E5226,"")</f>
        <v/>
      </c>
      <c r="B5226">
        <f>IF(Calc!$B5226,INDEX(MineNames,Calc!C5226),"")</f>
        <v/>
      </c>
      <c r="C5226" s="17">
        <f>IF(Calc!$B5226,Calc!O5226,"")</f>
        <v/>
      </c>
    </row>
    <row r="5227">
      <c r="A5227" s="16">
        <f>IF(Calc!$B5227,Calc!E5227,"")</f>
        <v/>
      </c>
      <c r="B5227">
        <f>IF(Calc!$B5227,INDEX(MineNames,Calc!C5227),"")</f>
        <v/>
      </c>
      <c r="C5227" s="17">
        <f>IF(Calc!$B5227,Calc!O5227,"")</f>
        <v/>
      </c>
    </row>
    <row r="5228">
      <c r="A5228" s="16">
        <f>IF(Calc!$B5228,Calc!E5228,"")</f>
        <v/>
      </c>
      <c r="B5228">
        <f>IF(Calc!$B5228,INDEX(MineNames,Calc!C5228),"")</f>
        <v/>
      </c>
      <c r="C5228" s="17">
        <f>IF(Calc!$B5228,Calc!O5228,"")</f>
        <v/>
      </c>
    </row>
    <row r="5229">
      <c r="A5229" s="16">
        <f>IF(Calc!$B5229,Calc!E5229,"")</f>
        <v/>
      </c>
      <c r="B5229">
        <f>IF(Calc!$B5229,INDEX(MineNames,Calc!C5229),"")</f>
        <v/>
      </c>
      <c r="C5229" s="17">
        <f>IF(Calc!$B5229,Calc!O5229,"")</f>
        <v/>
      </c>
    </row>
    <row r="5230">
      <c r="A5230" s="16">
        <f>IF(Calc!$B5230,Calc!E5230,"")</f>
        <v/>
      </c>
      <c r="B5230">
        <f>IF(Calc!$B5230,INDEX(MineNames,Calc!C5230),"")</f>
        <v/>
      </c>
      <c r="C5230" s="17">
        <f>IF(Calc!$B5230,Calc!O5230,"")</f>
        <v/>
      </c>
    </row>
    <row r="5231">
      <c r="A5231" s="16">
        <f>IF(Calc!$B5231,Calc!E5231,"")</f>
        <v/>
      </c>
      <c r="B5231">
        <f>IF(Calc!$B5231,INDEX(MineNames,Calc!C5231),"")</f>
        <v/>
      </c>
      <c r="C5231" s="17">
        <f>IF(Calc!$B5231,Calc!O5231,"")</f>
        <v/>
      </c>
    </row>
    <row r="5232">
      <c r="A5232" s="16">
        <f>IF(Calc!$B5232,Calc!E5232,"")</f>
        <v/>
      </c>
      <c r="B5232">
        <f>IF(Calc!$B5232,INDEX(MineNames,Calc!C5232),"")</f>
        <v/>
      </c>
      <c r="C5232" s="17">
        <f>IF(Calc!$B5232,Calc!O5232,"")</f>
        <v/>
      </c>
    </row>
    <row r="5233">
      <c r="A5233" s="16">
        <f>IF(Calc!$B5233,Calc!E5233,"")</f>
        <v/>
      </c>
      <c r="B5233">
        <f>IF(Calc!$B5233,INDEX(MineNames,Calc!C5233),"")</f>
        <v/>
      </c>
      <c r="C5233" s="17">
        <f>IF(Calc!$B5233,Calc!O5233,"")</f>
        <v/>
      </c>
    </row>
    <row r="5234">
      <c r="A5234" s="16">
        <f>IF(Calc!$B5234,Calc!E5234,"")</f>
        <v/>
      </c>
      <c r="B5234">
        <f>IF(Calc!$B5234,INDEX(MineNames,Calc!C5234),"")</f>
        <v/>
      </c>
      <c r="C5234" s="17">
        <f>IF(Calc!$B5234,Calc!O5234,"")</f>
        <v/>
      </c>
    </row>
    <row r="5235">
      <c r="A5235" s="16">
        <f>IF(Calc!$B5235,Calc!E5235,"")</f>
        <v/>
      </c>
      <c r="B5235">
        <f>IF(Calc!$B5235,INDEX(MineNames,Calc!C5235),"")</f>
        <v/>
      </c>
      <c r="C5235" s="17">
        <f>IF(Calc!$B5235,Calc!O5235,"")</f>
        <v/>
      </c>
    </row>
    <row r="5236">
      <c r="A5236" s="16">
        <f>IF(Calc!$B5236,Calc!E5236,"")</f>
        <v/>
      </c>
      <c r="B5236">
        <f>IF(Calc!$B5236,INDEX(MineNames,Calc!C5236),"")</f>
        <v/>
      </c>
      <c r="C5236" s="17">
        <f>IF(Calc!$B5236,Calc!O5236,"")</f>
        <v/>
      </c>
    </row>
    <row r="5237">
      <c r="A5237" s="16">
        <f>IF(Calc!$B5237,Calc!E5237,"")</f>
        <v/>
      </c>
      <c r="B5237">
        <f>IF(Calc!$B5237,INDEX(MineNames,Calc!C5237),"")</f>
        <v/>
      </c>
      <c r="C5237" s="17">
        <f>IF(Calc!$B5237,Calc!O5237,"")</f>
        <v/>
      </c>
    </row>
    <row r="5238">
      <c r="A5238" s="16">
        <f>IF(Calc!$B5238,Calc!E5238,"")</f>
        <v/>
      </c>
      <c r="B5238">
        <f>IF(Calc!$B5238,INDEX(MineNames,Calc!C5238),"")</f>
        <v/>
      </c>
      <c r="C5238" s="17">
        <f>IF(Calc!$B5238,Calc!O5238,"")</f>
        <v/>
      </c>
    </row>
    <row r="5239">
      <c r="A5239" s="16">
        <f>IF(Calc!$B5239,Calc!E5239,"")</f>
        <v/>
      </c>
      <c r="B5239">
        <f>IF(Calc!$B5239,INDEX(MineNames,Calc!C5239),"")</f>
        <v/>
      </c>
      <c r="C5239" s="17">
        <f>IF(Calc!$B5239,Calc!O5239,"")</f>
        <v/>
      </c>
    </row>
    <row r="5240">
      <c r="A5240" s="16">
        <f>IF(Calc!$B5240,Calc!E5240,"")</f>
        <v/>
      </c>
      <c r="B5240">
        <f>IF(Calc!$B5240,INDEX(MineNames,Calc!C5240),"")</f>
        <v/>
      </c>
      <c r="C5240" s="17">
        <f>IF(Calc!$B5240,Calc!O5240,"")</f>
        <v/>
      </c>
    </row>
    <row r="5241">
      <c r="A5241" s="16">
        <f>IF(Calc!$B5241,Calc!E5241,"")</f>
        <v/>
      </c>
      <c r="B5241">
        <f>IF(Calc!$B5241,INDEX(MineNames,Calc!C5241),"")</f>
        <v/>
      </c>
      <c r="C5241" s="17">
        <f>IF(Calc!$B5241,Calc!O5241,"")</f>
        <v/>
      </c>
    </row>
    <row r="5242">
      <c r="A5242" s="16">
        <f>IF(Calc!$B5242,Calc!E5242,"")</f>
        <v/>
      </c>
      <c r="B5242">
        <f>IF(Calc!$B5242,INDEX(MineNames,Calc!C5242),"")</f>
        <v/>
      </c>
      <c r="C5242" s="17">
        <f>IF(Calc!$B5242,Calc!O5242,"")</f>
        <v/>
      </c>
    </row>
    <row r="5243">
      <c r="A5243" s="16">
        <f>IF(Calc!$B5243,Calc!E5243,"")</f>
        <v/>
      </c>
      <c r="B5243">
        <f>IF(Calc!$B5243,INDEX(MineNames,Calc!C5243),"")</f>
        <v/>
      </c>
      <c r="C5243" s="17">
        <f>IF(Calc!$B5243,Calc!O5243,"")</f>
        <v/>
      </c>
    </row>
    <row r="5244">
      <c r="A5244" s="16">
        <f>IF(Calc!$B5244,Calc!E5244,"")</f>
        <v/>
      </c>
      <c r="B5244">
        <f>IF(Calc!$B5244,INDEX(MineNames,Calc!C5244),"")</f>
        <v/>
      </c>
      <c r="C5244" s="17">
        <f>IF(Calc!$B5244,Calc!O5244,"")</f>
        <v/>
      </c>
    </row>
    <row r="5245">
      <c r="A5245" s="16">
        <f>IF(Calc!$B5245,Calc!E5245,"")</f>
        <v/>
      </c>
      <c r="B5245">
        <f>IF(Calc!$B5245,INDEX(MineNames,Calc!C5245),"")</f>
        <v/>
      </c>
      <c r="C5245" s="17">
        <f>IF(Calc!$B5245,Calc!O5245,"")</f>
        <v/>
      </c>
    </row>
    <row r="5246">
      <c r="A5246" s="16">
        <f>IF(Calc!$B5246,Calc!E5246,"")</f>
        <v/>
      </c>
      <c r="B5246">
        <f>IF(Calc!$B5246,INDEX(MineNames,Calc!C5246),"")</f>
        <v/>
      </c>
      <c r="C5246" s="17">
        <f>IF(Calc!$B5246,Calc!O5246,"")</f>
        <v/>
      </c>
    </row>
    <row r="5247">
      <c r="A5247" s="16">
        <f>IF(Calc!$B5247,Calc!E5247,"")</f>
        <v/>
      </c>
      <c r="B5247">
        <f>IF(Calc!$B5247,INDEX(MineNames,Calc!C5247),"")</f>
        <v/>
      </c>
      <c r="C5247" s="17">
        <f>IF(Calc!$B5247,Calc!O5247,"")</f>
        <v/>
      </c>
    </row>
    <row r="5248">
      <c r="A5248" s="16">
        <f>IF(Calc!$B5248,Calc!E5248,"")</f>
        <v/>
      </c>
      <c r="B5248">
        <f>IF(Calc!$B5248,INDEX(MineNames,Calc!C5248),"")</f>
        <v/>
      </c>
      <c r="C5248" s="17">
        <f>IF(Calc!$B5248,Calc!O5248,"")</f>
        <v/>
      </c>
    </row>
    <row r="5249">
      <c r="A5249" s="16">
        <f>IF(Calc!$B5249,Calc!E5249,"")</f>
        <v/>
      </c>
      <c r="B5249">
        <f>IF(Calc!$B5249,INDEX(MineNames,Calc!C5249),"")</f>
        <v/>
      </c>
      <c r="C5249" s="17">
        <f>IF(Calc!$B5249,Calc!O5249,"")</f>
        <v/>
      </c>
    </row>
    <row r="5250">
      <c r="A5250" s="16">
        <f>IF(Calc!$B5250,Calc!E5250,"")</f>
        <v/>
      </c>
      <c r="B5250">
        <f>IF(Calc!$B5250,INDEX(MineNames,Calc!C5250),"")</f>
        <v/>
      </c>
      <c r="C5250" s="17">
        <f>IF(Calc!$B5250,Calc!O5250,"")</f>
        <v/>
      </c>
    </row>
    <row r="5251">
      <c r="A5251" s="16">
        <f>IF(Calc!$B5251,Calc!E5251,"")</f>
        <v/>
      </c>
      <c r="B5251">
        <f>IF(Calc!$B5251,INDEX(MineNames,Calc!C5251),"")</f>
        <v/>
      </c>
      <c r="C5251" s="17">
        <f>IF(Calc!$B5251,Calc!O5251,"")</f>
        <v/>
      </c>
    </row>
    <row r="5252">
      <c r="A5252" s="16">
        <f>IF(Calc!$B5252,Calc!E5252,"")</f>
        <v/>
      </c>
      <c r="B5252">
        <f>IF(Calc!$B5252,INDEX(MineNames,Calc!C5252),"")</f>
        <v/>
      </c>
      <c r="C5252" s="17">
        <f>IF(Calc!$B5252,Calc!O5252,"")</f>
        <v/>
      </c>
    </row>
    <row r="5253">
      <c r="A5253" s="16">
        <f>IF(Calc!$B5253,Calc!E5253,"")</f>
        <v/>
      </c>
      <c r="B5253">
        <f>IF(Calc!$B5253,INDEX(MineNames,Calc!C5253),"")</f>
        <v/>
      </c>
      <c r="C5253" s="17">
        <f>IF(Calc!$B5253,Calc!O5253,"")</f>
        <v/>
      </c>
    </row>
    <row r="5254">
      <c r="A5254" s="16">
        <f>IF(Calc!$B5254,Calc!E5254,"")</f>
        <v/>
      </c>
      <c r="B5254">
        <f>IF(Calc!$B5254,INDEX(MineNames,Calc!C5254),"")</f>
        <v/>
      </c>
      <c r="C5254" s="17">
        <f>IF(Calc!$B5254,Calc!O5254,"")</f>
        <v/>
      </c>
    </row>
    <row r="5255">
      <c r="A5255" s="16">
        <f>IF(Calc!$B5255,Calc!E5255,"")</f>
        <v/>
      </c>
      <c r="B5255">
        <f>IF(Calc!$B5255,INDEX(MineNames,Calc!C5255),"")</f>
        <v/>
      </c>
      <c r="C5255" s="17">
        <f>IF(Calc!$B5255,Calc!O5255,"")</f>
        <v/>
      </c>
    </row>
    <row r="5256">
      <c r="A5256" s="16">
        <f>IF(Calc!$B5256,Calc!E5256,"")</f>
        <v/>
      </c>
      <c r="B5256">
        <f>IF(Calc!$B5256,INDEX(MineNames,Calc!C5256),"")</f>
        <v/>
      </c>
      <c r="C5256" s="17">
        <f>IF(Calc!$B5256,Calc!O5256,"")</f>
        <v/>
      </c>
    </row>
    <row r="5257">
      <c r="A5257" s="16">
        <f>IF(Calc!$B5257,Calc!E5257,"")</f>
        <v/>
      </c>
      <c r="B5257">
        <f>IF(Calc!$B5257,INDEX(MineNames,Calc!C5257),"")</f>
        <v/>
      </c>
      <c r="C5257" s="17">
        <f>IF(Calc!$B5257,Calc!O5257,"")</f>
        <v/>
      </c>
    </row>
    <row r="5258">
      <c r="A5258" s="16">
        <f>IF(Calc!$B5258,Calc!E5258,"")</f>
        <v/>
      </c>
      <c r="B5258">
        <f>IF(Calc!$B5258,INDEX(MineNames,Calc!C5258),"")</f>
        <v/>
      </c>
      <c r="C5258" s="17">
        <f>IF(Calc!$B5258,Calc!O5258,"")</f>
        <v/>
      </c>
    </row>
    <row r="5259">
      <c r="A5259" s="16">
        <f>IF(Calc!$B5259,Calc!E5259,"")</f>
        <v/>
      </c>
      <c r="B5259">
        <f>IF(Calc!$B5259,INDEX(MineNames,Calc!C5259),"")</f>
        <v/>
      </c>
      <c r="C5259" s="17">
        <f>IF(Calc!$B5259,Calc!O5259,"")</f>
        <v/>
      </c>
    </row>
    <row r="5260">
      <c r="A5260" s="16">
        <f>IF(Calc!$B5260,Calc!E5260,"")</f>
        <v/>
      </c>
      <c r="B5260">
        <f>IF(Calc!$B5260,INDEX(MineNames,Calc!C5260),"")</f>
        <v/>
      </c>
      <c r="C5260" s="17">
        <f>IF(Calc!$B5260,Calc!O5260,"")</f>
        <v/>
      </c>
    </row>
    <row r="5261">
      <c r="A5261" s="16">
        <f>IF(Calc!$B5261,Calc!E5261,"")</f>
        <v/>
      </c>
      <c r="B5261">
        <f>IF(Calc!$B5261,INDEX(MineNames,Calc!C5261),"")</f>
        <v/>
      </c>
      <c r="C5261" s="17">
        <f>IF(Calc!$B5261,Calc!O5261,"")</f>
        <v/>
      </c>
    </row>
    <row r="5262">
      <c r="A5262" s="16">
        <f>IF(Calc!$B5262,Calc!E5262,"")</f>
        <v/>
      </c>
      <c r="B5262">
        <f>IF(Calc!$B5262,INDEX(MineNames,Calc!C5262),"")</f>
        <v/>
      </c>
      <c r="C5262" s="17">
        <f>IF(Calc!$B5262,Calc!O5262,"")</f>
        <v/>
      </c>
    </row>
    <row r="5263">
      <c r="A5263" s="16">
        <f>IF(Calc!$B5263,Calc!E5263,"")</f>
        <v/>
      </c>
      <c r="B5263">
        <f>IF(Calc!$B5263,INDEX(MineNames,Calc!C5263),"")</f>
        <v/>
      </c>
      <c r="C5263" s="17">
        <f>IF(Calc!$B5263,Calc!O5263,"")</f>
        <v/>
      </c>
    </row>
    <row r="5264">
      <c r="A5264" s="16">
        <f>IF(Calc!$B5264,Calc!E5264,"")</f>
        <v/>
      </c>
      <c r="B5264">
        <f>IF(Calc!$B5264,INDEX(MineNames,Calc!C5264),"")</f>
        <v/>
      </c>
      <c r="C5264" s="17">
        <f>IF(Calc!$B5264,Calc!O5264,"")</f>
        <v/>
      </c>
    </row>
    <row r="5265">
      <c r="A5265" s="16">
        <f>IF(Calc!$B5265,Calc!E5265,"")</f>
        <v/>
      </c>
      <c r="B5265">
        <f>IF(Calc!$B5265,INDEX(MineNames,Calc!C5265),"")</f>
        <v/>
      </c>
      <c r="C5265" s="17">
        <f>IF(Calc!$B5265,Calc!O5265,"")</f>
        <v/>
      </c>
    </row>
    <row r="5266">
      <c r="A5266" s="16">
        <f>IF(Calc!$B5266,Calc!E5266,"")</f>
        <v/>
      </c>
      <c r="B5266">
        <f>IF(Calc!$B5266,INDEX(MineNames,Calc!C5266),"")</f>
        <v/>
      </c>
      <c r="C5266" s="17">
        <f>IF(Calc!$B5266,Calc!O5266,"")</f>
        <v/>
      </c>
    </row>
    <row r="5267">
      <c r="A5267" s="16">
        <f>IF(Calc!$B5267,Calc!E5267,"")</f>
        <v/>
      </c>
      <c r="B5267">
        <f>IF(Calc!$B5267,INDEX(MineNames,Calc!C5267),"")</f>
        <v/>
      </c>
      <c r="C5267" s="17">
        <f>IF(Calc!$B5267,Calc!O5267,"")</f>
        <v/>
      </c>
    </row>
    <row r="5268">
      <c r="A5268" s="16">
        <f>IF(Calc!$B5268,Calc!E5268,"")</f>
        <v/>
      </c>
      <c r="B5268">
        <f>IF(Calc!$B5268,INDEX(MineNames,Calc!C5268),"")</f>
        <v/>
      </c>
      <c r="C5268" s="17">
        <f>IF(Calc!$B5268,Calc!O5268,"")</f>
        <v/>
      </c>
    </row>
    <row r="5269">
      <c r="A5269" s="16">
        <f>IF(Calc!$B5269,Calc!E5269,"")</f>
        <v/>
      </c>
      <c r="B5269">
        <f>IF(Calc!$B5269,INDEX(MineNames,Calc!C5269),"")</f>
        <v/>
      </c>
      <c r="C5269" s="17">
        <f>IF(Calc!$B5269,Calc!O5269,"")</f>
        <v/>
      </c>
    </row>
    <row r="5270">
      <c r="A5270" s="16">
        <f>IF(Calc!$B5270,Calc!E5270,"")</f>
        <v/>
      </c>
      <c r="B5270">
        <f>IF(Calc!$B5270,INDEX(MineNames,Calc!C5270),"")</f>
        <v/>
      </c>
      <c r="C5270" s="17">
        <f>IF(Calc!$B5270,Calc!O5270,"")</f>
        <v/>
      </c>
    </row>
    <row r="5271">
      <c r="A5271" s="16">
        <f>IF(Calc!$B5271,Calc!E5271,"")</f>
        <v/>
      </c>
      <c r="B5271">
        <f>IF(Calc!$B5271,INDEX(MineNames,Calc!C5271),"")</f>
        <v/>
      </c>
      <c r="C5271" s="17">
        <f>IF(Calc!$B5271,Calc!O5271,"")</f>
        <v/>
      </c>
    </row>
    <row r="5272">
      <c r="A5272" s="16">
        <f>IF(Calc!$B5272,Calc!E5272,"")</f>
        <v/>
      </c>
      <c r="B5272">
        <f>IF(Calc!$B5272,INDEX(MineNames,Calc!C5272),"")</f>
        <v/>
      </c>
      <c r="C5272" s="17">
        <f>IF(Calc!$B5272,Calc!O5272,"")</f>
        <v/>
      </c>
    </row>
    <row r="5273">
      <c r="A5273" s="16">
        <f>IF(Calc!$B5273,Calc!E5273,"")</f>
        <v/>
      </c>
      <c r="B5273">
        <f>IF(Calc!$B5273,INDEX(MineNames,Calc!C5273),"")</f>
        <v/>
      </c>
      <c r="C5273" s="17">
        <f>IF(Calc!$B5273,Calc!O5273,"")</f>
        <v/>
      </c>
    </row>
    <row r="5274">
      <c r="A5274" s="16">
        <f>IF(Calc!$B5274,Calc!E5274,"")</f>
        <v/>
      </c>
      <c r="B5274">
        <f>IF(Calc!$B5274,INDEX(MineNames,Calc!C5274),"")</f>
        <v/>
      </c>
      <c r="C5274" s="17">
        <f>IF(Calc!$B5274,Calc!O5274,"")</f>
        <v/>
      </c>
    </row>
    <row r="5275">
      <c r="A5275" s="16">
        <f>IF(Calc!$B5275,Calc!E5275,"")</f>
        <v/>
      </c>
      <c r="B5275">
        <f>IF(Calc!$B5275,INDEX(MineNames,Calc!C5275),"")</f>
        <v/>
      </c>
      <c r="C5275" s="17">
        <f>IF(Calc!$B5275,Calc!O5275,"")</f>
        <v/>
      </c>
    </row>
    <row r="5276">
      <c r="A5276" s="16">
        <f>IF(Calc!$B5276,Calc!E5276,"")</f>
        <v/>
      </c>
      <c r="B5276">
        <f>IF(Calc!$B5276,INDEX(MineNames,Calc!C5276),"")</f>
        <v/>
      </c>
      <c r="C5276" s="17">
        <f>IF(Calc!$B5276,Calc!O5276,"")</f>
        <v/>
      </c>
    </row>
    <row r="5277">
      <c r="A5277" s="16">
        <f>IF(Calc!$B5277,Calc!E5277,"")</f>
        <v/>
      </c>
      <c r="B5277">
        <f>IF(Calc!$B5277,INDEX(MineNames,Calc!C5277),"")</f>
        <v/>
      </c>
      <c r="C5277" s="17">
        <f>IF(Calc!$B5277,Calc!O5277,"")</f>
        <v/>
      </c>
    </row>
    <row r="5278">
      <c r="A5278" s="16">
        <f>IF(Calc!$B5278,Calc!E5278,"")</f>
        <v/>
      </c>
      <c r="B5278">
        <f>IF(Calc!$B5278,INDEX(MineNames,Calc!C5278),"")</f>
        <v/>
      </c>
      <c r="C5278" s="17">
        <f>IF(Calc!$B5278,Calc!O5278,"")</f>
        <v/>
      </c>
    </row>
    <row r="5279">
      <c r="A5279" s="16">
        <f>IF(Calc!$B5279,Calc!E5279,"")</f>
        <v/>
      </c>
      <c r="B5279">
        <f>IF(Calc!$B5279,INDEX(MineNames,Calc!C5279),"")</f>
        <v/>
      </c>
      <c r="C5279" s="17">
        <f>IF(Calc!$B5279,Calc!O5279,"")</f>
        <v/>
      </c>
    </row>
    <row r="5280">
      <c r="A5280" s="16">
        <f>IF(Calc!$B5280,Calc!E5280,"")</f>
        <v/>
      </c>
      <c r="B5280">
        <f>IF(Calc!$B5280,INDEX(MineNames,Calc!C5280),"")</f>
        <v/>
      </c>
      <c r="C5280" s="17">
        <f>IF(Calc!$B5280,Calc!O5280,"")</f>
        <v/>
      </c>
    </row>
    <row r="5281">
      <c r="A5281" s="16">
        <f>IF(Calc!$B5281,Calc!E5281,"")</f>
        <v/>
      </c>
      <c r="B5281">
        <f>IF(Calc!$B5281,INDEX(MineNames,Calc!C5281),"")</f>
        <v/>
      </c>
      <c r="C5281" s="17">
        <f>IF(Calc!$B5281,Calc!O5281,"")</f>
        <v/>
      </c>
    </row>
    <row r="5282">
      <c r="A5282" s="16">
        <f>IF(Calc!$B5282,Calc!E5282,"")</f>
        <v/>
      </c>
      <c r="B5282">
        <f>IF(Calc!$B5282,INDEX(MineNames,Calc!C5282),"")</f>
        <v/>
      </c>
      <c r="C5282" s="17">
        <f>IF(Calc!$B5282,Calc!O5282,"")</f>
        <v/>
      </c>
    </row>
    <row r="5283">
      <c r="A5283" s="16">
        <f>IF(Calc!$B5283,Calc!E5283,"")</f>
        <v/>
      </c>
      <c r="B5283">
        <f>IF(Calc!$B5283,INDEX(MineNames,Calc!C5283),"")</f>
        <v/>
      </c>
      <c r="C5283" s="17">
        <f>IF(Calc!$B5283,Calc!O5283,"")</f>
        <v/>
      </c>
    </row>
    <row r="5284">
      <c r="A5284" s="16">
        <f>IF(Calc!$B5284,Calc!E5284,"")</f>
        <v/>
      </c>
      <c r="B5284">
        <f>IF(Calc!$B5284,INDEX(MineNames,Calc!C5284),"")</f>
        <v/>
      </c>
      <c r="C5284" s="17">
        <f>IF(Calc!$B5284,Calc!O5284,"")</f>
        <v/>
      </c>
    </row>
    <row r="5285">
      <c r="A5285" s="16">
        <f>IF(Calc!$B5285,Calc!E5285,"")</f>
        <v/>
      </c>
      <c r="B5285">
        <f>IF(Calc!$B5285,INDEX(MineNames,Calc!C5285),"")</f>
        <v/>
      </c>
      <c r="C5285" s="17">
        <f>IF(Calc!$B5285,Calc!O5285,"")</f>
        <v/>
      </c>
    </row>
    <row r="5286">
      <c r="A5286" s="16">
        <f>IF(Calc!$B5286,Calc!E5286,"")</f>
        <v/>
      </c>
      <c r="B5286">
        <f>IF(Calc!$B5286,INDEX(MineNames,Calc!C5286),"")</f>
        <v/>
      </c>
      <c r="C5286" s="17">
        <f>IF(Calc!$B5286,Calc!O5286,"")</f>
        <v/>
      </c>
    </row>
    <row r="5287">
      <c r="A5287" s="16">
        <f>IF(Calc!$B5287,Calc!E5287,"")</f>
        <v/>
      </c>
      <c r="B5287">
        <f>IF(Calc!$B5287,INDEX(MineNames,Calc!C5287),"")</f>
        <v/>
      </c>
      <c r="C5287" s="17">
        <f>IF(Calc!$B5287,Calc!O5287,"")</f>
        <v/>
      </c>
    </row>
    <row r="5288">
      <c r="A5288" s="16">
        <f>IF(Calc!$B5288,Calc!E5288,"")</f>
        <v/>
      </c>
      <c r="B5288">
        <f>IF(Calc!$B5288,INDEX(MineNames,Calc!C5288),"")</f>
        <v/>
      </c>
      <c r="C5288" s="17">
        <f>IF(Calc!$B5288,Calc!O5288,"")</f>
        <v/>
      </c>
    </row>
    <row r="5289">
      <c r="A5289" s="16">
        <f>IF(Calc!$B5289,Calc!E5289,"")</f>
        <v/>
      </c>
      <c r="B5289">
        <f>IF(Calc!$B5289,INDEX(MineNames,Calc!C5289),"")</f>
        <v/>
      </c>
      <c r="C5289" s="17">
        <f>IF(Calc!$B5289,Calc!O5289,"")</f>
        <v/>
      </c>
    </row>
    <row r="5290">
      <c r="A5290" s="16">
        <f>IF(Calc!$B5290,Calc!E5290,"")</f>
        <v/>
      </c>
      <c r="B5290">
        <f>IF(Calc!$B5290,INDEX(MineNames,Calc!C5290),"")</f>
        <v/>
      </c>
      <c r="C5290" s="17">
        <f>IF(Calc!$B5290,Calc!O5290,"")</f>
        <v/>
      </c>
    </row>
    <row r="5291">
      <c r="A5291" s="16">
        <f>IF(Calc!$B5291,Calc!E5291,"")</f>
        <v/>
      </c>
      <c r="B5291">
        <f>IF(Calc!$B5291,INDEX(MineNames,Calc!C5291),"")</f>
        <v/>
      </c>
      <c r="C5291" s="17">
        <f>IF(Calc!$B5291,Calc!O5291,"")</f>
        <v/>
      </c>
    </row>
    <row r="5292">
      <c r="A5292" s="16">
        <f>IF(Calc!$B5292,Calc!E5292,"")</f>
        <v/>
      </c>
      <c r="B5292">
        <f>IF(Calc!$B5292,INDEX(MineNames,Calc!C5292),"")</f>
        <v/>
      </c>
      <c r="C5292" s="17">
        <f>IF(Calc!$B5292,Calc!O5292,"")</f>
        <v/>
      </c>
    </row>
    <row r="5293">
      <c r="A5293" s="16">
        <f>IF(Calc!$B5293,Calc!E5293,"")</f>
        <v/>
      </c>
      <c r="B5293">
        <f>IF(Calc!$B5293,INDEX(MineNames,Calc!C5293),"")</f>
        <v/>
      </c>
      <c r="C5293" s="17">
        <f>IF(Calc!$B5293,Calc!O5293,"")</f>
        <v/>
      </c>
    </row>
    <row r="5294">
      <c r="A5294" s="16">
        <f>IF(Calc!$B5294,Calc!E5294,"")</f>
        <v/>
      </c>
      <c r="B5294">
        <f>IF(Calc!$B5294,INDEX(MineNames,Calc!C5294),"")</f>
        <v/>
      </c>
      <c r="C5294" s="17">
        <f>IF(Calc!$B5294,Calc!O5294,"")</f>
        <v/>
      </c>
    </row>
    <row r="5295">
      <c r="A5295" s="16">
        <f>IF(Calc!$B5295,Calc!E5295,"")</f>
        <v/>
      </c>
      <c r="B5295">
        <f>IF(Calc!$B5295,INDEX(MineNames,Calc!C5295),"")</f>
        <v/>
      </c>
      <c r="C5295" s="17">
        <f>IF(Calc!$B5295,Calc!O5295,"")</f>
        <v/>
      </c>
    </row>
    <row r="5296">
      <c r="A5296" s="16">
        <f>IF(Calc!$B5296,Calc!E5296,"")</f>
        <v/>
      </c>
      <c r="B5296">
        <f>IF(Calc!$B5296,INDEX(MineNames,Calc!C5296),"")</f>
        <v/>
      </c>
      <c r="C5296" s="17">
        <f>IF(Calc!$B5296,Calc!O5296,"")</f>
        <v/>
      </c>
    </row>
    <row r="5297">
      <c r="A5297" s="16">
        <f>IF(Calc!$B5297,Calc!E5297,"")</f>
        <v/>
      </c>
      <c r="B5297">
        <f>IF(Calc!$B5297,INDEX(MineNames,Calc!C5297),"")</f>
        <v/>
      </c>
      <c r="C5297" s="17">
        <f>IF(Calc!$B5297,Calc!O5297,"")</f>
        <v/>
      </c>
    </row>
    <row r="5298">
      <c r="A5298" s="16">
        <f>IF(Calc!$B5298,Calc!E5298,"")</f>
        <v/>
      </c>
      <c r="B5298">
        <f>IF(Calc!$B5298,INDEX(MineNames,Calc!C5298),"")</f>
        <v/>
      </c>
      <c r="C5298" s="17">
        <f>IF(Calc!$B5298,Calc!O5298,"")</f>
        <v/>
      </c>
    </row>
    <row r="5299">
      <c r="A5299" s="16">
        <f>IF(Calc!$B5299,Calc!E5299,"")</f>
        <v/>
      </c>
      <c r="B5299">
        <f>IF(Calc!$B5299,INDEX(MineNames,Calc!C5299),"")</f>
        <v/>
      </c>
      <c r="C5299" s="17">
        <f>IF(Calc!$B5299,Calc!O5299,"")</f>
        <v/>
      </c>
    </row>
    <row r="5300">
      <c r="A5300" s="16">
        <f>IF(Calc!$B5300,Calc!E5300,"")</f>
        <v/>
      </c>
      <c r="B5300">
        <f>IF(Calc!$B5300,INDEX(MineNames,Calc!C5300),"")</f>
        <v/>
      </c>
      <c r="C5300" s="17">
        <f>IF(Calc!$B5300,Calc!O5300,"")</f>
        <v/>
      </c>
    </row>
    <row r="5301">
      <c r="A5301" s="16">
        <f>IF(Calc!$B5301,Calc!E5301,"")</f>
        <v/>
      </c>
      <c r="B5301">
        <f>IF(Calc!$B5301,INDEX(MineNames,Calc!C5301),"")</f>
        <v/>
      </c>
      <c r="C5301" s="17">
        <f>IF(Calc!$B5301,Calc!O5301,"")</f>
        <v/>
      </c>
    </row>
    <row r="5302">
      <c r="A5302" s="16">
        <f>IF(Calc!$B5302,Calc!E5302,"")</f>
        <v/>
      </c>
      <c r="B5302">
        <f>IF(Calc!$B5302,INDEX(MineNames,Calc!C5302),"")</f>
        <v/>
      </c>
      <c r="C5302" s="17">
        <f>IF(Calc!$B5302,Calc!O5302,"")</f>
        <v/>
      </c>
    </row>
    <row r="5303">
      <c r="A5303" s="16">
        <f>IF(Calc!$B5303,Calc!E5303,"")</f>
        <v/>
      </c>
      <c r="B5303">
        <f>IF(Calc!$B5303,INDEX(MineNames,Calc!C5303),"")</f>
        <v/>
      </c>
      <c r="C5303" s="17">
        <f>IF(Calc!$B5303,Calc!O5303,"")</f>
        <v/>
      </c>
    </row>
    <row r="5304">
      <c r="A5304" s="16">
        <f>IF(Calc!$B5304,Calc!E5304,"")</f>
        <v/>
      </c>
      <c r="B5304">
        <f>IF(Calc!$B5304,INDEX(MineNames,Calc!C5304),"")</f>
        <v/>
      </c>
      <c r="C5304" s="17">
        <f>IF(Calc!$B5304,Calc!O5304,"")</f>
        <v/>
      </c>
    </row>
    <row r="5305">
      <c r="A5305" s="16">
        <f>IF(Calc!$B5305,Calc!E5305,"")</f>
        <v/>
      </c>
      <c r="B5305">
        <f>IF(Calc!$B5305,INDEX(MineNames,Calc!C5305),"")</f>
        <v/>
      </c>
      <c r="C5305" s="17">
        <f>IF(Calc!$B5305,Calc!O5305,"")</f>
        <v/>
      </c>
    </row>
    <row r="5306">
      <c r="A5306" s="16">
        <f>IF(Calc!$B5306,Calc!E5306,"")</f>
        <v/>
      </c>
      <c r="B5306">
        <f>IF(Calc!$B5306,INDEX(MineNames,Calc!C5306),"")</f>
        <v/>
      </c>
      <c r="C5306" s="17">
        <f>IF(Calc!$B5306,Calc!O5306,"")</f>
        <v/>
      </c>
    </row>
    <row r="5307">
      <c r="A5307" s="16">
        <f>IF(Calc!$B5307,Calc!E5307,"")</f>
        <v/>
      </c>
      <c r="B5307">
        <f>IF(Calc!$B5307,INDEX(MineNames,Calc!C5307),"")</f>
        <v/>
      </c>
      <c r="C5307" s="17">
        <f>IF(Calc!$B5307,Calc!O5307,"")</f>
        <v/>
      </c>
    </row>
    <row r="5308">
      <c r="A5308" s="16">
        <f>IF(Calc!$B5308,Calc!E5308,"")</f>
        <v/>
      </c>
      <c r="B5308">
        <f>IF(Calc!$B5308,INDEX(MineNames,Calc!C5308),"")</f>
        <v/>
      </c>
      <c r="C5308" s="17">
        <f>IF(Calc!$B5308,Calc!O5308,"")</f>
        <v/>
      </c>
    </row>
    <row r="5309">
      <c r="A5309" s="16">
        <f>IF(Calc!$B5309,Calc!E5309,"")</f>
        <v/>
      </c>
      <c r="B5309">
        <f>IF(Calc!$B5309,INDEX(MineNames,Calc!C5309),"")</f>
        <v/>
      </c>
      <c r="C5309" s="17">
        <f>IF(Calc!$B5309,Calc!O5309,"")</f>
        <v/>
      </c>
    </row>
    <row r="5310">
      <c r="A5310" s="16">
        <f>IF(Calc!$B5310,Calc!E5310,"")</f>
        <v/>
      </c>
      <c r="B5310">
        <f>IF(Calc!$B5310,INDEX(MineNames,Calc!C5310),"")</f>
        <v/>
      </c>
      <c r="C5310" s="17">
        <f>IF(Calc!$B5310,Calc!O5310,"")</f>
        <v/>
      </c>
    </row>
    <row r="5311">
      <c r="A5311" s="16">
        <f>IF(Calc!$B5311,Calc!E5311,"")</f>
        <v/>
      </c>
      <c r="B5311">
        <f>IF(Calc!$B5311,INDEX(MineNames,Calc!C5311),"")</f>
        <v/>
      </c>
      <c r="C5311" s="17">
        <f>IF(Calc!$B5311,Calc!O5311,"")</f>
        <v/>
      </c>
    </row>
    <row r="5312">
      <c r="A5312" s="16">
        <f>IF(Calc!$B5312,Calc!E5312,"")</f>
        <v/>
      </c>
      <c r="B5312">
        <f>IF(Calc!$B5312,INDEX(MineNames,Calc!C5312),"")</f>
        <v/>
      </c>
      <c r="C5312" s="17">
        <f>IF(Calc!$B5312,Calc!O5312,"")</f>
        <v/>
      </c>
    </row>
    <row r="5313">
      <c r="A5313" s="16">
        <f>IF(Calc!$B5313,Calc!E5313,"")</f>
        <v/>
      </c>
      <c r="B5313">
        <f>IF(Calc!$B5313,INDEX(MineNames,Calc!C5313),"")</f>
        <v/>
      </c>
      <c r="C5313" s="17">
        <f>IF(Calc!$B5313,Calc!O5313,"")</f>
        <v/>
      </c>
    </row>
    <row r="5314">
      <c r="A5314" s="16">
        <f>IF(Calc!$B5314,Calc!E5314,"")</f>
        <v/>
      </c>
      <c r="B5314">
        <f>IF(Calc!$B5314,INDEX(MineNames,Calc!C5314),"")</f>
        <v/>
      </c>
      <c r="C5314" s="17">
        <f>IF(Calc!$B5314,Calc!O5314,"")</f>
        <v/>
      </c>
    </row>
    <row r="5315">
      <c r="A5315" s="16">
        <f>IF(Calc!$B5315,Calc!E5315,"")</f>
        <v/>
      </c>
      <c r="B5315">
        <f>IF(Calc!$B5315,INDEX(MineNames,Calc!C5315),"")</f>
        <v/>
      </c>
      <c r="C5315" s="17">
        <f>IF(Calc!$B5315,Calc!O5315,"")</f>
        <v/>
      </c>
    </row>
    <row r="5316">
      <c r="A5316" s="16">
        <f>IF(Calc!$B5316,Calc!E5316,"")</f>
        <v/>
      </c>
      <c r="B5316">
        <f>IF(Calc!$B5316,INDEX(MineNames,Calc!C5316),"")</f>
        <v/>
      </c>
      <c r="C5316" s="17">
        <f>IF(Calc!$B5316,Calc!O5316,"")</f>
        <v/>
      </c>
    </row>
    <row r="5317">
      <c r="A5317" s="16">
        <f>IF(Calc!$B5317,Calc!E5317,"")</f>
        <v/>
      </c>
      <c r="B5317">
        <f>IF(Calc!$B5317,INDEX(MineNames,Calc!C5317),"")</f>
        <v/>
      </c>
      <c r="C5317" s="17">
        <f>IF(Calc!$B5317,Calc!O5317,"")</f>
        <v/>
      </c>
    </row>
    <row r="5318">
      <c r="A5318" s="16">
        <f>IF(Calc!$B5318,Calc!E5318,"")</f>
        <v/>
      </c>
      <c r="B5318">
        <f>IF(Calc!$B5318,INDEX(MineNames,Calc!C5318),"")</f>
        <v/>
      </c>
      <c r="C5318" s="17">
        <f>IF(Calc!$B5318,Calc!O5318,"")</f>
        <v/>
      </c>
    </row>
    <row r="5319">
      <c r="A5319" s="16">
        <f>IF(Calc!$B5319,Calc!E5319,"")</f>
        <v/>
      </c>
      <c r="B5319">
        <f>IF(Calc!$B5319,INDEX(MineNames,Calc!C5319),"")</f>
        <v/>
      </c>
      <c r="C5319" s="17">
        <f>IF(Calc!$B5319,Calc!O5319,"")</f>
        <v/>
      </c>
    </row>
    <row r="5320">
      <c r="A5320" s="16">
        <f>IF(Calc!$B5320,Calc!E5320,"")</f>
        <v/>
      </c>
      <c r="B5320">
        <f>IF(Calc!$B5320,INDEX(MineNames,Calc!C5320),"")</f>
        <v/>
      </c>
      <c r="C5320" s="17">
        <f>IF(Calc!$B5320,Calc!O5320,"")</f>
        <v/>
      </c>
    </row>
    <row r="5321">
      <c r="A5321" s="16">
        <f>IF(Calc!$B5321,Calc!E5321,"")</f>
        <v/>
      </c>
      <c r="B5321">
        <f>IF(Calc!$B5321,INDEX(MineNames,Calc!C5321),"")</f>
        <v/>
      </c>
      <c r="C5321" s="17">
        <f>IF(Calc!$B5321,Calc!O5321,"")</f>
        <v/>
      </c>
    </row>
    <row r="5322">
      <c r="A5322" s="16">
        <f>IF(Calc!$B5322,Calc!E5322,"")</f>
        <v/>
      </c>
      <c r="B5322">
        <f>IF(Calc!$B5322,INDEX(MineNames,Calc!C5322),"")</f>
        <v/>
      </c>
      <c r="C5322" s="17">
        <f>IF(Calc!$B5322,Calc!O5322,"")</f>
        <v/>
      </c>
    </row>
    <row r="5323">
      <c r="A5323" s="16">
        <f>IF(Calc!$B5323,Calc!E5323,"")</f>
        <v/>
      </c>
      <c r="B5323">
        <f>IF(Calc!$B5323,INDEX(MineNames,Calc!C5323),"")</f>
        <v/>
      </c>
      <c r="C5323" s="17">
        <f>IF(Calc!$B5323,Calc!O5323,"")</f>
        <v/>
      </c>
    </row>
    <row r="5324">
      <c r="A5324" s="16">
        <f>IF(Calc!$B5324,Calc!E5324,"")</f>
        <v/>
      </c>
      <c r="B5324">
        <f>IF(Calc!$B5324,INDEX(MineNames,Calc!C5324),"")</f>
        <v/>
      </c>
      <c r="C5324" s="17">
        <f>IF(Calc!$B5324,Calc!O5324,"")</f>
        <v/>
      </c>
    </row>
    <row r="5325">
      <c r="A5325" s="16">
        <f>IF(Calc!$B5325,Calc!E5325,"")</f>
        <v/>
      </c>
      <c r="B5325">
        <f>IF(Calc!$B5325,INDEX(MineNames,Calc!C5325),"")</f>
        <v/>
      </c>
      <c r="C5325" s="17">
        <f>IF(Calc!$B5325,Calc!O5325,"")</f>
        <v/>
      </c>
    </row>
    <row r="5326">
      <c r="A5326" s="16">
        <f>IF(Calc!$B5326,Calc!E5326,"")</f>
        <v/>
      </c>
      <c r="B5326">
        <f>IF(Calc!$B5326,INDEX(MineNames,Calc!C5326),"")</f>
        <v/>
      </c>
      <c r="C5326" s="17">
        <f>IF(Calc!$B5326,Calc!O5326,"")</f>
        <v/>
      </c>
    </row>
    <row r="5327">
      <c r="A5327" s="16">
        <f>IF(Calc!$B5327,Calc!E5327,"")</f>
        <v/>
      </c>
      <c r="B5327">
        <f>IF(Calc!$B5327,INDEX(MineNames,Calc!C5327),"")</f>
        <v/>
      </c>
      <c r="C5327" s="17">
        <f>IF(Calc!$B5327,Calc!O5327,"")</f>
        <v/>
      </c>
    </row>
    <row r="5328">
      <c r="A5328" s="16">
        <f>IF(Calc!$B5328,Calc!E5328,"")</f>
        <v/>
      </c>
      <c r="B5328">
        <f>IF(Calc!$B5328,INDEX(MineNames,Calc!C5328),"")</f>
        <v/>
      </c>
      <c r="C5328" s="17">
        <f>IF(Calc!$B5328,Calc!O5328,"")</f>
        <v/>
      </c>
    </row>
    <row r="5329">
      <c r="A5329" s="16">
        <f>IF(Calc!$B5329,Calc!E5329,"")</f>
        <v/>
      </c>
      <c r="B5329">
        <f>IF(Calc!$B5329,INDEX(MineNames,Calc!C5329),"")</f>
        <v/>
      </c>
      <c r="C5329" s="17">
        <f>IF(Calc!$B5329,Calc!O5329,"")</f>
        <v/>
      </c>
    </row>
    <row r="5330">
      <c r="A5330" s="16">
        <f>IF(Calc!$B5330,Calc!E5330,"")</f>
        <v/>
      </c>
      <c r="B5330">
        <f>IF(Calc!$B5330,INDEX(MineNames,Calc!C5330),"")</f>
        <v/>
      </c>
      <c r="C5330" s="17">
        <f>IF(Calc!$B5330,Calc!O5330,"")</f>
        <v/>
      </c>
    </row>
    <row r="5331">
      <c r="A5331" s="16">
        <f>IF(Calc!$B5331,Calc!E5331,"")</f>
        <v/>
      </c>
      <c r="B5331">
        <f>IF(Calc!$B5331,INDEX(MineNames,Calc!C5331),"")</f>
        <v/>
      </c>
      <c r="C5331" s="17">
        <f>IF(Calc!$B5331,Calc!O5331,"")</f>
        <v/>
      </c>
    </row>
    <row r="5332">
      <c r="A5332" s="16">
        <f>IF(Calc!$B5332,Calc!E5332,"")</f>
        <v/>
      </c>
      <c r="B5332">
        <f>IF(Calc!$B5332,INDEX(MineNames,Calc!C5332),"")</f>
        <v/>
      </c>
      <c r="C5332" s="17">
        <f>IF(Calc!$B5332,Calc!O5332,"")</f>
        <v/>
      </c>
    </row>
    <row r="5333">
      <c r="A5333" s="16">
        <f>IF(Calc!$B5333,Calc!E5333,"")</f>
        <v/>
      </c>
      <c r="B5333">
        <f>IF(Calc!$B5333,INDEX(MineNames,Calc!C5333),"")</f>
        <v/>
      </c>
      <c r="C5333" s="17">
        <f>IF(Calc!$B5333,Calc!O5333,"")</f>
        <v/>
      </c>
    </row>
    <row r="5334">
      <c r="A5334" s="16">
        <f>IF(Calc!$B5334,Calc!E5334,"")</f>
        <v/>
      </c>
      <c r="B5334">
        <f>IF(Calc!$B5334,INDEX(MineNames,Calc!C5334),"")</f>
        <v/>
      </c>
      <c r="C5334" s="17">
        <f>IF(Calc!$B5334,Calc!O5334,"")</f>
        <v/>
      </c>
    </row>
    <row r="5335">
      <c r="A5335" s="16">
        <f>IF(Calc!$B5335,Calc!E5335,"")</f>
        <v/>
      </c>
      <c r="B5335">
        <f>IF(Calc!$B5335,INDEX(MineNames,Calc!C5335),"")</f>
        <v/>
      </c>
      <c r="C5335" s="17">
        <f>IF(Calc!$B5335,Calc!O5335,"")</f>
        <v/>
      </c>
    </row>
    <row r="5336">
      <c r="A5336" s="16">
        <f>IF(Calc!$B5336,Calc!E5336,"")</f>
        <v/>
      </c>
      <c r="B5336">
        <f>IF(Calc!$B5336,INDEX(MineNames,Calc!C5336),"")</f>
        <v/>
      </c>
      <c r="C5336" s="17">
        <f>IF(Calc!$B5336,Calc!O5336,"")</f>
        <v/>
      </c>
    </row>
    <row r="5337">
      <c r="A5337" s="16">
        <f>IF(Calc!$B5337,Calc!E5337,"")</f>
        <v/>
      </c>
      <c r="B5337">
        <f>IF(Calc!$B5337,INDEX(MineNames,Calc!C5337),"")</f>
        <v/>
      </c>
      <c r="C5337" s="17">
        <f>IF(Calc!$B5337,Calc!O5337,"")</f>
        <v/>
      </c>
    </row>
    <row r="5338">
      <c r="A5338" s="16">
        <f>IF(Calc!$B5338,Calc!E5338,"")</f>
        <v/>
      </c>
      <c r="B5338">
        <f>IF(Calc!$B5338,INDEX(MineNames,Calc!C5338),"")</f>
        <v/>
      </c>
      <c r="C5338" s="17">
        <f>IF(Calc!$B5338,Calc!O5338,"")</f>
        <v/>
      </c>
    </row>
    <row r="5339">
      <c r="A5339" s="16">
        <f>IF(Calc!$B5339,Calc!E5339,"")</f>
        <v/>
      </c>
      <c r="B5339">
        <f>IF(Calc!$B5339,INDEX(MineNames,Calc!C5339),"")</f>
        <v/>
      </c>
      <c r="C5339" s="17">
        <f>IF(Calc!$B5339,Calc!O5339,"")</f>
        <v/>
      </c>
    </row>
    <row r="5340">
      <c r="A5340" s="16">
        <f>IF(Calc!$B5340,Calc!E5340,"")</f>
        <v/>
      </c>
      <c r="B5340">
        <f>IF(Calc!$B5340,INDEX(MineNames,Calc!C5340),"")</f>
        <v/>
      </c>
      <c r="C5340" s="17">
        <f>IF(Calc!$B5340,Calc!O5340,"")</f>
        <v/>
      </c>
    </row>
    <row r="5341">
      <c r="A5341" s="16">
        <f>IF(Calc!$B5341,Calc!E5341,"")</f>
        <v/>
      </c>
      <c r="B5341">
        <f>IF(Calc!$B5341,INDEX(MineNames,Calc!C5341),"")</f>
        <v/>
      </c>
      <c r="C5341" s="17">
        <f>IF(Calc!$B5341,Calc!O5341,"")</f>
        <v/>
      </c>
    </row>
    <row r="5342">
      <c r="A5342" s="16">
        <f>IF(Calc!$B5342,Calc!E5342,"")</f>
        <v/>
      </c>
      <c r="B5342">
        <f>IF(Calc!$B5342,INDEX(MineNames,Calc!C5342),"")</f>
        <v/>
      </c>
      <c r="C5342" s="17">
        <f>IF(Calc!$B5342,Calc!O5342,"")</f>
        <v/>
      </c>
    </row>
    <row r="5343">
      <c r="A5343" s="16">
        <f>IF(Calc!$B5343,Calc!E5343,"")</f>
        <v/>
      </c>
      <c r="B5343">
        <f>IF(Calc!$B5343,INDEX(MineNames,Calc!C5343),"")</f>
        <v/>
      </c>
      <c r="C5343" s="17">
        <f>IF(Calc!$B5343,Calc!O5343,"")</f>
        <v/>
      </c>
    </row>
    <row r="5344">
      <c r="A5344" s="16">
        <f>IF(Calc!$B5344,Calc!E5344,"")</f>
        <v/>
      </c>
      <c r="B5344">
        <f>IF(Calc!$B5344,INDEX(MineNames,Calc!C5344),"")</f>
        <v/>
      </c>
      <c r="C5344" s="17">
        <f>IF(Calc!$B5344,Calc!O5344,"")</f>
        <v/>
      </c>
    </row>
    <row r="5345">
      <c r="A5345" s="16">
        <f>IF(Calc!$B5345,Calc!E5345,"")</f>
        <v/>
      </c>
      <c r="B5345">
        <f>IF(Calc!$B5345,INDEX(MineNames,Calc!C5345),"")</f>
        <v/>
      </c>
      <c r="C5345" s="17">
        <f>IF(Calc!$B5345,Calc!O5345,"")</f>
        <v/>
      </c>
    </row>
    <row r="5346">
      <c r="A5346" s="16">
        <f>IF(Calc!$B5346,Calc!E5346,"")</f>
        <v/>
      </c>
      <c r="B5346">
        <f>IF(Calc!$B5346,INDEX(MineNames,Calc!C5346),"")</f>
        <v/>
      </c>
      <c r="C5346" s="17">
        <f>IF(Calc!$B5346,Calc!O5346,"")</f>
        <v/>
      </c>
    </row>
    <row r="5347">
      <c r="A5347" s="16">
        <f>IF(Calc!$B5347,Calc!E5347,"")</f>
        <v/>
      </c>
      <c r="B5347">
        <f>IF(Calc!$B5347,INDEX(MineNames,Calc!C5347),"")</f>
        <v/>
      </c>
      <c r="C5347" s="17">
        <f>IF(Calc!$B5347,Calc!O5347,"")</f>
        <v/>
      </c>
    </row>
    <row r="5348">
      <c r="A5348" s="16">
        <f>IF(Calc!$B5348,Calc!E5348,"")</f>
        <v/>
      </c>
      <c r="B5348">
        <f>IF(Calc!$B5348,INDEX(MineNames,Calc!C5348),"")</f>
        <v/>
      </c>
      <c r="C5348" s="17">
        <f>IF(Calc!$B5348,Calc!O5348,"")</f>
        <v/>
      </c>
    </row>
    <row r="5349">
      <c r="A5349" s="16">
        <f>IF(Calc!$B5349,Calc!E5349,"")</f>
        <v/>
      </c>
      <c r="B5349">
        <f>IF(Calc!$B5349,INDEX(MineNames,Calc!C5349),"")</f>
        <v/>
      </c>
      <c r="C5349" s="17">
        <f>IF(Calc!$B5349,Calc!O5349,"")</f>
        <v/>
      </c>
    </row>
    <row r="5350">
      <c r="A5350" s="16">
        <f>IF(Calc!$B5350,Calc!E5350,"")</f>
        <v/>
      </c>
      <c r="B5350">
        <f>IF(Calc!$B5350,INDEX(MineNames,Calc!C5350),"")</f>
        <v/>
      </c>
      <c r="C5350" s="17">
        <f>IF(Calc!$B5350,Calc!O5350,"")</f>
        <v/>
      </c>
    </row>
    <row r="5351">
      <c r="A5351" s="16">
        <f>IF(Calc!$B5351,Calc!E5351,"")</f>
        <v/>
      </c>
      <c r="B5351">
        <f>IF(Calc!$B5351,INDEX(MineNames,Calc!C5351),"")</f>
        <v/>
      </c>
      <c r="C5351" s="17">
        <f>IF(Calc!$B5351,Calc!O5351,"")</f>
        <v/>
      </c>
    </row>
    <row r="5352">
      <c r="A5352" s="16">
        <f>IF(Calc!$B5352,Calc!E5352,"")</f>
        <v/>
      </c>
      <c r="B5352">
        <f>IF(Calc!$B5352,INDEX(MineNames,Calc!C5352),"")</f>
        <v/>
      </c>
      <c r="C5352" s="17">
        <f>IF(Calc!$B5352,Calc!O5352,"")</f>
        <v/>
      </c>
    </row>
    <row r="5353">
      <c r="A5353" s="16">
        <f>IF(Calc!$B5353,Calc!E5353,"")</f>
        <v/>
      </c>
      <c r="B5353">
        <f>IF(Calc!$B5353,INDEX(MineNames,Calc!C5353),"")</f>
        <v/>
      </c>
      <c r="C5353" s="17">
        <f>IF(Calc!$B5353,Calc!O5353,"")</f>
        <v/>
      </c>
    </row>
    <row r="5354">
      <c r="A5354" s="16">
        <f>IF(Calc!$B5354,Calc!E5354,"")</f>
        <v/>
      </c>
      <c r="B5354">
        <f>IF(Calc!$B5354,INDEX(MineNames,Calc!C5354),"")</f>
        <v/>
      </c>
      <c r="C5354" s="17">
        <f>IF(Calc!$B5354,Calc!O5354,"")</f>
        <v/>
      </c>
    </row>
    <row r="5355">
      <c r="A5355" s="16">
        <f>IF(Calc!$B5355,Calc!E5355,"")</f>
        <v/>
      </c>
      <c r="B5355">
        <f>IF(Calc!$B5355,INDEX(MineNames,Calc!C5355),"")</f>
        <v/>
      </c>
      <c r="C5355" s="17">
        <f>IF(Calc!$B5355,Calc!O5355,"")</f>
        <v/>
      </c>
    </row>
    <row r="5356">
      <c r="A5356" s="16">
        <f>IF(Calc!$B5356,Calc!E5356,"")</f>
        <v/>
      </c>
      <c r="B5356">
        <f>IF(Calc!$B5356,INDEX(MineNames,Calc!C5356),"")</f>
        <v/>
      </c>
      <c r="C5356" s="17">
        <f>IF(Calc!$B5356,Calc!O5356,"")</f>
        <v/>
      </c>
    </row>
    <row r="5357">
      <c r="A5357" s="16">
        <f>IF(Calc!$B5357,Calc!E5357,"")</f>
        <v/>
      </c>
      <c r="B5357">
        <f>IF(Calc!$B5357,INDEX(MineNames,Calc!C5357),"")</f>
        <v/>
      </c>
      <c r="C5357" s="17">
        <f>IF(Calc!$B5357,Calc!O5357,"")</f>
        <v/>
      </c>
    </row>
    <row r="5358">
      <c r="A5358" s="16">
        <f>IF(Calc!$B5358,Calc!E5358,"")</f>
        <v/>
      </c>
      <c r="B5358">
        <f>IF(Calc!$B5358,INDEX(MineNames,Calc!C5358),"")</f>
        <v/>
      </c>
      <c r="C5358" s="17">
        <f>IF(Calc!$B5358,Calc!O5358,"")</f>
        <v/>
      </c>
    </row>
    <row r="5359">
      <c r="A5359" s="16">
        <f>IF(Calc!$B5359,Calc!E5359,"")</f>
        <v/>
      </c>
      <c r="B5359">
        <f>IF(Calc!$B5359,INDEX(MineNames,Calc!C5359),"")</f>
        <v/>
      </c>
      <c r="C5359" s="17">
        <f>IF(Calc!$B5359,Calc!O5359,"")</f>
        <v/>
      </c>
    </row>
    <row r="5360">
      <c r="A5360" s="16">
        <f>IF(Calc!$B5360,Calc!E5360,"")</f>
        <v/>
      </c>
      <c r="B5360">
        <f>IF(Calc!$B5360,INDEX(MineNames,Calc!C5360),"")</f>
        <v/>
      </c>
      <c r="C5360" s="17">
        <f>IF(Calc!$B5360,Calc!O5360,"")</f>
        <v/>
      </c>
    </row>
    <row r="5361">
      <c r="A5361" s="16">
        <f>IF(Calc!$B5361,Calc!E5361,"")</f>
        <v/>
      </c>
      <c r="B5361">
        <f>IF(Calc!$B5361,INDEX(MineNames,Calc!C5361),"")</f>
        <v/>
      </c>
      <c r="C5361" s="17">
        <f>IF(Calc!$B5361,Calc!O5361,"")</f>
        <v/>
      </c>
    </row>
    <row r="5362">
      <c r="A5362" s="16">
        <f>IF(Calc!$B5362,Calc!E5362,"")</f>
        <v/>
      </c>
      <c r="B5362">
        <f>IF(Calc!$B5362,INDEX(MineNames,Calc!C5362),"")</f>
        <v/>
      </c>
      <c r="C5362" s="17">
        <f>IF(Calc!$B5362,Calc!O5362,"")</f>
        <v/>
      </c>
    </row>
    <row r="5363">
      <c r="A5363" s="16">
        <f>IF(Calc!$B5363,Calc!E5363,"")</f>
        <v/>
      </c>
      <c r="B5363">
        <f>IF(Calc!$B5363,INDEX(MineNames,Calc!C5363),"")</f>
        <v/>
      </c>
      <c r="C5363" s="17">
        <f>IF(Calc!$B5363,Calc!O5363,"")</f>
        <v/>
      </c>
    </row>
    <row r="5364">
      <c r="A5364" s="16">
        <f>IF(Calc!$B5364,Calc!E5364,"")</f>
        <v/>
      </c>
      <c r="B5364">
        <f>IF(Calc!$B5364,INDEX(MineNames,Calc!C5364),"")</f>
        <v/>
      </c>
      <c r="C5364" s="17">
        <f>IF(Calc!$B5364,Calc!O5364,"")</f>
        <v/>
      </c>
    </row>
    <row r="5365">
      <c r="A5365" s="16">
        <f>IF(Calc!$B5365,Calc!E5365,"")</f>
        <v/>
      </c>
      <c r="B5365">
        <f>IF(Calc!$B5365,INDEX(MineNames,Calc!C5365),"")</f>
        <v/>
      </c>
      <c r="C5365" s="17">
        <f>IF(Calc!$B5365,Calc!O5365,"")</f>
        <v/>
      </c>
    </row>
    <row r="5366">
      <c r="A5366" s="16">
        <f>IF(Calc!$B5366,Calc!E5366,"")</f>
        <v/>
      </c>
      <c r="B5366">
        <f>IF(Calc!$B5366,INDEX(MineNames,Calc!C5366),"")</f>
        <v/>
      </c>
      <c r="C5366" s="17">
        <f>IF(Calc!$B5366,Calc!O5366,"")</f>
        <v/>
      </c>
    </row>
    <row r="5367">
      <c r="A5367" s="16">
        <f>IF(Calc!$B5367,Calc!E5367,"")</f>
        <v/>
      </c>
      <c r="B5367">
        <f>IF(Calc!$B5367,INDEX(MineNames,Calc!C5367),"")</f>
        <v/>
      </c>
      <c r="C5367" s="17">
        <f>IF(Calc!$B5367,Calc!O5367,"")</f>
        <v/>
      </c>
    </row>
    <row r="5368">
      <c r="A5368" s="16">
        <f>IF(Calc!$B5368,Calc!E5368,"")</f>
        <v/>
      </c>
      <c r="B5368">
        <f>IF(Calc!$B5368,INDEX(MineNames,Calc!C5368),"")</f>
        <v/>
      </c>
      <c r="C5368" s="17">
        <f>IF(Calc!$B5368,Calc!O5368,"")</f>
        <v/>
      </c>
    </row>
    <row r="5369">
      <c r="A5369" s="16">
        <f>IF(Calc!$B5369,Calc!E5369,"")</f>
        <v/>
      </c>
      <c r="B5369">
        <f>IF(Calc!$B5369,INDEX(MineNames,Calc!C5369),"")</f>
        <v/>
      </c>
      <c r="C5369" s="17">
        <f>IF(Calc!$B5369,Calc!O5369,"")</f>
        <v/>
      </c>
    </row>
    <row r="5370">
      <c r="A5370" s="16">
        <f>IF(Calc!$B5370,Calc!E5370,"")</f>
        <v/>
      </c>
      <c r="B5370">
        <f>IF(Calc!$B5370,INDEX(MineNames,Calc!C5370),"")</f>
        <v/>
      </c>
      <c r="C5370" s="17">
        <f>IF(Calc!$B5370,Calc!O5370,"")</f>
        <v/>
      </c>
    </row>
    <row r="5371">
      <c r="A5371" s="16">
        <f>IF(Calc!$B5371,Calc!E5371,"")</f>
        <v/>
      </c>
      <c r="B5371">
        <f>IF(Calc!$B5371,INDEX(MineNames,Calc!C5371),"")</f>
        <v/>
      </c>
      <c r="C5371" s="17">
        <f>IF(Calc!$B5371,Calc!O5371,"")</f>
        <v/>
      </c>
    </row>
    <row r="5372">
      <c r="A5372" s="16">
        <f>IF(Calc!$B5372,Calc!E5372,"")</f>
        <v/>
      </c>
      <c r="B5372">
        <f>IF(Calc!$B5372,INDEX(MineNames,Calc!C5372),"")</f>
        <v/>
      </c>
      <c r="C5372" s="17">
        <f>IF(Calc!$B5372,Calc!O5372,"")</f>
        <v/>
      </c>
    </row>
    <row r="5373">
      <c r="A5373" s="16">
        <f>IF(Calc!$B5373,Calc!E5373,"")</f>
        <v/>
      </c>
      <c r="B5373">
        <f>IF(Calc!$B5373,INDEX(MineNames,Calc!C5373),"")</f>
        <v/>
      </c>
      <c r="C5373" s="17">
        <f>IF(Calc!$B5373,Calc!O5373,"")</f>
        <v/>
      </c>
    </row>
    <row r="5374">
      <c r="A5374" s="16">
        <f>IF(Calc!$B5374,Calc!E5374,"")</f>
        <v/>
      </c>
      <c r="B5374">
        <f>IF(Calc!$B5374,INDEX(MineNames,Calc!C5374),"")</f>
        <v/>
      </c>
      <c r="C5374" s="17">
        <f>IF(Calc!$B5374,Calc!O5374,"")</f>
        <v/>
      </c>
    </row>
    <row r="5375">
      <c r="A5375" s="16">
        <f>IF(Calc!$B5375,Calc!E5375,"")</f>
        <v/>
      </c>
      <c r="B5375">
        <f>IF(Calc!$B5375,INDEX(MineNames,Calc!C5375),"")</f>
        <v/>
      </c>
      <c r="C5375" s="17">
        <f>IF(Calc!$B5375,Calc!O5375,"")</f>
        <v/>
      </c>
    </row>
    <row r="5376">
      <c r="A5376" s="16">
        <f>IF(Calc!$B5376,Calc!E5376,"")</f>
        <v/>
      </c>
      <c r="B5376">
        <f>IF(Calc!$B5376,INDEX(MineNames,Calc!C5376),"")</f>
        <v/>
      </c>
      <c r="C5376" s="17">
        <f>IF(Calc!$B5376,Calc!O5376,"")</f>
        <v/>
      </c>
    </row>
    <row r="5377">
      <c r="A5377" s="16">
        <f>IF(Calc!$B5377,Calc!E5377,"")</f>
        <v/>
      </c>
      <c r="B5377">
        <f>IF(Calc!$B5377,INDEX(MineNames,Calc!C5377),"")</f>
        <v/>
      </c>
      <c r="C5377" s="17">
        <f>IF(Calc!$B5377,Calc!O5377,"")</f>
        <v/>
      </c>
    </row>
    <row r="5378">
      <c r="A5378" s="16">
        <f>IF(Calc!$B5378,Calc!E5378,"")</f>
        <v/>
      </c>
      <c r="B5378">
        <f>IF(Calc!$B5378,INDEX(MineNames,Calc!C5378),"")</f>
        <v/>
      </c>
      <c r="C5378" s="17">
        <f>IF(Calc!$B5378,Calc!O5378,"")</f>
        <v/>
      </c>
    </row>
    <row r="5379">
      <c r="A5379" s="16">
        <f>IF(Calc!$B5379,Calc!E5379,"")</f>
        <v/>
      </c>
      <c r="B5379">
        <f>IF(Calc!$B5379,INDEX(MineNames,Calc!C5379),"")</f>
        <v/>
      </c>
      <c r="C5379" s="17">
        <f>IF(Calc!$B5379,Calc!O5379,"")</f>
        <v/>
      </c>
    </row>
    <row r="5380">
      <c r="A5380" s="16">
        <f>IF(Calc!$B5380,Calc!E5380,"")</f>
        <v/>
      </c>
      <c r="B5380">
        <f>IF(Calc!$B5380,INDEX(MineNames,Calc!C5380),"")</f>
        <v/>
      </c>
      <c r="C5380" s="17">
        <f>IF(Calc!$B5380,Calc!O5380,"")</f>
        <v/>
      </c>
    </row>
    <row r="5381">
      <c r="A5381" s="16">
        <f>IF(Calc!$B5381,Calc!E5381,"")</f>
        <v/>
      </c>
      <c r="B5381">
        <f>IF(Calc!$B5381,INDEX(MineNames,Calc!C5381),"")</f>
        <v/>
      </c>
      <c r="C5381" s="17">
        <f>IF(Calc!$B5381,Calc!O5381,"")</f>
        <v/>
      </c>
    </row>
    <row r="5382">
      <c r="A5382" s="16">
        <f>IF(Calc!$B5382,Calc!E5382,"")</f>
        <v/>
      </c>
      <c r="B5382">
        <f>IF(Calc!$B5382,INDEX(MineNames,Calc!C5382),"")</f>
        <v/>
      </c>
      <c r="C5382" s="17">
        <f>IF(Calc!$B5382,Calc!O5382,"")</f>
        <v/>
      </c>
    </row>
    <row r="5383">
      <c r="A5383" s="16">
        <f>IF(Calc!$B5383,Calc!E5383,"")</f>
        <v/>
      </c>
      <c r="B5383">
        <f>IF(Calc!$B5383,INDEX(MineNames,Calc!C5383),"")</f>
        <v/>
      </c>
      <c r="C5383" s="17">
        <f>IF(Calc!$B5383,Calc!O5383,"")</f>
        <v/>
      </c>
    </row>
    <row r="5384">
      <c r="A5384" s="16">
        <f>IF(Calc!$B5384,Calc!E5384,"")</f>
        <v/>
      </c>
      <c r="B5384">
        <f>IF(Calc!$B5384,INDEX(MineNames,Calc!C5384),"")</f>
        <v/>
      </c>
      <c r="C5384" s="17">
        <f>IF(Calc!$B5384,Calc!O5384,"")</f>
        <v/>
      </c>
    </row>
    <row r="5385">
      <c r="A5385" s="16">
        <f>IF(Calc!$B5385,Calc!E5385,"")</f>
        <v/>
      </c>
      <c r="B5385">
        <f>IF(Calc!$B5385,INDEX(MineNames,Calc!C5385),"")</f>
        <v/>
      </c>
      <c r="C5385" s="17">
        <f>IF(Calc!$B5385,Calc!O5385,"")</f>
        <v/>
      </c>
    </row>
    <row r="5386">
      <c r="A5386" s="16">
        <f>IF(Calc!$B5386,Calc!E5386,"")</f>
        <v/>
      </c>
      <c r="B5386">
        <f>IF(Calc!$B5386,INDEX(MineNames,Calc!C5386),"")</f>
        <v/>
      </c>
      <c r="C5386" s="17">
        <f>IF(Calc!$B5386,Calc!O5386,"")</f>
        <v/>
      </c>
    </row>
    <row r="5387">
      <c r="A5387" s="16">
        <f>IF(Calc!$B5387,Calc!E5387,"")</f>
        <v/>
      </c>
      <c r="B5387">
        <f>IF(Calc!$B5387,INDEX(MineNames,Calc!C5387),"")</f>
        <v/>
      </c>
      <c r="C5387" s="17">
        <f>IF(Calc!$B5387,Calc!O5387,"")</f>
        <v/>
      </c>
    </row>
    <row r="5388">
      <c r="A5388" s="16">
        <f>IF(Calc!$B5388,Calc!E5388,"")</f>
        <v/>
      </c>
      <c r="B5388">
        <f>IF(Calc!$B5388,INDEX(MineNames,Calc!C5388),"")</f>
        <v/>
      </c>
      <c r="C5388" s="17">
        <f>IF(Calc!$B5388,Calc!O5388,"")</f>
        <v/>
      </c>
    </row>
    <row r="5389">
      <c r="A5389" s="16">
        <f>IF(Calc!$B5389,Calc!E5389,"")</f>
        <v/>
      </c>
      <c r="B5389">
        <f>IF(Calc!$B5389,INDEX(MineNames,Calc!C5389),"")</f>
        <v/>
      </c>
      <c r="C5389" s="17">
        <f>IF(Calc!$B5389,Calc!O5389,"")</f>
        <v/>
      </c>
    </row>
    <row r="5390">
      <c r="A5390" s="16">
        <f>IF(Calc!$B5390,Calc!E5390,"")</f>
        <v/>
      </c>
      <c r="B5390">
        <f>IF(Calc!$B5390,INDEX(MineNames,Calc!C5390),"")</f>
        <v/>
      </c>
      <c r="C5390" s="17">
        <f>IF(Calc!$B5390,Calc!O5390,"")</f>
        <v/>
      </c>
    </row>
    <row r="5391">
      <c r="A5391" s="16">
        <f>IF(Calc!$B5391,Calc!E5391,"")</f>
        <v/>
      </c>
      <c r="B5391">
        <f>IF(Calc!$B5391,INDEX(MineNames,Calc!C5391),"")</f>
        <v/>
      </c>
      <c r="C5391" s="17">
        <f>IF(Calc!$B5391,Calc!O5391,"")</f>
        <v/>
      </c>
    </row>
    <row r="5392">
      <c r="A5392" s="16">
        <f>IF(Calc!$B5392,Calc!E5392,"")</f>
        <v/>
      </c>
      <c r="B5392">
        <f>IF(Calc!$B5392,INDEX(MineNames,Calc!C5392),"")</f>
        <v/>
      </c>
      <c r="C5392" s="17">
        <f>IF(Calc!$B5392,Calc!O5392,"")</f>
        <v/>
      </c>
    </row>
    <row r="5393">
      <c r="A5393" s="16">
        <f>IF(Calc!$B5393,Calc!E5393,"")</f>
        <v/>
      </c>
      <c r="B5393">
        <f>IF(Calc!$B5393,INDEX(MineNames,Calc!C5393),"")</f>
        <v/>
      </c>
      <c r="C5393" s="17">
        <f>IF(Calc!$B5393,Calc!O5393,"")</f>
        <v/>
      </c>
    </row>
    <row r="5394">
      <c r="A5394" s="16">
        <f>IF(Calc!$B5394,Calc!E5394,"")</f>
        <v/>
      </c>
      <c r="B5394">
        <f>IF(Calc!$B5394,INDEX(MineNames,Calc!C5394),"")</f>
        <v/>
      </c>
      <c r="C5394" s="17">
        <f>IF(Calc!$B5394,Calc!O5394,"")</f>
        <v/>
      </c>
    </row>
    <row r="5395">
      <c r="A5395" s="16">
        <f>IF(Calc!$B5395,Calc!E5395,"")</f>
        <v/>
      </c>
      <c r="B5395">
        <f>IF(Calc!$B5395,INDEX(MineNames,Calc!C5395),"")</f>
        <v/>
      </c>
      <c r="C5395" s="17">
        <f>IF(Calc!$B5395,Calc!O5395,"")</f>
        <v/>
      </c>
    </row>
    <row r="5396">
      <c r="A5396" s="16">
        <f>IF(Calc!$B5396,Calc!E5396,"")</f>
        <v/>
      </c>
      <c r="B5396">
        <f>IF(Calc!$B5396,INDEX(MineNames,Calc!C5396),"")</f>
        <v/>
      </c>
      <c r="C5396" s="17">
        <f>IF(Calc!$B5396,Calc!O5396,"")</f>
        <v/>
      </c>
    </row>
    <row r="5397">
      <c r="A5397" s="16">
        <f>IF(Calc!$B5397,Calc!E5397,"")</f>
        <v/>
      </c>
      <c r="B5397">
        <f>IF(Calc!$B5397,INDEX(MineNames,Calc!C5397),"")</f>
        <v/>
      </c>
      <c r="C5397" s="17">
        <f>IF(Calc!$B5397,Calc!O5397,"")</f>
        <v/>
      </c>
    </row>
    <row r="5398">
      <c r="A5398" s="16">
        <f>IF(Calc!$B5398,Calc!E5398,"")</f>
        <v/>
      </c>
      <c r="B5398">
        <f>IF(Calc!$B5398,INDEX(MineNames,Calc!C5398),"")</f>
        <v/>
      </c>
      <c r="C5398" s="17">
        <f>IF(Calc!$B5398,Calc!O5398,"")</f>
        <v/>
      </c>
    </row>
    <row r="5399">
      <c r="A5399" s="16">
        <f>IF(Calc!$B5399,Calc!E5399,"")</f>
        <v/>
      </c>
      <c r="B5399">
        <f>IF(Calc!$B5399,INDEX(MineNames,Calc!C5399),"")</f>
        <v/>
      </c>
      <c r="C5399" s="17">
        <f>IF(Calc!$B5399,Calc!O5399,"")</f>
        <v/>
      </c>
    </row>
    <row r="5400">
      <c r="A5400" s="16">
        <f>IF(Calc!$B5400,Calc!E5400,"")</f>
        <v/>
      </c>
      <c r="B5400">
        <f>IF(Calc!$B5400,INDEX(MineNames,Calc!C5400),"")</f>
        <v/>
      </c>
      <c r="C5400" s="17">
        <f>IF(Calc!$B5400,Calc!O5400,"")</f>
        <v/>
      </c>
    </row>
    <row r="5401">
      <c r="A5401" s="16">
        <f>IF(Calc!$B5401,Calc!E5401,"")</f>
        <v/>
      </c>
      <c r="B5401">
        <f>IF(Calc!$B5401,INDEX(MineNames,Calc!C5401),"")</f>
        <v/>
      </c>
      <c r="C5401" s="17">
        <f>IF(Calc!$B5401,Calc!O5401,"")</f>
        <v/>
      </c>
    </row>
    <row r="5402">
      <c r="A5402" s="16">
        <f>IF(Calc!$B5402,Calc!E5402,"")</f>
        <v/>
      </c>
      <c r="B5402">
        <f>IF(Calc!$B5402,INDEX(MineNames,Calc!C5402),"")</f>
        <v/>
      </c>
      <c r="C5402" s="17">
        <f>IF(Calc!$B5402,Calc!O5402,"")</f>
        <v/>
      </c>
    </row>
    <row r="5403">
      <c r="A5403" s="16">
        <f>IF(Calc!$B5403,Calc!E5403,"")</f>
        <v/>
      </c>
      <c r="B5403">
        <f>IF(Calc!$B5403,INDEX(MineNames,Calc!C5403),"")</f>
        <v/>
      </c>
      <c r="C5403" s="17">
        <f>IF(Calc!$B5403,Calc!O5403,"")</f>
        <v/>
      </c>
    </row>
    <row r="5404">
      <c r="A5404" s="16">
        <f>IF(Calc!$B5404,Calc!E5404,"")</f>
        <v/>
      </c>
      <c r="B5404">
        <f>IF(Calc!$B5404,INDEX(MineNames,Calc!C5404),"")</f>
        <v/>
      </c>
      <c r="C5404" s="17">
        <f>IF(Calc!$B5404,Calc!O5404,"")</f>
        <v/>
      </c>
    </row>
    <row r="5405">
      <c r="A5405" s="16">
        <f>IF(Calc!$B5405,Calc!E5405,"")</f>
        <v/>
      </c>
      <c r="B5405">
        <f>IF(Calc!$B5405,INDEX(MineNames,Calc!C5405),"")</f>
        <v/>
      </c>
      <c r="C5405" s="17">
        <f>IF(Calc!$B5405,Calc!O5405,"")</f>
        <v/>
      </c>
    </row>
    <row r="5406">
      <c r="A5406" s="16">
        <f>IF(Calc!$B5406,Calc!E5406,"")</f>
        <v/>
      </c>
      <c r="B5406">
        <f>IF(Calc!$B5406,INDEX(MineNames,Calc!C5406),"")</f>
        <v/>
      </c>
      <c r="C5406" s="17">
        <f>IF(Calc!$B5406,Calc!O5406,"")</f>
        <v/>
      </c>
    </row>
    <row r="5407">
      <c r="A5407" s="16">
        <f>IF(Calc!$B5407,Calc!E5407,"")</f>
        <v/>
      </c>
      <c r="B5407">
        <f>IF(Calc!$B5407,INDEX(MineNames,Calc!C5407),"")</f>
        <v/>
      </c>
      <c r="C5407" s="17">
        <f>IF(Calc!$B5407,Calc!O5407,"")</f>
        <v/>
      </c>
    </row>
    <row r="5408">
      <c r="A5408" s="16">
        <f>IF(Calc!$B5408,Calc!E5408,"")</f>
        <v/>
      </c>
      <c r="B5408">
        <f>IF(Calc!$B5408,INDEX(MineNames,Calc!C5408),"")</f>
        <v/>
      </c>
      <c r="C5408" s="17">
        <f>IF(Calc!$B5408,Calc!O5408,"")</f>
        <v/>
      </c>
    </row>
    <row r="5409">
      <c r="A5409" s="16">
        <f>IF(Calc!$B5409,Calc!E5409,"")</f>
        <v/>
      </c>
      <c r="B5409">
        <f>IF(Calc!$B5409,INDEX(MineNames,Calc!C5409),"")</f>
        <v/>
      </c>
      <c r="C5409" s="17">
        <f>IF(Calc!$B5409,Calc!O5409,"")</f>
        <v/>
      </c>
    </row>
    <row r="5410">
      <c r="A5410" s="16">
        <f>IF(Calc!$B5410,Calc!E5410,"")</f>
        <v/>
      </c>
      <c r="B5410">
        <f>IF(Calc!$B5410,INDEX(MineNames,Calc!C5410),"")</f>
        <v/>
      </c>
      <c r="C5410" s="17">
        <f>IF(Calc!$B5410,Calc!O5410,"")</f>
        <v/>
      </c>
    </row>
    <row r="5411">
      <c r="A5411" s="16">
        <f>IF(Calc!$B5411,Calc!E5411,"")</f>
        <v/>
      </c>
      <c r="B5411">
        <f>IF(Calc!$B5411,INDEX(MineNames,Calc!C5411),"")</f>
        <v/>
      </c>
      <c r="C5411" s="17">
        <f>IF(Calc!$B5411,Calc!O5411,"")</f>
        <v/>
      </c>
    </row>
    <row r="5412">
      <c r="A5412" s="16">
        <f>IF(Calc!$B5412,Calc!E5412,"")</f>
        <v/>
      </c>
      <c r="B5412">
        <f>IF(Calc!$B5412,INDEX(MineNames,Calc!C5412),"")</f>
        <v/>
      </c>
      <c r="C5412" s="17">
        <f>IF(Calc!$B5412,Calc!O5412,"")</f>
        <v/>
      </c>
    </row>
    <row r="5413">
      <c r="A5413" s="16">
        <f>IF(Calc!$B5413,Calc!E5413,"")</f>
        <v/>
      </c>
      <c r="B5413">
        <f>IF(Calc!$B5413,INDEX(MineNames,Calc!C5413),"")</f>
        <v/>
      </c>
      <c r="C5413" s="17">
        <f>IF(Calc!$B5413,Calc!O5413,"")</f>
        <v/>
      </c>
    </row>
    <row r="5414">
      <c r="A5414" s="16">
        <f>IF(Calc!$B5414,Calc!E5414,"")</f>
        <v/>
      </c>
      <c r="B5414">
        <f>IF(Calc!$B5414,INDEX(MineNames,Calc!C5414),"")</f>
        <v/>
      </c>
      <c r="C5414" s="17">
        <f>IF(Calc!$B5414,Calc!O5414,"")</f>
        <v/>
      </c>
    </row>
    <row r="5415">
      <c r="A5415" s="16">
        <f>IF(Calc!$B5415,Calc!E5415,"")</f>
        <v/>
      </c>
      <c r="B5415">
        <f>IF(Calc!$B5415,INDEX(MineNames,Calc!C5415),"")</f>
        <v/>
      </c>
      <c r="C5415" s="17">
        <f>IF(Calc!$B5415,Calc!O5415,"")</f>
        <v/>
      </c>
    </row>
    <row r="5416">
      <c r="A5416" s="16">
        <f>IF(Calc!$B5416,Calc!E5416,"")</f>
        <v/>
      </c>
      <c r="B5416">
        <f>IF(Calc!$B5416,INDEX(MineNames,Calc!C5416),"")</f>
        <v/>
      </c>
      <c r="C5416" s="17">
        <f>IF(Calc!$B5416,Calc!O5416,"")</f>
        <v/>
      </c>
    </row>
    <row r="5417">
      <c r="A5417" s="16">
        <f>IF(Calc!$B5417,Calc!E5417,"")</f>
        <v/>
      </c>
      <c r="B5417">
        <f>IF(Calc!$B5417,INDEX(MineNames,Calc!C5417),"")</f>
        <v/>
      </c>
      <c r="C5417" s="17">
        <f>IF(Calc!$B5417,Calc!O5417,"")</f>
        <v/>
      </c>
    </row>
    <row r="5418">
      <c r="A5418" s="16">
        <f>IF(Calc!$B5418,Calc!E5418,"")</f>
        <v/>
      </c>
      <c r="B5418">
        <f>IF(Calc!$B5418,INDEX(MineNames,Calc!C5418),"")</f>
        <v/>
      </c>
      <c r="C5418" s="17">
        <f>IF(Calc!$B5418,Calc!O5418,"")</f>
        <v/>
      </c>
    </row>
    <row r="5419">
      <c r="A5419" s="16">
        <f>IF(Calc!$B5419,Calc!E5419,"")</f>
        <v/>
      </c>
      <c r="B5419">
        <f>IF(Calc!$B5419,INDEX(MineNames,Calc!C5419),"")</f>
        <v/>
      </c>
      <c r="C5419" s="17">
        <f>IF(Calc!$B5419,Calc!O5419,"")</f>
        <v/>
      </c>
    </row>
    <row r="5420">
      <c r="A5420" s="16">
        <f>IF(Calc!$B5420,Calc!E5420,"")</f>
        <v/>
      </c>
      <c r="B5420">
        <f>IF(Calc!$B5420,INDEX(MineNames,Calc!C5420),"")</f>
        <v/>
      </c>
      <c r="C5420" s="17">
        <f>IF(Calc!$B5420,Calc!O5420,"")</f>
        <v/>
      </c>
    </row>
    <row r="5421">
      <c r="A5421" s="16">
        <f>IF(Calc!$B5421,Calc!E5421,"")</f>
        <v/>
      </c>
      <c r="B5421">
        <f>IF(Calc!$B5421,INDEX(MineNames,Calc!C5421),"")</f>
        <v/>
      </c>
      <c r="C5421" s="17">
        <f>IF(Calc!$B5421,Calc!O5421,"")</f>
        <v/>
      </c>
    </row>
    <row r="5422">
      <c r="A5422" s="16">
        <f>IF(Calc!$B5422,Calc!E5422,"")</f>
        <v/>
      </c>
      <c r="B5422">
        <f>IF(Calc!$B5422,INDEX(MineNames,Calc!C5422),"")</f>
        <v/>
      </c>
      <c r="C5422" s="17">
        <f>IF(Calc!$B5422,Calc!O5422,"")</f>
        <v/>
      </c>
    </row>
    <row r="5423">
      <c r="A5423" s="16">
        <f>IF(Calc!$B5423,Calc!E5423,"")</f>
        <v/>
      </c>
      <c r="B5423">
        <f>IF(Calc!$B5423,INDEX(MineNames,Calc!C5423),"")</f>
        <v/>
      </c>
      <c r="C5423" s="17">
        <f>IF(Calc!$B5423,Calc!O5423,"")</f>
        <v/>
      </c>
    </row>
    <row r="5424">
      <c r="A5424" s="16">
        <f>IF(Calc!$B5424,Calc!E5424,"")</f>
        <v/>
      </c>
      <c r="B5424">
        <f>IF(Calc!$B5424,INDEX(MineNames,Calc!C5424),"")</f>
        <v/>
      </c>
      <c r="C5424" s="17">
        <f>IF(Calc!$B5424,Calc!O5424,"")</f>
        <v/>
      </c>
    </row>
    <row r="5425">
      <c r="A5425" s="16">
        <f>IF(Calc!$B5425,Calc!E5425,"")</f>
        <v/>
      </c>
      <c r="B5425">
        <f>IF(Calc!$B5425,INDEX(MineNames,Calc!C5425),"")</f>
        <v/>
      </c>
      <c r="C5425" s="17">
        <f>IF(Calc!$B5425,Calc!O5425,"")</f>
        <v/>
      </c>
    </row>
    <row r="5426">
      <c r="A5426" s="16">
        <f>IF(Calc!$B5426,Calc!E5426,"")</f>
        <v/>
      </c>
      <c r="B5426">
        <f>IF(Calc!$B5426,INDEX(MineNames,Calc!C5426),"")</f>
        <v/>
      </c>
      <c r="C5426" s="17">
        <f>IF(Calc!$B5426,Calc!O5426,"")</f>
        <v/>
      </c>
    </row>
    <row r="5427">
      <c r="A5427" s="16">
        <f>IF(Calc!$B5427,Calc!E5427,"")</f>
        <v/>
      </c>
      <c r="B5427">
        <f>IF(Calc!$B5427,INDEX(MineNames,Calc!C5427),"")</f>
        <v/>
      </c>
      <c r="C5427" s="17">
        <f>IF(Calc!$B5427,Calc!O5427,"")</f>
        <v/>
      </c>
    </row>
    <row r="5428">
      <c r="A5428" s="16">
        <f>IF(Calc!$B5428,Calc!E5428,"")</f>
        <v/>
      </c>
      <c r="B5428">
        <f>IF(Calc!$B5428,INDEX(MineNames,Calc!C5428),"")</f>
        <v/>
      </c>
      <c r="C5428" s="17">
        <f>IF(Calc!$B5428,Calc!O5428,"")</f>
        <v/>
      </c>
    </row>
    <row r="5429">
      <c r="A5429" s="16">
        <f>IF(Calc!$B5429,Calc!E5429,"")</f>
        <v/>
      </c>
      <c r="B5429">
        <f>IF(Calc!$B5429,INDEX(MineNames,Calc!C5429),"")</f>
        <v/>
      </c>
      <c r="C5429" s="17">
        <f>IF(Calc!$B5429,Calc!O5429,"")</f>
        <v/>
      </c>
    </row>
    <row r="5430">
      <c r="A5430" s="16">
        <f>IF(Calc!$B5430,Calc!E5430,"")</f>
        <v/>
      </c>
      <c r="B5430">
        <f>IF(Calc!$B5430,INDEX(MineNames,Calc!C5430),"")</f>
        <v/>
      </c>
      <c r="C5430" s="17">
        <f>IF(Calc!$B5430,Calc!O5430,"")</f>
        <v/>
      </c>
    </row>
    <row r="5431">
      <c r="A5431" s="16">
        <f>IF(Calc!$B5431,Calc!E5431,"")</f>
        <v/>
      </c>
      <c r="B5431">
        <f>IF(Calc!$B5431,INDEX(MineNames,Calc!C5431),"")</f>
        <v/>
      </c>
      <c r="C5431" s="17">
        <f>IF(Calc!$B5431,Calc!O5431,"")</f>
        <v/>
      </c>
    </row>
    <row r="5432">
      <c r="A5432" s="16">
        <f>IF(Calc!$B5432,Calc!E5432,"")</f>
        <v/>
      </c>
      <c r="B5432">
        <f>IF(Calc!$B5432,INDEX(MineNames,Calc!C5432),"")</f>
        <v/>
      </c>
      <c r="C5432" s="17">
        <f>IF(Calc!$B5432,Calc!O5432,"")</f>
        <v/>
      </c>
    </row>
    <row r="5433">
      <c r="A5433" s="16">
        <f>IF(Calc!$B5433,Calc!E5433,"")</f>
        <v/>
      </c>
      <c r="B5433">
        <f>IF(Calc!$B5433,INDEX(MineNames,Calc!C5433),"")</f>
        <v/>
      </c>
      <c r="C5433" s="17">
        <f>IF(Calc!$B5433,Calc!O5433,"")</f>
        <v/>
      </c>
    </row>
    <row r="5434">
      <c r="A5434" s="16">
        <f>IF(Calc!$B5434,Calc!E5434,"")</f>
        <v/>
      </c>
      <c r="B5434">
        <f>IF(Calc!$B5434,INDEX(MineNames,Calc!C5434),"")</f>
        <v/>
      </c>
      <c r="C5434" s="17">
        <f>IF(Calc!$B5434,Calc!O5434,"")</f>
        <v/>
      </c>
    </row>
    <row r="5435">
      <c r="A5435" s="16">
        <f>IF(Calc!$B5435,Calc!E5435,"")</f>
        <v/>
      </c>
      <c r="B5435">
        <f>IF(Calc!$B5435,INDEX(MineNames,Calc!C5435),"")</f>
        <v/>
      </c>
      <c r="C5435" s="17">
        <f>IF(Calc!$B5435,Calc!O5435,"")</f>
        <v/>
      </c>
    </row>
    <row r="5436">
      <c r="A5436" s="16">
        <f>IF(Calc!$B5436,Calc!E5436,"")</f>
        <v/>
      </c>
      <c r="B5436">
        <f>IF(Calc!$B5436,INDEX(MineNames,Calc!C5436),"")</f>
        <v/>
      </c>
      <c r="C5436" s="17">
        <f>IF(Calc!$B5436,Calc!O5436,"")</f>
        <v/>
      </c>
    </row>
    <row r="5437">
      <c r="A5437" s="16">
        <f>IF(Calc!$B5437,Calc!E5437,"")</f>
        <v/>
      </c>
      <c r="B5437">
        <f>IF(Calc!$B5437,INDEX(MineNames,Calc!C5437),"")</f>
        <v/>
      </c>
      <c r="C5437" s="17">
        <f>IF(Calc!$B5437,Calc!O5437,"")</f>
        <v/>
      </c>
    </row>
    <row r="5438">
      <c r="A5438" s="16">
        <f>IF(Calc!$B5438,Calc!E5438,"")</f>
        <v/>
      </c>
      <c r="B5438">
        <f>IF(Calc!$B5438,INDEX(MineNames,Calc!C5438),"")</f>
        <v/>
      </c>
      <c r="C5438" s="17">
        <f>IF(Calc!$B5438,Calc!O5438,"")</f>
        <v/>
      </c>
    </row>
    <row r="5439">
      <c r="A5439" s="16">
        <f>IF(Calc!$B5439,Calc!E5439,"")</f>
        <v/>
      </c>
      <c r="B5439">
        <f>IF(Calc!$B5439,INDEX(MineNames,Calc!C5439),"")</f>
        <v/>
      </c>
      <c r="C5439" s="17">
        <f>IF(Calc!$B5439,Calc!O5439,"")</f>
        <v/>
      </c>
    </row>
    <row r="5440">
      <c r="A5440" s="16">
        <f>IF(Calc!$B5440,Calc!E5440,"")</f>
        <v/>
      </c>
      <c r="B5440">
        <f>IF(Calc!$B5440,INDEX(MineNames,Calc!C5440),"")</f>
        <v/>
      </c>
      <c r="C5440" s="17">
        <f>IF(Calc!$B5440,Calc!O5440,"")</f>
        <v/>
      </c>
    </row>
    <row r="5441">
      <c r="A5441" s="16">
        <f>IF(Calc!$B5441,Calc!E5441,"")</f>
        <v/>
      </c>
      <c r="B5441">
        <f>IF(Calc!$B5441,INDEX(MineNames,Calc!C5441),"")</f>
        <v/>
      </c>
      <c r="C5441" s="17">
        <f>IF(Calc!$B5441,Calc!O5441,"")</f>
        <v/>
      </c>
    </row>
    <row r="5442">
      <c r="A5442" s="16">
        <f>IF(Calc!$B5442,Calc!E5442,"")</f>
        <v/>
      </c>
      <c r="B5442">
        <f>IF(Calc!$B5442,INDEX(MineNames,Calc!C5442),"")</f>
        <v/>
      </c>
      <c r="C5442" s="17">
        <f>IF(Calc!$B5442,Calc!O5442,"")</f>
        <v/>
      </c>
    </row>
    <row r="5443">
      <c r="A5443" s="16">
        <f>IF(Calc!$B5443,Calc!E5443,"")</f>
        <v/>
      </c>
      <c r="B5443">
        <f>IF(Calc!$B5443,INDEX(MineNames,Calc!C5443),"")</f>
        <v/>
      </c>
      <c r="C5443" s="17">
        <f>IF(Calc!$B5443,Calc!O5443,"")</f>
        <v/>
      </c>
    </row>
    <row r="5444">
      <c r="A5444" s="16">
        <f>IF(Calc!$B5444,Calc!E5444,"")</f>
        <v/>
      </c>
      <c r="B5444">
        <f>IF(Calc!$B5444,INDEX(MineNames,Calc!C5444),"")</f>
        <v/>
      </c>
      <c r="C5444" s="17">
        <f>IF(Calc!$B5444,Calc!O5444,"")</f>
        <v/>
      </c>
    </row>
    <row r="5445">
      <c r="A5445" s="16">
        <f>IF(Calc!$B5445,Calc!E5445,"")</f>
        <v/>
      </c>
      <c r="B5445">
        <f>IF(Calc!$B5445,INDEX(MineNames,Calc!C5445),"")</f>
        <v/>
      </c>
      <c r="C5445" s="17">
        <f>IF(Calc!$B5445,Calc!O5445,"")</f>
        <v/>
      </c>
    </row>
    <row r="5446">
      <c r="A5446" s="16">
        <f>IF(Calc!$B5446,Calc!E5446,"")</f>
        <v/>
      </c>
      <c r="B5446">
        <f>IF(Calc!$B5446,INDEX(MineNames,Calc!C5446),"")</f>
        <v/>
      </c>
      <c r="C5446" s="17">
        <f>IF(Calc!$B5446,Calc!O5446,"")</f>
        <v/>
      </c>
    </row>
    <row r="5447">
      <c r="A5447" s="16">
        <f>IF(Calc!$B5447,Calc!E5447,"")</f>
        <v/>
      </c>
      <c r="B5447">
        <f>IF(Calc!$B5447,INDEX(MineNames,Calc!C5447),"")</f>
        <v/>
      </c>
      <c r="C5447" s="17">
        <f>IF(Calc!$B5447,Calc!O5447,"")</f>
        <v/>
      </c>
    </row>
    <row r="5448">
      <c r="A5448" s="16">
        <f>IF(Calc!$B5448,Calc!E5448,"")</f>
        <v/>
      </c>
      <c r="B5448">
        <f>IF(Calc!$B5448,INDEX(MineNames,Calc!C5448),"")</f>
        <v/>
      </c>
      <c r="C5448" s="17">
        <f>IF(Calc!$B5448,Calc!O5448,"")</f>
        <v/>
      </c>
    </row>
    <row r="5449">
      <c r="A5449" s="16">
        <f>IF(Calc!$B5449,Calc!E5449,"")</f>
        <v/>
      </c>
      <c r="B5449">
        <f>IF(Calc!$B5449,INDEX(MineNames,Calc!C5449),"")</f>
        <v/>
      </c>
      <c r="C5449" s="17">
        <f>IF(Calc!$B5449,Calc!O5449,"")</f>
        <v/>
      </c>
    </row>
    <row r="5450">
      <c r="A5450" s="16">
        <f>IF(Calc!$B5450,Calc!E5450,"")</f>
        <v/>
      </c>
      <c r="B5450">
        <f>IF(Calc!$B5450,INDEX(MineNames,Calc!C5450),"")</f>
        <v/>
      </c>
      <c r="C5450" s="17">
        <f>IF(Calc!$B5450,Calc!O5450,"")</f>
        <v/>
      </c>
    </row>
    <row r="5451">
      <c r="A5451" s="16">
        <f>IF(Calc!$B5451,Calc!E5451,"")</f>
        <v/>
      </c>
      <c r="B5451">
        <f>IF(Calc!$B5451,INDEX(MineNames,Calc!C5451),"")</f>
        <v/>
      </c>
      <c r="C5451" s="17">
        <f>IF(Calc!$B5451,Calc!O5451,"")</f>
        <v/>
      </c>
    </row>
    <row r="5452">
      <c r="A5452" s="16">
        <f>IF(Calc!$B5452,Calc!E5452,"")</f>
        <v/>
      </c>
      <c r="B5452">
        <f>IF(Calc!$B5452,INDEX(MineNames,Calc!C5452),"")</f>
        <v/>
      </c>
      <c r="C5452" s="17">
        <f>IF(Calc!$B5452,Calc!O5452,"")</f>
        <v/>
      </c>
    </row>
    <row r="5453">
      <c r="A5453" s="16">
        <f>IF(Calc!$B5453,Calc!E5453,"")</f>
        <v/>
      </c>
      <c r="B5453">
        <f>IF(Calc!$B5453,INDEX(MineNames,Calc!C5453),"")</f>
        <v/>
      </c>
      <c r="C5453" s="17">
        <f>IF(Calc!$B5453,Calc!O5453,"")</f>
        <v/>
      </c>
    </row>
    <row r="5454">
      <c r="A5454" s="16">
        <f>IF(Calc!$B5454,Calc!E5454,"")</f>
        <v/>
      </c>
      <c r="B5454">
        <f>IF(Calc!$B5454,INDEX(MineNames,Calc!C5454),"")</f>
        <v/>
      </c>
      <c r="C5454" s="17">
        <f>IF(Calc!$B5454,Calc!O5454,"")</f>
        <v/>
      </c>
    </row>
    <row r="5455">
      <c r="A5455" s="16">
        <f>IF(Calc!$B5455,Calc!E5455,"")</f>
        <v/>
      </c>
      <c r="B5455">
        <f>IF(Calc!$B5455,INDEX(MineNames,Calc!C5455),"")</f>
        <v/>
      </c>
      <c r="C5455" s="17">
        <f>IF(Calc!$B5455,Calc!O5455,"")</f>
        <v/>
      </c>
    </row>
    <row r="5456">
      <c r="A5456" s="16">
        <f>IF(Calc!$B5456,Calc!E5456,"")</f>
        <v/>
      </c>
      <c r="B5456">
        <f>IF(Calc!$B5456,INDEX(MineNames,Calc!C5456),"")</f>
        <v/>
      </c>
      <c r="C5456" s="17">
        <f>IF(Calc!$B5456,Calc!O5456,"")</f>
        <v/>
      </c>
    </row>
    <row r="5457">
      <c r="A5457" s="16">
        <f>IF(Calc!$B5457,Calc!E5457,"")</f>
        <v/>
      </c>
      <c r="B5457">
        <f>IF(Calc!$B5457,INDEX(MineNames,Calc!C5457),"")</f>
        <v/>
      </c>
      <c r="C5457" s="17">
        <f>IF(Calc!$B5457,Calc!O5457,"")</f>
        <v/>
      </c>
    </row>
    <row r="5458">
      <c r="A5458" s="16">
        <f>IF(Calc!$B5458,Calc!E5458,"")</f>
        <v/>
      </c>
      <c r="B5458">
        <f>IF(Calc!$B5458,INDEX(MineNames,Calc!C5458),"")</f>
        <v/>
      </c>
      <c r="C5458" s="17">
        <f>IF(Calc!$B5458,Calc!O5458,"")</f>
        <v/>
      </c>
    </row>
    <row r="5459">
      <c r="A5459" s="16">
        <f>IF(Calc!$B5459,Calc!E5459,"")</f>
        <v/>
      </c>
      <c r="B5459">
        <f>IF(Calc!$B5459,INDEX(MineNames,Calc!C5459),"")</f>
        <v/>
      </c>
      <c r="C5459" s="17">
        <f>IF(Calc!$B5459,Calc!O5459,"")</f>
        <v/>
      </c>
    </row>
    <row r="5460">
      <c r="A5460" s="16">
        <f>IF(Calc!$B5460,Calc!E5460,"")</f>
        <v/>
      </c>
      <c r="B5460">
        <f>IF(Calc!$B5460,INDEX(MineNames,Calc!C5460),"")</f>
        <v/>
      </c>
      <c r="C5460" s="17">
        <f>IF(Calc!$B5460,Calc!O5460,"")</f>
        <v/>
      </c>
    </row>
    <row r="5461">
      <c r="A5461" s="16">
        <f>IF(Calc!$B5461,Calc!E5461,"")</f>
        <v/>
      </c>
      <c r="B5461">
        <f>IF(Calc!$B5461,INDEX(MineNames,Calc!C5461),"")</f>
        <v/>
      </c>
      <c r="C5461" s="17">
        <f>IF(Calc!$B5461,Calc!O5461,"")</f>
        <v/>
      </c>
    </row>
    <row r="5462">
      <c r="A5462" s="16">
        <f>IF(Calc!$B5462,Calc!E5462,"")</f>
        <v/>
      </c>
      <c r="B5462">
        <f>IF(Calc!$B5462,INDEX(MineNames,Calc!C5462),"")</f>
        <v/>
      </c>
      <c r="C5462" s="17">
        <f>IF(Calc!$B5462,Calc!O5462,"")</f>
        <v/>
      </c>
    </row>
    <row r="5463">
      <c r="A5463" s="16">
        <f>IF(Calc!$B5463,Calc!E5463,"")</f>
        <v/>
      </c>
      <c r="B5463">
        <f>IF(Calc!$B5463,INDEX(MineNames,Calc!C5463),"")</f>
        <v/>
      </c>
      <c r="C5463" s="17">
        <f>IF(Calc!$B5463,Calc!O5463,"")</f>
        <v/>
      </c>
    </row>
    <row r="5464">
      <c r="A5464" s="16">
        <f>IF(Calc!$B5464,Calc!E5464,"")</f>
        <v/>
      </c>
      <c r="B5464">
        <f>IF(Calc!$B5464,INDEX(MineNames,Calc!C5464),"")</f>
        <v/>
      </c>
      <c r="C5464" s="17">
        <f>IF(Calc!$B5464,Calc!O5464,"")</f>
        <v/>
      </c>
    </row>
    <row r="5465">
      <c r="A5465" s="16">
        <f>IF(Calc!$B5465,Calc!E5465,"")</f>
        <v/>
      </c>
      <c r="B5465">
        <f>IF(Calc!$B5465,INDEX(MineNames,Calc!C5465),"")</f>
        <v/>
      </c>
      <c r="C5465" s="17">
        <f>IF(Calc!$B5465,Calc!O5465,"")</f>
        <v/>
      </c>
    </row>
    <row r="5466">
      <c r="A5466" s="16">
        <f>IF(Calc!$B5466,Calc!E5466,"")</f>
        <v/>
      </c>
      <c r="B5466">
        <f>IF(Calc!$B5466,INDEX(MineNames,Calc!C5466),"")</f>
        <v/>
      </c>
      <c r="C5466" s="17">
        <f>IF(Calc!$B5466,Calc!O5466,"")</f>
        <v/>
      </c>
    </row>
    <row r="5467">
      <c r="A5467" s="16">
        <f>IF(Calc!$B5467,Calc!E5467,"")</f>
        <v/>
      </c>
      <c r="B5467">
        <f>IF(Calc!$B5467,INDEX(MineNames,Calc!C5467),"")</f>
        <v/>
      </c>
      <c r="C5467" s="17">
        <f>IF(Calc!$B5467,Calc!O5467,"")</f>
        <v/>
      </c>
    </row>
    <row r="5468">
      <c r="A5468" s="16">
        <f>IF(Calc!$B5468,Calc!E5468,"")</f>
        <v/>
      </c>
      <c r="B5468">
        <f>IF(Calc!$B5468,INDEX(MineNames,Calc!C5468),"")</f>
        <v/>
      </c>
      <c r="C5468" s="17">
        <f>IF(Calc!$B5468,Calc!O5468,"")</f>
        <v/>
      </c>
    </row>
    <row r="5469">
      <c r="A5469" s="16">
        <f>IF(Calc!$B5469,Calc!E5469,"")</f>
        <v/>
      </c>
      <c r="B5469">
        <f>IF(Calc!$B5469,INDEX(MineNames,Calc!C5469),"")</f>
        <v/>
      </c>
      <c r="C5469" s="17">
        <f>IF(Calc!$B5469,Calc!O5469,"")</f>
        <v/>
      </c>
    </row>
    <row r="5470">
      <c r="A5470" s="16">
        <f>IF(Calc!$B5470,Calc!E5470,"")</f>
        <v/>
      </c>
      <c r="B5470">
        <f>IF(Calc!$B5470,INDEX(MineNames,Calc!C5470),"")</f>
        <v/>
      </c>
      <c r="C5470" s="17">
        <f>IF(Calc!$B5470,Calc!O5470,"")</f>
        <v/>
      </c>
    </row>
    <row r="5471">
      <c r="A5471" s="16">
        <f>IF(Calc!$B5471,Calc!E5471,"")</f>
        <v/>
      </c>
      <c r="B5471">
        <f>IF(Calc!$B5471,INDEX(MineNames,Calc!C5471),"")</f>
        <v/>
      </c>
      <c r="C5471" s="17">
        <f>IF(Calc!$B5471,Calc!O5471,"")</f>
        <v/>
      </c>
    </row>
    <row r="5472">
      <c r="A5472" s="16">
        <f>IF(Calc!$B5472,Calc!E5472,"")</f>
        <v/>
      </c>
      <c r="B5472">
        <f>IF(Calc!$B5472,INDEX(MineNames,Calc!C5472),"")</f>
        <v/>
      </c>
      <c r="C5472" s="17">
        <f>IF(Calc!$B5472,Calc!O5472,"")</f>
        <v/>
      </c>
    </row>
    <row r="5473">
      <c r="A5473" s="16">
        <f>IF(Calc!$B5473,Calc!E5473,"")</f>
        <v/>
      </c>
      <c r="B5473">
        <f>IF(Calc!$B5473,INDEX(MineNames,Calc!C5473),"")</f>
        <v/>
      </c>
      <c r="C5473" s="17">
        <f>IF(Calc!$B5473,Calc!O5473,"")</f>
        <v/>
      </c>
    </row>
    <row r="5474">
      <c r="A5474" s="16">
        <f>IF(Calc!$B5474,Calc!E5474,"")</f>
        <v/>
      </c>
      <c r="B5474">
        <f>IF(Calc!$B5474,INDEX(MineNames,Calc!C5474),"")</f>
        <v/>
      </c>
      <c r="C5474" s="17">
        <f>IF(Calc!$B5474,Calc!O5474,"")</f>
        <v/>
      </c>
    </row>
    <row r="5475">
      <c r="A5475" s="16">
        <f>IF(Calc!$B5475,Calc!E5475,"")</f>
        <v/>
      </c>
      <c r="B5475">
        <f>IF(Calc!$B5475,INDEX(MineNames,Calc!C5475),"")</f>
        <v/>
      </c>
      <c r="C5475" s="17">
        <f>IF(Calc!$B5475,Calc!O5475,"")</f>
        <v/>
      </c>
    </row>
    <row r="5476">
      <c r="A5476" s="16">
        <f>IF(Calc!$B5476,Calc!E5476,"")</f>
        <v/>
      </c>
      <c r="B5476">
        <f>IF(Calc!$B5476,INDEX(MineNames,Calc!C5476),"")</f>
        <v/>
      </c>
      <c r="C5476" s="17">
        <f>IF(Calc!$B5476,Calc!O5476,"")</f>
        <v/>
      </c>
    </row>
    <row r="5477">
      <c r="A5477" s="16">
        <f>IF(Calc!$B5477,Calc!E5477,"")</f>
        <v/>
      </c>
      <c r="B5477">
        <f>IF(Calc!$B5477,INDEX(MineNames,Calc!C5477),"")</f>
        <v/>
      </c>
      <c r="C5477" s="17">
        <f>IF(Calc!$B5477,Calc!O5477,"")</f>
        <v/>
      </c>
    </row>
    <row r="5478">
      <c r="A5478" s="16">
        <f>IF(Calc!$B5478,Calc!E5478,"")</f>
        <v/>
      </c>
      <c r="B5478">
        <f>IF(Calc!$B5478,INDEX(MineNames,Calc!C5478),"")</f>
        <v/>
      </c>
      <c r="C5478" s="17">
        <f>IF(Calc!$B5478,Calc!O5478,"")</f>
        <v/>
      </c>
    </row>
    <row r="5479">
      <c r="A5479" s="16">
        <f>IF(Calc!$B5479,Calc!E5479,"")</f>
        <v/>
      </c>
      <c r="B5479">
        <f>IF(Calc!$B5479,INDEX(MineNames,Calc!C5479),"")</f>
        <v/>
      </c>
      <c r="C5479" s="17">
        <f>IF(Calc!$B5479,Calc!O5479,"")</f>
        <v/>
      </c>
    </row>
    <row r="5480">
      <c r="A5480" s="16">
        <f>IF(Calc!$B5480,Calc!E5480,"")</f>
        <v/>
      </c>
      <c r="B5480">
        <f>IF(Calc!$B5480,INDEX(MineNames,Calc!C5480),"")</f>
        <v/>
      </c>
      <c r="C5480" s="17">
        <f>IF(Calc!$B5480,Calc!O5480,"")</f>
        <v/>
      </c>
    </row>
    <row r="5481">
      <c r="A5481" s="16">
        <f>IF(Calc!$B5481,Calc!E5481,"")</f>
        <v/>
      </c>
      <c r="B5481">
        <f>IF(Calc!$B5481,INDEX(MineNames,Calc!C5481),"")</f>
        <v/>
      </c>
      <c r="C5481" s="17">
        <f>IF(Calc!$B5481,Calc!O5481,"")</f>
        <v/>
      </c>
    </row>
    <row r="5482">
      <c r="A5482" s="16">
        <f>IF(Calc!$B5482,Calc!E5482,"")</f>
        <v/>
      </c>
      <c r="B5482">
        <f>IF(Calc!$B5482,INDEX(MineNames,Calc!C5482),"")</f>
        <v/>
      </c>
      <c r="C5482" s="17">
        <f>IF(Calc!$B5482,Calc!O5482,"")</f>
        <v/>
      </c>
    </row>
    <row r="5483">
      <c r="A5483" s="16">
        <f>IF(Calc!$B5483,Calc!E5483,"")</f>
        <v/>
      </c>
      <c r="B5483">
        <f>IF(Calc!$B5483,INDEX(MineNames,Calc!C5483),"")</f>
        <v/>
      </c>
      <c r="C5483" s="17">
        <f>IF(Calc!$B5483,Calc!O5483,"")</f>
        <v/>
      </c>
    </row>
    <row r="5484">
      <c r="A5484" s="16">
        <f>IF(Calc!$B5484,Calc!E5484,"")</f>
        <v/>
      </c>
      <c r="B5484">
        <f>IF(Calc!$B5484,INDEX(MineNames,Calc!C5484),"")</f>
        <v/>
      </c>
      <c r="C5484" s="17">
        <f>IF(Calc!$B5484,Calc!O5484,"")</f>
        <v/>
      </c>
    </row>
    <row r="5485">
      <c r="A5485" s="16">
        <f>IF(Calc!$B5485,Calc!E5485,"")</f>
        <v/>
      </c>
      <c r="B5485">
        <f>IF(Calc!$B5485,INDEX(MineNames,Calc!C5485),"")</f>
        <v/>
      </c>
      <c r="C5485" s="17">
        <f>IF(Calc!$B5485,Calc!O5485,"")</f>
        <v/>
      </c>
    </row>
    <row r="5486">
      <c r="A5486" s="16">
        <f>IF(Calc!$B5486,Calc!E5486,"")</f>
        <v/>
      </c>
      <c r="B5486">
        <f>IF(Calc!$B5486,INDEX(MineNames,Calc!C5486),"")</f>
        <v/>
      </c>
      <c r="C5486" s="17">
        <f>IF(Calc!$B5486,Calc!O5486,"")</f>
        <v/>
      </c>
    </row>
    <row r="5487">
      <c r="A5487" s="16">
        <f>IF(Calc!$B5487,Calc!E5487,"")</f>
        <v/>
      </c>
      <c r="B5487">
        <f>IF(Calc!$B5487,INDEX(MineNames,Calc!C5487),"")</f>
        <v/>
      </c>
      <c r="C5487" s="17">
        <f>IF(Calc!$B5487,Calc!O5487,"")</f>
        <v/>
      </c>
    </row>
    <row r="5488">
      <c r="A5488" s="16">
        <f>IF(Calc!$B5488,Calc!E5488,"")</f>
        <v/>
      </c>
      <c r="B5488">
        <f>IF(Calc!$B5488,INDEX(MineNames,Calc!C5488),"")</f>
        <v/>
      </c>
      <c r="C5488" s="17">
        <f>IF(Calc!$B5488,Calc!O5488,"")</f>
        <v/>
      </c>
    </row>
    <row r="5489">
      <c r="A5489" s="16">
        <f>IF(Calc!$B5489,Calc!E5489,"")</f>
        <v/>
      </c>
      <c r="B5489">
        <f>IF(Calc!$B5489,INDEX(MineNames,Calc!C5489),"")</f>
        <v/>
      </c>
      <c r="C5489" s="17">
        <f>IF(Calc!$B5489,Calc!O5489,"")</f>
        <v/>
      </c>
    </row>
    <row r="5490">
      <c r="A5490" s="16">
        <f>IF(Calc!$B5490,Calc!E5490,"")</f>
        <v/>
      </c>
      <c r="B5490">
        <f>IF(Calc!$B5490,INDEX(MineNames,Calc!C5490),"")</f>
        <v/>
      </c>
      <c r="C5490" s="17">
        <f>IF(Calc!$B5490,Calc!O5490,"")</f>
        <v/>
      </c>
    </row>
    <row r="5491">
      <c r="A5491" s="16">
        <f>IF(Calc!$B5491,Calc!E5491,"")</f>
        <v/>
      </c>
      <c r="B5491">
        <f>IF(Calc!$B5491,INDEX(MineNames,Calc!C5491),"")</f>
        <v/>
      </c>
      <c r="C5491" s="17">
        <f>IF(Calc!$B5491,Calc!O5491,"")</f>
        <v/>
      </c>
    </row>
    <row r="5492">
      <c r="A5492" s="16">
        <f>IF(Calc!$B5492,Calc!E5492,"")</f>
        <v/>
      </c>
      <c r="B5492">
        <f>IF(Calc!$B5492,INDEX(MineNames,Calc!C5492),"")</f>
        <v/>
      </c>
      <c r="C5492" s="17">
        <f>IF(Calc!$B5492,Calc!O5492,"")</f>
        <v/>
      </c>
    </row>
    <row r="5493">
      <c r="A5493" s="16">
        <f>IF(Calc!$B5493,Calc!E5493,"")</f>
        <v/>
      </c>
      <c r="B5493">
        <f>IF(Calc!$B5493,INDEX(MineNames,Calc!C5493),"")</f>
        <v/>
      </c>
      <c r="C5493" s="17">
        <f>IF(Calc!$B5493,Calc!O5493,"")</f>
        <v/>
      </c>
    </row>
    <row r="5494">
      <c r="A5494" s="16">
        <f>IF(Calc!$B5494,Calc!E5494,"")</f>
        <v/>
      </c>
      <c r="B5494">
        <f>IF(Calc!$B5494,INDEX(MineNames,Calc!C5494),"")</f>
        <v/>
      </c>
      <c r="C5494" s="17">
        <f>IF(Calc!$B5494,Calc!O5494,"")</f>
        <v/>
      </c>
    </row>
    <row r="5495">
      <c r="A5495" s="16">
        <f>IF(Calc!$B5495,Calc!E5495,"")</f>
        <v/>
      </c>
      <c r="B5495">
        <f>IF(Calc!$B5495,INDEX(MineNames,Calc!C5495),"")</f>
        <v/>
      </c>
      <c r="C5495" s="17">
        <f>IF(Calc!$B5495,Calc!O5495,"")</f>
        <v/>
      </c>
    </row>
    <row r="5496">
      <c r="A5496" s="16">
        <f>IF(Calc!$B5496,Calc!E5496,"")</f>
        <v/>
      </c>
      <c r="B5496">
        <f>IF(Calc!$B5496,INDEX(MineNames,Calc!C5496),"")</f>
        <v/>
      </c>
      <c r="C5496" s="17">
        <f>IF(Calc!$B5496,Calc!O5496,"")</f>
        <v/>
      </c>
    </row>
    <row r="5497">
      <c r="A5497" s="16">
        <f>IF(Calc!$B5497,Calc!E5497,"")</f>
        <v/>
      </c>
      <c r="B5497">
        <f>IF(Calc!$B5497,INDEX(MineNames,Calc!C5497),"")</f>
        <v/>
      </c>
      <c r="C5497" s="17">
        <f>IF(Calc!$B5497,Calc!O5497,"")</f>
        <v/>
      </c>
    </row>
    <row r="5498">
      <c r="A5498" s="16">
        <f>IF(Calc!$B5498,Calc!E5498,"")</f>
        <v/>
      </c>
      <c r="B5498">
        <f>IF(Calc!$B5498,INDEX(MineNames,Calc!C5498),"")</f>
        <v/>
      </c>
      <c r="C5498" s="17">
        <f>IF(Calc!$B5498,Calc!O5498,"")</f>
        <v/>
      </c>
    </row>
    <row r="5499">
      <c r="A5499" s="16">
        <f>IF(Calc!$B5499,Calc!E5499,"")</f>
        <v/>
      </c>
      <c r="B5499">
        <f>IF(Calc!$B5499,INDEX(MineNames,Calc!C5499),"")</f>
        <v/>
      </c>
      <c r="C5499" s="17">
        <f>IF(Calc!$B5499,Calc!O5499,"")</f>
        <v/>
      </c>
    </row>
    <row r="5500">
      <c r="A5500" s="16">
        <f>IF(Calc!$B5500,Calc!E5500,"")</f>
        <v/>
      </c>
      <c r="B5500">
        <f>IF(Calc!$B5500,INDEX(MineNames,Calc!C5500),"")</f>
        <v/>
      </c>
      <c r="C5500" s="17">
        <f>IF(Calc!$B5500,Calc!O5500,"")</f>
        <v/>
      </c>
    </row>
    <row r="5501">
      <c r="A5501" s="16">
        <f>IF(Calc!$B5501,Calc!E5501,"")</f>
        <v/>
      </c>
      <c r="B5501">
        <f>IF(Calc!$B5501,INDEX(MineNames,Calc!C5501),"")</f>
        <v/>
      </c>
      <c r="C5501" s="17">
        <f>IF(Calc!$B5501,Calc!O5501,"")</f>
        <v/>
      </c>
    </row>
    <row r="5502">
      <c r="A5502" s="16">
        <f>IF(Calc!$B5502,Calc!E5502,"")</f>
        <v/>
      </c>
      <c r="B5502">
        <f>IF(Calc!$B5502,INDEX(MineNames,Calc!C5502),"")</f>
        <v/>
      </c>
      <c r="C5502" s="17">
        <f>IF(Calc!$B5502,Calc!O5502,"")</f>
        <v/>
      </c>
    </row>
    <row r="5503">
      <c r="A5503" s="16">
        <f>IF(Calc!$B5503,Calc!E5503,"")</f>
        <v/>
      </c>
      <c r="B5503">
        <f>IF(Calc!$B5503,INDEX(MineNames,Calc!C5503),"")</f>
        <v/>
      </c>
      <c r="C5503" s="17">
        <f>IF(Calc!$B5503,Calc!O5503,"")</f>
        <v/>
      </c>
    </row>
    <row r="5504">
      <c r="A5504" s="16">
        <f>IF(Calc!$B5504,Calc!E5504,"")</f>
        <v/>
      </c>
      <c r="B5504">
        <f>IF(Calc!$B5504,INDEX(MineNames,Calc!C5504),"")</f>
        <v/>
      </c>
      <c r="C5504" s="17">
        <f>IF(Calc!$B5504,Calc!O5504,"")</f>
        <v/>
      </c>
    </row>
    <row r="5505">
      <c r="A5505" s="16">
        <f>IF(Calc!$B5505,Calc!E5505,"")</f>
        <v/>
      </c>
      <c r="B5505">
        <f>IF(Calc!$B5505,INDEX(MineNames,Calc!C5505),"")</f>
        <v/>
      </c>
      <c r="C5505" s="17">
        <f>IF(Calc!$B5505,Calc!O5505,"")</f>
        <v/>
      </c>
    </row>
    <row r="5506">
      <c r="A5506" s="16">
        <f>IF(Calc!$B5506,Calc!E5506,"")</f>
        <v/>
      </c>
      <c r="B5506">
        <f>IF(Calc!$B5506,INDEX(MineNames,Calc!C5506),"")</f>
        <v/>
      </c>
      <c r="C5506" s="17">
        <f>IF(Calc!$B5506,Calc!O5506,"")</f>
        <v/>
      </c>
    </row>
    <row r="5507">
      <c r="A5507" s="16">
        <f>IF(Calc!$B5507,Calc!E5507,"")</f>
        <v/>
      </c>
      <c r="B5507">
        <f>IF(Calc!$B5507,INDEX(MineNames,Calc!C5507),"")</f>
        <v/>
      </c>
      <c r="C5507" s="17">
        <f>IF(Calc!$B5507,Calc!O5507,"")</f>
        <v/>
      </c>
    </row>
    <row r="5508">
      <c r="A5508" s="16">
        <f>IF(Calc!$B5508,Calc!E5508,"")</f>
        <v/>
      </c>
      <c r="B5508">
        <f>IF(Calc!$B5508,INDEX(MineNames,Calc!C5508),"")</f>
        <v/>
      </c>
      <c r="C5508" s="17">
        <f>IF(Calc!$B5508,Calc!O5508,"")</f>
        <v/>
      </c>
    </row>
    <row r="5509">
      <c r="A5509" s="16">
        <f>IF(Calc!$B5509,Calc!E5509,"")</f>
        <v/>
      </c>
      <c r="B5509">
        <f>IF(Calc!$B5509,INDEX(MineNames,Calc!C5509),"")</f>
        <v/>
      </c>
      <c r="C5509" s="17">
        <f>IF(Calc!$B5509,Calc!O5509,"")</f>
        <v/>
      </c>
    </row>
    <row r="5510">
      <c r="A5510" s="16">
        <f>IF(Calc!$B5510,Calc!E5510,"")</f>
        <v/>
      </c>
      <c r="B5510">
        <f>IF(Calc!$B5510,INDEX(MineNames,Calc!C5510),"")</f>
        <v/>
      </c>
      <c r="C5510" s="17">
        <f>IF(Calc!$B5510,Calc!O5510,"")</f>
        <v/>
      </c>
    </row>
    <row r="5511">
      <c r="A5511" s="16">
        <f>IF(Calc!$B5511,Calc!E5511,"")</f>
        <v/>
      </c>
      <c r="B5511">
        <f>IF(Calc!$B5511,INDEX(MineNames,Calc!C5511),"")</f>
        <v/>
      </c>
      <c r="C5511" s="17">
        <f>IF(Calc!$B5511,Calc!O5511,"")</f>
        <v/>
      </c>
    </row>
    <row r="5512">
      <c r="A5512" s="16">
        <f>IF(Calc!$B5512,Calc!E5512,"")</f>
        <v/>
      </c>
      <c r="B5512">
        <f>IF(Calc!$B5512,INDEX(MineNames,Calc!C5512),"")</f>
        <v/>
      </c>
      <c r="C5512" s="17">
        <f>IF(Calc!$B5512,Calc!O5512,"")</f>
        <v/>
      </c>
    </row>
    <row r="5513">
      <c r="A5513" s="16">
        <f>IF(Calc!$B5513,Calc!E5513,"")</f>
        <v/>
      </c>
      <c r="B5513">
        <f>IF(Calc!$B5513,INDEX(MineNames,Calc!C5513),"")</f>
        <v/>
      </c>
      <c r="C5513" s="17">
        <f>IF(Calc!$B5513,Calc!O5513,"")</f>
        <v/>
      </c>
    </row>
    <row r="5514">
      <c r="A5514" s="16">
        <f>IF(Calc!$B5514,Calc!E5514,"")</f>
        <v/>
      </c>
      <c r="B5514">
        <f>IF(Calc!$B5514,INDEX(MineNames,Calc!C5514),"")</f>
        <v/>
      </c>
      <c r="C5514" s="17">
        <f>IF(Calc!$B5514,Calc!O5514,"")</f>
        <v/>
      </c>
    </row>
    <row r="5515">
      <c r="A5515" s="16">
        <f>IF(Calc!$B5515,Calc!E5515,"")</f>
        <v/>
      </c>
      <c r="B5515">
        <f>IF(Calc!$B5515,INDEX(MineNames,Calc!C5515),"")</f>
        <v/>
      </c>
      <c r="C5515" s="17">
        <f>IF(Calc!$B5515,Calc!O5515,"")</f>
        <v/>
      </c>
    </row>
    <row r="5516">
      <c r="A5516" s="16">
        <f>IF(Calc!$B5516,Calc!E5516,"")</f>
        <v/>
      </c>
      <c r="B5516">
        <f>IF(Calc!$B5516,INDEX(MineNames,Calc!C5516),"")</f>
        <v/>
      </c>
      <c r="C5516" s="17">
        <f>IF(Calc!$B5516,Calc!O5516,"")</f>
        <v/>
      </c>
    </row>
    <row r="5517">
      <c r="A5517" s="16">
        <f>IF(Calc!$B5517,Calc!E5517,"")</f>
        <v/>
      </c>
      <c r="B5517">
        <f>IF(Calc!$B5517,INDEX(MineNames,Calc!C5517),"")</f>
        <v/>
      </c>
      <c r="C5517" s="17">
        <f>IF(Calc!$B5517,Calc!O5517,"")</f>
        <v/>
      </c>
    </row>
    <row r="5518">
      <c r="A5518" s="16">
        <f>IF(Calc!$B5518,Calc!E5518,"")</f>
        <v/>
      </c>
      <c r="B5518">
        <f>IF(Calc!$B5518,INDEX(MineNames,Calc!C5518),"")</f>
        <v/>
      </c>
      <c r="C5518" s="17">
        <f>IF(Calc!$B5518,Calc!O5518,"")</f>
        <v/>
      </c>
    </row>
    <row r="5519">
      <c r="A5519" s="16">
        <f>IF(Calc!$B5519,Calc!E5519,"")</f>
        <v/>
      </c>
      <c r="B5519">
        <f>IF(Calc!$B5519,INDEX(MineNames,Calc!C5519),"")</f>
        <v/>
      </c>
      <c r="C5519" s="17">
        <f>IF(Calc!$B5519,Calc!O5519,"")</f>
        <v/>
      </c>
    </row>
    <row r="5520">
      <c r="A5520" s="16">
        <f>IF(Calc!$B5520,Calc!E5520,"")</f>
        <v/>
      </c>
      <c r="B5520">
        <f>IF(Calc!$B5520,INDEX(MineNames,Calc!C5520),"")</f>
        <v/>
      </c>
      <c r="C5520" s="17">
        <f>IF(Calc!$B5520,Calc!O5520,"")</f>
        <v/>
      </c>
    </row>
    <row r="5521">
      <c r="A5521" s="16">
        <f>IF(Calc!$B5521,Calc!E5521,"")</f>
        <v/>
      </c>
      <c r="B5521">
        <f>IF(Calc!$B5521,INDEX(MineNames,Calc!C5521),"")</f>
        <v/>
      </c>
      <c r="C5521" s="17">
        <f>IF(Calc!$B5521,Calc!O5521,"")</f>
        <v/>
      </c>
    </row>
    <row r="5522">
      <c r="A5522" s="16">
        <f>IF(Calc!$B5522,Calc!E5522,"")</f>
        <v/>
      </c>
      <c r="B5522">
        <f>IF(Calc!$B5522,INDEX(MineNames,Calc!C5522),"")</f>
        <v/>
      </c>
      <c r="C5522" s="17">
        <f>IF(Calc!$B5522,Calc!O5522,"")</f>
        <v/>
      </c>
    </row>
    <row r="5523">
      <c r="A5523" s="16">
        <f>IF(Calc!$B5523,Calc!E5523,"")</f>
        <v/>
      </c>
      <c r="B5523">
        <f>IF(Calc!$B5523,INDEX(MineNames,Calc!C5523),"")</f>
        <v/>
      </c>
      <c r="C5523" s="17">
        <f>IF(Calc!$B5523,Calc!O5523,"")</f>
        <v/>
      </c>
    </row>
    <row r="5524">
      <c r="A5524" s="16">
        <f>IF(Calc!$B5524,Calc!E5524,"")</f>
        <v/>
      </c>
      <c r="B5524">
        <f>IF(Calc!$B5524,INDEX(MineNames,Calc!C5524),"")</f>
        <v/>
      </c>
      <c r="C5524" s="17">
        <f>IF(Calc!$B5524,Calc!O5524,"")</f>
        <v/>
      </c>
    </row>
    <row r="5525">
      <c r="A5525" s="16">
        <f>IF(Calc!$B5525,Calc!E5525,"")</f>
        <v/>
      </c>
      <c r="B5525">
        <f>IF(Calc!$B5525,INDEX(MineNames,Calc!C5525),"")</f>
        <v/>
      </c>
      <c r="C5525" s="17">
        <f>IF(Calc!$B5525,Calc!O5525,"")</f>
        <v/>
      </c>
    </row>
    <row r="5526">
      <c r="A5526" s="16">
        <f>IF(Calc!$B5526,Calc!E5526,"")</f>
        <v/>
      </c>
      <c r="B5526">
        <f>IF(Calc!$B5526,INDEX(MineNames,Calc!C5526),"")</f>
        <v/>
      </c>
      <c r="C5526" s="17">
        <f>IF(Calc!$B5526,Calc!O5526,"")</f>
        <v/>
      </c>
    </row>
    <row r="5527">
      <c r="A5527" s="16">
        <f>IF(Calc!$B5527,Calc!E5527,"")</f>
        <v/>
      </c>
      <c r="B5527">
        <f>IF(Calc!$B5527,INDEX(MineNames,Calc!C5527),"")</f>
        <v/>
      </c>
      <c r="C5527" s="17">
        <f>IF(Calc!$B5527,Calc!O5527,"")</f>
        <v/>
      </c>
    </row>
    <row r="5528">
      <c r="A5528" s="16">
        <f>IF(Calc!$B5528,Calc!E5528,"")</f>
        <v/>
      </c>
      <c r="B5528">
        <f>IF(Calc!$B5528,INDEX(MineNames,Calc!C5528),"")</f>
        <v/>
      </c>
      <c r="C5528" s="17">
        <f>IF(Calc!$B5528,Calc!O5528,"")</f>
        <v/>
      </c>
    </row>
    <row r="5529">
      <c r="A5529" s="16">
        <f>IF(Calc!$B5529,Calc!E5529,"")</f>
        <v/>
      </c>
      <c r="B5529">
        <f>IF(Calc!$B5529,INDEX(MineNames,Calc!C5529),"")</f>
        <v/>
      </c>
      <c r="C5529" s="17">
        <f>IF(Calc!$B5529,Calc!O5529,"")</f>
        <v/>
      </c>
    </row>
    <row r="5530">
      <c r="A5530" s="16">
        <f>IF(Calc!$B5530,Calc!E5530,"")</f>
        <v/>
      </c>
      <c r="B5530">
        <f>IF(Calc!$B5530,INDEX(MineNames,Calc!C5530),"")</f>
        <v/>
      </c>
      <c r="C5530" s="17">
        <f>IF(Calc!$B5530,Calc!O5530,"")</f>
        <v/>
      </c>
    </row>
    <row r="5531">
      <c r="A5531" s="16">
        <f>IF(Calc!$B5531,Calc!E5531,"")</f>
        <v/>
      </c>
      <c r="B5531">
        <f>IF(Calc!$B5531,INDEX(MineNames,Calc!C5531),"")</f>
        <v/>
      </c>
      <c r="C5531" s="17">
        <f>IF(Calc!$B5531,Calc!O5531,"")</f>
        <v/>
      </c>
    </row>
    <row r="5532">
      <c r="A5532" s="16">
        <f>IF(Calc!$B5532,Calc!E5532,"")</f>
        <v/>
      </c>
      <c r="B5532">
        <f>IF(Calc!$B5532,INDEX(MineNames,Calc!C5532),"")</f>
        <v/>
      </c>
      <c r="C5532" s="17">
        <f>IF(Calc!$B5532,Calc!O5532,"")</f>
        <v/>
      </c>
    </row>
    <row r="5533">
      <c r="A5533" s="16">
        <f>IF(Calc!$B5533,Calc!E5533,"")</f>
        <v/>
      </c>
      <c r="B5533">
        <f>IF(Calc!$B5533,INDEX(MineNames,Calc!C5533),"")</f>
        <v/>
      </c>
      <c r="C5533" s="17">
        <f>IF(Calc!$B5533,Calc!O5533,"")</f>
        <v/>
      </c>
    </row>
    <row r="5534">
      <c r="A5534" s="16">
        <f>IF(Calc!$B5534,Calc!E5534,"")</f>
        <v/>
      </c>
      <c r="B5534">
        <f>IF(Calc!$B5534,INDEX(MineNames,Calc!C5534),"")</f>
        <v/>
      </c>
      <c r="C5534" s="17">
        <f>IF(Calc!$B5534,Calc!O5534,"")</f>
        <v/>
      </c>
    </row>
    <row r="5535">
      <c r="A5535" s="16">
        <f>IF(Calc!$B5535,Calc!E5535,"")</f>
        <v/>
      </c>
      <c r="B5535">
        <f>IF(Calc!$B5535,INDEX(MineNames,Calc!C5535),"")</f>
        <v/>
      </c>
      <c r="C5535" s="17">
        <f>IF(Calc!$B5535,Calc!O5535,"")</f>
        <v/>
      </c>
    </row>
    <row r="5536">
      <c r="A5536" s="16">
        <f>IF(Calc!$B5536,Calc!E5536,"")</f>
        <v/>
      </c>
      <c r="B5536">
        <f>IF(Calc!$B5536,INDEX(MineNames,Calc!C5536),"")</f>
        <v/>
      </c>
      <c r="C5536" s="17">
        <f>IF(Calc!$B5536,Calc!O5536,"")</f>
        <v/>
      </c>
    </row>
    <row r="5537">
      <c r="A5537" s="16">
        <f>IF(Calc!$B5537,Calc!E5537,"")</f>
        <v/>
      </c>
      <c r="B5537">
        <f>IF(Calc!$B5537,INDEX(MineNames,Calc!C5537),"")</f>
        <v/>
      </c>
      <c r="C5537" s="17">
        <f>IF(Calc!$B5537,Calc!O5537,"")</f>
        <v/>
      </c>
    </row>
    <row r="5538">
      <c r="A5538" s="16">
        <f>IF(Calc!$B5538,Calc!E5538,"")</f>
        <v/>
      </c>
      <c r="B5538">
        <f>IF(Calc!$B5538,INDEX(MineNames,Calc!C5538),"")</f>
        <v/>
      </c>
      <c r="C5538" s="17">
        <f>IF(Calc!$B5538,Calc!O5538,"")</f>
        <v/>
      </c>
    </row>
    <row r="5539">
      <c r="A5539" s="16">
        <f>IF(Calc!$B5539,Calc!E5539,"")</f>
        <v/>
      </c>
      <c r="B5539">
        <f>IF(Calc!$B5539,INDEX(MineNames,Calc!C5539),"")</f>
        <v/>
      </c>
      <c r="C5539" s="17">
        <f>IF(Calc!$B5539,Calc!O5539,"")</f>
        <v/>
      </c>
    </row>
    <row r="5540">
      <c r="A5540" s="16">
        <f>IF(Calc!$B5540,Calc!E5540,"")</f>
        <v/>
      </c>
      <c r="B5540">
        <f>IF(Calc!$B5540,INDEX(MineNames,Calc!C5540),"")</f>
        <v/>
      </c>
      <c r="C5540" s="17">
        <f>IF(Calc!$B5540,Calc!O5540,"")</f>
        <v/>
      </c>
    </row>
    <row r="5541">
      <c r="A5541" s="16">
        <f>IF(Calc!$B5541,Calc!E5541,"")</f>
        <v/>
      </c>
      <c r="B5541">
        <f>IF(Calc!$B5541,INDEX(MineNames,Calc!C5541),"")</f>
        <v/>
      </c>
      <c r="C5541" s="17">
        <f>IF(Calc!$B5541,Calc!O5541,"")</f>
        <v/>
      </c>
    </row>
    <row r="5542">
      <c r="A5542" s="16">
        <f>IF(Calc!$B5542,Calc!E5542,"")</f>
        <v/>
      </c>
      <c r="B5542">
        <f>IF(Calc!$B5542,INDEX(MineNames,Calc!C5542),"")</f>
        <v/>
      </c>
      <c r="C5542" s="17">
        <f>IF(Calc!$B5542,Calc!O5542,"")</f>
        <v/>
      </c>
    </row>
    <row r="5543">
      <c r="A5543" s="16">
        <f>IF(Calc!$B5543,Calc!E5543,"")</f>
        <v/>
      </c>
      <c r="B5543">
        <f>IF(Calc!$B5543,INDEX(MineNames,Calc!C5543),"")</f>
        <v/>
      </c>
      <c r="C5543" s="17">
        <f>IF(Calc!$B5543,Calc!O5543,"")</f>
        <v/>
      </c>
    </row>
    <row r="5544">
      <c r="A5544" s="16">
        <f>IF(Calc!$B5544,Calc!E5544,"")</f>
        <v/>
      </c>
      <c r="B5544">
        <f>IF(Calc!$B5544,INDEX(MineNames,Calc!C5544),"")</f>
        <v/>
      </c>
      <c r="C5544" s="17">
        <f>IF(Calc!$B5544,Calc!O5544,"")</f>
        <v/>
      </c>
    </row>
    <row r="5545">
      <c r="A5545" s="16">
        <f>IF(Calc!$B5545,Calc!E5545,"")</f>
        <v/>
      </c>
      <c r="B5545">
        <f>IF(Calc!$B5545,INDEX(MineNames,Calc!C5545),"")</f>
        <v/>
      </c>
      <c r="C5545" s="17">
        <f>IF(Calc!$B5545,Calc!O5545,"")</f>
        <v/>
      </c>
    </row>
    <row r="5546">
      <c r="A5546" s="16">
        <f>IF(Calc!$B5546,Calc!E5546,"")</f>
        <v/>
      </c>
      <c r="B5546">
        <f>IF(Calc!$B5546,INDEX(MineNames,Calc!C5546),"")</f>
        <v/>
      </c>
      <c r="C5546" s="17">
        <f>IF(Calc!$B5546,Calc!O5546,"")</f>
        <v/>
      </c>
    </row>
    <row r="5547">
      <c r="A5547" s="16">
        <f>IF(Calc!$B5547,Calc!E5547,"")</f>
        <v/>
      </c>
      <c r="B5547">
        <f>IF(Calc!$B5547,INDEX(MineNames,Calc!C5547),"")</f>
        <v/>
      </c>
      <c r="C5547" s="17">
        <f>IF(Calc!$B5547,Calc!O5547,"")</f>
        <v/>
      </c>
    </row>
    <row r="5548">
      <c r="A5548" s="16">
        <f>IF(Calc!$B5548,Calc!E5548,"")</f>
        <v/>
      </c>
      <c r="B5548">
        <f>IF(Calc!$B5548,INDEX(MineNames,Calc!C5548),"")</f>
        <v/>
      </c>
      <c r="C5548" s="17">
        <f>IF(Calc!$B5548,Calc!O5548,"")</f>
        <v/>
      </c>
    </row>
    <row r="5549">
      <c r="A5549" s="16">
        <f>IF(Calc!$B5549,Calc!E5549,"")</f>
        <v/>
      </c>
      <c r="B5549">
        <f>IF(Calc!$B5549,INDEX(MineNames,Calc!C5549),"")</f>
        <v/>
      </c>
      <c r="C5549" s="17">
        <f>IF(Calc!$B5549,Calc!O5549,"")</f>
        <v/>
      </c>
    </row>
    <row r="5550">
      <c r="A5550" s="16">
        <f>IF(Calc!$B5550,Calc!E5550,"")</f>
        <v/>
      </c>
      <c r="B5550">
        <f>IF(Calc!$B5550,INDEX(MineNames,Calc!C5550),"")</f>
        <v/>
      </c>
      <c r="C5550" s="17">
        <f>IF(Calc!$B5550,Calc!O5550,"")</f>
        <v/>
      </c>
    </row>
    <row r="5551">
      <c r="A5551" s="16">
        <f>IF(Calc!$B5551,Calc!E5551,"")</f>
        <v/>
      </c>
      <c r="B5551">
        <f>IF(Calc!$B5551,INDEX(MineNames,Calc!C5551),"")</f>
        <v/>
      </c>
      <c r="C5551" s="17">
        <f>IF(Calc!$B5551,Calc!O5551,"")</f>
        <v/>
      </c>
    </row>
    <row r="5552">
      <c r="A5552" s="16">
        <f>IF(Calc!$B5552,Calc!E5552,"")</f>
        <v/>
      </c>
      <c r="B5552">
        <f>IF(Calc!$B5552,INDEX(MineNames,Calc!C5552),"")</f>
        <v/>
      </c>
      <c r="C5552" s="17">
        <f>IF(Calc!$B5552,Calc!O5552,"")</f>
        <v/>
      </c>
    </row>
    <row r="5553">
      <c r="A5553" s="16">
        <f>IF(Calc!$B5553,Calc!E5553,"")</f>
        <v/>
      </c>
      <c r="B5553">
        <f>IF(Calc!$B5553,INDEX(MineNames,Calc!C5553),"")</f>
        <v/>
      </c>
      <c r="C5553" s="17">
        <f>IF(Calc!$B5553,Calc!O5553,"")</f>
        <v/>
      </c>
    </row>
    <row r="5554">
      <c r="A5554" s="16">
        <f>IF(Calc!$B5554,Calc!E5554,"")</f>
        <v/>
      </c>
      <c r="B5554">
        <f>IF(Calc!$B5554,INDEX(MineNames,Calc!C5554),"")</f>
        <v/>
      </c>
      <c r="C5554" s="17">
        <f>IF(Calc!$B5554,Calc!O5554,"")</f>
        <v/>
      </c>
    </row>
    <row r="5555">
      <c r="A5555" s="16">
        <f>IF(Calc!$B5555,Calc!E5555,"")</f>
        <v/>
      </c>
      <c r="B5555">
        <f>IF(Calc!$B5555,INDEX(MineNames,Calc!C5555),"")</f>
        <v/>
      </c>
      <c r="C5555" s="17">
        <f>IF(Calc!$B5555,Calc!O5555,"")</f>
        <v/>
      </c>
    </row>
    <row r="5556">
      <c r="A5556" s="16">
        <f>IF(Calc!$B5556,Calc!E5556,"")</f>
        <v/>
      </c>
      <c r="B5556">
        <f>IF(Calc!$B5556,INDEX(MineNames,Calc!C5556),"")</f>
        <v/>
      </c>
      <c r="C5556" s="17">
        <f>IF(Calc!$B5556,Calc!O5556,"")</f>
        <v/>
      </c>
    </row>
    <row r="5557">
      <c r="A5557" s="16">
        <f>IF(Calc!$B5557,Calc!E5557,"")</f>
        <v/>
      </c>
      <c r="B5557">
        <f>IF(Calc!$B5557,INDEX(MineNames,Calc!C5557),"")</f>
        <v/>
      </c>
      <c r="C5557" s="17">
        <f>IF(Calc!$B5557,Calc!O5557,"")</f>
        <v/>
      </c>
    </row>
    <row r="5558">
      <c r="A5558" s="16">
        <f>IF(Calc!$B5558,Calc!E5558,"")</f>
        <v/>
      </c>
      <c r="B5558">
        <f>IF(Calc!$B5558,INDEX(MineNames,Calc!C5558),"")</f>
        <v/>
      </c>
      <c r="C5558" s="17">
        <f>IF(Calc!$B5558,Calc!O5558,"")</f>
        <v/>
      </c>
    </row>
    <row r="5559">
      <c r="A5559" s="16">
        <f>IF(Calc!$B5559,Calc!E5559,"")</f>
        <v/>
      </c>
      <c r="B5559">
        <f>IF(Calc!$B5559,INDEX(MineNames,Calc!C5559),"")</f>
        <v/>
      </c>
      <c r="C5559" s="17">
        <f>IF(Calc!$B5559,Calc!O5559,"")</f>
        <v/>
      </c>
    </row>
    <row r="5560">
      <c r="A5560" s="16">
        <f>IF(Calc!$B5560,Calc!E5560,"")</f>
        <v/>
      </c>
      <c r="B5560">
        <f>IF(Calc!$B5560,INDEX(MineNames,Calc!C5560),"")</f>
        <v/>
      </c>
      <c r="C5560" s="17">
        <f>IF(Calc!$B5560,Calc!O5560,"")</f>
        <v/>
      </c>
    </row>
    <row r="5561">
      <c r="A5561" s="16">
        <f>IF(Calc!$B5561,Calc!E5561,"")</f>
        <v/>
      </c>
      <c r="B5561">
        <f>IF(Calc!$B5561,INDEX(MineNames,Calc!C5561),"")</f>
        <v/>
      </c>
      <c r="C5561" s="17">
        <f>IF(Calc!$B5561,Calc!O5561,"")</f>
        <v/>
      </c>
    </row>
    <row r="5562">
      <c r="A5562" s="16">
        <f>IF(Calc!$B5562,Calc!E5562,"")</f>
        <v/>
      </c>
      <c r="B5562">
        <f>IF(Calc!$B5562,INDEX(MineNames,Calc!C5562),"")</f>
        <v/>
      </c>
      <c r="C5562" s="17">
        <f>IF(Calc!$B5562,Calc!O5562,"")</f>
        <v/>
      </c>
    </row>
    <row r="5563">
      <c r="A5563" s="16">
        <f>IF(Calc!$B5563,Calc!E5563,"")</f>
        <v/>
      </c>
      <c r="B5563">
        <f>IF(Calc!$B5563,INDEX(MineNames,Calc!C5563),"")</f>
        <v/>
      </c>
      <c r="C5563" s="17">
        <f>IF(Calc!$B5563,Calc!O5563,"")</f>
        <v/>
      </c>
    </row>
    <row r="5564">
      <c r="A5564" s="16">
        <f>IF(Calc!$B5564,Calc!E5564,"")</f>
        <v/>
      </c>
      <c r="B5564">
        <f>IF(Calc!$B5564,INDEX(MineNames,Calc!C5564),"")</f>
        <v/>
      </c>
      <c r="C5564" s="17">
        <f>IF(Calc!$B5564,Calc!O5564,"")</f>
        <v/>
      </c>
    </row>
    <row r="5565">
      <c r="A5565" s="16">
        <f>IF(Calc!$B5565,Calc!E5565,"")</f>
        <v/>
      </c>
      <c r="B5565">
        <f>IF(Calc!$B5565,INDEX(MineNames,Calc!C5565),"")</f>
        <v/>
      </c>
      <c r="C5565" s="17">
        <f>IF(Calc!$B5565,Calc!O5565,"")</f>
        <v/>
      </c>
    </row>
    <row r="5566">
      <c r="A5566" s="16">
        <f>IF(Calc!$B5566,Calc!E5566,"")</f>
        <v/>
      </c>
      <c r="B5566">
        <f>IF(Calc!$B5566,INDEX(MineNames,Calc!C5566),"")</f>
        <v/>
      </c>
      <c r="C5566" s="17">
        <f>IF(Calc!$B5566,Calc!O5566,"")</f>
        <v/>
      </c>
    </row>
    <row r="5567">
      <c r="A5567" s="16">
        <f>IF(Calc!$B5567,Calc!E5567,"")</f>
        <v/>
      </c>
      <c r="B5567">
        <f>IF(Calc!$B5567,INDEX(MineNames,Calc!C5567),"")</f>
        <v/>
      </c>
      <c r="C5567" s="17">
        <f>IF(Calc!$B5567,Calc!O5567,"")</f>
        <v/>
      </c>
    </row>
    <row r="5568">
      <c r="A5568" s="16">
        <f>IF(Calc!$B5568,Calc!E5568,"")</f>
        <v/>
      </c>
      <c r="B5568">
        <f>IF(Calc!$B5568,INDEX(MineNames,Calc!C5568),"")</f>
        <v/>
      </c>
      <c r="C5568" s="17">
        <f>IF(Calc!$B5568,Calc!O5568,"")</f>
        <v/>
      </c>
    </row>
    <row r="5569">
      <c r="A5569" s="16">
        <f>IF(Calc!$B5569,Calc!E5569,"")</f>
        <v/>
      </c>
      <c r="B5569">
        <f>IF(Calc!$B5569,INDEX(MineNames,Calc!C5569),"")</f>
        <v/>
      </c>
      <c r="C5569" s="17">
        <f>IF(Calc!$B5569,Calc!O5569,"")</f>
        <v/>
      </c>
    </row>
    <row r="5570">
      <c r="A5570" s="16">
        <f>IF(Calc!$B5570,Calc!E5570,"")</f>
        <v/>
      </c>
      <c r="B5570">
        <f>IF(Calc!$B5570,INDEX(MineNames,Calc!C5570),"")</f>
        <v/>
      </c>
      <c r="C5570" s="17">
        <f>IF(Calc!$B5570,Calc!O5570,"")</f>
        <v/>
      </c>
    </row>
    <row r="5571">
      <c r="A5571" s="16">
        <f>IF(Calc!$B5571,Calc!E5571,"")</f>
        <v/>
      </c>
      <c r="B5571">
        <f>IF(Calc!$B5571,INDEX(MineNames,Calc!C5571),"")</f>
        <v/>
      </c>
      <c r="C5571" s="17">
        <f>IF(Calc!$B5571,Calc!O5571,"")</f>
        <v/>
      </c>
    </row>
    <row r="5572">
      <c r="A5572" s="16">
        <f>IF(Calc!$B5572,Calc!E5572,"")</f>
        <v/>
      </c>
      <c r="B5572">
        <f>IF(Calc!$B5572,INDEX(MineNames,Calc!C5572),"")</f>
        <v/>
      </c>
      <c r="C5572" s="17">
        <f>IF(Calc!$B5572,Calc!O5572,"")</f>
        <v/>
      </c>
    </row>
    <row r="5573">
      <c r="A5573" s="16">
        <f>IF(Calc!$B5573,Calc!E5573,"")</f>
        <v/>
      </c>
      <c r="B5573">
        <f>IF(Calc!$B5573,INDEX(MineNames,Calc!C5573),"")</f>
        <v/>
      </c>
      <c r="C5573" s="17">
        <f>IF(Calc!$B5573,Calc!O5573,"")</f>
        <v/>
      </c>
    </row>
    <row r="5574">
      <c r="A5574" s="16">
        <f>IF(Calc!$B5574,Calc!E5574,"")</f>
        <v/>
      </c>
      <c r="B5574">
        <f>IF(Calc!$B5574,INDEX(MineNames,Calc!C5574),"")</f>
        <v/>
      </c>
      <c r="C5574" s="17">
        <f>IF(Calc!$B5574,Calc!O5574,"")</f>
        <v/>
      </c>
    </row>
    <row r="5575">
      <c r="A5575" s="16">
        <f>IF(Calc!$B5575,Calc!E5575,"")</f>
        <v/>
      </c>
      <c r="B5575">
        <f>IF(Calc!$B5575,INDEX(MineNames,Calc!C5575),"")</f>
        <v/>
      </c>
      <c r="C5575" s="17">
        <f>IF(Calc!$B5575,Calc!O5575,"")</f>
        <v/>
      </c>
    </row>
    <row r="5576">
      <c r="A5576" s="16">
        <f>IF(Calc!$B5576,Calc!E5576,"")</f>
        <v/>
      </c>
      <c r="B5576">
        <f>IF(Calc!$B5576,INDEX(MineNames,Calc!C5576),"")</f>
        <v/>
      </c>
      <c r="C5576" s="17">
        <f>IF(Calc!$B5576,Calc!O5576,"")</f>
        <v/>
      </c>
    </row>
    <row r="5577">
      <c r="A5577" s="16">
        <f>IF(Calc!$B5577,Calc!E5577,"")</f>
        <v/>
      </c>
      <c r="B5577">
        <f>IF(Calc!$B5577,INDEX(MineNames,Calc!C5577),"")</f>
        <v/>
      </c>
      <c r="C5577" s="17">
        <f>IF(Calc!$B5577,Calc!O5577,"")</f>
        <v/>
      </c>
    </row>
    <row r="5578">
      <c r="A5578" s="16">
        <f>IF(Calc!$B5578,Calc!E5578,"")</f>
        <v/>
      </c>
      <c r="B5578">
        <f>IF(Calc!$B5578,INDEX(MineNames,Calc!C5578),"")</f>
        <v/>
      </c>
      <c r="C5578" s="17">
        <f>IF(Calc!$B5578,Calc!O5578,"")</f>
        <v/>
      </c>
    </row>
    <row r="5579">
      <c r="A5579" s="16">
        <f>IF(Calc!$B5579,Calc!E5579,"")</f>
        <v/>
      </c>
      <c r="B5579">
        <f>IF(Calc!$B5579,INDEX(MineNames,Calc!C5579),"")</f>
        <v/>
      </c>
      <c r="C5579" s="17">
        <f>IF(Calc!$B5579,Calc!O5579,"")</f>
        <v/>
      </c>
    </row>
    <row r="5580">
      <c r="A5580" s="16">
        <f>IF(Calc!$B5580,Calc!E5580,"")</f>
        <v/>
      </c>
      <c r="B5580">
        <f>IF(Calc!$B5580,INDEX(MineNames,Calc!C5580),"")</f>
        <v/>
      </c>
      <c r="C5580" s="17">
        <f>IF(Calc!$B5580,Calc!O5580,"")</f>
        <v/>
      </c>
    </row>
    <row r="5581">
      <c r="A5581" s="16">
        <f>IF(Calc!$B5581,Calc!E5581,"")</f>
        <v/>
      </c>
      <c r="B5581">
        <f>IF(Calc!$B5581,INDEX(MineNames,Calc!C5581),"")</f>
        <v/>
      </c>
      <c r="C5581" s="17">
        <f>IF(Calc!$B5581,Calc!O5581,"")</f>
        <v/>
      </c>
    </row>
    <row r="5582">
      <c r="A5582" s="16">
        <f>IF(Calc!$B5582,Calc!E5582,"")</f>
        <v/>
      </c>
      <c r="B5582">
        <f>IF(Calc!$B5582,INDEX(MineNames,Calc!C5582),"")</f>
        <v/>
      </c>
      <c r="C5582" s="17">
        <f>IF(Calc!$B5582,Calc!O5582,"")</f>
        <v/>
      </c>
    </row>
    <row r="5583">
      <c r="A5583" s="16">
        <f>IF(Calc!$B5583,Calc!E5583,"")</f>
        <v/>
      </c>
      <c r="B5583">
        <f>IF(Calc!$B5583,INDEX(MineNames,Calc!C5583),"")</f>
        <v/>
      </c>
      <c r="C5583" s="17">
        <f>IF(Calc!$B5583,Calc!O5583,"")</f>
        <v/>
      </c>
    </row>
    <row r="5584">
      <c r="A5584" s="16">
        <f>IF(Calc!$B5584,Calc!E5584,"")</f>
        <v/>
      </c>
      <c r="B5584">
        <f>IF(Calc!$B5584,INDEX(MineNames,Calc!C5584),"")</f>
        <v/>
      </c>
      <c r="C5584" s="17">
        <f>IF(Calc!$B5584,Calc!O5584,"")</f>
        <v/>
      </c>
    </row>
    <row r="5585">
      <c r="A5585" s="16">
        <f>IF(Calc!$B5585,Calc!E5585,"")</f>
        <v/>
      </c>
      <c r="B5585">
        <f>IF(Calc!$B5585,INDEX(MineNames,Calc!C5585),"")</f>
        <v/>
      </c>
      <c r="C5585" s="17">
        <f>IF(Calc!$B5585,Calc!O5585,"")</f>
        <v/>
      </c>
    </row>
    <row r="5586">
      <c r="A5586" s="16">
        <f>IF(Calc!$B5586,Calc!E5586,"")</f>
        <v/>
      </c>
      <c r="B5586">
        <f>IF(Calc!$B5586,INDEX(MineNames,Calc!C5586),"")</f>
        <v/>
      </c>
      <c r="C5586" s="17">
        <f>IF(Calc!$B5586,Calc!O5586,"")</f>
        <v/>
      </c>
    </row>
    <row r="5587">
      <c r="A5587" s="16">
        <f>IF(Calc!$B5587,Calc!E5587,"")</f>
        <v/>
      </c>
      <c r="B5587">
        <f>IF(Calc!$B5587,INDEX(MineNames,Calc!C5587),"")</f>
        <v/>
      </c>
      <c r="C5587" s="17">
        <f>IF(Calc!$B5587,Calc!O5587,"")</f>
        <v/>
      </c>
    </row>
    <row r="5588">
      <c r="A5588" s="16">
        <f>IF(Calc!$B5588,Calc!E5588,"")</f>
        <v/>
      </c>
      <c r="B5588">
        <f>IF(Calc!$B5588,INDEX(MineNames,Calc!C5588),"")</f>
        <v/>
      </c>
      <c r="C5588" s="17">
        <f>IF(Calc!$B5588,Calc!O5588,"")</f>
        <v/>
      </c>
    </row>
    <row r="5589">
      <c r="A5589" s="16">
        <f>IF(Calc!$B5589,Calc!E5589,"")</f>
        <v/>
      </c>
      <c r="B5589">
        <f>IF(Calc!$B5589,INDEX(MineNames,Calc!C5589),"")</f>
        <v/>
      </c>
      <c r="C5589" s="17">
        <f>IF(Calc!$B5589,Calc!O5589,"")</f>
        <v/>
      </c>
    </row>
    <row r="5590">
      <c r="A5590" s="16">
        <f>IF(Calc!$B5590,Calc!E5590,"")</f>
        <v/>
      </c>
      <c r="B5590">
        <f>IF(Calc!$B5590,INDEX(MineNames,Calc!C5590),"")</f>
        <v/>
      </c>
      <c r="C5590" s="17">
        <f>IF(Calc!$B5590,Calc!O5590,"")</f>
        <v/>
      </c>
    </row>
    <row r="5591">
      <c r="A5591" s="16">
        <f>IF(Calc!$B5591,Calc!E5591,"")</f>
        <v/>
      </c>
      <c r="B5591">
        <f>IF(Calc!$B5591,INDEX(MineNames,Calc!C5591),"")</f>
        <v/>
      </c>
      <c r="C5591" s="17">
        <f>IF(Calc!$B5591,Calc!O5591,"")</f>
        <v/>
      </c>
    </row>
    <row r="5592">
      <c r="A5592" s="16">
        <f>IF(Calc!$B5592,Calc!E5592,"")</f>
        <v/>
      </c>
      <c r="B5592">
        <f>IF(Calc!$B5592,INDEX(MineNames,Calc!C5592),"")</f>
        <v/>
      </c>
      <c r="C5592" s="17">
        <f>IF(Calc!$B5592,Calc!O5592,"")</f>
        <v/>
      </c>
    </row>
    <row r="5593">
      <c r="A5593" s="16">
        <f>IF(Calc!$B5593,Calc!E5593,"")</f>
        <v/>
      </c>
      <c r="B5593">
        <f>IF(Calc!$B5593,INDEX(MineNames,Calc!C5593),"")</f>
        <v/>
      </c>
      <c r="C5593" s="17">
        <f>IF(Calc!$B5593,Calc!O5593,"")</f>
        <v/>
      </c>
    </row>
    <row r="5594">
      <c r="A5594" s="16">
        <f>IF(Calc!$B5594,Calc!E5594,"")</f>
        <v/>
      </c>
      <c r="B5594">
        <f>IF(Calc!$B5594,INDEX(MineNames,Calc!C5594),"")</f>
        <v/>
      </c>
      <c r="C5594" s="17">
        <f>IF(Calc!$B5594,Calc!O5594,"")</f>
        <v/>
      </c>
    </row>
    <row r="5595">
      <c r="A5595" s="16">
        <f>IF(Calc!$B5595,Calc!E5595,"")</f>
        <v/>
      </c>
      <c r="B5595">
        <f>IF(Calc!$B5595,INDEX(MineNames,Calc!C5595),"")</f>
        <v/>
      </c>
      <c r="C5595" s="17">
        <f>IF(Calc!$B5595,Calc!O5595,"")</f>
        <v/>
      </c>
    </row>
    <row r="5596">
      <c r="A5596" s="16">
        <f>IF(Calc!$B5596,Calc!E5596,"")</f>
        <v/>
      </c>
      <c r="B5596">
        <f>IF(Calc!$B5596,INDEX(MineNames,Calc!C5596),"")</f>
        <v/>
      </c>
      <c r="C5596" s="17">
        <f>IF(Calc!$B5596,Calc!O5596,"")</f>
        <v/>
      </c>
    </row>
    <row r="5597">
      <c r="A5597" s="16">
        <f>IF(Calc!$B5597,Calc!E5597,"")</f>
        <v/>
      </c>
      <c r="B5597">
        <f>IF(Calc!$B5597,INDEX(MineNames,Calc!C5597),"")</f>
        <v/>
      </c>
      <c r="C5597" s="17">
        <f>IF(Calc!$B5597,Calc!O5597,"")</f>
        <v/>
      </c>
    </row>
    <row r="5598">
      <c r="A5598" s="16">
        <f>IF(Calc!$B5598,Calc!E5598,"")</f>
        <v/>
      </c>
      <c r="B5598">
        <f>IF(Calc!$B5598,INDEX(MineNames,Calc!C5598),"")</f>
        <v/>
      </c>
      <c r="C5598" s="17">
        <f>IF(Calc!$B5598,Calc!O5598,"")</f>
        <v/>
      </c>
    </row>
    <row r="5599">
      <c r="A5599" s="16">
        <f>IF(Calc!$B5599,Calc!E5599,"")</f>
        <v/>
      </c>
      <c r="B5599">
        <f>IF(Calc!$B5599,INDEX(MineNames,Calc!C5599),"")</f>
        <v/>
      </c>
      <c r="C5599" s="17">
        <f>IF(Calc!$B5599,Calc!O5599,"")</f>
        <v/>
      </c>
    </row>
    <row r="5600">
      <c r="A5600" s="16">
        <f>IF(Calc!$B5600,Calc!E5600,"")</f>
        <v/>
      </c>
      <c r="B5600">
        <f>IF(Calc!$B5600,INDEX(MineNames,Calc!C5600),"")</f>
        <v/>
      </c>
      <c r="C5600" s="17">
        <f>IF(Calc!$B5600,Calc!O5600,"")</f>
        <v/>
      </c>
    </row>
    <row r="5601">
      <c r="A5601" s="16">
        <f>IF(Calc!$B5601,Calc!E5601,"")</f>
        <v/>
      </c>
      <c r="B5601">
        <f>IF(Calc!$B5601,INDEX(MineNames,Calc!C5601),"")</f>
        <v/>
      </c>
      <c r="C5601" s="17">
        <f>IF(Calc!$B5601,Calc!O5601,"")</f>
        <v/>
      </c>
    </row>
    <row r="5602">
      <c r="A5602" s="16">
        <f>IF(Calc!$B5602,Calc!E5602,"")</f>
        <v/>
      </c>
      <c r="B5602">
        <f>IF(Calc!$B5602,INDEX(MineNames,Calc!C5602),"")</f>
        <v/>
      </c>
      <c r="C5602" s="17">
        <f>IF(Calc!$B5602,Calc!O5602,"")</f>
        <v/>
      </c>
    </row>
    <row r="5603">
      <c r="A5603" s="16">
        <f>IF(Calc!$B5603,Calc!E5603,"")</f>
        <v/>
      </c>
      <c r="B5603">
        <f>IF(Calc!$B5603,INDEX(MineNames,Calc!C5603),"")</f>
        <v/>
      </c>
      <c r="C5603" s="17">
        <f>IF(Calc!$B5603,Calc!O5603,"")</f>
        <v/>
      </c>
    </row>
    <row r="5604">
      <c r="A5604" s="16">
        <f>IF(Calc!$B5604,Calc!E5604,"")</f>
        <v/>
      </c>
      <c r="B5604">
        <f>IF(Calc!$B5604,INDEX(MineNames,Calc!C5604),"")</f>
        <v/>
      </c>
      <c r="C5604" s="17">
        <f>IF(Calc!$B5604,Calc!O5604,"")</f>
        <v/>
      </c>
    </row>
    <row r="5605">
      <c r="A5605" s="16">
        <f>IF(Calc!$B5605,Calc!E5605,"")</f>
        <v/>
      </c>
      <c r="B5605">
        <f>IF(Calc!$B5605,INDEX(MineNames,Calc!C5605),"")</f>
        <v/>
      </c>
      <c r="C5605" s="17">
        <f>IF(Calc!$B5605,Calc!O5605,"")</f>
        <v/>
      </c>
    </row>
    <row r="5606">
      <c r="A5606" s="16">
        <f>IF(Calc!$B5606,Calc!E5606,"")</f>
        <v/>
      </c>
      <c r="B5606">
        <f>IF(Calc!$B5606,INDEX(MineNames,Calc!C5606),"")</f>
        <v/>
      </c>
      <c r="C5606" s="17">
        <f>IF(Calc!$B5606,Calc!O5606,"")</f>
        <v/>
      </c>
    </row>
    <row r="5607">
      <c r="A5607" s="16">
        <f>IF(Calc!$B5607,Calc!E5607,"")</f>
        <v/>
      </c>
      <c r="B5607">
        <f>IF(Calc!$B5607,INDEX(MineNames,Calc!C5607),"")</f>
        <v/>
      </c>
      <c r="C5607" s="17">
        <f>IF(Calc!$B5607,Calc!O5607,"")</f>
        <v/>
      </c>
    </row>
    <row r="5608">
      <c r="A5608" s="16">
        <f>IF(Calc!$B5608,Calc!E5608,"")</f>
        <v/>
      </c>
      <c r="B5608">
        <f>IF(Calc!$B5608,INDEX(MineNames,Calc!C5608),"")</f>
        <v/>
      </c>
      <c r="C5608" s="17">
        <f>IF(Calc!$B5608,Calc!O5608,"")</f>
        <v/>
      </c>
    </row>
    <row r="5609">
      <c r="A5609" s="16">
        <f>IF(Calc!$B5609,Calc!E5609,"")</f>
        <v/>
      </c>
      <c r="B5609">
        <f>IF(Calc!$B5609,INDEX(MineNames,Calc!C5609),"")</f>
        <v/>
      </c>
      <c r="C5609" s="17">
        <f>IF(Calc!$B5609,Calc!O5609,"")</f>
        <v/>
      </c>
    </row>
    <row r="5610">
      <c r="A5610" s="16">
        <f>IF(Calc!$B5610,Calc!E5610,"")</f>
        <v/>
      </c>
      <c r="B5610">
        <f>IF(Calc!$B5610,INDEX(MineNames,Calc!C5610),"")</f>
        <v/>
      </c>
      <c r="C5610" s="17">
        <f>IF(Calc!$B5610,Calc!O5610,"")</f>
        <v/>
      </c>
    </row>
    <row r="5611">
      <c r="A5611" s="16">
        <f>IF(Calc!$B5611,Calc!E5611,"")</f>
        <v/>
      </c>
      <c r="B5611">
        <f>IF(Calc!$B5611,INDEX(MineNames,Calc!C5611),"")</f>
        <v/>
      </c>
      <c r="C5611" s="17">
        <f>IF(Calc!$B5611,Calc!O5611,"")</f>
        <v/>
      </c>
    </row>
    <row r="5612">
      <c r="A5612" s="16">
        <f>IF(Calc!$B5612,Calc!E5612,"")</f>
        <v/>
      </c>
      <c r="B5612">
        <f>IF(Calc!$B5612,INDEX(MineNames,Calc!C5612),"")</f>
        <v/>
      </c>
      <c r="C5612" s="17">
        <f>IF(Calc!$B5612,Calc!O5612,"")</f>
        <v/>
      </c>
    </row>
    <row r="5613">
      <c r="A5613" s="16">
        <f>IF(Calc!$B5613,Calc!E5613,"")</f>
        <v/>
      </c>
      <c r="B5613">
        <f>IF(Calc!$B5613,INDEX(MineNames,Calc!C5613),"")</f>
        <v/>
      </c>
      <c r="C5613" s="17">
        <f>IF(Calc!$B5613,Calc!O5613,"")</f>
        <v/>
      </c>
    </row>
    <row r="5614">
      <c r="A5614" s="16">
        <f>IF(Calc!$B5614,Calc!E5614,"")</f>
        <v/>
      </c>
      <c r="B5614">
        <f>IF(Calc!$B5614,INDEX(MineNames,Calc!C5614),"")</f>
        <v/>
      </c>
      <c r="C5614" s="17">
        <f>IF(Calc!$B5614,Calc!O5614,"")</f>
        <v/>
      </c>
    </row>
    <row r="5615">
      <c r="A5615" s="16">
        <f>IF(Calc!$B5615,Calc!E5615,"")</f>
        <v/>
      </c>
      <c r="B5615">
        <f>IF(Calc!$B5615,INDEX(MineNames,Calc!C5615),"")</f>
        <v/>
      </c>
      <c r="C5615" s="17">
        <f>IF(Calc!$B5615,Calc!O5615,"")</f>
        <v/>
      </c>
    </row>
    <row r="5616">
      <c r="A5616" s="16">
        <f>IF(Calc!$B5616,Calc!E5616,"")</f>
        <v/>
      </c>
      <c r="B5616">
        <f>IF(Calc!$B5616,INDEX(MineNames,Calc!C5616),"")</f>
        <v/>
      </c>
      <c r="C5616" s="17">
        <f>IF(Calc!$B5616,Calc!O5616,"")</f>
        <v/>
      </c>
    </row>
    <row r="5617">
      <c r="A5617" s="16">
        <f>IF(Calc!$B5617,Calc!E5617,"")</f>
        <v/>
      </c>
      <c r="B5617">
        <f>IF(Calc!$B5617,INDEX(MineNames,Calc!C5617),"")</f>
        <v/>
      </c>
      <c r="C5617" s="17">
        <f>IF(Calc!$B5617,Calc!O5617,"")</f>
        <v/>
      </c>
    </row>
    <row r="5618">
      <c r="A5618" s="16">
        <f>IF(Calc!$B5618,Calc!E5618,"")</f>
        <v/>
      </c>
      <c r="B5618">
        <f>IF(Calc!$B5618,INDEX(MineNames,Calc!C5618),"")</f>
        <v/>
      </c>
      <c r="C5618" s="17">
        <f>IF(Calc!$B5618,Calc!O5618,"")</f>
        <v/>
      </c>
    </row>
    <row r="5619">
      <c r="A5619" s="16">
        <f>IF(Calc!$B5619,Calc!E5619,"")</f>
        <v/>
      </c>
      <c r="B5619">
        <f>IF(Calc!$B5619,INDEX(MineNames,Calc!C5619),"")</f>
        <v/>
      </c>
      <c r="C5619" s="17">
        <f>IF(Calc!$B5619,Calc!O5619,"")</f>
        <v/>
      </c>
    </row>
    <row r="5620">
      <c r="A5620" s="16">
        <f>IF(Calc!$B5620,Calc!E5620,"")</f>
        <v/>
      </c>
      <c r="B5620">
        <f>IF(Calc!$B5620,INDEX(MineNames,Calc!C5620),"")</f>
        <v/>
      </c>
      <c r="C5620" s="17">
        <f>IF(Calc!$B5620,Calc!O5620,"")</f>
        <v/>
      </c>
    </row>
    <row r="5621">
      <c r="A5621" s="16">
        <f>IF(Calc!$B5621,Calc!E5621,"")</f>
        <v/>
      </c>
      <c r="B5621">
        <f>IF(Calc!$B5621,INDEX(MineNames,Calc!C5621),"")</f>
        <v/>
      </c>
      <c r="C5621" s="17">
        <f>IF(Calc!$B5621,Calc!O5621,"")</f>
        <v/>
      </c>
    </row>
    <row r="5622">
      <c r="A5622" s="16">
        <f>IF(Calc!$B5622,Calc!E5622,"")</f>
        <v/>
      </c>
      <c r="B5622">
        <f>IF(Calc!$B5622,INDEX(MineNames,Calc!C5622),"")</f>
        <v/>
      </c>
      <c r="C5622" s="17">
        <f>IF(Calc!$B5622,Calc!O5622,"")</f>
        <v/>
      </c>
    </row>
    <row r="5623">
      <c r="A5623" s="16">
        <f>IF(Calc!$B5623,Calc!E5623,"")</f>
        <v/>
      </c>
      <c r="B5623">
        <f>IF(Calc!$B5623,INDEX(MineNames,Calc!C5623),"")</f>
        <v/>
      </c>
      <c r="C5623" s="17">
        <f>IF(Calc!$B5623,Calc!O5623,"")</f>
        <v/>
      </c>
    </row>
    <row r="5624">
      <c r="A5624" s="16">
        <f>IF(Calc!$B5624,Calc!E5624,"")</f>
        <v/>
      </c>
      <c r="B5624">
        <f>IF(Calc!$B5624,INDEX(MineNames,Calc!C5624),"")</f>
        <v/>
      </c>
      <c r="C5624" s="17">
        <f>IF(Calc!$B5624,Calc!O5624,"")</f>
        <v/>
      </c>
    </row>
    <row r="5625">
      <c r="A5625" s="16">
        <f>IF(Calc!$B5625,Calc!E5625,"")</f>
        <v/>
      </c>
      <c r="B5625">
        <f>IF(Calc!$B5625,INDEX(MineNames,Calc!C5625),"")</f>
        <v/>
      </c>
      <c r="C5625" s="17">
        <f>IF(Calc!$B5625,Calc!O5625,"")</f>
        <v/>
      </c>
    </row>
    <row r="5626">
      <c r="A5626" s="16">
        <f>IF(Calc!$B5626,Calc!E5626,"")</f>
        <v/>
      </c>
      <c r="B5626">
        <f>IF(Calc!$B5626,INDEX(MineNames,Calc!C5626),"")</f>
        <v/>
      </c>
      <c r="C5626" s="17">
        <f>IF(Calc!$B5626,Calc!O5626,"")</f>
        <v/>
      </c>
    </row>
    <row r="5627">
      <c r="A5627" s="16">
        <f>IF(Calc!$B5627,Calc!E5627,"")</f>
        <v/>
      </c>
      <c r="B5627">
        <f>IF(Calc!$B5627,INDEX(MineNames,Calc!C5627),"")</f>
        <v/>
      </c>
      <c r="C5627" s="17">
        <f>IF(Calc!$B5627,Calc!O5627,"")</f>
        <v/>
      </c>
    </row>
    <row r="5628">
      <c r="A5628" s="16">
        <f>IF(Calc!$B5628,Calc!E5628,"")</f>
        <v/>
      </c>
      <c r="B5628">
        <f>IF(Calc!$B5628,INDEX(MineNames,Calc!C5628),"")</f>
        <v/>
      </c>
      <c r="C5628" s="17">
        <f>IF(Calc!$B5628,Calc!O5628,"")</f>
        <v/>
      </c>
    </row>
    <row r="5629">
      <c r="A5629" s="16">
        <f>IF(Calc!$B5629,Calc!E5629,"")</f>
        <v/>
      </c>
      <c r="B5629">
        <f>IF(Calc!$B5629,INDEX(MineNames,Calc!C5629),"")</f>
        <v/>
      </c>
      <c r="C5629" s="17">
        <f>IF(Calc!$B5629,Calc!O5629,"")</f>
        <v/>
      </c>
    </row>
    <row r="5630">
      <c r="A5630" s="16">
        <f>IF(Calc!$B5630,Calc!E5630,"")</f>
        <v/>
      </c>
      <c r="B5630">
        <f>IF(Calc!$B5630,INDEX(MineNames,Calc!C5630),"")</f>
        <v/>
      </c>
      <c r="C5630" s="17">
        <f>IF(Calc!$B5630,Calc!O5630,"")</f>
        <v/>
      </c>
    </row>
    <row r="5631">
      <c r="A5631" s="16">
        <f>IF(Calc!$B5631,Calc!E5631,"")</f>
        <v/>
      </c>
      <c r="B5631">
        <f>IF(Calc!$B5631,INDEX(MineNames,Calc!C5631),"")</f>
        <v/>
      </c>
      <c r="C5631" s="17">
        <f>IF(Calc!$B5631,Calc!O5631,"")</f>
        <v/>
      </c>
    </row>
    <row r="5632">
      <c r="A5632" s="16">
        <f>IF(Calc!$B5632,Calc!E5632,"")</f>
        <v/>
      </c>
      <c r="B5632">
        <f>IF(Calc!$B5632,INDEX(MineNames,Calc!C5632),"")</f>
        <v/>
      </c>
      <c r="C5632" s="17">
        <f>IF(Calc!$B5632,Calc!O5632,"")</f>
        <v/>
      </c>
    </row>
    <row r="5633">
      <c r="A5633" s="16">
        <f>IF(Calc!$B5633,Calc!E5633,"")</f>
        <v/>
      </c>
      <c r="B5633">
        <f>IF(Calc!$B5633,INDEX(MineNames,Calc!C5633),"")</f>
        <v/>
      </c>
      <c r="C5633" s="17">
        <f>IF(Calc!$B5633,Calc!O5633,"")</f>
        <v/>
      </c>
    </row>
    <row r="5634">
      <c r="A5634" s="16">
        <f>IF(Calc!$B5634,Calc!E5634,"")</f>
        <v/>
      </c>
      <c r="B5634">
        <f>IF(Calc!$B5634,INDEX(MineNames,Calc!C5634),"")</f>
        <v/>
      </c>
      <c r="C5634" s="17">
        <f>IF(Calc!$B5634,Calc!O5634,"")</f>
        <v/>
      </c>
    </row>
    <row r="5635">
      <c r="A5635" s="16">
        <f>IF(Calc!$B5635,Calc!E5635,"")</f>
        <v/>
      </c>
      <c r="B5635">
        <f>IF(Calc!$B5635,INDEX(MineNames,Calc!C5635),"")</f>
        <v/>
      </c>
      <c r="C5635" s="17">
        <f>IF(Calc!$B5635,Calc!O5635,"")</f>
        <v/>
      </c>
    </row>
    <row r="5636">
      <c r="A5636" s="16">
        <f>IF(Calc!$B5636,Calc!E5636,"")</f>
        <v/>
      </c>
      <c r="B5636">
        <f>IF(Calc!$B5636,INDEX(MineNames,Calc!C5636),"")</f>
        <v/>
      </c>
      <c r="C5636" s="17">
        <f>IF(Calc!$B5636,Calc!O5636,"")</f>
        <v/>
      </c>
    </row>
    <row r="5637">
      <c r="A5637" s="16">
        <f>IF(Calc!$B5637,Calc!E5637,"")</f>
        <v/>
      </c>
      <c r="B5637">
        <f>IF(Calc!$B5637,INDEX(MineNames,Calc!C5637),"")</f>
        <v/>
      </c>
      <c r="C5637" s="17">
        <f>IF(Calc!$B5637,Calc!O5637,"")</f>
        <v/>
      </c>
    </row>
    <row r="5638">
      <c r="A5638" s="16">
        <f>IF(Calc!$B5638,Calc!E5638,"")</f>
        <v/>
      </c>
      <c r="B5638">
        <f>IF(Calc!$B5638,INDEX(MineNames,Calc!C5638),"")</f>
        <v/>
      </c>
      <c r="C5638" s="17">
        <f>IF(Calc!$B5638,Calc!O5638,"")</f>
        <v/>
      </c>
    </row>
    <row r="5639">
      <c r="A5639" s="16">
        <f>IF(Calc!$B5639,Calc!E5639,"")</f>
        <v/>
      </c>
      <c r="B5639">
        <f>IF(Calc!$B5639,INDEX(MineNames,Calc!C5639),"")</f>
        <v/>
      </c>
      <c r="C5639" s="17">
        <f>IF(Calc!$B5639,Calc!O5639,"")</f>
        <v/>
      </c>
    </row>
    <row r="5640">
      <c r="A5640" s="16">
        <f>IF(Calc!$B5640,Calc!E5640,"")</f>
        <v/>
      </c>
      <c r="B5640">
        <f>IF(Calc!$B5640,INDEX(MineNames,Calc!C5640),"")</f>
        <v/>
      </c>
      <c r="C5640" s="17">
        <f>IF(Calc!$B5640,Calc!O5640,"")</f>
        <v/>
      </c>
    </row>
    <row r="5641">
      <c r="A5641" s="16">
        <f>IF(Calc!$B5641,Calc!E5641,"")</f>
        <v/>
      </c>
      <c r="B5641">
        <f>IF(Calc!$B5641,INDEX(MineNames,Calc!C5641),"")</f>
        <v/>
      </c>
      <c r="C5641" s="17">
        <f>IF(Calc!$B5641,Calc!O5641,"")</f>
        <v/>
      </c>
    </row>
    <row r="5642">
      <c r="A5642" s="16">
        <f>IF(Calc!$B5642,Calc!E5642,"")</f>
        <v/>
      </c>
      <c r="B5642">
        <f>IF(Calc!$B5642,INDEX(MineNames,Calc!C5642),"")</f>
        <v/>
      </c>
      <c r="C5642" s="17">
        <f>IF(Calc!$B5642,Calc!O5642,"")</f>
        <v/>
      </c>
    </row>
    <row r="5643">
      <c r="A5643" s="16">
        <f>IF(Calc!$B5643,Calc!E5643,"")</f>
        <v/>
      </c>
      <c r="B5643">
        <f>IF(Calc!$B5643,INDEX(MineNames,Calc!C5643),"")</f>
        <v/>
      </c>
      <c r="C5643" s="17">
        <f>IF(Calc!$B5643,Calc!O5643,"")</f>
        <v/>
      </c>
    </row>
    <row r="5644">
      <c r="A5644" s="16">
        <f>IF(Calc!$B5644,Calc!E5644,"")</f>
        <v/>
      </c>
      <c r="B5644">
        <f>IF(Calc!$B5644,INDEX(MineNames,Calc!C5644),"")</f>
        <v/>
      </c>
      <c r="C5644" s="17">
        <f>IF(Calc!$B5644,Calc!O5644,"")</f>
        <v/>
      </c>
    </row>
    <row r="5645">
      <c r="A5645" s="16">
        <f>IF(Calc!$B5645,Calc!E5645,"")</f>
        <v/>
      </c>
      <c r="B5645">
        <f>IF(Calc!$B5645,INDEX(MineNames,Calc!C5645),"")</f>
        <v/>
      </c>
      <c r="C5645" s="17">
        <f>IF(Calc!$B5645,Calc!O5645,"")</f>
        <v/>
      </c>
    </row>
    <row r="5646">
      <c r="A5646" s="16">
        <f>IF(Calc!$B5646,Calc!E5646,"")</f>
        <v/>
      </c>
      <c r="B5646">
        <f>IF(Calc!$B5646,INDEX(MineNames,Calc!C5646),"")</f>
        <v/>
      </c>
      <c r="C5646" s="17">
        <f>IF(Calc!$B5646,Calc!O5646,"")</f>
        <v/>
      </c>
    </row>
    <row r="5647">
      <c r="A5647" s="16">
        <f>IF(Calc!$B5647,Calc!E5647,"")</f>
        <v/>
      </c>
      <c r="B5647">
        <f>IF(Calc!$B5647,INDEX(MineNames,Calc!C5647),"")</f>
        <v/>
      </c>
      <c r="C5647" s="17">
        <f>IF(Calc!$B5647,Calc!O5647,"")</f>
        <v/>
      </c>
    </row>
    <row r="5648">
      <c r="A5648" s="16">
        <f>IF(Calc!$B5648,Calc!E5648,"")</f>
        <v/>
      </c>
      <c r="B5648">
        <f>IF(Calc!$B5648,INDEX(MineNames,Calc!C5648),"")</f>
        <v/>
      </c>
      <c r="C5648" s="17">
        <f>IF(Calc!$B5648,Calc!O5648,"")</f>
        <v/>
      </c>
    </row>
    <row r="5649">
      <c r="A5649" s="16">
        <f>IF(Calc!$B5649,Calc!E5649,"")</f>
        <v/>
      </c>
      <c r="B5649">
        <f>IF(Calc!$B5649,INDEX(MineNames,Calc!C5649),"")</f>
        <v/>
      </c>
      <c r="C5649" s="17">
        <f>IF(Calc!$B5649,Calc!O5649,"")</f>
        <v/>
      </c>
    </row>
    <row r="5650">
      <c r="A5650" s="16">
        <f>IF(Calc!$B5650,Calc!E5650,"")</f>
        <v/>
      </c>
      <c r="B5650">
        <f>IF(Calc!$B5650,INDEX(MineNames,Calc!C5650),"")</f>
        <v/>
      </c>
      <c r="C5650" s="17">
        <f>IF(Calc!$B5650,Calc!O5650,"")</f>
        <v/>
      </c>
    </row>
    <row r="5651">
      <c r="A5651" s="16">
        <f>IF(Calc!$B5651,Calc!E5651,"")</f>
        <v/>
      </c>
      <c r="B5651">
        <f>IF(Calc!$B5651,INDEX(MineNames,Calc!C5651),"")</f>
        <v/>
      </c>
      <c r="C5651" s="17">
        <f>IF(Calc!$B5651,Calc!O5651,"")</f>
        <v/>
      </c>
    </row>
    <row r="5652">
      <c r="A5652" s="16">
        <f>IF(Calc!$B5652,Calc!E5652,"")</f>
        <v/>
      </c>
      <c r="B5652">
        <f>IF(Calc!$B5652,INDEX(MineNames,Calc!C5652),"")</f>
        <v/>
      </c>
      <c r="C5652" s="17">
        <f>IF(Calc!$B5652,Calc!O5652,"")</f>
        <v/>
      </c>
    </row>
    <row r="5653">
      <c r="A5653" s="16">
        <f>IF(Calc!$B5653,Calc!E5653,"")</f>
        <v/>
      </c>
      <c r="B5653">
        <f>IF(Calc!$B5653,INDEX(MineNames,Calc!C5653),"")</f>
        <v/>
      </c>
      <c r="C5653" s="17">
        <f>IF(Calc!$B5653,Calc!O5653,"")</f>
        <v/>
      </c>
    </row>
    <row r="5654">
      <c r="A5654" s="16">
        <f>IF(Calc!$B5654,Calc!E5654,"")</f>
        <v/>
      </c>
      <c r="B5654">
        <f>IF(Calc!$B5654,INDEX(MineNames,Calc!C5654),"")</f>
        <v/>
      </c>
      <c r="C5654" s="17">
        <f>IF(Calc!$B5654,Calc!O5654,"")</f>
        <v/>
      </c>
    </row>
    <row r="5655">
      <c r="A5655" s="16">
        <f>IF(Calc!$B5655,Calc!E5655,"")</f>
        <v/>
      </c>
      <c r="B5655">
        <f>IF(Calc!$B5655,INDEX(MineNames,Calc!C5655),"")</f>
        <v/>
      </c>
      <c r="C5655" s="17">
        <f>IF(Calc!$B5655,Calc!O5655,"")</f>
        <v/>
      </c>
    </row>
    <row r="5656">
      <c r="A5656" s="16">
        <f>IF(Calc!$B5656,Calc!E5656,"")</f>
        <v/>
      </c>
      <c r="B5656">
        <f>IF(Calc!$B5656,INDEX(MineNames,Calc!C5656),"")</f>
        <v/>
      </c>
      <c r="C5656" s="17">
        <f>IF(Calc!$B5656,Calc!O5656,"")</f>
        <v/>
      </c>
    </row>
    <row r="5657">
      <c r="A5657" s="16">
        <f>IF(Calc!$B5657,Calc!E5657,"")</f>
        <v/>
      </c>
      <c r="B5657">
        <f>IF(Calc!$B5657,INDEX(MineNames,Calc!C5657),"")</f>
        <v/>
      </c>
      <c r="C5657" s="17">
        <f>IF(Calc!$B5657,Calc!O5657,"")</f>
        <v/>
      </c>
    </row>
    <row r="5658">
      <c r="A5658" s="16">
        <f>IF(Calc!$B5658,Calc!E5658,"")</f>
        <v/>
      </c>
      <c r="B5658">
        <f>IF(Calc!$B5658,INDEX(MineNames,Calc!C5658),"")</f>
        <v/>
      </c>
      <c r="C5658" s="17">
        <f>IF(Calc!$B5658,Calc!O5658,"")</f>
        <v/>
      </c>
    </row>
    <row r="5659">
      <c r="A5659" s="16">
        <f>IF(Calc!$B5659,Calc!E5659,"")</f>
        <v/>
      </c>
      <c r="B5659">
        <f>IF(Calc!$B5659,INDEX(MineNames,Calc!C5659),"")</f>
        <v/>
      </c>
      <c r="C5659" s="17">
        <f>IF(Calc!$B5659,Calc!O5659,"")</f>
        <v/>
      </c>
    </row>
    <row r="5660">
      <c r="A5660" s="16">
        <f>IF(Calc!$B5660,Calc!E5660,"")</f>
        <v/>
      </c>
      <c r="B5660">
        <f>IF(Calc!$B5660,INDEX(MineNames,Calc!C5660),"")</f>
        <v/>
      </c>
      <c r="C5660" s="17">
        <f>IF(Calc!$B5660,Calc!O5660,"")</f>
        <v/>
      </c>
    </row>
    <row r="5661">
      <c r="A5661" s="16">
        <f>IF(Calc!$B5661,Calc!E5661,"")</f>
        <v/>
      </c>
      <c r="B5661">
        <f>IF(Calc!$B5661,INDEX(MineNames,Calc!C5661),"")</f>
        <v/>
      </c>
      <c r="C5661" s="17">
        <f>IF(Calc!$B5661,Calc!O5661,"")</f>
        <v/>
      </c>
    </row>
    <row r="5662">
      <c r="A5662" s="16">
        <f>IF(Calc!$B5662,Calc!E5662,"")</f>
        <v/>
      </c>
      <c r="B5662">
        <f>IF(Calc!$B5662,INDEX(MineNames,Calc!C5662),"")</f>
        <v/>
      </c>
      <c r="C5662" s="17">
        <f>IF(Calc!$B5662,Calc!O5662,"")</f>
        <v/>
      </c>
    </row>
    <row r="5663">
      <c r="A5663" s="16">
        <f>IF(Calc!$B5663,Calc!E5663,"")</f>
        <v/>
      </c>
      <c r="B5663">
        <f>IF(Calc!$B5663,INDEX(MineNames,Calc!C5663),"")</f>
        <v/>
      </c>
      <c r="C5663" s="17">
        <f>IF(Calc!$B5663,Calc!O5663,"")</f>
        <v/>
      </c>
    </row>
    <row r="5664">
      <c r="A5664" s="16">
        <f>IF(Calc!$B5664,Calc!E5664,"")</f>
        <v/>
      </c>
      <c r="B5664">
        <f>IF(Calc!$B5664,INDEX(MineNames,Calc!C5664),"")</f>
        <v/>
      </c>
      <c r="C5664" s="17">
        <f>IF(Calc!$B5664,Calc!O5664,"")</f>
        <v/>
      </c>
    </row>
    <row r="5665">
      <c r="A5665" s="16">
        <f>IF(Calc!$B5665,Calc!E5665,"")</f>
        <v/>
      </c>
      <c r="B5665">
        <f>IF(Calc!$B5665,INDEX(MineNames,Calc!C5665),"")</f>
        <v/>
      </c>
      <c r="C5665" s="17">
        <f>IF(Calc!$B5665,Calc!O5665,"")</f>
        <v/>
      </c>
    </row>
    <row r="5666">
      <c r="A5666" s="16">
        <f>IF(Calc!$B5666,Calc!E5666,"")</f>
        <v/>
      </c>
      <c r="B5666">
        <f>IF(Calc!$B5666,INDEX(MineNames,Calc!C5666),"")</f>
        <v/>
      </c>
      <c r="C5666" s="17">
        <f>IF(Calc!$B5666,Calc!O5666,"")</f>
        <v/>
      </c>
    </row>
    <row r="5667">
      <c r="A5667" s="16">
        <f>IF(Calc!$B5667,Calc!E5667,"")</f>
        <v/>
      </c>
      <c r="B5667">
        <f>IF(Calc!$B5667,INDEX(MineNames,Calc!C5667),"")</f>
        <v/>
      </c>
      <c r="C5667" s="17">
        <f>IF(Calc!$B5667,Calc!O5667,"")</f>
        <v/>
      </c>
    </row>
    <row r="5668">
      <c r="A5668" s="16">
        <f>IF(Calc!$B5668,Calc!E5668,"")</f>
        <v/>
      </c>
      <c r="B5668">
        <f>IF(Calc!$B5668,INDEX(MineNames,Calc!C5668),"")</f>
        <v/>
      </c>
      <c r="C5668" s="17">
        <f>IF(Calc!$B5668,Calc!O5668,"")</f>
        <v/>
      </c>
    </row>
    <row r="5669">
      <c r="A5669" s="16">
        <f>IF(Calc!$B5669,Calc!E5669,"")</f>
        <v/>
      </c>
      <c r="B5669">
        <f>IF(Calc!$B5669,INDEX(MineNames,Calc!C5669),"")</f>
        <v/>
      </c>
      <c r="C5669" s="17">
        <f>IF(Calc!$B5669,Calc!O5669,"")</f>
        <v/>
      </c>
    </row>
    <row r="5670">
      <c r="A5670" s="16">
        <f>IF(Calc!$B5670,Calc!E5670,"")</f>
        <v/>
      </c>
      <c r="B5670">
        <f>IF(Calc!$B5670,INDEX(MineNames,Calc!C5670),"")</f>
        <v/>
      </c>
      <c r="C5670" s="17">
        <f>IF(Calc!$B5670,Calc!O5670,"")</f>
        <v/>
      </c>
    </row>
    <row r="5671">
      <c r="A5671" s="16">
        <f>IF(Calc!$B5671,Calc!E5671,"")</f>
        <v/>
      </c>
      <c r="B5671">
        <f>IF(Calc!$B5671,INDEX(MineNames,Calc!C5671),"")</f>
        <v/>
      </c>
      <c r="C5671" s="17">
        <f>IF(Calc!$B5671,Calc!O5671,"")</f>
        <v/>
      </c>
    </row>
    <row r="5672">
      <c r="A5672" s="16">
        <f>IF(Calc!$B5672,Calc!E5672,"")</f>
        <v/>
      </c>
      <c r="B5672">
        <f>IF(Calc!$B5672,INDEX(MineNames,Calc!C5672),"")</f>
        <v/>
      </c>
      <c r="C5672" s="17">
        <f>IF(Calc!$B5672,Calc!O5672,"")</f>
        <v/>
      </c>
    </row>
    <row r="5673">
      <c r="A5673" s="16">
        <f>IF(Calc!$B5673,Calc!E5673,"")</f>
        <v/>
      </c>
      <c r="B5673">
        <f>IF(Calc!$B5673,INDEX(MineNames,Calc!C5673),"")</f>
        <v/>
      </c>
      <c r="C5673" s="17">
        <f>IF(Calc!$B5673,Calc!O5673,"")</f>
        <v/>
      </c>
    </row>
    <row r="5674">
      <c r="A5674" s="16">
        <f>IF(Calc!$B5674,Calc!E5674,"")</f>
        <v/>
      </c>
      <c r="B5674">
        <f>IF(Calc!$B5674,INDEX(MineNames,Calc!C5674),"")</f>
        <v/>
      </c>
      <c r="C5674" s="17">
        <f>IF(Calc!$B5674,Calc!O5674,"")</f>
        <v/>
      </c>
    </row>
    <row r="5675">
      <c r="A5675" s="16">
        <f>IF(Calc!$B5675,Calc!E5675,"")</f>
        <v/>
      </c>
      <c r="B5675">
        <f>IF(Calc!$B5675,INDEX(MineNames,Calc!C5675),"")</f>
        <v/>
      </c>
      <c r="C5675" s="17">
        <f>IF(Calc!$B5675,Calc!O5675,"")</f>
        <v/>
      </c>
    </row>
    <row r="5676">
      <c r="A5676" s="16">
        <f>IF(Calc!$B5676,Calc!E5676,"")</f>
        <v/>
      </c>
      <c r="B5676">
        <f>IF(Calc!$B5676,INDEX(MineNames,Calc!C5676),"")</f>
        <v/>
      </c>
      <c r="C5676" s="17">
        <f>IF(Calc!$B5676,Calc!O5676,"")</f>
        <v/>
      </c>
    </row>
    <row r="5677">
      <c r="A5677" s="16">
        <f>IF(Calc!$B5677,Calc!E5677,"")</f>
        <v/>
      </c>
      <c r="B5677">
        <f>IF(Calc!$B5677,INDEX(MineNames,Calc!C5677),"")</f>
        <v/>
      </c>
      <c r="C5677" s="17">
        <f>IF(Calc!$B5677,Calc!O5677,"")</f>
        <v/>
      </c>
    </row>
    <row r="5678">
      <c r="A5678" s="16">
        <f>IF(Calc!$B5678,Calc!E5678,"")</f>
        <v/>
      </c>
      <c r="B5678">
        <f>IF(Calc!$B5678,INDEX(MineNames,Calc!C5678),"")</f>
        <v/>
      </c>
      <c r="C5678" s="17">
        <f>IF(Calc!$B5678,Calc!O5678,"")</f>
        <v/>
      </c>
    </row>
    <row r="5679">
      <c r="A5679" s="16">
        <f>IF(Calc!$B5679,Calc!E5679,"")</f>
        <v/>
      </c>
      <c r="B5679">
        <f>IF(Calc!$B5679,INDEX(MineNames,Calc!C5679),"")</f>
        <v/>
      </c>
      <c r="C5679" s="17">
        <f>IF(Calc!$B5679,Calc!O5679,"")</f>
        <v/>
      </c>
    </row>
    <row r="5680">
      <c r="A5680" s="16">
        <f>IF(Calc!$B5680,Calc!E5680,"")</f>
        <v/>
      </c>
      <c r="B5680">
        <f>IF(Calc!$B5680,INDEX(MineNames,Calc!C5680),"")</f>
        <v/>
      </c>
      <c r="C5680" s="17">
        <f>IF(Calc!$B5680,Calc!O5680,"")</f>
        <v/>
      </c>
    </row>
    <row r="5681">
      <c r="A5681" s="16">
        <f>IF(Calc!$B5681,Calc!E5681,"")</f>
        <v/>
      </c>
      <c r="B5681">
        <f>IF(Calc!$B5681,INDEX(MineNames,Calc!C5681),"")</f>
        <v/>
      </c>
      <c r="C5681" s="17">
        <f>IF(Calc!$B5681,Calc!O5681,"")</f>
        <v/>
      </c>
    </row>
    <row r="5682">
      <c r="A5682" s="16">
        <f>IF(Calc!$B5682,Calc!E5682,"")</f>
        <v/>
      </c>
      <c r="B5682">
        <f>IF(Calc!$B5682,INDEX(MineNames,Calc!C5682),"")</f>
        <v/>
      </c>
      <c r="C5682" s="17">
        <f>IF(Calc!$B5682,Calc!O5682,"")</f>
        <v/>
      </c>
    </row>
    <row r="5683">
      <c r="A5683" s="16">
        <f>IF(Calc!$B5683,Calc!E5683,"")</f>
        <v/>
      </c>
      <c r="B5683">
        <f>IF(Calc!$B5683,INDEX(MineNames,Calc!C5683),"")</f>
        <v/>
      </c>
      <c r="C5683" s="17">
        <f>IF(Calc!$B5683,Calc!O5683,"")</f>
        <v/>
      </c>
    </row>
    <row r="5684">
      <c r="A5684" s="16">
        <f>IF(Calc!$B5684,Calc!E5684,"")</f>
        <v/>
      </c>
      <c r="B5684">
        <f>IF(Calc!$B5684,INDEX(MineNames,Calc!C5684),"")</f>
        <v/>
      </c>
      <c r="C5684" s="17">
        <f>IF(Calc!$B5684,Calc!O5684,"")</f>
        <v/>
      </c>
    </row>
    <row r="5685">
      <c r="A5685" s="16">
        <f>IF(Calc!$B5685,Calc!E5685,"")</f>
        <v/>
      </c>
      <c r="B5685">
        <f>IF(Calc!$B5685,INDEX(MineNames,Calc!C5685),"")</f>
        <v/>
      </c>
      <c r="C5685" s="17">
        <f>IF(Calc!$B5685,Calc!O5685,"")</f>
        <v/>
      </c>
    </row>
    <row r="5686">
      <c r="A5686" s="16">
        <f>IF(Calc!$B5686,Calc!E5686,"")</f>
        <v/>
      </c>
      <c r="B5686">
        <f>IF(Calc!$B5686,INDEX(MineNames,Calc!C5686),"")</f>
        <v/>
      </c>
      <c r="C5686" s="17">
        <f>IF(Calc!$B5686,Calc!O5686,"")</f>
        <v/>
      </c>
    </row>
    <row r="5687">
      <c r="A5687" s="16">
        <f>IF(Calc!$B5687,Calc!E5687,"")</f>
        <v/>
      </c>
      <c r="B5687">
        <f>IF(Calc!$B5687,INDEX(MineNames,Calc!C5687),"")</f>
        <v/>
      </c>
      <c r="C5687" s="17">
        <f>IF(Calc!$B5687,Calc!O5687,"")</f>
        <v/>
      </c>
    </row>
    <row r="5688">
      <c r="A5688" s="16">
        <f>IF(Calc!$B5688,Calc!E5688,"")</f>
        <v/>
      </c>
      <c r="B5688">
        <f>IF(Calc!$B5688,INDEX(MineNames,Calc!C5688),"")</f>
        <v/>
      </c>
      <c r="C5688" s="17">
        <f>IF(Calc!$B5688,Calc!O5688,"")</f>
        <v/>
      </c>
    </row>
    <row r="5689">
      <c r="A5689" s="16">
        <f>IF(Calc!$B5689,Calc!E5689,"")</f>
        <v/>
      </c>
      <c r="B5689">
        <f>IF(Calc!$B5689,INDEX(MineNames,Calc!C5689),"")</f>
        <v/>
      </c>
      <c r="C5689" s="17">
        <f>IF(Calc!$B5689,Calc!O5689,"")</f>
        <v/>
      </c>
    </row>
    <row r="5690">
      <c r="A5690" s="16">
        <f>IF(Calc!$B5690,Calc!E5690,"")</f>
        <v/>
      </c>
      <c r="B5690">
        <f>IF(Calc!$B5690,INDEX(MineNames,Calc!C5690),"")</f>
        <v/>
      </c>
      <c r="C5690" s="17">
        <f>IF(Calc!$B5690,Calc!O5690,"")</f>
        <v/>
      </c>
    </row>
    <row r="5691">
      <c r="A5691" s="16">
        <f>IF(Calc!$B5691,Calc!E5691,"")</f>
        <v/>
      </c>
      <c r="B5691">
        <f>IF(Calc!$B5691,INDEX(MineNames,Calc!C5691),"")</f>
        <v/>
      </c>
      <c r="C5691" s="17">
        <f>IF(Calc!$B5691,Calc!O5691,"")</f>
        <v/>
      </c>
    </row>
    <row r="5692">
      <c r="A5692" s="16">
        <f>IF(Calc!$B5692,Calc!E5692,"")</f>
        <v/>
      </c>
      <c r="B5692">
        <f>IF(Calc!$B5692,INDEX(MineNames,Calc!C5692),"")</f>
        <v/>
      </c>
      <c r="C5692" s="17">
        <f>IF(Calc!$B5692,Calc!O5692,"")</f>
        <v/>
      </c>
    </row>
    <row r="5693">
      <c r="A5693" s="16">
        <f>IF(Calc!$B5693,Calc!E5693,"")</f>
        <v/>
      </c>
      <c r="B5693">
        <f>IF(Calc!$B5693,INDEX(MineNames,Calc!C5693),"")</f>
        <v/>
      </c>
      <c r="C5693" s="17">
        <f>IF(Calc!$B5693,Calc!O5693,"")</f>
        <v/>
      </c>
    </row>
    <row r="5694">
      <c r="A5694" s="16">
        <f>IF(Calc!$B5694,Calc!E5694,"")</f>
        <v/>
      </c>
      <c r="B5694">
        <f>IF(Calc!$B5694,INDEX(MineNames,Calc!C5694),"")</f>
        <v/>
      </c>
      <c r="C5694" s="17">
        <f>IF(Calc!$B5694,Calc!O5694,"")</f>
        <v/>
      </c>
    </row>
    <row r="5695">
      <c r="A5695" s="16">
        <f>IF(Calc!$B5695,Calc!E5695,"")</f>
        <v/>
      </c>
      <c r="B5695">
        <f>IF(Calc!$B5695,INDEX(MineNames,Calc!C5695),"")</f>
        <v/>
      </c>
      <c r="C5695" s="17">
        <f>IF(Calc!$B5695,Calc!O5695,"")</f>
        <v/>
      </c>
    </row>
    <row r="5696">
      <c r="A5696" s="16">
        <f>IF(Calc!$B5696,Calc!E5696,"")</f>
        <v/>
      </c>
      <c r="B5696">
        <f>IF(Calc!$B5696,INDEX(MineNames,Calc!C5696),"")</f>
        <v/>
      </c>
      <c r="C5696" s="17">
        <f>IF(Calc!$B5696,Calc!O5696,"")</f>
        <v/>
      </c>
    </row>
    <row r="5697">
      <c r="A5697" s="16">
        <f>IF(Calc!$B5697,Calc!E5697,"")</f>
        <v/>
      </c>
      <c r="B5697">
        <f>IF(Calc!$B5697,INDEX(MineNames,Calc!C5697),"")</f>
        <v/>
      </c>
      <c r="C5697" s="17">
        <f>IF(Calc!$B5697,Calc!O5697,"")</f>
        <v/>
      </c>
    </row>
    <row r="5698">
      <c r="A5698" s="16">
        <f>IF(Calc!$B5698,Calc!E5698,"")</f>
        <v/>
      </c>
      <c r="B5698">
        <f>IF(Calc!$B5698,INDEX(MineNames,Calc!C5698),"")</f>
        <v/>
      </c>
      <c r="C5698" s="17">
        <f>IF(Calc!$B5698,Calc!O5698,"")</f>
        <v/>
      </c>
    </row>
    <row r="5699">
      <c r="A5699" s="16">
        <f>IF(Calc!$B5699,Calc!E5699,"")</f>
        <v/>
      </c>
      <c r="B5699">
        <f>IF(Calc!$B5699,INDEX(MineNames,Calc!C5699),"")</f>
        <v/>
      </c>
      <c r="C5699" s="17">
        <f>IF(Calc!$B5699,Calc!O5699,"")</f>
        <v/>
      </c>
    </row>
    <row r="5700">
      <c r="A5700" s="16">
        <f>IF(Calc!$B5700,Calc!E5700,"")</f>
        <v/>
      </c>
      <c r="B5700">
        <f>IF(Calc!$B5700,INDEX(MineNames,Calc!C5700),"")</f>
        <v/>
      </c>
      <c r="C5700" s="17">
        <f>IF(Calc!$B5700,Calc!O5700,"")</f>
        <v/>
      </c>
    </row>
    <row r="5701">
      <c r="A5701" s="16">
        <f>IF(Calc!$B5701,Calc!E5701,"")</f>
        <v/>
      </c>
      <c r="B5701">
        <f>IF(Calc!$B5701,INDEX(MineNames,Calc!C5701),"")</f>
        <v/>
      </c>
      <c r="C5701" s="17">
        <f>IF(Calc!$B5701,Calc!O5701,"")</f>
        <v/>
      </c>
    </row>
    <row r="5702">
      <c r="A5702" s="16">
        <f>IF(Calc!$B5702,Calc!E5702,"")</f>
        <v/>
      </c>
      <c r="B5702">
        <f>IF(Calc!$B5702,INDEX(MineNames,Calc!C5702),"")</f>
        <v/>
      </c>
      <c r="C5702" s="17">
        <f>IF(Calc!$B5702,Calc!O5702,"")</f>
        <v/>
      </c>
    </row>
    <row r="5703">
      <c r="A5703" s="16">
        <f>IF(Calc!$B5703,Calc!E5703,"")</f>
        <v/>
      </c>
      <c r="B5703">
        <f>IF(Calc!$B5703,INDEX(MineNames,Calc!C5703),"")</f>
        <v/>
      </c>
      <c r="C5703" s="17">
        <f>IF(Calc!$B5703,Calc!O5703,"")</f>
        <v/>
      </c>
    </row>
    <row r="5704">
      <c r="A5704" s="16">
        <f>IF(Calc!$B5704,Calc!E5704,"")</f>
        <v/>
      </c>
      <c r="B5704">
        <f>IF(Calc!$B5704,INDEX(MineNames,Calc!C5704),"")</f>
        <v/>
      </c>
      <c r="C5704" s="17">
        <f>IF(Calc!$B5704,Calc!O5704,"")</f>
        <v/>
      </c>
    </row>
    <row r="5705">
      <c r="A5705" s="16">
        <f>IF(Calc!$B5705,Calc!E5705,"")</f>
        <v/>
      </c>
      <c r="B5705">
        <f>IF(Calc!$B5705,INDEX(MineNames,Calc!C5705),"")</f>
        <v/>
      </c>
      <c r="C5705" s="17">
        <f>IF(Calc!$B5705,Calc!O5705,"")</f>
        <v/>
      </c>
    </row>
    <row r="5706">
      <c r="A5706" s="16">
        <f>IF(Calc!$B5706,Calc!E5706,"")</f>
        <v/>
      </c>
      <c r="B5706">
        <f>IF(Calc!$B5706,INDEX(MineNames,Calc!C5706),"")</f>
        <v/>
      </c>
      <c r="C5706" s="17">
        <f>IF(Calc!$B5706,Calc!O5706,"")</f>
        <v/>
      </c>
    </row>
    <row r="5707">
      <c r="A5707" s="16">
        <f>IF(Calc!$B5707,Calc!E5707,"")</f>
        <v/>
      </c>
      <c r="B5707">
        <f>IF(Calc!$B5707,INDEX(MineNames,Calc!C5707),"")</f>
        <v/>
      </c>
      <c r="C5707" s="17">
        <f>IF(Calc!$B5707,Calc!O5707,"")</f>
        <v/>
      </c>
    </row>
    <row r="5708">
      <c r="A5708" s="16">
        <f>IF(Calc!$B5708,Calc!E5708,"")</f>
        <v/>
      </c>
      <c r="B5708">
        <f>IF(Calc!$B5708,INDEX(MineNames,Calc!C5708),"")</f>
        <v/>
      </c>
      <c r="C5708" s="17">
        <f>IF(Calc!$B5708,Calc!O5708,"")</f>
        <v/>
      </c>
    </row>
    <row r="5709">
      <c r="A5709" s="16">
        <f>IF(Calc!$B5709,Calc!E5709,"")</f>
        <v/>
      </c>
      <c r="B5709">
        <f>IF(Calc!$B5709,INDEX(MineNames,Calc!C5709),"")</f>
        <v/>
      </c>
      <c r="C5709" s="17">
        <f>IF(Calc!$B5709,Calc!O5709,"")</f>
        <v/>
      </c>
    </row>
    <row r="5710">
      <c r="A5710" s="16">
        <f>IF(Calc!$B5710,Calc!E5710,"")</f>
        <v/>
      </c>
      <c r="B5710">
        <f>IF(Calc!$B5710,INDEX(MineNames,Calc!C5710),"")</f>
        <v/>
      </c>
      <c r="C5710" s="17">
        <f>IF(Calc!$B5710,Calc!O5710,"")</f>
        <v/>
      </c>
    </row>
    <row r="5711">
      <c r="A5711" s="16">
        <f>IF(Calc!$B5711,Calc!E5711,"")</f>
        <v/>
      </c>
      <c r="B5711">
        <f>IF(Calc!$B5711,INDEX(MineNames,Calc!C5711),"")</f>
        <v/>
      </c>
      <c r="C5711" s="17">
        <f>IF(Calc!$B5711,Calc!O5711,"")</f>
        <v/>
      </c>
    </row>
    <row r="5712">
      <c r="A5712" s="16">
        <f>IF(Calc!$B5712,Calc!E5712,"")</f>
        <v/>
      </c>
      <c r="B5712">
        <f>IF(Calc!$B5712,INDEX(MineNames,Calc!C5712),"")</f>
        <v/>
      </c>
      <c r="C5712" s="17">
        <f>IF(Calc!$B5712,Calc!O5712,"")</f>
        <v/>
      </c>
    </row>
    <row r="5713">
      <c r="A5713" s="16">
        <f>IF(Calc!$B5713,Calc!E5713,"")</f>
        <v/>
      </c>
      <c r="B5713">
        <f>IF(Calc!$B5713,INDEX(MineNames,Calc!C5713),"")</f>
        <v/>
      </c>
      <c r="C5713" s="17">
        <f>IF(Calc!$B5713,Calc!O5713,"")</f>
        <v/>
      </c>
    </row>
    <row r="5714">
      <c r="A5714" s="16">
        <f>IF(Calc!$B5714,Calc!E5714,"")</f>
        <v/>
      </c>
      <c r="B5714">
        <f>IF(Calc!$B5714,INDEX(MineNames,Calc!C5714),"")</f>
        <v/>
      </c>
      <c r="C5714" s="17">
        <f>IF(Calc!$B5714,Calc!O5714,"")</f>
        <v/>
      </c>
    </row>
    <row r="5715">
      <c r="A5715" s="16">
        <f>IF(Calc!$B5715,Calc!E5715,"")</f>
        <v/>
      </c>
      <c r="B5715">
        <f>IF(Calc!$B5715,INDEX(MineNames,Calc!C5715),"")</f>
        <v/>
      </c>
      <c r="C5715" s="17">
        <f>IF(Calc!$B5715,Calc!O5715,"")</f>
        <v/>
      </c>
    </row>
    <row r="5716">
      <c r="A5716" s="16">
        <f>IF(Calc!$B5716,Calc!E5716,"")</f>
        <v/>
      </c>
      <c r="B5716">
        <f>IF(Calc!$B5716,INDEX(MineNames,Calc!C5716),"")</f>
        <v/>
      </c>
      <c r="C5716" s="17">
        <f>IF(Calc!$B5716,Calc!O5716,"")</f>
        <v/>
      </c>
    </row>
    <row r="5717">
      <c r="A5717" s="16">
        <f>IF(Calc!$B5717,Calc!E5717,"")</f>
        <v/>
      </c>
      <c r="B5717">
        <f>IF(Calc!$B5717,INDEX(MineNames,Calc!C5717),"")</f>
        <v/>
      </c>
      <c r="C5717" s="17">
        <f>IF(Calc!$B5717,Calc!O5717,"")</f>
        <v/>
      </c>
    </row>
    <row r="5718">
      <c r="A5718" s="16">
        <f>IF(Calc!$B5718,Calc!E5718,"")</f>
        <v/>
      </c>
      <c r="B5718">
        <f>IF(Calc!$B5718,INDEX(MineNames,Calc!C5718),"")</f>
        <v/>
      </c>
      <c r="C5718" s="17">
        <f>IF(Calc!$B5718,Calc!O5718,"")</f>
        <v/>
      </c>
    </row>
    <row r="5719">
      <c r="A5719" s="16">
        <f>IF(Calc!$B5719,Calc!E5719,"")</f>
        <v/>
      </c>
      <c r="B5719">
        <f>IF(Calc!$B5719,INDEX(MineNames,Calc!C5719),"")</f>
        <v/>
      </c>
      <c r="C5719" s="17">
        <f>IF(Calc!$B5719,Calc!O5719,"")</f>
        <v/>
      </c>
    </row>
    <row r="5720">
      <c r="A5720" s="16">
        <f>IF(Calc!$B5720,Calc!E5720,"")</f>
        <v/>
      </c>
      <c r="B5720">
        <f>IF(Calc!$B5720,INDEX(MineNames,Calc!C5720),"")</f>
        <v/>
      </c>
      <c r="C5720" s="17">
        <f>IF(Calc!$B5720,Calc!O5720,"")</f>
        <v/>
      </c>
    </row>
    <row r="5721">
      <c r="A5721" s="16">
        <f>IF(Calc!$B5721,Calc!E5721,"")</f>
        <v/>
      </c>
      <c r="B5721">
        <f>IF(Calc!$B5721,INDEX(MineNames,Calc!C5721),"")</f>
        <v/>
      </c>
      <c r="C5721" s="17">
        <f>IF(Calc!$B5721,Calc!O5721,"")</f>
        <v/>
      </c>
    </row>
    <row r="5722">
      <c r="A5722" s="16">
        <f>IF(Calc!$B5722,Calc!E5722,"")</f>
        <v/>
      </c>
      <c r="B5722">
        <f>IF(Calc!$B5722,INDEX(MineNames,Calc!C5722),"")</f>
        <v/>
      </c>
      <c r="C5722" s="17">
        <f>IF(Calc!$B5722,Calc!O5722,"")</f>
        <v/>
      </c>
    </row>
    <row r="5723">
      <c r="A5723" s="16">
        <f>IF(Calc!$B5723,Calc!E5723,"")</f>
        <v/>
      </c>
      <c r="B5723">
        <f>IF(Calc!$B5723,INDEX(MineNames,Calc!C5723),"")</f>
        <v/>
      </c>
      <c r="C5723" s="17">
        <f>IF(Calc!$B5723,Calc!O5723,"")</f>
        <v/>
      </c>
    </row>
    <row r="5724">
      <c r="A5724" s="16">
        <f>IF(Calc!$B5724,Calc!E5724,"")</f>
        <v/>
      </c>
      <c r="B5724">
        <f>IF(Calc!$B5724,INDEX(MineNames,Calc!C5724),"")</f>
        <v/>
      </c>
      <c r="C5724" s="17">
        <f>IF(Calc!$B5724,Calc!O5724,"")</f>
        <v/>
      </c>
    </row>
    <row r="5725">
      <c r="A5725" s="16">
        <f>IF(Calc!$B5725,Calc!E5725,"")</f>
        <v/>
      </c>
      <c r="B5725">
        <f>IF(Calc!$B5725,INDEX(MineNames,Calc!C5725),"")</f>
        <v/>
      </c>
      <c r="C5725" s="17">
        <f>IF(Calc!$B5725,Calc!O5725,"")</f>
        <v/>
      </c>
    </row>
    <row r="5726">
      <c r="A5726" s="16">
        <f>IF(Calc!$B5726,Calc!E5726,"")</f>
        <v/>
      </c>
      <c r="B5726">
        <f>IF(Calc!$B5726,INDEX(MineNames,Calc!C5726),"")</f>
        <v/>
      </c>
      <c r="C5726" s="17">
        <f>IF(Calc!$B5726,Calc!O5726,"")</f>
        <v/>
      </c>
    </row>
    <row r="5727">
      <c r="A5727" s="16">
        <f>IF(Calc!$B5727,Calc!E5727,"")</f>
        <v/>
      </c>
      <c r="B5727">
        <f>IF(Calc!$B5727,INDEX(MineNames,Calc!C5727),"")</f>
        <v/>
      </c>
      <c r="C5727" s="17">
        <f>IF(Calc!$B5727,Calc!O5727,"")</f>
        <v/>
      </c>
    </row>
    <row r="5728">
      <c r="A5728" s="16">
        <f>IF(Calc!$B5728,Calc!E5728,"")</f>
        <v/>
      </c>
      <c r="B5728">
        <f>IF(Calc!$B5728,INDEX(MineNames,Calc!C5728),"")</f>
        <v/>
      </c>
      <c r="C5728" s="17">
        <f>IF(Calc!$B5728,Calc!O5728,"")</f>
        <v/>
      </c>
    </row>
    <row r="5729">
      <c r="A5729" s="16">
        <f>IF(Calc!$B5729,Calc!E5729,"")</f>
        <v/>
      </c>
      <c r="B5729">
        <f>IF(Calc!$B5729,INDEX(MineNames,Calc!C5729),"")</f>
        <v/>
      </c>
      <c r="C5729" s="17">
        <f>IF(Calc!$B5729,Calc!O5729,"")</f>
        <v/>
      </c>
    </row>
    <row r="5730">
      <c r="A5730" s="16">
        <f>IF(Calc!$B5730,Calc!E5730,"")</f>
        <v/>
      </c>
      <c r="B5730">
        <f>IF(Calc!$B5730,INDEX(MineNames,Calc!C5730),"")</f>
        <v/>
      </c>
      <c r="C5730" s="17">
        <f>IF(Calc!$B5730,Calc!O5730,"")</f>
        <v/>
      </c>
    </row>
    <row r="5731">
      <c r="A5731" s="16">
        <f>IF(Calc!$B5731,Calc!E5731,"")</f>
        <v/>
      </c>
      <c r="B5731">
        <f>IF(Calc!$B5731,INDEX(MineNames,Calc!C5731),"")</f>
        <v/>
      </c>
      <c r="C5731" s="17">
        <f>IF(Calc!$B5731,Calc!O5731,"")</f>
        <v/>
      </c>
    </row>
    <row r="5732">
      <c r="A5732" s="16">
        <f>IF(Calc!$B5732,Calc!E5732,"")</f>
        <v/>
      </c>
      <c r="B5732">
        <f>IF(Calc!$B5732,INDEX(MineNames,Calc!C5732),"")</f>
        <v/>
      </c>
      <c r="C5732" s="17">
        <f>IF(Calc!$B5732,Calc!O5732,"")</f>
        <v/>
      </c>
    </row>
    <row r="5733">
      <c r="A5733" s="16">
        <f>IF(Calc!$B5733,Calc!E5733,"")</f>
        <v/>
      </c>
      <c r="B5733">
        <f>IF(Calc!$B5733,INDEX(MineNames,Calc!C5733),"")</f>
        <v/>
      </c>
      <c r="C5733" s="17">
        <f>IF(Calc!$B5733,Calc!O5733,"")</f>
        <v/>
      </c>
    </row>
    <row r="5734">
      <c r="A5734" s="16">
        <f>IF(Calc!$B5734,Calc!E5734,"")</f>
        <v/>
      </c>
      <c r="B5734">
        <f>IF(Calc!$B5734,INDEX(MineNames,Calc!C5734),"")</f>
        <v/>
      </c>
      <c r="C5734" s="17">
        <f>IF(Calc!$B5734,Calc!O5734,"")</f>
        <v/>
      </c>
    </row>
    <row r="5735">
      <c r="A5735" s="16">
        <f>IF(Calc!$B5735,Calc!E5735,"")</f>
        <v/>
      </c>
      <c r="B5735">
        <f>IF(Calc!$B5735,INDEX(MineNames,Calc!C5735),"")</f>
        <v/>
      </c>
      <c r="C5735" s="17">
        <f>IF(Calc!$B5735,Calc!O5735,"")</f>
        <v/>
      </c>
    </row>
    <row r="5736">
      <c r="A5736" s="16">
        <f>IF(Calc!$B5736,Calc!E5736,"")</f>
        <v/>
      </c>
      <c r="B5736">
        <f>IF(Calc!$B5736,INDEX(MineNames,Calc!C5736),"")</f>
        <v/>
      </c>
      <c r="C5736" s="17">
        <f>IF(Calc!$B5736,Calc!O5736,"")</f>
        <v/>
      </c>
    </row>
    <row r="5737">
      <c r="A5737" s="16">
        <f>IF(Calc!$B5737,Calc!E5737,"")</f>
        <v/>
      </c>
      <c r="B5737">
        <f>IF(Calc!$B5737,INDEX(MineNames,Calc!C5737),"")</f>
        <v/>
      </c>
      <c r="C5737" s="17">
        <f>IF(Calc!$B5737,Calc!O5737,"")</f>
        <v/>
      </c>
    </row>
    <row r="5738">
      <c r="A5738" s="16">
        <f>IF(Calc!$B5738,Calc!E5738,"")</f>
        <v/>
      </c>
      <c r="B5738">
        <f>IF(Calc!$B5738,INDEX(MineNames,Calc!C5738),"")</f>
        <v/>
      </c>
      <c r="C5738" s="17">
        <f>IF(Calc!$B5738,Calc!O5738,"")</f>
        <v/>
      </c>
    </row>
    <row r="5739">
      <c r="A5739" s="16">
        <f>IF(Calc!$B5739,Calc!E5739,"")</f>
        <v/>
      </c>
      <c r="B5739">
        <f>IF(Calc!$B5739,INDEX(MineNames,Calc!C5739),"")</f>
        <v/>
      </c>
      <c r="C5739" s="17">
        <f>IF(Calc!$B5739,Calc!O5739,"")</f>
        <v/>
      </c>
    </row>
    <row r="5740">
      <c r="A5740" s="16">
        <f>IF(Calc!$B5740,Calc!E5740,"")</f>
        <v/>
      </c>
      <c r="B5740">
        <f>IF(Calc!$B5740,INDEX(MineNames,Calc!C5740),"")</f>
        <v/>
      </c>
      <c r="C5740" s="17">
        <f>IF(Calc!$B5740,Calc!O5740,"")</f>
        <v/>
      </c>
    </row>
    <row r="5741">
      <c r="A5741" s="16">
        <f>IF(Calc!$B5741,Calc!E5741,"")</f>
        <v/>
      </c>
      <c r="B5741">
        <f>IF(Calc!$B5741,INDEX(MineNames,Calc!C5741),"")</f>
        <v/>
      </c>
      <c r="C5741" s="17">
        <f>IF(Calc!$B5741,Calc!O5741,"")</f>
        <v/>
      </c>
    </row>
    <row r="5742">
      <c r="A5742" s="16">
        <f>IF(Calc!$B5742,Calc!E5742,"")</f>
        <v/>
      </c>
      <c r="B5742">
        <f>IF(Calc!$B5742,INDEX(MineNames,Calc!C5742),"")</f>
        <v/>
      </c>
      <c r="C5742" s="17">
        <f>IF(Calc!$B5742,Calc!O5742,"")</f>
        <v/>
      </c>
    </row>
    <row r="5743">
      <c r="A5743" s="16">
        <f>IF(Calc!$B5743,Calc!E5743,"")</f>
        <v/>
      </c>
      <c r="B5743">
        <f>IF(Calc!$B5743,INDEX(MineNames,Calc!C5743),"")</f>
        <v/>
      </c>
      <c r="C5743" s="17">
        <f>IF(Calc!$B5743,Calc!O5743,"")</f>
        <v/>
      </c>
    </row>
    <row r="5744">
      <c r="A5744" s="16">
        <f>IF(Calc!$B5744,Calc!E5744,"")</f>
        <v/>
      </c>
      <c r="B5744">
        <f>IF(Calc!$B5744,INDEX(MineNames,Calc!C5744),"")</f>
        <v/>
      </c>
      <c r="C5744" s="17">
        <f>IF(Calc!$B5744,Calc!O5744,"")</f>
        <v/>
      </c>
    </row>
    <row r="5745">
      <c r="A5745" s="16">
        <f>IF(Calc!$B5745,Calc!E5745,"")</f>
        <v/>
      </c>
      <c r="B5745">
        <f>IF(Calc!$B5745,INDEX(MineNames,Calc!C5745),"")</f>
        <v/>
      </c>
      <c r="C5745" s="17">
        <f>IF(Calc!$B5745,Calc!O5745,"")</f>
        <v/>
      </c>
    </row>
    <row r="5746">
      <c r="A5746" s="16">
        <f>IF(Calc!$B5746,Calc!E5746,"")</f>
        <v/>
      </c>
      <c r="B5746">
        <f>IF(Calc!$B5746,INDEX(MineNames,Calc!C5746),"")</f>
        <v/>
      </c>
      <c r="C5746" s="17">
        <f>IF(Calc!$B5746,Calc!O5746,"")</f>
        <v/>
      </c>
    </row>
    <row r="5747">
      <c r="A5747" s="16">
        <f>IF(Calc!$B5747,Calc!E5747,"")</f>
        <v/>
      </c>
      <c r="B5747">
        <f>IF(Calc!$B5747,INDEX(MineNames,Calc!C5747),"")</f>
        <v/>
      </c>
      <c r="C5747" s="17">
        <f>IF(Calc!$B5747,Calc!O5747,"")</f>
        <v/>
      </c>
    </row>
    <row r="5748">
      <c r="A5748" s="16">
        <f>IF(Calc!$B5748,Calc!E5748,"")</f>
        <v/>
      </c>
      <c r="B5748">
        <f>IF(Calc!$B5748,INDEX(MineNames,Calc!C5748),"")</f>
        <v/>
      </c>
      <c r="C5748" s="17">
        <f>IF(Calc!$B5748,Calc!O5748,"")</f>
        <v/>
      </c>
    </row>
    <row r="5749">
      <c r="A5749" s="16">
        <f>IF(Calc!$B5749,Calc!E5749,"")</f>
        <v/>
      </c>
      <c r="B5749">
        <f>IF(Calc!$B5749,INDEX(MineNames,Calc!C5749),"")</f>
        <v/>
      </c>
      <c r="C5749" s="17">
        <f>IF(Calc!$B5749,Calc!O5749,"")</f>
        <v/>
      </c>
    </row>
    <row r="5750">
      <c r="A5750" s="16">
        <f>IF(Calc!$B5750,Calc!E5750,"")</f>
        <v/>
      </c>
      <c r="B5750">
        <f>IF(Calc!$B5750,INDEX(MineNames,Calc!C5750),"")</f>
        <v/>
      </c>
      <c r="C5750" s="17">
        <f>IF(Calc!$B5750,Calc!O5750,"")</f>
        <v/>
      </c>
    </row>
    <row r="5751">
      <c r="A5751" s="16">
        <f>IF(Calc!$B5751,Calc!E5751,"")</f>
        <v/>
      </c>
      <c r="B5751">
        <f>IF(Calc!$B5751,INDEX(MineNames,Calc!C5751),"")</f>
        <v/>
      </c>
      <c r="C5751" s="17">
        <f>IF(Calc!$B5751,Calc!O5751,"")</f>
        <v/>
      </c>
    </row>
    <row r="5752">
      <c r="A5752" s="16">
        <f>IF(Calc!$B5752,Calc!E5752,"")</f>
        <v/>
      </c>
      <c r="B5752">
        <f>IF(Calc!$B5752,INDEX(MineNames,Calc!C5752),"")</f>
        <v/>
      </c>
      <c r="C5752" s="17">
        <f>IF(Calc!$B5752,Calc!O5752,"")</f>
        <v/>
      </c>
    </row>
    <row r="5753">
      <c r="A5753" s="16">
        <f>IF(Calc!$B5753,Calc!E5753,"")</f>
        <v/>
      </c>
      <c r="B5753">
        <f>IF(Calc!$B5753,INDEX(MineNames,Calc!C5753),"")</f>
        <v/>
      </c>
      <c r="C5753" s="17">
        <f>IF(Calc!$B5753,Calc!O5753,"")</f>
        <v/>
      </c>
    </row>
    <row r="5754">
      <c r="A5754" s="16">
        <f>IF(Calc!$B5754,Calc!E5754,"")</f>
        <v/>
      </c>
      <c r="B5754">
        <f>IF(Calc!$B5754,INDEX(MineNames,Calc!C5754),"")</f>
        <v/>
      </c>
      <c r="C5754" s="17">
        <f>IF(Calc!$B5754,Calc!O5754,"")</f>
        <v/>
      </c>
    </row>
    <row r="5755">
      <c r="A5755" s="16">
        <f>IF(Calc!$B5755,Calc!E5755,"")</f>
        <v/>
      </c>
      <c r="B5755">
        <f>IF(Calc!$B5755,INDEX(MineNames,Calc!C5755),"")</f>
        <v/>
      </c>
      <c r="C5755" s="17">
        <f>IF(Calc!$B5755,Calc!O5755,"")</f>
        <v/>
      </c>
    </row>
    <row r="5756">
      <c r="A5756" s="16">
        <f>IF(Calc!$B5756,Calc!E5756,"")</f>
        <v/>
      </c>
      <c r="B5756">
        <f>IF(Calc!$B5756,INDEX(MineNames,Calc!C5756),"")</f>
        <v/>
      </c>
      <c r="C5756" s="17">
        <f>IF(Calc!$B5756,Calc!O5756,"")</f>
        <v/>
      </c>
    </row>
    <row r="5757">
      <c r="A5757" s="16">
        <f>IF(Calc!$B5757,Calc!E5757,"")</f>
        <v/>
      </c>
      <c r="B5757">
        <f>IF(Calc!$B5757,INDEX(MineNames,Calc!C5757),"")</f>
        <v/>
      </c>
      <c r="C5757" s="17">
        <f>IF(Calc!$B5757,Calc!O5757,"")</f>
        <v/>
      </c>
    </row>
    <row r="5758">
      <c r="A5758" s="16">
        <f>IF(Calc!$B5758,Calc!E5758,"")</f>
        <v/>
      </c>
      <c r="B5758">
        <f>IF(Calc!$B5758,INDEX(MineNames,Calc!C5758),"")</f>
        <v/>
      </c>
      <c r="C5758" s="17">
        <f>IF(Calc!$B5758,Calc!O5758,"")</f>
        <v/>
      </c>
    </row>
    <row r="5759">
      <c r="A5759" s="16">
        <f>IF(Calc!$B5759,Calc!E5759,"")</f>
        <v/>
      </c>
      <c r="B5759">
        <f>IF(Calc!$B5759,INDEX(MineNames,Calc!C5759),"")</f>
        <v/>
      </c>
      <c r="C5759" s="17">
        <f>IF(Calc!$B5759,Calc!O5759,"")</f>
        <v/>
      </c>
    </row>
    <row r="5760">
      <c r="A5760" s="16">
        <f>IF(Calc!$B5760,Calc!E5760,"")</f>
        <v/>
      </c>
      <c r="B5760">
        <f>IF(Calc!$B5760,INDEX(MineNames,Calc!C5760),"")</f>
        <v/>
      </c>
      <c r="C5760" s="17">
        <f>IF(Calc!$B5760,Calc!O5760,"")</f>
        <v/>
      </c>
    </row>
    <row r="5761">
      <c r="A5761" s="16">
        <f>IF(Calc!$B5761,Calc!E5761,"")</f>
        <v/>
      </c>
      <c r="B5761">
        <f>IF(Calc!$B5761,INDEX(MineNames,Calc!C5761),"")</f>
        <v/>
      </c>
      <c r="C5761" s="17">
        <f>IF(Calc!$B5761,Calc!O5761,"")</f>
        <v/>
      </c>
    </row>
    <row r="5762">
      <c r="A5762" s="16">
        <f>IF(Calc!$B5762,Calc!E5762,"")</f>
        <v/>
      </c>
      <c r="B5762">
        <f>IF(Calc!$B5762,INDEX(MineNames,Calc!C5762),"")</f>
        <v/>
      </c>
      <c r="C5762" s="17">
        <f>IF(Calc!$B5762,Calc!O5762,"")</f>
        <v/>
      </c>
    </row>
    <row r="5763">
      <c r="A5763" s="16">
        <f>IF(Calc!$B5763,Calc!E5763,"")</f>
        <v/>
      </c>
      <c r="B5763">
        <f>IF(Calc!$B5763,INDEX(MineNames,Calc!C5763),"")</f>
        <v/>
      </c>
      <c r="C5763" s="17">
        <f>IF(Calc!$B5763,Calc!O5763,"")</f>
        <v/>
      </c>
    </row>
    <row r="5764">
      <c r="A5764" s="16">
        <f>IF(Calc!$B5764,Calc!E5764,"")</f>
        <v/>
      </c>
      <c r="B5764">
        <f>IF(Calc!$B5764,INDEX(MineNames,Calc!C5764),"")</f>
        <v/>
      </c>
      <c r="C5764" s="17">
        <f>IF(Calc!$B5764,Calc!O5764,"")</f>
        <v/>
      </c>
    </row>
    <row r="5765">
      <c r="A5765" s="16">
        <f>IF(Calc!$B5765,Calc!E5765,"")</f>
        <v/>
      </c>
      <c r="B5765">
        <f>IF(Calc!$B5765,INDEX(MineNames,Calc!C5765),"")</f>
        <v/>
      </c>
      <c r="C5765" s="17">
        <f>IF(Calc!$B5765,Calc!O5765,"")</f>
        <v/>
      </c>
    </row>
    <row r="5766">
      <c r="A5766" s="16">
        <f>IF(Calc!$B5766,Calc!E5766,"")</f>
        <v/>
      </c>
      <c r="B5766">
        <f>IF(Calc!$B5766,INDEX(MineNames,Calc!C5766),"")</f>
        <v/>
      </c>
      <c r="C5766" s="17">
        <f>IF(Calc!$B5766,Calc!O5766,"")</f>
        <v/>
      </c>
    </row>
    <row r="5767">
      <c r="A5767" s="16">
        <f>IF(Calc!$B5767,Calc!E5767,"")</f>
        <v/>
      </c>
      <c r="B5767">
        <f>IF(Calc!$B5767,INDEX(MineNames,Calc!C5767),"")</f>
        <v/>
      </c>
      <c r="C5767" s="17">
        <f>IF(Calc!$B5767,Calc!O5767,"")</f>
        <v/>
      </c>
    </row>
    <row r="5768">
      <c r="A5768" s="16">
        <f>IF(Calc!$B5768,Calc!E5768,"")</f>
        <v/>
      </c>
      <c r="B5768">
        <f>IF(Calc!$B5768,INDEX(MineNames,Calc!C5768),"")</f>
        <v/>
      </c>
      <c r="C5768" s="17">
        <f>IF(Calc!$B5768,Calc!O5768,"")</f>
        <v/>
      </c>
    </row>
    <row r="5769">
      <c r="A5769" s="16">
        <f>IF(Calc!$B5769,Calc!E5769,"")</f>
        <v/>
      </c>
      <c r="B5769">
        <f>IF(Calc!$B5769,INDEX(MineNames,Calc!C5769),"")</f>
        <v/>
      </c>
      <c r="C5769" s="17">
        <f>IF(Calc!$B5769,Calc!O5769,"")</f>
        <v/>
      </c>
    </row>
    <row r="5770">
      <c r="A5770" s="16">
        <f>IF(Calc!$B5770,Calc!E5770,"")</f>
        <v/>
      </c>
      <c r="B5770">
        <f>IF(Calc!$B5770,INDEX(MineNames,Calc!C5770),"")</f>
        <v/>
      </c>
      <c r="C5770" s="17">
        <f>IF(Calc!$B5770,Calc!O5770,"")</f>
        <v/>
      </c>
    </row>
    <row r="5771">
      <c r="A5771" s="16">
        <f>IF(Calc!$B5771,Calc!E5771,"")</f>
        <v/>
      </c>
      <c r="B5771">
        <f>IF(Calc!$B5771,INDEX(MineNames,Calc!C5771),"")</f>
        <v/>
      </c>
      <c r="C5771" s="17">
        <f>IF(Calc!$B5771,Calc!O5771,"")</f>
        <v/>
      </c>
    </row>
    <row r="5772">
      <c r="A5772" s="16">
        <f>IF(Calc!$B5772,Calc!E5772,"")</f>
        <v/>
      </c>
      <c r="B5772">
        <f>IF(Calc!$B5772,INDEX(MineNames,Calc!C5772),"")</f>
        <v/>
      </c>
      <c r="C5772" s="17">
        <f>IF(Calc!$B5772,Calc!O5772,"")</f>
        <v/>
      </c>
    </row>
    <row r="5773">
      <c r="A5773" s="16">
        <f>IF(Calc!$B5773,Calc!E5773,"")</f>
        <v/>
      </c>
      <c r="B5773">
        <f>IF(Calc!$B5773,INDEX(MineNames,Calc!C5773),"")</f>
        <v/>
      </c>
      <c r="C5773" s="17">
        <f>IF(Calc!$B5773,Calc!O5773,"")</f>
        <v/>
      </c>
    </row>
    <row r="5774">
      <c r="A5774" s="16">
        <f>IF(Calc!$B5774,Calc!E5774,"")</f>
        <v/>
      </c>
      <c r="B5774">
        <f>IF(Calc!$B5774,INDEX(MineNames,Calc!C5774),"")</f>
        <v/>
      </c>
      <c r="C5774" s="17">
        <f>IF(Calc!$B5774,Calc!O5774,"")</f>
        <v/>
      </c>
    </row>
    <row r="5775">
      <c r="A5775" s="16">
        <f>IF(Calc!$B5775,Calc!E5775,"")</f>
        <v/>
      </c>
      <c r="B5775">
        <f>IF(Calc!$B5775,INDEX(MineNames,Calc!C5775),"")</f>
        <v/>
      </c>
      <c r="C5775" s="17">
        <f>IF(Calc!$B5775,Calc!O5775,"")</f>
        <v/>
      </c>
    </row>
    <row r="5776">
      <c r="A5776" s="16">
        <f>IF(Calc!$B5776,Calc!E5776,"")</f>
        <v/>
      </c>
      <c r="B5776">
        <f>IF(Calc!$B5776,INDEX(MineNames,Calc!C5776),"")</f>
        <v/>
      </c>
      <c r="C5776" s="17">
        <f>IF(Calc!$B5776,Calc!O5776,"")</f>
        <v/>
      </c>
    </row>
    <row r="5777">
      <c r="A5777" s="16">
        <f>IF(Calc!$B5777,Calc!E5777,"")</f>
        <v/>
      </c>
      <c r="B5777">
        <f>IF(Calc!$B5777,INDEX(MineNames,Calc!C5777),"")</f>
        <v/>
      </c>
      <c r="C5777" s="17">
        <f>IF(Calc!$B5777,Calc!O5777,"")</f>
        <v/>
      </c>
    </row>
    <row r="5778">
      <c r="A5778" s="16">
        <f>IF(Calc!$B5778,Calc!E5778,"")</f>
        <v/>
      </c>
      <c r="B5778">
        <f>IF(Calc!$B5778,INDEX(MineNames,Calc!C5778),"")</f>
        <v/>
      </c>
      <c r="C5778" s="17">
        <f>IF(Calc!$B5778,Calc!O5778,"")</f>
        <v/>
      </c>
    </row>
    <row r="5779">
      <c r="A5779" s="16">
        <f>IF(Calc!$B5779,Calc!E5779,"")</f>
        <v/>
      </c>
      <c r="B5779">
        <f>IF(Calc!$B5779,INDEX(MineNames,Calc!C5779),"")</f>
        <v/>
      </c>
      <c r="C5779" s="17">
        <f>IF(Calc!$B5779,Calc!O5779,"")</f>
        <v/>
      </c>
    </row>
    <row r="5780">
      <c r="A5780" s="16">
        <f>IF(Calc!$B5780,Calc!E5780,"")</f>
        <v/>
      </c>
      <c r="B5780">
        <f>IF(Calc!$B5780,INDEX(MineNames,Calc!C5780),"")</f>
        <v/>
      </c>
      <c r="C5780" s="17">
        <f>IF(Calc!$B5780,Calc!O5780,"")</f>
        <v/>
      </c>
    </row>
    <row r="5781">
      <c r="A5781" s="16">
        <f>IF(Calc!$B5781,Calc!E5781,"")</f>
        <v/>
      </c>
      <c r="B5781">
        <f>IF(Calc!$B5781,INDEX(MineNames,Calc!C5781),"")</f>
        <v/>
      </c>
      <c r="C5781" s="17">
        <f>IF(Calc!$B5781,Calc!O5781,"")</f>
        <v/>
      </c>
    </row>
    <row r="5782">
      <c r="A5782" s="16">
        <f>IF(Calc!$B5782,Calc!E5782,"")</f>
        <v/>
      </c>
      <c r="B5782">
        <f>IF(Calc!$B5782,INDEX(MineNames,Calc!C5782),"")</f>
        <v/>
      </c>
      <c r="C5782" s="17">
        <f>IF(Calc!$B5782,Calc!O5782,"")</f>
        <v/>
      </c>
    </row>
    <row r="5783">
      <c r="A5783" s="16">
        <f>IF(Calc!$B5783,Calc!E5783,"")</f>
        <v/>
      </c>
      <c r="B5783">
        <f>IF(Calc!$B5783,INDEX(MineNames,Calc!C5783),"")</f>
        <v/>
      </c>
      <c r="C5783" s="17">
        <f>IF(Calc!$B5783,Calc!O5783,"")</f>
        <v/>
      </c>
    </row>
    <row r="5784">
      <c r="A5784" s="16">
        <f>IF(Calc!$B5784,Calc!E5784,"")</f>
        <v/>
      </c>
      <c r="B5784">
        <f>IF(Calc!$B5784,INDEX(MineNames,Calc!C5784),"")</f>
        <v/>
      </c>
      <c r="C5784" s="17">
        <f>IF(Calc!$B5784,Calc!O5784,"")</f>
        <v/>
      </c>
    </row>
    <row r="5785">
      <c r="A5785" s="16">
        <f>IF(Calc!$B5785,Calc!E5785,"")</f>
        <v/>
      </c>
      <c r="B5785">
        <f>IF(Calc!$B5785,INDEX(MineNames,Calc!C5785),"")</f>
        <v/>
      </c>
      <c r="C5785" s="17">
        <f>IF(Calc!$B5785,Calc!O5785,"")</f>
        <v/>
      </c>
    </row>
    <row r="5786">
      <c r="A5786" s="16">
        <f>IF(Calc!$B5786,Calc!E5786,"")</f>
        <v/>
      </c>
      <c r="B5786">
        <f>IF(Calc!$B5786,INDEX(MineNames,Calc!C5786),"")</f>
        <v/>
      </c>
      <c r="C5786" s="17">
        <f>IF(Calc!$B5786,Calc!O5786,"")</f>
        <v/>
      </c>
    </row>
    <row r="5787">
      <c r="A5787" s="16">
        <f>IF(Calc!$B5787,Calc!E5787,"")</f>
        <v/>
      </c>
      <c r="B5787">
        <f>IF(Calc!$B5787,INDEX(MineNames,Calc!C5787),"")</f>
        <v/>
      </c>
      <c r="C5787" s="17">
        <f>IF(Calc!$B5787,Calc!O5787,"")</f>
        <v/>
      </c>
    </row>
    <row r="5788">
      <c r="A5788" s="16">
        <f>IF(Calc!$B5788,Calc!E5788,"")</f>
        <v/>
      </c>
      <c r="B5788">
        <f>IF(Calc!$B5788,INDEX(MineNames,Calc!C5788),"")</f>
        <v/>
      </c>
      <c r="C5788" s="17">
        <f>IF(Calc!$B5788,Calc!O5788,"")</f>
        <v/>
      </c>
    </row>
    <row r="5789">
      <c r="A5789" s="16">
        <f>IF(Calc!$B5789,Calc!E5789,"")</f>
        <v/>
      </c>
      <c r="B5789">
        <f>IF(Calc!$B5789,INDEX(MineNames,Calc!C5789),"")</f>
        <v/>
      </c>
      <c r="C5789" s="17">
        <f>IF(Calc!$B5789,Calc!O5789,"")</f>
        <v/>
      </c>
    </row>
    <row r="5790">
      <c r="A5790" s="16">
        <f>IF(Calc!$B5790,Calc!E5790,"")</f>
        <v/>
      </c>
      <c r="B5790">
        <f>IF(Calc!$B5790,INDEX(MineNames,Calc!C5790),"")</f>
        <v/>
      </c>
      <c r="C5790" s="17">
        <f>IF(Calc!$B5790,Calc!O5790,"")</f>
        <v/>
      </c>
    </row>
    <row r="5791">
      <c r="A5791" s="16">
        <f>IF(Calc!$B5791,Calc!E5791,"")</f>
        <v/>
      </c>
      <c r="B5791">
        <f>IF(Calc!$B5791,INDEX(MineNames,Calc!C5791),"")</f>
        <v/>
      </c>
      <c r="C5791" s="17">
        <f>IF(Calc!$B5791,Calc!O5791,"")</f>
        <v/>
      </c>
    </row>
    <row r="5792">
      <c r="A5792" s="16">
        <f>IF(Calc!$B5792,Calc!E5792,"")</f>
        <v/>
      </c>
      <c r="B5792">
        <f>IF(Calc!$B5792,INDEX(MineNames,Calc!C5792),"")</f>
        <v/>
      </c>
      <c r="C5792" s="17">
        <f>IF(Calc!$B5792,Calc!O5792,"")</f>
        <v/>
      </c>
    </row>
    <row r="5793">
      <c r="A5793" s="16">
        <f>IF(Calc!$B5793,Calc!E5793,"")</f>
        <v/>
      </c>
      <c r="B5793">
        <f>IF(Calc!$B5793,INDEX(MineNames,Calc!C5793),"")</f>
        <v/>
      </c>
      <c r="C5793" s="17">
        <f>IF(Calc!$B5793,Calc!O5793,"")</f>
        <v/>
      </c>
    </row>
    <row r="5794">
      <c r="A5794" s="16">
        <f>IF(Calc!$B5794,Calc!E5794,"")</f>
        <v/>
      </c>
      <c r="B5794">
        <f>IF(Calc!$B5794,INDEX(MineNames,Calc!C5794),"")</f>
        <v/>
      </c>
      <c r="C5794" s="17">
        <f>IF(Calc!$B5794,Calc!O5794,"")</f>
        <v/>
      </c>
    </row>
    <row r="5795">
      <c r="A5795" s="16">
        <f>IF(Calc!$B5795,Calc!E5795,"")</f>
        <v/>
      </c>
      <c r="B5795">
        <f>IF(Calc!$B5795,INDEX(MineNames,Calc!C5795),"")</f>
        <v/>
      </c>
      <c r="C5795" s="17">
        <f>IF(Calc!$B5795,Calc!O5795,"")</f>
        <v/>
      </c>
    </row>
    <row r="5796">
      <c r="A5796" s="16">
        <f>IF(Calc!$B5796,Calc!E5796,"")</f>
        <v/>
      </c>
      <c r="B5796">
        <f>IF(Calc!$B5796,INDEX(MineNames,Calc!C5796),"")</f>
        <v/>
      </c>
      <c r="C5796" s="17">
        <f>IF(Calc!$B5796,Calc!O5796,"")</f>
        <v/>
      </c>
    </row>
    <row r="5797">
      <c r="A5797" s="16">
        <f>IF(Calc!$B5797,Calc!E5797,"")</f>
        <v/>
      </c>
      <c r="B5797">
        <f>IF(Calc!$B5797,INDEX(MineNames,Calc!C5797),"")</f>
        <v/>
      </c>
      <c r="C5797" s="17">
        <f>IF(Calc!$B5797,Calc!O5797,"")</f>
        <v/>
      </c>
    </row>
    <row r="5798">
      <c r="A5798" s="16">
        <f>IF(Calc!$B5798,Calc!E5798,"")</f>
        <v/>
      </c>
      <c r="B5798">
        <f>IF(Calc!$B5798,INDEX(MineNames,Calc!C5798),"")</f>
        <v/>
      </c>
      <c r="C5798" s="17">
        <f>IF(Calc!$B5798,Calc!O5798,"")</f>
        <v/>
      </c>
    </row>
    <row r="5799">
      <c r="A5799" s="16">
        <f>IF(Calc!$B5799,Calc!E5799,"")</f>
        <v/>
      </c>
      <c r="B5799">
        <f>IF(Calc!$B5799,INDEX(MineNames,Calc!C5799),"")</f>
        <v/>
      </c>
      <c r="C5799" s="17">
        <f>IF(Calc!$B5799,Calc!O5799,"")</f>
        <v/>
      </c>
    </row>
    <row r="5800">
      <c r="A5800" s="16">
        <f>IF(Calc!$B5800,Calc!E5800,"")</f>
        <v/>
      </c>
      <c r="B5800">
        <f>IF(Calc!$B5800,INDEX(MineNames,Calc!C5800),"")</f>
        <v/>
      </c>
      <c r="C5800" s="17">
        <f>IF(Calc!$B5800,Calc!O5800,"")</f>
        <v/>
      </c>
    </row>
    <row r="5801">
      <c r="A5801" s="16">
        <f>IF(Calc!$B5801,Calc!E5801,"")</f>
        <v/>
      </c>
      <c r="B5801">
        <f>IF(Calc!$B5801,INDEX(MineNames,Calc!C5801),"")</f>
        <v/>
      </c>
      <c r="C5801" s="17">
        <f>IF(Calc!$B5801,Calc!O5801,"")</f>
        <v/>
      </c>
    </row>
    <row r="5802">
      <c r="A5802" s="16">
        <f>IF(Calc!$B5802,Calc!E5802,"")</f>
        <v/>
      </c>
      <c r="B5802">
        <f>IF(Calc!$B5802,INDEX(MineNames,Calc!C5802),"")</f>
        <v/>
      </c>
      <c r="C5802" s="17">
        <f>IF(Calc!$B5802,Calc!O5802,"")</f>
        <v/>
      </c>
    </row>
    <row r="5803">
      <c r="A5803" s="16">
        <f>IF(Calc!$B5803,Calc!E5803,"")</f>
        <v/>
      </c>
      <c r="B5803">
        <f>IF(Calc!$B5803,INDEX(MineNames,Calc!C5803),"")</f>
        <v/>
      </c>
      <c r="C5803" s="17">
        <f>IF(Calc!$B5803,Calc!O5803,"")</f>
        <v/>
      </c>
    </row>
    <row r="5804">
      <c r="A5804" s="16">
        <f>IF(Calc!$B5804,Calc!E5804,"")</f>
        <v/>
      </c>
      <c r="B5804">
        <f>IF(Calc!$B5804,INDEX(MineNames,Calc!C5804),"")</f>
        <v/>
      </c>
      <c r="C5804" s="17">
        <f>IF(Calc!$B5804,Calc!O5804,"")</f>
        <v/>
      </c>
    </row>
    <row r="5805">
      <c r="A5805" s="16">
        <f>IF(Calc!$B5805,Calc!E5805,"")</f>
        <v/>
      </c>
      <c r="B5805">
        <f>IF(Calc!$B5805,INDEX(MineNames,Calc!C5805),"")</f>
        <v/>
      </c>
      <c r="C5805" s="17">
        <f>IF(Calc!$B5805,Calc!O5805,"")</f>
        <v/>
      </c>
    </row>
    <row r="5806">
      <c r="A5806" s="16">
        <f>IF(Calc!$B5806,Calc!E5806,"")</f>
        <v/>
      </c>
      <c r="B5806">
        <f>IF(Calc!$B5806,INDEX(MineNames,Calc!C5806),"")</f>
        <v/>
      </c>
      <c r="C5806" s="17">
        <f>IF(Calc!$B5806,Calc!O5806,"")</f>
        <v/>
      </c>
    </row>
    <row r="5807">
      <c r="A5807" s="16">
        <f>IF(Calc!$B5807,Calc!E5807,"")</f>
        <v/>
      </c>
      <c r="B5807">
        <f>IF(Calc!$B5807,INDEX(MineNames,Calc!C5807),"")</f>
        <v/>
      </c>
      <c r="C5807" s="17">
        <f>IF(Calc!$B5807,Calc!O5807,"")</f>
        <v/>
      </c>
    </row>
    <row r="5808">
      <c r="A5808" s="16">
        <f>IF(Calc!$B5808,Calc!E5808,"")</f>
        <v/>
      </c>
      <c r="B5808">
        <f>IF(Calc!$B5808,INDEX(MineNames,Calc!C5808),"")</f>
        <v/>
      </c>
      <c r="C5808" s="17">
        <f>IF(Calc!$B5808,Calc!O5808,"")</f>
        <v/>
      </c>
    </row>
    <row r="5809">
      <c r="A5809" s="16">
        <f>IF(Calc!$B5809,Calc!E5809,"")</f>
        <v/>
      </c>
      <c r="B5809">
        <f>IF(Calc!$B5809,INDEX(MineNames,Calc!C5809),"")</f>
        <v/>
      </c>
      <c r="C5809" s="17">
        <f>IF(Calc!$B5809,Calc!O5809,"")</f>
        <v/>
      </c>
    </row>
    <row r="5810">
      <c r="A5810" s="16">
        <f>IF(Calc!$B5810,Calc!E5810,"")</f>
        <v/>
      </c>
      <c r="B5810">
        <f>IF(Calc!$B5810,INDEX(MineNames,Calc!C5810),"")</f>
        <v/>
      </c>
      <c r="C5810" s="17">
        <f>IF(Calc!$B5810,Calc!O5810,"")</f>
        <v/>
      </c>
    </row>
    <row r="5811">
      <c r="A5811" s="16">
        <f>IF(Calc!$B5811,Calc!E5811,"")</f>
        <v/>
      </c>
      <c r="B5811">
        <f>IF(Calc!$B5811,INDEX(MineNames,Calc!C5811),"")</f>
        <v/>
      </c>
      <c r="C5811" s="17">
        <f>IF(Calc!$B5811,Calc!O5811,"")</f>
        <v/>
      </c>
    </row>
    <row r="5812">
      <c r="A5812" s="16">
        <f>IF(Calc!$B5812,Calc!E5812,"")</f>
        <v/>
      </c>
      <c r="B5812">
        <f>IF(Calc!$B5812,INDEX(MineNames,Calc!C5812),"")</f>
        <v/>
      </c>
      <c r="C5812" s="17">
        <f>IF(Calc!$B5812,Calc!O5812,"")</f>
        <v/>
      </c>
    </row>
    <row r="5813">
      <c r="A5813" s="16">
        <f>IF(Calc!$B5813,Calc!E5813,"")</f>
        <v/>
      </c>
      <c r="B5813">
        <f>IF(Calc!$B5813,INDEX(MineNames,Calc!C5813),"")</f>
        <v/>
      </c>
      <c r="C5813" s="17">
        <f>IF(Calc!$B5813,Calc!O5813,"")</f>
        <v/>
      </c>
    </row>
    <row r="5814">
      <c r="A5814" s="16">
        <f>IF(Calc!$B5814,Calc!E5814,"")</f>
        <v/>
      </c>
      <c r="B5814">
        <f>IF(Calc!$B5814,INDEX(MineNames,Calc!C5814),"")</f>
        <v/>
      </c>
      <c r="C5814" s="17">
        <f>IF(Calc!$B5814,Calc!O5814,"")</f>
        <v/>
      </c>
    </row>
    <row r="5815">
      <c r="A5815" s="16">
        <f>IF(Calc!$B5815,Calc!E5815,"")</f>
        <v/>
      </c>
      <c r="B5815">
        <f>IF(Calc!$B5815,INDEX(MineNames,Calc!C5815),"")</f>
        <v/>
      </c>
      <c r="C5815" s="17">
        <f>IF(Calc!$B5815,Calc!O5815,"")</f>
        <v/>
      </c>
    </row>
    <row r="5816">
      <c r="A5816" s="16">
        <f>IF(Calc!$B5816,Calc!E5816,"")</f>
        <v/>
      </c>
      <c r="B5816">
        <f>IF(Calc!$B5816,INDEX(MineNames,Calc!C5816),"")</f>
        <v/>
      </c>
      <c r="C5816" s="17">
        <f>IF(Calc!$B5816,Calc!O5816,"")</f>
        <v/>
      </c>
    </row>
    <row r="5817">
      <c r="A5817" s="16">
        <f>IF(Calc!$B5817,Calc!E5817,"")</f>
        <v/>
      </c>
      <c r="B5817">
        <f>IF(Calc!$B5817,INDEX(MineNames,Calc!C5817),"")</f>
        <v/>
      </c>
      <c r="C5817" s="17">
        <f>IF(Calc!$B5817,Calc!O5817,"")</f>
        <v/>
      </c>
    </row>
    <row r="5818">
      <c r="A5818" s="16">
        <f>IF(Calc!$B5818,Calc!E5818,"")</f>
        <v/>
      </c>
      <c r="B5818">
        <f>IF(Calc!$B5818,INDEX(MineNames,Calc!C5818),"")</f>
        <v/>
      </c>
      <c r="C5818" s="17">
        <f>IF(Calc!$B5818,Calc!O5818,"")</f>
        <v/>
      </c>
    </row>
    <row r="5819">
      <c r="A5819" s="16">
        <f>IF(Calc!$B5819,Calc!E5819,"")</f>
        <v/>
      </c>
      <c r="B5819">
        <f>IF(Calc!$B5819,INDEX(MineNames,Calc!C5819),"")</f>
        <v/>
      </c>
      <c r="C5819" s="17">
        <f>IF(Calc!$B5819,Calc!O5819,"")</f>
        <v/>
      </c>
    </row>
    <row r="5820">
      <c r="A5820" s="16">
        <f>IF(Calc!$B5820,Calc!E5820,"")</f>
        <v/>
      </c>
      <c r="B5820">
        <f>IF(Calc!$B5820,INDEX(MineNames,Calc!C5820),"")</f>
        <v/>
      </c>
      <c r="C5820" s="17">
        <f>IF(Calc!$B5820,Calc!O5820,"")</f>
        <v/>
      </c>
    </row>
    <row r="5821">
      <c r="A5821" s="16">
        <f>IF(Calc!$B5821,Calc!E5821,"")</f>
        <v/>
      </c>
      <c r="B5821">
        <f>IF(Calc!$B5821,INDEX(MineNames,Calc!C5821),"")</f>
        <v/>
      </c>
      <c r="C5821" s="17">
        <f>IF(Calc!$B5821,Calc!O5821,"")</f>
        <v/>
      </c>
    </row>
    <row r="5822">
      <c r="A5822" s="16">
        <f>IF(Calc!$B5822,Calc!E5822,"")</f>
        <v/>
      </c>
      <c r="B5822">
        <f>IF(Calc!$B5822,INDEX(MineNames,Calc!C5822),"")</f>
        <v/>
      </c>
      <c r="C5822" s="17">
        <f>IF(Calc!$B5822,Calc!O5822,"")</f>
        <v/>
      </c>
    </row>
    <row r="5823">
      <c r="A5823" s="16">
        <f>IF(Calc!$B5823,Calc!E5823,"")</f>
        <v/>
      </c>
      <c r="B5823">
        <f>IF(Calc!$B5823,INDEX(MineNames,Calc!C5823),"")</f>
        <v/>
      </c>
      <c r="C5823" s="17">
        <f>IF(Calc!$B5823,Calc!O5823,"")</f>
        <v/>
      </c>
    </row>
    <row r="5824">
      <c r="A5824" s="16">
        <f>IF(Calc!$B5824,Calc!E5824,"")</f>
        <v/>
      </c>
      <c r="B5824">
        <f>IF(Calc!$B5824,INDEX(MineNames,Calc!C5824),"")</f>
        <v/>
      </c>
      <c r="C5824" s="17">
        <f>IF(Calc!$B5824,Calc!O5824,"")</f>
        <v/>
      </c>
    </row>
    <row r="5825">
      <c r="A5825" s="16">
        <f>IF(Calc!$B5825,Calc!E5825,"")</f>
        <v/>
      </c>
      <c r="B5825">
        <f>IF(Calc!$B5825,INDEX(MineNames,Calc!C5825),"")</f>
        <v/>
      </c>
      <c r="C5825" s="17">
        <f>IF(Calc!$B5825,Calc!O5825,"")</f>
        <v/>
      </c>
    </row>
    <row r="5826">
      <c r="A5826" s="16">
        <f>IF(Calc!$B5826,Calc!E5826,"")</f>
        <v/>
      </c>
      <c r="B5826">
        <f>IF(Calc!$B5826,INDEX(MineNames,Calc!C5826),"")</f>
        <v/>
      </c>
      <c r="C5826" s="17">
        <f>IF(Calc!$B5826,Calc!O5826,"")</f>
        <v/>
      </c>
    </row>
    <row r="5827">
      <c r="A5827" s="16">
        <f>IF(Calc!$B5827,Calc!E5827,"")</f>
        <v/>
      </c>
      <c r="B5827">
        <f>IF(Calc!$B5827,INDEX(MineNames,Calc!C5827),"")</f>
        <v/>
      </c>
      <c r="C5827" s="17">
        <f>IF(Calc!$B5827,Calc!O5827,"")</f>
        <v/>
      </c>
    </row>
    <row r="5828">
      <c r="A5828" s="16">
        <f>IF(Calc!$B5828,Calc!E5828,"")</f>
        <v/>
      </c>
      <c r="B5828">
        <f>IF(Calc!$B5828,INDEX(MineNames,Calc!C5828),"")</f>
        <v/>
      </c>
      <c r="C5828" s="17">
        <f>IF(Calc!$B5828,Calc!O5828,"")</f>
        <v/>
      </c>
    </row>
    <row r="5829">
      <c r="A5829" s="16">
        <f>IF(Calc!$B5829,Calc!E5829,"")</f>
        <v/>
      </c>
      <c r="B5829">
        <f>IF(Calc!$B5829,INDEX(MineNames,Calc!C5829),"")</f>
        <v/>
      </c>
      <c r="C5829" s="17">
        <f>IF(Calc!$B5829,Calc!O5829,"")</f>
        <v/>
      </c>
    </row>
    <row r="5830">
      <c r="A5830" s="16">
        <f>IF(Calc!$B5830,Calc!E5830,"")</f>
        <v/>
      </c>
      <c r="B5830">
        <f>IF(Calc!$B5830,INDEX(MineNames,Calc!C5830),"")</f>
        <v/>
      </c>
      <c r="C5830" s="17">
        <f>IF(Calc!$B5830,Calc!O5830,"")</f>
        <v/>
      </c>
    </row>
    <row r="5831">
      <c r="A5831" s="16">
        <f>IF(Calc!$B5831,Calc!E5831,"")</f>
        <v/>
      </c>
      <c r="B5831">
        <f>IF(Calc!$B5831,INDEX(MineNames,Calc!C5831),"")</f>
        <v/>
      </c>
      <c r="C5831" s="17">
        <f>IF(Calc!$B5831,Calc!O5831,"")</f>
        <v/>
      </c>
    </row>
    <row r="5832">
      <c r="A5832" s="16">
        <f>IF(Calc!$B5832,Calc!E5832,"")</f>
        <v/>
      </c>
      <c r="B5832">
        <f>IF(Calc!$B5832,INDEX(MineNames,Calc!C5832),"")</f>
        <v/>
      </c>
      <c r="C5832" s="17">
        <f>IF(Calc!$B5832,Calc!O5832,"")</f>
        <v/>
      </c>
    </row>
    <row r="5833">
      <c r="A5833" s="16">
        <f>IF(Calc!$B5833,Calc!E5833,"")</f>
        <v/>
      </c>
      <c r="B5833">
        <f>IF(Calc!$B5833,INDEX(MineNames,Calc!C5833),"")</f>
        <v/>
      </c>
      <c r="C5833" s="17">
        <f>IF(Calc!$B5833,Calc!O5833,"")</f>
        <v/>
      </c>
    </row>
    <row r="5834">
      <c r="A5834" s="16">
        <f>IF(Calc!$B5834,Calc!E5834,"")</f>
        <v/>
      </c>
      <c r="B5834">
        <f>IF(Calc!$B5834,INDEX(MineNames,Calc!C5834),"")</f>
        <v/>
      </c>
      <c r="C5834" s="17">
        <f>IF(Calc!$B5834,Calc!O5834,"")</f>
        <v/>
      </c>
    </row>
    <row r="5835">
      <c r="A5835" s="16">
        <f>IF(Calc!$B5835,Calc!E5835,"")</f>
        <v/>
      </c>
      <c r="B5835">
        <f>IF(Calc!$B5835,INDEX(MineNames,Calc!C5835),"")</f>
        <v/>
      </c>
      <c r="C5835" s="17">
        <f>IF(Calc!$B5835,Calc!O5835,"")</f>
        <v/>
      </c>
    </row>
    <row r="5836">
      <c r="A5836" s="16">
        <f>IF(Calc!$B5836,Calc!E5836,"")</f>
        <v/>
      </c>
      <c r="B5836">
        <f>IF(Calc!$B5836,INDEX(MineNames,Calc!C5836),"")</f>
        <v/>
      </c>
      <c r="C5836" s="17">
        <f>IF(Calc!$B5836,Calc!O5836,"")</f>
        <v/>
      </c>
    </row>
    <row r="5837">
      <c r="A5837" s="16">
        <f>IF(Calc!$B5837,Calc!E5837,"")</f>
        <v/>
      </c>
      <c r="B5837">
        <f>IF(Calc!$B5837,INDEX(MineNames,Calc!C5837),"")</f>
        <v/>
      </c>
      <c r="C5837" s="17">
        <f>IF(Calc!$B5837,Calc!O5837,"")</f>
        <v/>
      </c>
    </row>
    <row r="5838">
      <c r="A5838" s="16">
        <f>IF(Calc!$B5838,Calc!E5838,"")</f>
        <v/>
      </c>
      <c r="B5838">
        <f>IF(Calc!$B5838,INDEX(MineNames,Calc!C5838),"")</f>
        <v/>
      </c>
      <c r="C5838" s="17">
        <f>IF(Calc!$B5838,Calc!O5838,"")</f>
        <v/>
      </c>
    </row>
    <row r="5839">
      <c r="A5839" s="16">
        <f>IF(Calc!$B5839,Calc!E5839,"")</f>
        <v/>
      </c>
      <c r="B5839">
        <f>IF(Calc!$B5839,INDEX(MineNames,Calc!C5839),"")</f>
        <v/>
      </c>
      <c r="C5839" s="17">
        <f>IF(Calc!$B5839,Calc!O5839,"")</f>
        <v/>
      </c>
    </row>
    <row r="5840">
      <c r="A5840" s="16">
        <f>IF(Calc!$B5840,Calc!E5840,"")</f>
        <v/>
      </c>
      <c r="B5840">
        <f>IF(Calc!$B5840,INDEX(MineNames,Calc!C5840),"")</f>
        <v/>
      </c>
      <c r="C5840" s="17">
        <f>IF(Calc!$B5840,Calc!O5840,"")</f>
        <v/>
      </c>
    </row>
    <row r="5841">
      <c r="A5841" s="16">
        <f>IF(Calc!$B5841,Calc!E5841,"")</f>
        <v/>
      </c>
      <c r="B5841">
        <f>IF(Calc!$B5841,INDEX(MineNames,Calc!C5841),"")</f>
        <v/>
      </c>
      <c r="C5841" s="17">
        <f>IF(Calc!$B5841,Calc!O5841,"")</f>
        <v/>
      </c>
    </row>
    <row r="5842">
      <c r="A5842" s="16">
        <f>IF(Calc!$B5842,Calc!E5842,"")</f>
        <v/>
      </c>
      <c r="B5842">
        <f>IF(Calc!$B5842,INDEX(MineNames,Calc!C5842),"")</f>
        <v/>
      </c>
      <c r="C5842" s="17">
        <f>IF(Calc!$B5842,Calc!O5842,"")</f>
        <v/>
      </c>
    </row>
    <row r="5843">
      <c r="A5843" s="16">
        <f>IF(Calc!$B5843,Calc!E5843,"")</f>
        <v/>
      </c>
      <c r="B5843">
        <f>IF(Calc!$B5843,INDEX(MineNames,Calc!C5843),"")</f>
        <v/>
      </c>
      <c r="C5843" s="17">
        <f>IF(Calc!$B5843,Calc!O5843,"")</f>
        <v/>
      </c>
    </row>
    <row r="5844">
      <c r="A5844" s="16">
        <f>IF(Calc!$B5844,Calc!E5844,"")</f>
        <v/>
      </c>
      <c r="B5844">
        <f>IF(Calc!$B5844,INDEX(MineNames,Calc!C5844),"")</f>
        <v/>
      </c>
      <c r="C5844" s="17">
        <f>IF(Calc!$B5844,Calc!O5844,"")</f>
        <v/>
      </c>
    </row>
    <row r="5845">
      <c r="A5845" s="16">
        <f>IF(Calc!$B5845,Calc!E5845,"")</f>
        <v/>
      </c>
      <c r="B5845">
        <f>IF(Calc!$B5845,INDEX(MineNames,Calc!C5845),"")</f>
        <v/>
      </c>
      <c r="C5845" s="17">
        <f>IF(Calc!$B5845,Calc!O5845,"")</f>
        <v/>
      </c>
    </row>
    <row r="5846">
      <c r="A5846" s="16">
        <f>IF(Calc!$B5846,Calc!E5846,"")</f>
        <v/>
      </c>
      <c r="B5846">
        <f>IF(Calc!$B5846,INDEX(MineNames,Calc!C5846),"")</f>
        <v/>
      </c>
      <c r="C5846" s="17">
        <f>IF(Calc!$B5846,Calc!O5846,"")</f>
        <v/>
      </c>
    </row>
    <row r="5847">
      <c r="A5847" s="16">
        <f>IF(Calc!$B5847,Calc!E5847,"")</f>
        <v/>
      </c>
      <c r="B5847">
        <f>IF(Calc!$B5847,INDEX(MineNames,Calc!C5847),"")</f>
        <v/>
      </c>
      <c r="C5847" s="17">
        <f>IF(Calc!$B5847,Calc!O5847,"")</f>
        <v/>
      </c>
    </row>
    <row r="5848">
      <c r="A5848" s="16">
        <f>IF(Calc!$B5848,Calc!E5848,"")</f>
        <v/>
      </c>
      <c r="B5848">
        <f>IF(Calc!$B5848,INDEX(MineNames,Calc!C5848),"")</f>
        <v/>
      </c>
      <c r="C5848" s="17">
        <f>IF(Calc!$B5848,Calc!O5848,"")</f>
        <v/>
      </c>
    </row>
    <row r="5849">
      <c r="A5849" s="16">
        <f>IF(Calc!$B5849,Calc!E5849,"")</f>
        <v/>
      </c>
      <c r="B5849">
        <f>IF(Calc!$B5849,INDEX(MineNames,Calc!C5849),"")</f>
        <v/>
      </c>
      <c r="C5849" s="17">
        <f>IF(Calc!$B5849,Calc!O5849,"")</f>
        <v/>
      </c>
    </row>
    <row r="5850">
      <c r="A5850" s="16">
        <f>IF(Calc!$B5850,Calc!E5850,"")</f>
        <v/>
      </c>
      <c r="B5850">
        <f>IF(Calc!$B5850,INDEX(MineNames,Calc!C5850),"")</f>
        <v/>
      </c>
      <c r="C5850" s="17">
        <f>IF(Calc!$B5850,Calc!O5850,"")</f>
        <v/>
      </c>
    </row>
    <row r="5851">
      <c r="A5851" s="16">
        <f>IF(Calc!$B5851,Calc!E5851,"")</f>
        <v/>
      </c>
      <c r="B5851">
        <f>IF(Calc!$B5851,INDEX(MineNames,Calc!C5851),"")</f>
        <v/>
      </c>
      <c r="C5851" s="17">
        <f>IF(Calc!$B5851,Calc!O5851,"")</f>
        <v/>
      </c>
    </row>
    <row r="5852">
      <c r="A5852" s="16">
        <f>IF(Calc!$B5852,Calc!E5852,"")</f>
        <v/>
      </c>
      <c r="B5852">
        <f>IF(Calc!$B5852,INDEX(MineNames,Calc!C5852),"")</f>
        <v/>
      </c>
      <c r="C5852" s="17">
        <f>IF(Calc!$B5852,Calc!O5852,"")</f>
        <v/>
      </c>
    </row>
    <row r="5853">
      <c r="A5853" s="16">
        <f>IF(Calc!$B5853,Calc!E5853,"")</f>
        <v/>
      </c>
      <c r="B5853">
        <f>IF(Calc!$B5853,INDEX(MineNames,Calc!C5853),"")</f>
        <v/>
      </c>
      <c r="C5853" s="17">
        <f>IF(Calc!$B5853,Calc!O5853,"")</f>
        <v/>
      </c>
    </row>
    <row r="5854">
      <c r="A5854" s="16">
        <f>IF(Calc!$B5854,Calc!E5854,"")</f>
        <v/>
      </c>
      <c r="B5854">
        <f>IF(Calc!$B5854,INDEX(MineNames,Calc!C5854),"")</f>
        <v/>
      </c>
      <c r="C5854" s="17">
        <f>IF(Calc!$B5854,Calc!O5854,"")</f>
        <v/>
      </c>
    </row>
    <row r="5855">
      <c r="A5855" s="16">
        <f>IF(Calc!$B5855,Calc!E5855,"")</f>
        <v/>
      </c>
      <c r="B5855">
        <f>IF(Calc!$B5855,INDEX(MineNames,Calc!C5855),"")</f>
        <v/>
      </c>
      <c r="C5855" s="17">
        <f>IF(Calc!$B5855,Calc!O5855,"")</f>
        <v/>
      </c>
    </row>
    <row r="5856">
      <c r="A5856" s="16">
        <f>IF(Calc!$B5856,Calc!E5856,"")</f>
        <v/>
      </c>
      <c r="B5856">
        <f>IF(Calc!$B5856,INDEX(MineNames,Calc!C5856),"")</f>
        <v/>
      </c>
      <c r="C5856" s="17">
        <f>IF(Calc!$B5856,Calc!O5856,"")</f>
        <v/>
      </c>
    </row>
    <row r="5857">
      <c r="A5857" s="16">
        <f>IF(Calc!$B5857,Calc!E5857,"")</f>
        <v/>
      </c>
      <c r="B5857">
        <f>IF(Calc!$B5857,INDEX(MineNames,Calc!C5857),"")</f>
        <v/>
      </c>
      <c r="C5857" s="17">
        <f>IF(Calc!$B5857,Calc!O5857,"")</f>
        <v/>
      </c>
    </row>
    <row r="5858">
      <c r="A5858" s="16">
        <f>IF(Calc!$B5858,Calc!E5858,"")</f>
        <v/>
      </c>
      <c r="B5858">
        <f>IF(Calc!$B5858,INDEX(MineNames,Calc!C5858),"")</f>
        <v/>
      </c>
      <c r="C5858" s="17">
        <f>IF(Calc!$B5858,Calc!O5858,"")</f>
        <v/>
      </c>
    </row>
    <row r="5859">
      <c r="A5859" s="16">
        <f>IF(Calc!$B5859,Calc!E5859,"")</f>
        <v/>
      </c>
      <c r="B5859">
        <f>IF(Calc!$B5859,INDEX(MineNames,Calc!C5859),"")</f>
        <v/>
      </c>
      <c r="C5859" s="17">
        <f>IF(Calc!$B5859,Calc!O5859,"")</f>
        <v/>
      </c>
    </row>
    <row r="5860">
      <c r="A5860" s="16">
        <f>IF(Calc!$B5860,Calc!E5860,"")</f>
        <v/>
      </c>
      <c r="B5860">
        <f>IF(Calc!$B5860,INDEX(MineNames,Calc!C5860),"")</f>
        <v/>
      </c>
      <c r="C5860" s="17">
        <f>IF(Calc!$B5860,Calc!O5860,"")</f>
        <v/>
      </c>
    </row>
    <row r="5861">
      <c r="A5861" s="16">
        <f>IF(Calc!$B5861,Calc!E5861,"")</f>
        <v/>
      </c>
      <c r="B5861">
        <f>IF(Calc!$B5861,INDEX(MineNames,Calc!C5861),"")</f>
        <v/>
      </c>
      <c r="C5861" s="17">
        <f>IF(Calc!$B5861,Calc!O5861,"")</f>
        <v/>
      </c>
    </row>
    <row r="5862">
      <c r="A5862" s="16">
        <f>IF(Calc!$B5862,Calc!E5862,"")</f>
        <v/>
      </c>
      <c r="B5862">
        <f>IF(Calc!$B5862,INDEX(MineNames,Calc!C5862),"")</f>
        <v/>
      </c>
      <c r="C5862" s="17">
        <f>IF(Calc!$B5862,Calc!O5862,"")</f>
        <v/>
      </c>
    </row>
    <row r="5863">
      <c r="A5863" s="16">
        <f>IF(Calc!$B5863,Calc!E5863,"")</f>
        <v/>
      </c>
      <c r="B5863">
        <f>IF(Calc!$B5863,INDEX(MineNames,Calc!C5863),"")</f>
        <v/>
      </c>
      <c r="C5863" s="17">
        <f>IF(Calc!$B5863,Calc!O5863,"")</f>
        <v/>
      </c>
    </row>
    <row r="5864">
      <c r="A5864" s="16">
        <f>IF(Calc!$B5864,Calc!E5864,"")</f>
        <v/>
      </c>
      <c r="B5864">
        <f>IF(Calc!$B5864,INDEX(MineNames,Calc!C5864),"")</f>
        <v/>
      </c>
      <c r="C5864" s="17">
        <f>IF(Calc!$B5864,Calc!O5864,"")</f>
        <v/>
      </c>
    </row>
    <row r="5865">
      <c r="A5865" s="16">
        <f>IF(Calc!$B5865,Calc!E5865,"")</f>
        <v/>
      </c>
      <c r="B5865">
        <f>IF(Calc!$B5865,INDEX(MineNames,Calc!C5865),"")</f>
        <v/>
      </c>
      <c r="C5865" s="17">
        <f>IF(Calc!$B5865,Calc!O5865,"")</f>
        <v/>
      </c>
    </row>
    <row r="5866">
      <c r="A5866" s="16">
        <f>IF(Calc!$B5866,Calc!E5866,"")</f>
        <v/>
      </c>
      <c r="B5866">
        <f>IF(Calc!$B5866,INDEX(MineNames,Calc!C5866),"")</f>
        <v/>
      </c>
      <c r="C5866" s="17">
        <f>IF(Calc!$B5866,Calc!O5866,"")</f>
        <v/>
      </c>
    </row>
    <row r="5867">
      <c r="A5867" s="16">
        <f>IF(Calc!$B5867,Calc!E5867,"")</f>
        <v/>
      </c>
      <c r="B5867">
        <f>IF(Calc!$B5867,INDEX(MineNames,Calc!C5867),"")</f>
        <v/>
      </c>
      <c r="C5867" s="17">
        <f>IF(Calc!$B5867,Calc!O5867,"")</f>
        <v/>
      </c>
    </row>
    <row r="5868">
      <c r="A5868" s="16">
        <f>IF(Calc!$B5868,Calc!E5868,"")</f>
        <v/>
      </c>
      <c r="B5868">
        <f>IF(Calc!$B5868,INDEX(MineNames,Calc!C5868),"")</f>
        <v/>
      </c>
      <c r="C5868" s="17">
        <f>IF(Calc!$B5868,Calc!O5868,"")</f>
        <v/>
      </c>
    </row>
    <row r="5869">
      <c r="A5869" s="16">
        <f>IF(Calc!$B5869,Calc!E5869,"")</f>
        <v/>
      </c>
      <c r="B5869">
        <f>IF(Calc!$B5869,INDEX(MineNames,Calc!C5869),"")</f>
        <v/>
      </c>
      <c r="C5869" s="17">
        <f>IF(Calc!$B5869,Calc!O5869,"")</f>
        <v/>
      </c>
    </row>
    <row r="5870">
      <c r="A5870" s="16">
        <f>IF(Calc!$B5870,Calc!E5870,"")</f>
        <v/>
      </c>
      <c r="B5870">
        <f>IF(Calc!$B5870,INDEX(MineNames,Calc!C5870),"")</f>
        <v/>
      </c>
      <c r="C5870" s="17">
        <f>IF(Calc!$B5870,Calc!O5870,"")</f>
        <v/>
      </c>
    </row>
    <row r="5871">
      <c r="A5871" s="16">
        <f>IF(Calc!$B5871,Calc!E5871,"")</f>
        <v/>
      </c>
      <c r="B5871">
        <f>IF(Calc!$B5871,INDEX(MineNames,Calc!C5871),"")</f>
        <v/>
      </c>
      <c r="C5871" s="17">
        <f>IF(Calc!$B5871,Calc!O5871,"")</f>
        <v/>
      </c>
    </row>
    <row r="5872">
      <c r="A5872" s="16">
        <f>IF(Calc!$B5872,Calc!E5872,"")</f>
        <v/>
      </c>
      <c r="B5872">
        <f>IF(Calc!$B5872,INDEX(MineNames,Calc!C5872),"")</f>
        <v/>
      </c>
      <c r="C5872" s="17">
        <f>IF(Calc!$B5872,Calc!O5872,"")</f>
        <v/>
      </c>
    </row>
    <row r="5873">
      <c r="A5873" s="16">
        <f>IF(Calc!$B5873,Calc!E5873,"")</f>
        <v/>
      </c>
      <c r="B5873">
        <f>IF(Calc!$B5873,INDEX(MineNames,Calc!C5873),"")</f>
        <v/>
      </c>
      <c r="C5873" s="17">
        <f>IF(Calc!$B5873,Calc!O5873,"")</f>
        <v/>
      </c>
    </row>
    <row r="5874">
      <c r="A5874" s="16">
        <f>IF(Calc!$B5874,Calc!E5874,"")</f>
        <v/>
      </c>
      <c r="B5874">
        <f>IF(Calc!$B5874,INDEX(MineNames,Calc!C5874),"")</f>
        <v/>
      </c>
      <c r="C5874" s="17">
        <f>IF(Calc!$B5874,Calc!O5874,"")</f>
        <v/>
      </c>
    </row>
    <row r="5875">
      <c r="A5875" s="16">
        <f>IF(Calc!$B5875,Calc!E5875,"")</f>
        <v/>
      </c>
      <c r="B5875">
        <f>IF(Calc!$B5875,INDEX(MineNames,Calc!C5875),"")</f>
        <v/>
      </c>
      <c r="C5875" s="17">
        <f>IF(Calc!$B5875,Calc!O5875,"")</f>
        <v/>
      </c>
    </row>
    <row r="5876">
      <c r="A5876" s="16">
        <f>IF(Calc!$B5876,Calc!E5876,"")</f>
        <v/>
      </c>
      <c r="B5876">
        <f>IF(Calc!$B5876,INDEX(MineNames,Calc!C5876),"")</f>
        <v/>
      </c>
      <c r="C5876" s="17">
        <f>IF(Calc!$B5876,Calc!O5876,"")</f>
        <v/>
      </c>
    </row>
    <row r="5877">
      <c r="A5877" s="16">
        <f>IF(Calc!$B5877,Calc!E5877,"")</f>
        <v/>
      </c>
      <c r="B5877">
        <f>IF(Calc!$B5877,INDEX(MineNames,Calc!C5877),"")</f>
        <v/>
      </c>
      <c r="C5877" s="17">
        <f>IF(Calc!$B5877,Calc!O5877,"")</f>
        <v/>
      </c>
    </row>
    <row r="5878">
      <c r="A5878" s="16">
        <f>IF(Calc!$B5878,Calc!E5878,"")</f>
        <v/>
      </c>
      <c r="B5878">
        <f>IF(Calc!$B5878,INDEX(MineNames,Calc!C5878),"")</f>
        <v/>
      </c>
      <c r="C5878" s="17">
        <f>IF(Calc!$B5878,Calc!O5878,"")</f>
        <v/>
      </c>
    </row>
    <row r="5879">
      <c r="A5879" s="16">
        <f>IF(Calc!$B5879,Calc!E5879,"")</f>
        <v/>
      </c>
      <c r="B5879">
        <f>IF(Calc!$B5879,INDEX(MineNames,Calc!C5879),"")</f>
        <v/>
      </c>
      <c r="C5879" s="17">
        <f>IF(Calc!$B5879,Calc!O5879,"")</f>
        <v/>
      </c>
    </row>
    <row r="5880">
      <c r="A5880" s="16">
        <f>IF(Calc!$B5880,Calc!E5880,"")</f>
        <v/>
      </c>
      <c r="B5880">
        <f>IF(Calc!$B5880,INDEX(MineNames,Calc!C5880),"")</f>
        <v/>
      </c>
      <c r="C5880" s="17">
        <f>IF(Calc!$B5880,Calc!O5880,"")</f>
        <v/>
      </c>
    </row>
    <row r="5881">
      <c r="A5881" s="16">
        <f>IF(Calc!$B5881,Calc!E5881,"")</f>
        <v/>
      </c>
      <c r="B5881">
        <f>IF(Calc!$B5881,INDEX(MineNames,Calc!C5881),"")</f>
        <v/>
      </c>
      <c r="C5881" s="17">
        <f>IF(Calc!$B5881,Calc!O5881,"")</f>
        <v/>
      </c>
    </row>
    <row r="5882">
      <c r="A5882" s="16">
        <f>IF(Calc!$B5882,Calc!E5882,"")</f>
        <v/>
      </c>
      <c r="B5882">
        <f>IF(Calc!$B5882,INDEX(MineNames,Calc!C5882),"")</f>
        <v/>
      </c>
      <c r="C5882" s="17">
        <f>IF(Calc!$B5882,Calc!O5882,"")</f>
        <v/>
      </c>
    </row>
    <row r="5883">
      <c r="A5883" s="16">
        <f>IF(Calc!$B5883,Calc!E5883,"")</f>
        <v/>
      </c>
      <c r="B5883">
        <f>IF(Calc!$B5883,INDEX(MineNames,Calc!C5883),"")</f>
        <v/>
      </c>
      <c r="C5883" s="17">
        <f>IF(Calc!$B5883,Calc!O5883,"")</f>
        <v/>
      </c>
    </row>
    <row r="5884">
      <c r="A5884" s="16">
        <f>IF(Calc!$B5884,Calc!E5884,"")</f>
        <v/>
      </c>
      <c r="B5884">
        <f>IF(Calc!$B5884,INDEX(MineNames,Calc!C5884),"")</f>
        <v/>
      </c>
      <c r="C5884" s="17">
        <f>IF(Calc!$B5884,Calc!O5884,"")</f>
        <v/>
      </c>
    </row>
    <row r="5885">
      <c r="A5885" s="16">
        <f>IF(Calc!$B5885,Calc!E5885,"")</f>
        <v/>
      </c>
      <c r="B5885">
        <f>IF(Calc!$B5885,INDEX(MineNames,Calc!C5885),"")</f>
        <v/>
      </c>
      <c r="C5885" s="17">
        <f>IF(Calc!$B5885,Calc!O5885,"")</f>
        <v/>
      </c>
    </row>
    <row r="5886">
      <c r="A5886" s="16">
        <f>IF(Calc!$B5886,Calc!E5886,"")</f>
        <v/>
      </c>
      <c r="B5886">
        <f>IF(Calc!$B5886,INDEX(MineNames,Calc!C5886),"")</f>
        <v/>
      </c>
      <c r="C5886" s="17">
        <f>IF(Calc!$B5886,Calc!O5886,"")</f>
        <v/>
      </c>
    </row>
    <row r="5887">
      <c r="A5887" s="16">
        <f>IF(Calc!$B5887,Calc!E5887,"")</f>
        <v/>
      </c>
      <c r="B5887">
        <f>IF(Calc!$B5887,INDEX(MineNames,Calc!C5887),"")</f>
        <v/>
      </c>
      <c r="C5887" s="17">
        <f>IF(Calc!$B5887,Calc!O5887,"")</f>
        <v/>
      </c>
    </row>
    <row r="5888">
      <c r="A5888" s="16">
        <f>IF(Calc!$B5888,Calc!E5888,"")</f>
        <v/>
      </c>
      <c r="B5888">
        <f>IF(Calc!$B5888,INDEX(MineNames,Calc!C5888),"")</f>
        <v/>
      </c>
      <c r="C5888" s="17">
        <f>IF(Calc!$B5888,Calc!O5888,"")</f>
        <v/>
      </c>
    </row>
    <row r="5889">
      <c r="A5889" s="16">
        <f>IF(Calc!$B5889,Calc!E5889,"")</f>
        <v/>
      </c>
      <c r="B5889">
        <f>IF(Calc!$B5889,INDEX(MineNames,Calc!C5889),"")</f>
        <v/>
      </c>
      <c r="C5889" s="17">
        <f>IF(Calc!$B5889,Calc!O5889,"")</f>
        <v/>
      </c>
    </row>
    <row r="5890">
      <c r="A5890" s="16">
        <f>IF(Calc!$B5890,Calc!E5890,"")</f>
        <v/>
      </c>
      <c r="B5890">
        <f>IF(Calc!$B5890,INDEX(MineNames,Calc!C5890),"")</f>
        <v/>
      </c>
      <c r="C5890" s="17">
        <f>IF(Calc!$B5890,Calc!O5890,"")</f>
        <v/>
      </c>
    </row>
    <row r="5891">
      <c r="A5891" s="16">
        <f>IF(Calc!$B5891,Calc!E5891,"")</f>
        <v/>
      </c>
      <c r="B5891">
        <f>IF(Calc!$B5891,INDEX(MineNames,Calc!C5891),"")</f>
        <v/>
      </c>
      <c r="C5891" s="17">
        <f>IF(Calc!$B5891,Calc!O5891,"")</f>
        <v/>
      </c>
    </row>
    <row r="5892">
      <c r="A5892" s="16">
        <f>IF(Calc!$B5892,Calc!E5892,"")</f>
        <v/>
      </c>
      <c r="B5892">
        <f>IF(Calc!$B5892,INDEX(MineNames,Calc!C5892),"")</f>
        <v/>
      </c>
      <c r="C5892" s="17">
        <f>IF(Calc!$B5892,Calc!O5892,"")</f>
        <v/>
      </c>
    </row>
    <row r="5893">
      <c r="A5893" s="16">
        <f>IF(Calc!$B5893,Calc!E5893,"")</f>
        <v/>
      </c>
      <c r="B5893">
        <f>IF(Calc!$B5893,INDEX(MineNames,Calc!C5893),"")</f>
        <v/>
      </c>
      <c r="C5893" s="17">
        <f>IF(Calc!$B5893,Calc!O5893,"")</f>
        <v/>
      </c>
    </row>
    <row r="5894">
      <c r="A5894" s="16">
        <f>IF(Calc!$B5894,Calc!E5894,"")</f>
        <v/>
      </c>
      <c r="B5894">
        <f>IF(Calc!$B5894,INDEX(MineNames,Calc!C5894),"")</f>
        <v/>
      </c>
      <c r="C5894" s="17">
        <f>IF(Calc!$B5894,Calc!O5894,"")</f>
        <v/>
      </c>
    </row>
    <row r="5895">
      <c r="A5895" s="16">
        <f>IF(Calc!$B5895,Calc!E5895,"")</f>
        <v/>
      </c>
      <c r="B5895">
        <f>IF(Calc!$B5895,INDEX(MineNames,Calc!C5895),"")</f>
        <v/>
      </c>
      <c r="C5895" s="17">
        <f>IF(Calc!$B5895,Calc!O5895,"")</f>
        <v/>
      </c>
    </row>
    <row r="5896">
      <c r="A5896" s="16">
        <f>IF(Calc!$B5896,Calc!E5896,"")</f>
        <v/>
      </c>
      <c r="B5896">
        <f>IF(Calc!$B5896,INDEX(MineNames,Calc!C5896),"")</f>
        <v/>
      </c>
      <c r="C5896" s="17">
        <f>IF(Calc!$B5896,Calc!O5896,"")</f>
        <v/>
      </c>
    </row>
    <row r="5897">
      <c r="A5897" s="16">
        <f>IF(Calc!$B5897,Calc!E5897,"")</f>
        <v/>
      </c>
      <c r="B5897">
        <f>IF(Calc!$B5897,INDEX(MineNames,Calc!C5897),"")</f>
        <v/>
      </c>
      <c r="C5897" s="17">
        <f>IF(Calc!$B5897,Calc!O5897,"")</f>
        <v/>
      </c>
    </row>
    <row r="5898">
      <c r="A5898" s="16">
        <f>IF(Calc!$B5898,Calc!E5898,"")</f>
        <v/>
      </c>
      <c r="B5898">
        <f>IF(Calc!$B5898,INDEX(MineNames,Calc!C5898),"")</f>
        <v/>
      </c>
      <c r="C5898" s="17">
        <f>IF(Calc!$B5898,Calc!O5898,"")</f>
        <v/>
      </c>
    </row>
    <row r="5899">
      <c r="A5899" s="16">
        <f>IF(Calc!$B5899,Calc!E5899,"")</f>
        <v/>
      </c>
      <c r="B5899">
        <f>IF(Calc!$B5899,INDEX(MineNames,Calc!C5899),"")</f>
        <v/>
      </c>
      <c r="C5899" s="17">
        <f>IF(Calc!$B5899,Calc!O5899,"")</f>
        <v/>
      </c>
    </row>
    <row r="5900">
      <c r="A5900" s="16">
        <f>IF(Calc!$B5900,Calc!E5900,"")</f>
        <v/>
      </c>
      <c r="B5900">
        <f>IF(Calc!$B5900,INDEX(MineNames,Calc!C5900),"")</f>
        <v/>
      </c>
      <c r="C5900" s="17">
        <f>IF(Calc!$B5900,Calc!O5900,"")</f>
        <v/>
      </c>
    </row>
    <row r="5901">
      <c r="A5901" s="16">
        <f>IF(Calc!$B5901,Calc!E5901,"")</f>
        <v/>
      </c>
      <c r="B5901">
        <f>IF(Calc!$B5901,INDEX(MineNames,Calc!C5901),"")</f>
        <v/>
      </c>
      <c r="C5901" s="17">
        <f>IF(Calc!$B5901,Calc!O5901,"")</f>
        <v/>
      </c>
    </row>
    <row r="5902">
      <c r="A5902" s="16">
        <f>IF(Calc!$B5902,Calc!E5902,"")</f>
        <v/>
      </c>
      <c r="B5902">
        <f>IF(Calc!$B5902,INDEX(MineNames,Calc!C5902),"")</f>
        <v/>
      </c>
      <c r="C5902" s="17">
        <f>IF(Calc!$B5902,Calc!O5902,"")</f>
        <v/>
      </c>
    </row>
    <row r="5903">
      <c r="A5903" s="16">
        <f>IF(Calc!$B5903,Calc!E5903,"")</f>
        <v/>
      </c>
      <c r="B5903">
        <f>IF(Calc!$B5903,INDEX(MineNames,Calc!C5903),"")</f>
        <v/>
      </c>
      <c r="C5903" s="17">
        <f>IF(Calc!$B5903,Calc!O5903,"")</f>
        <v/>
      </c>
    </row>
    <row r="5904">
      <c r="A5904" s="16">
        <f>IF(Calc!$B5904,Calc!E5904,"")</f>
        <v/>
      </c>
      <c r="B5904">
        <f>IF(Calc!$B5904,INDEX(MineNames,Calc!C5904),"")</f>
        <v/>
      </c>
      <c r="C5904" s="17">
        <f>IF(Calc!$B5904,Calc!O5904,"")</f>
        <v/>
      </c>
    </row>
    <row r="5905">
      <c r="A5905" s="16">
        <f>IF(Calc!$B5905,Calc!E5905,"")</f>
        <v/>
      </c>
      <c r="B5905">
        <f>IF(Calc!$B5905,INDEX(MineNames,Calc!C5905),"")</f>
        <v/>
      </c>
      <c r="C5905" s="17">
        <f>IF(Calc!$B5905,Calc!O5905,"")</f>
        <v/>
      </c>
    </row>
    <row r="5906">
      <c r="A5906" s="16">
        <f>IF(Calc!$B5906,Calc!E5906,"")</f>
        <v/>
      </c>
      <c r="B5906">
        <f>IF(Calc!$B5906,INDEX(MineNames,Calc!C5906),"")</f>
        <v/>
      </c>
      <c r="C5906" s="17">
        <f>IF(Calc!$B5906,Calc!O5906,"")</f>
        <v/>
      </c>
    </row>
    <row r="5907">
      <c r="A5907" s="16">
        <f>IF(Calc!$B5907,Calc!E5907,"")</f>
        <v/>
      </c>
      <c r="B5907">
        <f>IF(Calc!$B5907,INDEX(MineNames,Calc!C5907),"")</f>
        <v/>
      </c>
      <c r="C5907" s="17">
        <f>IF(Calc!$B5907,Calc!O5907,"")</f>
        <v/>
      </c>
    </row>
    <row r="5908">
      <c r="A5908" s="16">
        <f>IF(Calc!$B5908,Calc!E5908,"")</f>
        <v/>
      </c>
      <c r="B5908">
        <f>IF(Calc!$B5908,INDEX(MineNames,Calc!C5908),"")</f>
        <v/>
      </c>
      <c r="C5908" s="17">
        <f>IF(Calc!$B5908,Calc!O5908,"")</f>
        <v/>
      </c>
    </row>
    <row r="5909">
      <c r="A5909" s="16">
        <f>IF(Calc!$B5909,Calc!E5909,"")</f>
        <v/>
      </c>
      <c r="B5909">
        <f>IF(Calc!$B5909,INDEX(MineNames,Calc!C5909),"")</f>
        <v/>
      </c>
      <c r="C5909" s="17">
        <f>IF(Calc!$B5909,Calc!O5909,"")</f>
        <v/>
      </c>
    </row>
    <row r="5910">
      <c r="A5910" s="16">
        <f>IF(Calc!$B5910,Calc!E5910,"")</f>
        <v/>
      </c>
      <c r="B5910">
        <f>IF(Calc!$B5910,INDEX(MineNames,Calc!C5910),"")</f>
        <v/>
      </c>
      <c r="C5910" s="17">
        <f>IF(Calc!$B5910,Calc!O5910,"")</f>
        <v/>
      </c>
    </row>
    <row r="5911">
      <c r="A5911" s="16">
        <f>IF(Calc!$B5911,Calc!E5911,"")</f>
        <v/>
      </c>
      <c r="B5911">
        <f>IF(Calc!$B5911,INDEX(MineNames,Calc!C5911),"")</f>
        <v/>
      </c>
      <c r="C5911" s="17">
        <f>IF(Calc!$B5911,Calc!O5911,"")</f>
        <v/>
      </c>
    </row>
    <row r="5912">
      <c r="A5912" s="16">
        <f>IF(Calc!$B5912,Calc!E5912,"")</f>
        <v/>
      </c>
      <c r="B5912">
        <f>IF(Calc!$B5912,INDEX(MineNames,Calc!C5912),"")</f>
        <v/>
      </c>
      <c r="C5912" s="17">
        <f>IF(Calc!$B5912,Calc!O5912,"")</f>
        <v/>
      </c>
    </row>
    <row r="5913">
      <c r="A5913" s="16">
        <f>IF(Calc!$B5913,Calc!E5913,"")</f>
        <v/>
      </c>
      <c r="B5913">
        <f>IF(Calc!$B5913,INDEX(MineNames,Calc!C5913),"")</f>
        <v/>
      </c>
      <c r="C5913" s="17">
        <f>IF(Calc!$B5913,Calc!O5913,"")</f>
        <v/>
      </c>
    </row>
    <row r="5914">
      <c r="A5914" s="16">
        <f>IF(Calc!$B5914,Calc!E5914,"")</f>
        <v/>
      </c>
      <c r="B5914">
        <f>IF(Calc!$B5914,INDEX(MineNames,Calc!C5914),"")</f>
        <v/>
      </c>
      <c r="C5914" s="17">
        <f>IF(Calc!$B5914,Calc!O5914,"")</f>
        <v/>
      </c>
    </row>
    <row r="5915">
      <c r="A5915" s="16">
        <f>IF(Calc!$B5915,Calc!E5915,"")</f>
        <v/>
      </c>
      <c r="B5915">
        <f>IF(Calc!$B5915,INDEX(MineNames,Calc!C5915),"")</f>
        <v/>
      </c>
      <c r="C5915" s="17">
        <f>IF(Calc!$B5915,Calc!O5915,"")</f>
        <v/>
      </c>
    </row>
    <row r="5916">
      <c r="A5916" s="16">
        <f>IF(Calc!$B5916,Calc!E5916,"")</f>
        <v/>
      </c>
      <c r="B5916">
        <f>IF(Calc!$B5916,INDEX(MineNames,Calc!C5916),"")</f>
        <v/>
      </c>
      <c r="C5916" s="17">
        <f>IF(Calc!$B5916,Calc!O5916,"")</f>
        <v/>
      </c>
    </row>
    <row r="5917">
      <c r="A5917" s="16">
        <f>IF(Calc!$B5917,Calc!E5917,"")</f>
        <v/>
      </c>
      <c r="B5917">
        <f>IF(Calc!$B5917,INDEX(MineNames,Calc!C5917),"")</f>
        <v/>
      </c>
      <c r="C5917" s="17">
        <f>IF(Calc!$B5917,Calc!O5917,"")</f>
        <v/>
      </c>
    </row>
    <row r="5918">
      <c r="A5918" s="16">
        <f>IF(Calc!$B5918,Calc!E5918,"")</f>
        <v/>
      </c>
      <c r="B5918">
        <f>IF(Calc!$B5918,INDEX(MineNames,Calc!C5918),"")</f>
        <v/>
      </c>
      <c r="C5918" s="17">
        <f>IF(Calc!$B5918,Calc!O5918,"")</f>
        <v/>
      </c>
    </row>
    <row r="5919">
      <c r="A5919" s="16">
        <f>IF(Calc!$B5919,Calc!E5919,"")</f>
        <v/>
      </c>
      <c r="B5919">
        <f>IF(Calc!$B5919,INDEX(MineNames,Calc!C5919),"")</f>
        <v/>
      </c>
      <c r="C5919" s="17">
        <f>IF(Calc!$B5919,Calc!O5919,"")</f>
        <v/>
      </c>
    </row>
    <row r="5920">
      <c r="A5920" s="16">
        <f>IF(Calc!$B5920,Calc!E5920,"")</f>
        <v/>
      </c>
      <c r="B5920">
        <f>IF(Calc!$B5920,INDEX(MineNames,Calc!C5920),"")</f>
        <v/>
      </c>
      <c r="C5920" s="17">
        <f>IF(Calc!$B5920,Calc!O5920,"")</f>
        <v/>
      </c>
    </row>
    <row r="5921">
      <c r="A5921" s="16">
        <f>IF(Calc!$B5921,Calc!E5921,"")</f>
        <v/>
      </c>
      <c r="B5921">
        <f>IF(Calc!$B5921,INDEX(MineNames,Calc!C5921),"")</f>
        <v/>
      </c>
      <c r="C5921" s="17">
        <f>IF(Calc!$B5921,Calc!O5921,"")</f>
        <v/>
      </c>
    </row>
    <row r="5922">
      <c r="A5922" s="16">
        <f>IF(Calc!$B5922,Calc!E5922,"")</f>
        <v/>
      </c>
      <c r="B5922">
        <f>IF(Calc!$B5922,INDEX(MineNames,Calc!C5922),"")</f>
        <v/>
      </c>
      <c r="C5922" s="17">
        <f>IF(Calc!$B5922,Calc!O5922,"")</f>
        <v/>
      </c>
    </row>
    <row r="5923">
      <c r="A5923" s="16">
        <f>IF(Calc!$B5923,Calc!E5923,"")</f>
        <v/>
      </c>
      <c r="B5923">
        <f>IF(Calc!$B5923,INDEX(MineNames,Calc!C5923),"")</f>
        <v/>
      </c>
      <c r="C5923" s="17">
        <f>IF(Calc!$B5923,Calc!O5923,"")</f>
        <v/>
      </c>
    </row>
    <row r="5924">
      <c r="A5924" s="16">
        <f>IF(Calc!$B5924,Calc!E5924,"")</f>
        <v/>
      </c>
      <c r="B5924">
        <f>IF(Calc!$B5924,INDEX(MineNames,Calc!C5924),"")</f>
        <v/>
      </c>
      <c r="C5924" s="17">
        <f>IF(Calc!$B5924,Calc!O5924,"")</f>
        <v/>
      </c>
    </row>
    <row r="5925">
      <c r="A5925" s="16">
        <f>IF(Calc!$B5925,Calc!E5925,"")</f>
        <v/>
      </c>
      <c r="B5925">
        <f>IF(Calc!$B5925,INDEX(MineNames,Calc!C5925),"")</f>
        <v/>
      </c>
      <c r="C5925" s="17">
        <f>IF(Calc!$B5925,Calc!O5925,"")</f>
        <v/>
      </c>
    </row>
    <row r="5926">
      <c r="A5926" s="16">
        <f>IF(Calc!$B5926,Calc!E5926,"")</f>
        <v/>
      </c>
      <c r="B5926">
        <f>IF(Calc!$B5926,INDEX(MineNames,Calc!C5926),"")</f>
        <v/>
      </c>
      <c r="C5926" s="17">
        <f>IF(Calc!$B5926,Calc!O5926,"")</f>
        <v/>
      </c>
    </row>
    <row r="5927">
      <c r="A5927" s="16">
        <f>IF(Calc!$B5927,Calc!E5927,"")</f>
        <v/>
      </c>
      <c r="B5927">
        <f>IF(Calc!$B5927,INDEX(MineNames,Calc!C5927),"")</f>
        <v/>
      </c>
      <c r="C5927" s="17">
        <f>IF(Calc!$B5927,Calc!O5927,"")</f>
        <v/>
      </c>
    </row>
    <row r="5928">
      <c r="A5928" s="16">
        <f>IF(Calc!$B5928,Calc!E5928,"")</f>
        <v/>
      </c>
      <c r="B5928">
        <f>IF(Calc!$B5928,INDEX(MineNames,Calc!C5928),"")</f>
        <v/>
      </c>
      <c r="C5928" s="17">
        <f>IF(Calc!$B5928,Calc!O5928,"")</f>
        <v/>
      </c>
    </row>
    <row r="5929">
      <c r="A5929" s="16">
        <f>IF(Calc!$B5929,Calc!E5929,"")</f>
        <v/>
      </c>
      <c r="B5929">
        <f>IF(Calc!$B5929,INDEX(MineNames,Calc!C5929),"")</f>
        <v/>
      </c>
      <c r="C5929" s="17">
        <f>IF(Calc!$B5929,Calc!O5929,"")</f>
        <v/>
      </c>
    </row>
    <row r="5930">
      <c r="A5930" s="16">
        <f>IF(Calc!$B5930,Calc!E5930,"")</f>
        <v/>
      </c>
      <c r="B5930">
        <f>IF(Calc!$B5930,INDEX(MineNames,Calc!C5930),"")</f>
        <v/>
      </c>
      <c r="C5930" s="17">
        <f>IF(Calc!$B5930,Calc!O5930,"")</f>
        <v/>
      </c>
    </row>
    <row r="5931">
      <c r="A5931" s="16">
        <f>IF(Calc!$B5931,Calc!E5931,"")</f>
        <v/>
      </c>
      <c r="B5931">
        <f>IF(Calc!$B5931,INDEX(MineNames,Calc!C5931),"")</f>
        <v/>
      </c>
      <c r="C5931" s="17">
        <f>IF(Calc!$B5931,Calc!O5931,"")</f>
        <v/>
      </c>
    </row>
    <row r="5932">
      <c r="A5932" s="16">
        <f>IF(Calc!$B5932,Calc!E5932,"")</f>
        <v/>
      </c>
      <c r="B5932">
        <f>IF(Calc!$B5932,INDEX(MineNames,Calc!C5932),"")</f>
        <v/>
      </c>
      <c r="C5932" s="17">
        <f>IF(Calc!$B5932,Calc!O5932,"")</f>
        <v/>
      </c>
    </row>
    <row r="5933">
      <c r="A5933" s="16">
        <f>IF(Calc!$B5933,Calc!E5933,"")</f>
        <v/>
      </c>
      <c r="B5933">
        <f>IF(Calc!$B5933,INDEX(MineNames,Calc!C5933),"")</f>
        <v/>
      </c>
      <c r="C5933" s="17">
        <f>IF(Calc!$B5933,Calc!O5933,"")</f>
        <v/>
      </c>
    </row>
    <row r="5934">
      <c r="A5934" s="16">
        <f>IF(Calc!$B5934,Calc!E5934,"")</f>
        <v/>
      </c>
      <c r="B5934">
        <f>IF(Calc!$B5934,INDEX(MineNames,Calc!C5934),"")</f>
        <v/>
      </c>
      <c r="C5934" s="17">
        <f>IF(Calc!$B5934,Calc!O5934,"")</f>
        <v/>
      </c>
    </row>
    <row r="5935">
      <c r="A5935" s="16">
        <f>IF(Calc!$B5935,Calc!E5935,"")</f>
        <v/>
      </c>
      <c r="B5935">
        <f>IF(Calc!$B5935,INDEX(MineNames,Calc!C5935),"")</f>
        <v/>
      </c>
      <c r="C5935" s="17">
        <f>IF(Calc!$B5935,Calc!O5935,"")</f>
        <v/>
      </c>
    </row>
    <row r="5936">
      <c r="A5936" s="16">
        <f>IF(Calc!$B5936,Calc!E5936,"")</f>
        <v/>
      </c>
      <c r="B5936">
        <f>IF(Calc!$B5936,INDEX(MineNames,Calc!C5936),"")</f>
        <v/>
      </c>
      <c r="C5936" s="17">
        <f>IF(Calc!$B5936,Calc!O5936,"")</f>
        <v/>
      </c>
    </row>
    <row r="5937">
      <c r="A5937" s="16">
        <f>IF(Calc!$B5937,Calc!E5937,"")</f>
        <v/>
      </c>
      <c r="B5937">
        <f>IF(Calc!$B5937,INDEX(MineNames,Calc!C5937),"")</f>
        <v/>
      </c>
      <c r="C5937" s="17">
        <f>IF(Calc!$B5937,Calc!O5937,"")</f>
        <v/>
      </c>
    </row>
    <row r="5938">
      <c r="A5938" s="16">
        <f>IF(Calc!$B5938,Calc!E5938,"")</f>
        <v/>
      </c>
      <c r="B5938">
        <f>IF(Calc!$B5938,INDEX(MineNames,Calc!C5938),"")</f>
        <v/>
      </c>
      <c r="C5938" s="17">
        <f>IF(Calc!$B5938,Calc!O5938,"")</f>
        <v/>
      </c>
    </row>
    <row r="5939">
      <c r="A5939" s="16">
        <f>IF(Calc!$B5939,Calc!E5939,"")</f>
        <v/>
      </c>
      <c r="B5939">
        <f>IF(Calc!$B5939,INDEX(MineNames,Calc!C5939),"")</f>
        <v/>
      </c>
      <c r="C5939" s="17">
        <f>IF(Calc!$B5939,Calc!O5939,"")</f>
        <v/>
      </c>
    </row>
    <row r="5940">
      <c r="A5940" s="16">
        <f>IF(Calc!$B5940,Calc!E5940,"")</f>
        <v/>
      </c>
      <c r="B5940">
        <f>IF(Calc!$B5940,INDEX(MineNames,Calc!C5940),"")</f>
        <v/>
      </c>
      <c r="C5940" s="17">
        <f>IF(Calc!$B5940,Calc!O5940,"")</f>
        <v/>
      </c>
    </row>
    <row r="5941">
      <c r="A5941" s="16">
        <f>IF(Calc!$B5941,Calc!E5941,"")</f>
        <v/>
      </c>
      <c r="B5941">
        <f>IF(Calc!$B5941,INDEX(MineNames,Calc!C5941),"")</f>
        <v/>
      </c>
      <c r="C5941" s="17">
        <f>IF(Calc!$B5941,Calc!O5941,"")</f>
        <v/>
      </c>
    </row>
    <row r="5942">
      <c r="A5942" s="16">
        <f>IF(Calc!$B5942,Calc!E5942,"")</f>
        <v/>
      </c>
      <c r="B5942">
        <f>IF(Calc!$B5942,INDEX(MineNames,Calc!C5942),"")</f>
        <v/>
      </c>
      <c r="C5942" s="17">
        <f>IF(Calc!$B5942,Calc!O5942,"")</f>
        <v/>
      </c>
    </row>
    <row r="5943">
      <c r="A5943" s="16">
        <f>IF(Calc!$B5943,Calc!E5943,"")</f>
        <v/>
      </c>
      <c r="B5943">
        <f>IF(Calc!$B5943,INDEX(MineNames,Calc!C5943),"")</f>
        <v/>
      </c>
      <c r="C5943" s="17">
        <f>IF(Calc!$B5943,Calc!O5943,"")</f>
        <v/>
      </c>
    </row>
    <row r="5944">
      <c r="A5944" s="16">
        <f>IF(Calc!$B5944,Calc!E5944,"")</f>
        <v/>
      </c>
      <c r="B5944">
        <f>IF(Calc!$B5944,INDEX(MineNames,Calc!C5944),"")</f>
        <v/>
      </c>
      <c r="C5944" s="17">
        <f>IF(Calc!$B5944,Calc!O5944,"")</f>
        <v/>
      </c>
    </row>
    <row r="5945">
      <c r="A5945" s="16">
        <f>IF(Calc!$B5945,Calc!E5945,"")</f>
        <v/>
      </c>
      <c r="B5945">
        <f>IF(Calc!$B5945,INDEX(MineNames,Calc!C5945),"")</f>
        <v/>
      </c>
      <c r="C5945" s="17">
        <f>IF(Calc!$B5945,Calc!O5945,"")</f>
        <v/>
      </c>
    </row>
    <row r="5946">
      <c r="A5946" s="16">
        <f>IF(Calc!$B5946,Calc!E5946,"")</f>
        <v/>
      </c>
      <c r="B5946">
        <f>IF(Calc!$B5946,INDEX(MineNames,Calc!C5946),"")</f>
        <v/>
      </c>
      <c r="C5946" s="17">
        <f>IF(Calc!$B5946,Calc!O5946,"")</f>
        <v/>
      </c>
    </row>
    <row r="5947">
      <c r="A5947" s="16">
        <f>IF(Calc!$B5947,Calc!E5947,"")</f>
        <v/>
      </c>
      <c r="B5947">
        <f>IF(Calc!$B5947,INDEX(MineNames,Calc!C5947),"")</f>
        <v/>
      </c>
      <c r="C5947" s="17">
        <f>IF(Calc!$B5947,Calc!O5947,"")</f>
        <v/>
      </c>
    </row>
    <row r="5948">
      <c r="A5948" s="16">
        <f>IF(Calc!$B5948,Calc!E5948,"")</f>
        <v/>
      </c>
      <c r="B5948">
        <f>IF(Calc!$B5948,INDEX(MineNames,Calc!C5948),"")</f>
        <v/>
      </c>
      <c r="C5948" s="17">
        <f>IF(Calc!$B5948,Calc!O5948,"")</f>
        <v/>
      </c>
    </row>
    <row r="5949">
      <c r="A5949" s="16">
        <f>IF(Calc!$B5949,Calc!E5949,"")</f>
        <v/>
      </c>
      <c r="B5949">
        <f>IF(Calc!$B5949,INDEX(MineNames,Calc!C5949),"")</f>
        <v/>
      </c>
      <c r="C5949" s="17">
        <f>IF(Calc!$B5949,Calc!O5949,"")</f>
        <v/>
      </c>
    </row>
    <row r="5950">
      <c r="A5950" s="16">
        <f>IF(Calc!$B5950,Calc!E5950,"")</f>
        <v/>
      </c>
      <c r="B5950">
        <f>IF(Calc!$B5950,INDEX(MineNames,Calc!C5950),"")</f>
        <v/>
      </c>
      <c r="C5950" s="17">
        <f>IF(Calc!$B5950,Calc!O5950,"")</f>
        <v/>
      </c>
    </row>
    <row r="5951">
      <c r="A5951" s="16">
        <f>IF(Calc!$B5951,Calc!E5951,"")</f>
        <v/>
      </c>
      <c r="B5951">
        <f>IF(Calc!$B5951,INDEX(MineNames,Calc!C5951),"")</f>
        <v/>
      </c>
      <c r="C5951" s="17">
        <f>IF(Calc!$B5951,Calc!O5951,"")</f>
        <v/>
      </c>
    </row>
    <row r="5952">
      <c r="A5952" s="16">
        <f>IF(Calc!$B5952,Calc!E5952,"")</f>
        <v/>
      </c>
      <c r="B5952">
        <f>IF(Calc!$B5952,INDEX(MineNames,Calc!C5952),"")</f>
        <v/>
      </c>
      <c r="C5952" s="17">
        <f>IF(Calc!$B5952,Calc!O5952,"")</f>
        <v/>
      </c>
    </row>
    <row r="5953">
      <c r="A5953" s="16">
        <f>IF(Calc!$B5953,Calc!E5953,"")</f>
        <v/>
      </c>
      <c r="B5953">
        <f>IF(Calc!$B5953,INDEX(MineNames,Calc!C5953),"")</f>
        <v/>
      </c>
      <c r="C5953" s="17">
        <f>IF(Calc!$B5953,Calc!O5953,"")</f>
        <v/>
      </c>
    </row>
    <row r="5954">
      <c r="A5954" s="16">
        <f>IF(Calc!$B5954,Calc!E5954,"")</f>
        <v/>
      </c>
      <c r="B5954">
        <f>IF(Calc!$B5954,INDEX(MineNames,Calc!C5954),"")</f>
        <v/>
      </c>
      <c r="C5954" s="17">
        <f>IF(Calc!$B5954,Calc!O5954,"")</f>
        <v/>
      </c>
    </row>
    <row r="5955">
      <c r="A5955" s="16">
        <f>IF(Calc!$B5955,Calc!E5955,"")</f>
        <v/>
      </c>
      <c r="B5955">
        <f>IF(Calc!$B5955,INDEX(MineNames,Calc!C5955),"")</f>
        <v/>
      </c>
      <c r="C5955" s="17">
        <f>IF(Calc!$B5955,Calc!O5955,"")</f>
        <v/>
      </c>
    </row>
    <row r="5956">
      <c r="A5956" s="16">
        <f>IF(Calc!$B5956,Calc!E5956,"")</f>
        <v/>
      </c>
      <c r="B5956">
        <f>IF(Calc!$B5956,INDEX(MineNames,Calc!C5956),"")</f>
        <v/>
      </c>
      <c r="C5956" s="17">
        <f>IF(Calc!$B5956,Calc!O5956,"")</f>
        <v/>
      </c>
    </row>
    <row r="5957">
      <c r="A5957" s="16">
        <f>IF(Calc!$B5957,Calc!E5957,"")</f>
        <v/>
      </c>
      <c r="B5957">
        <f>IF(Calc!$B5957,INDEX(MineNames,Calc!C5957),"")</f>
        <v/>
      </c>
      <c r="C5957" s="17">
        <f>IF(Calc!$B5957,Calc!O5957,"")</f>
        <v/>
      </c>
    </row>
    <row r="5958">
      <c r="A5958" s="16">
        <f>IF(Calc!$B5958,Calc!E5958,"")</f>
        <v/>
      </c>
      <c r="B5958">
        <f>IF(Calc!$B5958,INDEX(MineNames,Calc!C5958),"")</f>
        <v/>
      </c>
      <c r="C5958" s="17">
        <f>IF(Calc!$B5958,Calc!O5958,"")</f>
        <v/>
      </c>
    </row>
    <row r="5959">
      <c r="A5959" s="16">
        <f>IF(Calc!$B5959,Calc!E5959,"")</f>
        <v/>
      </c>
      <c r="B5959">
        <f>IF(Calc!$B5959,INDEX(MineNames,Calc!C5959),"")</f>
        <v/>
      </c>
      <c r="C5959" s="17">
        <f>IF(Calc!$B5959,Calc!O5959,"")</f>
        <v/>
      </c>
    </row>
    <row r="5960">
      <c r="A5960" s="16">
        <f>IF(Calc!$B5960,Calc!E5960,"")</f>
        <v/>
      </c>
      <c r="B5960">
        <f>IF(Calc!$B5960,INDEX(MineNames,Calc!C5960),"")</f>
        <v/>
      </c>
      <c r="C5960" s="17">
        <f>IF(Calc!$B5960,Calc!O5960,"")</f>
        <v/>
      </c>
    </row>
    <row r="5961">
      <c r="A5961" s="16">
        <f>IF(Calc!$B5961,Calc!E5961,"")</f>
        <v/>
      </c>
      <c r="B5961">
        <f>IF(Calc!$B5961,INDEX(MineNames,Calc!C5961),"")</f>
        <v/>
      </c>
      <c r="C5961" s="17">
        <f>IF(Calc!$B5961,Calc!O5961,"")</f>
        <v/>
      </c>
    </row>
    <row r="5962">
      <c r="A5962" s="16">
        <f>IF(Calc!$B5962,Calc!E5962,"")</f>
        <v/>
      </c>
      <c r="B5962">
        <f>IF(Calc!$B5962,INDEX(MineNames,Calc!C5962),"")</f>
        <v/>
      </c>
      <c r="C5962" s="17">
        <f>IF(Calc!$B5962,Calc!O5962,"")</f>
        <v/>
      </c>
    </row>
    <row r="5963">
      <c r="A5963" s="16">
        <f>IF(Calc!$B5963,Calc!E5963,"")</f>
        <v/>
      </c>
      <c r="B5963">
        <f>IF(Calc!$B5963,INDEX(MineNames,Calc!C5963),"")</f>
        <v/>
      </c>
      <c r="C5963" s="17">
        <f>IF(Calc!$B5963,Calc!O5963,"")</f>
        <v/>
      </c>
    </row>
    <row r="5964">
      <c r="A5964" s="16">
        <f>IF(Calc!$B5964,Calc!E5964,"")</f>
        <v/>
      </c>
      <c r="B5964">
        <f>IF(Calc!$B5964,INDEX(MineNames,Calc!C5964),"")</f>
        <v/>
      </c>
      <c r="C5964" s="17">
        <f>IF(Calc!$B5964,Calc!O5964,"")</f>
        <v/>
      </c>
    </row>
    <row r="5965">
      <c r="A5965" s="16">
        <f>IF(Calc!$B5965,Calc!E5965,"")</f>
        <v/>
      </c>
      <c r="B5965">
        <f>IF(Calc!$B5965,INDEX(MineNames,Calc!C5965),"")</f>
        <v/>
      </c>
      <c r="C5965" s="17">
        <f>IF(Calc!$B5965,Calc!O5965,"")</f>
        <v/>
      </c>
    </row>
    <row r="5966">
      <c r="A5966" s="16">
        <f>IF(Calc!$B5966,Calc!E5966,"")</f>
        <v/>
      </c>
      <c r="B5966">
        <f>IF(Calc!$B5966,INDEX(MineNames,Calc!C5966),"")</f>
        <v/>
      </c>
      <c r="C5966" s="17">
        <f>IF(Calc!$B5966,Calc!O5966,"")</f>
        <v/>
      </c>
    </row>
    <row r="5967">
      <c r="A5967" s="16">
        <f>IF(Calc!$B5967,Calc!E5967,"")</f>
        <v/>
      </c>
      <c r="B5967">
        <f>IF(Calc!$B5967,INDEX(MineNames,Calc!C5967),"")</f>
        <v/>
      </c>
      <c r="C5967" s="17">
        <f>IF(Calc!$B5967,Calc!O5967,"")</f>
        <v/>
      </c>
    </row>
    <row r="5968">
      <c r="A5968" s="16">
        <f>IF(Calc!$B5968,Calc!E5968,"")</f>
        <v/>
      </c>
      <c r="B5968">
        <f>IF(Calc!$B5968,INDEX(MineNames,Calc!C5968),"")</f>
        <v/>
      </c>
      <c r="C5968" s="17">
        <f>IF(Calc!$B5968,Calc!O5968,"")</f>
        <v/>
      </c>
    </row>
    <row r="5969">
      <c r="A5969" s="16">
        <f>IF(Calc!$B5969,Calc!E5969,"")</f>
        <v/>
      </c>
      <c r="B5969">
        <f>IF(Calc!$B5969,INDEX(MineNames,Calc!C5969),"")</f>
        <v/>
      </c>
      <c r="C5969" s="17">
        <f>IF(Calc!$B5969,Calc!O5969,"")</f>
        <v/>
      </c>
    </row>
    <row r="5970">
      <c r="A5970" s="16">
        <f>IF(Calc!$B5970,Calc!E5970,"")</f>
        <v/>
      </c>
      <c r="B5970">
        <f>IF(Calc!$B5970,INDEX(MineNames,Calc!C5970),"")</f>
        <v/>
      </c>
      <c r="C5970" s="17">
        <f>IF(Calc!$B5970,Calc!O5970,"")</f>
        <v/>
      </c>
    </row>
    <row r="5971">
      <c r="A5971" s="16">
        <f>IF(Calc!$B5971,Calc!E5971,"")</f>
        <v/>
      </c>
      <c r="B5971">
        <f>IF(Calc!$B5971,INDEX(MineNames,Calc!C5971),"")</f>
        <v/>
      </c>
      <c r="C5971" s="17">
        <f>IF(Calc!$B5971,Calc!O5971,"")</f>
        <v/>
      </c>
    </row>
    <row r="5972">
      <c r="A5972" s="16">
        <f>IF(Calc!$B5972,Calc!E5972,"")</f>
        <v/>
      </c>
      <c r="B5972">
        <f>IF(Calc!$B5972,INDEX(MineNames,Calc!C5972),"")</f>
        <v/>
      </c>
      <c r="C5972" s="17">
        <f>IF(Calc!$B5972,Calc!O5972,"")</f>
        <v/>
      </c>
    </row>
    <row r="5973">
      <c r="A5973" s="16">
        <f>IF(Calc!$B5973,Calc!E5973,"")</f>
        <v/>
      </c>
      <c r="B5973">
        <f>IF(Calc!$B5973,INDEX(MineNames,Calc!C5973),"")</f>
        <v/>
      </c>
      <c r="C5973" s="17">
        <f>IF(Calc!$B5973,Calc!O5973,"")</f>
        <v/>
      </c>
    </row>
    <row r="5974">
      <c r="A5974" s="16">
        <f>IF(Calc!$B5974,Calc!E5974,"")</f>
        <v/>
      </c>
      <c r="B5974">
        <f>IF(Calc!$B5974,INDEX(MineNames,Calc!C5974),"")</f>
        <v/>
      </c>
      <c r="C5974" s="17">
        <f>IF(Calc!$B5974,Calc!O5974,"")</f>
        <v/>
      </c>
    </row>
    <row r="5975">
      <c r="A5975" s="16">
        <f>IF(Calc!$B5975,Calc!E5975,"")</f>
        <v/>
      </c>
      <c r="B5975">
        <f>IF(Calc!$B5975,INDEX(MineNames,Calc!C5975),"")</f>
        <v/>
      </c>
      <c r="C5975" s="17">
        <f>IF(Calc!$B5975,Calc!O5975,"")</f>
        <v/>
      </c>
    </row>
    <row r="5976">
      <c r="A5976" s="16">
        <f>IF(Calc!$B5976,Calc!E5976,"")</f>
        <v/>
      </c>
      <c r="B5976">
        <f>IF(Calc!$B5976,INDEX(MineNames,Calc!C5976),"")</f>
        <v/>
      </c>
      <c r="C5976" s="17">
        <f>IF(Calc!$B5976,Calc!O5976,"")</f>
        <v/>
      </c>
    </row>
    <row r="5977">
      <c r="A5977" s="16">
        <f>IF(Calc!$B5977,Calc!E5977,"")</f>
        <v/>
      </c>
      <c r="B5977">
        <f>IF(Calc!$B5977,INDEX(MineNames,Calc!C5977),"")</f>
        <v/>
      </c>
      <c r="C5977" s="17">
        <f>IF(Calc!$B5977,Calc!O5977,"")</f>
        <v/>
      </c>
    </row>
    <row r="5978">
      <c r="A5978" s="16">
        <f>IF(Calc!$B5978,Calc!E5978,"")</f>
        <v/>
      </c>
      <c r="B5978">
        <f>IF(Calc!$B5978,INDEX(MineNames,Calc!C5978),"")</f>
        <v/>
      </c>
      <c r="C5978" s="17">
        <f>IF(Calc!$B5978,Calc!O5978,"")</f>
        <v/>
      </c>
    </row>
    <row r="5979">
      <c r="A5979" s="16">
        <f>IF(Calc!$B5979,Calc!E5979,"")</f>
        <v/>
      </c>
      <c r="B5979">
        <f>IF(Calc!$B5979,INDEX(MineNames,Calc!C5979),"")</f>
        <v/>
      </c>
      <c r="C5979" s="17">
        <f>IF(Calc!$B5979,Calc!O5979,"")</f>
        <v/>
      </c>
    </row>
    <row r="5980">
      <c r="A5980" s="16">
        <f>IF(Calc!$B5980,Calc!E5980,"")</f>
        <v/>
      </c>
      <c r="B5980">
        <f>IF(Calc!$B5980,INDEX(MineNames,Calc!C5980),"")</f>
        <v/>
      </c>
      <c r="C5980" s="17">
        <f>IF(Calc!$B5980,Calc!O5980,"")</f>
        <v/>
      </c>
    </row>
    <row r="5981">
      <c r="A5981" s="16">
        <f>IF(Calc!$B5981,Calc!E5981,"")</f>
        <v/>
      </c>
      <c r="B5981">
        <f>IF(Calc!$B5981,INDEX(MineNames,Calc!C5981),"")</f>
        <v/>
      </c>
      <c r="C5981" s="17">
        <f>IF(Calc!$B5981,Calc!O5981,"")</f>
        <v/>
      </c>
    </row>
    <row r="5982">
      <c r="A5982" s="16">
        <f>IF(Calc!$B5982,Calc!E5982,"")</f>
        <v/>
      </c>
      <c r="B5982">
        <f>IF(Calc!$B5982,INDEX(MineNames,Calc!C5982),"")</f>
        <v/>
      </c>
      <c r="C5982" s="17">
        <f>IF(Calc!$B5982,Calc!O5982,"")</f>
        <v/>
      </c>
    </row>
    <row r="5983">
      <c r="A5983" s="16">
        <f>IF(Calc!$B5983,Calc!E5983,"")</f>
        <v/>
      </c>
      <c r="B5983">
        <f>IF(Calc!$B5983,INDEX(MineNames,Calc!C5983),"")</f>
        <v/>
      </c>
      <c r="C5983" s="17">
        <f>IF(Calc!$B5983,Calc!O5983,"")</f>
        <v/>
      </c>
    </row>
    <row r="5984">
      <c r="A5984" s="16">
        <f>IF(Calc!$B5984,Calc!E5984,"")</f>
        <v/>
      </c>
      <c r="B5984">
        <f>IF(Calc!$B5984,INDEX(MineNames,Calc!C5984),"")</f>
        <v/>
      </c>
      <c r="C5984" s="17">
        <f>IF(Calc!$B5984,Calc!O5984,"")</f>
        <v/>
      </c>
    </row>
    <row r="5985">
      <c r="A5985" s="16">
        <f>IF(Calc!$B5985,Calc!E5985,"")</f>
        <v/>
      </c>
      <c r="B5985">
        <f>IF(Calc!$B5985,INDEX(MineNames,Calc!C5985),"")</f>
        <v/>
      </c>
      <c r="C5985" s="17">
        <f>IF(Calc!$B5985,Calc!O5985,"")</f>
        <v/>
      </c>
    </row>
    <row r="5986">
      <c r="A5986" s="16">
        <f>IF(Calc!$B5986,Calc!E5986,"")</f>
        <v/>
      </c>
      <c r="B5986">
        <f>IF(Calc!$B5986,INDEX(MineNames,Calc!C5986),"")</f>
        <v/>
      </c>
      <c r="C5986" s="17">
        <f>IF(Calc!$B5986,Calc!O5986,"")</f>
        <v/>
      </c>
    </row>
    <row r="5987">
      <c r="A5987" s="16">
        <f>IF(Calc!$B5987,Calc!E5987,"")</f>
        <v/>
      </c>
      <c r="B5987">
        <f>IF(Calc!$B5987,INDEX(MineNames,Calc!C5987),"")</f>
        <v/>
      </c>
      <c r="C5987" s="17">
        <f>IF(Calc!$B5987,Calc!O5987,"")</f>
        <v/>
      </c>
    </row>
    <row r="5988">
      <c r="A5988" s="16">
        <f>IF(Calc!$B5988,Calc!E5988,"")</f>
        <v/>
      </c>
      <c r="B5988">
        <f>IF(Calc!$B5988,INDEX(MineNames,Calc!C5988),"")</f>
        <v/>
      </c>
      <c r="C5988" s="17">
        <f>IF(Calc!$B5988,Calc!O5988,"")</f>
        <v/>
      </c>
    </row>
    <row r="5989">
      <c r="A5989" s="16">
        <f>IF(Calc!$B5989,Calc!E5989,"")</f>
        <v/>
      </c>
      <c r="B5989">
        <f>IF(Calc!$B5989,INDEX(MineNames,Calc!C5989),"")</f>
        <v/>
      </c>
      <c r="C5989" s="17">
        <f>IF(Calc!$B5989,Calc!O5989,"")</f>
        <v/>
      </c>
    </row>
    <row r="5990">
      <c r="A5990" s="16">
        <f>IF(Calc!$B5990,Calc!E5990,"")</f>
        <v/>
      </c>
      <c r="B5990">
        <f>IF(Calc!$B5990,INDEX(MineNames,Calc!C5990),"")</f>
        <v/>
      </c>
      <c r="C5990" s="17">
        <f>IF(Calc!$B5990,Calc!O5990,"")</f>
        <v/>
      </c>
    </row>
    <row r="5991">
      <c r="A5991" s="16">
        <f>IF(Calc!$B5991,Calc!E5991,"")</f>
        <v/>
      </c>
      <c r="B5991">
        <f>IF(Calc!$B5991,INDEX(MineNames,Calc!C5991),"")</f>
        <v/>
      </c>
      <c r="C5991" s="17">
        <f>IF(Calc!$B5991,Calc!O5991,"")</f>
        <v/>
      </c>
    </row>
    <row r="5992">
      <c r="A5992" s="16">
        <f>IF(Calc!$B5992,Calc!E5992,"")</f>
        <v/>
      </c>
      <c r="B5992">
        <f>IF(Calc!$B5992,INDEX(MineNames,Calc!C5992),"")</f>
        <v/>
      </c>
      <c r="C5992" s="17">
        <f>IF(Calc!$B5992,Calc!O5992,"")</f>
        <v/>
      </c>
    </row>
    <row r="5993">
      <c r="A5993" s="16">
        <f>IF(Calc!$B5993,Calc!E5993,"")</f>
        <v/>
      </c>
      <c r="B5993">
        <f>IF(Calc!$B5993,INDEX(MineNames,Calc!C5993),"")</f>
        <v/>
      </c>
      <c r="C5993" s="17">
        <f>IF(Calc!$B5993,Calc!O5993,"")</f>
        <v/>
      </c>
    </row>
    <row r="5994">
      <c r="A5994" s="16">
        <f>IF(Calc!$B5994,Calc!E5994,"")</f>
        <v/>
      </c>
      <c r="B5994">
        <f>IF(Calc!$B5994,INDEX(MineNames,Calc!C5994),"")</f>
        <v/>
      </c>
      <c r="C5994" s="17">
        <f>IF(Calc!$B5994,Calc!O5994,"")</f>
        <v/>
      </c>
    </row>
    <row r="5995">
      <c r="A5995" s="16">
        <f>IF(Calc!$B5995,Calc!E5995,"")</f>
        <v/>
      </c>
      <c r="B5995">
        <f>IF(Calc!$B5995,INDEX(MineNames,Calc!C5995),"")</f>
        <v/>
      </c>
      <c r="C5995" s="17">
        <f>IF(Calc!$B5995,Calc!O5995,"")</f>
        <v/>
      </c>
    </row>
    <row r="5996">
      <c r="A5996" s="16">
        <f>IF(Calc!$B5996,Calc!E5996,"")</f>
        <v/>
      </c>
      <c r="B5996">
        <f>IF(Calc!$B5996,INDEX(MineNames,Calc!C5996),"")</f>
        <v/>
      </c>
      <c r="C5996" s="17">
        <f>IF(Calc!$B5996,Calc!O5996,"")</f>
        <v/>
      </c>
    </row>
    <row r="5997">
      <c r="A5997" s="16">
        <f>IF(Calc!$B5997,Calc!E5997,"")</f>
        <v/>
      </c>
      <c r="B5997">
        <f>IF(Calc!$B5997,INDEX(MineNames,Calc!C5997),"")</f>
        <v/>
      </c>
      <c r="C5997" s="17">
        <f>IF(Calc!$B5997,Calc!O5997,"")</f>
        <v/>
      </c>
    </row>
    <row r="5998">
      <c r="A5998" s="16">
        <f>IF(Calc!$B5998,Calc!E5998,"")</f>
        <v/>
      </c>
      <c r="B5998">
        <f>IF(Calc!$B5998,INDEX(MineNames,Calc!C5998),"")</f>
        <v/>
      </c>
      <c r="C5998" s="17">
        <f>IF(Calc!$B5998,Calc!O5998,"")</f>
        <v/>
      </c>
    </row>
    <row r="5999">
      <c r="A5999" s="16">
        <f>IF(Calc!$B5999,Calc!E5999,"")</f>
        <v/>
      </c>
      <c r="B5999">
        <f>IF(Calc!$B5999,INDEX(MineNames,Calc!C5999),"")</f>
        <v/>
      </c>
      <c r="C5999" s="17">
        <f>IF(Calc!$B5999,Calc!O5999,"")</f>
        <v/>
      </c>
    </row>
    <row r="6000">
      <c r="A6000" s="16">
        <f>IF(Calc!$B6000,Calc!E6000,"")</f>
        <v/>
      </c>
      <c r="B6000">
        <f>IF(Calc!$B6000,INDEX(MineNames,Calc!C6000),"")</f>
        <v/>
      </c>
      <c r="C6000" s="17">
        <f>IF(Calc!$B6000,Calc!O6000,"")</f>
        <v/>
      </c>
    </row>
    <row r="6001">
      <c r="A6001" s="16">
        <f>IF(Calc!$B6001,Calc!E6001,"")</f>
        <v/>
      </c>
      <c r="B6001">
        <f>IF(Calc!$B6001,INDEX(MineNames,Calc!C6001),"")</f>
        <v/>
      </c>
      <c r="C6001" s="17">
        <f>IF(Calc!$B6001,Calc!O6001,"")</f>
        <v/>
      </c>
    </row>
    <row r="6002">
      <c r="A6002" s="16">
        <f>IF(Calc!$B6002,Calc!E6002,"")</f>
        <v/>
      </c>
      <c r="B6002">
        <f>IF(Calc!$B6002,INDEX(MineNames,Calc!C6002),"")</f>
        <v/>
      </c>
      <c r="C6002" s="17">
        <f>IF(Calc!$B6002,Calc!O6002,"")</f>
        <v/>
      </c>
    </row>
    <row r="6003">
      <c r="A6003" s="16">
        <f>IF(Calc!$B6003,Calc!E6003,"")</f>
        <v/>
      </c>
      <c r="B6003">
        <f>IF(Calc!$B6003,INDEX(MineNames,Calc!C6003),"")</f>
        <v/>
      </c>
      <c r="C6003" s="17">
        <f>IF(Calc!$B6003,Calc!O6003,"")</f>
        <v/>
      </c>
    </row>
    <row r="6004">
      <c r="A6004" s="16">
        <f>IF(Calc!$B6004,Calc!E6004,"")</f>
        <v/>
      </c>
      <c r="B6004">
        <f>IF(Calc!$B6004,INDEX(MineNames,Calc!C6004),"")</f>
        <v/>
      </c>
      <c r="C6004" s="17">
        <f>IF(Calc!$B6004,Calc!O6004,"")</f>
        <v/>
      </c>
    </row>
    <row r="6005">
      <c r="A6005" s="16">
        <f>IF(Calc!$B6005,Calc!E6005,"")</f>
        <v/>
      </c>
      <c r="B6005">
        <f>IF(Calc!$B6005,INDEX(MineNames,Calc!C6005),"")</f>
        <v/>
      </c>
      <c r="C6005" s="17">
        <f>IF(Calc!$B6005,Calc!O6005,"")</f>
        <v/>
      </c>
    </row>
    <row r="6006">
      <c r="A6006" s="16">
        <f>IF(Calc!$B6006,Calc!E6006,"")</f>
        <v/>
      </c>
      <c r="B6006">
        <f>IF(Calc!$B6006,INDEX(MineNames,Calc!C6006),"")</f>
        <v/>
      </c>
      <c r="C6006" s="17">
        <f>IF(Calc!$B6006,Calc!O6006,"")</f>
        <v/>
      </c>
    </row>
    <row r="6007">
      <c r="A6007" s="16">
        <f>IF(Calc!$B6007,Calc!E6007,"")</f>
        <v/>
      </c>
      <c r="B6007">
        <f>IF(Calc!$B6007,INDEX(MineNames,Calc!C6007),"")</f>
        <v/>
      </c>
      <c r="C6007" s="17">
        <f>IF(Calc!$B6007,Calc!O6007,"")</f>
        <v/>
      </c>
    </row>
    <row r="6008">
      <c r="A6008" s="16">
        <f>IF(Calc!$B6008,Calc!E6008,"")</f>
        <v/>
      </c>
      <c r="B6008">
        <f>IF(Calc!$B6008,INDEX(MineNames,Calc!C6008),"")</f>
        <v/>
      </c>
      <c r="C6008" s="17">
        <f>IF(Calc!$B6008,Calc!O6008,"")</f>
        <v/>
      </c>
    </row>
    <row r="6009">
      <c r="A6009" s="16">
        <f>IF(Calc!$B6009,Calc!E6009,"")</f>
        <v/>
      </c>
      <c r="B6009">
        <f>IF(Calc!$B6009,INDEX(MineNames,Calc!C6009),"")</f>
        <v/>
      </c>
      <c r="C6009" s="17">
        <f>IF(Calc!$B6009,Calc!O6009,"")</f>
        <v/>
      </c>
    </row>
    <row r="6010">
      <c r="A6010" s="16">
        <f>IF(Calc!$B6010,Calc!E6010,"")</f>
        <v/>
      </c>
      <c r="B6010">
        <f>IF(Calc!$B6010,INDEX(MineNames,Calc!C6010),"")</f>
        <v/>
      </c>
      <c r="C6010" s="17">
        <f>IF(Calc!$B6010,Calc!O6010,"")</f>
        <v/>
      </c>
    </row>
    <row r="6011">
      <c r="A6011" s="16">
        <f>IF(Calc!$B6011,Calc!E6011,"")</f>
        <v/>
      </c>
      <c r="B6011">
        <f>IF(Calc!$B6011,INDEX(MineNames,Calc!C6011),"")</f>
        <v/>
      </c>
      <c r="C6011" s="17">
        <f>IF(Calc!$B6011,Calc!O6011,"")</f>
        <v/>
      </c>
    </row>
    <row r="6012">
      <c r="A6012" s="16">
        <f>IF(Calc!$B6012,Calc!E6012,"")</f>
        <v/>
      </c>
      <c r="B6012">
        <f>IF(Calc!$B6012,INDEX(MineNames,Calc!C6012),"")</f>
        <v/>
      </c>
      <c r="C6012" s="17">
        <f>IF(Calc!$B6012,Calc!O6012,"")</f>
        <v/>
      </c>
    </row>
    <row r="6013">
      <c r="A6013" s="16">
        <f>IF(Calc!$B6013,Calc!E6013,"")</f>
        <v/>
      </c>
      <c r="B6013">
        <f>IF(Calc!$B6013,INDEX(MineNames,Calc!C6013),"")</f>
        <v/>
      </c>
      <c r="C6013" s="17">
        <f>IF(Calc!$B6013,Calc!O6013,"")</f>
        <v/>
      </c>
    </row>
    <row r="6014">
      <c r="A6014" s="16">
        <f>IF(Calc!$B6014,Calc!E6014,"")</f>
        <v/>
      </c>
      <c r="B6014">
        <f>IF(Calc!$B6014,INDEX(MineNames,Calc!C6014),"")</f>
        <v/>
      </c>
      <c r="C6014" s="17">
        <f>IF(Calc!$B6014,Calc!O6014,"")</f>
        <v/>
      </c>
    </row>
    <row r="6015">
      <c r="A6015" s="16">
        <f>IF(Calc!$B6015,Calc!E6015,"")</f>
        <v/>
      </c>
      <c r="B6015">
        <f>IF(Calc!$B6015,INDEX(MineNames,Calc!C6015),"")</f>
        <v/>
      </c>
      <c r="C6015" s="17">
        <f>IF(Calc!$B6015,Calc!O6015,"")</f>
        <v/>
      </c>
    </row>
    <row r="6016">
      <c r="A6016" s="16">
        <f>IF(Calc!$B6016,Calc!E6016,"")</f>
        <v/>
      </c>
      <c r="B6016">
        <f>IF(Calc!$B6016,INDEX(MineNames,Calc!C6016),"")</f>
        <v/>
      </c>
      <c r="C6016" s="17">
        <f>IF(Calc!$B6016,Calc!O6016,"")</f>
        <v/>
      </c>
    </row>
    <row r="6017">
      <c r="A6017" s="16">
        <f>IF(Calc!$B6017,Calc!E6017,"")</f>
        <v/>
      </c>
      <c r="B6017">
        <f>IF(Calc!$B6017,INDEX(MineNames,Calc!C6017),"")</f>
        <v/>
      </c>
      <c r="C6017" s="17">
        <f>IF(Calc!$B6017,Calc!O6017,"")</f>
        <v/>
      </c>
    </row>
    <row r="6018">
      <c r="A6018" s="16">
        <f>IF(Calc!$B6018,Calc!E6018,"")</f>
        <v/>
      </c>
      <c r="B6018">
        <f>IF(Calc!$B6018,INDEX(MineNames,Calc!C6018),"")</f>
        <v/>
      </c>
      <c r="C6018" s="17">
        <f>IF(Calc!$B6018,Calc!O6018,"")</f>
        <v/>
      </c>
    </row>
    <row r="6019">
      <c r="A6019" s="16">
        <f>IF(Calc!$B6019,Calc!E6019,"")</f>
        <v/>
      </c>
      <c r="B6019">
        <f>IF(Calc!$B6019,INDEX(MineNames,Calc!C6019),"")</f>
        <v/>
      </c>
      <c r="C6019" s="17">
        <f>IF(Calc!$B6019,Calc!O6019,"")</f>
        <v/>
      </c>
    </row>
    <row r="6020">
      <c r="A6020" s="16">
        <f>IF(Calc!$B6020,Calc!E6020,"")</f>
        <v/>
      </c>
      <c r="B6020">
        <f>IF(Calc!$B6020,INDEX(MineNames,Calc!C6020),"")</f>
        <v/>
      </c>
      <c r="C6020" s="17">
        <f>IF(Calc!$B6020,Calc!O6020,"")</f>
        <v/>
      </c>
    </row>
    <row r="6021">
      <c r="A6021" s="16">
        <f>IF(Calc!$B6021,Calc!E6021,"")</f>
        <v/>
      </c>
      <c r="B6021">
        <f>IF(Calc!$B6021,INDEX(MineNames,Calc!C6021),"")</f>
        <v/>
      </c>
      <c r="C6021" s="17">
        <f>IF(Calc!$B6021,Calc!O6021,"")</f>
        <v/>
      </c>
    </row>
    <row r="6022">
      <c r="A6022" s="16">
        <f>IF(Calc!$B6022,Calc!E6022,"")</f>
        <v/>
      </c>
      <c r="B6022">
        <f>IF(Calc!$B6022,INDEX(MineNames,Calc!C6022),"")</f>
        <v/>
      </c>
      <c r="C6022" s="17">
        <f>IF(Calc!$B6022,Calc!O6022,"")</f>
        <v/>
      </c>
    </row>
    <row r="6023">
      <c r="A6023" s="16">
        <f>IF(Calc!$B6023,Calc!E6023,"")</f>
        <v/>
      </c>
      <c r="B6023">
        <f>IF(Calc!$B6023,INDEX(MineNames,Calc!C6023),"")</f>
        <v/>
      </c>
      <c r="C6023" s="17">
        <f>IF(Calc!$B6023,Calc!O6023,"")</f>
        <v/>
      </c>
    </row>
    <row r="6024">
      <c r="A6024" s="16">
        <f>IF(Calc!$B6024,Calc!E6024,"")</f>
        <v/>
      </c>
      <c r="B6024">
        <f>IF(Calc!$B6024,INDEX(MineNames,Calc!C6024),"")</f>
        <v/>
      </c>
      <c r="C6024" s="17">
        <f>IF(Calc!$B6024,Calc!O6024,"")</f>
        <v/>
      </c>
    </row>
    <row r="6025">
      <c r="A6025" s="16">
        <f>IF(Calc!$B6025,Calc!E6025,"")</f>
        <v/>
      </c>
      <c r="B6025">
        <f>IF(Calc!$B6025,INDEX(MineNames,Calc!C6025),"")</f>
        <v/>
      </c>
      <c r="C6025" s="17">
        <f>IF(Calc!$B6025,Calc!O6025,"")</f>
        <v/>
      </c>
    </row>
    <row r="6026">
      <c r="A6026" s="16">
        <f>IF(Calc!$B6026,Calc!E6026,"")</f>
        <v/>
      </c>
      <c r="B6026">
        <f>IF(Calc!$B6026,INDEX(MineNames,Calc!C6026),"")</f>
        <v/>
      </c>
      <c r="C6026" s="17">
        <f>IF(Calc!$B6026,Calc!O6026,"")</f>
        <v/>
      </c>
    </row>
    <row r="6027">
      <c r="A6027" s="16">
        <f>IF(Calc!$B6027,Calc!E6027,"")</f>
        <v/>
      </c>
      <c r="B6027">
        <f>IF(Calc!$B6027,INDEX(MineNames,Calc!C6027),"")</f>
        <v/>
      </c>
      <c r="C6027" s="17">
        <f>IF(Calc!$B6027,Calc!O6027,"")</f>
        <v/>
      </c>
    </row>
    <row r="6028">
      <c r="A6028" s="16">
        <f>IF(Calc!$B6028,Calc!E6028,"")</f>
        <v/>
      </c>
      <c r="B6028">
        <f>IF(Calc!$B6028,INDEX(MineNames,Calc!C6028),"")</f>
        <v/>
      </c>
      <c r="C6028" s="17">
        <f>IF(Calc!$B6028,Calc!O6028,"")</f>
        <v/>
      </c>
    </row>
    <row r="6029">
      <c r="A6029" s="16">
        <f>IF(Calc!$B6029,Calc!E6029,"")</f>
        <v/>
      </c>
      <c r="B6029">
        <f>IF(Calc!$B6029,INDEX(MineNames,Calc!C6029),"")</f>
        <v/>
      </c>
      <c r="C6029" s="17">
        <f>IF(Calc!$B6029,Calc!O6029,"")</f>
        <v/>
      </c>
    </row>
    <row r="6030">
      <c r="A6030" s="16">
        <f>IF(Calc!$B6030,Calc!E6030,"")</f>
        <v/>
      </c>
      <c r="B6030">
        <f>IF(Calc!$B6030,INDEX(MineNames,Calc!C6030),"")</f>
        <v/>
      </c>
      <c r="C6030" s="17">
        <f>IF(Calc!$B6030,Calc!O6030,"")</f>
        <v/>
      </c>
    </row>
    <row r="6031">
      <c r="A6031" s="16">
        <f>IF(Calc!$B6031,Calc!E6031,"")</f>
        <v/>
      </c>
      <c r="B6031">
        <f>IF(Calc!$B6031,INDEX(MineNames,Calc!C6031),"")</f>
        <v/>
      </c>
      <c r="C6031" s="17">
        <f>IF(Calc!$B6031,Calc!O6031,"")</f>
        <v/>
      </c>
    </row>
    <row r="6032">
      <c r="A6032" s="16">
        <f>IF(Calc!$B6032,Calc!E6032,"")</f>
        <v/>
      </c>
      <c r="B6032">
        <f>IF(Calc!$B6032,INDEX(MineNames,Calc!C6032),"")</f>
        <v/>
      </c>
      <c r="C6032" s="17">
        <f>IF(Calc!$B6032,Calc!O6032,"")</f>
        <v/>
      </c>
    </row>
    <row r="6033">
      <c r="A6033" s="16">
        <f>IF(Calc!$B6033,Calc!E6033,"")</f>
        <v/>
      </c>
      <c r="B6033">
        <f>IF(Calc!$B6033,INDEX(MineNames,Calc!C6033),"")</f>
        <v/>
      </c>
      <c r="C6033" s="17">
        <f>IF(Calc!$B6033,Calc!O6033,"")</f>
        <v/>
      </c>
    </row>
    <row r="6034">
      <c r="A6034" s="16">
        <f>IF(Calc!$B6034,Calc!E6034,"")</f>
        <v/>
      </c>
      <c r="B6034">
        <f>IF(Calc!$B6034,INDEX(MineNames,Calc!C6034),"")</f>
        <v/>
      </c>
      <c r="C6034" s="17">
        <f>IF(Calc!$B6034,Calc!O6034,"")</f>
        <v/>
      </c>
    </row>
    <row r="6035">
      <c r="A6035" s="16">
        <f>IF(Calc!$B6035,Calc!E6035,"")</f>
        <v/>
      </c>
      <c r="B6035">
        <f>IF(Calc!$B6035,INDEX(MineNames,Calc!C6035),"")</f>
        <v/>
      </c>
      <c r="C6035" s="17">
        <f>IF(Calc!$B6035,Calc!O6035,"")</f>
        <v/>
      </c>
    </row>
    <row r="6036">
      <c r="A6036" s="16">
        <f>IF(Calc!$B6036,Calc!E6036,"")</f>
        <v/>
      </c>
      <c r="B6036">
        <f>IF(Calc!$B6036,INDEX(MineNames,Calc!C6036),"")</f>
        <v/>
      </c>
      <c r="C6036" s="17">
        <f>IF(Calc!$B6036,Calc!O6036,"")</f>
        <v/>
      </c>
    </row>
    <row r="6037">
      <c r="A6037" s="16">
        <f>IF(Calc!$B6037,Calc!E6037,"")</f>
        <v/>
      </c>
      <c r="B6037">
        <f>IF(Calc!$B6037,INDEX(MineNames,Calc!C6037),"")</f>
        <v/>
      </c>
      <c r="C6037" s="17">
        <f>IF(Calc!$B6037,Calc!O6037,"")</f>
        <v/>
      </c>
    </row>
    <row r="6038">
      <c r="A6038" s="16">
        <f>IF(Calc!$B6038,Calc!E6038,"")</f>
        <v/>
      </c>
      <c r="B6038">
        <f>IF(Calc!$B6038,INDEX(MineNames,Calc!C6038),"")</f>
        <v/>
      </c>
      <c r="C6038" s="17">
        <f>IF(Calc!$B6038,Calc!O6038,"")</f>
        <v/>
      </c>
    </row>
    <row r="6039">
      <c r="A6039" s="16">
        <f>IF(Calc!$B6039,Calc!E6039,"")</f>
        <v/>
      </c>
      <c r="B6039">
        <f>IF(Calc!$B6039,INDEX(MineNames,Calc!C6039),"")</f>
        <v/>
      </c>
      <c r="C6039" s="17">
        <f>IF(Calc!$B6039,Calc!O6039,"")</f>
        <v/>
      </c>
    </row>
    <row r="6040">
      <c r="A6040" s="16">
        <f>IF(Calc!$B6040,Calc!E6040,"")</f>
        <v/>
      </c>
      <c r="B6040">
        <f>IF(Calc!$B6040,INDEX(MineNames,Calc!C6040),"")</f>
        <v/>
      </c>
      <c r="C6040" s="17">
        <f>IF(Calc!$B6040,Calc!O6040,"")</f>
        <v/>
      </c>
    </row>
    <row r="6041">
      <c r="A6041" s="16">
        <f>IF(Calc!$B6041,Calc!E6041,"")</f>
        <v/>
      </c>
      <c r="B6041">
        <f>IF(Calc!$B6041,INDEX(MineNames,Calc!C6041),"")</f>
        <v/>
      </c>
      <c r="C6041" s="17">
        <f>IF(Calc!$B6041,Calc!O6041,"")</f>
        <v/>
      </c>
    </row>
    <row r="6042">
      <c r="A6042" s="16">
        <f>IF(Calc!$B6042,Calc!E6042,"")</f>
        <v/>
      </c>
      <c r="B6042">
        <f>IF(Calc!$B6042,INDEX(MineNames,Calc!C6042),"")</f>
        <v/>
      </c>
      <c r="C6042" s="17">
        <f>IF(Calc!$B6042,Calc!O6042,"")</f>
        <v/>
      </c>
    </row>
    <row r="6043">
      <c r="A6043" s="16">
        <f>IF(Calc!$B6043,Calc!E6043,"")</f>
        <v/>
      </c>
      <c r="B6043">
        <f>IF(Calc!$B6043,INDEX(MineNames,Calc!C6043),"")</f>
        <v/>
      </c>
      <c r="C6043" s="17">
        <f>IF(Calc!$B6043,Calc!O6043,"")</f>
        <v/>
      </c>
    </row>
    <row r="6044">
      <c r="A6044" s="16">
        <f>IF(Calc!$B6044,Calc!E6044,"")</f>
        <v/>
      </c>
      <c r="B6044">
        <f>IF(Calc!$B6044,INDEX(MineNames,Calc!C6044),"")</f>
        <v/>
      </c>
      <c r="C6044" s="17">
        <f>IF(Calc!$B6044,Calc!O6044,"")</f>
        <v/>
      </c>
    </row>
    <row r="6045">
      <c r="A6045" s="16">
        <f>IF(Calc!$B6045,Calc!E6045,"")</f>
        <v/>
      </c>
      <c r="B6045">
        <f>IF(Calc!$B6045,INDEX(MineNames,Calc!C6045),"")</f>
        <v/>
      </c>
      <c r="C6045" s="17">
        <f>IF(Calc!$B6045,Calc!O6045,"")</f>
        <v/>
      </c>
    </row>
    <row r="6046">
      <c r="A6046" s="16">
        <f>IF(Calc!$B6046,Calc!E6046,"")</f>
        <v/>
      </c>
      <c r="B6046">
        <f>IF(Calc!$B6046,INDEX(MineNames,Calc!C6046),"")</f>
        <v/>
      </c>
      <c r="C6046" s="17">
        <f>IF(Calc!$B6046,Calc!O6046,"")</f>
        <v/>
      </c>
    </row>
    <row r="6047">
      <c r="A6047" s="16">
        <f>IF(Calc!$B6047,Calc!E6047,"")</f>
        <v/>
      </c>
      <c r="B6047">
        <f>IF(Calc!$B6047,INDEX(MineNames,Calc!C6047),"")</f>
        <v/>
      </c>
      <c r="C6047" s="17">
        <f>IF(Calc!$B6047,Calc!O6047,"")</f>
        <v/>
      </c>
    </row>
    <row r="6048">
      <c r="A6048" s="16">
        <f>IF(Calc!$B6048,Calc!E6048,"")</f>
        <v/>
      </c>
      <c r="B6048">
        <f>IF(Calc!$B6048,INDEX(MineNames,Calc!C6048),"")</f>
        <v/>
      </c>
      <c r="C6048" s="17">
        <f>IF(Calc!$B6048,Calc!O6048,"")</f>
        <v/>
      </c>
    </row>
    <row r="6049">
      <c r="A6049" s="16">
        <f>IF(Calc!$B6049,Calc!E6049,"")</f>
        <v/>
      </c>
      <c r="B6049">
        <f>IF(Calc!$B6049,INDEX(MineNames,Calc!C6049),"")</f>
        <v/>
      </c>
      <c r="C6049" s="17">
        <f>IF(Calc!$B6049,Calc!O6049,"")</f>
        <v/>
      </c>
    </row>
    <row r="6050">
      <c r="A6050" s="16">
        <f>IF(Calc!$B6050,Calc!E6050,"")</f>
        <v/>
      </c>
      <c r="B6050">
        <f>IF(Calc!$B6050,INDEX(MineNames,Calc!C6050),"")</f>
        <v/>
      </c>
      <c r="C6050" s="17">
        <f>IF(Calc!$B6050,Calc!O6050,"")</f>
        <v/>
      </c>
    </row>
    <row r="6051">
      <c r="A6051" s="16">
        <f>IF(Calc!$B6051,Calc!E6051,"")</f>
        <v/>
      </c>
      <c r="B6051">
        <f>IF(Calc!$B6051,INDEX(MineNames,Calc!C6051),"")</f>
        <v/>
      </c>
      <c r="C6051" s="17">
        <f>IF(Calc!$B6051,Calc!O6051,"")</f>
        <v/>
      </c>
    </row>
    <row r="6052">
      <c r="A6052" s="16">
        <f>IF(Calc!$B6052,Calc!E6052,"")</f>
        <v/>
      </c>
      <c r="B6052">
        <f>IF(Calc!$B6052,INDEX(MineNames,Calc!C6052),"")</f>
        <v/>
      </c>
      <c r="C6052" s="17">
        <f>IF(Calc!$B6052,Calc!O6052,"")</f>
        <v/>
      </c>
    </row>
    <row r="6053">
      <c r="A6053" s="16">
        <f>IF(Calc!$B6053,Calc!E6053,"")</f>
        <v/>
      </c>
      <c r="B6053">
        <f>IF(Calc!$B6053,INDEX(MineNames,Calc!C6053),"")</f>
        <v/>
      </c>
      <c r="C6053" s="17">
        <f>IF(Calc!$B6053,Calc!O6053,"")</f>
        <v/>
      </c>
    </row>
    <row r="6054">
      <c r="A6054" s="16">
        <f>IF(Calc!$B6054,Calc!E6054,"")</f>
        <v/>
      </c>
      <c r="B6054">
        <f>IF(Calc!$B6054,INDEX(MineNames,Calc!C6054),"")</f>
        <v/>
      </c>
      <c r="C6054" s="17">
        <f>IF(Calc!$B6054,Calc!O6054,"")</f>
        <v/>
      </c>
    </row>
    <row r="6055">
      <c r="A6055" s="16">
        <f>IF(Calc!$B6055,Calc!E6055,"")</f>
        <v/>
      </c>
      <c r="B6055">
        <f>IF(Calc!$B6055,INDEX(MineNames,Calc!C6055),"")</f>
        <v/>
      </c>
      <c r="C6055" s="17">
        <f>IF(Calc!$B6055,Calc!O6055,"")</f>
        <v/>
      </c>
    </row>
    <row r="6056">
      <c r="A6056" s="16">
        <f>IF(Calc!$B6056,Calc!E6056,"")</f>
        <v/>
      </c>
      <c r="B6056">
        <f>IF(Calc!$B6056,INDEX(MineNames,Calc!C6056),"")</f>
        <v/>
      </c>
      <c r="C6056" s="17">
        <f>IF(Calc!$B6056,Calc!O6056,"")</f>
        <v/>
      </c>
    </row>
    <row r="6057">
      <c r="A6057" s="16">
        <f>IF(Calc!$B6057,Calc!E6057,"")</f>
        <v/>
      </c>
      <c r="B6057">
        <f>IF(Calc!$B6057,INDEX(MineNames,Calc!C6057),"")</f>
        <v/>
      </c>
      <c r="C6057" s="17">
        <f>IF(Calc!$B6057,Calc!O6057,"")</f>
        <v/>
      </c>
    </row>
    <row r="6058">
      <c r="A6058" s="16">
        <f>IF(Calc!$B6058,Calc!E6058,"")</f>
        <v/>
      </c>
      <c r="B6058">
        <f>IF(Calc!$B6058,INDEX(MineNames,Calc!C6058),"")</f>
        <v/>
      </c>
      <c r="C6058" s="17">
        <f>IF(Calc!$B6058,Calc!O6058,"")</f>
        <v/>
      </c>
    </row>
    <row r="6059">
      <c r="A6059" s="16">
        <f>IF(Calc!$B6059,Calc!E6059,"")</f>
        <v/>
      </c>
      <c r="B6059">
        <f>IF(Calc!$B6059,INDEX(MineNames,Calc!C6059),"")</f>
        <v/>
      </c>
      <c r="C6059" s="17">
        <f>IF(Calc!$B6059,Calc!O6059,"")</f>
        <v/>
      </c>
    </row>
    <row r="6060">
      <c r="A6060" s="16">
        <f>IF(Calc!$B6060,Calc!E6060,"")</f>
        <v/>
      </c>
      <c r="B6060">
        <f>IF(Calc!$B6060,INDEX(MineNames,Calc!C6060),"")</f>
        <v/>
      </c>
      <c r="C6060" s="17">
        <f>IF(Calc!$B6060,Calc!O6060,"")</f>
        <v/>
      </c>
    </row>
    <row r="6061">
      <c r="A6061" s="16">
        <f>IF(Calc!$B6061,Calc!E6061,"")</f>
        <v/>
      </c>
      <c r="B6061">
        <f>IF(Calc!$B6061,INDEX(MineNames,Calc!C6061),"")</f>
        <v/>
      </c>
      <c r="C6061" s="17">
        <f>IF(Calc!$B6061,Calc!O6061,"")</f>
        <v/>
      </c>
    </row>
    <row r="6062">
      <c r="A6062" s="16">
        <f>IF(Calc!$B6062,Calc!E6062,"")</f>
        <v/>
      </c>
      <c r="B6062">
        <f>IF(Calc!$B6062,INDEX(MineNames,Calc!C6062),"")</f>
        <v/>
      </c>
      <c r="C6062" s="17">
        <f>IF(Calc!$B6062,Calc!O6062,"")</f>
        <v/>
      </c>
    </row>
    <row r="6063">
      <c r="A6063" s="16">
        <f>IF(Calc!$B6063,Calc!E6063,"")</f>
        <v/>
      </c>
      <c r="B6063">
        <f>IF(Calc!$B6063,INDEX(MineNames,Calc!C6063),"")</f>
        <v/>
      </c>
      <c r="C6063" s="17">
        <f>IF(Calc!$B6063,Calc!O6063,"")</f>
        <v/>
      </c>
    </row>
    <row r="6064">
      <c r="A6064" s="16">
        <f>IF(Calc!$B6064,Calc!E6064,"")</f>
        <v/>
      </c>
      <c r="B6064">
        <f>IF(Calc!$B6064,INDEX(MineNames,Calc!C6064),"")</f>
        <v/>
      </c>
      <c r="C6064" s="17">
        <f>IF(Calc!$B6064,Calc!O6064,"")</f>
        <v/>
      </c>
    </row>
    <row r="6065">
      <c r="A6065" s="16">
        <f>IF(Calc!$B6065,Calc!E6065,"")</f>
        <v/>
      </c>
      <c r="B6065">
        <f>IF(Calc!$B6065,INDEX(MineNames,Calc!C6065),"")</f>
        <v/>
      </c>
      <c r="C6065" s="17">
        <f>IF(Calc!$B6065,Calc!O6065,"")</f>
        <v/>
      </c>
    </row>
    <row r="6066">
      <c r="A6066" s="16">
        <f>IF(Calc!$B6066,Calc!E6066,"")</f>
        <v/>
      </c>
      <c r="B6066">
        <f>IF(Calc!$B6066,INDEX(MineNames,Calc!C6066),"")</f>
        <v/>
      </c>
      <c r="C6066" s="17">
        <f>IF(Calc!$B6066,Calc!O6066,"")</f>
        <v/>
      </c>
    </row>
    <row r="6067">
      <c r="A6067" s="16">
        <f>IF(Calc!$B6067,Calc!E6067,"")</f>
        <v/>
      </c>
      <c r="B6067">
        <f>IF(Calc!$B6067,INDEX(MineNames,Calc!C6067),"")</f>
        <v/>
      </c>
      <c r="C6067" s="17">
        <f>IF(Calc!$B6067,Calc!O6067,"")</f>
        <v/>
      </c>
    </row>
    <row r="6068">
      <c r="A6068" s="16">
        <f>IF(Calc!$B6068,Calc!E6068,"")</f>
        <v/>
      </c>
      <c r="B6068">
        <f>IF(Calc!$B6068,INDEX(MineNames,Calc!C6068),"")</f>
        <v/>
      </c>
      <c r="C6068" s="17">
        <f>IF(Calc!$B6068,Calc!O6068,"")</f>
        <v/>
      </c>
    </row>
    <row r="6069">
      <c r="A6069" s="16">
        <f>IF(Calc!$B6069,Calc!E6069,"")</f>
        <v/>
      </c>
      <c r="B6069">
        <f>IF(Calc!$B6069,INDEX(MineNames,Calc!C6069),"")</f>
        <v/>
      </c>
      <c r="C6069" s="17">
        <f>IF(Calc!$B6069,Calc!O6069,"")</f>
        <v/>
      </c>
    </row>
    <row r="6070">
      <c r="A6070" s="16">
        <f>IF(Calc!$B6070,Calc!E6070,"")</f>
        <v/>
      </c>
      <c r="B6070">
        <f>IF(Calc!$B6070,INDEX(MineNames,Calc!C6070),"")</f>
        <v/>
      </c>
      <c r="C6070" s="17">
        <f>IF(Calc!$B6070,Calc!O6070,"")</f>
        <v/>
      </c>
    </row>
    <row r="6071">
      <c r="A6071" s="16">
        <f>IF(Calc!$B6071,Calc!E6071,"")</f>
        <v/>
      </c>
      <c r="B6071">
        <f>IF(Calc!$B6071,INDEX(MineNames,Calc!C6071),"")</f>
        <v/>
      </c>
      <c r="C6071" s="17">
        <f>IF(Calc!$B6071,Calc!O6071,"")</f>
        <v/>
      </c>
    </row>
    <row r="6072">
      <c r="A6072" s="16">
        <f>IF(Calc!$B6072,Calc!E6072,"")</f>
        <v/>
      </c>
      <c r="B6072">
        <f>IF(Calc!$B6072,INDEX(MineNames,Calc!C6072),"")</f>
        <v/>
      </c>
      <c r="C6072" s="17">
        <f>IF(Calc!$B6072,Calc!O6072,"")</f>
        <v/>
      </c>
    </row>
    <row r="6073">
      <c r="A6073" s="16">
        <f>IF(Calc!$B6073,Calc!E6073,"")</f>
        <v/>
      </c>
      <c r="B6073">
        <f>IF(Calc!$B6073,INDEX(MineNames,Calc!C6073),"")</f>
        <v/>
      </c>
      <c r="C6073" s="17">
        <f>IF(Calc!$B6073,Calc!O6073,"")</f>
        <v/>
      </c>
    </row>
    <row r="6074">
      <c r="A6074" s="16">
        <f>IF(Calc!$B6074,Calc!E6074,"")</f>
        <v/>
      </c>
      <c r="B6074">
        <f>IF(Calc!$B6074,INDEX(MineNames,Calc!C6074),"")</f>
        <v/>
      </c>
      <c r="C6074" s="17">
        <f>IF(Calc!$B6074,Calc!O6074,"")</f>
        <v/>
      </c>
    </row>
    <row r="6075">
      <c r="A6075" s="16">
        <f>IF(Calc!$B6075,Calc!E6075,"")</f>
        <v/>
      </c>
      <c r="B6075">
        <f>IF(Calc!$B6075,INDEX(MineNames,Calc!C6075),"")</f>
        <v/>
      </c>
      <c r="C6075" s="17">
        <f>IF(Calc!$B6075,Calc!O6075,"")</f>
        <v/>
      </c>
    </row>
    <row r="6076">
      <c r="A6076" s="16">
        <f>IF(Calc!$B6076,Calc!E6076,"")</f>
        <v/>
      </c>
      <c r="B6076">
        <f>IF(Calc!$B6076,INDEX(MineNames,Calc!C6076),"")</f>
        <v/>
      </c>
      <c r="C6076" s="17">
        <f>IF(Calc!$B6076,Calc!O6076,"")</f>
        <v/>
      </c>
    </row>
    <row r="6077">
      <c r="A6077" s="16">
        <f>IF(Calc!$B6077,Calc!E6077,"")</f>
        <v/>
      </c>
      <c r="B6077">
        <f>IF(Calc!$B6077,INDEX(MineNames,Calc!C6077),"")</f>
        <v/>
      </c>
      <c r="C6077" s="17">
        <f>IF(Calc!$B6077,Calc!O6077,"")</f>
        <v/>
      </c>
    </row>
    <row r="6078">
      <c r="A6078" s="16">
        <f>IF(Calc!$B6078,Calc!E6078,"")</f>
        <v/>
      </c>
      <c r="B6078">
        <f>IF(Calc!$B6078,INDEX(MineNames,Calc!C6078),"")</f>
        <v/>
      </c>
      <c r="C6078" s="17">
        <f>IF(Calc!$B6078,Calc!O6078,"")</f>
        <v/>
      </c>
    </row>
    <row r="6079">
      <c r="A6079" s="16">
        <f>IF(Calc!$B6079,Calc!E6079,"")</f>
        <v/>
      </c>
      <c r="B6079">
        <f>IF(Calc!$B6079,INDEX(MineNames,Calc!C6079),"")</f>
        <v/>
      </c>
      <c r="C6079" s="17">
        <f>IF(Calc!$B6079,Calc!O6079,"")</f>
        <v/>
      </c>
    </row>
    <row r="6080">
      <c r="A6080" s="16">
        <f>IF(Calc!$B6080,Calc!E6080,"")</f>
        <v/>
      </c>
      <c r="B6080">
        <f>IF(Calc!$B6080,INDEX(MineNames,Calc!C6080),"")</f>
        <v/>
      </c>
      <c r="C6080" s="17">
        <f>IF(Calc!$B6080,Calc!O6080,"")</f>
        <v/>
      </c>
    </row>
    <row r="6081">
      <c r="A6081" s="16">
        <f>IF(Calc!$B6081,Calc!E6081,"")</f>
        <v/>
      </c>
      <c r="B6081">
        <f>IF(Calc!$B6081,INDEX(MineNames,Calc!C6081),"")</f>
        <v/>
      </c>
      <c r="C6081" s="17">
        <f>IF(Calc!$B6081,Calc!O6081,"")</f>
        <v/>
      </c>
    </row>
    <row r="6082">
      <c r="A6082" s="16">
        <f>IF(Calc!$B6082,Calc!E6082,"")</f>
        <v/>
      </c>
      <c r="B6082">
        <f>IF(Calc!$B6082,INDEX(MineNames,Calc!C6082),"")</f>
        <v/>
      </c>
      <c r="C6082" s="17">
        <f>IF(Calc!$B6082,Calc!O6082,"")</f>
        <v/>
      </c>
    </row>
    <row r="6083">
      <c r="A6083" s="16">
        <f>IF(Calc!$B6083,Calc!E6083,"")</f>
        <v/>
      </c>
      <c r="B6083">
        <f>IF(Calc!$B6083,INDEX(MineNames,Calc!C6083),"")</f>
        <v/>
      </c>
      <c r="C6083" s="17">
        <f>IF(Calc!$B6083,Calc!O6083,"")</f>
        <v/>
      </c>
    </row>
    <row r="6084">
      <c r="A6084" s="16">
        <f>IF(Calc!$B6084,Calc!E6084,"")</f>
        <v/>
      </c>
      <c r="B6084">
        <f>IF(Calc!$B6084,INDEX(MineNames,Calc!C6084),"")</f>
        <v/>
      </c>
      <c r="C6084" s="17">
        <f>IF(Calc!$B6084,Calc!O6084,"")</f>
        <v/>
      </c>
    </row>
    <row r="6085">
      <c r="A6085" s="16">
        <f>IF(Calc!$B6085,Calc!E6085,"")</f>
        <v/>
      </c>
      <c r="B6085">
        <f>IF(Calc!$B6085,INDEX(MineNames,Calc!C6085),"")</f>
        <v/>
      </c>
      <c r="C6085" s="17">
        <f>IF(Calc!$B6085,Calc!O6085,"")</f>
        <v/>
      </c>
    </row>
    <row r="6086">
      <c r="A6086" s="16">
        <f>IF(Calc!$B6086,Calc!E6086,"")</f>
        <v/>
      </c>
      <c r="B6086">
        <f>IF(Calc!$B6086,INDEX(MineNames,Calc!C6086),"")</f>
        <v/>
      </c>
      <c r="C6086" s="17">
        <f>IF(Calc!$B6086,Calc!O6086,"")</f>
        <v/>
      </c>
    </row>
    <row r="6087">
      <c r="A6087" s="16">
        <f>IF(Calc!$B6087,Calc!E6087,"")</f>
        <v/>
      </c>
      <c r="B6087">
        <f>IF(Calc!$B6087,INDEX(MineNames,Calc!C6087),"")</f>
        <v/>
      </c>
      <c r="C6087" s="17">
        <f>IF(Calc!$B6087,Calc!O6087,"")</f>
        <v/>
      </c>
    </row>
    <row r="6088">
      <c r="A6088" s="16">
        <f>IF(Calc!$B6088,Calc!E6088,"")</f>
        <v/>
      </c>
      <c r="B6088">
        <f>IF(Calc!$B6088,INDEX(MineNames,Calc!C6088),"")</f>
        <v/>
      </c>
      <c r="C6088" s="17">
        <f>IF(Calc!$B6088,Calc!O6088,"")</f>
        <v/>
      </c>
    </row>
    <row r="6089">
      <c r="A6089" s="16">
        <f>IF(Calc!$B6089,Calc!E6089,"")</f>
        <v/>
      </c>
      <c r="B6089">
        <f>IF(Calc!$B6089,INDEX(MineNames,Calc!C6089),"")</f>
        <v/>
      </c>
      <c r="C6089" s="17">
        <f>IF(Calc!$B6089,Calc!O6089,"")</f>
        <v/>
      </c>
    </row>
    <row r="6090">
      <c r="A6090" s="16">
        <f>IF(Calc!$B6090,Calc!E6090,"")</f>
        <v/>
      </c>
      <c r="B6090">
        <f>IF(Calc!$B6090,INDEX(MineNames,Calc!C6090),"")</f>
        <v/>
      </c>
      <c r="C6090" s="17">
        <f>IF(Calc!$B6090,Calc!O6090,"")</f>
        <v/>
      </c>
    </row>
    <row r="6091">
      <c r="A6091" s="16">
        <f>IF(Calc!$B6091,Calc!E6091,"")</f>
        <v/>
      </c>
      <c r="B6091">
        <f>IF(Calc!$B6091,INDEX(MineNames,Calc!C6091),"")</f>
        <v/>
      </c>
      <c r="C6091" s="17">
        <f>IF(Calc!$B6091,Calc!O6091,"")</f>
        <v/>
      </c>
    </row>
    <row r="6092">
      <c r="A6092" s="16">
        <f>IF(Calc!$B6092,Calc!E6092,"")</f>
        <v/>
      </c>
      <c r="B6092">
        <f>IF(Calc!$B6092,INDEX(MineNames,Calc!C6092),"")</f>
        <v/>
      </c>
      <c r="C6092" s="17">
        <f>IF(Calc!$B6092,Calc!O6092,"")</f>
        <v/>
      </c>
    </row>
    <row r="6093">
      <c r="A6093" s="16">
        <f>IF(Calc!$B6093,Calc!E6093,"")</f>
        <v/>
      </c>
      <c r="B6093">
        <f>IF(Calc!$B6093,INDEX(MineNames,Calc!C6093),"")</f>
        <v/>
      </c>
      <c r="C6093" s="17">
        <f>IF(Calc!$B6093,Calc!O6093,"")</f>
        <v/>
      </c>
    </row>
    <row r="6094">
      <c r="A6094" s="16">
        <f>IF(Calc!$B6094,Calc!E6094,"")</f>
        <v/>
      </c>
      <c r="B6094">
        <f>IF(Calc!$B6094,INDEX(MineNames,Calc!C6094),"")</f>
        <v/>
      </c>
      <c r="C6094" s="17">
        <f>IF(Calc!$B6094,Calc!O6094,"")</f>
        <v/>
      </c>
    </row>
    <row r="6095">
      <c r="A6095" s="16">
        <f>IF(Calc!$B6095,Calc!E6095,"")</f>
        <v/>
      </c>
      <c r="B6095">
        <f>IF(Calc!$B6095,INDEX(MineNames,Calc!C6095),"")</f>
        <v/>
      </c>
      <c r="C6095" s="17">
        <f>IF(Calc!$B6095,Calc!O6095,"")</f>
        <v/>
      </c>
    </row>
    <row r="6096">
      <c r="A6096" s="16">
        <f>IF(Calc!$B6096,Calc!E6096,"")</f>
        <v/>
      </c>
      <c r="B6096">
        <f>IF(Calc!$B6096,INDEX(MineNames,Calc!C6096),"")</f>
        <v/>
      </c>
      <c r="C6096" s="17">
        <f>IF(Calc!$B6096,Calc!O6096,"")</f>
        <v/>
      </c>
    </row>
    <row r="6097">
      <c r="A6097" s="16">
        <f>IF(Calc!$B6097,Calc!E6097,"")</f>
        <v/>
      </c>
      <c r="B6097">
        <f>IF(Calc!$B6097,INDEX(MineNames,Calc!C6097),"")</f>
        <v/>
      </c>
      <c r="C6097" s="17">
        <f>IF(Calc!$B6097,Calc!O6097,"")</f>
        <v/>
      </c>
    </row>
    <row r="6098">
      <c r="A6098" s="16">
        <f>IF(Calc!$B6098,Calc!E6098,"")</f>
        <v/>
      </c>
      <c r="B6098">
        <f>IF(Calc!$B6098,INDEX(MineNames,Calc!C6098),"")</f>
        <v/>
      </c>
      <c r="C6098" s="17">
        <f>IF(Calc!$B6098,Calc!O6098,"")</f>
        <v/>
      </c>
    </row>
    <row r="6099">
      <c r="A6099" s="16">
        <f>IF(Calc!$B6099,Calc!E6099,"")</f>
        <v/>
      </c>
      <c r="B6099">
        <f>IF(Calc!$B6099,INDEX(MineNames,Calc!C6099),"")</f>
        <v/>
      </c>
      <c r="C6099" s="17">
        <f>IF(Calc!$B6099,Calc!O6099,"")</f>
        <v/>
      </c>
    </row>
    <row r="6100">
      <c r="A6100" s="16">
        <f>IF(Calc!$B6100,Calc!E6100,"")</f>
        <v/>
      </c>
      <c r="B6100">
        <f>IF(Calc!$B6100,INDEX(MineNames,Calc!C6100),"")</f>
        <v/>
      </c>
      <c r="C6100" s="17">
        <f>IF(Calc!$B6100,Calc!O6100,"")</f>
        <v/>
      </c>
    </row>
    <row r="6101">
      <c r="A6101" s="16">
        <f>IF(Calc!$B6101,Calc!E6101,"")</f>
        <v/>
      </c>
      <c r="B6101">
        <f>IF(Calc!$B6101,INDEX(MineNames,Calc!C6101),"")</f>
        <v/>
      </c>
      <c r="C6101" s="17">
        <f>IF(Calc!$B6101,Calc!O6101,"")</f>
        <v/>
      </c>
    </row>
    <row r="6102">
      <c r="A6102" s="16">
        <f>IF(Calc!$B6102,Calc!E6102,"")</f>
        <v/>
      </c>
      <c r="B6102">
        <f>IF(Calc!$B6102,INDEX(MineNames,Calc!C6102),"")</f>
        <v/>
      </c>
      <c r="C6102" s="17">
        <f>IF(Calc!$B6102,Calc!O6102,"")</f>
        <v/>
      </c>
    </row>
    <row r="6103">
      <c r="A6103" s="16">
        <f>IF(Calc!$B6103,Calc!E6103,"")</f>
        <v/>
      </c>
      <c r="B6103">
        <f>IF(Calc!$B6103,INDEX(MineNames,Calc!C6103),"")</f>
        <v/>
      </c>
      <c r="C6103" s="17">
        <f>IF(Calc!$B6103,Calc!O6103,"")</f>
        <v/>
      </c>
    </row>
    <row r="6104">
      <c r="A6104" s="16">
        <f>IF(Calc!$B6104,Calc!E6104,"")</f>
        <v/>
      </c>
      <c r="B6104">
        <f>IF(Calc!$B6104,INDEX(MineNames,Calc!C6104),"")</f>
        <v/>
      </c>
      <c r="C6104" s="17">
        <f>IF(Calc!$B6104,Calc!O6104,"")</f>
        <v/>
      </c>
    </row>
    <row r="6105">
      <c r="A6105" s="16">
        <f>IF(Calc!$B6105,Calc!E6105,"")</f>
        <v/>
      </c>
      <c r="B6105">
        <f>IF(Calc!$B6105,INDEX(MineNames,Calc!C6105),"")</f>
        <v/>
      </c>
      <c r="C6105" s="17">
        <f>IF(Calc!$B6105,Calc!O6105,"")</f>
        <v/>
      </c>
    </row>
    <row r="6106">
      <c r="A6106" s="16">
        <f>IF(Calc!$B6106,Calc!E6106,"")</f>
        <v/>
      </c>
      <c r="B6106">
        <f>IF(Calc!$B6106,INDEX(MineNames,Calc!C6106),"")</f>
        <v/>
      </c>
      <c r="C6106" s="17">
        <f>IF(Calc!$B6106,Calc!O6106,"")</f>
        <v/>
      </c>
    </row>
    <row r="6107">
      <c r="A6107" s="16">
        <f>IF(Calc!$B6107,Calc!E6107,"")</f>
        <v/>
      </c>
      <c r="B6107">
        <f>IF(Calc!$B6107,INDEX(MineNames,Calc!C6107),"")</f>
        <v/>
      </c>
      <c r="C6107" s="17">
        <f>IF(Calc!$B6107,Calc!O6107,"")</f>
        <v/>
      </c>
    </row>
    <row r="6108">
      <c r="A6108" s="16">
        <f>IF(Calc!$B6108,Calc!E6108,"")</f>
        <v/>
      </c>
      <c r="B6108">
        <f>IF(Calc!$B6108,INDEX(MineNames,Calc!C6108),"")</f>
        <v/>
      </c>
      <c r="C6108" s="17">
        <f>IF(Calc!$B6108,Calc!O6108,"")</f>
        <v/>
      </c>
    </row>
    <row r="6109">
      <c r="A6109" s="16">
        <f>IF(Calc!$B6109,Calc!E6109,"")</f>
        <v/>
      </c>
      <c r="B6109">
        <f>IF(Calc!$B6109,INDEX(MineNames,Calc!C6109),"")</f>
        <v/>
      </c>
      <c r="C6109" s="17">
        <f>IF(Calc!$B6109,Calc!O6109,"")</f>
        <v/>
      </c>
    </row>
    <row r="6110">
      <c r="A6110" s="16">
        <f>IF(Calc!$B6110,Calc!E6110,"")</f>
        <v/>
      </c>
      <c r="B6110">
        <f>IF(Calc!$B6110,INDEX(MineNames,Calc!C6110),"")</f>
        <v/>
      </c>
      <c r="C6110" s="17">
        <f>IF(Calc!$B6110,Calc!O6110,"")</f>
        <v/>
      </c>
    </row>
    <row r="6111">
      <c r="A6111" s="16">
        <f>IF(Calc!$B6111,Calc!E6111,"")</f>
        <v/>
      </c>
      <c r="B6111">
        <f>IF(Calc!$B6111,INDEX(MineNames,Calc!C6111),"")</f>
        <v/>
      </c>
      <c r="C6111" s="17">
        <f>IF(Calc!$B6111,Calc!O6111,"")</f>
        <v/>
      </c>
    </row>
    <row r="6112">
      <c r="A6112" s="16">
        <f>IF(Calc!$B6112,Calc!E6112,"")</f>
        <v/>
      </c>
      <c r="B6112">
        <f>IF(Calc!$B6112,INDEX(MineNames,Calc!C6112),"")</f>
        <v/>
      </c>
      <c r="C6112" s="17">
        <f>IF(Calc!$B6112,Calc!O6112,"")</f>
        <v/>
      </c>
    </row>
    <row r="6113">
      <c r="A6113" s="16">
        <f>IF(Calc!$B6113,Calc!E6113,"")</f>
        <v/>
      </c>
      <c r="B6113">
        <f>IF(Calc!$B6113,INDEX(MineNames,Calc!C6113),"")</f>
        <v/>
      </c>
      <c r="C6113" s="17">
        <f>IF(Calc!$B6113,Calc!O6113,"")</f>
        <v/>
      </c>
    </row>
    <row r="6114">
      <c r="A6114" s="16">
        <f>IF(Calc!$B6114,Calc!E6114,"")</f>
        <v/>
      </c>
      <c r="B6114">
        <f>IF(Calc!$B6114,INDEX(MineNames,Calc!C6114),"")</f>
        <v/>
      </c>
      <c r="C6114" s="17">
        <f>IF(Calc!$B6114,Calc!O6114,"")</f>
        <v/>
      </c>
    </row>
    <row r="6115">
      <c r="A6115" s="16">
        <f>IF(Calc!$B6115,Calc!E6115,"")</f>
        <v/>
      </c>
      <c r="B6115">
        <f>IF(Calc!$B6115,INDEX(MineNames,Calc!C6115),"")</f>
        <v/>
      </c>
      <c r="C6115" s="17">
        <f>IF(Calc!$B6115,Calc!O6115,"")</f>
        <v/>
      </c>
    </row>
    <row r="6116">
      <c r="A6116" s="16">
        <f>IF(Calc!$B6116,Calc!E6116,"")</f>
        <v/>
      </c>
      <c r="B6116">
        <f>IF(Calc!$B6116,INDEX(MineNames,Calc!C6116),"")</f>
        <v/>
      </c>
      <c r="C6116" s="17">
        <f>IF(Calc!$B6116,Calc!O6116,"")</f>
        <v/>
      </c>
    </row>
    <row r="6117">
      <c r="A6117" s="16">
        <f>IF(Calc!$B6117,Calc!E6117,"")</f>
        <v/>
      </c>
      <c r="B6117">
        <f>IF(Calc!$B6117,INDEX(MineNames,Calc!C6117),"")</f>
        <v/>
      </c>
      <c r="C6117" s="17">
        <f>IF(Calc!$B6117,Calc!O6117,"")</f>
        <v/>
      </c>
    </row>
    <row r="6118">
      <c r="A6118" s="16">
        <f>IF(Calc!$B6118,Calc!E6118,"")</f>
        <v/>
      </c>
      <c r="B6118">
        <f>IF(Calc!$B6118,INDEX(MineNames,Calc!C6118),"")</f>
        <v/>
      </c>
      <c r="C6118" s="17">
        <f>IF(Calc!$B6118,Calc!O6118,"")</f>
        <v/>
      </c>
    </row>
    <row r="6119">
      <c r="A6119" s="16">
        <f>IF(Calc!$B6119,Calc!E6119,"")</f>
        <v/>
      </c>
      <c r="B6119">
        <f>IF(Calc!$B6119,INDEX(MineNames,Calc!C6119),"")</f>
        <v/>
      </c>
      <c r="C6119" s="17">
        <f>IF(Calc!$B6119,Calc!O6119,"")</f>
        <v/>
      </c>
    </row>
    <row r="6120">
      <c r="A6120" s="16">
        <f>IF(Calc!$B6120,Calc!E6120,"")</f>
        <v/>
      </c>
      <c r="B6120">
        <f>IF(Calc!$B6120,INDEX(MineNames,Calc!C6120),"")</f>
        <v/>
      </c>
      <c r="C6120" s="17">
        <f>IF(Calc!$B6120,Calc!O6120,"")</f>
        <v/>
      </c>
    </row>
    <row r="6121">
      <c r="A6121" s="16">
        <f>IF(Calc!$B6121,Calc!E6121,"")</f>
        <v/>
      </c>
      <c r="B6121">
        <f>IF(Calc!$B6121,INDEX(MineNames,Calc!C6121),"")</f>
        <v/>
      </c>
      <c r="C6121" s="17">
        <f>IF(Calc!$B6121,Calc!O6121,"")</f>
        <v/>
      </c>
    </row>
    <row r="6122">
      <c r="A6122" s="16">
        <f>IF(Calc!$B6122,Calc!E6122,"")</f>
        <v/>
      </c>
      <c r="B6122">
        <f>IF(Calc!$B6122,INDEX(MineNames,Calc!C6122),"")</f>
        <v/>
      </c>
      <c r="C6122" s="17">
        <f>IF(Calc!$B6122,Calc!O6122,"")</f>
        <v/>
      </c>
    </row>
    <row r="6123">
      <c r="A6123" s="16">
        <f>IF(Calc!$B6123,Calc!E6123,"")</f>
        <v/>
      </c>
      <c r="B6123">
        <f>IF(Calc!$B6123,INDEX(MineNames,Calc!C6123),"")</f>
        <v/>
      </c>
      <c r="C6123" s="17">
        <f>IF(Calc!$B6123,Calc!O6123,"")</f>
        <v/>
      </c>
    </row>
    <row r="6124">
      <c r="A6124" s="16">
        <f>IF(Calc!$B6124,Calc!E6124,"")</f>
        <v/>
      </c>
      <c r="B6124">
        <f>IF(Calc!$B6124,INDEX(MineNames,Calc!C6124),"")</f>
        <v/>
      </c>
      <c r="C6124" s="17">
        <f>IF(Calc!$B6124,Calc!O6124,"")</f>
        <v/>
      </c>
    </row>
    <row r="6125">
      <c r="A6125" s="16">
        <f>IF(Calc!$B6125,Calc!E6125,"")</f>
        <v/>
      </c>
      <c r="B6125">
        <f>IF(Calc!$B6125,INDEX(MineNames,Calc!C6125),"")</f>
        <v/>
      </c>
      <c r="C6125" s="17">
        <f>IF(Calc!$B6125,Calc!O6125,"")</f>
        <v/>
      </c>
    </row>
    <row r="6126">
      <c r="A6126" s="16">
        <f>IF(Calc!$B6126,Calc!E6126,"")</f>
        <v/>
      </c>
      <c r="B6126">
        <f>IF(Calc!$B6126,INDEX(MineNames,Calc!C6126),"")</f>
        <v/>
      </c>
      <c r="C6126" s="17">
        <f>IF(Calc!$B6126,Calc!O6126,"")</f>
        <v/>
      </c>
    </row>
    <row r="6127">
      <c r="A6127" s="16">
        <f>IF(Calc!$B6127,Calc!E6127,"")</f>
        <v/>
      </c>
      <c r="B6127">
        <f>IF(Calc!$B6127,INDEX(MineNames,Calc!C6127),"")</f>
        <v/>
      </c>
      <c r="C6127" s="17">
        <f>IF(Calc!$B6127,Calc!O6127,"")</f>
        <v/>
      </c>
    </row>
    <row r="6128">
      <c r="A6128" s="16">
        <f>IF(Calc!$B6128,Calc!E6128,"")</f>
        <v/>
      </c>
      <c r="B6128">
        <f>IF(Calc!$B6128,INDEX(MineNames,Calc!C6128),"")</f>
        <v/>
      </c>
      <c r="C6128" s="17">
        <f>IF(Calc!$B6128,Calc!O6128,"")</f>
        <v/>
      </c>
    </row>
    <row r="6129">
      <c r="A6129" s="16">
        <f>IF(Calc!$B6129,Calc!E6129,"")</f>
        <v/>
      </c>
      <c r="B6129">
        <f>IF(Calc!$B6129,INDEX(MineNames,Calc!C6129),"")</f>
        <v/>
      </c>
      <c r="C6129" s="17">
        <f>IF(Calc!$B6129,Calc!O6129,"")</f>
        <v/>
      </c>
    </row>
    <row r="6130">
      <c r="A6130" s="16">
        <f>IF(Calc!$B6130,Calc!E6130,"")</f>
        <v/>
      </c>
      <c r="B6130">
        <f>IF(Calc!$B6130,INDEX(MineNames,Calc!C6130),"")</f>
        <v/>
      </c>
      <c r="C6130" s="17">
        <f>IF(Calc!$B6130,Calc!O6130,"")</f>
        <v/>
      </c>
    </row>
    <row r="6131">
      <c r="A6131" s="16">
        <f>IF(Calc!$B6131,Calc!E6131,"")</f>
        <v/>
      </c>
      <c r="B6131">
        <f>IF(Calc!$B6131,INDEX(MineNames,Calc!C6131),"")</f>
        <v/>
      </c>
      <c r="C6131" s="17">
        <f>IF(Calc!$B6131,Calc!O6131,"")</f>
        <v/>
      </c>
    </row>
    <row r="6132">
      <c r="A6132" s="16">
        <f>IF(Calc!$B6132,Calc!E6132,"")</f>
        <v/>
      </c>
      <c r="B6132">
        <f>IF(Calc!$B6132,INDEX(MineNames,Calc!C6132),"")</f>
        <v/>
      </c>
      <c r="C6132" s="17">
        <f>IF(Calc!$B6132,Calc!O6132,"")</f>
        <v/>
      </c>
    </row>
    <row r="6133">
      <c r="A6133" s="16">
        <f>IF(Calc!$B6133,Calc!E6133,"")</f>
        <v/>
      </c>
      <c r="B6133">
        <f>IF(Calc!$B6133,INDEX(MineNames,Calc!C6133),"")</f>
        <v/>
      </c>
      <c r="C6133" s="17">
        <f>IF(Calc!$B6133,Calc!O6133,"")</f>
        <v/>
      </c>
    </row>
    <row r="6134">
      <c r="A6134" s="16">
        <f>IF(Calc!$B6134,Calc!E6134,"")</f>
        <v/>
      </c>
      <c r="B6134">
        <f>IF(Calc!$B6134,INDEX(MineNames,Calc!C6134),"")</f>
        <v/>
      </c>
      <c r="C6134" s="17">
        <f>IF(Calc!$B6134,Calc!O6134,"")</f>
        <v/>
      </c>
    </row>
    <row r="6135">
      <c r="A6135" s="16">
        <f>IF(Calc!$B6135,Calc!E6135,"")</f>
        <v/>
      </c>
      <c r="B6135">
        <f>IF(Calc!$B6135,INDEX(MineNames,Calc!C6135),"")</f>
        <v/>
      </c>
      <c r="C6135" s="17">
        <f>IF(Calc!$B6135,Calc!O6135,"")</f>
        <v/>
      </c>
    </row>
    <row r="6136">
      <c r="A6136" s="16">
        <f>IF(Calc!$B6136,Calc!E6136,"")</f>
        <v/>
      </c>
      <c r="B6136">
        <f>IF(Calc!$B6136,INDEX(MineNames,Calc!C6136),"")</f>
        <v/>
      </c>
      <c r="C6136" s="17">
        <f>IF(Calc!$B6136,Calc!O6136,"")</f>
        <v/>
      </c>
    </row>
    <row r="6137">
      <c r="A6137" s="16">
        <f>IF(Calc!$B6137,Calc!E6137,"")</f>
        <v/>
      </c>
      <c r="B6137">
        <f>IF(Calc!$B6137,INDEX(MineNames,Calc!C6137),"")</f>
        <v/>
      </c>
      <c r="C6137" s="17">
        <f>IF(Calc!$B6137,Calc!O6137,"")</f>
        <v/>
      </c>
    </row>
    <row r="6138">
      <c r="A6138" s="16">
        <f>IF(Calc!$B6138,Calc!E6138,"")</f>
        <v/>
      </c>
      <c r="B6138">
        <f>IF(Calc!$B6138,INDEX(MineNames,Calc!C6138),"")</f>
        <v/>
      </c>
      <c r="C6138" s="17">
        <f>IF(Calc!$B6138,Calc!O6138,"")</f>
        <v/>
      </c>
    </row>
    <row r="6139">
      <c r="A6139" s="16">
        <f>IF(Calc!$B6139,Calc!E6139,"")</f>
        <v/>
      </c>
      <c r="B6139">
        <f>IF(Calc!$B6139,INDEX(MineNames,Calc!C6139),"")</f>
        <v/>
      </c>
      <c r="C6139" s="17">
        <f>IF(Calc!$B6139,Calc!O6139,"")</f>
        <v/>
      </c>
    </row>
    <row r="6140">
      <c r="A6140" s="16">
        <f>IF(Calc!$B6140,Calc!E6140,"")</f>
        <v/>
      </c>
      <c r="B6140">
        <f>IF(Calc!$B6140,INDEX(MineNames,Calc!C6140),"")</f>
        <v/>
      </c>
      <c r="C6140" s="17">
        <f>IF(Calc!$B6140,Calc!O6140,"")</f>
        <v/>
      </c>
    </row>
    <row r="6141">
      <c r="A6141" s="16">
        <f>IF(Calc!$B6141,Calc!E6141,"")</f>
        <v/>
      </c>
      <c r="B6141">
        <f>IF(Calc!$B6141,INDEX(MineNames,Calc!C6141),"")</f>
        <v/>
      </c>
      <c r="C6141" s="17">
        <f>IF(Calc!$B6141,Calc!O6141,"")</f>
        <v/>
      </c>
    </row>
    <row r="6142">
      <c r="A6142" s="16">
        <f>IF(Calc!$B6142,Calc!E6142,"")</f>
        <v/>
      </c>
      <c r="B6142">
        <f>IF(Calc!$B6142,INDEX(MineNames,Calc!C6142),"")</f>
        <v/>
      </c>
      <c r="C6142" s="17">
        <f>IF(Calc!$B6142,Calc!O6142,"")</f>
        <v/>
      </c>
    </row>
    <row r="6143">
      <c r="A6143" s="16">
        <f>IF(Calc!$B6143,Calc!E6143,"")</f>
        <v/>
      </c>
      <c r="B6143">
        <f>IF(Calc!$B6143,INDEX(MineNames,Calc!C6143),"")</f>
        <v/>
      </c>
      <c r="C6143" s="17">
        <f>IF(Calc!$B6143,Calc!O6143,"")</f>
        <v/>
      </c>
    </row>
    <row r="6144">
      <c r="A6144" s="16">
        <f>IF(Calc!$B6144,Calc!E6144,"")</f>
        <v/>
      </c>
      <c r="B6144">
        <f>IF(Calc!$B6144,INDEX(MineNames,Calc!C6144),"")</f>
        <v/>
      </c>
      <c r="C6144" s="17">
        <f>IF(Calc!$B6144,Calc!O6144,"")</f>
        <v/>
      </c>
    </row>
    <row r="6145">
      <c r="A6145" s="16">
        <f>IF(Calc!$B6145,Calc!E6145,"")</f>
        <v/>
      </c>
      <c r="B6145">
        <f>IF(Calc!$B6145,INDEX(MineNames,Calc!C6145),"")</f>
        <v/>
      </c>
      <c r="C6145" s="17">
        <f>IF(Calc!$B6145,Calc!O6145,"")</f>
        <v/>
      </c>
    </row>
    <row r="6146">
      <c r="A6146" s="16">
        <f>IF(Calc!$B6146,Calc!E6146,"")</f>
        <v/>
      </c>
      <c r="B6146">
        <f>IF(Calc!$B6146,INDEX(MineNames,Calc!C6146),"")</f>
        <v/>
      </c>
      <c r="C6146" s="17">
        <f>IF(Calc!$B6146,Calc!O6146,"")</f>
        <v/>
      </c>
    </row>
    <row r="6147">
      <c r="A6147" s="16">
        <f>IF(Calc!$B6147,Calc!E6147,"")</f>
        <v/>
      </c>
      <c r="B6147">
        <f>IF(Calc!$B6147,INDEX(MineNames,Calc!C6147),"")</f>
        <v/>
      </c>
      <c r="C6147" s="17">
        <f>IF(Calc!$B6147,Calc!O6147,"")</f>
        <v/>
      </c>
    </row>
    <row r="6148">
      <c r="A6148" s="16">
        <f>IF(Calc!$B6148,Calc!E6148,"")</f>
        <v/>
      </c>
      <c r="B6148">
        <f>IF(Calc!$B6148,INDEX(MineNames,Calc!C6148),"")</f>
        <v/>
      </c>
      <c r="C6148" s="17">
        <f>IF(Calc!$B6148,Calc!O6148,"")</f>
        <v/>
      </c>
    </row>
    <row r="6149">
      <c r="A6149" s="16">
        <f>IF(Calc!$B6149,Calc!E6149,"")</f>
        <v/>
      </c>
      <c r="B6149">
        <f>IF(Calc!$B6149,INDEX(MineNames,Calc!C6149),"")</f>
        <v/>
      </c>
      <c r="C6149" s="17">
        <f>IF(Calc!$B6149,Calc!O6149,"")</f>
        <v/>
      </c>
    </row>
    <row r="6150">
      <c r="A6150" s="16">
        <f>IF(Calc!$B6150,Calc!E6150,"")</f>
        <v/>
      </c>
      <c r="B6150">
        <f>IF(Calc!$B6150,INDEX(MineNames,Calc!C6150),"")</f>
        <v/>
      </c>
      <c r="C6150" s="17">
        <f>IF(Calc!$B6150,Calc!O6150,"")</f>
        <v/>
      </c>
    </row>
    <row r="6151">
      <c r="A6151" s="16">
        <f>IF(Calc!$B6151,Calc!E6151,"")</f>
        <v/>
      </c>
      <c r="B6151">
        <f>IF(Calc!$B6151,INDEX(MineNames,Calc!C6151),"")</f>
        <v/>
      </c>
      <c r="C6151" s="17">
        <f>IF(Calc!$B6151,Calc!O6151,"")</f>
        <v/>
      </c>
    </row>
    <row r="6152">
      <c r="A6152" s="16">
        <f>IF(Calc!$B6152,Calc!E6152,"")</f>
        <v/>
      </c>
      <c r="B6152">
        <f>IF(Calc!$B6152,INDEX(MineNames,Calc!C6152),"")</f>
        <v/>
      </c>
      <c r="C6152" s="17">
        <f>IF(Calc!$B6152,Calc!O6152,"")</f>
        <v/>
      </c>
    </row>
    <row r="6153">
      <c r="A6153" s="16">
        <f>IF(Calc!$B6153,Calc!E6153,"")</f>
        <v/>
      </c>
      <c r="B6153">
        <f>IF(Calc!$B6153,INDEX(MineNames,Calc!C6153),"")</f>
        <v/>
      </c>
      <c r="C6153" s="17">
        <f>IF(Calc!$B6153,Calc!O6153,"")</f>
        <v/>
      </c>
    </row>
    <row r="6154">
      <c r="A6154" s="16">
        <f>IF(Calc!$B6154,Calc!E6154,"")</f>
        <v/>
      </c>
      <c r="B6154">
        <f>IF(Calc!$B6154,INDEX(MineNames,Calc!C6154),"")</f>
        <v/>
      </c>
      <c r="C6154" s="17">
        <f>IF(Calc!$B6154,Calc!O6154,"")</f>
        <v/>
      </c>
    </row>
    <row r="6155">
      <c r="A6155" s="16">
        <f>IF(Calc!$B6155,Calc!E6155,"")</f>
        <v/>
      </c>
      <c r="B6155">
        <f>IF(Calc!$B6155,INDEX(MineNames,Calc!C6155),"")</f>
        <v/>
      </c>
      <c r="C6155" s="17">
        <f>IF(Calc!$B6155,Calc!O6155,"")</f>
        <v/>
      </c>
    </row>
    <row r="6156">
      <c r="A6156" s="16">
        <f>IF(Calc!$B6156,Calc!E6156,"")</f>
        <v/>
      </c>
      <c r="B6156">
        <f>IF(Calc!$B6156,INDEX(MineNames,Calc!C6156),"")</f>
        <v/>
      </c>
      <c r="C6156" s="17">
        <f>IF(Calc!$B6156,Calc!O6156,"")</f>
        <v/>
      </c>
    </row>
    <row r="6157">
      <c r="A6157" s="16">
        <f>IF(Calc!$B6157,Calc!E6157,"")</f>
        <v/>
      </c>
      <c r="B6157">
        <f>IF(Calc!$B6157,INDEX(MineNames,Calc!C6157),"")</f>
        <v/>
      </c>
      <c r="C6157" s="17">
        <f>IF(Calc!$B6157,Calc!O6157,"")</f>
        <v/>
      </c>
    </row>
    <row r="6158">
      <c r="A6158" s="16">
        <f>IF(Calc!$B6158,Calc!E6158,"")</f>
        <v/>
      </c>
      <c r="B6158">
        <f>IF(Calc!$B6158,INDEX(MineNames,Calc!C6158),"")</f>
        <v/>
      </c>
      <c r="C6158" s="17">
        <f>IF(Calc!$B6158,Calc!O6158,"")</f>
        <v/>
      </c>
    </row>
    <row r="6159">
      <c r="A6159" s="16">
        <f>IF(Calc!$B6159,Calc!E6159,"")</f>
        <v/>
      </c>
      <c r="B6159">
        <f>IF(Calc!$B6159,INDEX(MineNames,Calc!C6159),"")</f>
        <v/>
      </c>
      <c r="C6159" s="17">
        <f>IF(Calc!$B6159,Calc!O6159,"")</f>
        <v/>
      </c>
    </row>
    <row r="6160">
      <c r="A6160" s="16">
        <f>IF(Calc!$B6160,Calc!E6160,"")</f>
        <v/>
      </c>
      <c r="B6160">
        <f>IF(Calc!$B6160,INDEX(MineNames,Calc!C6160),"")</f>
        <v/>
      </c>
      <c r="C6160" s="17">
        <f>IF(Calc!$B6160,Calc!O6160,"")</f>
        <v/>
      </c>
    </row>
    <row r="6161">
      <c r="A6161" s="16">
        <f>IF(Calc!$B6161,Calc!E6161,"")</f>
        <v/>
      </c>
      <c r="B6161">
        <f>IF(Calc!$B6161,INDEX(MineNames,Calc!C6161),"")</f>
        <v/>
      </c>
      <c r="C6161" s="17">
        <f>IF(Calc!$B6161,Calc!O6161,"")</f>
        <v/>
      </c>
    </row>
    <row r="6162">
      <c r="A6162" s="16">
        <f>IF(Calc!$B6162,Calc!E6162,"")</f>
        <v/>
      </c>
      <c r="B6162">
        <f>IF(Calc!$B6162,INDEX(MineNames,Calc!C6162),"")</f>
        <v/>
      </c>
      <c r="C6162" s="17">
        <f>IF(Calc!$B6162,Calc!O6162,"")</f>
        <v/>
      </c>
    </row>
    <row r="6163">
      <c r="A6163" s="16">
        <f>IF(Calc!$B6163,Calc!E6163,"")</f>
        <v/>
      </c>
      <c r="B6163">
        <f>IF(Calc!$B6163,INDEX(MineNames,Calc!C6163),"")</f>
        <v/>
      </c>
      <c r="C6163" s="17">
        <f>IF(Calc!$B6163,Calc!O6163,"")</f>
        <v/>
      </c>
    </row>
    <row r="6164">
      <c r="A6164" s="16">
        <f>IF(Calc!$B6164,Calc!E6164,"")</f>
        <v/>
      </c>
      <c r="B6164">
        <f>IF(Calc!$B6164,INDEX(MineNames,Calc!C6164),"")</f>
        <v/>
      </c>
      <c r="C6164" s="17">
        <f>IF(Calc!$B6164,Calc!O6164,"")</f>
        <v/>
      </c>
    </row>
    <row r="6165">
      <c r="A6165" s="16">
        <f>IF(Calc!$B6165,Calc!E6165,"")</f>
        <v/>
      </c>
      <c r="B6165">
        <f>IF(Calc!$B6165,INDEX(MineNames,Calc!C6165),"")</f>
        <v/>
      </c>
      <c r="C6165" s="17">
        <f>IF(Calc!$B6165,Calc!O6165,"")</f>
        <v/>
      </c>
    </row>
    <row r="6166">
      <c r="A6166" s="16">
        <f>IF(Calc!$B6166,Calc!E6166,"")</f>
        <v/>
      </c>
      <c r="B6166">
        <f>IF(Calc!$B6166,INDEX(MineNames,Calc!C6166),"")</f>
        <v/>
      </c>
      <c r="C6166" s="17">
        <f>IF(Calc!$B6166,Calc!O6166,"")</f>
        <v/>
      </c>
    </row>
    <row r="6167">
      <c r="A6167" s="16">
        <f>IF(Calc!$B6167,Calc!E6167,"")</f>
        <v/>
      </c>
      <c r="B6167">
        <f>IF(Calc!$B6167,INDEX(MineNames,Calc!C6167),"")</f>
        <v/>
      </c>
      <c r="C6167" s="17">
        <f>IF(Calc!$B6167,Calc!O6167,"")</f>
        <v/>
      </c>
    </row>
    <row r="6168">
      <c r="A6168" s="16">
        <f>IF(Calc!$B6168,Calc!E6168,"")</f>
        <v/>
      </c>
      <c r="B6168">
        <f>IF(Calc!$B6168,INDEX(MineNames,Calc!C6168),"")</f>
        <v/>
      </c>
      <c r="C6168" s="17">
        <f>IF(Calc!$B6168,Calc!O6168,"")</f>
        <v/>
      </c>
    </row>
    <row r="6169">
      <c r="A6169" s="16">
        <f>IF(Calc!$B6169,Calc!E6169,"")</f>
        <v/>
      </c>
      <c r="B6169">
        <f>IF(Calc!$B6169,INDEX(MineNames,Calc!C6169),"")</f>
        <v/>
      </c>
      <c r="C6169" s="17">
        <f>IF(Calc!$B6169,Calc!O6169,"")</f>
        <v/>
      </c>
    </row>
    <row r="6170">
      <c r="A6170" s="16">
        <f>IF(Calc!$B6170,Calc!E6170,"")</f>
        <v/>
      </c>
      <c r="B6170">
        <f>IF(Calc!$B6170,INDEX(MineNames,Calc!C6170),"")</f>
        <v/>
      </c>
      <c r="C6170" s="17">
        <f>IF(Calc!$B6170,Calc!O6170,"")</f>
        <v/>
      </c>
    </row>
    <row r="6171">
      <c r="A6171" s="16">
        <f>IF(Calc!$B6171,Calc!E6171,"")</f>
        <v/>
      </c>
      <c r="B6171">
        <f>IF(Calc!$B6171,INDEX(MineNames,Calc!C6171),"")</f>
        <v/>
      </c>
      <c r="C6171" s="17">
        <f>IF(Calc!$B6171,Calc!O6171,"")</f>
        <v/>
      </c>
    </row>
    <row r="6172">
      <c r="A6172" s="16">
        <f>IF(Calc!$B6172,Calc!E6172,"")</f>
        <v/>
      </c>
      <c r="B6172">
        <f>IF(Calc!$B6172,INDEX(MineNames,Calc!C6172),"")</f>
        <v/>
      </c>
      <c r="C6172" s="17">
        <f>IF(Calc!$B6172,Calc!O6172,"")</f>
        <v/>
      </c>
    </row>
    <row r="6173">
      <c r="A6173" s="16">
        <f>IF(Calc!$B6173,Calc!E6173,"")</f>
        <v/>
      </c>
      <c r="B6173">
        <f>IF(Calc!$B6173,INDEX(MineNames,Calc!C6173),"")</f>
        <v/>
      </c>
      <c r="C6173" s="17">
        <f>IF(Calc!$B6173,Calc!O6173,"")</f>
        <v/>
      </c>
    </row>
    <row r="6174">
      <c r="A6174" s="16">
        <f>IF(Calc!$B6174,Calc!E6174,"")</f>
        <v/>
      </c>
      <c r="B6174">
        <f>IF(Calc!$B6174,INDEX(MineNames,Calc!C6174),"")</f>
        <v/>
      </c>
      <c r="C6174" s="17">
        <f>IF(Calc!$B6174,Calc!O6174,"")</f>
        <v/>
      </c>
    </row>
    <row r="6175">
      <c r="A6175" s="16">
        <f>IF(Calc!$B6175,Calc!E6175,"")</f>
        <v/>
      </c>
      <c r="B6175">
        <f>IF(Calc!$B6175,INDEX(MineNames,Calc!C6175),"")</f>
        <v/>
      </c>
      <c r="C6175" s="17">
        <f>IF(Calc!$B6175,Calc!O6175,"")</f>
        <v/>
      </c>
    </row>
    <row r="6176">
      <c r="A6176" s="16">
        <f>IF(Calc!$B6176,Calc!E6176,"")</f>
        <v/>
      </c>
      <c r="B6176">
        <f>IF(Calc!$B6176,INDEX(MineNames,Calc!C6176),"")</f>
        <v/>
      </c>
      <c r="C6176" s="17">
        <f>IF(Calc!$B6176,Calc!O6176,"")</f>
        <v/>
      </c>
    </row>
    <row r="6177">
      <c r="A6177" s="16">
        <f>IF(Calc!$B6177,Calc!E6177,"")</f>
        <v/>
      </c>
      <c r="B6177">
        <f>IF(Calc!$B6177,INDEX(MineNames,Calc!C6177),"")</f>
        <v/>
      </c>
      <c r="C6177" s="17">
        <f>IF(Calc!$B6177,Calc!O6177,"")</f>
        <v/>
      </c>
    </row>
    <row r="6178">
      <c r="A6178" s="16">
        <f>IF(Calc!$B6178,Calc!E6178,"")</f>
        <v/>
      </c>
      <c r="B6178">
        <f>IF(Calc!$B6178,INDEX(MineNames,Calc!C6178),"")</f>
        <v/>
      </c>
      <c r="C6178" s="17">
        <f>IF(Calc!$B6178,Calc!O6178,"")</f>
        <v/>
      </c>
    </row>
    <row r="6179">
      <c r="A6179" s="16">
        <f>IF(Calc!$B6179,Calc!E6179,"")</f>
        <v/>
      </c>
      <c r="B6179">
        <f>IF(Calc!$B6179,INDEX(MineNames,Calc!C6179),"")</f>
        <v/>
      </c>
      <c r="C6179" s="17">
        <f>IF(Calc!$B6179,Calc!O6179,"")</f>
        <v/>
      </c>
    </row>
    <row r="6180">
      <c r="A6180" s="16">
        <f>IF(Calc!$B6180,Calc!E6180,"")</f>
        <v/>
      </c>
      <c r="B6180">
        <f>IF(Calc!$B6180,INDEX(MineNames,Calc!C6180),"")</f>
        <v/>
      </c>
      <c r="C6180" s="17">
        <f>IF(Calc!$B6180,Calc!O6180,"")</f>
        <v/>
      </c>
    </row>
    <row r="6181">
      <c r="A6181" s="16">
        <f>IF(Calc!$B6181,Calc!E6181,"")</f>
        <v/>
      </c>
      <c r="B6181">
        <f>IF(Calc!$B6181,INDEX(MineNames,Calc!C6181),"")</f>
        <v/>
      </c>
      <c r="C6181" s="17">
        <f>IF(Calc!$B6181,Calc!O6181,"")</f>
        <v/>
      </c>
    </row>
    <row r="6182">
      <c r="A6182" s="16">
        <f>IF(Calc!$B6182,Calc!E6182,"")</f>
        <v/>
      </c>
      <c r="B6182">
        <f>IF(Calc!$B6182,INDEX(MineNames,Calc!C6182),"")</f>
        <v/>
      </c>
      <c r="C6182" s="17">
        <f>IF(Calc!$B6182,Calc!O6182,"")</f>
        <v/>
      </c>
    </row>
    <row r="6183">
      <c r="A6183" s="16">
        <f>IF(Calc!$B6183,Calc!E6183,"")</f>
        <v/>
      </c>
      <c r="B6183">
        <f>IF(Calc!$B6183,INDEX(MineNames,Calc!C6183),"")</f>
        <v/>
      </c>
      <c r="C6183" s="17">
        <f>IF(Calc!$B6183,Calc!O6183,"")</f>
        <v/>
      </c>
    </row>
    <row r="6184">
      <c r="A6184" s="16">
        <f>IF(Calc!$B6184,Calc!E6184,"")</f>
        <v/>
      </c>
      <c r="B6184">
        <f>IF(Calc!$B6184,INDEX(MineNames,Calc!C6184),"")</f>
        <v/>
      </c>
      <c r="C6184" s="17">
        <f>IF(Calc!$B6184,Calc!O6184,"")</f>
        <v/>
      </c>
    </row>
    <row r="6185">
      <c r="A6185" s="16">
        <f>IF(Calc!$B6185,Calc!E6185,"")</f>
        <v/>
      </c>
      <c r="B6185">
        <f>IF(Calc!$B6185,INDEX(MineNames,Calc!C6185),"")</f>
        <v/>
      </c>
      <c r="C6185" s="17">
        <f>IF(Calc!$B6185,Calc!O6185,"")</f>
        <v/>
      </c>
    </row>
    <row r="6186">
      <c r="A6186" s="16">
        <f>IF(Calc!$B6186,Calc!E6186,"")</f>
        <v/>
      </c>
      <c r="B6186">
        <f>IF(Calc!$B6186,INDEX(MineNames,Calc!C6186),"")</f>
        <v/>
      </c>
      <c r="C6186" s="17">
        <f>IF(Calc!$B6186,Calc!O6186,"")</f>
        <v/>
      </c>
    </row>
    <row r="6187">
      <c r="A6187" s="16">
        <f>IF(Calc!$B6187,Calc!E6187,"")</f>
        <v/>
      </c>
      <c r="B6187">
        <f>IF(Calc!$B6187,INDEX(MineNames,Calc!C6187),"")</f>
        <v/>
      </c>
      <c r="C6187" s="17">
        <f>IF(Calc!$B6187,Calc!O6187,"")</f>
        <v/>
      </c>
    </row>
    <row r="6188">
      <c r="A6188" s="16">
        <f>IF(Calc!$B6188,Calc!E6188,"")</f>
        <v/>
      </c>
      <c r="B6188">
        <f>IF(Calc!$B6188,INDEX(MineNames,Calc!C6188),"")</f>
        <v/>
      </c>
      <c r="C6188" s="17">
        <f>IF(Calc!$B6188,Calc!O6188,"")</f>
        <v/>
      </c>
    </row>
    <row r="6189">
      <c r="A6189" s="16">
        <f>IF(Calc!$B6189,Calc!E6189,"")</f>
        <v/>
      </c>
      <c r="B6189">
        <f>IF(Calc!$B6189,INDEX(MineNames,Calc!C6189),"")</f>
        <v/>
      </c>
      <c r="C6189" s="17">
        <f>IF(Calc!$B6189,Calc!O6189,"")</f>
        <v/>
      </c>
    </row>
    <row r="6190">
      <c r="A6190" s="16">
        <f>IF(Calc!$B6190,Calc!E6190,"")</f>
        <v/>
      </c>
      <c r="B6190">
        <f>IF(Calc!$B6190,INDEX(MineNames,Calc!C6190),"")</f>
        <v/>
      </c>
      <c r="C6190" s="17">
        <f>IF(Calc!$B6190,Calc!O6190,"")</f>
        <v/>
      </c>
    </row>
    <row r="6191">
      <c r="A6191" s="16">
        <f>IF(Calc!$B6191,Calc!E6191,"")</f>
        <v/>
      </c>
      <c r="B6191">
        <f>IF(Calc!$B6191,INDEX(MineNames,Calc!C6191),"")</f>
        <v/>
      </c>
      <c r="C6191" s="17">
        <f>IF(Calc!$B6191,Calc!O6191,"")</f>
        <v/>
      </c>
    </row>
    <row r="6192">
      <c r="A6192" s="16">
        <f>IF(Calc!$B6192,Calc!E6192,"")</f>
        <v/>
      </c>
      <c r="B6192">
        <f>IF(Calc!$B6192,INDEX(MineNames,Calc!C6192),"")</f>
        <v/>
      </c>
      <c r="C6192" s="17">
        <f>IF(Calc!$B6192,Calc!O6192,"")</f>
        <v/>
      </c>
    </row>
    <row r="6193">
      <c r="A6193" s="16">
        <f>IF(Calc!$B6193,Calc!E6193,"")</f>
        <v/>
      </c>
      <c r="B6193">
        <f>IF(Calc!$B6193,INDEX(MineNames,Calc!C6193),"")</f>
        <v/>
      </c>
      <c r="C6193" s="17">
        <f>IF(Calc!$B6193,Calc!O6193,"")</f>
        <v/>
      </c>
    </row>
    <row r="6194">
      <c r="A6194" s="16">
        <f>IF(Calc!$B6194,Calc!E6194,"")</f>
        <v/>
      </c>
      <c r="B6194">
        <f>IF(Calc!$B6194,INDEX(MineNames,Calc!C6194),"")</f>
        <v/>
      </c>
      <c r="C6194" s="17">
        <f>IF(Calc!$B6194,Calc!O6194,"")</f>
        <v/>
      </c>
    </row>
    <row r="6195">
      <c r="A6195" s="16">
        <f>IF(Calc!$B6195,Calc!E6195,"")</f>
        <v/>
      </c>
      <c r="B6195">
        <f>IF(Calc!$B6195,INDEX(MineNames,Calc!C6195),"")</f>
        <v/>
      </c>
      <c r="C6195" s="17">
        <f>IF(Calc!$B6195,Calc!O6195,"")</f>
        <v/>
      </c>
    </row>
    <row r="6196">
      <c r="A6196" s="16">
        <f>IF(Calc!$B6196,Calc!E6196,"")</f>
        <v/>
      </c>
      <c r="B6196">
        <f>IF(Calc!$B6196,INDEX(MineNames,Calc!C6196),"")</f>
        <v/>
      </c>
      <c r="C6196" s="17">
        <f>IF(Calc!$B6196,Calc!O6196,"")</f>
        <v/>
      </c>
    </row>
    <row r="6197">
      <c r="A6197" s="16">
        <f>IF(Calc!$B6197,Calc!E6197,"")</f>
        <v/>
      </c>
      <c r="B6197">
        <f>IF(Calc!$B6197,INDEX(MineNames,Calc!C6197),"")</f>
        <v/>
      </c>
      <c r="C6197" s="17">
        <f>IF(Calc!$B6197,Calc!O6197,"")</f>
        <v/>
      </c>
    </row>
    <row r="6198">
      <c r="A6198" s="16">
        <f>IF(Calc!$B6198,Calc!E6198,"")</f>
        <v/>
      </c>
      <c r="B6198">
        <f>IF(Calc!$B6198,INDEX(MineNames,Calc!C6198),"")</f>
        <v/>
      </c>
      <c r="C6198" s="17">
        <f>IF(Calc!$B6198,Calc!O6198,"")</f>
        <v/>
      </c>
    </row>
    <row r="6199">
      <c r="A6199" s="16">
        <f>IF(Calc!$B6199,Calc!E6199,"")</f>
        <v/>
      </c>
      <c r="B6199">
        <f>IF(Calc!$B6199,INDEX(MineNames,Calc!C6199),"")</f>
        <v/>
      </c>
      <c r="C6199" s="17">
        <f>IF(Calc!$B6199,Calc!O6199,"")</f>
        <v/>
      </c>
    </row>
    <row r="6200">
      <c r="A6200" s="16">
        <f>IF(Calc!$B6200,Calc!E6200,"")</f>
        <v/>
      </c>
      <c r="B6200">
        <f>IF(Calc!$B6200,INDEX(MineNames,Calc!C6200),"")</f>
        <v/>
      </c>
      <c r="C6200" s="17">
        <f>IF(Calc!$B6200,Calc!O6200,"")</f>
        <v/>
      </c>
    </row>
    <row r="6201">
      <c r="A6201" s="16">
        <f>IF(Calc!$B6201,Calc!E6201,"")</f>
        <v/>
      </c>
      <c r="B6201">
        <f>IF(Calc!$B6201,INDEX(MineNames,Calc!C6201),"")</f>
        <v/>
      </c>
      <c r="C6201" s="17">
        <f>IF(Calc!$B6201,Calc!O6201,"")</f>
        <v/>
      </c>
    </row>
    <row r="6202">
      <c r="A6202" s="16">
        <f>IF(Calc!$B6202,Calc!E6202,"")</f>
        <v/>
      </c>
      <c r="B6202">
        <f>IF(Calc!$B6202,INDEX(MineNames,Calc!C6202),"")</f>
        <v/>
      </c>
      <c r="C6202" s="17">
        <f>IF(Calc!$B6202,Calc!O6202,"")</f>
        <v/>
      </c>
    </row>
    <row r="6203">
      <c r="A6203" s="16">
        <f>IF(Calc!$B6203,Calc!E6203,"")</f>
        <v/>
      </c>
      <c r="B6203">
        <f>IF(Calc!$B6203,INDEX(MineNames,Calc!C6203),"")</f>
        <v/>
      </c>
      <c r="C6203" s="17">
        <f>IF(Calc!$B6203,Calc!O6203,"")</f>
        <v/>
      </c>
    </row>
    <row r="6204">
      <c r="A6204" s="16">
        <f>IF(Calc!$B6204,Calc!E6204,"")</f>
        <v/>
      </c>
      <c r="B6204">
        <f>IF(Calc!$B6204,INDEX(MineNames,Calc!C6204),"")</f>
        <v/>
      </c>
      <c r="C6204" s="17">
        <f>IF(Calc!$B6204,Calc!O6204,"")</f>
        <v/>
      </c>
    </row>
    <row r="6205">
      <c r="A6205" s="16">
        <f>IF(Calc!$B6205,Calc!E6205,"")</f>
        <v/>
      </c>
      <c r="B6205">
        <f>IF(Calc!$B6205,INDEX(MineNames,Calc!C6205),"")</f>
        <v/>
      </c>
      <c r="C6205" s="17">
        <f>IF(Calc!$B6205,Calc!O6205,"")</f>
        <v/>
      </c>
    </row>
    <row r="6206">
      <c r="A6206" s="16">
        <f>IF(Calc!$B6206,Calc!E6206,"")</f>
        <v/>
      </c>
      <c r="B6206">
        <f>IF(Calc!$B6206,INDEX(MineNames,Calc!C6206),"")</f>
        <v/>
      </c>
      <c r="C6206" s="17">
        <f>IF(Calc!$B6206,Calc!O6206,"")</f>
        <v/>
      </c>
    </row>
    <row r="6207">
      <c r="A6207" s="16">
        <f>IF(Calc!$B6207,Calc!E6207,"")</f>
        <v/>
      </c>
      <c r="B6207">
        <f>IF(Calc!$B6207,INDEX(MineNames,Calc!C6207),"")</f>
        <v/>
      </c>
      <c r="C6207" s="17">
        <f>IF(Calc!$B6207,Calc!O6207,"")</f>
        <v/>
      </c>
    </row>
    <row r="6208">
      <c r="A6208" s="16">
        <f>IF(Calc!$B6208,Calc!E6208,"")</f>
        <v/>
      </c>
      <c r="B6208">
        <f>IF(Calc!$B6208,INDEX(MineNames,Calc!C6208),"")</f>
        <v/>
      </c>
      <c r="C6208" s="17">
        <f>IF(Calc!$B6208,Calc!O6208,"")</f>
        <v/>
      </c>
    </row>
    <row r="6209">
      <c r="A6209" s="16">
        <f>IF(Calc!$B6209,Calc!E6209,"")</f>
        <v/>
      </c>
      <c r="B6209">
        <f>IF(Calc!$B6209,INDEX(MineNames,Calc!C6209),"")</f>
        <v/>
      </c>
      <c r="C6209" s="17">
        <f>IF(Calc!$B6209,Calc!O6209,"")</f>
        <v/>
      </c>
    </row>
    <row r="6210">
      <c r="A6210" s="16">
        <f>IF(Calc!$B6210,Calc!E6210,"")</f>
        <v/>
      </c>
      <c r="B6210">
        <f>IF(Calc!$B6210,INDEX(MineNames,Calc!C6210),"")</f>
        <v/>
      </c>
      <c r="C6210" s="17">
        <f>IF(Calc!$B6210,Calc!O6210,"")</f>
        <v/>
      </c>
    </row>
    <row r="6211">
      <c r="A6211" s="16">
        <f>IF(Calc!$B6211,Calc!E6211,"")</f>
        <v/>
      </c>
      <c r="B6211">
        <f>IF(Calc!$B6211,INDEX(MineNames,Calc!C6211),"")</f>
        <v/>
      </c>
      <c r="C6211" s="17">
        <f>IF(Calc!$B6211,Calc!O6211,"")</f>
        <v/>
      </c>
    </row>
    <row r="6212">
      <c r="A6212" s="16">
        <f>IF(Calc!$B6212,Calc!E6212,"")</f>
        <v/>
      </c>
      <c r="B6212">
        <f>IF(Calc!$B6212,INDEX(MineNames,Calc!C6212),"")</f>
        <v/>
      </c>
      <c r="C6212" s="17">
        <f>IF(Calc!$B6212,Calc!O6212,"")</f>
        <v/>
      </c>
    </row>
    <row r="6213">
      <c r="A6213" s="16">
        <f>IF(Calc!$B6213,Calc!E6213,"")</f>
        <v/>
      </c>
      <c r="B6213">
        <f>IF(Calc!$B6213,INDEX(MineNames,Calc!C6213),"")</f>
        <v/>
      </c>
      <c r="C6213" s="17">
        <f>IF(Calc!$B6213,Calc!O6213,"")</f>
        <v/>
      </c>
    </row>
    <row r="6214">
      <c r="A6214" s="16">
        <f>IF(Calc!$B6214,Calc!E6214,"")</f>
        <v/>
      </c>
      <c r="B6214">
        <f>IF(Calc!$B6214,INDEX(MineNames,Calc!C6214),"")</f>
        <v/>
      </c>
      <c r="C6214" s="17">
        <f>IF(Calc!$B6214,Calc!O6214,"")</f>
        <v/>
      </c>
    </row>
    <row r="6215">
      <c r="A6215" s="16">
        <f>IF(Calc!$B6215,Calc!E6215,"")</f>
        <v/>
      </c>
      <c r="B6215">
        <f>IF(Calc!$B6215,INDEX(MineNames,Calc!C6215),"")</f>
        <v/>
      </c>
      <c r="C6215" s="17">
        <f>IF(Calc!$B6215,Calc!O6215,"")</f>
        <v/>
      </c>
    </row>
    <row r="6216">
      <c r="A6216" s="16">
        <f>IF(Calc!$B6216,Calc!E6216,"")</f>
        <v/>
      </c>
      <c r="B6216">
        <f>IF(Calc!$B6216,INDEX(MineNames,Calc!C6216),"")</f>
        <v/>
      </c>
      <c r="C6216" s="17">
        <f>IF(Calc!$B6216,Calc!O6216,"")</f>
        <v/>
      </c>
    </row>
    <row r="6217">
      <c r="A6217" s="16">
        <f>IF(Calc!$B6217,Calc!E6217,"")</f>
        <v/>
      </c>
      <c r="B6217">
        <f>IF(Calc!$B6217,INDEX(MineNames,Calc!C6217),"")</f>
        <v/>
      </c>
      <c r="C6217" s="17">
        <f>IF(Calc!$B6217,Calc!O6217,"")</f>
        <v/>
      </c>
    </row>
    <row r="6218">
      <c r="A6218" s="16">
        <f>IF(Calc!$B6218,Calc!E6218,"")</f>
        <v/>
      </c>
      <c r="B6218">
        <f>IF(Calc!$B6218,INDEX(MineNames,Calc!C6218),"")</f>
        <v/>
      </c>
      <c r="C6218" s="17">
        <f>IF(Calc!$B6218,Calc!O6218,"")</f>
        <v/>
      </c>
    </row>
    <row r="6219">
      <c r="A6219" s="16">
        <f>IF(Calc!$B6219,Calc!E6219,"")</f>
        <v/>
      </c>
      <c r="B6219">
        <f>IF(Calc!$B6219,INDEX(MineNames,Calc!C6219),"")</f>
        <v/>
      </c>
      <c r="C6219" s="17">
        <f>IF(Calc!$B6219,Calc!O6219,"")</f>
        <v/>
      </c>
    </row>
    <row r="6220">
      <c r="A6220" s="16">
        <f>IF(Calc!$B6220,Calc!E6220,"")</f>
        <v/>
      </c>
      <c r="B6220">
        <f>IF(Calc!$B6220,INDEX(MineNames,Calc!C6220),"")</f>
        <v/>
      </c>
      <c r="C6220" s="17">
        <f>IF(Calc!$B6220,Calc!O6220,"")</f>
        <v/>
      </c>
    </row>
    <row r="6221">
      <c r="A6221" s="16">
        <f>IF(Calc!$B6221,Calc!E6221,"")</f>
        <v/>
      </c>
      <c r="B6221">
        <f>IF(Calc!$B6221,INDEX(MineNames,Calc!C6221),"")</f>
        <v/>
      </c>
      <c r="C6221" s="17">
        <f>IF(Calc!$B6221,Calc!O6221,"")</f>
        <v/>
      </c>
    </row>
    <row r="6222">
      <c r="A6222" s="16">
        <f>IF(Calc!$B6222,Calc!E6222,"")</f>
        <v/>
      </c>
      <c r="B6222">
        <f>IF(Calc!$B6222,INDEX(MineNames,Calc!C6222),"")</f>
        <v/>
      </c>
      <c r="C6222" s="17">
        <f>IF(Calc!$B6222,Calc!O6222,"")</f>
        <v/>
      </c>
    </row>
    <row r="6223">
      <c r="A6223" s="16">
        <f>IF(Calc!$B6223,Calc!E6223,"")</f>
        <v/>
      </c>
      <c r="B6223">
        <f>IF(Calc!$B6223,INDEX(MineNames,Calc!C6223),"")</f>
        <v/>
      </c>
      <c r="C6223" s="17">
        <f>IF(Calc!$B6223,Calc!O6223,"")</f>
        <v/>
      </c>
    </row>
    <row r="6224">
      <c r="A6224" s="16">
        <f>IF(Calc!$B6224,Calc!E6224,"")</f>
        <v/>
      </c>
      <c r="B6224">
        <f>IF(Calc!$B6224,INDEX(MineNames,Calc!C6224),"")</f>
        <v/>
      </c>
      <c r="C6224" s="17">
        <f>IF(Calc!$B6224,Calc!O6224,"")</f>
        <v/>
      </c>
    </row>
    <row r="6225">
      <c r="A6225" s="16">
        <f>IF(Calc!$B6225,Calc!E6225,"")</f>
        <v/>
      </c>
      <c r="B6225">
        <f>IF(Calc!$B6225,INDEX(MineNames,Calc!C6225),"")</f>
        <v/>
      </c>
      <c r="C6225" s="17">
        <f>IF(Calc!$B6225,Calc!O6225,"")</f>
        <v/>
      </c>
    </row>
    <row r="6226">
      <c r="A6226" s="16">
        <f>IF(Calc!$B6226,Calc!E6226,"")</f>
        <v/>
      </c>
      <c r="B6226">
        <f>IF(Calc!$B6226,INDEX(MineNames,Calc!C6226),"")</f>
        <v/>
      </c>
      <c r="C6226" s="17">
        <f>IF(Calc!$B6226,Calc!O6226,"")</f>
        <v/>
      </c>
    </row>
    <row r="6227">
      <c r="A6227" s="16">
        <f>IF(Calc!$B6227,Calc!E6227,"")</f>
        <v/>
      </c>
      <c r="B6227">
        <f>IF(Calc!$B6227,INDEX(MineNames,Calc!C6227),"")</f>
        <v/>
      </c>
      <c r="C6227" s="17">
        <f>IF(Calc!$B6227,Calc!O6227,"")</f>
        <v/>
      </c>
    </row>
    <row r="6228">
      <c r="A6228" s="16">
        <f>IF(Calc!$B6228,Calc!E6228,"")</f>
        <v/>
      </c>
      <c r="B6228">
        <f>IF(Calc!$B6228,INDEX(MineNames,Calc!C6228),"")</f>
        <v/>
      </c>
      <c r="C6228" s="17">
        <f>IF(Calc!$B6228,Calc!O6228,"")</f>
        <v/>
      </c>
    </row>
    <row r="6229">
      <c r="A6229" s="16">
        <f>IF(Calc!$B6229,Calc!E6229,"")</f>
        <v/>
      </c>
      <c r="B6229">
        <f>IF(Calc!$B6229,INDEX(MineNames,Calc!C6229),"")</f>
        <v/>
      </c>
      <c r="C6229" s="17">
        <f>IF(Calc!$B6229,Calc!O6229,"")</f>
        <v/>
      </c>
    </row>
    <row r="6230">
      <c r="A6230" s="16">
        <f>IF(Calc!$B6230,Calc!E6230,"")</f>
        <v/>
      </c>
      <c r="B6230">
        <f>IF(Calc!$B6230,INDEX(MineNames,Calc!C6230),"")</f>
        <v/>
      </c>
      <c r="C6230" s="17">
        <f>IF(Calc!$B6230,Calc!O6230,"")</f>
        <v/>
      </c>
    </row>
    <row r="6231">
      <c r="A6231" s="16">
        <f>IF(Calc!$B6231,Calc!E6231,"")</f>
        <v/>
      </c>
      <c r="B6231">
        <f>IF(Calc!$B6231,INDEX(MineNames,Calc!C6231),"")</f>
        <v/>
      </c>
      <c r="C6231" s="17">
        <f>IF(Calc!$B6231,Calc!O6231,"")</f>
        <v/>
      </c>
    </row>
    <row r="6232">
      <c r="A6232" s="16">
        <f>IF(Calc!$B6232,Calc!E6232,"")</f>
        <v/>
      </c>
      <c r="B6232">
        <f>IF(Calc!$B6232,INDEX(MineNames,Calc!C6232),"")</f>
        <v/>
      </c>
      <c r="C6232" s="17">
        <f>IF(Calc!$B6232,Calc!O6232,"")</f>
        <v/>
      </c>
    </row>
    <row r="6233">
      <c r="A6233" s="16">
        <f>IF(Calc!$B6233,Calc!E6233,"")</f>
        <v/>
      </c>
      <c r="B6233">
        <f>IF(Calc!$B6233,INDEX(MineNames,Calc!C6233),"")</f>
        <v/>
      </c>
      <c r="C6233" s="17">
        <f>IF(Calc!$B6233,Calc!O6233,"")</f>
        <v/>
      </c>
    </row>
    <row r="6234">
      <c r="A6234" s="16">
        <f>IF(Calc!$B6234,Calc!E6234,"")</f>
        <v/>
      </c>
      <c r="B6234">
        <f>IF(Calc!$B6234,INDEX(MineNames,Calc!C6234),"")</f>
        <v/>
      </c>
      <c r="C6234" s="17">
        <f>IF(Calc!$B6234,Calc!O6234,"")</f>
        <v/>
      </c>
    </row>
    <row r="6235">
      <c r="A6235" s="16">
        <f>IF(Calc!$B6235,Calc!E6235,"")</f>
        <v/>
      </c>
      <c r="B6235">
        <f>IF(Calc!$B6235,INDEX(MineNames,Calc!C6235),"")</f>
        <v/>
      </c>
      <c r="C6235" s="17">
        <f>IF(Calc!$B6235,Calc!O6235,"")</f>
        <v/>
      </c>
    </row>
    <row r="6236">
      <c r="A6236" s="16">
        <f>IF(Calc!$B6236,Calc!E6236,"")</f>
        <v/>
      </c>
      <c r="B6236">
        <f>IF(Calc!$B6236,INDEX(MineNames,Calc!C6236),"")</f>
        <v/>
      </c>
      <c r="C6236" s="17">
        <f>IF(Calc!$B6236,Calc!O6236,"")</f>
        <v/>
      </c>
    </row>
    <row r="6237">
      <c r="A6237" s="16">
        <f>IF(Calc!$B6237,Calc!E6237,"")</f>
        <v/>
      </c>
      <c r="B6237">
        <f>IF(Calc!$B6237,INDEX(MineNames,Calc!C6237),"")</f>
        <v/>
      </c>
      <c r="C6237" s="17">
        <f>IF(Calc!$B6237,Calc!O6237,"")</f>
        <v/>
      </c>
    </row>
    <row r="6238">
      <c r="A6238" s="16">
        <f>IF(Calc!$B6238,Calc!E6238,"")</f>
        <v/>
      </c>
      <c r="B6238">
        <f>IF(Calc!$B6238,INDEX(MineNames,Calc!C6238),"")</f>
        <v/>
      </c>
      <c r="C6238" s="17">
        <f>IF(Calc!$B6238,Calc!O6238,"")</f>
        <v/>
      </c>
    </row>
    <row r="6239">
      <c r="A6239" s="16">
        <f>IF(Calc!$B6239,Calc!E6239,"")</f>
        <v/>
      </c>
      <c r="B6239">
        <f>IF(Calc!$B6239,INDEX(MineNames,Calc!C6239),"")</f>
        <v/>
      </c>
      <c r="C6239" s="17">
        <f>IF(Calc!$B6239,Calc!O6239,"")</f>
        <v/>
      </c>
    </row>
    <row r="6240">
      <c r="A6240" s="16">
        <f>IF(Calc!$B6240,Calc!E6240,"")</f>
        <v/>
      </c>
      <c r="B6240">
        <f>IF(Calc!$B6240,INDEX(MineNames,Calc!C6240),"")</f>
        <v/>
      </c>
      <c r="C6240" s="17">
        <f>IF(Calc!$B6240,Calc!O6240,"")</f>
        <v/>
      </c>
    </row>
    <row r="6241">
      <c r="A6241" s="16">
        <f>IF(Calc!$B6241,Calc!E6241,"")</f>
        <v/>
      </c>
      <c r="B6241">
        <f>IF(Calc!$B6241,INDEX(MineNames,Calc!C6241),"")</f>
        <v/>
      </c>
      <c r="C6241" s="17">
        <f>IF(Calc!$B6241,Calc!O6241,"")</f>
        <v/>
      </c>
    </row>
    <row r="6242">
      <c r="A6242" s="16">
        <f>IF(Calc!$B6242,Calc!E6242,"")</f>
        <v/>
      </c>
      <c r="B6242">
        <f>IF(Calc!$B6242,INDEX(MineNames,Calc!C6242),"")</f>
        <v/>
      </c>
      <c r="C6242" s="17">
        <f>IF(Calc!$B6242,Calc!O6242,"")</f>
        <v/>
      </c>
    </row>
    <row r="6243">
      <c r="A6243" s="16">
        <f>IF(Calc!$B6243,Calc!E6243,"")</f>
        <v/>
      </c>
      <c r="B6243">
        <f>IF(Calc!$B6243,INDEX(MineNames,Calc!C6243),"")</f>
        <v/>
      </c>
      <c r="C6243" s="17">
        <f>IF(Calc!$B6243,Calc!O6243,"")</f>
        <v/>
      </c>
    </row>
    <row r="6244">
      <c r="A6244" s="16">
        <f>IF(Calc!$B6244,Calc!E6244,"")</f>
        <v/>
      </c>
      <c r="B6244">
        <f>IF(Calc!$B6244,INDEX(MineNames,Calc!C6244),"")</f>
        <v/>
      </c>
      <c r="C6244" s="17">
        <f>IF(Calc!$B6244,Calc!O6244,"")</f>
        <v/>
      </c>
    </row>
    <row r="6245">
      <c r="A6245" s="16">
        <f>IF(Calc!$B6245,Calc!E6245,"")</f>
        <v/>
      </c>
      <c r="B6245">
        <f>IF(Calc!$B6245,INDEX(MineNames,Calc!C6245),"")</f>
        <v/>
      </c>
      <c r="C6245" s="17">
        <f>IF(Calc!$B6245,Calc!O6245,"")</f>
        <v/>
      </c>
    </row>
    <row r="6246">
      <c r="A6246" s="16">
        <f>IF(Calc!$B6246,Calc!E6246,"")</f>
        <v/>
      </c>
      <c r="B6246">
        <f>IF(Calc!$B6246,INDEX(MineNames,Calc!C6246),"")</f>
        <v/>
      </c>
      <c r="C6246" s="17">
        <f>IF(Calc!$B6246,Calc!O6246,"")</f>
        <v/>
      </c>
    </row>
    <row r="6247">
      <c r="A6247" s="16">
        <f>IF(Calc!$B6247,Calc!E6247,"")</f>
        <v/>
      </c>
      <c r="B6247">
        <f>IF(Calc!$B6247,INDEX(MineNames,Calc!C6247),"")</f>
        <v/>
      </c>
      <c r="C6247" s="17">
        <f>IF(Calc!$B6247,Calc!O6247,"")</f>
        <v/>
      </c>
    </row>
    <row r="6248">
      <c r="A6248" s="16">
        <f>IF(Calc!$B6248,Calc!E6248,"")</f>
        <v/>
      </c>
      <c r="B6248">
        <f>IF(Calc!$B6248,INDEX(MineNames,Calc!C6248),"")</f>
        <v/>
      </c>
      <c r="C6248" s="17">
        <f>IF(Calc!$B6248,Calc!O6248,"")</f>
        <v/>
      </c>
    </row>
    <row r="6249">
      <c r="A6249" s="16">
        <f>IF(Calc!$B6249,Calc!E6249,"")</f>
        <v/>
      </c>
      <c r="B6249">
        <f>IF(Calc!$B6249,INDEX(MineNames,Calc!C6249),"")</f>
        <v/>
      </c>
      <c r="C6249" s="17">
        <f>IF(Calc!$B6249,Calc!O6249,"")</f>
        <v/>
      </c>
    </row>
    <row r="6250">
      <c r="A6250" s="16">
        <f>IF(Calc!$B6250,Calc!E6250,"")</f>
        <v/>
      </c>
      <c r="B6250">
        <f>IF(Calc!$B6250,INDEX(MineNames,Calc!C6250),"")</f>
        <v/>
      </c>
      <c r="C6250" s="17">
        <f>IF(Calc!$B6250,Calc!O6250,"")</f>
        <v/>
      </c>
    </row>
    <row r="6251">
      <c r="A6251" s="16">
        <f>IF(Calc!$B6251,Calc!E6251,"")</f>
        <v/>
      </c>
      <c r="B6251">
        <f>IF(Calc!$B6251,INDEX(MineNames,Calc!C6251),"")</f>
        <v/>
      </c>
      <c r="C6251" s="17">
        <f>IF(Calc!$B6251,Calc!O6251,"")</f>
        <v/>
      </c>
    </row>
    <row r="6252">
      <c r="A6252" s="16">
        <f>IF(Calc!$B6252,Calc!E6252,"")</f>
        <v/>
      </c>
      <c r="B6252">
        <f>IF(Calc!$B6252,INDEX(MineNames,Calc!C6252),"")</f>
        <v/>
      </c>
      <c r="C6252" s="17">
        <f>IF(Calc!$B6252,Calc!O6252,"")</f>
        <v/>
      </c>
    </row>
    <row r="6253">
      <c r="A6253" s="16">
        <f>IF(Calc!$B6253,Calc!E6253,"")</f>
        <v/>
      </c>
      <c r="B6253">
        <f>IF(Calc!$B6253,INDEX(MineNames,Calc!C6253),"")</f>
        <v/>
      </c>
      <c r="C6253" s="17">
        <f>IF(Calc!$B6253,Calc!O6253,"")</f>
        <v/>
      </c>
    </row>
    <row r="6254">
      <c r="A6254" s="16">
        <f>IF(Calc!$B6254,Calc!E6254,"")</f>
        <v/>
      </c>
      <c r="B6254">
        <f>IF(Calc!$B6254,INDEX(MineNames,Calc!C6254),"")</f>
        <v/>
      </c>
      <c r="C6254" s="17">
        <f>IF(Calc!$B6254,Calc!O6254,"")</f>
        <v/>
      </c>
    </row>
    <row r="6255">
      <c r="A6255" s="16">
        <f>IF(Calc!$B6255,Calc!E6255,"")</f>
        <v/>
      </c>
      <c r="B6255">
        <f>IF(Calc!$B6255,INDEX(MineNames,Calc!C6255),"")</f>
        <v/>
      </c>
      <c r="C6255" s="17">
        <f>IF(Calc!$B6255,Calc!O6255,"")</f>
        <v/>
      </c>
    </row>
    <row r="6256">
      <c r="A6256" s="16">
        <f>IF(Calc!$B6256,Calc!E6256,"")</f>
        <v/>
      </c>
      <c r="B6256">
        <f>IF(Calc!$B6256,INDEX(MineNames,Calc!C6256),"")</f>
        <v/>
      </c>
      <c r="C6256" s="17">
        <f>IF(Calc!$B6256,Calc!O6256,"")</f>
        <v/>
      </c>
    </row>
    <row r="6257">
      <c r="A6257" s="16">
        <f>IF(Calc!$B6257,Calc!E6257,"")</f>
        <v/>
      </c>
      <c r="B6257">
        <f>IF(Calc!$B6257,INDEX(MineNames,Calc!C6257),"")</f>
        <v/>
      </c>
      <c r="C6257" s="17">
        <f>IF(Calc!$B6257,Calc!O6257,"")</f>
        <v/>
      </c>
    </row>
    <row r="6258">
      <c r="A6258" s="16">
        <f>IF(Calc!$B6258,Calc!E6258,"")</f>
        <v/>
      </c>
      <c r="B6258">
        <f>IF(Calc!$B6258,INDEX(MineNames,Calc!C6258),"")</f>
        <v/>
      </c>
      <c r="C6258" s="17">
        <f>IF(Calc!$B6258,Calc!O6258,"")</f>
        <v/>
      </c>
    </row>
    <row r="6259">
      <c r="A6259" s="16">
        <f>IF(Calc!$B6259,Calc!E6259,"")</f>
        <v/>
      </c>
      <c r="B6259">
        <f>IF(Calc!$B6259,INDEX(MineNames,Calc!C6259),"")</f>
        <v/>
      </c>
      <c r="C6259" s="17">
        <f>IF(Calc!$B6259,Calc!O6259,"")</f>
        <v/>
      </c>
    </row>
    <row r="6260">
      <c r="A6260" s="16">
        <f>IF(Calc!$B6260,Calc!E6260,"")</f>
        <v/>
      </c>
      <c r="B6260">
        <f>IF(Calc!$B6260,INDEX(MineNames,Calc!C6260),"")</f>
        <v/>
      </c>
      <c r="C6260" s="17">
        <f>IF(Calc!$B6260,Calc!O6260,"")</f>
        <v/>
      </c>
    </row>
    <row r="6261">
      <c r="A6261" s="16">
        <f>IF(Calc!$B6261,Calc!E6261,"")</f>
        <v/>
      </c>
      <c r="B6261">
        <f>IF(Calc!$B6261,INDEX(MineNames,Calc!C6261),"")</f>
        <v/>
      </c>
      <c r="C6261" s="17">
        <f>IF(Calc!$B6261,Calc!O6261,"")</f>
        <v/>
      </c>
    </row>
    <row r="6262">
      <c r="A6262" s="16">
        <f>IF(Calc!$B6262,Calc!E6262,"")</f>
        <v/>
      </c>
      <c r="B6262">
        <f>IF(Calc!$B6262,INDEX(MineNames,Calc!C6262),"")</f>
        <v/>
      </c>
      <c r="C6262" s="17">
        <f>IF(Calc!$B6262,Calc!O6262,"")</f>
        <v/>
      </c>
    </row>
    <row r="6263">
      <c r="A6263" s="16">
        <f>IF(Calc!$B6263,Calc!E6263,"")</f>
        <v/>
      </c>
      <c r="B6263">
        <f>IF(Calc!$B6263,INDEX(MineNames,Calc!C6263),"")</f>
        <v/>
      </c>
      <c r="C6263" s="17">
        <f>IF(Calc!$B6263,Calc!O6263,"")</f>
        <v/>
      </c>
    </row>
    <row r="6264">
      <c r="A6264" s="16">
        <f>IF(Calc!$B6264,Calc!E6264,"")</f>
        <v/>
      </c>
      <c r="B6264">
        <f>IF(Calc!$B6264,INDEX(MineNames,Calc!C6264),"")</f>
        <v/>
      </c>
      <c r="C6264" s="17">
        <f>IF(Calc!$B6264,Calc!O6264,"")</f>
        <v/>
      </c>
    </row>
    <row r="6265">
      <c r="A6265" s="16">
        <f>IF(Calc!$B6265,Calc!E6265,"")</f>
        <v/>
      </c>
      <c r="B6265">
        <f>IF(Calc!$B6265,INDEX(MineNames,Calc!C6265),"")</f>
        <v/>
      </c>
      <c r="C6265" s="17">
        <f>IF(Calc!$B6265,Calc!O6265,"")</f>
        <v/>
      </c>
    </row>
    <row r="6266">
      <c r="A6266" s="16">
        <f>IF(Calc!$B6266,Calc!E6266,"")</f>
        <v/>
      </c>
      <c r="B6266">
        <f>IF(Calc!$B6266,INDEX(MineNames,Calc!C6266),"")</f>
        <v/>
      </c>
      <c r="C6266" s="17">
        <f>IF(Calc!$B6266,Calc!O6266,"")</f>
        <v/>
      </c>
    </row>
    <row r="6267">
      <c r="A6267" s="16">
        <f>IF(Calc!$B6267,Calc!E6267,"")</f>
        <v/>
      </c>
      <c r="B6267">
        <f>IF(Calc!$B6267,INDEX(MineNames,Calc!C6267),"")</f>
        <v/>
      </c>
      <c r="C6267" s="17">
        <f>IF(Calc!$B6267,Calc!O6267,"")</f>
        <v/>
      </c>
    </row>
    <row r="6268">
      <c r="A6268" s="16">
        <f>IF(Calc!$B6268,Calc!E6268,"")</f>
        <v/>
      </c>
      <c r="B6268">
        <f>IF(Calc!$B6268,INDEX(MineNames,Calc!C6268),"")</f>
        <v/>
      </c>
      <c r="C6268" s="17">
        <f>IF(Calc!$B6268,Calc!O6268,"")</f>
        <v/>
      </c>
    </row>
    <row r="6269">
      <c r="A6269" s="16">
        <f>IF(Calc!$B6269,Calc!E6269,"")</f>
        <v/>
      </c>
      <c r="B6269">
        <f>IF(Calc!$B6269,INDEX(MineNames,Calc!C6269),"")</f>
        <v/>
      </c>
      <c r="C6269" s="17">
        <f>IF(Calc!$B6269,Calc!O6269,"")</f>
        <v/>
      </c>
    </row>
    <row r="6270">
      <c r="A6270" s="16">
        <f>IF(Calc!$B6270,Calc!E6270,"")</f>
        <v/>
      </c>
      <c r="B6270">
        <f>IF(Calc!$B6270,INDEX(MineNames,Calc!C6270),"")</f>
        <v/>
      </c>
      <c r="C6270" s="17">
        <f>IF(Calc!$B6270,Calc!O6270,"")</f>
        <v/>
      </c>
    </row>
    <row r="6271">
      <c r="A6271" s="16">
        <f>IF(Calc!$B6271,Calc!E6271,"")</f>
        <v/>
      </c>
      <c r="B6271">
        <f>IF(Calc!$B6271,INDEX(MineNames,Calc!C6271),"")</f>
        <v/>
      </c>
      <c r="C6271" s="17">
        <f>IF(Calc!$B6271,Calc!O6271,"")</f>
        <v/>
      </c>
    </row>
    <row r="6272">
      <c r="A6272" s="16">
        <f>IF(Calc!$B6272,Calc!E6272,"")</f>
        <v/>
      </c>
      <c r="B6272">
        <f>IF(Calc!$B6272,INDEX(MineNames,Calc!C6272),"")</f>
        <v/>
      </c>
      <c r="C6272" s="17">
        <f>IF(Calc!$B6272,Calc!O6272,"")</f>
        <v/>
      </c>
    </row>
    <row r="6273">
      <c r="A6273" s="16">
        <f>IF(Calc!$B6273,Calc!E6273,"")</f>
        <v/>
      </c>
      <c r="B6273">
        <f>IF(Calc!$B6273,INDEX(MineNames,Calc!C6273),"")</f>
        <v/>
      </c>
      <c r="C6273" s="17">
        <f>IF(Calc!$B6273,Calc!O6273,"")</f>
        <v/>
      </c>
    </row>
    <row r="6274">
      <c r="A6274" s="16">
        <f>IF(Calc!$B6274,Calc!E6274,"")</f>
        <v/>
      </c>
      <c r="B6274">
        <f>IF(Calc!$B6274,INDEX(MineNames,Calc!C6274),"")</f>
        <v/>
      </c>
      <c r="C6274" s="17">
        <f>IF(Calc!$B6274,Calc!O6274,"")</f>
        <v/>
      </c>
    </row>
    <row r="6275">
      <c r="A6275" s="16">
        <f>IF(Calc!$B6275,Calc!E6275,"")</f>
        <v/>
      </c>
      <c r="B6275">
        <f>IF(Calc!$B6275,INDEX(MineNames,Calc!C6275),"")</f>
        <v/>
      </c>
      <c r="C6275" s="17">
        <f>IF(Calc!$B6275,Calc!O6275,"")</f>
        <v/>
      </c>
    </row>
    <row r="6276">
      <c r="A6276" s="16">
        <f>IF(Calc!$B6276,Calc!E6276,"")</f>
        <v/>
      </c>
      <c r="B6276">
        <f>IF(Calc!$B6276,INDEX(MineNames,Calc!C6276),"")</f>
        <v/>
      </c>
      <c r="C6276" s="17">
        <f>IF(Calc!$B6276,Calc!O6276,"")</f>
        <v/>
      </c>
    </row>
    <row r="6277">
      <c r="A6277" s="16">
        <f>IF(Calc!$B6277,Calc!E6277,"")</f>
        <v/>
      </c>
      <c r="B6277">
        <f>IF(Calc!$B6277,INDEX(MineNames,Calc!C6277),"")</f>
        <v/>
      </c>
      <c r="C6277" s="17">
        <f>IF(Calc!$B6277,Calc!O6277,"")</f>
        <v/>
      </c>
    </row>
    <row r="6278">
      <c r="A6278" s="16">
        <f>IF(Calc!$B6278,Calc!E6278,"")</f>
        <v/>
      </c>
      <c r="B6278">
        <f>IF(Calc!$B6278,INDEX(MineNames,Calc!C6278),"")</f>
        <v/>
      </c>
      <c r="C6278" s="17">
        <f>IF(Calc!$B6278,Calc!O6278,"")</f>
        <v/>
      </c>
    </row>
    <row r="6279">
      <c r="A6279" s="16">
        <f>IF(Calc!$B6279,Calc!E6279,"")</f>
        <v/>
      </c>
      <c r="B6279">
        <f>IF(Calc!$B6279,INDEX(MineNames,Calc!C6279),"")</f>
        <v/>
      </c>
      <c r="C6279" s="17">
        <f>IF(Calc!$B6279,Calc!O6279,"")</f>
        <v/>
      </c>
    </row>
    <row r="6280">
      <c r="A6280" s="16">
        <f>IF(Calc!$B6280,Calc!E6280,"")</f>
        <v/>
      </c>
      <c r="B6280">
        <f>IF(Calc!$B6280,INDEX(MineNames,Calc!C6280),"")</f>
        <v/>
      </c>
      <c r="C6280" s="17">
        <f>IF(Calc!$B6280,Calc!O6280,"")</f>
        <v/>
      </c>
    </row>
    <row r="6281">
      <c r="A6281" s="16">
        <f>IF(Calc!$B6281,Calc!E6281,"")</f>
        <v/>
      </c>
      <c r="B6281">
        <f>IF(Calc!$B6281,INDEX(MineNames,Calc!C6281),"")</f>
        <v/>
      </c>
      <c r="C6281" s="17">
        <f>IF(Calc!$B6281,Calc!O6281,"")</f>
        <v/>
      </c>
    </row>
    <row r="6282">
      <c r="A6282" s="16">
        <f>IF(Calc!$B6282,Calc!E6282,"")</f>
        <v/>
      </c>
      <c r="B6282">
        <f>IF(Calc!$B6282,INDEX(MineNames,Calc!C6282),"")</f>
        <v/>
      </c>
      <c r="C6282" s="17">
        <f>IF(Calc!$B6282,Calc!O6282,"")</f>
        <v/>
      </c>
    </row>
    <row r="6283">
      <c r="A6283" s="16">
        <f>IF(Calc!$B6283,Calc!E6283,"")</f>
        <v/>
      </c>
      <c r="B6283">
        <f>IF(Calc!$B6283,INDEX(MineNames,Calc!C6283),"")</f>
        <v/>
      </c>
      <c r="C6283" s="17">
        <f>IF(Calc!$B6283,Calc!O6283,"")</f>
        <v/>
      </c>
    </row>
    <row r="6284">
      <c r="A6284" s="16">
        <f>IF(Calc!$B6284,Calc!E6284,"")</f>
        <v/>
      </c>
      <c r="B6284">
        <f>IF(Calc!$B6284,INDEX(MineNames,Calc!C6284),"")</f>
        <v/>
      </c>
      <c r="C6284" s="17">
        <f>IF(Calc!$B6284,Calc!O6284,"")</f>
        <v/>
      </c>
    </row>
    <row r="6285">
      <c r="A6285" s="16">
        <f>IF(Calc!$B6285,Calc!E6285,"")</f>
        <v/>
      </c>
      <c r="B6285">
        <f>IF(Calc!$B6285,INDEX(MineNames,Calc!C6285),"")</f>
        <v/>
      </c>
      <c r="C6285" s="17">
        <f>IF(Calc!$B6285,Calc!O6285,"")</f>
        <v/>
      </c>
    </row>
    <row r="6286">
      <c r="A6286" s="16">
        <f>IF(Calc!$B6286,Calc!E6286,"")</f>
        <v/>
      </c>
      <c r="B6286">
        <f>IF(Calc!$B6286,INDEX(MineNames,Calc!C6286),"")</f>
        <v/>
      </c>
      <c r="C6286" s="17">
        <f>IF(Calc!$B6286,Calc!O6286,"")</f>
        <v/>
      </c>
    </row>
    <row r="6287">
      <c r="A6287" s="16">
        <f>IF(Calc!$B6287,Calc!E6287,"")</f>
        <v/>
      </c>
      <c r="B6287">
        <f>IF(Calc!$B6287,INDEX(MineNames,Calc!C6287),"")</f>
        <v/>
      </c>
      <c r="C6287" s="17">
        <f>IF(Calc!$B6287,Calc!O6287,"")</f>
        <v/>
      </c>
    </row>
    <row r="6288">
      <c r="A6288" s="16">
        <f>IF(Calc!$B6288,Calc!E6288,"")</f>
        <v/>
      </c>
      <c r="B6288">
        <f>IF(Calc!$B6288,INDEX(MineNames,Calc!C6288),"")</f>
        <v/>
      </c>
      <c r="C6288" s="17">
        <f>IF(Calc!$B6288,Calc!O6288,"")</f>
        <v/>
      </c>
    </row>
    <row r="6289">
      <c r="A6289" s="16">
        <f>IF(Calc!$B6289,Calc!E6289,"")</f>
        <v/>
      </c>
      <c r="B6289">
        <f>IF(Calc!$B6289,INDEX(MineNames,Calc!C6289),"")</f>
        <v/>
      </c>
      <c r="C6289" s="17">
        <f>IF(Calc!$B6289,Calc!O6289,"")</f>
        <v/>
      </c>
    </row>
    <row r="6290">
      <c r="A6290" s="16">
        <f>IF(Calc!$B6290,Calc!E6290,"")</f>
        <v/>
      </c>
      <c r="B6290">
        <f>IF(Calc!$B6290,INDEX(MineNames,Calc!C6290),"")</f>
        <v/>
      </c>
      <c r="C6290" s="17">
        <f>IF(Calc!$B6290,Calc!O6290,"")</f>
        <v/>
      </c>
    </row>
    <row r="6291">
      <c r="A6291" s="16">
        <f>IF(Calc!$B6291,Calc!E6291,"")</f>
        <v/>
      </c>
      <c r="B6291">
        <f>IF(Calc!$B6291,INDEX(MineNames,Calc!C6291),"")</f>
        <v/>
      </c>
      <c r="C6291" s="17">
        <f>IF(Calc!$B6291,Calc!O6291,"")</f>
        <v/>
      </c>
    </row>
    <row r="6292">
      <c r="A6292" s="16">
        <f>IF(Calc!$B6292,Calc!E6292,"")</f>
        <v/>
      </c>
      <c r="B6292">
        <f>IF(Calc!$B6292,INDEX(MineNames,Calc!C6292),"")</f>
        <v/>
      </c>
      <c r="C6292" s="17">
        <f>IF(Calc!$B6292,Calc!O6292,"")</f>
        <v/>
      </c>
    </row>
    <row r="6293">
      <c r="A6293" s="16">
        <f>IF(Calc!$B6293,Calc!E6293,"")</f>
        <v/>
      </c>
      <c r="B6293">
        <f>IF(Calc!$B6293,INDEX(MineNames,Calc!C6293),"")</f>
        <v/>
      </c>
      <c r="C6293" s="17">
        <f>IF(Calc!$B6293,Calc!O6293,"")</f>
        <v/>
      </c>
    </row>
    <row r="6294">
      <c r="A6294" s="16">
        <f>IF(Calc!$B6294,Calc!E6294,"")</f>
        <v/>
      </c>
      <c r="B6294">
        <f>IF(Calc!$B6294,INDEX(MineNames,Calc!C6294),"")</f>
        <v/>
      </c>
      <c r="C6294" s="17">
        <f>IF(Calc!$B6294,Calc!O6294,"")</f>
        <v/>
      </c>
    </row>
    <row r="6295">
      <c r="A6295" s="16">
        <f>IF(Calc!$B6295,Calc!E6295,"")</f>
        <v/>
      </c>
      <c r="B6295">
        <f>IF(Calc!$B6295,INDEX(MineNames,Calc!C6295),"")</f>
        <v/>
      </c>
      <c r="C6295" s="17">
        <f>IF(Calc!$B6295,Calc!O6295,"")</f>
        <v/>
      </c>
    </row>
    <row r="6296">
      <c r="A6296" s="16">
        <f>IF(Calc!$B6296,Calc!E6296,"")</f>
        <v/>
      </c>
      <c r="B6296">
        <f>IF(Calc!$B6296,INDEX(MineNames,Calc!C6296),"")</f>
        <v/>
      </c>
      <c r="C6296" s="17">
        <f>IF(Calc!$B6296,Calc!O6296,"")</f>
        <v/>
      </c>
    </row>
    <row r="6297">
      <c r="A6297" s="16">
        <f>IF(Calc!$B6297,Calc!E6297,"")</f>
        <v/>
      </c>
      <c r="B6297">
        <f>IF(Calc!$B6297,INDEX(MineNames,Calc!C6297),"")</f>
        <v/>
      </c>
      <c r="C6297" s="17">
        <f>IF(Calc!$B6297,Calc!O6297,"")</f>
        <v/>
      </c>
    </row>
    <row r="6298">
      <c r="A6298" s="16">
        <f>IF(Calc!$B6298,Calc!E6298,"")</f>
        <v/>
      </c>
      <c r="B6298">
        <f>IF(Calc!$B6298,INDEX(MineNames,Calc!C6298),"")</f>
        <v/>
      </c>
      <c r="C6298" s="17">
        <f>IF(Calc!$B6298,Calc!O6298,"")</f>
        <v/>
      </c>
    </row>
    <row r="6299">
      <c r="A6299" s="16">
        <f>IF(Calc!$B6299,Calc!E6299,"")</f>
        <v/>
      </c>
      <c r="B6299">
        <f>IF(Calc!$B6299,INDEX(MineNames,Calc!C6299),"")</f>
        <v/>
      </c>
      <c r="C6299" s="17">
        <f>IF(Calc!$B6299,Calc!O6299,"")</f>
        <v/>
      </c>
    </row>
    <row r="6300">
      <c r="A6300" s="16">
        <f>IF(Calc!$B6300,Calc!E6300,"")</f>
        <v/>
      </c>
      <c r="B6300">
        <f>IF(Calc!$B6300,INDEX(MineNames,Calc!C6300),"")</f>
        <v/>
      </c>
      <c r="C6300" s="17">
        <f>IF(Calc!$B6300,Calc!O6300,"")</f>
        <v/>
      </c>
    </row>
    <row r="6301">
      <c r="A6301" s="16">
        <f>IF(Calc!$B6301,Calc!E6301,"")</f>
        <v/>
      </c>
      <c r="B6301">
        <f>IF(Calc!$B6301,INDEX(MineNames,Calc!C6301),"")</f>
        <v/>
      </c>
      <c r="C6301" s="17">
        <f>IF(Calc!$B6301,Calc!O6301,"")</f>
        <v/>
      </c>
    </row>
    <row r="6302">
      <c r="A6302" s="16">
        <f>IF(Calc!$B6302,Calc!E6302,"")</f>
        <v/>
      </c>
      <c r="B6302">
        <f>IF(Calc!$B6302,INDEX(MineNames,Calc!C6302),"")</f>
        <v/>
      </c>
      <c r="C6302" s="17">
        <f>IF(Calc!$B6302,Calc!O6302,"")</f>
        <v/>
      </c>
    </row>
    <row r="6303">
      <c r="A6303" s="16">
        <f>IF(Calc!$B6303,Calc!E6303,"")</f>
        <v/>
      </c>
      <c r="B6303">
        <f>IF(Calc!$B6303,INDEX(MineNames,Calc!C6303),"")</f>
        <v/>
      </c>
      <c r="C6303" s="17">
        <f>IF(Calc!$B6303,Calc!O6303,"")</f>
        <v/>
      </c>
    </row>
    <row r="6304">
      <c r="A6304" s="16">
        <f>IF(Calc!$B6304,Calc!E6304,"")</f>
        <v/>
      </c>
      <c r="B6304">
        <f>IF(Calc!$B6304,INDEX(MineNames,Calc!C6304),"")</f>
        <v/>
      </c>
      <c r="C6304" s="17">
        <f>IF(Calc!$B6304,Calc!O6304,"")</f>
        <v/>
      </c>
    </row>
    <row r="6305">
      <c r="A6305" s="16">
        <f>IF(Calc!$B6305,Calc!E6305,"")</f>
        <v/>
      </c>
      <c r="B6305">
        <f>IF(Calc!$B6305,INDEX(MineNames,Calc!C6305),"")</f>
        <v/>
      </c>
      <c r="C6305" s="17">
        <f>IF(Calc!$B6305,Calc!O6305,"")</f>
        <v/>
      </c>
    </row>
    <row r="6306">
      <c r="A6306" s="16">
        <f>IF(Calc!$B6306,Calc!E6306,"")</f>
        <v/>
      </c>
      <c r="B6306">
        <f>IF(Calc!$B6306,INDEX(MineNames,Calc!C6306),"")</f>
        <v/>
      </c>
      <c r="C6306" s="17">
        <f>IF(Calc!$B6306,Calc!O6306,"")</f>
        <v/>
      </c>
    </row>
    <row r="6307">
      <c r="A6307" s="16">
        <f>IF(Calc!$B6307,Calc!E6307,"")</f>
        <v/>
      </c>
      <c r="B6307">
        <f>IF(Calc!$B6307,INDEX(MineNames,Calc!C6307),"")</f>
        <v/>
      </c>
      <c r="C6307" s="17">
        <f>IF(Calc!$B6307,Calc!O6307,"")</f>
        <v/>
      </c>
    </row>
    <row r="6308">
      <c r="A6308" s="16">
        <f>IF(Calc!$B6308,Calc!E6308,"")</f>
        <v/>
      </c>
      <c r="B6308">
        <f>IF(Calc!$B6308,INDEX(MineNames,Calc!C6308),"")</f>
        <v/>
      </c>
      <c r="C6308" s="17">
        <f>IF(Calc!$B6308,Calc!O6308,"")</f>
        <v/>
      </c>
    </row>
    <row r="6309">
      <c r="A6309" s="16">
        <f>IF(Calc!$B6309,Calc!E6309,"")</f>
        <v/>
      </c>
      <c r="B6309">
        <f>IF(Calc!$B6309,INDEX(MineNames,Calc!C6309),"")</f>
        <v/>
      </c>
      <c r="C6309" s="17">
        <f>IF(Calc!$B6309,Calc!O6309,"")</f>
        <v/>
      </c>
    </row>
    <row r="6310">
      <c r="A6310" s="16">
        <f>IF(Calc!$B6310,Calc!E6310,"")</f>
        <v/>
      </c>
      <c r="B6310">
        <f>IF(Calc!$B6310,INDEX(MineNames,Calc!C6310),"")</f>
        <v/>
      </c>
      <c r="C6310" s="17">
        <f>IF(Calc!$B6310,Calc!O6310,"")</f>
        <v/>
      </c>
    </row>
    <row r="6311">
      <c r="A6311" s="16">
        <f>IF(Calc!$B6311,Calc!E6311,"")</f>
        <v/>
      </c>
      <c r="B6311">
        <f>IF(Calc!$B6311,INDEX(MineNames,Calc!C6311),"")</f>
        <v/>
      </c>
      <c r="C6311" s="17">
        <f>IF(Calc!$B6311,Calc!O6311,"")</f>
        <v/>
      </c>
    </row>
    <row r="6312">
      <c r="A6312" s="16">
        <f>IF(Calc!$B6312,Calc!E6312,"")</f>
        <v/>
      </c>
      <c r="B6312">
        <f>IF(Calc!$B6312,INDEX(MineNames,Calc!C6312),"")</f>
        <v/>
      </c>
      <c r="C6312" s="17">
        <f>IF(Calc!$B6312,Calc!O6312,"")</f>
        <v/>
      </c>
    </row>
    <row r="6313">
      <c r="A6313" s="16">
        <f>IF(Calc!$B6313,Calc!E6313,"")</f>
        <v/>
      </c>
      <c r="B6313">
        <f>IF(Calc!$B6313,INDEX(MineNames,Calc!C6313),"")</f>
        <v/>
      </c>
      <c r="C6313" s="17">
        <f>IF(Calc!$B6313,Calc!O6313,"")</f>
        <v/>
      </c>
    </row>
    <row r="6314">
      <c r="A6314" s="16">
        <f>IF(Calc!$B6314,Calc!E6314,"")</f>
        <v/>
      </c>
      <c r="B6314">
        <f>IF(Calc!$B6314,INDEX(MineNames,Calc!C6314),"")</f>
        <v/>
      </c>
      <c r="C6314" s="17">
        <f>IF(Calc!$B6314,Calc!O6314,"")</f>
        <v/>
      </c>
    </row>
    <row r="6315">
      <c r="A6315" s="16">
        <f>IF(Calc!$B6315,Calc!E6315,"")</f>
        <v/>
      </c>
      <c r="B6315">
        <f>IF(Calc!$B6315,INDEX(MineNames,Calc!C6315),"")</f>
        <v/>
      </c>
      <c r="C6315" s="17">
        <f>IF(Calc!$B6315,Calc!O6315,"")</f>
        <v/>
      </c>
    </row>
    <row r="6316">
      <c r="A6316" s="16">
        <f>IF(Calc!$B6316,Calc!E6316,"")</f>
        <v/>
      </c>
      <c r="B6316">
        <f>IF(Calc!$B6316,INDEX(MineNames,Calc!C6316),"")</f>
        <v/>
      </c>
      <c r="C6316" s="17">
        <f>IF(Calc!$B6316,Calc!O6316,"")</f>
        <v/>
      </c>
    </row>
    <row r="6317">
      <c r="A6317" s="16">
        <f>IF(Calc!$B6317,Calc!E6317,"")</f>
        <v/>
      </c>
      <c r="B6317">
        <f>IF(Calc!$B6317,INDEX(MineNames,Calc!C6317),"")</f>
        <v/>
      </c>
      <c r="C6317" s="17">
        <f>IF(Calc!$B6317,Calc!O6317,"")</f>
        <v/>
      </c>
    </row>
    <row r="6318">
      <c r="A6318" s="16">
        <f>IF(Calc!$B6318,Calc!E6318,"")</f>
        <v/>
      </c>
      <c r="B6318">
        <f>IF(Calc!$B6318,INDEX(MineNames,Calc!C6318),"")</f>
        <v/>
      </c>
      <c r="C6318" s="17">
        <f>IF(Calc!$B6318,Calc!O6318,"")</f>
        <v/>
      </c>
    </row>
    <row r="6319">
      <c r="A6319" s="16">
        <f>IF(Calc!$B6319,Calc!E6319,"")</f>
        <v/>
      </c>
      <c r="B6319">
        <f>IF(Calc!$B6319,INDEX(MineNames,Calc!C6319),"")</f>
        <v/>
      </c>
      <c r="C6319" s="17">
        <f>IF(Calc!$B6319,Calc!O6319,"")</f>
        <v/>
      </c>
    </row>
    <row r="6320">
      <c r="A6320" s="16">
        <f>IF(Calc!$B6320,Calc!E6320,"")</f>
        <v/>
      </c>
      <c r="B6320">
        <f>IF(Calc!$B6320,INDEX(MineNames,Calc!C6320),"")</f>
        <v/>
      </c>
      <c r="C6320" s="17">
        <f>IF(Calc!$B6320,Calc!O6320,"")</f>
        <v/>
      </c>
    </row>
    <row r="6321">
      <c r="A6321" s="16">
        <f>IF(Calc!$B6321,Calc!E6321,"")</f>
        <v/>
      </c>
      <c r="B6321">
        <f>IF(Calc!$B6321,INDEX(MineNames,Calc!C6321),"")</f>
        <v/>
      </c>
      <c r="C6321" s="17">
        <f>IF(Calc!$B6321,Calc!O6321,"")</f>
        <v/>
      </c>
    </row>
    <row r="6322">
      <c r="A6322" s="16">
        <f>IF(Calc!$B6322,Calc!E6322,"")</f>
        <v/>
      </c>
      <c r="B6322">
        <f>IF(Calc!$B6322,INDEX(MineNames,Calc!C6322),"")</f>
        <v/>
      </c>
      <c r="C6322" s="17">
        <f>IF(Calc!$B6322,Calc!O6322,"")</f>
        <v/>
      </c>
    </row>
    <row r="6323">
      <c r="A6323" s="16">
        <f>IF(Calc!$B6323,Calc!E6323,"")</f>
        <v/>
      </c>
      <c r="B6323">
        <f>IF(Calc!$B6323,INDEX(MineNames,Calc!C6323),"")</f>
        <v/>
      </c>
      <c r="C6323" s="17">
        <f>IF(Calc!$B6323,Calc!O6323,"")</f>
        <v/>
      </c>
    </row>
    <row r="6324">
      <c r="A6324" s="16">
        <f>IF(Calc!$B6324,Calc!E6324,"")</f>
        <v/>
      </c>
      <c r="B6324">
        <f>IF(Calc!$B6324,INDEX(MineNames,Calc!C6324),"")</f>
        <v/>
      </c>
      <c r="C6324" s="17">
        <f>IF(Calc!$B6324,Calc!O6324,"")</f>
        <v/>
      </c>
    </row>
    <row r="6325">
      <c r="A6325" s="16">
        <f>IF(Calc!$B6325,Calc!E6325,"")</f>
        <v/>
      </c>
      <c r="B6325">
        <f>IF(Calc!$B6325,INDEX(MineNames,Calc!C6325),"")</f>
        <v/>
      </c>
      <c r="C6325" s="17">
        <f>IF(Calc!$B6325,Calc!O6325,"")</f>
        <v/>
      </c>
    </row>
    <row r="6326">
      <c r="A6326" s="16">
        <f>IF(Calc!$B6326,Calc!E6326,"")</f>
        <v/>
      </c>
      <c r="B6326">
        <f>IF(Calc!$B6326,INDEX(MineNames,Calc!C6326),"")</f>
        <v/>
      </c>
      <c r="C6326" s="17">
        <f>IF(Calc!$B6326,Calc!O6326,"")</f>
        <v/>
      </c>
    </row>
    <row r="6327">
      <c r="A6327" s="16">
        <f>IF(Calc!$B6327,Calc!E6327,"")</f>
        <v/>
      </c>
      <c r="B6327">
        <f>IF(Calc!$B6327,INDEX(MineNames,Calc!C6327),"")</f>
        <v/>
      </c>
      <c r="C6327" s="17">
        <f>IF(Calc!$B6327,Calc!O6327,"")</f>
        <v/>
      </c>
    </row>
    <row r="6328">
      <c r="A6328" s="16">
        <f>IF(Calc!$B6328,Calc!E6328,"")</f>
        <v/>
      </c>
      <c r="B6328">
        <f>IF(Calc!$B6328,INDEX(MineNames,Calc!C6328),"")</f>
        <v/>
      </c>
      <c r="C6328" s="17">
        <f>IF(Calc!$B6328,Calc!O6328,"")</f>
        <v/>
      </c>
    </row>
    <row r="6329">
      <c r="A6329" s="16">
        <f>IF(Calc!$B6329,Calc!E6329,"")</f>
        <v/>
      </c>
      <c r="B6329">
        <f>IF(Calc!$B6329,INDEX(MineNames,Calc!C6329),"")</f>
        <v/>
      </c>
      <c r="C6329" s="17">
        <f>IF(Calc!$B6329,Calc!O6329,"")</f>
        <v/>
      </c>
    </row>
    <row r="6330">
      <c r="A6330" s="16">
        <f>IF(Calc!$B6330,Calc!E6330,"")</f>
        <v/>
      </c>
      <c r="B6330">
        <f>IF(Calc!$B6330,INDEX(MineNames,Calc!C6330),"")</f>
        <v/>
      </c>
      <c r="C6330" s="17">
        <f>IF(Calc!$B6330,Calc!O6330,"")</f>
        <v/>
      </c>
    </row>
    <row r="6331">
      <c r="A6331" s="16">
        <f>IF(Calc!$B6331,Calc!E6331,"")</f>
        <v/>
      </c>
      <c r="B6331">
        <f>IF(Calc!$B6331,INDEX(MineNames,Calc!C6331),"")</f>
        <v/>
      </c>
      <c r="C6331" s="17">
        <f>IF(Calc!$B6331,Calc!O6331,"")</f>
        <v/>
      </c>
    </row>
    <row r="6332">
      <c r="A6332" s="16">
        <f>IF(Calc!$B6332,Calc!E6332,"")</f>
        <v/>
      </c>
      <c r="B6332">
        <f>IF(Calc!$B6332,INDEX(MineNames,Calc!C6332),"")</f>
        <v/>
      </c>
      <c r="C6332" s="17">
        <f>IF(Calc!$B6332,Calc!O6332,"")</f>
        <v/>
      </c>
    </row>
    <row r="6333">
      <c r="A6333" s="16">
        <f>IF(Calc!$B6333,Calc!E6333,"")</f>
        <v/>
      </c>
      <c r="B6333">
        <f>IF(Calc!$B6333,INDEX(MineNames,Calc!C6333),"")</f>
        <v/>
      </c>
      <c r="C6333" s="17">
        <f>IF(Calc!$B6333,Calc!O6333,"")</f>
        <v/>
      </c>
    </row>
    <row r="6334">
      <c r="A6334" s="16">
        <f>IF(Calc!$B6334,Calc!E6334,"")</f>
        <v/>
      </c>
      <c r="B6334">
        <f>IF(Calc!$B6334,INDEX(MineNames,Calc!C6334),"")</f>
        <v/>
      </c>
      <c r="C6334" s="17">
        <f>IF(Calc!$B6334,Calc!O6334,"")</f>
        <v/>
      </c>
    </row>
    <row r="6335">
      <c r="A6335" s="16">
        <f>IF(Calc!$B6335,Calc!E6335,"")</f>
        <v/>
      </c>
      <c r="B6335">
        <f>IF(Calc!$B6335,INDEX(MineNames,Calc!C6335),"")</f>
        <v/>
      </c>
      <c r="C6335" s="17">
        <f>IF(Calc!$B6335,Calc!O6335,"")</f>
        <v/>
      </c>
    </row>
    <row r="6336">
      <c r="A6336" s="16">
        <f>IF(Calc!$B6336,Calc!E6336,"")</f>
        <v/>
      </c>
      <c r="B6336">
        <f>IF(Calc!$B6336,INDEX(MineNames,Calc!C6336),"")</f>
        <v/>
      </c>
      <c r="C6336" s="17">
        <f>IF(Calc!$B6336,Calc!O6336,"")</f>
        <v/>
      </c>
    </row>
    <row r="6337">
      <c r="A6337" s="16">
        <f>IF(Calc!$B6337,Calc!E6337,"")</f>
        <v/>
      </c>
      <c r="B6337">
        <f>IF(Calc!$B6337,INDEX(MineNames,Calc!C6337),"")</f>
        <v/>
      </c>
      <c r="C6337" s="17">
        <f>IF(Calc!$B6337,Calc!O6337,"")</f>
        <v/>
      </c>
    </row>
    <row r="6338">
      <c r="A6338" s="16">
        <f>IF(Calc!$B6338,Calc!E6338,"")</f>
        <v/>
      </c>
      <c r="B6338">
        <f>IF(Calc!$B6338,INDEX(MineNames,Calc!C6338),"")</f>
        <v/>
      </c>
      <c r="C6338" s="17">
        <f>IF(Calc!$B6338,Calc!O6338,"")</f>
        <v/>
      </c>
    </row>
    <row r="6339">
      <c r="A6339" s="16">
        <f>IF(Calc!$B6339,Calc!E6339,"")</f>
        <v/>
      </c>
      <c r="B6339">
        <f>IF(Calc!$B6339,INDEX(MineNames,Calc!C6339),"")</f>
        <v/>
      </c>
      <c r="C6339" s="17">
        <f>IF(Calc!$B6339,Calc!O6339,"")</f>
        <v/>
      </c>
    </row>
    <row r="6340">
      <c r="A6340" s="16">
        <f>IF(Calc!$B6340,Calc!E6340,"")</f>
        <v/>
      </c>
      <c r="B6340">
        <f>IF(Calc!$B6340,INDEX(MineNames,Calc!C6340),"")</f>
        <v/>
      </c>
      <c r="C6340" s="17">
        <f>IF(Calc!$B6340,Calc!O6340,"")</f>
        <v/>
      </c>
    </row>
    <row r="6341">
      <c r="A6341" s="16">
        <f>IF(Calc!$B6341,Calc!E6341,"")</f>
        <v/>
      </c>
      <c r="B6341">
        <f>IF(Calc!$B6341,INDEX(MineNames,Calc!C6341),"")</f>
        <v/>
      </c>
      <c r="C6341" s="17">
        <f>IF(Calc!$B6341,Calc!O6341,"")</f>
        <v/>
      </c>
    </row>
    <row r="6342">
      <c r="A6342" s="16">
        <f>IF(Calc!$B6342,Calc!E6342,"")</f>
        <v/>
      </c>
      <c r="B6342">
        <f>IF(Calc!$B6342,INDEX(MineNames,Calc!C6342),"")</f>
        <v/>
      </c>
      <c r="C6342" s="17">
        <f>IF(Calc!$B6342,Calc!O6342,"")</f>
        <v/>
      </c>
    </row>
    <row r="6343">
      <c r="A6343" s="16">
        <f>IF(Calc!$B6343,Calc!E6343,"")</f>
        <v/>
      </c>
      <c r="B6343">
        <f>IF(Calc!$B6343,INDEX(MineNames,Calc!C6343),"")</f>
        <v/>
      </c>
      <c r="C6343" s="17">
        <f>IF(Calc!$B6343,Calc!O6343,"")</f>
        <v/>
      </c>
    </row>
    <row r="6344">
      <c r="A6344" s="16">
        <f>IF(Calc!$B6344,Calc!E6344,"")</f>
        <v/>
      </c>
      <c r="B6344">
        <f>IF(Calc!$B6344,INDEX(MineNames,Calc!C6344),"")</f>
        <v/>
      </c>
      <c r="C6344" s="17">
        <f>IF(Calc!$B6344,Calc!O6344,"")</f>
        <v/>
      </c>
    </row>
    <row r="6345">
      <c r="A6345" s="16">
        <f>IF(Calc!$B6345,Calc!E6345,"")</f>
        <v/>
      </c>
      <c r="B6345">
        <f>IF(Calc!$B6345,INDEX(MineNames,Calc!C6345),"")</f>
        <v/>
      </c>
      <c r="C6345" s="17">
        <f>IF(Calc!$B6345,Calc!O6345,"")</f>
        <v/>
      </c>
    </row>
    <row r="6346">
      <c r="A6346" s="16">
        <f>IF(Calc!$B6346,Calc!E6346,"")</f>
        <v/>
      </c>
      <c r="B6346">
        <f>IF(Calc!$B6346,INDEX(MineNames,Calc!C6346),"")</f>
        <v/>
      </c>
      <c r="C6346" s="17">
        <f>IF(Calc!$B6346,Calc!O6346,"")</f>
        <v/>
      </c>
    </row>
    <row r="6347">
      <c r="A6347" s="16">
        <f>IF(Calc!$B6347,Calc!E6347,"")</f>
        <v/>
      </c>
      <c r="B6347">
        <f>IF(Calc!$B6347,INDEX(MineNames,Calc!C6347),"")</f>
        <v/>
      </c>
      <c r="C6347" s="17">
        <f>IF(Calc!$B6347,Calc!O6347,"")</f>
        <v/>
      </c>
    </row>
    <row r="6348">
      <c r="A6348" s="16">
        <f>IF(Calc!$B6348,Calc!E6348,"")</f>
        <v/>
      </c>
      <c r="B6348">
        <f>IF(Calc!$B6348,INDEX(MineNames,Calc!C6348),"")</f>
        <v/>
      </c>
      <c r="C6348" s="17">
        <f>IF(Calc!$B6348,Calc!O6348,"")</f>
        <v/>
      </c>
    </row>
    <row r="6349">
      <c r="A6349" s="16">
        <f>IF(Calc!$B6349,Calc!E6349,"")</f>
        <v/>
      </c>
      <c r="B6349">
        <f>IF(Calc!$B6349,INDEX(MineNames,Calc!C6349),"")</f>
        <v/>
      </c>
      <c r="C6349" s="17">
        <f>IF(Calc!$B6349,Calc!O6349,"")</f>
        <v/>
      </c>
    </row>
    <row r="6350">
      <c r="A6350" s="16">
        <f>IF(Calc!$B6350,Calc!E6350,"")</f>
        <v/>
      </c>
      <c r="B6350">
        <f>IF(Calc!$B6350,INDEX(MineNames,Calc!C6350),"")</f>
        <v/>
      </c>
      <c r="C6350" s="17">
        <f>IF(Calc!$B6350,Calc!O6350,"")</f>
        <v/>
      </c>
    </row>
    <row r="6351">
      <c r="A6351" s="16">
        <f>IF(Calc!$B6351,Calc!E6351,"")</f>
        <v/>
      </c>
      <c r="B6351">
        <f>IF(Calc!$B6351,INDEX(MineNames,Calc!C6351),"")</f>
        <v/>
      </c>
      <c r="C6351" s="17">
        <f>IF(Calc!$B6351,Calc!O6351,"")</f>
        <v/>
      </c>
    </row>
    <row r="6352">
      <c r="A6352" s="16">
        <f>IF(Calc!$B6352,Calc!E6352,"")</f>
        <v/>
      </c>
      <c r="B6352">
        <f>IF(Calc!$B6352,INDEX(MineNames,Calc!C6352),"")</f>
        <v/>
      </c>
      <c r="C6352" s="17">
        <f>IF(Calc!$B6352,Calc!O6352,"")</f>
        <v/>
      </c>
    </row>
    <row r="6353">
      <c r="A6353" s="16">
        <f>IF(Calc!$B6353,Calc!E6353,"")</f>
        <v/>
      </c>
      <c r="B6353">
        <f>IF(Calc!$B6353,INDEX(MineNames,Calc!C6353),"")</f>
        <v/>
      </c>
      <c r="C6353" s="17">
        <f>IF(Calc!$B6353,Calc!O6353,"")</f>
        <v/>
      </c>
    </row>
    <row r="6354">
      <c r="A6354" s="16">
        <f>IF(Calc!$B6354,Calc!E6354,"")</f>
        <v/>
      </c>
      <c r="B6354">
        <f>IF(Calc!$B6354,INDEX(MineNames,Calc!C6354),"")</f>
        <v/>
      </c>
      <c r="C6354" s="17">
        <f>IF(Calc!$B6354,Calc!O6354,"")</f>
        <v/>
      </c>
    </row>
    <row r="6355">
      <c r="A6355" s="16">
        <f>IF(Calc!$B6355,Calc!E6355,"")</f>
        <v/>
      </c>
      <c r="B6355">
        <f>IF(Calc!$B6355,INDEX(MineNames,Calc!C6355),"")</f>
        <v/>
      </c>
      <c r="C6355" s="17">
        <f>IF(Calc!$B6355,Calc!O6355,"")</f>
        <v/>
      </c>
    </row>
    <row r="6356">
      <c r="A6356" s="16">
        <f>IF(Calc!$B6356,Calc!E6356,"")</f>
        <v/>
      </c>
      <c r="B6356">
        <f>IF(Calc!$B6356,INDEX(MineNames,Calc!C6356),"")</f>
        <v/>
      </c>
      <c r="C6356" s="17">
        <f>IF(Calc!$B6356,Calc!O6356,"")</f>
        <v/>
      </c>
    </row>
    <row r="6357">
      <c r="A6357" s="16">
        <f>IF(Calc!$B6357,Calc!E6357,"")</f>
        <v/>
      </c>
      <c r="B6357">
        <f>IF(Calc!$B6357,INDEX(MineNames,Calc!C6357),"")</f>
        <v/>
      </c>
      <c r="C6357" s="17">
        <f>IF(Calc!$B6357,Calc!O6357,"")</f>
        <v/>
      </c>
    </row>
    <row r="6358">
      <c r="A6358" s="16">
        <f>IF(Calc!$B6358,Calc!E6358,"")</f>
        <v/>
      </c>
      <c r="B6358">
        <f>IF(Calc!$B6358,INDEX(MineNames,Calc!C6358),"")</f>
        <v/>
      </c>
      <c r="C6358" s="17">
        <f>IF(Calc!$B6358,Calc!O6358,"")</f>
        <v/>
      </c>
    </row>
    <row r="6359">
      <c r="A6359" s="16">
        <f>IF(Calc!$B6359,Calc!E6359,"")</f>
        <v/>
      </c>
      <c r="B6359">
        <f>IF(Calc!$B6359,INDEX(MineNames,Calc!C6359),"")</f>
        <v/>
      </c>
      <c r="C6359" s="17">
        <f>IF(Calc!$B6359,Calc!O6359,"")</f>
        <v/>
      </c>
    </row>
    <row r="6360">
      <c r="A6360" s="16">
        <f>IF(Calc!$B6360,Calc!E6360,"")</f>
        <v/>
      </c>
      <c r="B6360">
        <f>IF(Calc!$B6360,INDEX(MineNames,Calc!C6360),"")</f>
        <v/>
      </c>
      <c r="C6360" s="17">
        <f>IF(Calc!$B6360,Calc!O6360,"")</f>
        <v/>
      </c>
    </row>
    <row r="6361">
      <c r="A6361" s="16">
        <f>IF(Calc!$B6361,Calc!E6361,"")</f>
        <v/>
      </c>
      <c r="B6361">
        <f>IF(Calc!$B6361,INDEX(MineNames,Calc!C6361),"")</f>
        <v/>
      </c>
      <c r="C6361" s="17">
        <f>IF(Calc!$B6361,Calc!O6361,"")</f>
        <v/>
      </c>
    </row>
    <row r="6362">
      <c r="A6362" s="16">
        <f>IF(Calc!$B6362,Calc!E6362,"")</f>
        <v/>
      </c>
      <c r="B6362">
        <f>IF(Calc!$B6362,INDEX(MineNames,Calc!C6362),"")</f>
        <v/>
      </c>
      <c r="C6362" s="17">
        <f>IF(Calc!$B6362,Calc!O6362,"")</f>
        <v/>
      </c>
    </row>
    <row r="6363">
      <c r="A6363" s="16">
        <f>IF(Calc!$B6363,Calc!E6363,"")</f>
        <v/>
      </c>
      <c r="B6363">
        <f>IF(Calc!$B6363,INDEX(MineNames,Calc!C6363),"")</f>
        <v/>
      </c>
      <c r="C6363" s="17">
        <f>IF(Calc!$B6363,Calc!O6363,"")</f>
        <v/>
      </c>
    </row>
    <row r="6364">
      <c r="A6364" s="16">
        <f>IF(Calc!$B6364,Calc!E6364,"")</f>
        <v/>
      </c>
      <c r="B6364">
        <f>IF(Calc!$B6364,INDEX(MineNames,Calc!C6364),"")</f>
        <v/>
      </c>
      <c r="C6364" s="17">
        <f>IF(Calc!$B6364,Calc!O6364,"")</f>
        <v/>
      </c>
    </row>
    <row r="6365">
      <c r="A6365" s="16">
        <f>IF(Calc!$B6365,Calc!E6365,"")</f>
        <v/>
      </c>
      <c r="B6365">
        <f>IF(Calc!$B6365,INDEX(MineNames,Calc!C6365),"")</f>
        <v/>
      </c>
      <c r="C6365" s="17">
        <f>IF(Calc!$B6365,Calc!O6365,"")</f>
        <v/>
      </c>
    </row>
    <row r="6366">
      <c r="A6366" s="16">
        <f>IF(Calc!$B6366,Calc!E6366,"")</f>
        <v/>
      </c>
      <c r="B6366">
        <f>IF(Calc!$B6366,INDEX(MineNames,Calc!C6366),"")</f>
        <v/>
      </c>
      <c r="C6366" s="17">
        <f>IF(Calc!$B6366,Calc!O6366,"")</f>
        <v/>
      </c>
    </row>
    <row r="6367">
      <c r="A6367" s="16">
        <f>IF(Calc!$B6367,Calc!E6367,"")</f>
        <v/>
      </c>
      <c r="B6367">
        <f>IF(Calc!$B6367,INDEX(MineNames,Calc!C6367),"")</f>
        <v/>
      </c>
      <c r="C6367" s="17">
        <f>IF(Calc!$B6367,Calc!O6367,"")</f>
        <v/>
      </c>
    </row>
    <row r="6368">
      <c r="A6368" s="16">
        <f>IF(Calc!$B6368,Calc!E6368,"")</f>
        <v/>
      </c>
      <c r="B6368">
        <f>IF(Calc!$B6368,INDEX(MineNames,Calc!C6368),"")</f>
        <v/>
      </c>
      <c r="C6368" s="17">
        <f>IF(Calc!$B6368,Calc!O6368,"")</f>
        <v/>
      </c>
    </row>
    <row r="6369">
      <c r="A6369" s="16">
        <f>IF(Calc!$B6369,Calc!E6369,"")</f>
        <v/>
      </c>
      <c r="B6369">
        <f>IF(Calc!$B6369,INDEX(MineNames,Calc!C6369),"")</f>
        <v/>
      </c>
      <c r="C6369" s="17">
        <f>IF(Calc!$B6369,Calc!O6369,"")</f>
        <v/>
      </c>
    </row>
    <row r="6370">
      <c r="A6370" s="16">
        <f>IF(Calc!$B6370,Calc!E6370,"")</f>
        <v/>
      </c>
      <c r="B6370">
        <f>IF(Calc!$B6370,INDEX(MineNames,Calc!C6370),"")</f>
        <v/>
      </c>
      <c r="C6370" s="17">
        <f>IF(Calc!$B6370,Calc!O6370,"")</f>
        <v/>
      </c>
    </row>
    <row r="6371">
      <c r="A6371" s="16">
        <f>IF(Calc!$B6371,Calc!E6371,"")</f>
        <v/>
      </c>
      <c r="B6371">
        <f>IF(Calc!$B6371,INDEX(MineNames,Calc!C6371),"")</f>
        <v/>
      </c>
      <c r="C6371" s="17">
        <f>IF(Calc!$B6371,Calc!O6371,"")</f>
        <v/>
      </c>
    </row>
    <row r="6372">
      <c r="A6372" s="16">
        <f>IF(Calc!$B6372,Calc!E6372,"")</f>
        <v/>
      </c>
      <c r="B6372">
        <f>IF(Calc!$B6372,INDEX(MineNames,Calc!C6372),"")</f>
        <v/>
      </c>
      <c r="C6372" s="17">
        <f>IF(Calc!$B6372,Calc!O6372,"")</f>
        <v/>
      </c>
    </row>
    <row r="6373">
      <c r="A6373" s="16">
        <f>IF(Calc!$B6373,Calc!E6373,"")</f>
        <v/>
      </c>
      <c r="B6373">
        <f>IF(Calc!$B6373,INDEX(MineNames,Calc!C6373),"")</f>
        <v/>
      </c>
      <c r="C6373" s="17">
        <f>IF(Calc!$B6373,Calc!O6373,"")</f>
        <v/>
      </c>
    </row>
    <row r="6374">
      <c r="A6374" s="16">
        <f>IF(Calc!$B6374,Calc!E6374,"")</f>
        <v/>
      </c>
      <c r="B6374">
        <f>IF(Calc!$B6374,INDEX(MineNames,Calc!C6374),"")</f>
        <v/>
      </c>
      <c r="C6374" s="17">
        <f>IF(Calc!$B6374,Calc!O6374,"")</f>
        <v/>
      </c>
    </row>
    <row r="6375">
      <c r="A6375" s="16">
        <f>IF(Calc!$B6375,Calc!E6375,"")</f>
        <v/>
      </c>
      <c r="B6375">
        <f>IF(Calc!$B6375,INDEX(MineNames,Calc!C6375),"")</f>
        <v/>
      </c>
      <c r="C6375" s="17">
        <f>IF(Calc!$B6375,Calc!O6375,"")</f>
        <v/>
      </c>
    </row>
    <row r="6376">
      <c r="A6376" s="16">
        <f>IF(Calc!$B6376,Calc!E6376,"")</f>
        <v/>
      </c>
      <c r="B6376">
        <f>IF(Calc!$B6376,INDEX(MineNames,Calc!C6376),"")</f>
        <v/>
      </c>
      <c r="C6376" s="17">
        <f>IF(Calc!$B6376,Calc!O6376,"")</f>
        <v/>
      </c>
    </row>
    <row r="6377">
      <c r="A6377" s="16">
        <f>IF(Calc!$B6377,Calc!E6377,"")</f>
        <v/>
      </c>
      <c r="B6377">
        <f>IF(Calc!$B6377,INDEX(MineNames,Calc!C6377),"")</f>
        <v/>
      </c>
      <c r="C6377" s="17">
        <f>IF(Calc!$B6377,Calc!O6377,"")</f>
        <v/>
      </c>
    </row>
    <row r="6378">
      <c r="A6378" s="16">
        <f>IF(Calc!$B6378,Calc!E6378,"")</f>
        <v/>
      </c>
      <c r="B6378">
        <f>IF(Calc!$B6378,INDEX(MineNames,Calc!C6378),"")</f>
        <v/>
      </c>
      <c r="C6378" s="17">
        <f>IF(Calc!$B6378,Calc!O6378,"")</f>
        <v/>
      </c>
    </row>
    <row r="6379">
      <c r="A6379" s="16">
        <f>IF(Calc!$B6379,Calc!E6379,"")</f>
        <v/>
      </c>
      <c r="B6379">
        <f>IF(Calc!$B6379,INDEX(MineNames,Calc!C6379),"")</f>
        <v/>
      </c>
      <c r="C6379" s="17">
        <f>IF(Calc!$B6379,Calc!O6379,"")</f>
        <v/>
      </c>
    </row>
    <row r="6380">
      <c r="A6380" s="16">
        <f>IF(Calc!$B6380,Calc!E6380,"")</f>
        <v/>
      </c>
      <c r="B6380">
        <f>IF(Calc!$B6380,INDEX(MineNames,Calc!C6380),"")</f>
        <v/>
      </c>
      <c r="C6380" s="17">
        <f>IF(Calc!$B6380,Calc!O6380,"")</f>
        <v/>
      </c>
    </row>
    <row r="6381">
      <c r="A6381" s="16">
        <f>IF(Calc!$B6381,Calc!E6381,"")</f>
        <v/>
      </c>
      <c r="B6381">
        <f>IF(Calc!$B6381,INDEX(MineNames,Calc!C6381),"")</f>
        <v/>
      </c>
      <c r="C6381" s="17">
        <f>IF(Calc!$B6381,Calc!O6381,"")</f>
        <v/>
      </c>
    </row>
    <row r="6382">
      <c r="A6382" s="16">
        <f>IF(Calc!$B6382,Calc!E6382,"")</f>
        <v/>
      </c>
      <c r="B6382">
        <f>IF(Calc!$B6382,INDEX(MineNames,Calc!C6382),"")</f>
        <v/>
      </c>
      <c r="C6382" s="17">
        <f>IF(Calc!$B6382,Calc!O6382,"")</f>
        <v/>
      </c>
    </row>
    <row r="6383">
      <c r="A6383" s="16">
        <f>IF(Calc!$B6383,Calc!E6383,"")</f>
        <v/>
      </c>
      <c r="B6383">
        <f>IF(Calc!$B6383,INDEX(MineNames,Calc!C6383),"")</f>
        <v/>
      </c>
      <c r="C6383" s="17">
        <f>IF(Calc!$B6383,Calc!O6383,"")</f>
        <v/>
      </c>
    </row>
    <row r="6384">
      <c r="A6384" s="16">
        <f>IF(Calc!$B6384,Calc!E6384,"")</f>
        <v/>
      </c>
      <c r="B6384">
        <f>IF(Calc!$B6384,INDEX(MineNames,Calc!C6384),"")</f>
        <v/>
      </c>
      <c r="C6384" s="17">
        <f>IF(Calc!$B6384,Calc!O6384,"")</f>
        <v/>
      </c>
    </row>
    <row r="6385">
      <c r="A6385" s="16">
        <f>IF(Calc!$B6385,Calc!E6385,"")</f>
        <v/>
      </c>
      <c r="B6385">
        <f>IF(Calc!$B6385,INDEX(MineNames,Calc!C6385),"")</f>
        <v/>
      </c>
      <c r="C6385" s="17">
        <f>IF(Calc!$B6385,Calc!O6385,"")</f>
        <v/>
      </c>
    </row>
    <row r="6386">
      <c r="A6386" s="16">
        <f>IF(Calc!$B6386,Calc!E6386,"")</f>
        <v/>
      </c>
      <c r="B6386">
        <f>IF(Calc!$B6386,INDEX(MineNames,Calc!C6386),"")</f>
        <v/>
      </c>
      <c r="C6386" s="17">
        <f>IF(Calc!$B6386,Calc!O6386,"")</f>
        <v/>
      </c>
    </row>
    <row r="6387">
      <c r="A6387" s="16">
        <f>IF(Calc!$B6387,Calc!E6387,"")</f>
        <v/>
      </c>
      <c r="B6387">
        <f>IF(Calc!$B6387,INDEX(MineNames,Calc!C6387),"")</f>
        <v/>
      </c>
      <c r="C6387" s="17">
        <f>IF(Calc!$B6387,Calc!O6387,"")</f>
        <v/>
      </c>
    </row>
    <row r="6388">
      <c r="A6388" s="16">
        <f>IF(Calc!$B6388,Calc!E6388,"")</f>
        <v/>
      </c>
      <c r="B6388">
        <f>IF(Calc!$B6388,INDEX(MineNames,Calc!C6388),"")</f>
        <v/>
      </c>
      <c r="C6388" s="17">
        <f>IF(Calc!$B6388,Calc!O6388,"")</f>
        <v/>
      </c>
    </row>
    <row r="6389">
      <c r="A6389" s="16">
        <f>IF(Calc!$B6389,Calc!E6389,"")</f>
        <v/>
      </c>
      <c r="B6389">
        <f>IF(Calc!$B6389,INDEX(MineNames,Calc!C6389),"")</f>
        <v/>
      </c>
      <c r="C6389" s="17">
        <f>IF(Calc!$B6389,Calc!O6389,"")</f>
        <v/>
      </c>
    </row>
    <row r="6390">
      <c r="A6390" s="16">
        <f>IF(Calc!$B6390,Calc!E6390,"")</f>
        <v/>
      </c>
      <c r="B6390">
        <f>IF(Calc!$B6390,INDEX(MineNames,Calc!C6390),"")</f>
        <v/>
      </c>
      <c r="C6390" s="17">
        <f>IF(Calc!$B6390,Calc!O6390,"")</f>
        <v/>
      </c>
    </row>
    <row r="6391">
      <c r="A6391" s="16">
        <f>IF(Calc!$B6391,Calc!E6391,"")</f>
        <v/>
      </c>
      <c r="B6391">
        <f>IF(Calc!$B6391,INDEX(MineNames,Calc!C6391),"")</f>
        <v/>
      </c>
      <c r="C6391" s="17">
        <f>IF(Calc!$B6391,Calc!O6391,"")</f>
        <v/>
      </c>
    </row>
    <row r="6392">
      <c r="A6392" s="16">
        <f>IF(Calc!$B6392,Calc!E6392,"")</f>
        <v/>
      </c>
      <c r="B6392">
        <f>IF(Calc!$B6392,INDEX(MineNames,Calc!C6392),"")</f>
        <v/>
      </c>
      <c r="C6392" s="17">
        <f>IF(Calc!$B6392,Calc!O6392,"")</f>
        <v/>
      </c>
    </row>
    <row r="6393">
      <c r="A6393" s="16">
        <f>IF(Calc!$B6393,Calc!E6393,"")</f>
        <v/>
      </c>
      <c r="B6393">
        <f>IF(Calc!$B6393,INDEX(MineNames,Calc!C6393),"")</f>
        <v/>
      </c>
      <c r="C6393" s="17">
        <f>IF(Calc!$B6393,Calc!O6393,"")</f>
        <v/>
      </c>
    </row>
    <row r="6394">
      <c r="A6394" s="16">
        <f>IF(Calc!$B6394,Calc!E6394,"")</f>
        <v/>
      </c>
      <c r="B6394">
        <f>IF(Calc!$B6394,INDEX(MineNames,Calc!C6394),"")</f>
        <v/>
      </c>
      <c r="C6394" s="17">
        <f>IF(Calc!$B6394,Calc!O6394,"")</f>
        <v/>
      </c>
    </row>
    <row r="6395">
      <c r="A6395" s="16">
        <f>IF(Calc!$B6395,Calc!E6395,"")</f>
        <v/>
      </c>
      <c r="B6395">
        <f>IF(Calc!$B6395,INDEX(MineNames,Calc!C6395),"")</f>
        <v/>
      </c>
      <c r="C6395" s="17">
        <f>IF(Calc!$B6395,Calc!O6395,"")</f>
        <v/>
      </c>
    </row>
    <row r="6396">
      <c r="A6396" s="16">
        <f>IF(Calc!$B6396,Calc!E6396,"")</f>
        <v/>
      </c>
      <c r="B6396">
        <f>IF(Calc!$B6396,INDEX(MineNames,Calc!C6396),"")</f>
        <v/>
      </c>
      <c r="C6396" s="17">
        <f>IF(Calc!$B6396,Calc!O6396,"")</f>
        <v/>
      </c>
    </row>
    <row r="6397">
      <c r="A6397" s="16">
        <f>IF(Calc!$B6397,Calc!E6397,"")</f>
        <v/>
      </c>
      <c r="B6397">
        <f>IF(Calc!$B6397,INDEX(MineNames,Calc!C6397),"")</f>
        <v/>
      </c>
      <c r="C6397" s="17">
        <f>IF(Calc!$B6397,Calc!O6397,"")</f>
        <v/>
      </c>
    </row>
    <row r="6398">
      <c r="A6398" s="16">
        <f>IF(Calc!$B6398,Calc!E6398,"")</f>
        <v/>
      </c>
      <c r="B6398">
        <f>IF(Calc!$B6398,INDEX(MineNames,Calc!C6398),"")</f>
        <v/>
      </c>
      <c r="C6398" s="17">
        <f>IF(Calc!$B6398,Calc!O6398,"")</f>
        <v/>
      </c>
    </row>
    <row r="6399">
      <c r="A6399" s="16">
        <f>IF(Calc!$B6399,Calc!E6399,"")</f>
        <v/>
      </c>
      <c r="B6399">
        <f>IF(Calc!$B6399,INDEX(MineNames,Calc!C6399),"")</f>
        <v/>
      </c>
      <c r="C6399" s="17">
        <f>IF(Calc!$B6399,Calc!O6399,"")</f>
        <v/>
      </c>
    </row>
    <row r="6400">
      <c r="A6400" s="16">
        <f>IF(Calc!$B6400,Calc!E6400,"")</f>
        <v/>
      </c>
      <c r="B6400">
        <f>IF(Calc!$B6400,INDEX(MineNames,Calc!C6400),"")</f>
        <v/>
      </c>
      <c r="C6400" s="17">
        <f>IF(Calc!$B6400,Calc!O6400,"")</f>
        <v/>
      </c>
    </row>
    <row r="6401">
      <c r="A6401" s="16">
        <f>IF(Calc!$B6401,Calc!E6401,"")</f>
        <v/>
      </c>
      <c r="B6401">
        <f>IF(Calc!$B6401,INDEX(MineNames,Calc!C6401),"")</f>
        <v/>
      </c>
      <c r="C6401" s="17">
        <f>IF(Calc!$B6401,Calc!O6401,"")</f>
        <v/>
      </c>
    </row>
    <row r="6402">
      <c r="A6402" s="16">
        <f>IF(Calc!$B6402,Calc!E6402,"")</f>
        <v/>
      </c>
      <c r="B6402">
        <f>IF(Calc!$B6402,INDEX(MineNames,Calc!C6402),"")</f>
        <v/>
      </c>
      <c r="C6402" s="17">
        <f>IF(Calc!$B6402,Calc!O6402,"")</f>
        <v/>
      </c>
    </row>
    <row r="6403">
      <c r="A6403" s="16">
        <f>IF(Calc!$B6403,Calc!E6403,"")</f>
        <v/>
      </c>
      <c r="B6403">
        <f>IF(Calc!$B6403,INDEX(MineNames,Calc!C6403),"")</f>
        <v/>
      </c>
      <c r="C6403" s="17">
        <f>IF(Calc!$B6403,Calc!O6403,"")</f>
        <v/>
      </c>
    </row>
    <row r="6404">
      <c r="A6404" s="16">
        <f>IF(Calc!$B6404,Calc!E6404,"")</f>
        <v/>
      </c>
      <c r="B6404">
        <f>IF(Calc!$B6404,INDEX(MineNames,Calc!C6404),"")</f>
        <v/>
      </c>
      <c r="C6404" s="17">
        <f>IF(Calc!$B6404,Calc!O6404,"")</f>
        <v/>
      </c>
    </row>
    <row r="6405">
      <c r="A6405" s="16">
        <f>IF(Calc!$B6405,Calc!E6405,"")</f>
        <v/>
      </c>
      <c r="B6405">
        <f>IF(Calc!$B6405,INDEX(MineNames,Calc!C6405),"")</f>
        <v/>
      </c>
      <c r="C6405" s="17">
        <f>IF(Calc!$B6405,Calc!O6405,"")</f>
        <v/>
      </c>
    </row>
    <row r="6406">
      <c r="A6406" s="16">
        <f>IF(Calc!$B6406,Calc!E6406,"")</f>
        <v/>
      </c>
      <c r="B6406">
        <f>IF(Calc!$B6406,INDEX(MineNames,Calc!C6406),"")</f>
        <v/>
      </c>
      <c r="C6406" s="17">
        <f>IF(Calc!$B6406,Calc!O6406,"")</f>
        <v/>
      </c>
    </row>
    <row r="6407">
      <c r="A6407" s="16">
        <f>IF(Calc!$B6407,Calc!E6407,"")</f>
        <v/>
      </c>
      <c r="B6407">
        <f>IF(Calc!$B6407,INDEX(MineNames,Calc!C6407),"")</f>
        <v/>
      </c>
      <c r="C6407" s="17">
        <f>IF(Calc!$B6407,Calc!O6407,"")</f>
        <v/>
      </c>
    </row>
    <row r="6408">
      <c r="A6408" s="16">
        <f>IF(Calc!$B6408,Calc!E6408,"")</f>
        <v/>
      </c>
      <c r="B6408">
        <f>IF(Calc!$B6408,INDEX(MineNames,Calc!C6408),"")</f>
        <v/>
      </c>
      <c r="C6408" s="17">
        <f>IF(Calc!$B6408,Calc!O6408,"")</f>
        <v/>
      </c>
    </row>
    <row r="6409">
      <c r="A6409" s="16">
        <f>IF(Calc!$B6409,Calc!E6409,"")</f>
        <v/>
      </c>
      <c r="B6409">
        <f>IF(Calc!$B6409,INDEX(MineNames,Calc!C6409),"")</f>
        <v/>
      </c>
      <c r="C6409" s="17">
        <f>IF(Calc!$B6409,Calc!O6409,"")</f>
        <v/>
      </c>
    </row>
    <row r="6410">
      <c r="A6410" s="16">
        <f>IF(Calc!$B6410,Calc!E6410,"")</f>
        <v/>
      </c>
      <c r="B6410">
        <f>IF(Calc!$B6410,INDEX(MineNames,Calc!C6410),"")</f>
        <v/>
      </c>
      <c r="C6410" s="17">
        <f>IF(Calc!$B6410,Calc!O6410,"")</f>
        <v/>
      </c>
    </row>
    <row r="6411">
      <c r="A6411" s="16">
        <f>IF(Calc!$B6411,Calc!E6411,"")</f>
        <v/>
      </c>
      <c r="B6411">
        <f>IF(Calc!$B6411,INDEX(MineNames,Calc!C6411),"")</f>
        <v/>
      </c>
      <c r="C6411" s="17">
        <f>IF(Calc!$B6411,Calc!O6411,"")</f>
        <v/>
      </c>
    </row>
    <row r="6412">
      <c r="A6412" s="16">
        <f>IF(Calc!$B6412,Calc!E6412,"")</f>
        <v/>
      </c>
      <c r="B6412">
        <f>IF(Calc!$B6412,INDEX(MineNames,Calc!C6412),"")</f>
        <v/>
      </c>
      <c r="C6412" s="17">
        <f>IF(Calc!$B6412,Calc!O6412,"")</f>
        <v/>
      </c>
    </row>
    <row r="6413">
      <c r="A6413" s="16">
        <f>IF(Calc!$B6413,Calc!E6413,"")</f>
        <v/>
      </c>
      <c r="B6413">
        <f>IF(Calc!$B6413,INDEX(MineNames,Calc!C6413),"")</f>
        <v/>
      </c>
      <c r="C6413" s="17">
        <f>IF(Calc!$B6413,Calc!O6413,"")</f>
        <v/>
      </c>
    </row>
    <row r="6414">
      <c r="A6414" s="16">
        <f>IF(Calc!$B6414,Calc!E6414,"")</f>
        <v/>
      </c>
      <c r="B6414">
        <f>IF(Calc!$B6414,INDEX(MineNames,Calc!C6414),"")</f>
        <v/>
      </c>
      <c r="C6414" s="17">
        <f>IF(Calc!$B6414,Calc!O6414,"")</f>
        <v/>
      </c>
    </row>
    <row r="6415">
      <c r="A6415" s="16">
        <f>IF(Calc!$B6415,Calc!E6415,"")</f>
        <v/>
      </c>
      <c r="B6415">
        <f>IF(Calc!$B6415,INDEX(MineNames,Calc!C6415),"")</f>
        <v/>
      </c>
      <c r="C6415" s="17">
        <f>IF(Calc!$B6415,Calc!O6415,"")</f>
        <v/>
      </c>
    </row>
    <row r="6416">
      <c r="A6416" s="16">
        <f>IF(Calc!$B6416,Calc!E6416,"")</f>
        <v/>
      </c>
      <c r="B6416">
        <f>IF(Calc!$B6416,INDEX(MineNames,Calc!C6416),"")</f>
        <v/>
      </c>
      <c r="C6416" s="17">
        <f>IF(Calc!$B6416,Calc!O6416,"")</f>
        <v/>
      </c>
    </row>
    <row r="6417">
      <c r="A6417" s="16">
        <f>IF(Calc!$B6417,Calc!E6417,"")</f>
        <v/>
      </c>
      <c r="B6417">
        <f>IF(Calc!$B6417,INDEX(MineNames,Calc!C6417),"")</f>
        <v/>
      </c>
      <c r="C6417" s="17">
        <f>IF(Calc!$B6417,Calc!O6417,"")</f>
        <v/>
      </c>
    </row>
    <row r="6418">
      <c r="A6418" s="16">
        <f>IF(Calc!$B6418,Calc!E6418,"")</f>
        <v/>
      </c>
      <c r="B6418">
        <f>IF(Calc!$B6418,INDEX(MineNames,Calc!C6418),"")</f>
        <v/>
      </c>
      <c r="C6418" s="17">
        <f>IF(Calc!$B6418,Calc!O6418,"")</f>
        <v/>
      </c>
    </row>
    <row r="6419">
      <c r="A6419" s="16">
        <f>IF(Calc!$B6419,Calc!E6419,"")</f>
        <v/>
      </c>
      <c r="B6419">
        <f>IF(Calc!$B6419,INDEX(MineNames,Calc!C6419),"")</f>
        <v/>
      </c>
      <c r="C6419" s="17">
        <f>IF(Calc!$B6419,Calc!O6419,"")</f>
        <v/>
      </c>
    </row>
    <row r="6420">
      <c r="A6420" s="16">
        <f>IF(Calc!$B6420,Calc!E6420,"")</f>
        <v/>
      </c>
      <c r="B6420">
        <f>IF(Calc!$B6420,INDEX(MineNames,Calc!C6420),"")</f>
        <v/>
      </c>
      <c r="C6420" s="17">
        <f>IF(Calc!$B6420,Calc!O6420,"")</f>
        <v/>
      </c>
    </row>
    <row r="6421">
      <c r="A6421" s="16">
        <f>IF(Calc!$B6421,Calc!E6421,"")</f>
        <v/>
      </c>
      <c r="B6421">
        <f>IF(Calc!$B6421,INDEX(MineNames,Calc!C6421),"")</f>
        <v/>
      </c>
      <c r="C6421" s="17">
        <f>IF(Calc!$B6421,Calc!O6421,"")</f>
        <v/>
      </c>
    </row>
    <row r="6422">
      <c r="A6422" s="16">
        <f>IF(Calc!$B6422,Calc!E6422,"")</f>
        <v/>
      </c>
      <c r="B6422">
        <f>IF(Calc!$B6422,INDEX(MineNames,Calc!C6422),"")</f>
        <v/>
      </c>
      <c r="C6422" s="17">
        <f>IF(Calc!$B6422,Calc!O6422,"")</f>
        <v/>
      </c>
    </row>
    <row r="6423">
      <c r="A6423" s="16">
        <f>IF(Calc!$B6423,Calc!E6423,"")</f>
        <v/>
      </c>
      <c r="B6423">
        <f>IF(Calc!$B6423,INDEX(MineNames,Calc!C6423),"")</f>
        <v/>
      </c>
      <c r="C6423" s="17">
        <f>IF(Calc!$B6423,Calc!O6423,"")</f>
        <v/>
      </c>
    </row>
    <row r="6424">
      <c r="A6424" s="16">
        <f>IF(Calc!$B6424,Calc!E6424,"")</f>
        <v/>
      </c>
      <c r="B6424">
        <f>IF(Calc!$B6424,INDEX(MineNames,Calc!C6424),"")</f>
        <v/>
      </c>
      <c r="C6424" s="17">
        <f>IF(Calc!$B6424,Calc!O6424,"")</f>
        <v/>
      </c>
    </row>
    <row r="6425">
      <c r="A6425" s="16">
        <f>IF(Calc!$B6425,Calc!E6425,"")</f>
        <v/>
      </c>
      <c r="B6425">
        <f>IF(Calc!$B6425,INDEX(MineNames,Calc!C6425),"")</f>
        <v/>
      </c>
      <c r="C6425" s="17">
        <f>IF(Calc!$B6425,Calc!O6425,"")</f>
        <v/>
      </c>
    </row>
    <row r="6426">
      <c r="A6426" s="16">
        <f>IF(Calc!$B6426,Calc!E6426,"")</f>
        <v/>
      </c>
      <c r="B6426">
        <f>IF(Calc!$B6426,INDEX(MineNames,Calc!C6426),"")</f>
        <v/>
      </c>
      <c r="C6426" s="17">
        <f>IF(Calc!$B6426,Calc!O6426,"")</f>
        <v/>
      </c>
    </row>
    <row r="6427">
      <c r="A6427" s="16">
        <f>IF(Calc!$B6427,Calc!E6427,"")</f>
        <v/>
      </c>
      <c r="B6427">
        <f>IF(Calc!$B6427,INDEX(MineNames,Calc!C6427),"")</f>
        <v/>
      </c>
      <c r="C6427" s="17">
        <f>IF(Calc!$B6427,Calc!O6427,"")</f>
        <v/>
      </c>
    </row>
    <row r="6428">
      <c r="A6428" s="16">
        <f>IF(Calc!$B6428,Calc!E6428,"")</f>
        <v/>
      </c>
      <c r="B6428">
        <f>IF(Calc!$B6428,INDEX(MineNames,Calc!C6428),"")</f>
        <v/>
      </c>
      <c r="C6428" s="17">
        <f>IF(Calc!$B6428,Calc!O6428,"")</f>
        <v/>
      </c>
    </row>
    <row r="6429">
      <c r="A6429" s="16">
        <f>IF(Calc!$B6429,Calc!E6429,"")</f>
        <v/>
      </c>
      <c r="B6429">
        <f>IF(Calc!$B6429,INDEX(MineNames,Calc!C6429),"")</f>
        <v/>
      </c>
      <c r="C6429" s="17">
        <f>IF(Calc!$B6429,Calc!O6429,"")</f>
        <v/>
      </c>
    </row>
    <row r="6430">
      <c r="A6430" s="16">
        <f>IF(Calc!$B6430,Calc!E6430,"")</f>
        <v/>
      </c>
      <c r="B6430">
        <f>IF(Calc!$B6430,INDEX(MineNames,Calc!C6430),"")</f>
        <v/>
      </c>
      <c r="C6430" s="17">
        <f>IF(Calc!$B6430,Calc!O6430,"")</f>
        <v/>
      </c>
    </row>
    <row r="6431">
      <c r="A6431" s="16">
        <f>IF(Calc!$B6431,Calc!E6431,"")</f>
        <v/>
      </c>
      <c r="B6431">
        <f>IF(Calc!$B6431,INDEX(MineNames,Calc!C6431),"")</f>
        <v/>
      </c>
      <c r="C6431" s="17">
        <f>IF(Calc!$B6431,Calc!O6431,"")</f>
        <v/>
      </c>
    </row>
    <row r="6432">
      <c r="A6432" s="16">
        <f>IF(Calc!$B6432,Calc!E6432,"")</f>
        <v/>
      </c>
      <c r="B6432">
        <f>IF(Calc!$B6432,INDEX(MineNames,Calc!C6432),"")</f>
        <v/>
      </c>
      <c r="C6432" s="17">
        <f>IF(Calc!$B6432,Calc!O6432,"")</f>
        <v/>
      </c>
    </row>
    <row r="6433">
      <c r="A6433" s="16">
        <f>IF(Calc!$B6433,Calc!E6433,"")</f>
        <v/>
      </c>
      <c r="B6433">
        <f>IF(Calc!$B6433,INDEX(MineNames,Calc!C6433),"")</f>
        <v/>
      </c>
      <c r="C6433" s="17">
        <f>IF(Calc!$B6433,Calc!O6433,"")</f>
        <v/>
      </c>
    </row>
    <row r="6434">
      <c r="A6434" s="16">
        <f>IF(Calc!$B6434,Calc!E6434,"")</f>
        <v/>
      </c>
      <c r="B6434">
        <f>IF(Calc!$B6434,INDEX(MineNames,Calc!C6434),"")</f>
        <v/>
      </c>
      <c r="C6434" s="17">
        <f>IF(Calc!$B6434,Calc!O6434,"")</f>
        <v/>
      </c>
    </row>
    <row r="6435">
      <c r="A6435" s="16">
        <f>IF(Calc!$B6435,Calc!E6435,"")</f>
        <v/>
      </c>
      <c r="B6435">
        <f>IF(Calc!$B6435,INDEX(MineNames,Calc!C6435),"")</f>
        <v/>
      </c>
      <c r="C6435" s="17">
        <f>IF(Calc!$B6435,Calc!O6435,"")</f>
        <v/>
      </c>
    </row>
    <row r="6436">
      <c r="A6436" s="16">
        <f>IF(Calc!$B6436,Calc!E6436,"")</f>
        <v/>
      </c>
      <c r="B6436">
        <f>IF(Calc!$B6436,INDEX(MineNames,Calc!C6436),"")</f>
        <v/>
      </c>
      <c r="C6436" s="17">
        <f>IF(Calc!$B6436,Calc!O6436,"")</f>
        <v/>
      </c>
    </row>
    <row r="6437">
      <c r="A6437" s="16">
        <f>IF(Calc!$B6437,Calc!E6437,"")</f>
        <v/>
      </c>
      <c r="B6437">
        <f>IF(Calc!$B6437,INDEX(MineNames,Calc!C6437),"")</f>
        <v/>
      </c>
      <c r="C6437" s="17">
        <f>IF(Calc!$B6437,Calc!O6437,"")</f>
        <v/>
      </c>
    </row>
    <row r="6438">
      <c r="A6438" s="16">
        <f>IF(Calc!$B6438,Calc!E6438,"")</f>
        <v/>
      </c>
      <c r="B6438">
        <f>IF(Calc!$B6438,INDEX(MineNames,Calc!C6438),"")</f>
        <v/>
      </c>
      <c r="C6438" s="17">
        <f>IF(Calc!$B6438,Calc!O6438,"")</f>
        <v/>
      </c>
    </row>
    <row r="6439">
      <c r="A6439" s="16">
        <f>IF(Calc!$B6439,Calc!E6439,"")</f>
        <v/>
      </c>
      <c r="B6439">
        <f>IF(Calc!$B6439,INDEX(MineNames,Calc!C6439),"")</f>
        <v/>
      </c>
      <c r="C6439" s="17">
        <f>IF(Calc!$B6439,Calc!O6439,"")</f>
        <v/>
      </c>
    </row>
    <row r="6440">
      <c r="A6440" s="16">
        <f>IF(Calc!$B6440,Calc!E6440,"")</f>
        <v/>
      </c>
      <c r="B6440">
        <f>IF(Calc!$B6440,INDEX(MineNames,Calc!C6440),"")</f>
        <v/>
      </c>
      <c r="C6440" s="17">
        <f>IF(Calc!$B6440,Calc!O6440,"")</f>
        <v/>
      </c>
    </row>
    <row r="6441">
      <c r="A6441" s="16">
        <f>IF(Calc!$B6441,Calc!E6441,"")</f>
        <v/>
      </c>
      <c r="B6441">
        <f>IF(Calc!$B6441,INDEX(MineNames,Calc!C6441),"")</f>
        <v/>
      </c>
      <c r="C6441" s="17">
        <f>IF(Calc!$B6441,Calc!O6441,"")</f>
        <v/>
      </c>
    </row>
    <row r="6442">
      <c r="A6442" s="16">
        <f>IF(Calc!$B6442,Calc!E6442,"")</f>
        <v/>
      </c>
      <c r="B6442">
        <f>IF(Calc!$B6442,INDEX(MineNames,Calc!C6442),"")</f>
        <v/>
      </c>
      <c r="C6442" s="17">
        <f>IF(Calc!$B6442,Calc!O6442,"")</f>
        <v/>
      </c>
    </row>
    <row r="6443">
      <c r="A6443" s="16">
        <f>IF(Calc!$B6443,Calc!E6443,"")</f>
        <v/>
      </c>
      <c r="B6443">
        <f>IF(Calc!$B6443,INDEX(MineNames,Calc!C6443),"")</f>
        <v/>
      </c>
      <c r="C6443" s="17">
        <f>IF(Calc!$B6443,Calc!O6443,"")</f>
        <v/>
      </c>
    </row>
    <row r="6444">
      <c r="A6444" s="16">
        <f>IF(Calc!$B6444,Calc!E6444,"")</f>
        <v/>
      </c>
      <c r="B6444">
        <f>IF(Calc!$B6444,INDEX(MineNames,Calc!C6444),"")</f>
        <v/>
      </c>
      <c r="C6444" s="17">
        <f>IF(Calc!$B6444,Calc!O6444,"")</f>
        <v/>
      </c>
    </row>
    <row r="6445">
      <c r="A6445" s="16">
        <f>IF(Calc!$B6445,Calc!E6445,"")</f>
        <v/>
      </c>
      <c r="B6445">
        <f>IF(Calc!$B6445,INDEX(MineNames,Calc!C6445),"")</f>
        <v/>
      </c>
      <c r="C6445" s="17">
        <f>IF(Calc!$B6445,Calc!O6445,"")</f>
        <v/>
      </c>
    </row>
    <row r="6446">
      <c r="A6446" s="16">
        <f>IF(Calc!$B6446,Calc!E6446,"")</f>
        <v/>
      </c>
      <c r="B6446">
        <f>IF(Calc!$B6446,INDEX(MineNames,Calc!C6446),"")</f>
        <v/>
      </c>
      <c r="C6446" s="17">
        <f>IF(Calc!$B6446,Calc!O6446,"")</f>
        <v/>
      </c>
    </row>
    <row r="6447">
      <c r="A6447" s="16">
        <f>IF(Calc!$B6447,Calc!E6447,"")</f>
        <v/>
      </c>
      <c r="B6447">
        <f>IF(Calc!$B6447,INDEX(MineNames,Calc!C6447),"")</f>
        <v/>
      </c>
      <c r="C6447" s="17">
        <f>IF(Calc!$B6447,Calc!O6447,"")</f>
        <v/>
      </c>
    </row>
    <row r="6448">
      <c r="A6448" s="16">
        <f>IF(Calc!$B6448,Calc!E6448,"")</f>
        <v/>
      </c>
      <c r="B6448">
        <f>IF(Calc!$B6448,INDEX(MineNames,Calc!C6448),"")</f>
        <v/>
      </c>
      <c r="C6448" s="17">
        <f>IF(Calc!$B6448,Calc!O6448,"")</f>
        <v/>
      </c>
    </row>
    <row r="6449">
      <c r="A6449" s="16">
        <f>IF(Calc!$B6449,Calc!E6449,"")</f>
        <v/>
      </c>
      <c r="B6449">
        <f>IF(Calc!$B6449,INDEX(MineNames,Calc!C6449),"")</f>
        <v/>
      </c>
      <c r="C6449" s="17">
        <f>IF(Calc!$B6449,Calc!O6449,"")</f>
        <v/>
      </c>
    </row>
    <row r="6450">
      <c r="A6450" s="16">
        <f>IF(Calc!$B6450,Calc!E6450,"")</f>
        <v/>
      </c>
      <c r="B6450">
        <f>IF(Calc!$B6450,INDEX(MineNames,Calc!C6450),"")</f>
        <v/>
      </c>
      <c r="C6450" s="17">
        <f>IF(Calc!$B6450,Calc!O6450,"")</f>
        <v/>
      </c>
    </row>
    <row r="6451">
      <c r="A6451" s="16">
        <f>IF(Calc!$B6451,Calc!E6451,"")</f>
        <v/>
      </c>
      <c r="B6451">
        <f>IF(Calc!$B6451,INDEX(MineNames,Calc!C6451),"")</f>
        <v/>
      </c>
      <c r="C6451" s="17">
        <f>IF(Calc!$B6451,Calc!O6451,"")</f>
        <v/>
      </c>
    </row>
    <row r="6452">
      <c r="A6452" s="16">
        <f>IF(Calc!$B6452,Calc!E6452,"")</f>
        <v/>
      </c>
      <c r="B6452">
        <f>IF(Calc!$B6452,INDEX(MineNames,Calc!C6452),"")</f>
        <v/>
      </c>
      <c r="C6452" s="17">
        <f>IF(Calc!$B6452,Calc!O6452,"")</f>
        <v/>
      </c>
    </row>
    <row r="6453">
      <c r="A6453" s="16">
        <f>IF(Calc!$B6453,Calc!E6453,"")</f>
        <v/>
      </c>
      <c r="B6453">
        <f>IF(Calc!$B6453,INDEX(MineNames,Calc!C6453),"")</f>
        <v/>
      </c>
      <c r="C6453" s="17">
        <f>IF(Calc!$B6453,Calc!O6453,"")</f>
        <v/>
      </c>
    </row>
    <row r="6454">
      <c r="A6454" s="16">
        <f>IF(Calc!$B6454,Calc!E6454,"")</f>
        <v/>
      </c>
      <c r="B6454">
        <f>IF(Calc!$B6454,INDEX(MineNames,Calc!C6454),"")</f>
        <v/>
      </c>
      <c r="C6454" s="17">
        <f>IF(Calc!$B6454,Calc!O6454,"")</f>
        <v/>
      </c>
    </row>
    <row r="6455">
      <c r="A6455" s="16">
        <f>IF(Calc!$B6455,Calc!E6455,"")</f>
        <v/>
      </c>
      <c r="B6455">
        <f>IF(Calc!$B6455,INDEX(MineNames,Calc!C6455),"")</f>
        <v/>
      </c>
      <c r="C6455" s="17">
        <f>IF(Calc!$B6455,Calc!O6455,"")</f>
        <v/>
      </c>
    </row>
    <row r="6456">
      <c r="A6456" s="16">
        <f>IF(Calc!$B6456,Calc!E6456,"")</f>
        <v/>
      </c>
      <c r="B6456">
        <f>IF(Calc!$B6456,INDEX(MineNames,Calc!C6456),"")</f>
        <v/>
      </c>
      <c r="C6456" s="17">
        <f>IF(Calc!$B6456,Calc!O6456,"")</f>
        <v/>
      </c>
    </row>
    <row r="6457">
      <c r="A6457" s="16">
        <f>IF(Calc!$B6457,Calc!E6457,"")</f>
        <v/>
      </c>
      <c r="B6457">
        <f>IF(Calc!$B6457,INDEX(MineNames,Calc!C6457),"")</f>
        <v/>
      </c>
      <c r="C6457" s="17">
        <f>IF(Calc!$B6457,Calc!O6457,"")</f>
        <v/>
      </c>
    </row>
    <row r="6458">
      <c r="A6458" s="16">
        <f>IF(Calc!$B6458,Calc!E6458,"")</f>
        <v/>
      </c>
      <c r="B6458">
        <f>IF(Calc!$B6458,INDEX(MineNames,Calc!C6458),"")</f>
        <v/>
      </c>
      <c r="C6458" s="17">
        <f>IF(Calc!$B6458,Calc!O6458,"")</f>
        <v/>
      </c>
    </row>
    <row r="6459">
      <c r="A6459" s="16">
        <f>IF(Calc!$B6459,Calc!E6459,"")</f>
        <v/>
      </c>
      <c r="B6459">
        <f>IF(Calc!$B6459,INDEX(MineNames,Calc!C6459),"")</f>
        <v/>
      </c>
      <c r="C6459" s="17">
        <f>IF(Calc!$B6459,Calc!O6459,"")</f>
        <v/>
      </c>
    </row>
    <row r="6460">
      <c r="A6460" s="16">
        <f>IF(Calc!$B6460,Calc!E6460,"")</f>
        <v/>
      </c>
      <c r="B6460">
        <f>IF(Calc!$B6460,INDEX(MineNames,Calc!C6460),"")</f>
        <v/>
      </c>
      <c r="C6460" s="17">
        <f>IF(Calc!$B6460,Calc!O6460,"")</f>
        <v/>
      </c>
    </row>
    <row r="6461">
      <c r="A6461" s="16">
        <f>IF(Calc!$B6461,Calc!E6461,"")</f>
        <v/>
      </c>
      <c r="B6461">
        <f>IF(Calc!$B6461,INDEX(MineNames,Calc!C6461),"")</f>
        <v/>
      </c>
      <c r="C6461" s="17">
        <f>IF(Calc!$B6461,Calc!O6461,"")</f>
        <v/>
      </c>
    </row>
    <row r="6462">
      <c r="A6462" s="16">
        <f>IF(Calc!$B6462,Calc!E6462,"")</f>
        <v/>
      </c>
      <c r="B6462">
        <f>IF(Calc!$B6462,INDEX(MineNames,Calc!C6462),"")</f>
        <v/>
      </c>
      <c r="C6462" s="17">
        <f>IF(Calc!$B6462,Calc!O6462,"")</f>
        <v/>
      </c>
    </row>
    <row r="6463">
      <c r="A6463" s="16">
        <f>IF(Calc!$B6463,Calc!E6463,"")</f>
        <v/>
      </c>
      <c r="B6463">
        <f>IF(Calc!$B6463,INDEX(MineNames,Calc!C6463),"")</f>
        <v/>
      </c>
      <c r="C6463" s="17">
        <f>IF(Calc!$B6463,Calc!O6463,"")</f>
        <v/>
      </c>
    </row>
    <row r="6464">
      <c r="A6464" s="16">
        <f>IF(Calc!$B6464,Calc!E6464,"")</f>
        <v/>
      </c>
      <c r="B6464">
        <f>IF(Calc!$B6464,INDEX(MineNames,Calc!C6464),"")</f>
        <v/>
      </c>
      <c r="C6464" s="17">
        <f>IF(Calc!$B6464,Calc!O6464,"")</f>
        <v/>
      </c>
    </row>
    <row r="6465">
      <c r="A6465" s="16">
        <f>IF(Calc!$B6465,Calc!E6465,"")</f>
        <v/>
      </c>
      <c r="B6465">
        <f>IF(Calc!$B6465,INDEX(MineNames,Calc!C6465),"")</f>
        <v/>
      </c>
      <c r="C6465" s="17">
        <f>IF(Calc!$B6465,Calc!O6465,"")</f>
        <v/>
      </c>
    </row>
    <row r="6466">
      <c r="A6466" s="16">
        <f>IF(Calc!$B6466,Calc!E6466,"")</f>
        <v/>
      </c>
      <c r="B6466">
        <f>IF(Calc!$B6466,INDEX(MineNames,Calc!C6466),"")</f>
        <v/>
      </c>
      <c r="C6466" s="17">
        <f>IF(Calc!$B6466,Calc!O6466,"")</f>
        <v/>
      </c>
    </row>
    <row r="6467">
      <c r="A6467" s="16">
        <f>IF(Calc!$B6467,Calc!E6467,"")</f>
        <v/>
      </c>
      <c r="B6467">
        <f>IF(Calc!$B6467,INDEX(MineNames,Calc!C6467),"")</f>
        <v/>
      </c>
      <c r="C6467" s="17">
        <f>IF(Calc!$B6467,Calc!O6467,"")</f>
        <v/>
      </c>
    </row>
    <row r="6468">
      <c r="A6468" s="16">
        <f>IF(Calc!$B6468,Calc!E6468,"")</f>
        <v/>
      </c>
      <c r="B6468">
        <f>IF(Calc!$B6468,INDEX(MineNames,Calc!C6468),"")</f>
        <v/>
      </c>
      <c r="C6468" s="17">
        <f>IF(Calc!$B6468,Calc!O6468,"")</f>
        <v/>
      </c>
    </row>
    <row r="6469">
      <c r="A6469" s="16">
        <f>IF(Calc!$B6469,Calc!E6469,"")</f>
        <v/>
      </c>
      <c r="B6469">
        <f>IF(Calc!$B6469,INDEX(MineNames,Calc!C6469),"")</f>
        <v/>
      </c>
      <c r="C6469" s="17">
        <f>IF(Calc!$B6469,Calc!O6469,"")</f>
        <v/>
      </c>
    </row>
    <row r="6470">
      <c r="A6470" s="16">
        <f>IF(Calc!$B6470,Calc!E6470,"")</f>
        <v/>
      </c>
      <c r="B6470">
        <f>IF(Calc!$B6470,INDEX(MineNames,Calc!C6470),"")</f>
        <v/>
      </c>
      <c r="C6470" s="17">
        <f>IF(Calc!$B6470,Calc!O6470,"")</f>
        <v/>
      </c>
    </row>
    <row r="6471">
      <c r="A6471" s="16">
        <f>IF(Calc!$B6471,Calc!E6471,"")</f>
        <v/>
      </c>
      <c r="B6471">
        <f>IF(Calc!$B6471,INDEX(MineNames,Calc!C6471),"")</f>
        <v/>
      </c>
      <c r="C6471" s="17">
        <f>IF(Calc!$B6471,Calc!O6471,"")</f>
        <v/>
      </c>
    </row>
    <row r="6472">
      <c r="A6472" s="16">
        <f>IF(Calc!$B6472,Calc!E6472,"")</f>
        <v/>
      </c>
      <c r="B6472">
        <f>IF(Calc!$B6472,INDEX(MineNames,Calc!C6472),"")</f>
        <v/>
      </c>
      <c r="C6472" s="17">
        <f>IF(Calc!$B6472,Calc!O6472,"")</f>
        <v/>
      </c>
    </row>
    <row r="6473">
      <c r="A6473" s="16">
        <f>IF(Calc!$B6473,Calc!E6473,"")</f>
        <v/>
      </c>
      <c r="B6473">
        <f>IF(Calc!$B6473,INDEX(MineNames,Calc!C6473),"")</f>
        <v/>
      </c>
      <c r="C6473" s="17">
        <f>IF(Calc!$B6473,Calc!O6473,"")</f>
        <v/>
      </c>
    </row>
    <row r="6474">
      <c r="A6474" s="16">
        <f>IF(Calc!$B6474,Calc!E6474,"")</f>
        <v/>
      </c>
      <c r="B6474">
        <f>IF(Calc!$B6474,INDEX(MineNames,Calc!C6474),"")</f>
        <v/>
      </c>
      <c r="C6474" s="17">
        <f>IF(Calc!$B6474,Calc!O6474,"")</f>
        <v/>
      </c>
    </row>
    <row r="6475">
      <c r="A6475" s="16">
        <f>IF(Calc!$B6475,Calc!E6475,"")</f>
        <v/>
      </c>
      <c r="B6475">
        <f>IF(Calc!$B6475,INDEX(MineNames,Calc!C6475),"")</f>
        <v/>
      </c>
      <c r="C6475" s="17">
        <f>IF(Calc!$B6475,Calc!O6475,"")</f>
        <v/>
      </c>
    </row>
    <row r="6476">
      <c r="A6476" s="16">
        <f>IF(Calc!$B6476,Calc!E6476,"")</f>
        <v/>
      </c>
      <c r="B6476">
        <f>IF(Calc!$B6476,INDEX(MineNames,Calc!C6476),"")</f>
        <v/>
      </c>
      <c r="C6476" s="17">
        <f>IF(Calc!$B6476,Calc!O6476,"")</f>
        <v/>
      </c>
    </row>
    <row r="6477">
      <c r="A6477" s="16">
        <f>IF(Calc!$B6477,Calc!E6477,"")</f>
        <v/>
      </c>
      <c r="B6477">
        <f>IF(Calc!$B6477,INDEX(MineNames,Calc!C6477),"")</f>
        <v/>
      </c>
      <c r="C6477" s="17">
        <f>IF(Calc!$B6477,Calc!O6477,"")</f>
        <v/>
      </c>
    </row>
    <row r="6478">
      <c r="A6478" s="16">
        <f>IF(Calc!$B6478,Calc!E6478,"")</f>
        <v/>
      </c>
      <c r="B6478">
        <f>IF(Calc!$B6478,INDEX(MineNames,Calc!C6478),"")</f>
        <v/>
      </c>
      <c r="C6478" s="17">
        <f>IF(Calc!$B6478,Calc!O6478,"")</f>
        <v/>
      </c>
    </row>
    <row r="6479">
      <c r="A6479" s="16">
        <f>IF(Calc!$B6479,Calc!E6479,"")</f>
        <v/>
      </c>
      <c r="B6479">
        <f>IF(Calc!$B6479,INDEX(MineNames,Calc!C6479),"")</f>
        <v/>
      </c>
      <c r="C6479" s="17">
        <f>IF(Calc!$B6479,Calc!O6479,"")</f>
        <v/>
      </c>
    </row>
    <row r="6480">
      <c r="A6480" s="16">
        <f>IF(Calc!$B6480,Calc!E6480,"")</f>
        <v/>
      </c>
      <c r="B6480">
        <f>IF(Calc!$B6480,INDEX(MineNames,Calc!C6480),"")</f>
        <v/>
      </c>
      <c r="C6480" s="17">
        <f>IF(Calc!$B6480,Calc!O6480,"")</f>
        <v/>
      </c>
    </row>
    <row r="6481">
      <c r="A6481" s="16">
        <f>IF(Calc!$B6481,Calc!E6481,"")</f>
        <v/>
      </c>
      <c r="B6481">
        <f>IF(Calc!$B6481,INDEX(MineNames,Calc!C6481),"")</f>
        <v/>
      </c>
      <c r="C6481" s="17">
        <f>IF(Calc!$B6481,Calc!O6481,"")</f>
        <v/>
      </c>
    </row>
    <row r="6482">
      <c r="A6482" s="16">
        <f>IF(Calc!$B6482,Calc!E6482,"")</f>
        <v/>
      </c>
      <c r="B6482">
        <f>IF(Calc!$B6482,INDEX(MineNames,Calc!C6482),"")</f>
        <v/>
      </c>
      <c r="C6482" s="17">
        <f>IF(Calc!$B6482,Calc!O6482,"")</f>
        <v/>
      </c>
    </row>
    <row r="6483">
      <c r="A6483" s="16">
        <f>IF(Calc!$B6483,Calc!E6483,"")</f>
        <v/>
      </c>
      <c r="B6483">
        <f>IF(Calc!$B6483,INDEX(MineNames,Calc!C6483),"")</f>
        <v/>
      </c>
      <c r="C6483" s="17">
        <f>IF(Calc!$B6483,Calc!O6483,"")</f>
        <v/>
      </c>
    </row>
    <row r="6484">
      <c r="A6484" s="16">
        <f>IF(Calc!$B6484,Calc!E6484,"")</f>
        <v/>
      </c>
      <c r="B6484">
        <f>IF(Calc!$B6484,INDEX(MineNames,Calc!C6484),"")</f>
        <v/>
      </c>
      <c r="C6484" s="17">
        <f>IF(Calc!$B6484,Calc!O6484,"")</f>
        <v/>
      </c>
    </row>
    <row r="6485">
      <c r="A6485" s="16">
        <f>IF(Calc!$B6485,Calc!E6485,"")</f>
        <v/>
      </c>
      <c r="B6485">
        <f>IF(Calc!$B6485,INDEX(MineNames,Calc!C6485),"")</f>
        <v/>
      </c>
      <c r="C6485" s="17">
        <f>IF(Calc!$B6485,Calc!O6485,"")</f>
        <v/>
      </c>
    </row>
    <row r="6486">
      <c r="A6486" s="16">
        <f>IF(Calc!$B6486,Calc!E6486,"")</f>
        <v/>
      </c>
      <c r="B6486">
        <f>IF(Calc!$B6486,INDEX(MineNames,Calc!C6486),"")</f>
        <v/>
      </c>
      <c r="C6486" s="17">
        <f>IF(Calc!$B6486,Calc!O6486,"")</f>
        <v/>
      </c>
    </row>
    <row r="6487">
      <c r="A6487" s="16">
        <f>IF(Calc!$B6487,Calc!E6487,"")</f>
        <v/>
      </c>
      <c r="B6487">
        <f>IF(Calc!$B6487,INDEX(MineNames,Calc!C6487),"")</f>
        <v/>
      </c>
      <c r="C6487" s="17">
        <f>IF(Calc!$B6487,Calc!O6487,"")</f>
        <v/>
      </c>
    </row>
    <row r="6488">
      <c r="A6488" s="16">
        <f>IF(Calc!$B6488,Calc!E6488,"")</f>
        <v/>
      </c>
      <c r="B6488">
        <f>IF(Calc!$B6488,INDEX(MineNames,Calc!C6488),"")</f>
        <v/>
      </c>
      <c r="C6488" s="17">
        <f>IF(Calc!$B6488,Calc!O6488,"")</f>
        <v/>
      </c>
    </row>
    <row r="6489">
      <c r="A6489" s="16">
        <f>IF(Calc!$B6489,Calc!E6489,"")</f>
        <v/>
      </c>
      <c r="B6489">
        <f>IF(Calc!$B6489,INDEX(MineNames,Calc!C6489),"")</f>
        <v/>
      </c>
      <c r="C6489" s="17">
        <f>IF(Calc!$B6489,Calc!O6489,"")</f>
        <v/>
      </c>
    </row>
    <row r="6490">
      <c r="A6490" s="16">
        <f>IF(Calc!$B6490,Calc!E6490,"")</f>
        <v/>
      </c>
      <c r="B6490">
        <f>IF(Calc!$B6490,INDEX(MineNames,Calc!C6490),"")</f>
        <v/>
      </c>
      <c r="C6490" s="17">
        <f>IF(Calc!$B6490,Calc!O6490,"")</f>
        <v/>
      </c>
    </row>
    <row r="6491">
      <c r="A6491" s="16">
        <f>IF(Calc!$B6491,Calc!E6491,"")</f>
        <v/>
      </c>
      <c r="B6491">
        <f>IF(Calc!$B6491,INDEX(MineNames,Calc!C6491),"")</f>
        <v/>
      </c>
      <c r="C6491" s="17">
        <f>IF(Calc!$B6491,Calc!O6491,"")</f>
        <v/>
      </c>
    </row>
    <row r="6492">
      <c r="A6492" s="16">
        <f>IF(Calc!$B6492,Calc!E6492,"")</f>
        <v/>
      </c>
      <c r="B6492">
        <f>IF(Calc!$B6492,INDEX(MineNames,Calc!C6492),"")</f>
        <v/>
      </c>
      <c r="C6492" s="17">
        <f>IF(Calc!$B6492,Calc!O6492,"")</f>
        <v/>
      </c>
    </row>
    <row r="6493">
      <c r="A6493" s="16">
        <f>IF(Calc!$B6493,Calc!E6493,"")</f>
        <v/>
      </c>
      <c r="B6493">
        <f>IF(Calc!$B6493,INDEX(MineNames,Calc!C6493),"")</f>
        <v/>
      </c>
      <c r="C6493" s="17">
        <f>IF(Calc!$B6493,Calc!O6493,"")</f>
        <v/>
      </c>
    </row>
    <row r="6494">
      <c r="A6494" s="16">
        <f>IF(Calc!$B6494,Calc!E6494,"")</f>
        <v/>
      </c>
      <c r="B6494">
        <f>IF(Calc!$B6494,INDEX(MineNames,Calc!C6494),"")</f>
        <v/>
      </c>
      <c r="C6494" s="17">
        <f>IF(Calc!$B6494,Calc!O6494,"")</f>
        <v/>
      </c>
    </row>
    <row r="6495">
      <c r="A6495" s="16">
        <f>IF(Calc!$B6495,Calc!E6495,"")</f>
        <v/>
      </c>
      <c r="B6495">
        <f>IF(Calc!$B6495,INDEX(MineNames,Calc!C6495),"")</f>
        <v/>
      </c>
      <c r="C6495" s="17">
        <f>IF(Calc!$B6495,Calc!O6495,"")</f>
        <v/>
      </c>
    </row>
    <row r="6496">
      <c r="A6496" s="16">
        <f>IF(Calc!$B6496,Calc!E6496,"")</f>
        <v/>
      </c>
      <c r="B6496">
        <f>IF(Calc!$B6496,INDEX(MineNames,Calc!C6496),"")</f>
        <v/>
      </c>
      <c r="C6496" s="17">
        <f>IF(Calc!$B6496,Calc!O6496,"")</f>
        <v/>
      </c>
    </row>
    <row r="6497">
      <c r="A6497" s="16">
        <f>IF(Calc!$B6497,Calc!E6497,"")</f>
        <v/>
      </c>
      <c r="B6497">
        <f>IF(Calc!$B6497,INDEX(MineNames,Calc!C6497),"")</f>
        <v/>
      </c>
      <c r="C6497" s="17">
        <f>IF(Calc!$B6497,Calc!O6497,"")</f>
        <v/>
      </c>
    </row>
    <row r="6498">
      <c r="A6498" s="16">
        <f>IF(Calc!$B6498,Calc!E6498,"")</f>
        <v/>
      </c>
      <c r="B6498">
        <f>IF(Calc!$B6498,INDEX(MineNames,Calc!C6498),"")</f>
        <v/>
      </c>
      <c r="C6498" s="17">
        <f>IF(Calc!$B6498,Calc!O6498,"")</f>
        <v/>
      </c>
    </row>
    <row r="6499">
      <c r="A6499" s="16">
        <f>IF(Calc!$B6499,Calc!E6499,"")</f>
        <v/>
      </c>
      <c r="B6499">
        <f>IF(Calc!$B6499,INDEX(MineNames,Calc!C6499),"")</f>
        <v/>
      </c>
      <c r="C6499" s="17">
        <f>IF(Calc!$B6499,Calc!O6499,"")</f>
        <v/>
      </c>
    </row>
    <row r="6500">
      <c r="A6500" s="16">
        <f>IF(Calc!$B6500,Calc!E6500,"")</f>
        <v/>
      </c>
      <c r="B6500">
        <f>IF(Calc!$B6500,INDEX(MineNames,Calc!C6500),"")</f>
        <v/>
      </c>
      <c r="C6500" s="17">
        <f>IF(Calc!$B6500,Calc!O6500,"")</f>
        <v/>
      </c>
    </row>
    <row r="6501">
      <c r="A6501" s="16">
        <f>IF(Calc!$B6501,Calc!E6501,"")</f>
        <v/>
      </c>
      <c r="B6501">
        <f>IF(Calc!$B6501,INDEX(MineNames,Calc!C6501),"")</f>
        <v/>
      </c>
      <c r="C6501" s="17">
        <f>IF(Calc!$B6501,Calc!O6501,"")</f>
        <v/>
      </c>
    </row>
    <row r="6502">
      <c r="A6502" s="16">
        <f>IF(Calc!$B6502,Calc!E6502,"")</f>
        <v/>
      </c>
      <c r="B6502">
        <f>IF(Calc!$B6502,INDEX(MineNames,Calc!C6502),"")</f>
        <v/>
      </c>
      <c r="C6502" s="17">
        <f>IF(Calc!$B6502,Calc!O6502,"")</f>
        <v/>
      </c>
    </row>
    <row r="6503">
      <c r="A6503" s="16">
        <f>IF(Calc!$B6503,Calc!E6503,"")</f>
        <v/>
      </c>
      <c r="B6503">
        <f>IF(Calc!$B6503,INDEX(MineNames,Calc!C6503),"")</f>
        <v/>
      </c>
      <c r="C6503" s="17">
        <f>IF(Calc!$B6503,Calc!O6503,"")</f>
        <v/>
      </c>
    </row>
    <row r="6504">
      <c r="A6504" s="16">
        <f>IF(Calc!$B6504,Calc!E6504,"")</f>
        <v/>
      </c>
      <c r="B6504">
        <f>IF(Calc!$B6504,INDEX(MineNames,Calc!C6504),"")</f>
        <v/>
      </c>
      <c r="C6504" s="17">
        <f>IF(Calc!$B6504,Calc!O6504,"")</f>
        <v/>
      </c>
    </row>
    <row r="6505">
      <c r="A6505" s="16">
        <f>IF(Calc!$B6505,Calc!E6505,"")</f>
        <v/>
      </c>
      <c r="B6505">
        <f>IF(Calc!$B6505,INDEX(MineNames,Calc!C6505),"")</f>
        <v/>
      </c>
      <c r="C6505" s="17">
        <f>IF(Calc!$B6505,Calc!O6505,"")</f>
        <v/>
      </c>
    </row>
    <row r="6506">
      <c r="A6506" s="16">
        <f>IF(Calc!$B6506,Calc!E6506,"")</f>
        <v/>
      </c>
      <c r="B6506">
        <f>IF(Calc!$B6506,INDEX(MineNames,Calc!C6506),"")</f>
        <v/>
      </c>
      <c r="C6506" s="17">
        <f>IF(Calc!$B6506,Calc!O6506,"")</f>
        <v/>
      </c>
    </row>
    <row r="6507">
      <c r="A6507" s="16">
        <f>IF(Calc!$B6507,Calc!E6507,"")</f>
        <v/>
      </c>
      <c r="B6507">
        <f>IF(Calc!$B6507,INDEX(MineNames,Calc!C6507),"")</f>
        <v/>
      </c>
      <c r="C6507" s="17">
        <f>IF(Calc!$B6507,Calc!O6507,"")</f>
        <v/>
      </c>
    </row>
    <row r="6508">
      <c r="A6508" s="16">
        <f>IF(Calc!$B6508,Calc!E6508,"")</f>
        <v/>
      </c>
      <c r="B6508">
        <f>IF(Calc!$B6508,INDEX(MineNames,Calc!C6508),"")</f>
        <v/>
      </c>
      <c r="C6508" s="17">
        <f>IF(Calc!$B6508,Calc!O6508,"")</f>
        <v/>
      </c>
    </row>
    <row r="6509">
      <c r="A6509" s="16">
        <f>IF(Calc!$B6509,Calc!E6509,"")</f>
        <v/>
      </c>
      <c r="B6509">
        <f>IF(Calc!$B6509,INDEX(MineNames,Calc!C6509),"")</f>
        <v/>
      </c>
      <c r="C6509" s="17">
        <f>IF(Calc!$B6509,Calc!O6509,"")</f>
        <v/>
      </c>
    </row>
    <row r="6510">
      <c r="A6510" s="16">
        <f>IF(Calc!$B6510,Calc!E6510,"")</f>
        <v/>
      </c>
      <c r="B6510">
        <f>IF(Calc!$B6510,INDEX(MineNames,Calc!C6510),"")</f>
        <v/>
      </c>
      <c r="C6510" s="17">
        <f>IF(Calc!$B6510,Calc!O6510,"")</f>
        <v/>
      </c>
    </row>
    <row r="6511">
      <c r="A6511" s="16">
        <f>IF(Calc!$B6511,Calc!E6511,"")</f>
        <v/>
      </c>
      <c r="B6511">
        <f>IF(Calc!$B6511,INDEX(MineNames,Calc!C6511),"")</f>
        <v/>
      </c>
      <c r="C6511" s="17">
        <f>IF(Calc!$B6511,Calc!O6511,"")</f>
        <v/>
      </c>
    </row>
    <row r="6512">
      <c r="A6512" s="16">
        <f>IF(Calc!$B6512,Calc!E6512,"")</f>
        <v/>
      </c>
      <c r="B6512">
        <f>IF(Calc!$B6512,INDEX(MineNames,Calc!C6512),"")</f>
        <v/>
      </c>
      <c r="C6512" s="17">
        <f>IF(Calc!$B6512,Calc!O6512,"")</f>
        <v/>
      </c>
    </row>
    <row r="6513">
      <c r="A6513" s="16">
        <f>IF(Calc!$B6513,Calc!E6513,"")</f>
        <v/>
      </c>
      <c r="B6513">
        <f>IF(Calc!$B6513,INDEX(MineNames,Calc!C6513),"")</f>
        <v/>
      </c>
      <c r="C6513" s="17">
        <f>IF(Calc!$B6513,Calc!O6513,"")</f>
        <v/>
      </c>
    </row>
    <row r="6514">
      <c r="A6514" s="16">
        <f>IF(Calc!$B6514,Calc!E6514,"")</f>
        <v/>
      </c>
      <c r="B6514">
        <f>IF(Calc!$B6514,INDEX(MineNames,Calc!C6514),"")</f>
        <v/>
      </c>
      <c r="C6514" s="17">
        <f>IF(Calc!$B6514,Calc!O6514,"")</f>
        <v/>
      </c>
    </row>
    <row r="6515">
      <c r="A6515" s="16">
        <f>IF(Calc!$B6515,Calc!E6515,"")</f>
        <v/>
      </c>
      <c r="B6515">
        <f>IF(Calc!$B6515,INDEX(MineNames,Calc!C6515),"")</f>
        <v/>
      </c>
      <c r="C6515" s="17">
        <f>IF(Calc!$B6515,Calc!O6515,"")</f>
        <v/>
      </c>
    </row>
    <row r="6516">
      <c r="A6516" s="16">
        <f>IF(Calc!$B6516,Calc!E6516,"")</f>
        <v/>
      </c>
      <c r="B6516">
        <f>IF(Calc!$B6516,INDEX(MineNames,Calc!C6516),"")</f>
        <v/>
      </c>
      <c r="C6516" s="17">
        <f>IF(Calc!$B6516,Calc!O6516,"")</f>
        <v/>
      </c>
    </row>
    <row r="6517">
      <c r="A6517" s="16">
        <f>IF(Calc!$B6517,Calc!E6517,"")</f>
        <v/>
      </c>
      <c r="B6517">
        <f>IF(Calc!$B6517,INDEX(MineNames,Calc!C6517),"")</f>
        <v/>
      </c>
      <c r="C6517" s="17">
        <f>IF(Calc!$B6517,Calc!O6517,"")</f>
        <v/>
      </c>
    </row>
    <row r="6518">
      <c r="A6518" s="16">
        <f>IF(Calc!$B6518,Calc!E6518,"")</f>
        <v/>
      </c>
      <c r="B6518">
        <f>IF(Calc!$B6518,INDEX(MineNames,Calc!C6518),"")</f>
        <v/>
      </c>
      <c r="C6518" s="17">
        <f>IF(Calc!$B6518,Calc!O6518,"")</f>
        <v/>
      </c>
    </row>
    <row r="6519">
      <c r="A6519" s="16">
        <f>IF(Calc!$B6519,Calc!E6519,"")</f>
        <v/>
      </c>
      <c r="B6519">
        <f>IF(Calc!$B6519,INDEX(MineNames,Calc!C6519),"")</f>
        <v/>
      </c>
      <c r="C6519" s="17">
        <f>IF(Calc!$B6519,Calc!O6519,"")</f>
        <v/>
      </c>
    </row>
    <row r="6520">
      <c r="A6520" s="16">
        <f>IF(Calc!$B6520,Calc!E6520,"")</f>
        <v/>
      </c>
      <c r="B6520">
        <f>IF(Calc!$B6520,INDEX(MineNames,Calc!C6520),"")</f>
        <v/>
      </c>
      <c r="C6520" s="17">
        <f>IF(Calc!$B6520,Calc!O6520,"")</f>
        <v/>
      </c>
    </row>
    <row r="6521">
      <c r="A6521" s="16">
        <f>IF(Calc!$B6521,Calc!E6521,"")</f>
        <v/>
      </c>
      <c r="B6521">
        <f>IF(Calc!$B6521,INDEX(MineNames,Calc!C6521),"")</f>
        <v/>
      </c>
      <c r="C6521" s="17">
        <f>IF(Calc!$B6521,Calc!O6521,"")</f>
        <v/>
      </c>
    </row>
    <row r="6522">
      <c r="A6522" s="16">
        <f>IF(Calc!$B6522,Calc!E6522,"")</f>
        <v/>
      </c>
      <c r="B6522">
        <f>IF(Calc!$B6522,INDEX(MineNames,Calc!C6522),"")</f>
        <v/>
      </c>
      <c r="C6522" s="17">
        <f>IF(Calc!$B6522,Calc!O6522,"")</f>
        <v/>
      </c>
    </row>
    <row r="6523">
      <c r="A6523" s="16">
        <f>IF(Calc!$B6523,Calc!E6523,"")</f>
        <v/>
      </c>
      <c r="B6523">
        <f>IF(Calc!$B6523,INDEX(MineNames,Calc!C6523),"")</f>
        <v/>
      </c>
      <c r="C6523" s="17">
        <f>IF(Calc!$B6523,Calc!O6523,"")</f>
        <v/>
      </c>
    </row>
    <row r="6524">
      <c r="A6524" s="16">
        <f>IF(Calc!$B6524,Calc!E6524,"")</f>
        <v/>
      </c>
      <c r="B6524">
        <f>IF(Calc!$B6524,INDEX(MineNames,Calc!C6524),"")</f>
        <v/>
      </c>
      <c r="C6524" s="17">
        <f>IF(Calc!$B6524,Calc!O6524,"")</f>
        <v/>
      </c>
    </row>
    <row r="6525">
      <c r="A6525" s="16">
        <f>IF(Calc!$B6525,Calc!E6525,"")</f>
        <v/>
      </c>
      <c r="B6525">
        <f>IF(Calc!$B6525,INDEX(MineNames,Calc!C6525),"")</f>
        <v/>
      </c>
      <c r="C6525" s="17">
        <f>IF(Calc!$B6525,Calc!O6525,"")</f>
        <v/>
      </c>
    </row>
    <row r="6526">
      <c r="A6526" s="16">
        <f>IF(Calc!$B6526,Calc!E6526,"")</f>
        <v/>
      </c>
      <c r="B6526">
        <f>IF(Calc!$B6526,INDEX(MineNames,Calc!C6526),"")</f>
        <v/>
      </c>
      <c r="C6526" s="17">
        <f>IF(Calc!$B6526,Calc!O6526,"")</f>
        <v/>
      </c>
    </row>
    <row r="6527">
      <c r="A6527" s="16">
        <f>IF(Calc!$B6527,Calc!E6527,"")</f>
        <v/>
      </c>
      <c r="B6527">
        <f>IF(Calc!$B6527,INDEX(MineNames,Calc!C6527),"")</f>
        <v/>
      </c>
      <c r="C6527" s="17">
        <f>IF(Calc!$B6527,Calc!O6527,"")</f>
        <v/>
      </c>
    </row>
    <row r="6528">
      <c r="A6528" s="16">
        <f>IF(Calc!$B6528,Calc!E6528,"")</f>
        <v/>
      </c>
      <c r="B6528">
        <f>IF(Calc!$B6528,INDEX(MineNames,Calc!C6528),"")</f>
        <v/>
      </c>
      <c r="C6528" s="17">
        <f>IF(Calc!$B6528,Calc!O6528,"")</f>
        <v/>
      </c>
    </row>
    <row r="6529">
      <c r="A6529" s="16">
        <f>IF(Calc!$B6529,Calc!E6529,"")</f>
        <v/>
      </c>
      <c r="B6529">
        <f>IF(Calc!$B6529,INDEX(MineNames,Calc!C6529),"")</f>
        <v/>
      </c>
      <c r="C6529" s="17">
        <f>IF(Calc!$B6529,Calc!O6529,"")</f>
        <v/>
      </c>
    </row>
    <row r="6530">
      <c r="A6530" s="16">
        <f>IF(Calc!$B6530,Calc!E6530,"")</f>
        <v/>
      </c>
      <c r="B6530">
        <f>IF(Calc!$B6530,INDEX(MineNames,Calc!C6530),"")</f>
        <v/>
      </c>
      <c r="C6530" s="17">
        <f>IF(Calc!$B6530,Calc!O6530,"")</f>
        <v/>
      </c>
    </row>
    <row r="6531">
      <c r="A6531" s="16">
        <f>IF(Calc!$B6531,Calc!E6531,"")</f>
        <v/>
      </c>
      <c r="B6531">
        <f>IF(Calc!$B6531,INDEX(MineNames,Calc!C6531),"")</f>
        <v/>
      </c>
      <c r="C6531" s="17">
        <f>IF(Calc!$B6531,Calc!O6531,"")</f>
        <v/>
      </c>
    </row>
    <row r="6532">
      <c r="A6532" s="16">
        <f>IF(Calc!$B6532,Calc!E6532,"")</f>
        <v/>
      </c>
      <c r="B6532">
        <f>IF(Calc!$B6532,INDEX(MineNames,Calc!C6532),"")</f>
        <v/>
      </c>
      <c r="C6532" s="17">
        <f>IF(Calc!$B6532,Calc!O6532,"")</f>
        <v/>
      </c>
    </row>
    <row r="6533">
      <c r="A6533" s="16">
        <f>IF(Calc!$B6533,Calc!E6533,"")</f>
        <v/>
      </c>
      <c r="B6533">
        <f>IF(Calc!$B6533,INDEX(MineNames,Calc!C6533),"")</f>
        <v/>
      </c>
      <c r="C6533" s="17">
        <f>IF(Calc!$B6533,Calc!O6533,"")</f>
        <v/>
      </c>
    </row>
    <row r="6534">
      <c r="A6534" s="16">
        <f>IF(Calc!$B6534,Calc!E6534,"")</f>
        <v/>
      </c>
      <c r="B6534">
        <f>IF(Calc!$B6534,INDEX(MineNames,Calc!C6534),"")</f>
        <v/>
      </c>
      <c r="C6534" s="17">
        <f>IF(Calc!$B6534,Calc!O6534,"")</f>
        <v/>
      </c>
    </row>
    <row r="6535">
      <c r="A6535" s="16">
        <f>IF(Calc!$B6535,Calc!E6535,"")</f>
        <v/>
      </c>
      <c r="B6535">
        <f>IF(Calc!$B6535,INDEX(MineNames,Calc!C6535),"")</f>
        <v/>
      </c>
      <c r="C6535" s="17">
        <f>IF(Calc!$B6535,Calc!O6535,"")</f>
        <v/>
      </c>
    </row>
    <row r="6536">
      <c r="A6536" s="16">
        <f>IF(Calc!$B6536,Calc!E6536,"")</f>
        <v/>
      </c>
      <c r="B6536">
        <f>IF(Calc!$B6536,INDEX(MineNames,Calc!C6536),"")</f>
        <v/>
      </c>
      <c r="C6536" s="17">
        <f>IF(Calc!$B6536,Calc!O6536,"")</f>
        <v/>
      </c>
    </row>
    <row r="6537">
      <c r="A6537" s="16">
        <f>IF(Calc!$B6537,Calc!E6537,"")</f>
        <v/>
      </c>
      <c r="B6537">
        <f>IF(Calc!$B6537,INDEX(MineNames,Calc!C6537),"")</f>
        <v/>
      </c>
      <c r="C6537" s="17">
        <f>IF(Calc!$B6537,Calc!O6537,"")</f>
        <v/>
      </c>
    </row>
    <row r="6538">
      <c r="A6538" s="16">
        <f>IF(Calc!$B6538,Calc!E6538,"")</f>
        <v/>
      </c>
      <c r="B6538">
        <f>IF(Calc!$B6538,INDEX(MineNames,Calc!C6538),"")</f>
        <v/>
      </c>
      <c r="C6538" s="17">
        <f>IF(Calc!$B6538,Calc!O6538,"")</f>
        <v/>
      </c>
    </row>
    <row r="6539">
      <c r="A6539" s="16">
        <f>IF(Calc!$B6539,Calc!E6539,"")</f>
        <v/>
      </c>
      <c r="B6539">
        <f>IF(Calc!$B6539,INDEX(MineNames,Calc!C6539),"")</f>
        <v/>
      </c>
      <c r="C6539" s="17">
        <f>IF(Calc!$B6539,Calc!O6539,"")</f>
        <v/>
      </c>
    </row>
    <row r="6540">
      <c r="A6540" s="16">
        <f>IF(Calc!$B6540,Calc!E6540,"")</f>
        <v/>
      </c>
      <c r="B6540">
        <f>IF(Calc!$B6540,INDEX(MineNames,Calc!C6540),"")</f>
        <v/>
      </c>
      <c r="C6540" s="17">
        <f>IF(Calc!$B6540,Calc!O6540,"")</f>
        <v/>
      </c>
    </row>
    <row r="6541">
      <c r="A6541" s="16">
        <f>IF(Calc!$B6541,Calc!E6541,"")</f>
        <v/>
      </c>
      <c r="B6541">
        <f>IF(Calc!$B6541,INDEX(MineNames,Calc!C6541),"")</f>
        <v/>
      </c>
      <c r="C6541" s="17">
        <f>IF(Calc!$B6541,Calc!O6541,"")</f>
        <v/>
      </c>
    </row>
    <row r="6542">
      <c r="A6542" s="16">
        <f>IF(Calc!$B6542,Calc!E6542,"")</f>
        <v/>
      </c>
      <c r="B6542">
        <f>IF(Calc!$B6542,INDEX(MineNames,Calc!C6542),"")</f>
        <v/>
      </c>
      <c r="C6542" s="17">
        <f>IF(Calc!$B6542,Calc!O6542,"")</f>
        <v/>
      </c>
    </row>
    <row r="6543">
      <c r="A6543" s="16">
        <f>IF(Calc!$B6543,Calc!E6543,"")</f>
        <v/>
      </c>
      <c r="B6543">
        <f>IF(Calc!$B6543,INDEX(MineNames,Calc!C6543),"")</f>
        <v/>
      </c>
      <c r="C6543" s="17">
        <f>IF(Calc!$B6543,Calc!O6543,"")</f>
        <v/>
      </c>
    </row>
    <row r="6544">
      <c r="A6544" s="16">
        <f>IF(Calc!$B6544,Calc!E6544,"")</f>
        <v/>
      </c>
      <c r="B6544">
        <f>IF(Calc!$B6544,INDEX(MineNames,Calc!C6544),"")</f>
        <v/>
      </c>
      <c r="C6544" s="17">
        <f>IF(Calc!$B6544,Calc!O6544,"")</f>
        <v/>
      </c>
    </row>
    <row r="6545">
      <c r="A6545" s="16">
        <f>IF(Calc!$B6545,Calc!E6545,"")</f>
        <v/>
      </c>
      <c r="B6545">
        <f>IF(Calc!$B6545,INDEX(MineNames,Calc!C6545),"")</f>
        <v/>
      </c>
      <c r="C6545" s="17">
        <f>IF(Calc!$B6545,Calc!O6545,"")</f>
        <v/>
      </c>
    </row>
    <row r="6546">
      <c r="A6546" s="16">
        <f>IF(Calc!$B6546,Calc!E6546,"")</f>
        <v/>
      </c>
      <c r="B6546">
        <f>IF(Calc!$B6546,INDEX(MineNames,Calc!C6546),"")</f>
        <v/>
      </c>
      <c r="C6546" s="17">
        <f>IF(Calc!$B6546,Calc!O6546,"")</f>
        <v/>
      </c>
    </row>
    <row r="6547">
      <c r="A6547" s="16">
        <f>IF(Calc!$B6547,Calc!E6547,"")</f>
        <v/>
      </c>
      <c r="B6547">
        <f>IF(Calc!$B6547,INDEX(MineNames,Calc!C6547),"")</f>
        <v/>
      </c>
      <c r="C6547" s="17">
        <f>IF(Calc!$B6547,Calc!O6547,"")</f>
        <v/>
      </c>
    </row>
    <row r="6548">
      <c r="A6548" s="16">
        <f>IF(Calc!$B6548,Calc!E6548,"")</f>
        <v/>
      </c>
      <c r="B6548">
        <f>IF(Calc!$B6548,INDEX(MineNames,Calc!C6548),"")</f>
        <v/>
      </c>
      <c r="C6548" s="17">
        <f>IF(Calc!$B6548,Calc!O6548,"")</f>
        <v/>
      </c>
    </row>
    <row r="6549">
      <c r="A6549" s="16">
        <f>IF(Calc!$B6549,Calc!E6549,"")</f>
        <v/>
      </c>
      <c r="B6549">
        <f>IF(Calc!$B6549,INDEX(MineNames,Calc!C6549),"")</f>
        <v/>
      </c>
      <c r="C6549" s="17">
        <f>IF(Calc!$B6549,Calc!O6549,"")</f>
        <v/>
      </c>
    </row>
    <row r="6550">
      <c r="A6550" s="16">
        <f>IF(Calc!$B6550,Calc!E6550,"")</f>
        <v/>
      </c>
      <c r="B6550">
        <f>IF(Calc!$B6550,INDEX(MineNames,Calc!C6550),"")</f>
        <v/>
      </c>
      <c r="C6550" s="17">
        <f>IF(Calc!$B6550,Calc!O6550,"")</f>
        <v/>
      </c>
    </row>
    <row r="6551">
      <c r="A6551" s="16">
        <f>IF(Calc!$B6551,Calc!E6551,"")</f>
        <v/>
      </c>
      <c r="B6551">
        <f>IF(Calc!$B6551,INDEX(MineNames,Calc!C6551),"")</f>
        <v/>
      </c>
      <c r="C6551" s="17">
        <f>IF(Calc!$B6551,Calc!O6551,"")</f>
        <v/>
      </c>
    </row>
    <row r="6552">
      <c r="A6552" s="16">
        <f>IF(Calc!$B6552,Calc!E6552,"")</f>
        <v/>
      </c>
      <c r="B6552">
        <f>IF(Calc!$B6552,INDEX(MineNames,Calc!C6552),"")</f>
        <v/>
      </c>
      <c r="C6552" s="17">
        <f>IF(Calc!$B6552,Calc!O6552,"")</f>
        <v/>
      </c>
    </row>
    <row r="6553">
      <c r="A6553" s="16">
        <f>IF(Calc!$B6553,Calc!E6553,"")</f>
        <v/>
      </c>
      <c r="B6553">
        <f>IF(Calc!$B6553,INDEX(MineNames,Calc!C6553),"")</f>
        <v/>
      </c>
      <c r="C6553" s="17">
        <f>IF(Calc!$B6553,Calc!O6553,"")</f>
        <v/>
      </c>
    </row>
    <row r="6554">
      <c r="A6554" s="16">
        <f>IF(Calc!$B6554,Calc!E6554,"")</f>
        <v/>
      </c>
      <c r="B6554">
        <f>IF(Calc!$B6554,INDEX(MineNames,Calc!C6554),"")</f>
        <v/>
      </c>
      <c r="C6554" s="17">
        <f>IF(Calc!$B6554,Calc!O6554,"")</f>
        <v/>
      </c>
    </row>
    <row r="6555">
      <c r="A6555" s="16">
        <f>IF(Calc!$B6555,Calc!E6555,"")</f>
        <v/>
      </c>
      <c r="B6555">
        <f>IF(Calc!$B6555,INDEX(MineNames,Calc!C6555),"")</f>
        <v/>
      </c>
      <c r="C6555" s="17">
        <f>IF(Calc!$B6555,Calc!O6555,"")</f>
        <v/>
      </c>
    </row>
    <row r="6556">
      <c r="A6556" s="16">
        <f>IF(Calc!$B6556,Calc!E6556,"")</f>
        <v/>
      </c>
      <c r="B6556">
        <f>IF(Calc!$B6556,INDEX(MineNames,Calc!C6556),"")</f>
        <v/>
      </c>
      <c r="C6556" s="17">
        <f>IF(Calc!$B6556,Calc!O6556,"")</f>
        <v/>
      </c>
    </row>
    <row r="6557">
      <c r="A6557" s="16">
        <f>IF(Calc!$B6557,Calc!E6557,"")</f>
        <v/>
      </c>
      <c r="B6557">
        <f>IF(Calc!$B6557,INDEX(MineNames,Calc!C6557),"")</f>
        <v/>
      </c>
      <c r="C6557" s="17">
        <f>IF(Calc!$B6557,Calc!O6557,"")</f>
        <v/>
      </c>
    </row>
    <row r="6558">
      <c r="A6558" s="16">
        <f>IF(Calc!$B6558,Calc!E6558,"")</f>
        <v/>
      </c>
      <c r="B6558">
        <f>IF(Calc!$B6558,INDEX(MineNames,Calc!C6558),"")</f>
        <v/>
      </c>
      <c r="C6558" s="17">
        <f>IF(Calc!$B6558,Calc!O6558,"")</f>
        <v/>
      </c>
    </row>
    <row r="6559">
      <c r="A6559" s="16">
        <f>IF(Calc!$B6559,Calc!E6559,"")</f>
        <v/>
      </c>
      <c r="B6559">
        <f>IF(Calc!$B6559,INDEX(MineNames,Calc!C6559),"")</f>
        <v/>
      </c>
      <c r="C6559" s="17">
        <f>IF(Calc!$B6559,Calc!O6559,"")</f>
        <v/>
      </c>
    </row>
    <row r="6560">
      <c r="A6560" s="16">
        <f>IF(Calc!$B6560,Calc!E6560,"")</f>
        <v/>
      </c>
      <c r="B6560">
        <f>IF(Calc!$B6560,INDEX(MineNames,Calc!C6560),"")</f>
        <v/>
      </c>
      <c r="C6560" s="17">
        <f>IF(Calc!$B6560,Calc!O6560,"")</f>
        <v/>
      </c>
    </row>
    <row r="6561">
      <c r="A6561" s="16">
        <f>IF(Calc!$B6561,Calc!E6561,"")</f>
        <v/>
      </c>
      <c r="B6561">
        <f>IF(Calc!$B6561,INDEX(MineNames,Calc!C6561),"")</f>
        <v/>
      </c>
      <c r="C6561" s="17">
        <f>IF(Calc!$B6561,Calc!O6561,"")</f>
        <v/>
      </c>
    </row>
    <row r="6562">
      <c r="A6562" s="16">
        <f>IF(Calc!$B6562,Calc!E6562,"")</f>
        <v/>
      </c>
      <c r="B6562">
        <f>IF(Calc!$B6562,INDEX(MineNames,Calc!C6562),"")</f>
        <v/>
      </c>
      <c r="C6562" s="17">
        <f>IF(Calc!$B6562,Calc!O6562,"")</f>
        <v/>
      </c>
    </row>
    <row r="6563">
      <c r="A6563" s="16">
        <f>IF(Calc!$B6563,Calc!E6563,"")</f>
        <v/>
      </c>
      <c r="B6563">
        <f>IF(Calc!$B6563,INDEX(MineNames,Calc!C6563),"")</f>
        <v/>
      </c>
      <c r="C6563" s="17">
        <f>IF(Calc!$B6563,Calc!O6563,"")</f>
        <v/>
      </c>
    </row>
    <row r="6564">
      <c r="A6564" s="16">
        <f>IF(Calc!$B6564,Calc!E6564,"")</f>
        <v/>
      </c>
      <c r="B6564">
        <f>IF(Calc!$B6564,INDEX(MineNames,Calc!C6564),"")</f>
        <v/>
      </c>
      <c r="C6564" s="17">
        <f>IF(Calc!$B6564,Calc!O6564,"")</f>
        <v/>
      </c>
    </row>
    <row r="6565">
      <c r="A6565" s="16">
        <f>IF(Calc!$B6565,Calc!E6565,"")</f>
        <v/>
      </c>
      <c r="B6565">
        <f>IF(Calc!$B6565,INDEX(MineNames,Calc!C6565),"")</f>
        <v/>
      </c>
      <c r="C6565" s="17">
        <f>IF(Calc!$B6565,Calc!O6565,"")</f>
        <v/>
      </c>
    </row>
    <row r="6566">
      <c r="A6566" s="16">
        <f>IF(Calc!$B6566,Calc!E6566,"")</f>
        <v/>
      </c>
      <c r="B6566">
        <f>IF(Calc!$B6566,INDEX(MineNames,Calc!C6566),"")</f>
        <v/>
      </c>
      <c r="C6566" s="17">
        <f>IF(Calc!$B6566,Calc!O6566,"")</f>
        <v/>
      </c>
    </row>
    <row r="6567">
      <c r="A6567" s="16">
        <f>IF(Calc!$B6567,Calc!E6567,"")</f>
        <v/>
      </c>
      <c r="B6567">
        <f>IF(Calc!$B6567,INDEX(MineNames,Calc!C6567),"")</f>
        <v/>
      </c>
      <c r="C6567" s="17">
        <f>IF(Calc!$B6567,Calc!O6567,"")</f>
        <v/>
      </c>
    </row>
    <row r="6568">
      <c r="A6568" s="16">
        <f>IF(Calc!$B6568,Calc!E6568,"")</f>
        <v/>
      </c>
      <c r="B6568">
        <f>IF(Calc!$B6568,INDEX(MineNames,Calc!C6568),"")</f>
        <v/>
      </c>
      <c r="C6568" s="17">
        <f>IF(Calc!$B6568,Calc!O6568,"")</f>
        <v/>
      </c>
    </row>
    <row r="6569">
      <c r="A6569" s="16">
        <f>IF(Calc!$B6569,Calc!E6569,"")</f>
        <v/>
      </c>
      <c r="B6569">
        <f>IF(Calc!$B6569,INDEX(MineNames,Calc!C6569),"")</f>
        <v/>
      </c>
      <c r="C6569" s="17">
        <f>IF(Calc!$B6569,Calc!O6569,"")</f>
        <v/>
      </c>
    </row>
    <row r="6570">
      <c r="A6570" s="16">
        <f>IF(Calc!$B6570,Calc!E6570,"")</f>
        <v/>
      </c>
      <c r="B6570">
        <f>IF(Calc!$B6570,INDEX(MineNames,Calc!C6570),"")</f>
        <v/>
      </c>
      <c r="C6570" s="17">
        <f>IF(Calc!$B6570,Calc!O6570,"")</f>
        <v/>
      </c>
    </row>
    <row r="6571">
      <c r="A6571" s="16">
        <f>IF(Calc!$B6571,Calc!E6571,"")</f>
        <v/>
      </c>
      <c r="B6571">
        <f>IF(Calc!$B6571,INDEX(MineNames,Calc!C6571),"")</f>
        <v/>
      </c>
      <c r="C6571" s="17">
        <f>IF(Calc!$B6571,Calc!O6571,"")</f>
        <v/>
      </c>
    </row>
    <row r="6572">
      <c r="A6572" s="16">
        <f>IF(Calc!$B6572,Calc!E6572,"")</f>
        <v/>
      </c>
      <c r="B6572">
        <f>IF(Calc!$B6572,INDEX(MineNames,Calc!C6572),"")</f>
        <v/>
      </c>
      <c r="C6572" s="17">
        <f>IF(Calc!$B6572,Calc!O6572,"")</f>
        <v/>
      </c>
    </row>
    <row r="6573">
      <c r="A6573" s="16">
        <f>IF(Calc!$B6573,Calc!E6573,"")</f>
        <v/>
      </c>
      <c r="B6573">
        <f>IF(Calc!$B6573,INDEX(MineNames,Calc!C6573),"")</f>
        <v/>
      </c>
      <c r="C6573" s="17">
        <f>IF(Calc!$B6573,Calc!O6573,"")</f>
        <v/>
      </c>
    </row>
    <row r="6574">
      <c r="A6574" s="16">
        <f>IF(Calc!$B6574,Calc!E6574,"")</f>
        <v/>
      </c>
      <c r="B6574">
        <f>IF(Calc!$B6574,INDEX(MineNames,Calc!C6574),"")</f>
        <v/>
      </c>
      <c r="C6574" s="17">
        <f>IF(Calc!$B6574,Calc!O6574,"")</f>
        <v/>
      </c>
    </row>
    <row r="6575">
      <c r="A6575" s="16">
        <f>IF(Calc!$B6575,Calc!E6575,"")</f>
        <v/>
      </c>
      <c r="B6575">
        <f>IF(Calc!$B6575,INDEX(MineNames,Calc!C6575),"")</f>
        <v/>
      </c>
      <c r="C6575" s="17">
        <f>IF(Calc!$B6575,Calc!O6575,"")</f>
        <v/>
      </c>
    </row>
    <row r="6576">
      <c r="A6576" s="16">
        <f>IF(Calc!$B6576,Calc!E6576,"")</f>
        <v/>
      </c>
      <c r="B6576">
        <f>IF(Calc!$B6576,INDEX(MineNames,Calc!C6576),"")</f>
        <v/>
      </c>
      <c r="C6576" s="17">
        <f>IF(Calc!$B6576,Calc!O6576,"")</f>
        <v/>
      </c>
    </row>
    <row r="6577">
      <c r="A6577" s="16">
        <f>IF(Calc!$B6577,Calc!E6577,"")</f>
        <v/>
      </c>
      <c r="B6577">
        <f>IF(Calc!$B6577,INDEX(MineNames,Calc!C6577),"")</f>
        <v/>
      </c>
      <c r="C6577" s="17">
        <f>IF(Calc!$B6577,Calc!O6577,"")</f>
        <v/>
      </c>
    </row>
    <row r="6578">
      <c r="A6578" s="16">
        <f>IF(Calc!$B6578,Calc!E6578,"")</f>
        <v/>
      </c>
      <c r="B6578">
        <f>IF(Calc!$B6578,INDEX(MineNames,Calc!C6578),"")</f>
        <v/>
      </c>
      <c r="C6578" s="17">
        <f>IF(Calc!$B6578,Calc!O6578,"")</f>
        <v/>
      </c>
    </row>
    <row r="6579">
      <c r="A6579" s="16">
        <f>IF(Calc!$B6579,Calc!E6579,"")</f>
        <v/>
      </c>
      <c r="B6579">
        <f>IF(Calc!$B6579,INDEX(MineNames,Calc!C6579),"")</f>
        <v/>
      </c>
      <c r="C6579" s="17">
        <f>IF(Calc!$B6579,Calc!O6579,"")</f>
        <v/>
      </c>
    </row>
    <row r="6580">
      <c r="A6580" s="16">
        <f>IF(Calc!$B6580,Calc!E6580,"")</f>
        <v/>
      </c>
      <c r="B6580">
        <f>IF(Calc!$B6580,INDEX(MineNames,Calc!C6580),"")</f>
        <v/>
      </c>
      <c r="C6580" s="17">
        <f>IF(Calc!$B6580,Calc!O6580,"")</f>
        <v/>
      </c>
    </row>
    <row r="6581">
      <c r="A6581" s="16">
        <f>IF(Calc!$B6581,Calc!E6581,"")</f>
        <v/>
      </c>
      <c r="B6581">
        <f>IF(Calc!$B6581,INDEX(MineNames,Calc!C6581),"")</f>
        <v/>
      </c>
      <c r="C6581" s="17">
        <f>IF(Calc!$B6581,Calc!O6581,"")</f>
        <v/>
      </c>
    </row>
    <row r="6582">
      <c r="A6582" s="16">
        <f>IF(Calc!$B6582,Calc!E6582,"")</f>
        <v/>
      </c>
      <c r="B6582">
        <f>IF(Calc!$B6582,INDEX(MineNames,Calc!C6582),"")</f>
        <v/>
      </c>
      <c r="C6582" s="17">
        <f>IF(Calc!$B6582,Calc!O6582,"")</f>
        <v/>
      </c>
    </row>
    <row r="6583">
      <c r="A6583" s="16">
        <f>IF(Calc!$B6583,Calc!E6583,"")</f>
        <v/>
      </c>
      <c r="B6583">
        <f>IF(Calc!$B6583,INDEX(MineNames,Calc!C6583),"")</f>
        <v/>
      </c>
      <c r="C6583" s="17">
        <f>IF(Calc!$B6583,Calc!O6583,"")</f>
        <v/>
      </c>
    </row>
    <row r="6584">
      <c r="A6584" s="16">
        <f>IF(Calc!$B6584,Calc!E6584,"")</f>
        <v/>
      </c>
      <c r="B6584">
        <f>IF(Calc!$B6584,INDEX(MineNames,Calc!C6584),"")</f>
        <v/>
      </c>
      <c r="C6584" s="17">
        <f>IF(Calc!$B6584,Calc!O6584,"")</f>
        <v/>
      </c>
    </row>
    <row r="6585">
      <c r="A6585" s="16">
        <f>IF(Calc!$B6585,Calc!E6585,"")</f>
        <v/>
      </c>
      <c r="B6585">
        <f>IF(Calc!$B6585,INDEX(MineNames,Calc!C6585),"")</f>
        <v/>
      </c>
      <c r="C6585" s="17">
        <f>IF(Calc!$B6585,Calc!O6585,"")</f>
        <v/>
      </c>
    </row>
    <row r="6586">
      <c r="A6586" s="16">
        <f>IF(Calc!$B6586,Calc!E6586,"")</f>
        <v/>
      </c>
      <c r="B6586">
        <f>IF(Calc!$B6586,INDEX(MineNames,Calc!C6586),"")</f>
        <v/>
      </c>
      <c r="C6586" s="17">
        <f>IF(Calc!$B6586,Calc!O6586,"")</f>
        <v/>
      </c>
    </row>
    <row r="6587">
      <c r="A6587" s="16">
        <f>IF(Calc!$B6587,Calc!E6587,"")</f>
        <v/>
      </c>
      <c r="B6587">
        <f>IF(Calc!$B6587,INDEX(MineNames,Calc!C6587),"")</f>
        <v/>
      </c>
      <c r="C6587" s="17">
        <f>IF(Calc!$B6587,Calc!O6587,"")</f>
        <v/>
      </c>
    </row>
    <row r="6588">
      <c r="A6588" s="16">
        <f>IF(Calc!$B6588,Calc!E6588,"")</f>
        <v/>
      </c>
      <c r="B6588">
        <f>IF(Calc!$B6588,INDEX(MineNames,Calc!C6588),"")</f>
        <v/>
      </c>
      <c r="C6588" s="17">
        <f>IF(Calc!$B6588,Calc!O6588,"")</f>
        <v/>
      </c>
    </row>
    <row r="6589">
      <c r="A6589" s="16">
        <f>IF(Calc!$B6589,Calc!E6589,"")</f>
        <v/>
      </c>
      <c r="B6589">
        <f>IF(Calc!$B6589,INDEX(MineNames,Calc!C6589),"")</f>
        <v/>
      </c>
      <c r="C6589" s="17">
        <f>IF(Calc!$B6589,Calc!O6589,"")</f>
        <v/>
      </c>
    </row>
    <row r="6590">
      <c r="A6590" s="16">
        <f>IF(Calc!$B6590,Calc!E6590,"")</f>
        <v/>
      </c>
      <c r="B6590">
        <f>IF(Calc!$B6590,INDEX(MineNames,Calc!C6590),"")</f>
        <v/>
      </c>
      <c r="C6590" s="17">
        <f>IF(Calc!$B6590,Calc!O6590,"")</f>
        <v/>
      </c>
    </row>
    <row r="6591">
      <c r="A6591" s="16">
        <f>IF(Calc!$B6591,Calc!E6591,"")</f>
        <v/>
      </c>
      <c r="B6591">
        <f>IF(Calc!$B6591,INDEX(MineNames,Calc!C6591),"")</f>
        <v/>
      </c>
      <c r="C6591" s="17">
        <f>IF(Calc!$B6591,Calc!O6591,"")</f>
        <v/>
      </c>
    </row>
    <row r="6592">
      <c r="A6592" s="16">
        <f>IF(Calc!$B6592,Calc!E6592,"")</f>
        <v/>
      </c>
      <c r="B6592">
        <f>IF(Calc!$B6592,INDEX(MineNames,Calc!C6592),"")</f>
        <v/>
      </c>
      <c r="C6592" s="17">
        <f>IF(Calc!$B6592,Calc!O6592,"")</f>
        <v/>
      </c>
    </row>
    <row r="6593">
      <c r="A6593" s="16">
        <f>IF(Calc!$B6593,Calc!E6593,"")</f>
        <v/>
      </c>
      <c r="B6593">
        <f>IF(Calc!$B6593,INDEX(MineNames,Calc!C6593),"")</f>
        <v/>
      </c>
      <c r="C6593" s="17">
        <f>IF(Calc!$B6593,Calc!O6593,"")</f>
        <v/>
      </c>
    </row>
    <row r="6594">
      <c r="A6594" s="16">
        <f>IF(Calc!$B6594,Calc!E6594,"")</f>
        <v/>
      </c>
      <c r="B6594">
        <f>IF(Calc!$B6594,INDEX(MineNames,Calc!C6594),"")</f>
        <v/>
      </c>
      <c r="C6594" s="17">
        <f>IF(Calc!$B6594,Calc!O6594,"")</f>
        <v/>
      </c>
    </row>
    <row r="6595">
      <c r="A6595" s="16">
        <f>IF(Calc!$B6595,Calc!E6595,"")</f>
        <v/>
      </c>
      <c r="B6595">
        <f>IF(Calc!$B6595,INDEX(MineNames,Calc!C6595),"")</f>
        <v/>
      </c>
      <c r="C6595" s="17">
        <f>IF(Calc!$B6595,Calc!O6595,"")</f>
        <v/>
      </c>
    </row>
    <row r="6596">
      <c r="A6596" s="16">
        <f>IF(Calc!$B6596,Calc!E6596,"")</f>
        <v/>
      </c>
      <c r="B6596">
        <f>IF(Calc!$B6596,INDEX(MineNames,Calc!C6596),"")</f>
        <v/>
      </c>
      <c r="C6596" s="17">
        <f>IF(Calc!$B6596,Calc!O6596,"")</f>
        <v/>
      </c>
    </row>
    <row r="6597">
      <c r="A6597" s="16">
        <f>IF(Calc!$B6597,Calc!E6597,"")</f>
        <v/>
      </c>
      <c r="B6597">
        <f>IF(Calc!$B6597,INDEX(MineNames,Calc!C6597),"")</f>
        <v/>
      </c>
      <c r="C6597" s="17">
        <f>IF(Calc!$B6597,Calc!O6597,"")</f>
        <v/>
      </c>
    </row>
    <row r="6598">
      <c r="A6598" s="16">
        <f>IF(Calc!$B6598,Calc!E6598,"")</f>
        <v/>
      </c>
      <c r="B6598">
        <f>IF(Calc!$B6598,INDEX(MineNames,Calc!C6598),"")</f>
        <v/>
      </c>
      <c r="C6598" s="17">
        <f>IF(Calc!$B6598,Calc!O6598,"")</f>
        <v/>
      </c>
    </row>
    <row r="6599">
      <c r="A6599" s="16">
        <f>IF(Calc!$B6599,Calc!E6599,"")</f>
        <v/>
      </c>
      <c r="B6599">
        <f>IF(Calc!$B6599,INDEX(MineNames,Calc!C6599),"")</f>
        <v/>
      </c>
      <c r="C6599" s="17">
        <f>IF(Calc!$B6599,Calc!O6599,"")</f>
        <v/>
      </c>
    </row>
    <row r="6600">
      <c r="A6600" s="16">
        <f>IF(Calc!$B6600,Calc!E6600,"")</f>
        <v/>
      </c>
      <c r="B6600">
        <f>IF(Calc!$B6600,INDEX(MineNames,Calc!C6600),"")</f>
        <v/>
      </c>
      <c r="C6600" s="17">
        <f>IF(Calc!$B6600,Calc!O6600,"")</f>
        <v/>
      </c>
    </row>
    <row r="6601">
      <c r="A6601" s="16">
        <f>IF(Calc!$B6601,Calc!E6601,"")</f>
        <v/>
      </c>
      <c r="B6601">
        <f>IF(Calc!$B6601,INDEX(MineNames,Calc!C6601),"")</f>
        <v/>
      </c>
      <c r="C6601" s="17">
        <f>IF(Calc!$B6601,Calc!O6601,"")</f>
        <v/>
      </c>
    </row>
    <row r="6602">
      <c r="A6602" s="16">
        <f>IF(Calc!$B6602,Calc!E6602,"")</f>
        <v/>
      </c>
      <c r="B6602">
        <f>IF(Calc!$B6602,INDEX(MineNames,Calc!C6602),"")</f>
        <v/>
      </c>
      <c r="C6602" s="17">
        <f>IF(Calc!$B6602,Calc!O6602,"")</f>
        <v/>
      </c>
    </row>
    <row r="6603">
      <c r="A6603" s="16">
        <f>IF(Calc!$B6603,Calc!E6603,"")</f>
        <v/>
      </c>
      <c r="B6603">
        <f>IF(Calc!$B6603,INDEX(MineNames,Calc!C6603),"")</f>
        <v/>
      </c>
      <c r="C6603" s="17">
        <f>IF(Calc!$B6603,Calc!O6603,"")</f>
        <v/>
      </c>
    </row>
    <row r="6604">
      <c r="A6604" s="16">
        <f>IF(Calc!$B6604,Calc!E6604,"")</f>
        <v/>
      </c>
      <c r="B6604">
        <f>IF(Calc!$B6604,INDEX(MineNames,Calc!C6604),"")</f>
        <v/>
      </c>
      <c r="C6604" s="17">
        <f>IF(Calc!$B6604,Calc!O6604,"")</f>
        <v/>
      </c>
    </row>
    <row r="6605">
      <c r="A6605" s="16">
        <f>IF(Calc!$B6605,Calc!E6605,"")</f>
        <v/>
      </c>
      <c r="B6605">
        <f>IF(Calc!$B6605,INDEX(MineNames,Calc!C6605),"")</f>
        <v/>
      </c>
      <c r="C6605" s="17">
        <f>IF(Calc!$B6605,Calc!O6605,"")</f>
        <v/>
      </c>
    </row>
    <row r="6606">
      <c r="A6606" s="16">
        <f>IF(Calc!$B6606,Calc!E6606,"")</f>
        <v/>
      </c>
      <c r="B6606">
        <f>IF(Calc!$B6606,INDEX(MineNames,Calc!C6606),"")</f>
        <v/>
      </c>
      <c r="C6606" s="17">
        <f>IF(Calc!$B6606,Calc!O6606,"")</f>
        <v/>
      </c>
    </row>
    <row r="6607">
      <c r="A6607" s="16">
        <f>IF(Calc!$B6607,Calc!E6607,"")</f>
        <v/>
      </c>
      <c r="B6607">
        <f>IF(Calc!$B6607,INDEX(MineNames,Calc!C6607),"")</f>
        <v/>
      </c>
      <c r="C6607" s="17">
        <f>IF(Calc!$B6607,Calc!O6607,"")</f>
        <v/>
      </c>
    </row>
    <row r="6608">
      <c r="A6608" s="16">
        <f>IF(Calc!$B6608,Calc!E6608,"")</f>
        <v/>
      </c>
      <c r="B6608">
        <f>IF(Calc!$B6608,INDEX(MineNames,Calc!C6608),"")</f>
        <v/>
      </c>
      <c r="C6608" s="17">
        <f>IF(Calc!$B6608,Calc!O6608,"")</f>
        <v/>
      </c>
    </row>
    <row r="6609">
      <c r="A6609" s="16">
        <f>IF(Calc!$B6609,Calc!E6609,"")</f>
        <v/>
      </c>
      <c r="B6609">
        <f>IF(Calc!$B6609,INDEX(MineNames,Calc!C6609),"")</f>
        <v/>
      </c>
      <c r="C6609" s="17">
        <f>IF(Calc!$B6609,Calc!O6609,"")</f>
        <v/>
      </c>
    </row>
    <row r="6610">
      <c r="A6610" s="16">
        <f>IF(Calc!$B6610,Calc!E6610,"")</f>
        <v/>
      </c>
      <c r="B6610">
        <f>IF(Calc!$B6610,INDEX(MineNames,Calc!C6610),"")</f>
        <v/>
      </c>
      <c r="C6610" s="17">
        <f>IF(Calc!$B6610,Calc!O6610,"")</f>
        <v/>
      </c>
    </row>
    <row r="6611">
      <c r="A6611" s="16">
        <f>IF(Calc!$B6611,Calc!E6611,"")</f>
        <v/>
      </c>
      <c r="B6611">
        <f>IF(Calc!$B6611,INDEX(MineNames,Calc!C6611),"")</f>
        <v/>
      </c>
      <c r="C6611" s="17">
        <f>IF(Calc!$B6611,Calc!O6611,"")</f>
        <v/>
      </c>
    </row>
    <row r="6612">
      <c r="A6612" s="16">
        <f>IF(Calc!$B6612,Calc!E6612,"")</f>
        <v/>
      </c>
      <c r="B6612">
        <f>IF(Calc!$B6612,INDEX(MineNames,Calc!C6612),"")</f>
        <v/>
      </c>
      <c r="C6612" s="17">
        <f>IF(Calc!$B6612,Calc!O6612,"")</f>
        <v/>
      </c>
    </row>
    <row r="6613">
      <c r="A6613" s="16">
        <f>IF(Calc!$B6613,Calc!E6613,"")</f>
        <v/>
      </c>
      <c r="B6613">
        <f>IF(Calc!$B6613,INDEX(MineNames,Calc!C6613),"")</f>
        <v/>
      </c>
      <c r="C6613" s="17">
        <f>IF(Calc!$B6613,Calc!O6613,"")</f>
        <v/>
      </c>
    </row>
    <row r="6614">
      <c r="A6614" s="16">
        <f>IF(Calc!$B6614,Calc!E6614,"")</f>
        <v/>
      </c>
      <c r="B6614">
        <f>IF(Calc!$B6614,INDEX(MineNames,Calc!C6614),"")</f>
        <v/>
      </c>
      <c r="C6614" s="17">
        <f>IF(Calc!$B6614,Calc!O6614,"")</f>
        <v/>
      </c>
    </row>
    <row r="6615">
      <c r="A6615" s="16">
        <f>IF(Calc!$B6615,Calc!E6615,"")</f>
        <v/>
      </c>
      <c r="B6615">
        <f>IF(Calc!$B6615,INDEX(MineNames,Calc!C6615),"")</f>
        <v/>
      </c>
      <c r="C6615" s="17">
        <f>IF(Calc!$B6615,Calc!O6615,"")</f>
        <v/>
      </c>
    </row>
    <row r="6616">
      <c r="A6616" s="16">
        <f>IF(Calc!$B6616,Calc!E6616,"")</f>
        <v/>
      </c>
      <c r="B6616">
        <f>IF(Calc!$B6616,INDEX(MineNames,Calc!C6616),"")</f>
        <v/>
      </c>
      <c r="C6616" s="17">
        <f>IF(Calc!$B6616,Calc!O6616,"")</f>
        <v/>
      </c>
    </row>
    <row r="6617">
      <c r="A6617" s="16">
        <f>IF(Calc!$B6617,Calc!E6617,"")</f>
        <v/>
      </c>
      <c r="B6617">
        <f>IF(Calc!$B6617,INDEX(MineNames,Calc!C6617),"")</f>
        <v/>
      </c>
      <c r="C6617" s="17">
        <f>IF(Calc!$B6617,Calc!O6617,"")</f>
        <v/>
      </c>
    </row>
    <row r="6618">
      <c r="A6618" s="16">
        <f>IF(Calc!$B6618,Calc!E6618,"")</f>
        <v/>
      </c>
      <c r="B6618">
        <f>IF(Calc!$B6618,INDEX(MineNames,Calc!C6618),"")</f>
        <v/>
      </c>
      <c r="C6618" s="17">
        <f>IF(Calc!$B6618,Calc!O6618,"")</f>
        <v/>
      </c>
    </row>
    <row r="6619">
      <c r="A6619" s="16">
        <f>IF(Calc!$B6619,Calc!E6619,"")</f>
        <v/>
      </c>
      <c r="B6619">
        <f>IF(Calc!$B6619,INDEX(MineNames,Calc!C6619),"")</f>
        <v/>
      </c>
      <c r="C6619" s="17">
        <f>IF(Calc!$B6619,Calc!O6619,"")</f>
        <v/>
      </c>
    </row>
    <row r="6620">
      <c r="A6620" s="16">
        <f>IF(Calc!$B6620,Calc!E6620,"")</f>
        <v/>
      </c>
      <c r="B6620">
        <f>IF(Calc!$B6620,INDEX(MineNames,Calc!C6620),"")</f>
        <v/>
      </c>
      <c r="C6620" s="17">
        <f>IF(Calc!$B6620,Calc!O6620,"")</f>
        <v/>
      </c>
    </row>
    <row r="6621">
      <c r="A6621" s="16">
        <f>IF(Calc!$B6621,Calc!E6621,"")</f>
        <v/>
      </c>
      <c r="B6621">
        <f>IF(Calc!$B6621,INDEX(MineNames,Calc!C6621),"")</f>
        <v/>
      </c>
      <c r="C6621" s="17">
        <f>IF(Calc!$B6621,Calc!O6621,"")</f>
        <v/>
      </c>
    </row>
    <row r="6622">
      <c r="A6622" s="16">
        <f>IF(Calc!$B6622,Calc!E6622,"")</f>
        <v/>
      </c>
      <c r="B6622">
        <f>IF(Calc!$B6622,INDEX(MineNames,Calc!C6622),"")</f>
        <v/>
      </c>
      <c r="C6622" s="17">
        <f>IF(Calc!$B6622,Calc!O6622,"")</f>
        <v/>
      </c>
    </row>
    <row r="6623">
      <c r="A6623" s="16">
        <f>IF(Calc!$B6623,Calc!E6623,"")</f>
        <v/>
      </c>
      <c r="B6623">
        <f>IF(Calc!$B6623,INDEX(MineNames,Calc!C6623),"")</f>
        <v/>
      </c>
      <c r="C6623" s="17">
        <f>IF(Calc!$B6623,Calc!O6623,"")</f>
        <v/>
      </c>
    </row>
    <row r="6624">
      <c r="A6624" s="16">
        <f>IF(Calc!$B6624,Calc!E6624,"")</f>
        <v/>
      </c>
      <c r="B6624">
        <f>IF(Calc!$B6624,INDEX(MineNames,Calc!C6624),"")</f>
        <v/>
      </c>
      <c r="C6624" s="17">
        <f>IF(Calc!$B6624,Calc!O6624,"")</f>
        <v/>
      </c>
    </row>
    <row r="6625">
      <c r="A6625" s="16">
        <f>IF(Calc!$B6625,Calc!E6625,"")</f>
        <v/>
      </c>
      <c r="B6625">
        <f>IF(Calc!$B6625,INDEX(MineNames,Calc!C6625),"")</f>
        <v/>
      </c>
      <c r="C6625" s="17">
        <f>IF(Calc!$B6625,Calc!O6625,"")</f>
        <v/>
      </c>
    </row>
    <row r="6626">
      <c r="A6626" s="16">
        <f>IF(Calc!$B6626,Calc!E6626,"")</f>
        <v/>
      </c>
      <c r="B6626">
        <f>IF(Calc!$B6626,INDEX(MineNames,Calc!C6626),"")</f>
        <v/>
      </c>
      <c r="C6626" s="17">
        <f>IF(Calc!$B6626,Calc!O6626,"")</f>
        <v/>
      </c>
    </row>
    <row r="6627">
      <c r="A6627" s="16">
        <f>IF(Calc!$B6627,Calc!E6627,"")</f>
        <v/>
      </c>
      <c r="B6627">
        <f>IF(Calc!$B6627,INDEX(MineNames,Calc!C6627),"")</f>
        <v/>
      </c>
      <c r="C6627" s="17">
        <f>IF(Calc!$B6627,Calc!O6627,"")</f>
        <v/>
      </c>
    </row>
    <row r="6628">
      <c r="A6628" s="16">
        <f>IF(Calc!$B6628,Calc!E6628,"")</f>
        <v/>
      </c>
      <c r="B6628">
        <f>IF(Calc!$B6628,INDEX(MineNames,Calc!C6628),"")</f>
        <v/>
      </c>
      <c r="C6628" s="17">
        <f>IF(Calc!$B6628,Calc!O6628,"")</f>
        <v/>
      </c>
    </row>
    <row r="6629">
      <c r="A6629" s="16">
        <f>IF(Calc!$B6629,Calc!E6629,"")</f>
        <v/>
      </c>
      <c r="B6629">
        <f>IF(Calc!$B6629,INDEX(MineNames,Calc!C6629),"")</f>
        <v/>
      </c>
      <c r="C6629" s="17">
        <f>IF(Calc!$B6629,Calc!O6629,"")</f>
        <v/>
      </c>
    </row>
    <row r="6630">
      <c r="A6630" s="16">
        <f>IF(Calc!$B6630,Calc!E6630,"")</f>
        <v/>
      </c>
      <c r="B6630">
        <f>IF(Calc!$B6630,INDEX(MineNames,Calc!C6630),"")</f>
        <v/>
      </c>
      <c r="C6630" s="17">
        <f>IF(Calc!$B6630,Calc!O6630,"")</f>
        <v/>
      </c>
    </row>
    <row r="6631">
      <c r="A6631" s="16">
        <f>IF(Calc!$B6631,Calc!E6631,"")</f>
        <v/>
      </c>
      <c r="B6631">
        <f>IF(Calc!$B6631,INDEX(MineNames,Calc!C6631),"")</f>
        <v/>
      </c>
      <c r="C6631" s="17">
        <f>IF(Calc!$B6631,Calc!O6631,"")</f>
        <v/>
      </c>
    </row>
    <row r="6632">
      <c r="A6632" s="16">
        <f>IF(Calc!$B6632,Calc!E6632,"")</f>
        <v/>
      </c>
      <c r="B6632">
        <f>IF(Calc!$B6632,INDEX(MineNames,Calc!C6632),"")</f>
        <v/>
      </c>
      <c r="C6632" s="17">
        <f>IF(Calc!$B6632,Calc!O6632,"")</f>
        <v/>
      </c>
    </row>
    <row r="6633">
      <c r="A6633" s="16">
        <f>IF(Calc!$B6633,Calc!E6633,"")</f>
        <v/>
      </c>
      <c r="B6633">
        <f>IF(Calc!$B6633,INDEX(MineNames,Calc!C6633),"")</f>
        <v/>
      </c>
      <c r="C6633" s="17">
        <f>IF(Calc!$B6633,Calc!O6633,"")</f>
        <v/>
      </c>
    </row>
    <row r="6634">
      <c r="A6634" s="16">
        <f>IF(Calc!$B6634,Calc!E6634,"")</f>
        <v/>
      </c>
      <c r="B6634">
        <f>IF(Calc!$B6634,INDEX(MineNames,Calc!C6634),"")</f>
        <v/>
      </c>
      <c r="C6634" s="17">
        <f>IF(Calc!$B6634,Calc!O6634,"")</f>
        <v/>
      </c>
    </row>
    <row r="6635">
      <c r="A6635" s="16">
        <f>IF(Calc!$B6635,Calc!E6635,"")</f>
        <v/>
      </c>
      <c r="B6635">
        <f>IF(Calc!$B6635,INDEX(MineNames,Calc!C6635),"")</f>
        <v/>
      </c>
      <c r="C6635" s="17">
        <f>IF(Calc!$B6635,Calc!O6635,"")</f>
        <v/>
      </c>
    </row>
    <row r="6636">
      <c r="A6636" s="16">
        <f>IF(Calc!$B6636,Calc!E6636,"")</f>
        <v/>
      </c>
      <c r="B6636">
        <f>IF(Calc!$B6636,INDEX(MineNames,Calc!C6636),"")</f>
        <v/>
      </c>
      <c r="C6636" s="17">
        <f>IF(Calc!$B6636,Calc!O6636,"")</f>
        <v/>
      </c>
    </row>
    <row r="6637">
      <c r="A6637" s="16">
        <f>IF(Calc!$B6637,Calc!E6637,"")</f>
        <v/>
      </c>
      <c r="B6637">
        <f>IF(Calc!$B6637,INDEX(MineNames,Calc!C6637),"")</f>
        <v/>
      </c>
      <c r="C6637" s="17">
        <f>IF(Calc!$B6637,Calc!O6637,"")</f>
        <v/>
      </c>
    </row>
    <row r="6638">
      <c r="A6638" s="16">
        <f>IF(Calc!$B6638,Calc!E6638,"")</f>
        <v/>
      </c>
      <c r="B6638">
        <f>IF(Calc!$B6638,INDEX(MineNames,Calc!C6638),"")</f>
        <v/>
      </c>
      <c r="C6638" s="17">
        <f>IF(Calc!$B6638,Calc!O6638,"")</f>
        <v/>
      </c>
    </row>
    <row r="6639">
      <c r="A6639" s="16">
        <f>IF(Calc!$B6639,Calc!E6639,"")</f>
        <v/>
      </c>
      <c r="B6639">
        <f>IF(Calc!$B6639,INDEX(MineNames,Calc!C6639),"")</f>
        <v/>
      </c>
      <c r="C6639" s="17">
        <f>IF(Calc!$B6639,Calc!O6639,"")</f>
        <v/>
      </c>
    </row>
    <row r="6640">
      <c r="A6640" s="16">
        <f>IF(Calc!$B6640,Calc!E6640,"")</f>
        <v/>
      </c>
      <c r="B6640">
        <f>IF(Calc!$B6640,INDEX(MineNames,Calc!C6640),"")</f>
        <v/>
      </c>
      <c r="C6640" s="17">
        <f>IF(Calc!$B6640,Calc!O6640,"")</f>
        <v/>
      </c>
    </row>
    <row r="6641">
      <c r="A6641" s="16">
        <f>IF(Calc!$B6641,Calc!E6641,"")</f>
        <v/>
      </c>
      <c r="B6641">
        <f>IF(Calc!$B6641,INDEX(MineNames,Calc!C6641),"")</f>
        <v/>
      </c>
      <c r="C6641" s="17">
        <f>IF(Calc!$B6641,Calc!O6641,"")</f>
        <v/>
      </c>
    </row>
    <row r="6642">
      <c r="A6642" s="16">
        <f>IF(Calc!$B6642,Calc!E6642,"")</f>
        <v/>
      </c>
      <c r="B6642">
        <f>IF(Calc!$B6642,INDEX(MineNames,Calc!C6642),"")</f>
        <v/>
      </c>
      <c r="C6642" s="17">
        <f>IF(Calc!$B6642,Calc!O6642,"")</f>
        <v/>
      </c>
    </row>
    <row r="6643">
      <c r="A6643" s="16">
        <f>IF(Calc!$B6643,Calc!E6643,"")</f>
        <v/>
      </c>
      <c r="B6643">
        <f>IF(Calc!$B6643,INDEX(MineNames,Calc!C6643),"")</f>
        <v/>
      </c>
      <c r="C6643" s="17">
        <f>IF(Calc!$B6643,Calc!O6643,"")</f>
        <v/>
      </c>
    </row>
    <row r="6644">
      <c r="A6644" s="16">
        <f>IF(Calc!$B6644,Calc!E6644,"")</f>
        <v/>
      </c>
      <c r="B6644">
        <f>IF(Calc!$B6644,INDEX(MineNames,Calc!C6644),"")</f>
        <v/>
      </c>
      <c r="C6644" s="17">
        <f>IF(Calc!$B6644,Calc!O6644,"")</f>
        <v/>
      </c>
    </row>
    <row r="6645">
      <c r="A6645" s="16">
        <f>IF(Calc!$B6645,Calc!E6645,"")</f>
        <v/>
      </c>
      <c r="B6645">
        <f>IF(Calc!$B6645,INDEX(MineNames,Calc!C6645),"")</f>
        <v/>
      </c>
      <c r="C6645" s="17">
        <f>IF(Calc!$B6645,Calc!O6645,"")</f>
        <v/>
      </c>
    </row>
    <row r="6646">
      <c r="A6646" s="16">
        <f>IF(Calc!$B6646,Calc!E6646,"")</f>
        <v/>
      </c>
      <c r="B6646">
        <f>IF(Calc!$B6646,INDEX(MineNames,Calc!C6646),"")</f>
        <v/>
      </c>
      <c r="C6646" s="17">
        <f>IF(Calc!$B6646,Calc!O6646,"")</f>
        <v/>
      </c>
    </row>
    <row r="6647">
      <c r="A6647" s="16">
        <f>IF(Calc!$B6647,Calc!E6647,"")</f>
        <v/>
      </c>
      <c r="B6647">
        <f>IF(Calc!$B6647,INDEX(MineNames,Calc!C6647),"")</f>
        <v/>
      </c>
      <c r="C6647" s="17">
        <f>IF(Calc!$B6647,Calc!O6647,"")</f>
        <v/>
      </c>
    </row>
    <row r="6648">
      <c r="A6648" s="16">
        <f>IF(Calc!$B6648,Calc!E6648,"")</f>
        <v/>
      </c>
      <c r="B6648">
        <f>IF(Calc!$B6648,INDEX(MineNames,Calc!C6648),"")</f>
        <v/>
      </c>
      <c r="C6648" s="17">
        <f>IF(Calc!$B6648,Calc!O6648,"")</f>
        <v/>
      </c>
    </row>
    <row r="6649">
      <c r="A6649" s="16">
        <f>IF(Calc!$B6649,Calc!E6649,"")</f>
        <v/>
      </c>
      <c r="B6649">
        <f>IF(Calc!$B6649,INDEX(MineNames,Calc!C6649),"")</f>
        <v/>
      </c>
      <c r="C6649" s="17">
        <f>IF(Calc!$B6649,Calc!O6649,"")</f>
        <v/>
      </c>
    </row>
    <row r="6650">
      <c r="A6650" s="16">
        <f>IF(Calc!$B6650,Calc!E6650,"")</f>
        <v/>
      </c>
      <c r="B6650">
        <f>IF(Calc!$B6650,INDEX(MineNames,Calc!C6650),"")</f>
        <v/>
      </c>
      <c r="C6650" s="17">
        <f>IF(Calc!$B6650,Calc!O6650,"")</f>
        <v/>
      </c>
    </row>
    <row r="6651">
      <c r="A6651" s="16">
        <f>IF(Calc!$B6651,Calc!E6651,"")</f>
        <v/>
      </c>
      <c r="B6651">
        <f>IF(Calc!$B6651,INDEX(MineNames,Calc!C6651),"")</f>
        <v/>
      </c>
      <c r="C6651" s="17">
        <f>IF(Calc!$B6651,Calc!O6651,"")</f>
        <v/>
      </c>
    </row>
    <row r="6652">
      <c r="A6652" s="16">
        <f>IF(Calc!$B6652,Calc!E6652,"")</f>
        <v/>
      </c>
      <c r="B6652">
        <f>IF(Calc!$B6652,INDEX(MineNames,Calc!C6652),"")</f>
        <v/>
      </c>
      <c r="C6652" s="17">
        <f>IF(Calc!$B6652,Calc!O6652,"")</f>
        <v/>
      </c>
    </row>
    <row r="6653">
      <c r="A6653" s="16">
        <f>IF(Calc!$B6653,Calc!E6653,"")</f>
        <v/>
      </c>
      <c r="B6653">
        <f>IF(Calc!$B6653,INDEX(MineNames,Calc!C6653),"")</f>
        <v/>
      </c>
      <c r="C6653" s="17">
        <f>IF(Calc!$B6653,Calc!O6653,"")</f>
        <v/>
      </c>
    </row>
    <row r="6654">
      <c r="A6654" s="16">
        <f>IF(Calc!$B6654,Calc!E6654,"")</f>
        <v/>
      </c>
      <c r="B6654">
        <f>IF(Calc!$B6654,INDEX(MineNames,Calc!C6654),"")</f>
        <v/>
      </c>
      <c r="C6654" s="17">
        <f>IF(Calc!$B6654,Calc!O6654,"")</f>
        <v/>
      </c>
    </row>
    <row r="6655">
      <c r="A6655" s="16">
        <f>IF(Calc!$B6655,Calc!E6655,"")</f>
        <v/>
      </c>
      <c r="B6655">
        <f>IF(Calc!$B6655,INDEX(MineNames,Calc!C6655),"")</f>
        <v/>
      </c>
      <c r="C6655" s="17">
        <f>IF(Calc!$B6655,Calc!O6655,"")</f>
        <v/>
      </c>
    </row>
    <row r="6656">
      <c r="A6656" s="16">
        <f>IF(Calc!$B6656,Calc!E6656,"")</f>
        <v/>
      </c>
      <c r="B6656">
        <f>IF(Calc!$B6656,INDEX(MineNames,Calc!C6656),"")</f>
        <v/>
      </c>
      <c r="C6656" s="17">
        <f>IF(Calc!$B6656,Calc!O6656,"")</f>
        <v/>
      </c>
    </row>
    <row r="6657">
      <c r="A6657" s="16">
        <f>IF(Calc!$B6657,Calc!E6657,"")</f>
        <v/>
      </c>
      <c r="B6657">
        <f>IF(Calc!$B6657,INDEX(MineNames,Calc!C6657),"")</f>
        <v/>
      </c>
      <c r="C6657" s="17">
        <f>IF(Calc!$B6657,Calc!O6657,"")</f>
        <v/>
      </c>
    </row>
    <row r="6658">
      <c r="A6658" s="16">
        <f>IF(Calc!$B6658,Calc!E6658,"")</f>
        <v/>
      </c>
      <c r="B6658">
        <f>IF(Calc!$B6658,INDEX(MineNames,Calc!C6658),"")</f>
        <v/>
      </c>
      <c r="C6658" s="17">
        <f>IF(Calc!$B6658,Calc!O6658,"")</f>
        <v/>
      </c>
    </row>
    <row r="6659">
      <c r="A6659" s="16">
        <f>IF(Calc!$B6659,Calc!E6659,"")</f>
        <v/>
      </c>
      <c r="B6659">
        <f>IF(Calc!$B6659,INDEX(MineNames,Calc!C6659),"")</f>
        <v/>
      </c>
      <c r="C6659" s="17">
        <f>IF(Calc!$B6659,Calc!O6659,"")</f>
        <v/>
      </c>
    </row>
    <row r="6660">
      <c r="A6660" s="16">
        <f>IF(Calc!$B6660,Calc!E6660,"")</f>
        <v/>
      </c>
      <c r="B6660">
        <f>IF(Calc!$B6660,INDEX(MineNames,Calc!C6660),"")</f>
        <v/>
      </c>
      <c r="C6660" s="17">
        <f>IF(Calc!$B6660,Calc!O6660,"")</f>
        <v/>
      </c>
    </row>
    <row r="6661">
      <c r="A6661" s="16">
        <f>IF(Calc!$B6661,Calc!E6661,"")</f>
        <v/>
      </c>
      <c r="B6661">
        <f>IF(Calc!$B6661,INDEX(MineNames,Calc!C6661),"")</f>
        <v/>
      </c>
      <c r="C6661" s="17">
        <f>IF(Calc!$B6661,Calc!O6661,"")</f>
        <v/>
      </c>
    </row>
    <row r="6662">
      <c r="A6662" s="16">
        <f>IF(Calc!$B6662,Calc!E6662,"")</f>
        <v/>
      </c>
      <c r="B6662">
        <f>IF(Calc!$B6662,INDEX(MineNames,Calc!C6662),"")</f>
        <v/>
      </c>
      <c r="C6662" s="17">
        <f>IF(Calc!$B6662,Calc!O6662,"")</f>
        <v/>
      </c>
    </row>
    <row r="6663">
      <c r="A6663" s="16">
        <f>IF(Calc!$B6663,Calc!E6663,"")</f>
        <v/>
      </c>
      <c r="B6663">
        <f>IF(Calc!$B6663,INDEX(MineNames,Calc!C6663),"")</f>
        <v/>
      </c>
      <c r="C6663" s="17">
        <f>IF(Calc!$B6663,Calc!O6663,"")</f>
        <v/>
      </c>
    </row>
    <row r="6664">
      <c r="A6664" s="16">
        <f>IF(Calc!$B6664,Calc!E6664,"")</f>
        <v/>
      </c>
      <c r="B6664">
        <f>IF(Calc!$B6664,INDEX(MineNames,Calc!C6664),"")</f>
        <v/>
      </c>
      <c r="C6664" s="17">
        <f>IF(Calc!$B6664,Calc!O6664,"")</f>
        <v/>
      </c>
    </row>
    <row r="6665">
      <c r="A6665" s="16">
        <f>IF(Calc!$B6665,Calc!E6665,"")</f>
        <v/>
      </c>
      <c r="B6665">
        <f>IF(Calc!$B6665,INDEX(MineNames,Calc!C6665),"")</f>
        <v/>
      </c>
      <c r="C6665" s="17">
        <f>IF(Calc!$B6665,Calc!O6665,"")</f>
        <v/>
      </c>
    </row>
    <row r="6666">
      <c r="A6666" s="16">
        <f>IF(Calc!$B6666,Calc!E6666,"")</f>
        <v/>
      </c>
      <c r="B6666">
        <f>IF(Calc!$B6666,INDEX(MineNames,Calc!C6666),"")</f>
        <v/>
      </c>
      <c r="C6666" s="17">
        <f>IF(Calc!$B6666,Calc!O6666,"")</f>
        <v/>
      </c>
    </row>
    <row r="6667">
      <c r="A6667" s="16">
        <f>IF(Calc!$B6667,Calc!E6667,"")</f>
        <v/>
      </c>
      <c r="B6667">
        <f>IF(Calc!$B6667,INDEX(MineNames,Calc!C6667),"")</f>
        <v/>
      </c>
      <c r="C6667" s="17">
        <f>IF(Calc!$B6667,Calc!O6667,"")</f>
        <v/>
      </c>
    </row>
    <row r="6668">
      <c r="A6668" s="16">
        <f>IF(Calc!$B6668,Calc!E6668,"")</f>
        <v/>
      </c>
      <c r="B6668">
        <f>IF(Calc!$B6668,INDEX(MineNames,Calc!C6668),"")</f>
        <v/>
      </c>
      <c r="C6668" s="17">
        <f>IF(Calc!$B6668,Calc!O6668,"")</f>
        <v/>
      </c>
    </row>
    <row r="6669">
      <c r="A6669" s="16">
        <f>IF(Calc!$B6669,Calc!E6669,"")</f>
        <v/>
      </c>
      <c r="B6669">
        <f>IF(Calc!$B6669,INDEX(MineNames,Calc!C6669),"")</f>
        <v/>
      </c>
      <c r="C6669" s="17">
        <f>IF(Calc!$B6669,Calc!O6669,"")</f>
        <v/>
      </c>
    </row>
    <row r="6670">
      <c r="A6670" s="16">
        <f>IF(Calc!$B6670,Calc!E6670,"")</f>
        <v/>
      </c>
      <c r="B6670">
        <f>IF(Calc!$B6670,INDEX(MineNames,Calc!C6670),"")</f>
        <v/>
      </c>
      <c r="C6670" s="17">
        <f>IF(Calc!$B6670,Calc!O6670,"")</f>
        <v/>
      </c>
    </row>
    <row r="6671">
      <c r="A6671" s="16">
        <f>IF(Calc!$B6671,Calc!E6671,"")</f>
        <v/>
      </c>
      <c r="B6671">
        <f>IF(Calc!$B6671,INDEX(MineNames,Calc!C6671),"")</f>
        <v/>
      </c>
      <c r="C6671" s="17">
        <f>IF(Calc!$B6671,Calc!O6671,"")</f>
        <v/>
      </c>
    </row>
    <row r="6672">
      <c r="A6672" s="16">
        <f>IF(Calc!$B6672,Calc!E6672,"")</f>
        <v/>
      </c>
      <c r="B6672">
        <f>IF(Calc!$B6672,INDEX(MineNames,Calc!C6672),"")</f>
        <v/>
      </c>
      <c r="C6672" s="17">
        <f>IF(Calc!$B6672,Calc!O6672,"")</f>
        <v/>
      </c>
    </row>
    <row r="6673">
      <c r="A6673" s="16">
        <f>IF(Calc!$B6673,Calc!E6673,"")</f>
        <v/>
      </c>
      <c r="B6673">
        <f>IF(Calc!$B6673,INDEX(MineNames,Calc!C6673),"")</f>
        <v/>
      </c>
      <c r="C6673" s="17">
        <f>IF(Calc!$B6673,Calc!O6673,"")</f>
        <v/>
      </c>
    </row>
    <row r="6674">
      <c r="A6674" s="16">
        <f>IF(Calc!$B6674,Calc!E6674,"")</f>
        <v/>
      </c>
      <c r="B6674">
        <f>IF(Calc!$B6674,INDEX(MineNames,Calc!C6674),"")</f>
        <v/>
      </c>
      <c r="C6674" s="17">
        <f>IF(Calc!$B6674,Calc!O6674,"")</f>
        <v/>
      </c>
    </row>
    <row r="6675">
      <c r="A6675" s="16">
        <f>IF(Calc!$B6675,Calc!E6675,"")</f>
        <v/>
      </c>
      <c r="B6675">
        <f>IF(Calc!$B6675,INDEX(MineNames,Calc!C6675),"")</f>
        <v/>
      </c>
      <c r="C6675" s="17">
        <f>IF(Calc!$B6675,Calc!O6675,"")</f>
        <v/>
      </c>
    </row>
    <row r="6676">
      <c r="A6676" s="16">
        <f>IF(Calc!$B6676,Calc!E6676,"")</f>
        <v/>
      </c>
      <c r="B6676">
        <f>IF(Calc!$B6676,INDEX(MineNames,Calc!C6676),"")</f>
        <v/>
      </c>
      <c r="C6676" s="17">
        <f>IF(Calc!$B6676,Calc!O6676,"")</f>
        <v/>
      </c>
    </row>
    <row r="6677">
      <c r="A6677" s="16">
        <f>IF(Calc!$B6677,Calc!E6677,"")</f>
        <v/>
      </c>
      <c r="B6677">
        <f>IF(Calc!$B6677,INDEX(MineNames,Calc!C6677),"")</f>
        <v/>
      </c>
      <c r="C6677" s="17">
        <f>IF(Calc!$B6677,Calc!O6677,"")</f>
        <v/>
      </c>
    </row>
    <row r="6678">
      <c r="A6678" s="16">
        <f>IF(Calc!$B6678,Calc!E6678,"")</f>
        <v/>
      </c>
      <c r="B6678">
        <f>IF(Calc!$B6678,INDEX(MineNames,Calc!C6678),"")</f>
        <v/>
      </c>
      <c r="C6678" s="17">
        <f>IF(Calc!$B6678,Calc!O6678,"")</f>
        <v/>
      </c>
    </row>
    <row r="6679">
      <c r="A6679" s="16">
        <f>IF(Calc!$B6679,Calc!E6679,"")</f>
        <v/>
      </c>
      <c r="B6679">
        <f>IF(Calc!$B6679,INDEX(MineNames,Calc!C6679),"")</f>
        <v/>
      </c>
      <c r="C6679" s="17">
        <f>IF(Calc!$B6679,Calc!O6679,"")</f>
        <v/>
      </c>
    </row>
    <row r="6680">
      <c r="A6680" s="16">
        <f>IF(Calc!$B6680,Calc!E6680,"")</f>
        <v/>
      </c>
      <c r="B6680">
        <f>IF(Calc!$B6680,INDEX(MineNames,Calc!C6680),"")</f>
        <v/>
      </c>
      <c r="C6680" s="17">
        <f>IF(Calc!$B6680,Calc!O6680,"")</f>
        <v/>
      </c>
    </row>
    <row r="6681">
      <c r="A6681" s="16">
        <f>IF(Calc!$B6681,Calc!E6681,"")</f>
        <v/>
      </c>
      <c r="B6681">
        <f>IF(Calc!$B6681,INDEX(MineNames,Calc!C6681),"")</f>
        <v/>
      </c>
      <c r="C6681" s="17">
        <f>IF(Calc!$B6681,Calc!O6681,"")</f>
        <v/>
      </c>
    </row>
    <row r="6682">
      <c r="A6682" s="16">
        <f>IF(Calc!$B6682,Calc!E6682,"")</f>
        <v/>
      </c>
      <c r="B6682">
        <f>IF(Calc!$B6682,INDEX(MineNames,Calc!C6682),"")</f>
        <v/>
      </c>
      <c r="C6682" s="17">
        <f>IF(Calc!$B6682,Calc!O6682,"")</f>
        <v/>
      </c>
    </row>
    <row r="6683">
      <c r="A6683" s="16">
        <f>IF(Calc!$B6683,Calc!E6683,"")</f>
        <v/>
      </c>
      <c r="B6683">
        <f>IF(Calc!$B6683,INDEX(MineNames,Calc!C6683),"")</f>
        <v/>
      </c>
      <c r="C6683" s="17">
        <f>IF(Calc!$B6683,Calc!O6683,"")</f>
        <v/>
      </c>
    </row>
    <row r="6684">
      <c r="A6684" s="16">
        <f>IF(Calc!$B6684,Calc!E6684,"")</f>
        <v/>
      </c>
      <c r="B6684">
        <f>IF(Calc!$B6684,INDEX(MineNames,Calc!C6684),"")</f>
        <v/>
      </c>
      <c r="C6684" s="17">
        <f>IF(Calc!$B6684,Calc!O6684,"")</f>
        <v/>
      </c>
    </row>
    <row r="6685">
      <c r="A6685" s="16">
        <f>IF(Calc!$B6685,Calc!E6685,"")</f>
        <v/>
      </c>
      <c r="B6685">
        <f>IF(Calc!$B6685,INDEX(MineNames,Calc!C6685),"")</f>
        <v/>
      </c>
      <c r="C6685" s="17">
        <f>IF(Calc!$B6685,Calc!O6685,"")</f>
        <v/>
      </c>
    </row>
    <row r="6686">
      <c r="A6686" s="16">
        <f>IF(Calc!$B6686,Calc!E6686,"")</f>
        <v/>
      </c>
      <c r="B6686">
        <f>IF(Calc!$B6686,INDEX(MineNames,Calc!C6686),"")</f>
        <v/>
      </c>
      <c r="C6686" s="17">
        <f>IF(Calc!$B6686,Calc!O6686,"")</f>
        <v/>
      </c>
    </row>
    <row r="6687">
      <c r="A6687" s="16">
        <f>IF(Calc!$B6687,Calc!E6687,"")</f>
        <v/>
      </c>
      <c r="B6687">
        <f>IF(Calc!$B6687,INDEX(MineNames,Calc!C6687),"")</f>
        <v/>
      </c>
      <c r="C6687" s="17">
        <f>IF(Calc!$B6687,Calc!O6687,"")</f>
        <v/>
      </c>
    </row>
    <row r="6688">
      <c r="A6688" s="16">
        <f>IF(Calc!$B6688,Calc!E6688,"")</f>
        <v/>
      </c>
      <c r="B6688">
        <f>IF(Calc!$B6688,INDEX(MineNames,Calc!C6688),"")</f>
        <v/>
      </c>
      <c r="C6688" s="17">
        <f>IF(Calc!$B6688,Calc!O6688,"")</f>
        <v/>
      </c>
    </row>
    <row r="6689">
      <c r="A6689" s="16">
        <f>IF(Calc!$B6689,Calc!E6689,"")</f>
        <v/>
      </c>
      <c r="B6689">
        <f>IF(Calc!$B6689,INDEX(MineNames,Calc!C6689),"")</f>
        <v/>
      </c>
      <c r="C6689" s="17">
        <f>IF(Calc!$B6689,Calc!O6689,"")</f>
        <v/>
      </c>
    </row>
    <row r="6690">
      <c r="A6690" s="16">
        <f>IF(Calc!$B6690,Calc!E6690,"")</f>
        <v/>
      </c>
      <c r="B6690">
        <f>IF(Calc!$B6690,INDEX(MineNames,Calc!C6690),"")</f>
        <v/>
      </c>
      <c r="C6690" s="17">
        <f>IF(Calc!$B6690,Calc!O6690,"")</f>
        <v/>
      </c>
    </row>
    <row r="6691">
      <c r="A6691" s="16">
        <f>IF(Calc!$B6691,Calc!E6691,"")</f>
        <v/>
      </c>
      <c r="B6691">
        <f>IF(Calc!$B6691,INDEX(MineNames,Calc!C6691),"")</f>
        <v/>
      </c>
      <c r="C6691" s="17">
        <f>IF(Calc!$B6691,Calc!O6691,"")</f>
        <v/>
      </c>
    </row>
    <row r="6692">
      <c r="A6692" s="16">
        <f>IF(Calc!$B6692,Calc!E6692,"")</f>
        <v/>
      </c>
      <c r="B6692">
        <f>IF(Calc!$B6692,INDEX(MineNames,Calc!C6692),"")</f>
        <v/>
      </c>
      <c r="C6692" s="17">
        <f>IF(Calc!$B6692,Calc!O6692,"")</f>
        <v/>
      </c>
    </row>
    <row r="6693">
      <c r="A6693" s="16">
        <f>IF(Calc!$B6693,Calc!E6693,"")</f>
        <v/>
      </c>
      <c r="B6693">
        <f>IF(Calc!$B6693,INDEX(MineNames,Calc!C6693),"")</f>
        <v/>
      </c>
      <c r="C6693" s="17">
        <f>IF(Calc!$B6693,Calc!O6693,"")</f>
        <v/>
      </c>
    </row>
    <row r="6694">
      <c r="A6694" s="16">
        <f>IF(Calc!$B6694,Calc!E6694,"")</f>
        <v/>
      </c>
      <c r="B6694">
        <f>IF(Calc!$B6694,INDEX(MineNames,Calc!C6694),"")</f>
        <v/>
      </c>
      <c r="C6694" s="17">
        <f>IF(Calc!$B6694,Calc!O6694,"")</f>
        <v/>
      </c>
    </row>
    <row r="6695">
      <c r="A6695" s="16">
        <f>IF(Calc!$B6695,Calc!E6695,"")</f>
        <v/>
      </c>
      <c r="B6695">
        <f>IF(Calc!$B6695,INDEX(MineNames,Calc!C6695),"")</f>
        <v/>
      </c>
      <c r="C6695" s="17">
        <f>IF(Calc!$B6695,Calc!O6695,"")</f>
        <v/>
      </c>
    </row>
    <row r="6696">
      <c r="A6696" s="16">
        <f>IF(Calc!$B6696,Calc!E6696,"")</f>
        <v/>
      </c>
      <c r="B6696">
        <f>IF(Calc!$B6696,INDEX(MineNames,Calc!C6696),"")</f>
        <v/>
      </c>
      <c r="C6696" s="17">
        <f>IF(Calc!$B6696,Calc!O6696,"")</f>
        <v/>
      </c>
    </row>
    <row r="6697">
      <c r="A6697" s="16">
        <f>IF(Calc!$B6697,Calc!E6697,"")</f>
        <v/>
      </c>
      <c r="B6697">
        <f>IF(Calc!$B6697,INDEX(MineNames,Calc!C6697),"")</f>
        <v/>
      </c>
      <c r="C6697" s="17">
        <f>IF(Calc!$B6697,Calc!O6697,"")</f>
        <v/>
      </c>
    </row>
    <row r="6698">
      <c r="A6698" s="16">
        <f>IF(Calc!$B6698,Calc!E6698,"")</f>
        <v/>
      </c>
      <c r="B6698">
        <f>IF(Calc!$B6698,INDEX(MineNames,Calc!C6698),"")</f>
        <v/>
      </c>
      <c r="C6698" s="17">
        <f>IF(Calc!$B6698,Calc!O6698,"")</f>
        <v/>
      </c>
    </row>
    <row r="6699">
      <c r="A6699" s="16">
        <f>IF(Calc!$B6699,Calc!E6699,"")</f>
        <v/>
      </c>
      <c r="B6699">
        <f>IF(Calc!$B6699,INDEX(MineNames,Calc!C6699),"")</f>
        <v/>
      </c>
      <c r="C6699" s="17">
        <f>IF(Calc!$B6699,Calc!O6699,"")</f>
        <v/>
      </c>
    </row>
    <row r="6700">
      <c r="A6700" s="16">
        <f>IF(Calc!$B6700,Calc!E6700,"")</f>
        <v/>
      </c>
      <c r="B6700">
        <f>IF(Calc!$B6700,INDEX(MineNames,Calc!C6700),"")</f>
        <v/>
      </c>
      <c r="C6700" s="17">
        <f>IF(Calc!$B6700,Calc!O6700,"")</f>
        <v/>
      </c>
    </row>
    <row r="6701">
      <c r="A6701" s="16">
        <f>IF(Calc!$B6701,Calc!E6701,"")</f>
        <v/>
      </c>
      <c r="B6701">
        <f>IF(Calc!$B6701,INDEX(MineNames,Calc!C6701),"")</f>
        <v/>
      </c>
      <c r="C6701" s="17">
        <f>IF(Calc!$B6701,Calc!O6701,"")</f>
        <v/>
      </c>
    </row>
    <row r="6702">
      <c r="A6702" s="16">
        <f>IF(Calc!$B6702,Calc!E6702,"")</f>
        <v/>
      </c>
      <c r="B6702">
        <f>IF(Calc!$B6702,INDEX(MineNames,Calc!C6702),"")</f>
        <v/>
      </c>
      <c r="C6702" s="17">
        <f>IF(Calc!$B6702,Calc!O6702,"")</f>
        <v/>
      </c>
    </row>
    <row r="6703">
      <c r="A6703" s="16">
        <f>IF(Calc!$B6703,Calc!E6703,"")</f>
        <v/>
      </c>
      <c r="B6703">
        <f>IF(Calc!$B6703,INDEX(MineNames,Calc!C6703),"")</f>
        <v/>
      </c>
      <c r="C6703" s="17">
        <f>IF(Calc!$B6703,Calc!O6703,"")</f>
        <v/>
      </c>
    </row>
    <row r="6704">
      <c r="A6704" s="16">
        <f>IF(Calc!$B6704,Calc!E6704,"")</f>
        <v/>
      </c>
      <c r="B6704">
        <f>IF(Calc!$B6704,INDEX(MineNames,Calc!C6704),"")</f>
        <v/>
      </c>
      <c r="C6704" s="17">
        <f>IF(Calc!$B6704,Calc!O6704,"")</f>
        <v/>
      </c>
    </row>
    <row r="6705">
      <c r="A6705" s="16">
        <f>IF(Calc!$B6705,Calc!E6705,"")</f>
        <v/>
      </c>
      <c r="B6705">
        <f>IF(Calc!$B6705,INDEX(MineNames,Calc!C6705),"")</f>
        <v/>
      </c>
      <c r="C6705" s="17">
        <f>IF(Calc!$B6705,Calc!O6705,"")</f>
        <v/>
      </c>
    </row>
    <row r="6706">
      <c r="A6706" s="16">
        <f>IF(Calc!$B6706,Calc!E6706,"")</f>
        <v/>
      </c>
      <c r="B6706">
        <f>IF(Calc!$B6706,INDEX(MineNames,Calc!C6706),"")</f>
        <v/>
      </c>
      <c r="C6706" s="17">
        <f>IF(Calc!$B6706,Calc!O6706,"")</f>
        <v/>
      </c>
    </row>
    <row r="6707">
      <c r="A6707" s="16">
        <f>IF(Calc!$B6707,Calc!E6707,"")</f>
        <v/>
      </c>
      <c r="B6707">
        <f>IF(Calc!$B6707,INDEX(MineNames,Calc!C6707),"")</f>
        <v/>
      </c>
      <c r="C6707" s="17">
        <f>IF(Calc!$B6707,Calc!O6707,"")</f>
        <v/>
      </c>
    </row>
    <row r="6708">
      <c r="A6708" s="16">
        <f>IF(Calc!$B6708,Calc!E6708,"")</f>
        <v/>
      </c>
      <c r="B6708">
        <f>IF(Calc!$B6708,INDEX(MineNames,Calc!C6708),"")</f>
        <v/>
      </c>
      <c r="C6708" s="17">
        <f>IF(Calc!$B6708,Calc!O6708,"")</f>
        <v/>
      </c>
    </row>
    <row r="6709">
      <c r="A6709" s="16">
        <f>IF(Calc!$B6709,Calc!E6709,"")</f>
        <v/>
      </c>
      <c r="B6709">
        <f>IF(Calc!$B6709,INDEX(MineNames,Calc!C6709),"")</f>
        <v/>
      </c>
      <c r="C6709" s="17">
        <f>IF(Calc!$B6709,Calc!O6709,"")</f>
        <v/>
      </c>
    </row>
    <row r="6710">
      <c r="A6710" s="16">
        <f>IF(Calc!$B6710,Calc!E6710,"")</f>
        <v/>
      </c>
      <c r="B6710">
        <f>IF(Calc!$B6710,INDEX(MineNames,Calc!C6710),"")</f>
        <v/>
      </c>
      <c r="C6710" s="17">
        <f>IF(Calc!$B6710,Calc!O6710,"")</f>
        <v/>
      </c>
    </row>
    <row r="6711">
      <c r="A6711" s="16">
        <f>IF(Calc!$B6711,Calc!E6711,"")</f>
        <v/>
      </c>
      <c r="B6711">
        <f>IF(Calc!$B6711,INDEX(MineNames,Calc!C6711),"")</f>
        <v/>
      </c>
      <c r="C6711" s="17">
        <f>IF(Calc!$B6711,Calc!O6711,"")</f>
        <v/>
      </c>
    </row>
    <row r="6712">
      <c r="A6712" s="16">
        <f>IF(Calc!$B6712,Calc!E6712,"")</f>
        <v/>
      </c>
      <c r="B6712">
        <f>IF(Calc!$B6712,INDEX(MineNames,Calc!C6712),"")</f>
        <v/>
      </c>
      <c r="C6712" s="17">
        <f>IF(Calc!$B6712,Calc!O6712,"")</f>
        <v/>
      </c>
    </row>
    <row r="6713">
      <c r="A6713" s="16">
        <f>IF(Calc!$B6713,Calc!E6713,"")</f>
        <v/>
      </c>
      <c r="B6713">
        <f>IF(Calc!$B6713,INDEX(MineNames,Calc!C6713),"")</f>
        <v/>
      </c>
      <c r="C6713" s="17">
        <f>IF(Calc!$B6713,Calc!O6713,"")</f>
        <v/>
      </c>
    </row>
    <row r="6714">
      <c r="A6714" s="16">
        <f>IF(Calc!$B6714,Calc!E6714,"")</f>
        <v/>
      </c>
      <c r="B6714">
        <f>IF(Calc!$B6714,INDEX(MineNames,Calc!C6714),"")</f>
        <v/>
      </c>
      <c r="C6714" s="17">
        <f>IF(Calc!$B6714,Calc!O6714,"")</f>
        <v/>
      </c>
    </row>
    <row r="6715">
      <c r="A6715" s="16">
        <f>IF(Calc!$B6715,Calc!E6715,"")</f>
        <v/>
      </c>
      <c r="B6715">
        <f>IF(Calc!$B6715,INDEX(MineNames,Calc!C6715),"")</f>
        <v/>
      </c>
      <c r="C6715" s="17">
        <f>IF(Calc!$B6715,Calc!O6715,"")</f>
        <v/>
      </c>
    </row>
    <row r="6716">
      <c r="A6716" s="16">
        <f>IF(Calc!$B6716,Calc!E6716,"")</f>
        <v/>
      </c>
      <c r="B6716">
        <f>IF(Calc!$B6716,INDEX(MineNames,Calc!C6716),"")</f>
        <v/>
      </c>
      <c r="C6716" s="17">
        <f>IF(Calc!$B6716,Calc!O6716,"")</f>
        <v/>
      </c>
    </row>
    <row r="6717">
      <c r="A6717" s="16">
        <f>IF(Calc!$B6717,Calc!E6717,"")</f>
        <v/>
      </c>
      <c r="B6717">
        <f>IF(Calc!$B6717,INDEX(MineNames,Calc!C6717),"")</f>
        <v/>
      </c>
      <c r="C6717" s="17">
        <f>IF(Calc!$B6717,Calc!O6717,"")</f>
        <v/>
      </c>
    </row>
    <row r="6718">
      <c r="A6718" s="16">
        <f>IF(Calc!$B6718,Calc!E6718,"")</f>
        <v/>
      </c>
      <c r="B6718">
        <f>IF(Calc!$B6718,INDEX(MineNames,Calc!C6718),"")</f>
        <v/>
      </c>
      <c r="C6718" s="17">
        <f>IF(Calc!$B6718,Calc!O6718,"")</f>
        <v/>
      </c>
    </row>
    <row r="6719">
      <c r="A6719" s="16">
        <f>IF(Calc!$B6719,Calc!E6719,"")</f>
        <v/>
      </c>
      <c r="B6719">
        <f>IF(Calc!$B6719,INDEX(MineNames,Calc!C6719),"")</f>
        <v/>
      </c>
      <c r="C6719" s="17">
        <f>IF(Calc!$B6719,Calc!O6719,"")</f>
        <v/>
      </c>
    </row>
    <row r="6720">
      <c r="A6720" s="16">
        <f>IF(Calc!$B6720,Calc!E6720,"")</f>
        <v/>
      </c>
      <c r="B6720">
        <f>IF(Calc!$B6720,INDEX(MineNames,Calc!C6720),"")</f>
        <v/>
      </c>
      <c r="C6720" s="17">
        <f>IF(Calc!$B6720,Calc!O6720,"")</f>
        <v/>
      </c>
    </row>
    <row r="6721">
      <c r="A6721" s="16">
        <f>IF(Calc!$B6721,Calc!E6721,"")</f>
        <v/>
      </c>
      <c r="B6721">
        <f>IF(Calc!$B6721,INDEX(MineNames,Calc!C6721),"")</f>
        <v/>
      </c>
      <c r="C6721" s="17">
        <f>IF(Calc!$B6721,Calc!O6721,"")</f>
        <v/>
      </c>
    </row>
    <row r="6722">
      <c r="A6722" s="16">
        <f>IF(Calc!$B6722,Calc!E6722,"")</f>
        <v/>
      </c>
      <c r="B6722">
        <f>IF(Calc!$B6722,INDEX(MineNames,Calc!C6722),"")</f>
        <v/>
      </c>
      <c r="C6722" s="17">
        <f>IF(Calc!$B6722,Calc!O6722,"")</f>
        <v/>
      </c>
    </row>
    <row r="6723">
      <c r="A6723" s="16">
        <f>IF(Calc!$B6723,Calc!E6723,"")</f>
        <v/>
      </c>
      <c r="B6723">
        <f>IF(Calc!$B6723,INDEX(MineNames,Calc!C6723),"")</f>
        <v/>
      </c>
      <c r="C6723" s="17">
        <f>IF(Calc!$B6723,Calc!O6723,"")</f>
        <v/>
      </c>
    </row>
    <row r="6724">
      <c r="A6724" s="16">
        <f>IF(Calc!$B6724,Calc!E6724,"")</f>
        <v/>
      </c>
      <c r="B6724">
        <f>IF(Calc!$B6724,INDEX(MineNames,Calc!C6724),"")</f>
        <v/>
      </c>
      <c r="C6724" s="17">
        <f>IF(Calc!$B6724,Calc!O6724,"")</f>
        <v/>
      </c>
    </row>
    <row r="6725">
      <c r="A6725" s="16">
        <f>IF(Calc!$B6725,Calc!E6725,"")</f>
        <v/>
      </c>
      <c r="B6725">
        <f>IF(Calc!$B6725,INDEX(MineNames,Calc!C6725),"")</f>
        <v/>
      </c>
      <c r="C6725" s="17">
        <f>IF(Calc!$B6725,Calc!O6725,"")</f>
        <v/>
      </c>
    </row>
    <row r="6726">
      <c r="A6726" s="16">
        <f>IF(Calc!$B6726,Calc!E6726,"")</f>
        <v/>
      </c>
      <c r="B6726">
        <f>IF(Calc!$B6726,INDEX(MineNames,Calc!C6726),"")</f>
        <v/>
      </c>
      <c r="C6726" s="17">
        <f>IF(Calc!$B6726,Calc!O6726,"")</f>
        <v/>
      </c>
    </row>
    <row r="6727">
      <c r="A6727" s="16">
        <f>IF(Calc!$B6727,Calc!E6727,"")</f>
        <v/>
      </c>
      <c r="B6727">
        <f>IF(Calc!$B6727,INDEX(MineNames,Calc!C6727),"")</f>
        <v/>
      </c>
      <c r="C6727" s="17">
        <f>IF(Calc!$B6727,Calc!O6727,"")</f>
        <v/>
      </c>
    </row>
    <row r="6728">
      <c r="A6728" s="16">
        <f>IF(Calc!$B6728,Calc!E6728,"")</f>
        <v/>
      </c>
      <c r="B6728">
        <f>IF(Calc!$B6728,INDEX(MineNames,Calc!C6728),"")</f>
        <v/>
      </c>
      <c r="C6728" s="17">
        <f>IF(Calc!$B6728,Calc!O6728,"")</f>
        <v/>
      </c>
    </row>
    <row r="6729">
      <c r="A6729" s="16">
        <f>IF(Calc!$B6729,Calc!E6729,"")</f>
        <v/>
      </c>
      <c r="B6729">
        <f>IF(Calc!$B6729,INDEX(MineNames,Calc!C6729),"")</f>
        <v/>
      </c>
      <c r="C6729" s="17">
        <f>IF(Calc!$B6729,Calc!O6729,"")</f>
        <v/>
      </c>
    </row>
    <row r="6730">
      <c r="A6730" s="16">
        <f>IF(Calc!$B6730,Calc!E6730,"")</f>
        <v/>
      </c>
      <c r="B6730">
        <f>IF(Calc!$B6730,INDEX(MineNames,Calc!C6730),"")</f>
        <v/>
      </c>
      <c r="C6730" s="17">
        <f>IF(Calc!$B6730,Calc!O6730,"")</f>
        <v/>
      </c>
    </row>
    <row r="6731">
      <c r="A6731" s="16">
        <f>IF(Calc!$B6731,Calc!E6731,"")</f>
        <v/>
      </c>
      <c r="B6731">
        <f>IF(Calc!$B6731,INDEX(MineNames,Calc!C6731),"")</f>
        <v/>
      </c>
      <c r="C6731" s="17">
        <f>IF(Calc!$B6731,Calc!O6731,"")</f>
        <v/>
      </c>
    </row>
    <row r="6732">
      <c r="A6732" s="16">
        <f>IF(Calc!$B6732,Calc!E6732,"")</f>
        <v/>
      </c>
      <c r="B6732">
        <f>IF(Calc!$B6732,INDEX(MineNames,Calc!C6732),"")</f>
        <v/>
      </c>
      <c r="C6732" s="17">
        <f>IF(Calc!$B6732,Calc!O6732,"")</f>
        <v/>
      </c>
    </row>
    <row r="6733">
      <c r="A6733" s="16">
        <f>IF(Calc!$B6733,Calc!E6733,"")</f>
        <v/>
      </c>
      <c r="B6733">
        <f>IF(Calc!$B6733,INDEX(MineNames,Calc!C6733),"")</f>
        <v/>
      </c>
      <c r="C6733" s="17">
        <f>IF(Calc!$B6733,Calc!O6733,"")</f>
        <v/>
      </c>
    </row>
    <row r="6734">
      <c r="A6734" s="16">
        <f>IF(Calc!$B6734,Calc!E6734,"")</f>
        <v/>
      </c>
      <c r="B6734">
        <f>IF(Calc!$B6734,INDEX(MineNames,Calc!C6734),"")</f>
        <v/>
      </c>
      <c r="C6734" s="17">
        <f>IF(Calc!$B6734,Calc!O6734,"")</f>
        <v/>
      </c>
    </row>
    <row r="6735">
      <c r="A6735" s="16">
        <f>IF(Calc!$B6735,Calc!E6735,"")</f>
        <v/>
      </c>
      <c r="B6735">
        <f>IF(Calc!$B6735,INDEX(MineNames,Calc!C6735),"")</f>
        <v/>
      </c>
      <c r="C6735" s="17">
        <f>IF(Calc!$B6735,Calc!O6735,"")</f>
        <v/>
      </c>
    </row>
    <row r="6736">
      <c r="A6736" s="16">
        <f>IF(Calc!$B6736,Calc!E6736,"")</f>
        <v/>
      </c>
      <c r="B6736">
        <f>IF(Calc!$B6736,INDEX(MineNames,Calc!C6736),"")</f>
        <v/>
      </c>
      <c r="C6736" s="17">
        <f>IF(Calc!$B6736,Calc!O6736,"")</f>
        <v/>
      </c>
    </row>
    <row r="6737">
      <c r="A6737" s="16">
        <f>IF(Calc!$B6737,Calc!E6737,"")</f>
        <v/>
      </c>
      <c r="B6737">
        <f>IF(Calc!$B6737,INDEX(MineNames,Calc!C6737),"")</f>
        <v/>
      </c>
      <c r="C6737" s="17">
        <f>IF(Calc!$B6737,Calc!O6737,"")</f>
        <v/>
      </c>
    </row>
    <row r="6738">
      <c r="A6738" s="16">
        <f>IF(Calc!$B6738,Calc!E6738,"")</f>
        <v/>
      </c>
      <c r="B6738">
        <f>IF(Calc!$B6738,INDEX(MineNames,Calc!C6738),"")</f>
        <v/>
      </c>
      <c r="C6738" s="17">
        <f>IF(Calc!$B6738,Calc!O6738,"")</f>
        <v/>
      </c>
    </row>
    <row r="6739">
      <c r="A6739" s="16">
        <f>IF(Calc!$B6739,Calc!E6739,"")</f>
        <v/>
      </c>
      <c r="B6739">
        <f>IF(Calc!$B6739,INDEX(MineNames,Calc!C6739),"")</f>
        <v/>
      </c>
      <c r="C6739" s="17">
        <f>IF(Calc!$B6739,Calc!O6739,"")</f>
        <v/>
      </c>
    </row>
    <row r="6740">
      <c r="A6740" s="16">
        <f>IF(Calc!$B6740,Calc!E6740,"")</f>
        <v/>
      </c>
      <c r="B6740">
        <f>IF(Calc!$B6740,INDEX(MineNames,Calc!C6740),"")</f>
        <v/>
      </c>
      <c r="C6740" s="17">
        <f>IF(Calc!$B6740,Calc!O6740,"")</f>
        <v/>
      </c>
    </row>
    <row r="6741">
      <c r="A6741" s="16">
        <f>IF(Calc!$B6741,Calc!E6741,"")</f>
        <v/>
      </c>
      <c r="B6741">
        <f>IF(Calc!$B6741,INDEX(MineNames,Calc!C6741),"")</f>
        <v/>
      </c>
      <c r="C6741" s="17">
        <f>IF(Calc!$B6741,Calc!O6741,"")</f>
        <v/>
      </c>
    </row>
    <row r="6742">
      <c r="A6742" s="16">
        <f>IF(Calc!$B6742,Calc!E6742,"")</f>
        <v/>
      </c>
      <c r="B6742">
        <f>IF(Calc!$B6742,INDEX(MineNames,Calc!C6742),"")</f>
        <v/>
      </c>
      <c r="C6742" s="17">
        <f>IF(Calc!$B6742,Calc!O6742,"")</f>
        <v/>
      </c>
    </row>
    <row r="6743">
      <c r="A6743" s="16">
        <f>IF(Calc!$B6743,Calc!E6743,"")</f>
        <v/>
      </c>
      <c r="B6743">
        <f>IF(Calc!$B6743,INDEX(MineNames,Calc!C6743),"")</f>
        <v/>
      </c>
      <c r="C6743" s="17">
        <f>IF(Calc!$B6743,Calc!O6743,"")</f>
        <v/>
      </c>
    </row>
    <row r="6744">
      <c r="A6744" s="16">
        <f>IF(Calc!$B6744,Calc!E6744,"")</f>
        <v/>
      </c>
      <c r="B6744">
        <f>IF(Calc!$B6744,INDEX(MineNames,Calc!C6744),"")</f>
        <v/>
      </c>
      <c r="C6744" s="17">
        <f>IF(Calc!$B6744,Calc!O6744,"")</f>
        <v/>
      </c>
    </row>
    <row r="6745">
      <c r="A6745" s="16">
        <f>IF(Calc!$B6745,Calc!E6745,"")</f>
        <v/>
      </c>
      <c r="B6745">
        <f>IF(Calc!$B6745,INDEX(MineNames,Calc!C6745),"")</f>
        <v/>
      </c>
      <c r="C6745" s="17">
        <f>IF(Calc!$B6745,Calc!O6745,"")</f>
        <v/>
      </c>
    </row>
    <row r="6746">
      <c r="A6746" s="16">
        <f>IF(Calc!$B6746,Calc!E6746,"")</f>
        <v/>
      </c>
      <c r="B6746">
        <f>IF(Calc!$B6746,INDEX(MineNames,Calc!C6746),"")</f>
        <v/>
      </c>
      <c r="C6746" s="17">
        <f>IF(Calc!$B6746,Calc!O6746,"")</f>
        <v/>
      </c>
    </row>
    <row r="6747">
      <c r="A6747" s="16">
        <f>IF(Calc!$B6747,Calc!E6747,"")</f>
        <v/>
      </c>
      <c r="B6747">
        <f>IF(Calc!$B6747,INDEX(MineNames,Calc!C6747),"")</f>
        <v/>
      </c>
      <c r="C6747" s="17">
        <f>IF(Calc!$B6747,Calc!O6747,"")</f>
        <v/>
      </c>
    </row>
    <row r="6748">
      <c r="A6748" s="16">
        <f>IF(Calc!$B6748,Calc!E6748,"")</f>
        <v/>
      </c>
      <c r="B6748">
        <f>IF(Calc!$B6748,INDEX(MineNames,Calc!C6748),"")</f>
        <v/>
      </c>
      <c r="C6748" s="17">
        <f>IF(Calc!$B6748,Calc!O6748,"")</f>
        <v/>
      </c>
    </row>
    <row r="6749">
      <c r="A6749" s="16">
        <f>IF(Calc!$B6749,Calc!E6749,"")</f>
        <v/>
      </c>
      <c r="B6749">
        <f>IF(Calc!$B6749,INDEX(MineNames,Calc!C6749),"")</f>
        <v/>
      </c>
      <c r="C6749" s="17">
        <f>IF(Calc!$B6749,Calc!O6749,"")</f>
        <v/>
      </c>
    </row>
    <row r="6750">
      <c r="A6750" s="16">
        <f>IF(Calc!$B6750,Calc!E6750,"")</f>
        <v/>
      </c>
      <c r="B6750">
        <f>IF(Calc!$B6750,INDEX(MineNames,Calc!C6750),"")</f>
        <v/>
      </c>
      <c r="C6750" s="17">
        <f>IF(Calc!$B6750,Calc!O6750,"")</f>
        <v/>
      </c>
    </row>
    <row r="6751">
      <c r="A6751" s="16">
        <f>IF(Calc!$B6751,Calc!E6751,"")</f>
        <v/>
      </c>
      <c r="B6751">
        <f>IF(Calc!$B6751,INDEX(MineNames,Calc!C6751),"")</f>
        <v/>
      </c>
      <c r="C6751" s="17">
        <f>IF(Calc!$B6751,Calc!O6751,"")</f>
        <v/>
      </c>
    </row>
    <row r="6752">
      <c r="A6752" s="16">
        <f>IF(Calc!$B6752,Calc!E6752,"")</f>
        <v/>
      </c>
      <c r="B6752">
        <f>IF(Calc!$B6752,INDEX(MineNames,Calc!C6752),"")</f>
        <v/>
      </c>
      <c r="C6752" s="17">
        <f>IF(Calc!$B6752,Calc!O6752,"")</f>
        <v/>
      </c>
    </row>
    <row r="6753">
      <c r="A6753" s="16">
        <f>IF(Calc!$B6753,Calc!E6753,"")</f>
        <v/>
      </c>
      <c r="B6753">
        <f>IF(Calc!$B6753,INDEX(MineNames,Calc!C6753),"")</f>
        <v/>
      </c>
      <c r="C6753" s="17">
        <f>IF(Calc!$B6753,Calc!O6753,"")</f>
        <v/>
      </c>
    </row>
    <row r="6754">
      <c r="A6754" s="16">
        <f>IF(Calc!$B6754,Calc!E6754,"")</f>
        <v/>
      </c>
      <c r="B6754">
        <f>IF(Calc!$B6754,INDEX(MineNames,Calc!C6754),"")</f>
        <v/>
      </c>
      <c r="C6754" s="17">
        <f>IF(Calc!$B6754,Calc!O6754,"")</f>
        <v/>
      </c>
    </row>
    <row r="6755">
      <c r="A6755" s="16">
        <f>IF(Calc!$B6755,Calc!E6755,"")</f>
        <v/>
      </c>
      <c r="B6755">
        <f>IF(Calc!$B6755,INDEX(MineNames,Calc!C6755),"")</f>
        <v/>
      </c>
      <c r="C6755" s="17">
        <f>IF(Calc!$B6755,Calc!O6755,"")</f>
        <v/>
      </c>
    </row>
    <row r="6756">
      <c r="A6756" s="16">
        <f>IF(Calc!$B6756,Calc!E6756,"")</f>
        <v/>
      </c>
      <c r="B6756">
        <f>IF(Calc!$B6756,INDEX(MineNames,Calc!C6756),"")</f>
        <v/>
      </c>
      <c r="C6756" s="17">
        <f>IF(Calc!$B6756,Calc!O6756,"")</f>
        <v/>
      </c>
    </row>
    <row r="6757">
      <c r="A6757" s="16">
        <f>IF(Calc!$B6757,Calc!E6757,"")</f>
        <v/>
      </c>
      <c r="B6757">
        <f>IF(Calc!$B6757,INDEX(MineNames,Calc!C6757),"")</f>
        <v/>
      </c>
      <c r="C6757" s="17">
        <f>IF(Calc!$B6757,Calc!O6757,"")</f>
        <v/>
      </c>
    </row>
    <row r="6758">
      <c r="A6758" s="16">
        <f>IF(Calc!$B6758,Calc!E6758,"")</f>
        <v/>
      </c>
      <c r="B6758">
        <f>IF(Calc!$B6758,INDEX(MineNames,Calc!C6758),"")</f>
        <v/>
      </c>
      <c r="C6758" s="17">
        <f>IF(Calc!$B6758,Calc!O6758,"")</f>
        <v/>
      </c>
    </row>
    <row r="6759">
      <c r="A6759" s="16">
        <f>IF(Calc!$B6759,Calc!E6759,"")</f>
        <v/>
      </c>
      <c r="B6759">
        <f>IF(Calc!$B6759,INDEX(MineNames,Calc!C6759),"")</f>
        <v/>
      </c>
      <c r="C6759" s="17">
        <f>IF(Calc!$B6759,Calc!O6759,"")</f>
        <v/>
      </c>
    </row>
    <row r="6760">
      <c r="A6760" s="16">
        <f>IF(Calc!$B6760,Calc!E6760,"")</f>
        <v/>
      </c>
      <c r="B6760">
        <f>IF(Calc!$B6760,INDEX(MineNames,Calc!C6760),"")</f>
        <v/>
      </c>
      <c r="C6760" s="17">
        <f>IF(Calc!$B6760,Calc!O6760,"")</f>
        <v/>
      </c>
    </row>
    <row r="6761">
      <c r="A6761" s="16">
        <f>IF(Calc!$B6761,Calc!E6761,"")</f>
        <v/>
      </c>
      <c r="B6761">
        <f>IF(Calc!$B6761,INDEX(MineNames,Calc!C6761),"")</f>
        <v/>
      </c>
      <c r="C6761" s="17">
        <f>IF(Calc!$B6761,Calc!O6761,"")</f>
        <v/>
      </c>
    </row>
    <row r="6762">
      <c r="A6762" s="16">
        <f>IF(Calc!$B6762,Calc!E6762,"")</f>
        <v/>
      </c>
      <c r="B6762">
        <f>IF(Calc!$B6762,INDEX(MineNames,Calc!C6762),"")</f>
        <v/>
      </c>
      <c r="C6762" s="17">
        <f>IF(Calc!$B6762,Calc!O6762,"")</f>
        <v/>
      </c>
    </row>
    <row r="6763">
      <c r="A6763" s="16">
        <f>IF(Calc!$B6763,Calc!E6763,"")</f>
        <v/>
      </c>
      <c r="B6763">
        <f>IF(Calc!$B6763,INDEX(MineNames,Calc!C6763),"")</f>
        <v/>
      </c>
      <c r="C6763" s="17">
        <f>IF(Calc!$B6763,Calc!O6763,"")</f>
        <v/>
      </c>
    </row>
    <row r="6764">
      <c r="A6764" s="16">
        <f>IF(Calc!$B6764,Calc!E6764,"")</f>
        <v/>
      </c>
      <c r="B6764">
        <f>IF(Calc!$B6764,INDEX(MineNames,Calc!C6764),"")</f>
        <v/>
      </c>
      <c r="C6764" s="17">
        <f>IF(Calc!$B6764,Calc!O6764,"")</f>
        <v/>
      </c>
    </row>
    <row r="6765">
      <c r="A6765" s="16">
        <f>IF(Calc!$B6765,Calc!E6765,"")</f>
        <v/>
      </c>
      <c r="B6765">
        <f>IF(Calc!$B6765,INDEX(MineNames,Calc!C6765),"")</f>
        <v/>
      </c>
      <c r="C6765" s="17">
        <f>IF(Calc!$B6765,Calc!O6765,"")</f>
        <v/>
      </c>
    </row>
    <row r="6766">
      <c r="A6766" s="16">
        <f>IF(Calc!$B6766,Calc!E6766,"")</f>
        <v/>
      </c>
      <c r="B6766">
        <f>IF(Calc!$B6766,INDEX(MineNames,Calc!C6766),"")</f>
        <v/>
      </c>
      <c r="C6766" s="17">
        <f>IF(Calc!$B6766,Calc!O6766,"")</f>
        <v/>
      </c>
    </row>
    <row r="6767">
      <c r="A6767" s="16">
        <f>IF(Calc!$B6767,Calc!E6767,"")</f>
        <v/>
      </c>
      <c r="B6767">
        <f>IF(Calc!$B6767,INDEX(MineNames,Calc!C6767),"")</f>
        <v/>
      </c>
      <c r="C6767" s="17">
        <f>IF(Calc!$B6767,Calc!O6767,"")</f>
        <v/>
      </c>
    </row>
    <row r="6768">
      <c r="A6768" s="16">
        <f>IF(Calc!$B6768,Calc!E6768,"")</f>
        <v/>
      </c>
      <c r="B6768">
        <f>IF(Calc!$B6768,INDEX(MineNames,Calc!C6768),"")</f>
        <v/>
      </c>
      <c r="C6768" s="17">
        <f>IF(Calc!$B6768,Calc!O6768,"")</f>
        <v/>
      </c>
    </row>
    <row r="6769">
      <c r="A6769" s="16">
        <f>IF(Calc!$B6769,Calc!E6769,"")</f>
        <v/>
      </c>
      <c r="B6769">
        <f>IF(Calc!$B6769,INDEX(MineNames,Calc!C6769),"")</f>
        <v/>
      </c>
      <c r="C6769" s="17">
        <f>IF(Calc!$B6769,Calc!O6769,"")</f>
        <v/>
      </c>
    </row>
    <row r="6770">
      <c r="A6770" s="16">
        <f>IF(Calc!$B6770,Calc!E6770,"")</f>
        <v/>
      </c>
      <c r="B6770">
        <f>IF(Calc!$B6770,INDEX(MineNames,Calc!C6770),"")</f>
        <v/>
      </c>
      <c r="C6770" s="17">
        <f>IF(Calc!$B6770,Calc!O6770,"")</f>
        <v/>
      </c>
    </row>
    <row r="6771">
      <c r="A6771" s="16">
        <f>IF(Calc!$B6771,Calc!E6771,"")</f>
        <v/>
      </c>
      <c r="B6771">
        <f>IF(Calc!$B6771,INDEX(MineNames,Calc!C6771),"")</f>
        <v/>
      </c>
      <c r="C6771" s="17">
        <f>IF(Calc!$B6771,Calc!O6771,"")</f>
        <v/>
      </c>
    </row>
    <row r="6772">
      <c r="A6772" s="16">
        <f>IF(Calc!$B6772,Calc!E6772,"")</f>
        <v/>
      </c>
      <c r="B6772">
        <f>IF(Calc!$B6772,INDEX(MineNames,Calc!C6772),"")</f>
        <v/>
      </c>
      <c r="C6772" s="17">
        <f>IF(Calc!$B6772,Calc!O6772,"")</f>
        <v/>
      </c>
    </row>
    <row r="6773">
      <c r="A6773" s="16">
        <f>IF(Calc!$B6773,Calc!E6773,"")</f>
        <v/>
      </c>
      <c r="B6773">
        <f>IF(Calc!$B6773,INDEX(MineNames,Calc!C6773),"")</f>
        <v/>
      </c>
      <c r="C6773" s="17">
        <f>IF(Calc!$B6773,Calc!O6773,"")</f>
        <v/>
      </c>
    </row>
    <row r="6774">
      <c r="A6774" s="16">
        <f>IF(Calc!$B6774,Calc!E6774,"")</f>
        <v/>
      </c>
      <c r="B6774">
        <f>IF(Calc!$B6774,INDEX(MineNames,Calc!C6774),"")</f>
        <v/>
      </c>
      <c r="C6774" s="17">
        <f>IF(Calc!$B6774,Calc!O6774,"")</f>
        <v/>
      </c>
    </row>
    <row r="6775">
      <c r="A6775" s="16">
        <f>IF(Calc!$B6775,Calc!E6775,"")</f>
        <v/>
      </c>
      <c r="B6775">
        <f>IF(Calc!$B6775,INDEX(MineNames,Calc!C6775),"")</f>
        <v/>
      </c>
      <c r="C6775" s="17">
        <f>IF(Calc!$B6775,Calc!O6775,"")</f>
        <v/>
      </c>
    </row>
    <row r="6776">
      <c r="A6776" s="16">
        <f>IF(Calc!$B6776,Calc!E6776,"")</f>
        <v/>
      </c>
      <c r="B6776">
        <f>IF(Calc!$B6776,INDEX(MineNames,Calc!C6776),"")</f>
        <v/>
      </c>
      <c r="C6776" s="17">
        <f>IF(Calc!$B6776,Calc!O6776,"")</f>
        <v/>
      </c>
    </row>
    <row r="6777">
      <c r="A6777" s="16">
        <f>IF(Calc!$B6777,Calc!E6777,"")</f>
        <v/>
      </c>
      <c r="B6777">
        <f>IF(Calc!$B6777,INDEX(MineNames,Calc!C6777),"")</f>
        <v/>
      </c>
      <c r="C6777" s="17">
        <f>IF(Calc!$B6777,Calc!O6777,"")</f>
        <v/>
      </c>
    </row>
    <row r="6778">
      <c r="A6778" s="16">
        <f>IF(Calc!$B6778,Calc!E6778,"")</f>
        <v/>
      </c>
      <c r="B6778">
        <f>IF(Calc!$B6778,INDEX(MineNames,Calc!C6778),"")</f>
        <v/>
      </c>
      <c r="C6778" s="17">
        <f>IF(Calc!$B6778,Calc!O6778,"")</f>
        <v/>
      </c>
    </row>
    <row r="6779">
      <c r="A6779" s="16">
        <f>IF(Calc!$B6779,Calc!E6779,"")</f>
        <v/>
      </c>
      <c r="B6779">
        <f>IF(Calc!$B6779,INDEX(MineNames,Calc!C6779),"")</f>
        <v/>
      </c>
      <c r="C6779" s="17">
        <f>IF(Calc!$B6779,Calc!O6779,"")</f>
        <v/>
      </c>
    </row>
    <row r="6780">
      <c r="A6780" s="16">
        <f>IF(Calc!$B6780,Calc!E6780,"")</f>
        <v/>
      </c>
      <c r="B6780">
        <f>IF(Calc!$B6780,INDEX(MineNames,Calc!C6780),"")</f>
        <v/>
      </c>
      <c r="C6780" s="17">
        <f>IF(Calc!$B6780,Calc!O6780,"")</f>
        <v/>
      </c>
    </row>
    <row r="6781">
      <c r="A6781" s="16">
        <f>IF(Calc!$B6781,Calc!E6781,"")</f>
        <v/>
      </c>
      <c r="B6781">
        <f>IF(Calc!$B6781,INDEX(MineNames,Calc!C6781),"")</f>
        <v/>
      </c>
      <c r="C6781" s="17">
        <f>IF(Calc!$B6781,Calc!O6781,"")</f>
        <v/>
      </c>
    </row>
    <row r="6782">
      <c r="A6782" s="16">
        <f>IF(Calc!$B6782,Calc!E6782,"")</f>
        <v/>
      </c>
      <c r="B6782">
        <f>IF(Calc!$B6782,INDEX(MineNames,Calc!C6782),"")</f>
        <v/>
      </c>
      <c r="C6782" s="17">
        <f>IF(Calc!$B6782,Calc!O6782,"")</f>
        <v/>
      </c>
    </row>
    <row r="6783">
      <c r="A6783" s="16">
        <f>IF(Calc!$B6783,Calc!E6783,"")</f>
        <v/>
      </c>
      <c r="B6783">
        <f>IF(Calc!$B6783,INDEX(MineNames,Calc!C6783),"")</f>
        <v/>
      </c>
      <c r="C6783" s="17">
        <f>IF(Calc!$B6783,Calc!O6783,"")</f>
        <v/>
      </c>
    </row>
    <row r="6784">
      <c r="A6784" s="16">
        <f>IF(Calc!$B6784,Calc!E6784,"")</f>
        <v/>
      </c>
      <c r="B6784">
        <f>IF(Calc!$B6784,INDEX(MineNames,Calc!C6784),"")</f>
        <v/>
      </c>
      <c r="C6784" s="17">
        <f>IF(Calc!$B6784,Calc!O6784,"")</f>
        <v/>
      </c>
    </row>
    <row r="6785">
      <c r="A6785" s="16">
        <f>IF(Calc!$B6785,Calc!E6785,"")</f>
        <v/>
      </c>
      <c r="B6785">
        <f>IF(Calc!$B6785,INDEX(MineNames,Calc!C6785),"")</f>
        <v/>
      </c>
      <c r="C6785" s="17">
        <f>IF(Calc!$B6785,Calc!O6785,"")</f>
        <v/>
      </c>
    </row>
    <row r="6786">
      <c r="A6786" s="16">
        <f>IF(Calc!$B6786,Calc!E6786,"")</f>
        <v/>
      </c>
      <c r="B6786">
        <f>IF(Calc!$B6786,INDEX(MineNames,Calc!C6786),"")</f>
        <v/>
      </c>
      <c r="C6786" s="17">
        <f>IF(Calc!$B6786,Calc!O6786,"")</f>
        <v/>
      </c>
    </row>
    <row r="6787">
      <c r="A6787" s="16">
        <f>IF(Calc!$B6787,Calc!E6787,"")</f>
        <v/>
      </c>
      <c r="B6787">
        <f>IF(Calc!$B6787,INDEX(MineNames,Calc!C6787),"")</f>
        <v/>
      </c>
      <c r="C6787" s="17">
        <f>IF(Calc!$B6787,Calc!O6787,"")</f>
        <v/>
      </c>
    </row>
    <row r="6788">
      <c r="A6788" s="16">
        <f>IF(Calc!$B6788,Calc!E6788,"")</f>
        <v/>
      </c>
      <c r="B6788">
        <f>IF(Calc!$B6788,INDEX(MineNames,Calc!C6788),"")</f>
        <v/>
      </c>
      <c r="C6788" s="17">
        <f>IF(Calc!$B6788,Calc!O6788,"")</f>
        <v/>
      </c>
    </row>
    <row r="6789">
      <c r="A6789" s="16">
        <f>IF(Calc!$B6789,Calc!E6789,"")</f>
        <v/>
      </c>
      <c r="B6789">
        <f>IF(Calc!$B6789,INDEX(MineNames,Calc!C6789),"")</f>
        <v/>
      </c>
      <c r="C6789" s="17">
        <f>IF(Calc!$B6789,Calc!O6789,"")</f>
        <v/>
      </c>
    </row>
    <row r="6790">
      <c r="A6790" s="16">
        <f>IF(Calc!$B6790,Calc!E6790,"")</f>
        <v/>
      </c>
      <c r="B6790">
        <f>IF(Calc!$B6790,INDEX(MineNames,Calc!C6790),"")</f>
        <v/>
      </c>
      <c r="C6790" s="17">
        <f>IF(Calc!$B6790,Calc!O6790,"")</f>
        <v/>
      </c>
    </row>
    <row r="6791">
      <c r="A6791" s="16">
        <f>IF(Calc!$B6791,Calc!E6791,"")</f>
        <v/>
      </c>
      <c r="B6791">
        <f>IF(Calc!$B6791,INDEX(MineNames,Calc!C6791),"")</f>
        <v/>
      </c>
      <c r="C6791" s="17">
        <f>IF(Calc!$B6791,Calc!O6791,"")</f>
        <v/>
      </c>
    </row>
    <row r="6792">
      <c r="A6792" s="16">
        <f>IF(Calc!$B6792,Calc!E6792,"")</f>
        <v/>
      </c>
      <c r="B6792">
        <f>IF(Calc!$B6792,INDEX(MineNames,Calc!C6792),"")</f>
        <v/>
      </c>
      <c r="C6792" s="17">
        <f>IF(Calc!$B6792,Calc!O6792,"")</f>
        <v/>
      </c>
    </row>
    <row r="6793">
      <c r="A6793" s="16">
        <f>IF(Calc!$B6793,Calc!E6793,"")</f>
        <v/>
      </c>
      <c r="B6793">
        <f>IF(Calc!$B6793,INDEX(MineNames,Calc!C6793),"")</f>
        <v/>
      </c>
      <c r="C6793" s="17">
        <f>IF(Calc!$B6793,Calc!O6793,"")</f>
        <v/>
      </c>
    </row>
    <row r="6794">
      <c r="A6794" s="16">
        <f>IF(Calc!$B6794,Calc!E6794,"")</f>
        <v/>
      </c>
      <c r="B6794">
        <f>IF(Calc!$B6794,INDEX(MineNames,Calc!C6794),"")</f>
        <v/>
      </c>
      <c r="C6794" s="17">
        <f>IF(Calc!$B6794,Calc!O6794,"")</f>
        <v/>
      </c>
    </row>
    <row r="6795">
      <c r="A6795" s="16">
        <f>IF(Calc!$B6795,Calc!E6795,"")</f>
        <v/>
      </c>
      <c r="B6795">
        <f>IF(Calc!$B6795,INDEX(MineNames,Calc!C6795),"")</f>
        <v/>
      </c>
      <c r="C6795" s="17">
        <f>IF(Calc!$B6795,Calc!O6795,"")</f>
        <v/>
      </c>
    </row>
    <row r="6796">
      <c r="A6796" s="16">
        <f>IF(Calc!$B6796,Calc!E6796,"")</f>
        <v/>
      </c>
      <c r="B6796">
        <f>IF(Calc!$B6796,INDEX(MineNames,Calc!C6796),"")</f>
        <v/>
      </c>
      <c r="C6796" s="17">
        <f>IF(Calc!$B6796,Calc!O6796,"")</f>
        <v/>
      </c>
    </row>
    <row r="6797">
      <c r="A6797" s="16">
        <f>IF(Calc!$B6797,Calc!E6797,"")</f>
        <v/>
      </c>
      <c r="B6797">
        <f>IF(Calc!$B6797,INDEX(MineNames,Calc!C6797),"")</f>
        <v/>
      </c>
      <c r="C6797" s="17">
        <f>IF(Calc!$B6797,Calc!O6797,"")</f>
        <v/>
      </c>
    </row>
    <row r="6798">
      <c r="A6798" s="16">
        <f>IF(Calc!$B6798,Calc!E6798,"")</f>
        <v/>
      </c>
      <c r="B6798">
        <f>IF(Calc!$B6798,INDEX(MineNames,Calc!C6798),"")</f>
        <v/>
      </c>
      <c r="C6798" s="17">
        <f>IF(Calc!$B6798,Calc!O6798,"")</f>
        <v/>
      </c>
    </row>
    <row r="6799">
      <c r="A6799" s="16">
        <f>IF(Calc!$B6799,Calc!E6799,"")</f>
        <v/>
      </c>
      <c r="B6799">
        <f>IF(Calc!$B6799,INDEX(MineNames,Calc!C6799),"")</f>
        <v/>
      </c>
      <c r="C6799" s="17">
        <f>IF(Calc!$B6799,Calc!O6799,"")</f>
        <v/>
      </c>
    </row>
    <row r="6800">
      <c r="A6800" s="16">
        <f>IF(Calc!$B6800,Calc!E6800,"")</f>
        <v/>
      </c>
      <c r="B6800">
        <f>IF(Calc!$B6800,INDEX(MineNames,Calc!C6800),"")</f>
        <v/>
      </c>
      <c r="C6800" s="17">
        <f>IF(Calc!$B6800,Calc!O6800,"")</f>
        <v/>
      </c>
    </row>
    <row r="6801">
      <c r="A6801" s="16">
        <f>IF(Calc!$B6801,Calc!E6801,"")</f>
        <v/>
      </c>
      <c r="B6801">
        <f>IF(Calc!$B6801,INDEX(MineNames,Calc!C6801),"")</f>
        <v/>
      </c>
      <c r="C6801" s="17">
        <f>IF(Calc!$B6801,Calc!O6801,"")</f>
        <v/>
      </c>
    </row>
    <row r="6802">
      <c r="A6802" s="16">
        <f>IF(Calc!$B6802,Calc!E6802,"")</f>
        <v/>
      </c>
      <c r="B6802">
        <f>IF(Calc!$B6802,INDEX(MineNames,Calc!C6802),"")</f>
        <v/>
      </c>
      <c r="C6802" s="17">
        <f>IF(Calc!$B6802,Calc!O6802,"")</f>
        <v/>
      </c>
    </row>
    <row r="6803">
      <c r="A6803" s="16">
        <f>IF(Calc!$B6803,Calc!E6803,"")</f>
        <v/>
      </c>
      <c r="B6803">
        <f>IF(Calc!$B6803,INDEX(MineNames,Calc!C6803),"")</f>
        <v/>
      </c>
      <c r="C6803" s="17">
        <f>IF(Calc!$B6803,Calc!O6803,"")</f>
        <v/>
      </c>
    </row>
    <row r="6804">
      <c r="A6804" s="16">
        <f>IF(Calc!$B6804,Calc!E6804,"")</f>
        <v/>
      </c>
      <c r="B6804">
        <f>IF(Calc!$B6804,INDEX(MineNames,Calc!C6804),"")</f>
        <v/>
      </c>
      <c r="C6804" s="17">
        <f>IF(Calc!$B6804,Calc!O6804,"")</f>
        <v/>
      </c>
    </row>
    <row r="6805">
      <c r="A6805" s="16">
        <f>IF(Calc!$B6805,Calc!E6805,"")</f>
        <v/>
      </c>
      <c r="B6805">
        <f>IF(Calc!$B6805,INDEX(MineNames,Calc!C6805),"")</f>
        <v/>
      </c>
      <c r="C6805" s="17">
        <f>IF(Calc!$B6805,Calc!O6805,"")</f>
        <v/>
      </c>
    </row>
    <row r="6806">
      <c r="A6806" s="16">
        <f>IF(Calc!$B6806,Calc!E6806,"")</f>
        <v/>
      </c>
      <c r="B6806">
        <f>IF(Calc!$B6806,INDEX(MineNames,Calc!C6806),"")</f>
        <v/>
      </c>
      <c r="C6806" s="17">
        <f>IF(Calc!$B6806,Calc!O6806,"")</f>
        <v/>
      </c>
    </row>
    <row r="6807">
      <c r="A6807" s="16">
        <f>IF(Calc!$B6807,Calc!E6807,"")</f>
        <v/>
      </c>
      <c r="B6807">
        <f>IF(Calc!$B6807,INDEX(MineNames,Calc!C6807),"")</f>
        <v/>
      </c>
      <c r="C6807" s="17">
        <f>IF(Calc!$B6807,Calc!O6807,"")</f>
        <v/>
      </c>
    </row>
    <row r="6808">
      <c r="A6808" s="16">
        <f>IF(Calc!$B6808,Calc!E6808,"")</f>
        <v/>
      </c>
      <c r="B6808">
        <f>IF(Calc!$B6808,INDEX(MineNames,Calc!C6808),"")</f>
        <v/>
      </c>
      <c r="C6808" s="17">
        <f>IF(Calc!$B6808,Calc!O6808,"")</f>
        <v/>
      </c>
    </row>
    <row r="6809">
      <c r="A6809" s="16">
        <f>IF(Calc!$B6809,Calc!E6809,"")</f>
        <v/>
      </c>
      <c r="B6809">
        <f>IF(Calc!$B6809,INDEX(MineNames,Calc!C6809),"")</f>
        <v/>
      </c>
      <c r="C6809" s="17">
        <f>IF(Calc!$B6809,Calc!O6809,"")</f>
        <v/>
      </c>
    </row>
    <row r="6810">
      <c r="A6810" s="16">
        <f>IF(Calc!$B6810,Calc!E6810,"")</f>
        <v/>
      </c>
      <c r="B6810">
        <f>IF(Calc!$B6810,INDEX(MineNames,Calc!C6810),"")</f>
        <v/>
      </c>
      <c r="C6810" s="17">
        <f>IF(Calc!$B6810,Calc!O6810,"")</f>
        <v/>
      </c>
    </row>
    <row r="6811">
      <c r="A6811" s="16">
        <f>IF(Calc!$B6811,Calc!E6811,"")</f>
        <v/>
      </c>
      <c r="B6811">
        <f>IF(Calc!$B6811,INDEX(MineNames,Calc!C6811),"")</f>
        <v/>
      </c>
      <c r="C6811" s="17">
        <f>IF(Calc!$B6811,Calc!O6811,"")</f>
        <v/>
      </c>
    </row>
    <row r="6812">
      <c r="A6812" s="16">
        <f>IF(Calc!$B6812,Calc!E6812,"")</f>
        <v/>
      </c>
      <c r="B6812">
        <f>IF(Calc!$B6812,INDEX(MineNames,Calc!C6812),"")</f>
        <v/>
      </c>
      <c r="C6812" s="17">
        <f>IF(Calc!$B6812,Calc!O6812,"")</f>
        <v/>
      </c>
    </row>
    <row r="6813">
      <c r="A6813" s="16">
        <f>IF(Calc!$B6813,Calc!E6813,"")</f>
        <v/>
      </c>
      <c r="B6813">
        <f>IF(Calc!$B6813,INDEX(MineNames,Calc!C6813),"")</f>
        <v/>
      </c>
      <c r="C6813" s="17">
        <f>IF(Calc!$B6813,Calc!O6813,"")</f>
        <v/>
      </c>
    </row>
    <row r="6814">
      <c r="A6814" s="16">
        <f>IF(Calc!$B6814,Calc!E6814,"")</f>
        <v/>
      </c>
      <c r="B6814">
        <f>IF(Calc!$B6814,INDEX(MineNames,Calc!C6814),"")</f>
        <v/>
      </c>
      <c r="C6814" s="17">
        <f>IF(Calc!$B6814,Calc!O6814,"")</f>
        <v/>
      </c>
    </row>
    <row r="6815">
      <c r="A6815" s="16">
        <f>IF(Calc!$B6815,Calc!E6815,"")</f>
        <v/>
      </c>
      <c r="B6815">
        <f>IF(Calc!$B6815,INDEX(MineNames,Calc!C6815),"")</f>
        <v/>
      </c>
      <c r="C6815" s="17">
        <f>IF(Calc!$B6815,Calc!O6815,"")</f>
        <v/>
      </c>
    </row>
    <row r="6816">
      <c r="A6816" s="16">
        <f>IF(Calc!$B6816,Calc!E6816,"")</f>
        <v/>
      </c>
      <c r="B6816">
        <f>IF(Calc!$B6816,INDEX(MineNames,Calc!C6816),"")</f>
        <v/>
      </c>
      <c r="C6816" s="17">
        <f>IF(Calc!$B6816,Calc!O6816,"")</f>
        <v/>
      </c>
    </row>
    <row r="6817">
      <c r="A6817" s="16">
        <f>IF(Calc!$B6817,Calc!E6817,"")</f>
        <v/>
      </c>
      <c r="B6817">
        <f>IF(Calc!$B6817,INDEX(MineNames,Calc!C6817),"")</f>
        <v/>
      </c>
      <c r="C6817" s="17">
        <f>IF(Calc!$B6817,Calc!O6817,"")</f>
        <v/>
      </c>
    </row>
    <row r="6818">
      <c r="A6818" s="16">
        <f>IF(Calc!$B6818,Calc!E6818,"")</f>
        <v/>
      </c>
      <c r="B6818">
        <f>IF(Calc!$B6818,INDEX(MineNames,Calc!C6818),"")</f>
        <v/>
      </c>
      <c r="C6818" s="17">
        <f>IF(Calc!$B6818,Calc!O6818,"")</f>
        <v/>
      </c>
    </row>
    <row r="6819">
      <c r="A6819" s="16">
        <f>IF(Calc!$B6819,Calc!E6819,"")</f>
        <v/>
      </c>
      <c r="B6819">
        <f>IF(Calc!$B6819,INDEX(MineNames,Calc!C6819),"")</f>
        <v/>
      </c>
      <c r="C6819" s="17">
        <f>IF(Calc!$B6819,Calc!O6819,"")</f>
        <v/>
      </c>
    </row>
    <row r="6820">
      <c r="A6820" s="16">
        <f>IF(Calc!$B6820,Calc!E6820,"")</f>
        <v/>
      </c>
      <c r="B6820">
        <f>IF(Calc!$B6820,INDEX(MineNames,Calc!C6820),"")</f>
        <v/>
      </c>
      <c r="C6820" s="17">
        <f>IF(Calc!$B6820,Calc!O6820,"")</f>
        <v/>
      </c>
    </row>
    <row r="6821">
      <c r="A6821" s="16">
        <f>IF(Calc!$B6821,Calc!E6821,"")</f>
        <v/>
      </c>
      <c r="B6821">
        <f>IF(Calc!$B6821,INDEX(MineNames,Calc!C6821),"")</f>
        <v/>
      </c>
      <c r="C6821" s="17">
        <f>IF(Calc!$B6821,Calc!O6821,"")</f>
        <v/>
      </c>
    </row>
    <row r="6822">
      <c r="A6822" s="16">
        <f>IF(Calc!$B6822,Calc!E6822,"")</f>
        <v/>
      </c>
      <c r="B6822">
        <f>IF(Calc!$B6822,INDEX(MineNames,Calc!C6822),"")</f>
        <v/>
      </c>
      <c r="C6822" s="17">
        <f>IF(Calc!$B6822,Calc!O6822,"")</f>
        <v/>
      </c>
    </row>
    <row r="6823">
      <c r="A6823" s="16">
        <f>IF(Calc!$B6823,Calc!E6823,"")</f>
        <v/>
      </c>
      <c r="B6823">
        <f>IF(Calc!$B6823,INDEX(MineNames,Calc!C6823),"")</f>
        <v/>
      </c>
      <c r="C6823" s="17">
        <f>IF(Calc!$B6823,Calc!O6823,"")</f>
        <v/>
      </c>
    </row>
    <row r="6824">
      <c r="A6824" s="16">
        <f>IF(Calc!$B6824,Calc!E6824,"")</f>
        <v/>
      </c>
      <c r="B6824">
        <f>IF(Calc!$B6824,INDEX(MineNames,Calc!C6824),"")</f>
        <v/>
      </c>
      <c r="C6824" s="17">
        <f>IF(Calc!$B6824,Calc!O6824,"")</f>
        <v/>
      </c>
    </row>
    <row r="6825">
      <c r="A6825" s="16">
        <f>IF(Calc!$B6825,Calc!E6825,"")</f>
        <v/>
      </c>
      <c r="B6825">
        <f>IF(Calc!$B6825,INDEX(MineNames,Calc!C6825),"")</f>
        <v/>
      </c>
      <c r="C6825" s="17">
        <f>IF(Calc!$B6825,Calc!O6825,"")</f>
        <v/>
      </c>
    </row>
    <row r="6826">
      <c r="A6826" s="16">
        <f>IF(Calc!$B6826,Calc!E6826,"")</f>
        <v/>
      </c>
      <c r="B6826">
        <f>IF(Calc!$B6826,INDEX(MineNames,Calc!C6826),"")</f>
        <v/>
      </c>
      <c r="C6826" s="17">
        <f>IF(Calc!$B6826,Calc!O6826,"")</f>
        <v/>
      </c>
    </row>
    <row r="6827">
      <c r="A6827" s="16">
        <f>IF(Calc!$B6827,Calc!E6827,"")</f>
        <v/>
      </c>
      <c r="B6827">
        <f>IF(Calc!$B6827,INDEX(MineNames,Calc!C6827),"")</f>
        <v/>
      </c>
      <c r="C6827" s="17">
        <f>IF(Calc!$B6827,Calc!O6827,"")</f>
        <v/>
      </c>
    </row>
    <row r="6828">
      <c r="A6828" s="16">
        <f>IF(Calc!$B6828,Calc!E6828,"")</f>
        <v/>
      </c>
      <c r="B6828">
        <f>IF(Calc!$B6828,INDEX(MineNames,Calc!C6828),"")</f>
        <v/>
      </c>
      <c r="C6828" s="17">
        <f>IF(Calc!$B6828,Calc!O6828,"")</f>
        <v/>
      </c>
    </row>
    <row r="6829">
      <c r="A6829" s="16">
        <f>IF(Calc!$B6829,Calc!E6829,"")</f>
        <v/>
      </c>
      <c r="B6829">
        <f>IF(Calc!$B6829,INDEX(MineNames,Calc!C6829),"")</f>
        <v/>
      </c>
      <c r="C6829" s="17">
        <f>IF(Calc!$B6829,Calc!O6829,"")</f>
        <v/>
      </c>
    </row>
    <row r="6830">
      <c r="A6830" s="16">
        <f>IF(Calc!$B6830,Calc!E6830,"")</f>
        <v/>
      </c>
      <c r="B6830">
        <f>IF(Calc!$B6830,INDEX(MineNames,Calc!C6830),"")</f>
        <v/>
      </c>
      <c r="C6830" s="17">
        <f>IF(Calc!$B6830,Calc!O6830,"")</f>
        <v/>
      </c>
    </row>
    <row r="6831">
      <c r="A6831" s="16">
        <f>IF(Calc!$B6831,Calc!E6831,"")</f>
        <v/>
      </c>
      <c r="B6831">
        <f>IF(Calc!$B6831,INDEX(MineNames,Calc!C6831),"")</f>
        <v/>
      </c>
      <c r="C6831" s="17">
        <f>IF(Calc!$B6831,Calc!O6831,"")</f>
        <v/>
      </c>
    </row>
    <row r="6832">
      <c r="A6832" s="16">
        <f>IF(Calc!$B6832,Calc!E6832,"")</f>
        <v/>
      </c>
      <c r="B6832">
        <f>IF(Calc!$B6832,INDEX(MineNames,Calc!C6832),"")</f>
        <v/>
      </c>
      <c r="C6832" s="17">
        <f>IF(Calc!$B6832,Calc!O6832,"")</f>
        <v/>
      </c>
    </row>
    <row r="6833">
      <c r="A6833" s="16">
        <f>IF(Calc!$B6833,Calc!E6833,"")</f>
        <v/>
      </c>
      <c r="B6833">
        <f>IF(Calc!$B6833,INDEX(MineNames,Calc!C6833),"")</f>
        <v/>
      </c>
      <c r="C6833" s="17">
        <f>IF(Calc!$B6833,Calc!O6833,"")</f>
        <v/>
      </c>
    </row>
    <row r="6834">
      <c r="A6834" s="16">
        <f>IF(Calc!$B6834,Calc!E6834,"")</f>
        <v/>
      </c>
      <c r="B6834">
        <f>IF(Calc!$B6834,INDEX(MineNames,Calc!C6834),"")</f>
        <v/>
      </c>
      <c r="C6834" s="17">
        <f>IF(Calc!$B6834,Calc!O6834,"")</f>
        <v/>
      </c>
    </row>
    <row r="6835">
      <c r="A6835" s="16">
        <f>IF(Calc!$B6835,Calc!E6835,"")</f>
        <v/>
      </c>
      <c r="B6835">
        <f>IF(Calc!$B6835,INDEX(MineNames,Calc!C6835),"")</f>
        <v/>
      </c>
      <c r="C6835" s="17">
        <f>IF(Calc!$B6835,Calc!O6835,"")</f>
        <v/>
      </c>
    </row>
    <row r="6836">
      <c r="A6836" s="16">
        <f>IF(Calc!$B6836,Calc!E6836,"")</f>
        <v/>
      </c>
      <c r="B6836">
        <f>IF(Calc!$B6836,INDEX(MineNames,Calc!C6836),"")</f>
        <v/>
      </c>
      <c r="C6836" s="17">
        <f>IF(Calc!$B6836,Calc!O6836,"")</f>
        <v/>
      </c>
    </row>
    <row r="6837">
      <c r="A6837" s="16">
        <f>IF(Calc!$B6837,Calc!E6837,"")</f>
        <v/>
      </c>
      <c r="B6837">
        <f>IF(Calc!$B6837,INDEX(MineNames,Calc!C6837),"")</f>
        <v/>
      </c>
      <c r="C6837" s="17">
        <f>IF(Calc!$B6837,Calc!O6837,"")</f>
        <v/>
      </c>
    </row>
    <row r="6838">
      <c r="A6838" s="16">
        <f>IF(Calc!$B6838,Calc!E6838,"")</f>
        <v/>
      </c>
      <c r="B6838">
        <f>IF(Calc!$B6838,INDEX(MineNames,Calc!C6838),"")</f>
        <v/>
      </c>
      <c r="C6838" s="17">
        <f>IF(Calc!$B6838,Calc!O6838,"")</f>
        <v/>
      </c>
    </row>
    <row r="6839">
      <c r="A6839" s="16">
        <f>IF(Calc!$B6839,Calc!E6839,"")</f>
        <v/>
      </c>
      <c r="B6839">
        <f>IF(Calc!$B6839,INDEX(MineNames,Calc!C6839),"")</f>
        <v/>
      </c>
      <c r="C6839" s="17">
        <f>IF(Calc!$B6839,Calc!O6839,"")</f>
        <v/>
      </c>
    </row>
    <row r="6840">
      <c r="A6840" s="16">
        <f>IF(Calc!$B6840,Calc!E6840,"")</f>
        <v/>
      </c>
      <c r="B6840">
        <f>IF(Calc!$B6840,INDEX(MineNames,Calc!C6840),"")</f>
        <v/>
      </c>
      <c r="C6840" s="17">
        <f>IF(Calc!$B6840,Calc!O6840,"")</f>
        <v/>
      </c>
    </row>
    <row r="6841">
      <c r="A6841" s="16">
        <f>IF(Calc!$B6841,Calc!E6841,"")</f>
        <v/>
      </c>
      <c r="B6841">
        <f>IF(Calc!$B6841,INDEX(MineNames,Calc!C6841),"")</f>
        <v/>
      </c>
      <c r="C6841" s="17">
        <f>IF(Calc!$B6841,Calc!O6841,"")</f>
        <v/>
      </c>
    </row>
    <row r="6842">
      <c r="A6842" s="16">
        <f>IF(Calc!$B6842,Calc!E6842,"")</f>
        <v/>
      </c>
      <c r="B6842">
        <f>IF(Calc!$B6842,INDEX(MineNames,Calc!C6842),"")</f>
        <v/>
      </c>
      <c r="C6842" s="17">
        <f>IF(Calc!$B6842,Calc!O6842,"")</f>
        <v/>
      </c>
    </row>
    <row r="6843">
      <c r="A6843" s="16">
        <f>IF(Calc!$B6843,Calc!E6843,"")</f>
        <v/>
      </c>
      <c r="B6843">
        <f>IF(Calc!$B6843,INDEX(MineNames,Calc!C6843),"")</f>
        <v/>
      </c>
      <c r="C6843" s="17">
        <f>IF(Calc!$B6843,Calc!O6843,"")</f>
        <v/>
      </c>
    </row>
    <row r="6844">
      <c r="A6844" s="16">
        <f>IF(Calc!$B6844,Calc!E6844,"")</f>
        <v/>
      </c>
      <c r="B6844">
        <f>IF(Calc!$B6844,INDEX(MineNames,Calc!C6844),"")</f>
        <v/>
      </c>
      <c r="C6844" s="17">
        <f>IF(Calc!$B6844,Calc!O6844,"")</f>
        <v/>
      </c>
    </row>
    <row r="6845">
      <c r="A6845" s="16">
        <f>IF(Calc!$B6845,Calc!E6845,"")</f>
        <v/>
      </c>
      <c r="B6845">
        <f>IF(Calc!$B6845,INDEX(MineNames,Calc!C6845),"")</f>
        <v/>
      </c>
      <c r="C6845" s="17">
        <f>IF(Calc!$B6845,Calc!O6845,"")</f>
        <v/>
      </c>
    </row>
    <row r="6846">
      <c r="A6846" s="16">
        <f>IF(Calc!$B6846,Calc!E6846,"")</f>
        <v/>
      </c>
      <c r="B6846">
        <f>IF(Calc!$B6846,INDEX(MineNames,Calc!C6846),"")</f>
        <v/>
      </c>
      <c r="C6846" s="17">
        <f>IF(Calc!$B6846,Calc!O6846,"")</f>
        <v/>
      </c>
    </row>
    <row r="6847">
      <c r="A6847" s="16">
        <f>IF(Calc!$B6847,Calc!E6847,"")</f>
        <v/>
      </c>
      <c r="B6847">
        <f>IF(Calc!$B6847,INDEX(MineNames,Calc!C6847),"")</f>
        <v/>
      </c>
      <c r="C6847" s="17">
        <f>IF(Calc!$B6847,Calc!O6847,"")</f>
        <v/>
      </c>
    </row>
    <row r="6848">
      <c r="A6848" s="16">
        <f>IF(Calc!$B6848,Calc!E6848,"")</f>
        <v/>
      </c>
      <c r="B6848">
        <f>IF(Calc!$B6848,INDEX(MineNames,Calc!C6848),"")</f>
        <v/>
      </c>
      <c r="C6848" s="17">
        <f>IF(Calc!$B6848,Calc!O6848,"")</f>
        <v/>
      </c>
    </row>
    <row r="6849">
      <c r="A6849" s="16">
        <f>IF(Calc!$B6849,Calc!E6849,"")</f>
        <v/>
      </c>
      <c r="B6849">
        <f>IF(Calc!$B6849,INDEX(MineNames,Calc!C6849),"")</f>
        <v/>
      </c>
      <c r="C6849" s="17">
        <f>IF(Calc!$B6849,Calc!O6849,"")</f>
        <v/>
      </c>
    </row>
    <row r="6850">
      <c r="A6850" s="16">
        <f>IF(Calc!$B6850,Calc!E6850,"")</f>
        <v/>
      </c>
      <c r="B6850">
        <f>IF(Calc!$B6850,INDEX(MineNames,Calc!C6850),"")</f>
        <v/>
      </c>
      <c r="C6850" s="17">
        <f>IF(Calc!$B6850,Calc!O6850,"")</f>
        <v/>
      </c>
    </row>
    <row r="6851">
      <c r="A6851" s="16">
        <f>IF(Calc!$B6851,Calc!E6851,"")</f>
        <v/>
      </c>
      <c r="B6851">
        <f>IF(Calc!$B6851,INDEX(MineNames,Calc!C6851),"")</f>
        <v/>
      </c>
      <c r="C6851" s="17">
        <f>IF(Calc!$B6851,Calc!O6851,"")</f>
        <v/>
      </c>
    </row>
    <row r="6852">
      <c r="A6852" s="16">
        <f>IF(Calc!$B6852,Calc!E6852,"")</f>
        <v/>
      </c>
      <c r="B6852">
        <f>IF(Calc!$B6852,INDEX(MineNames,Calc!C6852),"")</f>
        <v/>
      </c>
      <c r="C6852" s="17">
        <f>IF(Calc!$B6852,Calc!O6852,"")</f>
        <v/>
      </c>
    </row>
    <row r="6853">
      <c r="A6853" s="16">
        <f>IF(Calc!$B6853,Calc!E6853,"")</f>
        <v/>
      </c>
      <c r="B6853">
        <f>IF(Calc!$B6853,INDEX(MineNames,Calc!C6853),"")</f>
        <v/>
      </c>
      <c r="C6853" s="17">
        <f>IF(Calc!$B6853,Calc!O6853,"")</f>
        <v/>
      </c>
    </row>
    <row r="6854">
      <c r="A6854" s="16">
        <f>IF(Calc!$B6854,Calc!E6854,"")</f>
        <v/>
      </c>
      <c r="B6854">
        <f>IF(Calc!$B6854,INDEX(MineNames,Calc!C6854),"")</f>
        <v/>
      </c>
      <c r="C6854" s="17">
        <f>IF(Calc!$B6854,Calc!O6854,"")</f>
        <v/>
      </c>
    </row>
    <row r="6855">
      <c r="A6855" s="16">
        <f>IF(Calc!$B6855,Calc!E6855,"")</f>
        <v/>
      </c>
      <c r="B6855">
        <f>IF(Calc!$B6855,INDEX(MineNames,Calc!C6855),"")</f>
        <v/>
      </c>
      <c r="C6855" s="17">
        <f>IF(Calc!$B6855,Calc!O6855,"")</f>
        <v/>
      </c>
    </row>
    <row r="6856">
      <c r="A6856" s="16">
        <f>IF(Calc!$B6856,Calc!E6856,"")</f>
        <v/>
      </c>
      <c r="B6856">
        <f>IF(Calc!$B6856,INDEX(MineNames,Calc!C6856),"")</f>
        <v/>
      </c>
      <c r="C6856" s="17">
        <f>IF(Calc!$B6856,Calc!O6856,"")</f>
        <v/>
      </c>
    </row>
    <row r="6857">
      <c r="A6857" s="16">
        <f>IF(Calc!$B6857,Calc!E6857,"")</f>
        <v/>
      </c>
      <c r="B6857">
        <f>IF(Calc!$B6857,INDEX(MineNames,Calc!C6857),"")</f>
        <v/>
      </c>
      <c r="C6857" s="17">
        <f>IF(Calc!$B6857,Calc!O6857,"")</f>
        <v/>
      </c>
    </row>
    <row r="6858">
      <c r="A6858" s="16">
        <f>IF(Calc!$B6858,Calc!E6858,"")</f>
        <v/>
      </c>
      <c r="B6858">
        <f>IF(Calc!$B6858,INDEX(MineNames,Calc!C6858),"")</f>
        <v/>
      </c>
      <c r="C6858" s="17">
        <f>IF(Calc!$B6858,Calc!O6858,"")</f>
        <v/>
      </c>
    </row>
    <row r="6859">
      <c r="A6859" s="16">
        <f>IF(Calc!$B6859,Calc!E6859,"")</f>
        <v/>
      </c>
      <c r="B6859">
        <f>IF(Calc!$B6859,INDEX(MineNames,Calc!C6859),"")</f>
        <v/>
      </c>
      <c r="C6859" s="17">
        <f>IF(Calc!$B6859,Calc!O6859,"")</f>
        <v/>
      </c>
    </row>
    <row r="6860">
      <c r="A6860" s="16">
        <f>IF(Calc!$B6860,Calc!E6860,"")</f>
        <v/>
      </c>
      <c r="B6860">
        <f>IF(Calc!$B6860,INDEX(MineNames,Calc!C6860),"")</f>
        <v/>
      </c>
      <c r="C6860" s="17">
        <f>IF(Calc!$B6860,Calc!O6860,"")</f>
        <v/>
      </c>
    </row>
    <row r="6861">
      <c r="A6861" s="16">
        <f>IF(Calc!$B6861,Calc!E6861,"")</f>
        <v/>
      </c>
      <c r="B6861">
        <f>IF(Calc!$B6861,INDEX(MineNames,Calc!C6861),"")</f>
        <v/>
      </c>
      <c r="C6861" s="17">
        <f>IF(Calc!$B6861,Calc!O6861,"")</f>
        <v/>
      </c>
    </row>
    <row r="6862">
      <c r="A6862" s="16">
        <f>IF(Calc!$B6862,Calc!E6862,"")</f>
        <v/>
      </c>
      <c r="B6862">
        <f>IF(Calc!$B6862,INDEX(MineNames,Calc!C6862),"")</f>
        <v/>
      </c>
      <c r="C6862" s="17">
        <f>IF(Calc!$B6862,Calc!O6862,"")</f>
        <v/>
      </c>
    </row>
    <row r="6863">
      <c r="A6863" s="16">
        <f>IF(Calc!$B6863,Calc!E6863,"")</f>
        <v/>
      </c>
      <c r="B6863">
        <f>IF(Calc!$B6863,INDEX(MineNames,Calc!C6863),"")</f>
        <v/>
      </c>
      <c r="C6863" s="17">
        <f>IF(Calc!$B6863,Calc!O6863,"")</f>
        <v/>
      </c>
    </row>
    <row r="6864">
      <c r="A6864" s="16">
        <f>IF(Calc!$B6864,Calc!E6864,"")</f>
        <v/>
      </c>
      <c r="B6864">
        <f>IF(Calc!$B6864,INDEX(MineNames,Calc!C6864),"")</f>
        <v/>
      </c>
      <c r="C6864" s="17">
        <f>IF(Calc!$B6864,Calc!O6864,"")</f>
        <v/>
      </c>
    </row>
    <row r="6865">
      <c r="A6865" s="16">
        <f>IF(Calc!$B6865,Calc!E6865,"")</f>
        <v/>
      </c>
      <c r="B6865">
        <f>IF(Calc!$B6865,INDEX(MineNames,Calc!C6865),"")</f>
        <v/>
      </c>
      <c r="C6865" s="17">
        <f>IF(Calc!$B6865,Calc!O6865,"")</f>
        <v/>
      </c>
    </row>
    <row r="6866">
      <c r="A6866" s="16">
        <f>IF(Calc!$B6866,Calc!E6866,"")</f>
        <v/>
      </c>
      <c r="B6866">
        <f>IF(Calc!$B6866,INDEX(MineNames,Calc!C6866),"")</f>
        <v/>
      </c>
      <c r="C6866" s="17">
        <f>IF(Calc!$B6866,Calc!O6866,"")</f>
        <v/>
      </c>
    </row>
    <row r="6867">
      <c r="A6867" s="16">
        <f>IF(Calc!$B6867,Calc!E6867,"")</f>
        <v/>
      </c>
      <c r="B6867">
        <f>IF(Calc!$B6867,INDEX(MineNames,Calc!C6867),"")</f>
        <v/>
      </c>
      <c r="C6867" s="17">
        <f>IF(Calc!$B6867,Calc!O6867,"")</f>
        <v/>
      </c>
    </row>
    <row r="6868">
      <c r="A6868" s="16">
        <f>IF(Calc!$B6868,Calc!E6868,"")</f>
        <v/>
      </c>
      <c r="B6868">
        <f>IF(Calc!$B6868,INDEX(MineNames,Calc!C6868),"")</f>
        <v/>
      </c>
      <c r="C6868" s="17">
        <f>IF(Calc!$B6868,Calc!O6868,"")</f>
        <v/>
      </c>
    </row>
    <row r="6869">
      <c r="A6869" s="16">
        <f>IF(Calc!$B6869,Calc!E6869,"")</f>
        <v/>
      </c>
      <c r="B6869">
        <f>IF(Calc!$B6869,INDEX(MineNames,Calc!C6869),"")</f>
        <v/>
      </c>
      <c r="C6869" s="17">
        <f>IF(Calc!$B6869,Calc!O6869,"")</f>
        <v/>
      </c>
    </row>
    <row r="6870">
      <c r="A6870" s="16">
        <f>IF(Calc!$B6870,Calc!E6870,"")</f>
        <v/>
      </c>
      <c r="B6870">
        <f>IF(Calc!$B6870,INDEX(MineNames,Calc!C6870),"")</f>
        <v/>
      </c>
      <c r="C6870" s="17">
        <f>IF(Calc!$B6870,Calc!O6870,"")</f>
        <v/>
      </c>
    </row>
    <row r="6871">
      <c r="A6871" s="16">
        <f>IF(Calc!$B6871,Calc!E6871,"")</f>
        <v/>
      </c>
      <c r="B6871">
        <f>IF(Calc!$B6871,INDEX(MineNames,Calc!C6871),"")</f>
        <v/>
      </c>
      <c r="C6871" s="17">
        <f>IF(Calc!$B6871,Calc!O6871,"")</f>
        <v/>
      </c>
    </row>
    <row r="6872">
      <c r="A6872" s="16">
        <f>IF(Calc!$B6872,Calc!E6872,"")</f>
        <v/>
      </c>
      <c r="B6872">
        <f>IF(Calc!$B6872,INDEX(MineNames,Calc!C6872),"")</f>
        <v/>
      </c>
      <c r="C6872" s="17">
        <f>IF(Calc!$B6872,Calc!O6872,"")</f>
        <v/>
      </c>
    </row>
    <row r="6873">
      <c r="A6873" s="16">
        <f>IF(Calc!$B6873,Calc!E6873,"")</f>
        <v/>
      </c>
      <c r="B6873">
        <f>IF(Calc!$B6873,INDEX(MineNames,Calc!C6873),"")</f>
        <v/>
      </c>
      <c r="C6873" s="17">
        <f>IF(Calc!$B6873,Calc!O6873,"")</f>
        <v/>
      </c>
    </row>
    <row r="6874">
      <c r="A6874" s="16">
        <f>IF(Calc!$B6874,Calc!E6874,"")</f>
        <v/>
      </c>
      <c r="B6874">
        <f>IF(Calc!$B6874,INDEX(MineNames,Calc!C6874),"")</f>
        <v/>
      </c>
      <c r="C6874" s="17">
        <f>IF(Calc!$B6874,Calc!O6874,"")</f>
        <v/>
      </c>
    </row>
    <row r="6875">
      <c r="A6875" s="16">
        <f>IF(Calc!$B6875,Calc!E6875,"")</f>
        <v/>
      </c>
      <c r="B6875">
        <f>IF(Calc!$B6875,INDEX(MineNames,Calc!C6875),"")</f>
        <v/>
      </c>
      <c r="C6875" s="17">
        <f>IF(Calc!$B6875,Calc!O6875,"")</f>
        <v/>
      </c>
    </row>
    <row r="6876">
      <c r="A6876" s="16">
        <f>IF(Calc!$B6876,Calc!E6876,"")</f>
        <v/>
      </c>
      <c r="B6876">
        <f>IF(Calc!$B6876,INDEX(MineNames,Calc!C6876),"")</f>
        <v/>
      </c>
      <c r="C6876" s="17">
        <f>IF(Calc!$B6876,Calc!O6876,"")</f>
        <v/>
      </c>
    </row>
    <row r="6877">
      <c r="A6877" s="16">
        <f>IF(Calc!$B6877,Calc!E6877,"")</f>
        <v/>
      </c>
      <c r="B6877">
        <f>IF(Calc!$B6877,INDEX(MineNames,Calc!C6877),"")</f>
        <v/>
      </c>
      <c r="C6877" s="17">
        <f>IF(Calc!$B6877,Calc!O6877,"")</f>
        <v/>
      </c>
    </row>
    <row r="6878">
      <c r="A6878" s="16">
        <f>IF(Calc!$B6878,Calc!E6878,"")</f>
        <v/>
      </c>
      <c r="B6878">
        <f>IF(Calc!$B6878,INDEX(MineNames,Calc!C6878),"")</f>
        <v/>
      </c>
      <c r="C6878" s="17">
        <f>IF(Calc!$B6878,Calc!O6878,"")</f>
        <v/>
      </c>
    </row>
    <row r="6879">
      <c r="A6879" s="16">
        <f>IF(Calc!$B6879,Calc!E6879,"")</f>
        <v/>
      </c>
      <c r="B6879">
        <f>IF(Calc!$B6879,INDEX(MineNames,Calc!C6879),"")</f>
        <v/>
      </c>
      <c r="C6879" s="17">
        <f>IF(Calc!$B6879,Calc!O6879,"")</f>
        <v/>
      </c>
    </row>
    <row r="6880">
      <c r="A6880" s="16">
        <f>IF(Calc!$B6880,Calc!E6880,"")</f>
        <v/>
      </c>
      <c r="B6880">
        <f>IF(Calc!$B6880,INDEX(MineNames,Calc!C6880),"")</f>
        <v/>
      </c>
      <c r="C6880" s="17">
        <f>IF(Calc!$B6880,Calc!O6880,"")</f>
        <v/>
      </c>
    </row>
    <row r="6881">
      <c r="A6881" s="16">
        <f>IF(Calc!$B6881,Calc!E6881,"")</f>
        <v/>
      </c>
      <c r="B6881">
        <f>IF(Calc!$B6881,INDEX(MineNames,Calc!C6881),"")</f>
        <v/>
      </c>
      <c r="C6881" s="17">
        <f>IF(Calc!$B6881,Calc!O6881,"")</f>
        <v/>
      </c>
    </row>
    <row r="6882">
      <c r="A6882" s="16">
        <f>IF(Calc!$B6882,Calc!E6882,"")</f>
        <v/>
      </c>
      <c r="B6882">
        <f>IF(Calc!$B6882,INDEX(MineNames,Calc!C6882),"")</f>
        <v/>
      </c>
      <c r="C6882" s="17">
        <f>IF(Calc!$B6882,Calc!O6882,"")</f>
        <v/>
      </c>
    </row>
    <row r="6883">
      <c r="A6883" s="16">
        <f>IF(Calc!$B6883,Calc!E6883,"")</f>
        <v/>
      </c>
      <c r="B6883">
        <f>IF(Calc!$B6883,INDEX(MineNames,Calc!C6883),"")</f>
        <v/>
      </c>
      <c r="C6883" s="17">
        <f>IF(Calc!$B6883,Calc!O6883,"")</f>
        <v/>
      </c>
    </row>
    <row r="6884">
      <c r="A6884" s="16">
        <f>IF(Calc!$B6884,Calc!E6884,"")</f>
        <v/>
      </c>
      <c r="B6884">
        <f>IF(Calc!$B6884,INDEX(MineNames,Calc!C6884),"")</f>
        <v/>
      </c>
      <c r="C6884" s="17">
        <f>IF(Calc!$B6884,Calc!O6884,"")</f>
        <v/>
      </c>
    </row>
    <row r="6885">
      <c r="A6885" s="16">
        <f>IF(Calc!$B6885,Calc!E6885,"")</f>
        <v/>
      </c>
      <c r="B6885">
        <f>IF(Calc!$B6885,INDEX(MineNames,Calc!C6885),"")</f>
        <v/>
      </c>
      <c r="C6885" s="17">
        <f>IF(Calc!$B6885,Calc!O6885,"")</f>
        <v/>
      </c>
    </row>
    <row r="6886">
      <c r="A6886" s="16">
        <f>IF(Calc!$B6886,Calc!E6886,"")</f>
        <v/>
      </c>
      <c r="B6886">
        <f>IF(Calc!$B6886,INDEX(MineNames,Calc!C6886),"")</f>
        <v/>
      </c>
      <c r="C6886" s="17">
        <f>IF(Calc!$B6886,Calc!O6886,"")</f>
        <v/>
      </c>
    </row>
    <row r="6887">
      <c r="A6887" s="16">
        <f>IF(Calc!$B6887,Calc!E6887,"")</f>
        <v/>
      </c>
      <c r="B6887">
        <f>IF(Calc!$B6887,INDEX(MineNames,Calc!C6887),"")</f>
        <v/>
      </c>
      <c r="C6887" s="17">
        <f>IF(Calc!$B6887,Calc!O6887,"")</f>
        <v/>
      </c>
    </row>
    <row r="6888">
      <c r="A6888" s="16">
        <f>IF(Calc!$B6888,Calc!E6888,"")</f>
        <v/>
      </c>
      <c r="B6888">
        <f>IF(Calc!$B6888,INDEX(MineNames,Calc!C6888),"")</f>
        <v/>
      </c>
      <c r="C6888" s="17">
        <f>IF(Calc!$B6888,Calc!O6888,"")</f>
        <v/>
      </c>
    </row>
    <row r="6889">
      <c r="A6889" s="16">
        <f>IF(Calc!$B6889,Calc!E6889,"")</f>
        <v/>
      </c>
      <c r="B6889">
        <f>IF(Calc!$B6889,INDEX(MineNames,Calc!C6889),"")</f>
        <v/>
      </c>
      <c r="C6889" s="17">
        <f>IF(Calc!$B6889,Calc!O6889,"")</f>
        <v/>
      </c>
    </row>
    <row r="6890">
      <c r="A6890" s="16">
        <f>IF(Calc!$B6890,Calc!E6890,"")</f>
        <v/>
      </c>
      <c r="B6890">
        <f>IF(Calc!$B6890,INDEX(MineNames,Calc!C6890),"")</f>
        <v/>
      </c>
      <c r="C6890" s="17">
        <f>IF(Calc!$B6890,Calc!O6890,"")</f>
        <v/>
      </c>
    </row>
    <row r="6891">
      <c r="A6891" s="16">
        <f>IF(Calc!$B6891,Calc!E6891,"")</f>
        <v/>
      </c>
      <c r="B6891">
        <f>IF(Calc!$B6891,INDEX(MineNames,Calc!C6891),"")</f>
        <v/>
      </c>
      <c r="C6891" s="17">
        <f>IF(Calc!$B6891,Calc!O6891,"")</f>
        <v/>
      </c>
    </row>
    <row r="6892">
      <c r="A6892" s="16">
        <f>IF(Calc!$B6892,Calc!E6892,"")</f>
        <v/>
      </c>
      <c r="B6892">
        <f>IF(Calc!$B6892,INDEX(MineNames,Calc!C6892),"")</f>
        <v/>
      </c>
      <c r="C6892" s="17">
        <f>IF(Calc!$B6892,Calc!O6892,"")</f>
        <v/>
      </c>
    </row>
    <row r="6893">
      <c r="A6893" s="16">
        <f>IF(Calc!$B6893,Calc!E6893,"")</f>
        <v/>
      </c>
      <c r="B6893">
        <f>IF(Calc!$B6893,INDEX(MineNames,Calc!C6893),"")</f>
        <v/>
      </c>
      <c r="C6893" s="17">
        <f>IF(Calc!$B6893,Calc!O6893,"")</f>
        <v/>
      </c>
    </row>
    <row r="6894">
      <c r="A6894" s="16">
        <f>IF(Calc!$B6894,Calc!E6894,"")</f>
        <v/>
      </c>
      <c r="B6894">
        <f>IF(Calc!$B6894,INDEX(MineNames,Calc!C6894),"")</f>
        <v/>
      </c>
      <c r="C6894" s="17">
        <f>IF(Calc!$B6894,Calc!O6894,"")</f>
        <v/>
      </c>
    </row>
    <row r="6895">
      <c r="A6895" s="16">
        <f>IF(Calc!$B6895,Calc!E6895,"")</f>
        <v/>
      </c>
      <c r="B6895">
        <f>IF(Calc!$B6895,INDEX(MineNames,Calc!C6895),"")</f>
        <v/>
      </c>
      <c r="C6895" s="17">
        <f>IF(Calc!$B6895,Calc!O6895,"")</f>
        <v/>
      </c>
    </row>
    <row r="6896">
      <c r="A6896" s="16">
        <f>IF(Calc!$B6896,Calc!E6896,"")</f>
        <v/>
      </c>
      <c r="B6896">
        <f>IF(Calc!$B6896,INDEX(MineNames,Calc!C6896),"")</f>
        <v/>
      </c>
      <c r="C6896" s="17">
        <f>IF(Calc!$B6896,Calc!O6896,"")</f>
        <v/>
      </c>
    </row>
    <row r="6897">
      <c r="A6897" s="16">
        <f>IF(Calc!$B6897,Calc!E6897,"")</f>
        <v/>
      </c>
      <c r="B6897">
        <f>IF(Calc!$B6897,INDEX(MineNames,Calc!C6897),"")</f>
        <v/>
      </c>
      <c r="C6897" s="17">
        <f>IF(Calc!$B6897,Calc!O6897,"")</f>
        <v/>
      </c>
    </row>
    <row r="6898">
      <c r="A6898" s="16">
        <f>IF(Calc!$B6898,Calc!E6898,"")</f>
        <v/>
      </c>
      <c r="B6898">
        <f>IF(Calc!$B6898,INDEX(MineNames,Calc!C6898),"")</f>
        <v/>
      </c>
      <c r="C6898" s="17">
        <f>IF(Calc!$B6898,Calc!O6898,"")</f>
        <v/>
      </c>
    </row>
    <row r="6899">
      <c r="A6899" s="16">
        <f>IF(Calc!$B6899,Calc!E6899,"")</f>
        <v/>
      </c>
      <c r="B6899">
        <f>IF(Calc!$B6899,INDEX(MineNames,Calc!C6899),"")</f>
        <v/>
      </c>
      <c r="C6899" s="17">
        <f>IF(Calc!$B6899,Calc!O6899,"")</f>
        <v/>
      </c>
    </row>
    <row r="6900">
      <c r="A6900" s="16">
        <f>IF(Calc!$B6900,Calc!E6900,"")</f>
        <v/>
      </c>
      <c r="B6900">
        <f>IF(Calc!$B6900,INDEX(MineNames,Calc!C6900),"")</f>
        <v/>
      </c>
      <c r="C6900" s="17">
        <f>IF(Calc!$B6900,Calc!O6900,"")</f>
        <v/>
      </c>
    </row>
    <row r="6901">
      <c r="A6901" s="16">
        <f>IF(Calc!$B6901,Calc!E6901,"")</f>
        <v/>
      </c>
      <c r="B6901">
        <f>IF(Calc!$B6901,INDEX(MineNames,Calc!C6901),"")</f>
        <v/>
      </c>
      <c r="C6901" s="17">
        <f>IF(Calc!$B6901,Calc!O6901,"")</f>
        <v/>
      </c>
    </row>
    <row r="6902">
      <c r="A6902" s="16">
        <f>IF(Calc!$B6902,Calc!E6902,"")</f>
        <v/>
      </c>
      <c r="B6902">
        <f>IF(Calc!$B6902,INDEX(MineNames,Calc!C6902),"")</f>
        <v/>
      </c>
      <c r="C6902" s="17">
        <f>IF(Calc!$B6902,Calc!O6902,"")</f>
        <v/>
      </c>
    </row>
    <row r="6903">
      <c r="A6903" s="16">
        <f>IF(Calc!$B6903,Calc!E6903,"")</f>
        <v/>
      </c>
      <c r="B6903">
        <f>IF(Calc!$B6903,INDEX(MineNames,Calc!C6903),"")</f>
        <v/>
      </c>
      <c r="C6903" s="17">
        <f>IF(Calc!$B6903,Calc!O6903,"")</f>
        <v/>
      </c>
    </row>
    <row r="6904">
      <c r="A6904" s="16">
        <f>IF(Calc!$B6904,Calc!E6904,"")</f>
        <v/>
      </c>
      <c r="B6904">
        <f>IF(Calc!$B6904,INDEX(MineNames,Calc!C6904),"")</f>
        <v/>
      </c>
      <c r="C6904" s="17">
        <f>IF(Calc!$B6904,Calc!O6904,"")</f>
        <v/>
      </c>
    </row>
    <row r="6905">
      <c r="A6905" s="16">
        <f>IF(Calc!$B6905,Calc!E6905,"")</f>
        <v/>
      </c>
      <c r="B6905">
        <f>IF(Calc!$B6905,INDEX(MineNames,Calc!C6905),"")</f>
        <v/>
      </c>
      <c r="C6905" s="17">
        <f>IF(Calc!$B6905,Calc!O6905,"")</f>
        <v/>
      </c>
    </row>
    <row r="6906">
      <c r="A6906" s="16">
        <f>IF(Calc!$B6906,Calc!E6906,"")</f>
        <v/>
      </c>
      <c r="B6906">
        <f>IF(Calc!$B6906,INDEX(MineNames,Calc!C6906),"")</f>
        <v/>
      </c>
      <c r="C6906" s="17">
        <f>IF(Calc!$B6906,Calc!O6906,"")</f>
        <v/>
      </c>
    </row>
    <row r="6907">
      <c r="A6907" s="16">
        <f>IF(Calc!$B6907,Calc!E6907,"")</f>
        <v/>
      </c>
      <c r="B6907">
        <f>IF(Calc!$B6907,INDEX(MineNames,Calc!C6907),"")</f>
        <v/>
      </c>
      <c r="C6907" s="17">
        <f>IF(Calc!$B6907,Calc!O6907,"")</f>
        <v/>
      </c>
    </row>
    <row r="6908">
      <c r="A6908" s="16">
        <f>IF(Calc!$B6908,Calc!E6908,"")</f>
        <v/>
      </c>
      <c r="B6908">
        <f>IF(Calc!$B6908,INDEX(MineNames,Calc!C6908),"")</f>
        <v/>
      </c>
      <c r="C6908" s="17">
        <f>IF(Calc!$B6908,Calc!O6908,"")</f>
        <v/>
      </c>
    </row>
    <row r="6909">
      <c r="A6909" s="16">
        <f>IF(Calc!$B6909,Calc!E6909,"")</f>
        <v/>
      </c>
      <c r="B6909">
        <f>IF(Calc!$B6909,INDEX(MineNames,Calc!C6909),"")</f>
        <v/>
      </c>
      <c r="C6909" s="17">
        <f>IF(Calc!$B6909,Calc!O6909,"")</f>
        <v/>
      </c>
    </row>
    <row r="6910">
      <c r="A6910" s="16">
        <f>IF(Calc!$B6910,Calc!E6910,"")</f>
        <v/>
      </c>
      <c r="B6910">
        <f>IF(Calc!$B6910,INDEX(MineNames,Calc!C6910),"")</f>
        <v/>
      </c>
      <c r="C6910" s="17">
        <f>IF(Calc!$B6910,Calc!O6910,"")</f>
        <v/>
      </c>
    </row>
    <row r="6911">
      <c r="A6911" s="16">
        <f>IF(Calc!$B6911,Calc!E6911,"")</f>
        <v/>
      </c>
      <c r="B6911">
        <f>IF(Calc!$B6911,INDEX(MineNames,Calc!C6911),"")</f>
        <v/>
      </c>
      <c r="C6911" s="17">
        <f>IF(Calc!$B6911,Calc!O6911,"")</f>
        <v/>
      </c>
    </row>
    <row r="6912">
      <c r="A6912" s="16">
        <f>IF(Calc!$B6912,Calc!E6912,"")</f>
        <v/>
      </c>
      <c r="B6912">
        <f>IF(Calc!$B6912,INDEX(MineNames,Calc!C6912),"")</f>
        <v/>
      </c>
      <c r="C6912" s="17">
        <f>IF(Calc!$B6912,Calc!O6912,"")</f>
        <v/>
      </c>
    </row>
    <row r="6913">
      <c r="A6913" s="16">
        <f>IF(Calc!$B6913,Calc!E6913,"")</f>
        <v/>
      </c>
      <c r="B6913">
        <f>IF(Calc!$B6913,INDEX(MineNames,Calc!C6913),"")</f>
        <v/>
      </c>
      <c r="C6913" s="17">
        <f>IF(Calc!$B6913,Calc!O6913,"")</f>
        <v/>
      </c>
    </row>
    <row r="6914">
      <c r="A6914" s="16">
        <f>IF(Calc!$B6914,Calc!E6914,"")</f>
        <v/>
      </c>
      <c r="B6914">
        <f>IF(Calc!$B6914,INDEX(MineNames,Calc!C6914),"")</f>
        <v/>
      </c>
      <c r="C6914" s="17">
        <f>IF(Calc!$B6914,Calc!O6914,"")</f>
        <v/>
      </c>
    </row>
    <row r="6915">
      <c r="A6915" s="16">
        <f>IF(Calc!$B6915,Calc!E6915,"")</f>
        <v/>
      </c>
      <c r="B6915">
        <f>IF(Calc!$B6915,INDEX(MineNames,Calc!C6915),"")</f>
        <v/>
      </c>
      <c r="C6915" s="17">
        <f>IF(Calc!$B6915,Calc!O6915,"")</f>
        <v/>
      </c>
    </row>
    <row r="6916">
      <c r="A6916" s="16">
        <f>IF(Calc!$B6916,Calc!E6916,"")</f>
        <v/>
      </c>
      <c r="B6916">
        <f>IF(Calc!$B6916,INDEX(MineNames,Calc!C6916),"")</f>
        <v/>
      </c>
      <c r="C6916" s="17">
        <f>IF(Calc!$B6916,Calc!O6916,"")</f>
        <v/>
      </c>
    </row>
    <row r="6917">
      <c r="A6917" s="16">
        <f>IF(Calc!$B6917,Calc!E6917,"")</f>
        <v/>
      </c>
      <c r="B6917">
        <f>IF(Calc!$B6917,INDEX(MineNames,Calc!C6917),"")</f>
        <v/>
      </c>
      <c r="C6917" s="17">
        <f>IF(Calc!$B6917,Calc!O6917,"")</f>
        <v/>
      </c>
    </row>
    <row r="6918">
      <c r="A6918" s="16">
        <f>IF(Calc!$B6918,Calc!E6918,"")</f>
        <v/>
      </c>
      <c r="B6918">
        <f>IF(Calc!$B6918,INDEX(MineNames,Calc!C6918),"")</f>
        <v/>
      </c>
      <c r="C6918" s="17">
        <f>IF(Calc!$B6918,Calc!O6918,"")</f>
        <v/>
      </c>
    </row>
    <row r="6919">
      <c r="A6919" s="16">
        <f>IF(Calc!$B6919,Calc!E6919,"")</f>
        <v/>
      </c>
      <c r="B6919">
        <f>IF(Calc!$B6919,INDEX(MineNames,Calc!C6919),"")</f>
        <v/>
      </c>
      <c r="C6919" s="17">
        <f>IF(Calc!$B6919,Calc!O6919,"")</f>
        <v/>
      </c>
    </row>
    <row r="6920">
      <c r="A6920" s="16">
        <f>IF(Calc!$B6920,Calc!E6920,"")</f>
        <v/>
      </c>
      <c r="B6920">
        <f>IF(Calc!$B6920,INDEX(MineNames,Calc!C6920),"")</f>
        <v/>
      </c>
      <c r="C6920" s="17">
        <f>IF(Calc!$B6920,Calc!O6920,"")</f>
        <v/>
      </c>
    </row>
    <row r="6921">
      <c r="A6921" s="16">
        <f>IF(Calc!$B6921,Calc!E6921,"")</f>
        <v/>
      </c>
      <c r="B6921">
        <f>IF(Calc!$B6921,INDEX(MineNames,Calc!C6921),"")</f>
        <v/>
      </c>
      <c r="C6921" s="17">
        <f>IF(Calc!$B6921,Calc!O6921,"")</f>
        <v/>
      </c>
    </row>
    <row r="6922">
      <c r="A6922" s="16">
        <f>IF(Calc!$B6922,Calc!E6922,"")</f>
        <v/>
      </c>
      <c r="B6922">
        <f>IF(Calc!$B6922,INDEX(MineNames,Calc!C6922),"")</f>
        <v/>
      </c>
      <c r="C6922" s="17">
        <f>IF(Calc!$B6922,Calc!O6922,"")</f>
        <v/>
      </c>
    </row>
    <row r="6923">
      <c r="A6923" s="16">
        <f>IF(Calc!$B6923,Calc!E6923,"")</f>
        <v/>
      </c>
      <c r="B6923">
        <f>IF(Calc!$B6923,INDEX(MineNames,Calc!C6923),"")</f>
        <v/>
      </c>
      <c r="C6923" s="17">
        <f>IF(Calc!$B6923,Calc!O6923,"")</f>
        <v/>
      </c>
    </row>
    <row r="6924">
      <c r="A6924" s="16">
        <f>IF(Calc!$B6924,Calc!E6924,"")</f>
        <v/>
      </c>
      <c r="B6924">
        <f>IF(Calc!$B6924,INDEX(MineNames,Calc!C6924),"")</f>
        <v/>
      </c>
      <c r="C6924" s="17">
        <f>IF(Calc!$B6924,Calc!O6924,"")</f>
        <v/>
      </c>
    </row>
    <row r="6925">
      <c r="A6925" s="16">
        <f>IF(Calc!$B6925,Calc!E6925,"")</f>
        <v/>
      </c>
      <c r="B6925">
        <f>IF(Calc!$B6925,INDEX(MineNames,Calc!C6925),"")</f>
        <v/>
      </c>
      <c r="C6925" s="17">
        <f>IF(Calc!$B6925,Calc!O6925,"")</f>
        <v/>
      </c>
    </row>
    <row r="6926">
      <c r="A6926" s="16">
        <f>IF(Calc!$B6926,Calc!E6926,"")</f>
        <v/>
      </c>
      <c r="B6926">
        <f>IF(Calc!$B6926,INDEX(MineNames,Calc!C6926),"")</f>
        <v/>
      </c>
      <c r="C6926" s="17">
        <f>IF(Calc!$B6926,Calc!O6926,"")</f>
        <v/>
      </c>
    </row>
    <row r="6927">
      <c r="A6927" s="16">
        <f>IF(Calc!$B6927,Calc!E6927,"")</f>
        <v/>
      </c>
      <c r="B6927">
        <f>IF(Calc!$B6927,INDEX(MineNames,Calc!C6927),"")</f>
        <v/>
      </c>
      <c r="C6927" s="17">
        <f>IF(Calc!$B6927,Calc!O6927,"")</f>
        <v/>
      </c>
    </row>
    <row r="6928">
      <c r="A6928" s="16">
        <f>IF(Calc!$B6928,Calc!E6928,"")</f>
        <v/>
      </c>
      <c r="B6928">
        <f>IF(Calc!$B6928,INDEX(MineNames,Calc!C6928),"")</f>
        <v/>
      </c>
      <c r="C6928" s="17">
        <f>IF(Calc!$B6928,Calc!O6928,"")</f>
        <v/>
      </c>
    </row>
    <row r="6929">
      <c r="A6929" s="16">
        <f>IF(Calc!$B6929,Calc!E6929,"")</f>
        <v/>
      </c>
      <c r="B6929">
        <f>IF(Calc!$B6929,INDEX(MineNames,Calc!C6929),"")</f>
        <v/>
      </c>
      <c r="C6929" s="17">
        <f>IF(Calc!$B6929,Calc!O6929,"")</f>
        <v/>
      </c>
    </row>
    <row r="6930">
      <c r="A6930" s="16">
        <f>IF(Calc!$B6930,Calc!E6930,"")</f>
        <v/>
      </c>
      <c r="B6930">
        <f>IF(Calc!$B6930,INDEX(MineNames,Calc!C6930),"")</f>
        <v/>
      </c>
      <c r="C6930" s="17">
        <f>IF(Calc!$B6930,Calc!O6930,"")</f>
        <v/>
      </c>
    </row>
    <row r="6931">
      <c r="A6931" s="16">
        <f>IF(Calc!$B6931,Calc!E6931,"")</f>
        <v/>
      </c>
      <c r="B6931">
        <f>IF(Calc!$B6931,INDEX(MineNames,Calc!C6931),"")</f>
        <v/>
      </c>
      <c r="C6931" s="17">
        <f>IF(Calc!$B6931,Calc!O6931,"")</f>
        <v/>
      </c>
    </row>
    <row r="6932">
      <c r="A6932" s="16">
        <f>IF(Calc!$B6932,Calc!E6932,"")</f>
        <v/>
      </c>
      <c r="B6932">
        <f>IF(Calc!$B6932,INDEX(MineNames,Calc!C6932),"")</f>
        <v/>
      </c>
      <c r="C6932" s="17">
        <f>IF(Calc!$B6932,Calc!O6932,"")</f>
        <v/>
      </c>
    </row>
    <row r="6933">
      <c r="A6933" s="16">
        <f>IF(Calc!$B6933,Calc!E6933,"")</f>
        <v/>
      </c>
      <c r="B6933">
        <f>IF(Calc!$B6933,INDEX(MineNames,Calc!C6933),"")</f>
        <v/>
      </c>
      <c r="C6933" s="17">
        <f>IF(Calc!$B6933,Calc!O6933,"")</f>
        <v/>
      </c>
    </row>
    <row r="6934">
      <c r="A6934" s="16">
        <f>IF(Calc!$B6934,Calc!E6934,"")</f>
        <v/>
      </c>
      <c r="B6934">
        <f>IF(Calc!$B6934,INDEX(MineNames,Calc!C6934),"")</f>
        <v/>
      </c>
      <c r="C6934" s="17">
        <f>IF(Calc!$B6934,Calc!O6934,"")</f>
        <v/>
      </c>
    </row>
    <row r="6935">
      <c r="A6935" s="16">
        <f>IF(Calc!$B6935,Calc!E6935,"")</f>
        <v/>
      </c>
      <c r="B6935">
        <f>IF(Calc!$B6935,INDEX(MineNames,Calc!C6935),"")</f>
        <v/>
      </c>
      <c r="C6935" s="17">
        <f>IF(Calc!$B6935,Calc!O6935,"")</f>
        <v/>
      </c>
    </row>
    <row r="6936">
      <c r="A6936" s="16">
        <f>IF(Calc!$B6936,Calc!E6936,"")</f>
        <v/>
      </c>
      <c r="B6936">
        <f>IF(Calc!$B6936,INDEX(MineNames,Calc!C6936),"")</f>
        <v/>
      </c>
      <c r="C6936" s="17">
        <f>IF(Calc!$B6936,Calc!O6936,"")</f>
        <v/>
      </c>
    </row>
    <row r="6937">
      <c r="A6937" s="16">
        <f>IF(Calc!$B6937,Calc!E6937,"")</f>
        <v/>
      </c>
      <c r="B6937">
        <f>IF(Calc!$B6937,INDEX(MineNames,Calc!C6937),"")</f>
        <v/>
      </c>
      <c r="C6937" s="17">
        <f>IF(Calc!$B6937,Calc!O6937,"")</f>
        <v/>
      </c>
    </row>
    <row r="6938">
      <c r="A6938" s="16">
        <f>IF(Calc!$B6938,Calc!E6938,"")</f>
        <v/>
      </c>
      <c r="B6938">
        <f>IF(Calc!$B6938,INDEX(MineNames,Calc!C6938),"")</f>
        <v/>
      </c>
      <c r="C6938" s="17">
        <f>IF(Calc!$B6938,Calc!O6938,"")</f>
        <v/>
      </c>
    </row>
    <row r="6939">
      <c r="A6939" s="16">
        <f>IF(Calc!$B6939,Calc!E6939,"")</f>
        <v/>
      </c>
      <c r="B6939">
        <f>IF(Calc!$B6939,INDEX(MineNames,Calc!C6939),"")</f>
        <v/>
      </c>
      <c r="C6939" s="17">
        <f>IF(Calc!$B6939,Calc!O6939,"")</f>
        <v/>
      </c>
    </row>
    <row r="6940">
      <c r="A6940" s="16">
        <f>IF(Calc!$B6940,Calc!E6940,"")</f>
        <v/>
      </c>
      <c r="B6940">
        <f>IF(Calc!$B6940,INDEX(MineNames,Calc!C6940),"")</f>
        <v/>
      </c>
      <c r="C6940" s="17">
        <f>IF(Calc!$B6940,Calc!O6940,"")</f>
        <v/>
      </c>
    </row>
    <row r="6941">
      <c r="A6941" s="16">
        <f>IF(Calc!$B6941,Calc!E6941,"")</f>
        <v/>
      </c>
      <c r="B6941">
        <f>IF(Calc!$B6941,INDEX(MineNames,Calc!C6941),"")</f>
        <v/>
      </c>
      <c r="C6941" s="17">
        <f>IF(Calc!$B6941,Calc!O6941,"")</f>
        <v/>
      </c>
    </row>
    <row r="6942">
      <c r="A6942" s="16">
        <f>IF(Calc!$B6942,Calc!E6942,"")</f>
        <v/>
      </c>
      <c r="B6942">
        <f>IF(Calc!$B6942,INDEX(MineNames,Calc!C6942),"")</f>
        <v/>
      </c>
      <c r="C6942" s="17">
        <f>IF(Calc!$B6942,Calc!O6942,"")</f>
        <v/>
      </c>
    </row>
    <row r="6943">
      <c r="A6943" s="16">
        <f>IF(Calc!$B6943,Calc!E6943,"")</f>
        <v/>
      </c>
      <c r="B6943">
        <f>IF(Calc!$B6943,INDEX(MineNames,Calc!C6943),"")</f>
        <v/>
      </c>
      <c r="C6943" s="17">
        <f>IF(Calc!$B6943,Calc!O6943,"")</f>
        <v/>
      </c>
    </row>
    <row r="6944">
      <c r="A6944" s="16">
        <f>IF(Calc!$B6944,Calc!E6944,"")</f>
        <v/>
      </c>
      <c r="B6944">
        <f>IF(Calc!$B6944,INDEX(MineNames,Calc!C6944),"")</f>
        <v/>
      </c>
      <c r="C6944" s="17">
        <f>IF(Calc!$B6944,Calc!O6944,"")</f>
        <v/>
      </c>
    </row>
    <row r="6945">
      <c r="A6945" s="16">
        <f>IF(Calc!$B6945,Calc!E6945,"")</f>
        <v/>
      </c>
      <c r="B6945">
        <f>IF(Calc!$B6945,INDEX(MineNames,Calc!C6945),"")</f>
        <v/>
      </c>
      <c r="C6945" s="17">
        <f>IF(Calc!$B6945,Calc!O6945,"")</f>
        <v/>
      </c>
    </row>
    <row r="6946">
      <c r="A6946" s="16">
        <f>IF(Calc!$B6946,Calc!E6946,"")</f>
        <v/>
      </c>
      <c r="B6946">
        <f>IF(Calc!$B6946,INDEX(MineNames,Calc!C6946),"")</f>
        <v/>
      </c>
      <c r="C6946" s="17">
        <f>IF(Calc!$B6946,Calc!O6946,"")</f>
        <v/>
      </c>
    </row>
    <row r="6947">
      <c r="A6947" s="16">
        <f>IF(Calc!$B6947,Calc!E6947,"")</f>
        <v/>
      </c>
      <c r="B6947">
        <f>IF(Calc!$B6947,INDEX(MineNames,Calc!C6947),"")</f>
        <v/>
      </c>
      <c r="C6947" s="17">
        <f>IF(Calc!$B6947,Calc!O6947,"")</f>
        <v/>
      </c>
    </row>
    <row r="6948">
      <c r="A6948" s="16">
        <f>IF(Calc!$B6948,Calc!E6948,"")</f>
        <v/>
      </c>
      <c r="B6948">
        <f>IF(Calc!$B6948,INDEX(MineNames,Calc!C6948),"")</f>
        <v/>
      </c>
      <c r="C6948" s="17">
        <f>IF(Calc!$B6948,Calc!O6948,"")</f>
        <v/>
      </c>
    </row>
    <row r="6949">
      <c r="A6949" s="16">
        <f>IF(Calc!$B6949,Calc!E6949,"")</f>
        <v/>
      </c>
      <c r="B6949">
        <f>IF(Calc!$B6949,INDEX(MineNames,Calc!C6949),"")</f>
        <v/>
      </c>
      <c r="C6949" s="17">
        <f>IF(Calc!$B6949,Calc!O6949,"")</f>
        <v/>
      </c>
    </row>
    <row r="6950">
      <c r="A6950" s="16">
        <f>IF(Calc!$B6950,Calc!E6950,"")</f>
        <v/>
      </c>
      <c r="B6950">
        <f>IF(Calc!$B6950,INDEX(MineNames,Calc!C6950),"")</f>
        <v/>
      </c>
      <c r="C6950" s="17">
        <f>IF(Calc!$B6950,Calc!O6950,"")</f>
        <v/>
      </c>
    </row>
    <row r="6951">
      <c r="A6951" s="16">
        <f>IF(Calc!$B6951,Calc!E6951,"")</f>
        <v/>
      </c>
      <c r="B6951">
        <f>IF(Calc!$B6951,INDEX(MineNames,Calc!C6951),"")</f>
        <v/>
      </c>
      <c r="C6951" s="17">
        <f>IF(Calc!$B6951,Calc!O6951,"")</f>
        <v/>
      </c>
    </row>
    <row r="6952">
      <c r="A6952" s="16">
        <f>IF(Calc!$B6952,Calc!E6952,"")</f>
        <v/>
      </c>
      <c r="B6952">
        <f>IF(Calc!$B6952,INDEX(MineNames,Calc!C6952),"")</f>
        <v/>
      </c>
      <c r="C6952" s="17">
        <f>IF(Calc!$B6952,Calc!O6952,"")</f>
        <v/>
      </c>
    </row>
    <row r="6953">
      <c r="A6953" s="16">
        <f>IF(Calc!$B6953,Calc!E6953,"")</f>
        <v/>
      </c>
      <c r="B6953">
        <f>IF(Calc!$B6953,INDEX(MineNames,Calc!C6953),"")</f>
        <v/>
      </c>
      <c r="C6953" s="17">
        <f>IF(Calc!$B6953,Calc!O6953,"")</f>
        <v/>
      </c>
    </row>
    <row r="6954">
      <c r="A6954" s="16">
        <f>IF(Calc!$B6954,Calc!E6954,"")</f>
        <v/>
      </c>
      <c r="B6954">
        <f>IF(Calc!$B6954,INDEX(MineNames,Calc!C6954),"")</f>
        <v/>
      </c>
      <c r="C6954" s="17">
        <f>IF(Calc!$B6954,Calc!O6954,"")</f>
        <v/>
      </c>
    </row>
    <row r="6955">
      <c r="A6955" s="16">
        <f>IF(Calc!$B6955,Calc!E6955,"")</f>
        <v/>
      </c>
      <c r="B6955">
        <f>IF(Calc!$B6955,INDEX(MineNames,Calc!C6955),"")</f>
        <v/>
      </c>
      <c r="C6955" s="17">
        <f>IF(Calc!$B6955,Calc!O6955,"")</f>
        <v/>
      </c>
    </row>
    <row r="6956">
      <c r="A6956" s="16">
        <f>IF(Calc!$B6956,Calc!E6956,"")</f>
        <v/>
      </c>
      <c r="B6956">
        <f>IF(Calc!$B6956,INDEX(MineNames,Calc!C6956),"")</f>
        <v/>
      </c>
      <c r="C6956" s="17">
        <f>IF(Calc!$B6956,Calc!O6956,"")</f>
        <v/>
      </c>
    </row>
    <row r="6957">
      <c r="A6957" s="16">
        <f>IF(Calc!$B6957,Calc!E6957,"")</f>
        <v/>
      </c>
      <c r="B6957">
        <f>IF(Calc!$B6957,INDEX(MineNames,Calc!C6957),"")</f>
        <v/>
      </c>
      <c r="C6957" s="17">
        <f>IF(Calc!$B6957,Calc!O6957,"")</f>
        <v/>
      </c>
    </row>
    <row r="6958">
      <c r="A6958" s="16">
        <f>IF(Calc!$B6958,Calc!E6958,"")</f>
        <v/>
      </c>
      <c r="B6958">
        <f>IF(Calc!$B6958,INDEX(MineNames,Calc!C6958),"")</f>
        <v/>
      </c>
      <c r="C6958" s="17">
        <f>IF(Calc!$B6958,Calc!O6958,"")</f>
        <v/>
      </c>
    </row>
    <row r="6959">
      <c r="A6959" s="16">
        <f>IF(Calc!$B6959,Calc!E6959,"")</f>
        <v/>
      </c>
      <c r="B6959">
        <f>IF(Calc!$B6959,INDEX(MineNames,Calc!C6959),"")</f>
        <v/>
      </c>
      <c r="C6959" s="17">
        <f>IF(Calc!$B6959,Calc!O6959,"")</f>
        <v/>
      </c>
    </row>
    <row r="6960">
      <c r="A6960" s="16">
        <f>IF(Calc!$B6960,Calc!E6960,"")</f>
        <v/>
      </c>
      <c r="B6960">
        <f>IF(Calc!$B6960,INDEX(MineNames,Calc!C6960),"")</f>
        <v/>
      </c>
      <c r="C6960" s="17">
        <f>IF(Calc!$B6960,Calc!O6960,"")</f>
        <v/>
      </c>
    </row>
    <row r="6961">
      <c r="A6961" s="16">
        <f>IF(Calc!$B6961,Calc!E6961,"")</f>
        <v/>
      </c>
      <c r="B6961">
        <f>IF(Calc!$B6961,INDEX(MineNames,Calc!C6961),"")</f>
        <v/>
      </c>
      <c r="C6961" s="17">
        <f>IF(Calc!$B6961,Calc!O6961,"")</f>
        <v/>
      </c>
    </row>
    <row r="6962">
      <c r="A6962" s="16">
        <f>IF(Calc!$B6962,Calc!E6962,"")</f>
        <v/>
      </c>
      <c r="B6962">
        <f>IF(Calc!$B6962,INDEX(MineNames,Calc!C6962),"")</f>
        <v/>
      </c>
      <c r="C6962" s="17">
        <f>IF(Calc!$B6962,Calc!O6962,"")</f>
        <v/>
      </c>
    </row>
    <row r="6963">
      <c r="A6963" s="16">
        <f>IF(Calc!$B6963,Calc!E6963,"")</f>
        <v/>
      </c>
      <c r="B6963">
        <f>IF(Calc!$B6963,INDEX(MineNames,Calc!C6963),"")</f>
        <v/>
      </c>
      <c r="C6963" s="17">
        <f>IF(Calc!$B6963,Calc!O6963,"")</f>
        <v/>
      </c>
    </row>
    <row r="6964">
      <c r="A6964" s="16">
        <f>IF(Calc!$B6964,Calc!E6964,"")</f>
        <v/>
      </c>
      <c r="B6964">
        <f>IF(Calc!$B6964,INDEX(MineNames,Calc!C6964),"")</f>
        <v/>
      </c>
      <c r="C6964" s="17">
        <f>IF(Calc!$B6964,Calc!O6964,"")</f>
        <v/>
      </c>
    </row>
    <row r="6965">
      <c r="A6965" s="16">
        <f>IF(Calc!$B6965,Calc!E6965,"")</f>
        <v/>
      </c>
      <c r="B6965">
        <f>IF(Calc!$B6965,INDEX(MineNames,Calc!C6965),"")</f>
        <v/>
      </c>
      <c r="C6965" s="17">
        <f>IF(Calc!$B6965,Calc!O6965,"")</f>
        <v/>
      </c>
    </row>
    <row r="6966">
      <c r="A6966" s="16">
        <f>IF(Calc!$B6966,Calc!E6966,"")</f>
        <v/>
      </c>
      <c r="B6966">
        <f>IF(Calc!$B6966,INDEX(MineNames,Calc!C6966),"")</f>
        <v/>
      </c>
      <c r="C6966" s="17">
        <f>IF(Calc!$B6966,Calc!O6966,"")</f>
        <v/>
      </c>
    </row>
    <row r="6967">
      <c r="A6967" s="16">
        <f>IF(Calc!$B6967,Calc!E6967,"")</f>
        <v/>
      </c>
      <c r="B6967">
        <f>IF(Calc!$B6967,INDEX(MineNames,Calc!C6967),"")</f>
        <v/>
      </c>
      <c r="C6967" s="17">
        <f>IF(Calc!$B6967,Calc!O6967,"")</f>
        <v/>
      </c>
    </row>
    <row r="6968">
      <c r="A6968" s="16">
        <f>IF(Calc!$B6968,Calc!E6968,"")</f>
        <v/>
      </c>
      <c r="B6968">
        <f>IF(Calc!$B6968,INDEX(MineNames,Calc!C6968),"")</f>
        <v/>
      </c>
      <c r="C6968" s="17">
        <f>IF(Calc!$B6968,Calc!O6968,"")</f>
        <v/>
      </c>
    </row>
    <row r="6969">
      <c r="A6969" s="16">
        <f>IF(Calc!$B6969,Calc!E6969,"")</f>
        <v/>
      </c>
      <c r="B6969">
        <f>IF(Calc!$B6969,INDEX(MineNames,Calc!C6969),"")</f>
        <v/>
      </c>
      <c r="C6969" s="17">
        <f>IF(Calc!$B6969,Calc!O6969,"")</f>
        <v/>
      </c>
    </row>
    <row r="6970">
      <c r="A6970" s="16">
        <f>IF(Calc!$B6970,Calc!E6970,"")</f>
        <v/>
      </c>
      <c r="B6970">
        <f>IF(Calc!$B6970,INDEX(MineNames,Calc!C6970),"")</f>
        <v/>
      </c>
      <c r="C6970" s="17">
        <f>IF(Calc!$B6970,Calc!O6970,"")</f>
        <v/>
      </c>
    </row>
    <row r="6971">
      <c r="A6971" s="16">
        <f>IF(Calc!$B6971,Calc!E6971,"")</f>
        <v/>
      </c>
      <c r="B6971">
        <f>IF(Calc!$B6971,INDEX(MineNames,Calc!C6971),"")</f>
        <v/>
      </c>
      <c r="C6971" s="17">
        <f>IF(Calc!$B6971,Calc!O6971,"")</f>
        <v/>
      </c>
    </row>
    <row r="6972">
      <c r="A6972" s="16">
        <f>IF(Calc!$B6972,Calc!E6972,"")</f>
        <v/>
      </c>
      <c r="B6972">
        <f>IF(Calc!$B6972,INDEX(MineNames,Calc!C6972),"")</f>
        <v/>
      </c>
      <c r="C6972" s="17">
        <f>IF(Calc!$B6972,Calc!O6972,"")</f>
        <v/>
      </c>
    </row>
    <row r="6973">
      <c r="A6973" s="16">
        <f>IF(Calc!$B6973,Calc!E6973,"")</f>
        <v/>
      </c>
      <c r="B6973">
        <f>IF(Calc!$B6973,INDEX(MineNames,Calc!C6973),"")</f>
        <v/>
      </c>
      <c r="C6973" s="17">
        <f>IF(Calc!$B6973,Calc!O6973,"")</f>
        <v/>
      </c>
    </row>
    <row r="6974">
      <c r="A6974" s="16">
        <f>IF(Calc!$B6974,Calc!E6974,"")</f>
        <v/>
      </c>
      <c r="B6974">
        <f>IF(Calc!$B6974,INDEX(MineNames,Calc!C6974),"")</f>
        <v/>
      </c>
      <c r="C6974" s="17">
        <f>IF(Calc!$B6974,Calc!O6974,"")</f>
        <v/>
      </c>
    </row>
    <row r="6975">
      <c r="A6975" s="16">
        <f>IF(Calc!$B6975,Calc!E6975,"")</f>
        <v/>
      </c>
      <c r="B6975">
        <f>IF(Calc!$B6975,INDEX(MineNames,Calc!C6975),"")</f>
        <v/>
      </c>
      <c r="C6975" s="17">
        <f>IF(Calc!$B6975,Calc!O6975,"")</f>
        <v/>
      </c>
    </row>
    <row r="6976">
      <c r="A6976" s="16">
        <f>IF(Calc!$B6976,Calc!E6976,"")</f>
        <v/>
      </c>
      <c r="B6976">
        <f>IF(Calc!$B6976,INDEX(MineNames,Calc!C6976),"")</f>
        <v/>
      </c>
      <c r="C6976" s="17">
        <f>IF(Calc!$B6976,Calc!O6976,"")</f>
        <v/>
      </c>
    </row>
    <row r="6977">
      <c r="A6977" s="16">
        <f>IF(Calc!$B6977,Calc!E6977,"")</f>
        <v/>
      </c>
      <c r="B6977">
        <f>IF(Calc!$B6977,INDEX(MineNames,Calc!C6977),"")</f>
        <v/>
      </c>
      <c r="C6977" s="17">
        <f>IF(Calc!$B6977,Calc!O6977,"")</f>
        <v/>
      </c>
    </row>
    <row r="6978">
      <c r="A6978" s="16">
        <f>IF(Calc!$B6978,Calc!E6978,"")</f>
        <v/>
      </c>
      <c r="B6978">
        <f>IF(Calc!$B6978,INDEX(MineNames,Calc!C6978),"")</f>
        <v/>
      </c>
      <c r="C6978" s="17">
        <f>IF(Calc!$B6978,Calc!O6978,"")</f>
        <v/>
      </c>
    </row>
    <row r="6979">
      <c r="A6979" s="16">
        <f>IF(Calc!$B6979,Calc!E6979,"")</f>
        <v/>
      </c>
      <c r="B6979">
        <f>IF(Calc!$B6979,INDEX(MineNames,Calc!C6979),"")</f>
        <v/>
      </c>
      <c r="C6979" s="17">
        <f>IF(Calc!$B6979,Calc!O6979,"")</f>
        <v/>
      </c>
    </row>
    <row r="6980">
      <c r="A6980" s="16">
        <f>IF(Calc!$B6980,Calc!E6980,"")</f>
        <v/>
      </c>
      <c r="B6980">
        <f>IF(Calc!$B6980,INDEX(MineNames,Calc!C6980),"")</f>
        <v/>
      </c>
      <c r="C6980" s="17">
        <f>IF(Calc!$B6980,Calc!O6980,"")</f>
        <v/>
      </c>
    </row>
    <row r="6981">
      <c r="A6981" s="16">
        <f>IF(Calc!$B6981,Calc!E6981,"")</f>
        <v/>
      </c>
      <c r="B6981">
        <f>IF(Calc!$B6981,INDEX(MineNames,Calc!C6981),"")</f>
        <v/>
      </c>
      <c r="C6981" s="17">
        <f>IF(Calc!$B6981,Calc!O6981,"")</f>
        <v/>
      </c>
    </row>
    <row r="6982">
      <c r="A6982" s="16">
        <f>IF(Calc!$B6982,Calc!E6982,"")</f>
        <v/>
      </c>
      <c r="B6982">
        <f>IF(Calc!$B6982,INDEX(MineNames,Calc!C6982),"")</f>
        <v/>
      </c>
      <c r="C6982" s="17">
        <f>IF(Calc!$B6982,Calc!O6982,"")</f>
        <v/>
      </c>
    </row>
    <row r="6983">
      <c r="A6983" s="16">
        <f>IF(Calc!$B6983,Calc!E6983,"")</f>
        <v/>
      </c>
      <c r="B6983">
        <f>IF(Calc!$B6983,INDEX(MineNames,Calc!C6983),"")</f>
        <v/>
      </c>
      <c r="C6983" s="17">
        <f>IF(Calc!$B6983,Calc!O6983,"")</f>
        <v/>
      </c>
    </row>
    <row r="6984">
      <c r="A6984" s="16">
        <f>IF(Calc!$B6984,Calc!E6984,"")</f>
        <v/>
      </c>
      <c r="B6984">
        <f>IF(Calc!$B6984,INDEX(MineNames,Calc!C6984),"")</f>
        <v/>
      </c>
      <c r="C6984" s="17">
        <f>IF(Calc!$B6984,Calc!O6984,"")</f>
        <v/>
      </c>
    </row>
    <row r="6985">
      <c r="A6985" s="16">
        <f>IF(Calc!$B6985,Calc!E6985,"")</f>
        <v/>
      </c>
      <c r="B6985">
        <f>IF(Calc!$B6985,INDEX(MineNames,Calc!C6985),"")</f>
        <v/>
      </c>
      <c r="C6985" s="17">
        <f>IF(Calc!$B6985,Calc!O6985,"")</f>
        <v/>
      </c>
    </row>
    <row r="6986">
      <c r="A6986" s="16">
        <f>IF(Calc!$B6986,Calc!E6986,"")</f>
        <v/>
      </c>
      <c r="B6986">
        <f>IF(Calc!$B6986,INDEX(MineNames,Calc!C6986),"")</f>
        <v/>
      </c>
      <c r="C6986" s="17">
        <f>IF(Calc!$B6986,Calc!O6986,"")</f>
        <v/>
      </c>
    </row>
    <row r="6987">
      <c r="A6987" s="16">
        <f>IF(Calc!$B6987,Calc!E6987,"")</f>
        <v/>
      </c>
      <c r="B6987">
        <f>IF(Calc!$B6987,INDEX(MineNames,Calc!C6987),"")</f>
        <v/>
      </c>
      <c r="C6987" s="17">
        <f>IF(Calc!$B6987,Calc!O6987,"")</f>
        <v/>
      </c>
    </row>
    <row r="6988">
      <c r="A6988" s="16">
        <f>IF(Calc!$B6988,Calc!E6988,"")</f>
        <v/>
      </c>
      <c r="B6988">
        <f>IF(Calc!$B6988,INDEX(MineNames,Calc!C6988),"")</f>
        <v/>
      </c>
      <c r="C6988" s="17">
        <f>IF(Calc!$B6988,Calc!O6988,"")</f>
        <v/>
      </c>
    </row>
    <row r="6989">
      <c r="A6989" s="16">
        <f>IF(Calc!$B6989,Calc!E6989,"")</f>
        <v/>
      </c>
      <c r="B6989">
        <f>IF(Calc!$B6989,INDEX(MineNames,Calc!C6989),"")</f>
        <v/>
      </c>
      <c r="C6989" s="17">
        <f>IF(Calc!$B6989,Calc!O6989,"")</f>
        <v/>
      </c>
    </row>
    <row r="6990">
      <c r="A6990" s="16">
        <f>IF(Calc!$B6990,Calc!E6990,"")</f>
        <v/>
      </c>
      <c r="B6990">
        <f>IF(Calc!$B6990,INDEX(MineNames,Calc!C6990),"")</f>
        <v/>
      </c>
      <c r="C6990" s="17">
        <f>IF(Calc!$B6990,Calc!O6990,"")</f>
        <v/>
      </c>
    </row>
    <row r="6991">
      <c r="A6991" s="16">
        <f>IF(Calc!$B6991,Calc!E6991,"")</f>
        <v/>
      </c>
      <c r="B6991">
        <f>IF(Calc!$B6991,INDEX(MineNames,Calc!C6991),"")</f>
        <v/>
      </c>
      <c r="C6991" s="17">
        <f>IF(Calc!$B6991,Calc!O6991,"")</f>
        <v/>
      </c>
    </row>
    <row r="6992">
      <c r="A6992" s="16">
        <f>IF(Calc!$B6992,Calc!E6992,"")</f>
        <v/>
      </c>
      <c r="B6992">
        <f>IF(Calc!$B6992,INDEX(MineNames,Calc!C6992),"")</f>
        <v/>
      </c>
      <c r="C6992" s="17">
        <f>IF(Calc!$B6992,Calc!O6992,"")</f>
        <v/>
      </c>
    </row>
    <row r="6993">
      <c r="A6993" s="16">
        <f>IF(Calc!$B6993,Calc!E6993,"")</f>
        <v/>
      </c>
      <c r="B6993">
        <f>IF(Calc!$B6993,INDEX(MineNames,Calc!C6993),"")</f>
        <v/>
      </c>
      <c r="C6993" s="17">
        <f>IF(Calc!$B6993,Calc!O6993,"")</f>
        <v/>
      </c>
    </row>
    <row r="6994">
      <c r="A6994" s="16">
        <f>IF(Calc!$B6994,Calc!E6994,"")</f>
        <v/>
      </c>
      <c r="B6994">
        <f>IF(Calc!$B6994,INDEX(MineNames,Calc!C6994),"")</f>
        <v/>
      </c>
      <c r="C6994" s="17">
        <f>IF(Calc!$B6994,Calc!O6994,"")</f>
        <v/>
      </c>
    </row>
    <row r="6995">
      <c r="A6995" s="16">
        <f>IF(Calc!$B6995,Calc!E6995,"")</f>
        <v/>
      </c>
      <c r="B6995">
        <f>IF(Calc!$B6995,INDEX(MineNames,Calc!C6995),"")</f>
        <v/>
      </c>
      <c r="C6995" s="17">
        <f>IF(Calc!$B6995,Calc!O6995,"")</f>
        <v/>
      </c>
    </row>
    <row r="6996">
      <c r="A6996" s="16">
        <f>IF(Calc!$B6996,Calc!E6996,"")</f>
        <v/>
      </c>
      <c r="B6996">
        <f>IF(Calc!$B6996,INDEX(MineNames,Calc!C6996),"")</f>
        <v/>
      </c>
      <c r="C6996" s="17">
        <f>IF(Calc!$B6996,Calc!O6996,"")</f>
        <v/>
      </c>
    </row>
    <row r="6997">
      <c r="A6997" s="16">
        <f>IF(Calc!$B6997,Calc!E6997,"")</f>
        <v/>
      </c>
      <c r="B6997">
        <f>IF(Calc!$B6997,INDEX(MineNames,Calc!C6997),"")</f>
        <v/>
      </c>
      <c r="C6997" s="17">
        <f>IF(Calc!$B6997,Calc!O6997,"")</f>
        <v/>
      </c>
    </row>
    <row r="6998">
      <c r="A6998" s="16">
        <f>IF(Calc!$B6998,Calc!E6998,"")</f>
        <v/>
      </c>
      <c r="B6998">
        <f>IF(Calc!$B6998,INDEX(MineNames,Calc!C6998),"")</f>
        <v/>
      </c>
      <c r="C6998" s="17">
        <f>IF(Calc!$B6998,Calc!O6998,"")</f>
        <v/>
      </c>
    </row>
    <row r="6999">
      <c r="A6999" s="16">
        <f>IF(Calc!$B6999,Calc!E6999,"")</f>
        <v/>
      </c>
      <c r="B6999">
        <f>IF(Calc!$B6999,INDEX(MineNames,Calc!C6999),"")</f>
        <v/>
      </c>
      <c r="C6999" s="17">
        <f>IF(Calc!$B6999,Calc!O6999,"")</f>
        <v/>
      </c>
    </row>
    <row r="7000">
      <c r="A7000" s="16">
        <f>IF(Calc!$B7000,Calc!E7000,"")</f>
        <v/>
      </c>
      <c r="B7000">
        <f>IF(Calc!$B7000,INDEX(MineNames,Calc!C7000),"")</f>
        <v/>
      </c>
      <c r="C7000" s="17">
        <f>IF(Calc!$B7000,Calc!O7000,"")</f>
        <v/>
      </c>
    </row>
    <row r="7001">
      <c r="A7001" s="16">
        <f>IF(Calc!$B7001,Calc!E7001,"")</f>
        <v/>
      </c>
      <c r="B7001">
        <f>IF(Calc!$B7001,INDEX(MineNames,Calc!C7001),"")</f>
        <v/>
      </c>
      <c r="C7001" s="17">
        <f>IF(Calc!$B7001,Calc!O7001,"")</f>
        <v/>
      </c>
    </row>
    <row r="7002">
      <c r="A7002" s="16">
        <f>IF(Calc!$B7002,Calc!E7002,"")</f>
        <v/>
      </c>
      <c r="B7002">
        <f>IF(Calc!$B7002,INDEX(MineNames,Calc!C7002),"")</f>
        <v/>
      </c>
      <c r="C7002" s="17">
        <f>IF(Calc!$B7002,Calc!O7002,"")</f>
        <v/>
      </c>
    </row>
    <row r="7003">
      <c r="A7003" s="16">
        <f>IF(Calc!$B7003,Calc!E7003,"")</f>
        <v/>
      </c>
      <c r="B7003">
        <f>IF(Calc!$B7003,INDEX(MineNames,Calc!C7003),"")</f>
        <v/>
      </c>
      <c r="C7003" s="17">
        <f>IF(Calc!$B7003,Calc!O7003,"")</f>
        <v/>
      </c>
    </row>
    <row r="7004">
      <c r="A7004" s="16">
        <f>IF(Calc!$B7004,Calc!E7004,"")</f>
        <v/>
      </c>
      <c r="B7004">
        <f>IF(Calc!$B7004,INDEX(MineNames,Calc!C7004),"")</f>
        <v/>
      </c>
      <c r="C7004" s="17">
        <f>IF(Calc!$B7004,Calc!O7004,"")</f>
        <v/>
      </c>
    </row>
    <row r="7005">
      <c r="A7005" s="16">
        <f>IF(Calc!$B7005,Calc!E7005,"")</f>
        <v/>
      </c>
      <c r="B7005">
        <f>IF(Calc!$B7005,INDEX(MineNames,Calc!C7005),"")</f>
        <v/>
      </c>
      <c r="C7005" s="17">
        <f>IF(Calc!$B7005,Calc!O7005,"")</f>
        <v/>
      </c>
    </row>
    <row r="7006">
      <c r="A7006" s="16">
        <f>IF(Calc!$B7006,Calc!E7006,"")</f>
        <v/>
      </c>
      <c r="B7006">
        <f>IF(Calc!$B7006,INDEX(MineNames,Calc!C7006),"")</f>
        <v/>
      </c>
      <c r="C7006" s="17">
        <f>IF(Calc!$B7006,Calc!O7006,"")</f>
        <v/>
      </c>
    </row>
    <row r="7007">
      <c r="A7007" s="16">
        <f>IF(Calc!$B7007,Calc!E7007,"")</f>
        <v/>
      </c>
      <c r="B7007">
        <f>IF(Calc!$B7007,INDEX(MineNames,Calc!C7007),"")</f>
        <v/>
      </c>
      <c r="C7007" s="17">
        <f>IF(Calc!$B7007,Calc!O7007,"")</f>
        <v/>
      </c>
    </row>
    <row r="7008">
      <c r="A7008" s="16">
        <f>IF(Calc!$B7008,Calc!E7008,"")</f>
        <v/>
      </c>
      <c r="B7008">
        <f>IF(Calc!$B7008,INDEX(MineNames,Calc!C7008),"")</f>
        <v/>
      </c>
      <c r="C7008" s="17">
        <f>IF(Calc!$B7008,Calc!O7008,"")</f>
        <v/>
      </c>
    </row>
    <row r="7009">
      <c r="A7009" s="16">
        <f>IF(Calc!$B7009,Calc!E7009,"")</f>
        <v/>
      </c>
      <c r="B7009">
        <f>IF(Calc!$B7009,INDEX(MineNames,Calc!C7009),"")</f>
        <v/>
      </c>
      <c r="C7009" s="17">
        <f>IF(Calc!$B7009,Calc!O7009,"")</f>
        <v/>
      </c>
    </row>
    <row r="7010">
      <c r="A7010" s="16">
        <f>IF(Calc!$B7010,Calc!E7010,"")</f>
        <v/>
      </c>
      <c r="B7010">
        <f>IF(Calc!$B7010,INDEX(MineNames,Calc!C7010),"")</f>
        <v/>
      </c>
      <c r="C7010" s="17">
        <f>IF(Calc!$B7010,Calc!O7010,"")</f>
        <v/>
      </c>
    </row>
    <row r="7011">
      <c r="A7011" s="16">
        <f>IF(Calc!$B7011,Calc!E7011,"")</f>
        <v/>
      </c>
      <c r="B7011">
        <f>IF(Calc!$B7011,INDEX(MineNames,Calc!C7011),"")</f>
        <v/>
      </c>
      <c r="C7011" s="17">
        <f>IF(Calc!$B7011,Calc!O7011,"")</f>
        <v/>
      </c>
    </row>
    <row r="7012">
      <c r="A7012" s="16">
        <f>IF(Calc!$B7012,Calc!E7012,"")</f>
        <v/>
      </c>
      <c r="B7012">
        <f>IF(Calc!$B7012,INDEX(MineNames,Calc!C7012),"")</f>
        <v/>
      </c>
      <c r="C7012" s="17">
        <f>IF(Calc!$B7012,Calc!O7012,"")</f>
        <v/>
      </c>
    </row>
    <row r="7013">
      <c r="A7013" s="16">
        <f>IF(Calc!$B7013,Calc!E7013,"")</f>
        <v/>
      </c>
      <c r="B7013">
        <f>IF(Calc!$B7013,INDEX(MineNames,Calc!C7013),"")</f>
        <v/>
      </c>
      <c r="C7013" s="17">
        <f>IF(Calc!$B7013,Calc!O7013,"")</f>
        <v/>
      </c>
    </row>
    <row r="7014">
      <c r="A7014" s="16">
        <f>IF(Calc!$B7014,Calc!E7014,"")</f>
        <v/>
      </c>
      <c r="B7014">
        <f>IF(Calc!$B7014,INDEX(MineNames,Calc!C7014),"")</f>
        <v/>
      </c>
      <c r="C7014" s="17">
        <f>IF(Calc!$B7014,Calc!O7014,"")</f>
        <v/>
      </c>
    </row>
    <row r="7015">
      <c r="A7015" s="16">
        <f>IF(Calc!$B7015,Calc!E7015,"")</f>
        <v/>
      </c>
      <c r="B7015">
        <f>IF(Calc!$B7015,INDEX(MineNames,Calc!C7015),"")</f>
        <v/>
      </c>
      <c r="C7015" s="17">
        <f>IF(Calc!$B7015,Calc!O7015,"")</f>
        <v/>
      </c>
    </row>
    <row r="7016">
      <c r="A7016" s="16">
        <f>IF(Calc!$B7016,Calc!E7016,"")</f>
        <v/>
      </c>
      <c r="B7016">
        <f>IF(Calc!$B7016,INDEX(MineNames,Calc!C7016),"")</f>
        <v/>
      </c>
      <c r="C7016" s="17">
        <f>IF(Calc!$B7016,Calc!O7016,"")</f>
        <v/>
      </c>
    </row>
    <row r="7017">
      <c r="A7017" s="16">
        <f>IF(Calc!$B7017,Calc!E7017,"")</f>
        <v/>
      </c>
      <c r="B7017">
        <f>IF(Calc!$B7017,INDEX(MineNames,Calc!C7017),"")</f>
        <v/>
      </c>
      <c r="C7017" s="17">
        <f>IF(Calc!$B7017,Calc!O7017,"")</f>
        <v/>
      </c>
    </row>
    <row r="7018">
      <c r="A7018" s="16">
        <f>IF(Calc!$B7018,Calc!E7018,"")</f>
        <v/>
      </c>
      <c r="B7018">
        <f>IF(Calc!$B7018,INDEX(MineNames,Calc!C7018),"")</f>
        <v/>
      </c>
      <c r="C7018" s="17">
        <f>IF(Calc!$B7018,Calc!O7018,"")</f>
        <v/>
      </c>
    </row>
    <row r="7019">
      <c r="A7019" s="16">
        <f>IF(Calc!$B7019,Calc!E7019,"")</f>
        <v/>
      </c>
      <c r="B7019">
        <f>IF(Calc!$B7019,INDEX(MineNames,Calc!C7019),"")</f>
        <v/>
      </c>
      <c r="C7019" s="17">
        <f>IF(Calc!$B7019,Calc!O7019,"")</f>
        <v/>
      </c>
    </row>
    <row r="7020">
      <c r="A7020" s="16">
        <f>IF(Calc!$B7020,Calc!E7020,"")</f>
        <v/>
      </c>
      <c r="B7020">
        <f>IF(Calc!$B7020,INDEX(MineNames,Calc!C7020),"")</f>
        <v/>
      </c>
      <c r="C7020" s="17">
        <f>IF(Calc!$B7020,Calc!O7020,"")</f>
        <v/>
      </c>
    </row>
    <row r="7021">
      <c r="A7021" s="16">
        <f>IF(Calc!$B7021,Calc!E7021,"")</f>
        <v/>
      </c>
      <c r="B7021">
        <f>IF(Calc!$B7021,INDEX(MineNames,Calc!C7021),"")</f>
        <v/>
      </c>
      <c r="C7021" s="17">
        <f>IF(Calc!$B7021,Calc!O7021,"")</f>
        <v/>
      </c>
    </row>
    <row r="7022">
      <c r="A7022" s="16">
        <f>IF(Calc!$B7022,Calc!E7022,"")</f>
        <v/>
      </c>
      <c r="B7022">
        <f>IF(Calc!$B7022,INDEX(MineNames,Calc!C7022),"")</f>
        <v/>
      </c>
      <c r="C7022" s="17">
        <f>IF(Calc!$B7022,Calc!O7022,"")</f>
        <v/>
      </c>
    </row>
    <row r="7023">
      <c r="A7023" s="16">
        <f>IF(Calc!$B7023,Calc!E7023,"")</f>
        <v/>
      </c>
      <c r="B7023">
        <f>IF(Calc!$B7023,INDEX(MineNames,Calc!C7023),"")</f>
        <v/>
      </c>
      <c r="C7023" s="17">
        <f>IF(Calc!$B7023,Calc!O7023,"")</f>
        <v/>
      </c>
    </row>
    <row r="7024">
      <c r="A7024" s="16">
        <f>IF(Calc!$B7024,Calc!E7024,"")</f>
        <v/>
      </c>
      <c r="B7024">
        <f>IF(Calc!$B7024,INDEX(MineNames,Calc!C7024),"")</f>
        <v/>
      </c>
      <c r="C7024" s="17">
        <f>IF(Calc!$B7024,Calc!O7024,"")</f>
        <v/>
      </c>
    </row>
    <row r="7025">
      <c r="A7025" s="16">
        <f>IF(Calc!$B7025,Calc!E7025,"")</f>
        <v/>
      </c>
      <c r="B7025">
        <f>IF(Calc!$B7025,INDEX(MineNames,Calc!C7025),"")</f>
        <v/>
      </c>
      <c r="C7025" s="17">
        <f>IF(Calc!$B7025,Calc!O7025,"")</f>
        <v/>
      </c>
    </row>
    <row r="7026">
      <c r="A7026" s="16">
        <f>IF(Calc!$B7026,Calc!E7026,"")</f>
        <v/>
      </c>
      <c r="B7026">
        <f>IF(Calc!$B7026,INDEX(MineNames,Calc!C7026),"")</f>
        <v/>
      </c>
      <c r="C7026" s="17">
        <f>IF(Calc!$B7026,Calc!O7026,"")</f>
        <v/>
      </c>
    </row>
    <row r="7027">
      <c r="A7027" s="16">
        <f>IF(Calc!$B7027,Calc!E7027,"")</f>
        <v/>
      </c>
      <c r="B7027">
        <f>IF(Calc!$B7027,INDEX(MineNames,Calc!C7027),"")</f>
        <v/>
      </c>
      <c r="C7027" s="17">
        <f>IF(Calc!$B7027,Calc!O7027,"")</f>
        <v/>
      </c>
    </row>
    <row r="7028">
      <c r="A7028" s="16">
        <f>IF(Calc!$B7028,Calc!E7028,"")</f>
        <v/>
      </c>
      <c r="B7028">
        <f>IF(Calc!$B7028,INDEX(MineNames,Calc!C7028),"")</f>
        <v/>
      </c>
      <c r="C7028" s="17">
        <f>IF(Calc!$B7028,Calc!O7028,"")</f>
        <v/>
      </c>
    </row>
    <row r="7029">
      <c r="A7029" s="16">
        <f>IF(Calc!$B7029,Calc!E7029,"")</f>
        <v/>
      </c>
      <c r="B7029">
        <f>IF(Calc!$B7029,INDEX(MineNames,Calc!C7029),"")</f>
        <v/>
      </c>
      <c r="C7029" s="17">
        <f>IF(Calc!$B7029,Calc!O7029,"")</f>
        <v/>
      </c>
    </row>
    <row r="7030">
      <c r="A7030" s="16">
        <f>IF(Calc!$B7030,Calc!E7030,"")</f>
        <v/>
      </c>
      <c r="B7030">
        <f>IF(Calc!$B7030,INDEX(MineNames,Calc!C7030),"")</f>
        <v/>
      </c>
      <c r="C7030" s="17">
        <f>IF(Calc!$B7030,Calc!O7030,"")</f>
        <v/>
      </c>
    </row>
    <row r="7031">
      <c r="A7031" s="16">
        <f>IF(Calc!$B7031,Calc!E7031,"")</f>
        <v/>
      </c>
      <c r="B7031">
        <f>IF(Calc!$B7031,INDEX(MineNames,Calc!C7031),"")</f>
        <v/>
      </c>
      <c r="C7031" s="17">
        <f>IF(Calc!$B7031,Calc!O7031,"")</f>
        <v/>
      </c>
    </row>
    <row r="7032">
      <c r="A7032" s="16">
        <f>IF(Calc!$B7032,Calc!E7032,"")</f>
        <v/>
      </c>
      <c r="B7032">
        <f>IF(Calc!$B7032,INDEX(MineNames,Calc!C7032),"")</f>
        <v/>
      </c>
      <c r="C7032" s="17">
        <f>IF(Calc!$B7032,Calc!O7032,"")</f>
        <v/>
      </c>
    </row>
    <row r="7033">
      <c r="A7033" s="16">
        <f>IF(Calc!$B7033,Calc!E7033,"")</f>
        <v/>
      </c>
      <c r="B7033">
        <f>IF(Calc!$B7033,INDEX(MineNames,Calc!C7033),"")</f>
        <v/>
      </c>
      <c r="C7033" s="17">
        <f>IF(Calc!$B7033,Calc!O7033,"")</f>
        <v/>
      </c>
    </row>
    <row r="7034">
      <c r="A7034" s="16">
        <f>IF(Calc!$B7034,Calc!E7034,"")</f>
        <v/>
      </c>
      <c r="B7034">
        <f>IF(Calc!$B7034,INDEX(MineNames,Calc!C7034),"")</f>
        <v/>
      </c>
      <c r="C7034" s="17">
        <f>IF(Calc!$B7034,Calc!O7034,"")</f>
        <v/>
      </c>
    </row>
    <row r="7035">
      <c r="A7035" s="16">
        <f>IF(Calc!$B7035,Calc!E7035,"")</f>
        <v/>
      </c>
      <c r="B7035">
        <f>IF(Calc!$B7035,INDEX(MineNames,Calc!C7035),"")</f>
        <v/>
      </c>
      <c r="C7035" s="17">
        <f>IF(Calc!$B7035,Calc!O7035,"")</f>
        <v/>
      </c>
    </row>
    <row r="7036">
      <c r="A7036" s="16">
        <f>IF(Calc!$B7036,Calc!E7036,"")</f>
        <v/>
      </c>
      <c r="B7036">
        <f>IF(Calc!$B7036,INDEX(MineNames,Calc!C7036),"")</f>
        <v/>
      </c>
      <c r="C7036" s="17">
        <f>IF(Calc!$B7036,Calc!O7036,"")</f>
        <v/>
      </c>
    </row>
    <row r="7037">
      <c r="A7037" s="16">
        <f>IF(Calc!$B7037,Calc!E7037,"")</f>
        <v/>
      </c>
      <c r="B7037">
        <f>IF(Calc!$B7037,INDEX(MineNames,Calc!C7037),"")</f>
        <v/>
      </c>
      <c r="C7037" s="17">
        <f>IF(Calc!$B7037,Calc!O7037,"")</f>
        <v/>
      </c>
    </row>
    <row r="7038">
      <c r="A7038" s="16">
        <f>IF(Calc!$B7038,Calc!E7038,"")</f>
        <v/>
      </c>
      <c r="B7038">
        <f>IF(Calc!$B7038,INDEX(MineNames,Calc!C7038),"")</f>
        <v/>
      </c>
      <c r="C7038" s="17">
        <f>IF(Calc!$B7038,Calc!O7038,"")</f>
        <v/>
      </c>
    </row>
    <row r="7039">
      <c r="A7039" s="16">
        <f>IF(Calc!$B7039,Calc!E7039,"")</f>
        <v/>
      </c>
      <c r="B7039">
        <f>IF(Calc!$B7039,INDEX(MineNames,Calc!C7039),"")</f>
        <v/>
      </c>
      <c r="C7039" s="17">
        <f>IF(Calc!$B7039,Calc!O7039,"")</f>
        <v/>
      </c>
    </row>
    <row r="7040">
      <c r="A7040" s="16">
        <f>IF(Calc!$B7040,Calc!E7040,"")</f>
        <v/>
      </c>
      <c r="B7040">
        <f>IF(Calc!$B7040,INDEX(MineNames,Calc!C7040),"")</f>
        <v/>
      </c>
      <c r="C7040" s="17">
        <f>IF(Calc!$B7040,Calc!O7040,"")</f>
        <v/>
      </c>
    </row>
    <row r="7041">
      <c r="A7041" s="16">
        <f>IF(Calc!$B7041,Calc!E7041,"")</f>
        <v/>
      </c>
      <c r="B7041">
        <f>IF(Calc!$B7041,INDEX(MineNames,Calc!C7041),"")</f>
        <v/>
      </c>
      <c r="C7041" s="17">
        <f>IF(Calc!$B7041,Calc!O7041,"")</f>
        <v/>
      </c>
    </row>
    <row r="7042">
      <c r="A7042" s="16">
        <f>IF(Calc!$B7042,Calc!E7042,"")</f>
        <v/>
      </c>
      <c r="B7042">
        <f>IF(Calc!$B7042,INDEX(MineNames,Calc!C7042),"")</f>
        <v/>
      </c>
      <c r="C7042" s="17">
        <f>IF(Calc!$B7042,Calc!O7042,"")</f>
        <v/>
      </c>
    </row>
    <row r="7043">
      <c r="A7043" s="16">
        <f>IF(Calc!$B7043,Calc!E7043,"")</f>
        <v/>
      </c>
      <c r="B7043">
        <f>IF(Calc!$B7043,INDEX(MineNames,Calc!C7043),"")</f>
        <v/>
      </c>
      <c r="C7043" s="17">
        <f>IF(Calc!$B7043,Calc!O7043,"")</f>
        <v/>
      </c>
    </row>
    <row r="7044">
      <c r="A7044" s="16">
        <f>IF(Calc!$B7044,Calc!E7044,"")</f>
        <v/>
      </c>
      <c r="B7044">
        <f>IF(Calc!$B7044,INDEX(MineNames,Calc!C7044),"")</f>
        <v/>
      </c>
      <c r="C7044" s="17">
        <f>IF(Calc!$B7044,Calc!O7044,"")</f>
        <v/>
      </c>
    </row>
    <row r="7045">
      <c r="A7045" s="16">
        <f>IF(Calc!$B7045,Calc!E7045,"")</f>
        <v/>
      </c>
      <c r="B7045">
        <f>IF(Calc!$B7045,INDEX(MineNames,Calc!C7045),"")</f>
        <v/>
      </c>
      <c r="C7045" s="17">
        <f>IF(Calc!$B7045,Calc!O7045,"")</f>
        <v/>
      </c>
    </row>
    <row r="7046">
      <c r="A7046" s="16">
        <f>IF(Calc!$B7046,Calc!E7046,"")</f>
        <v/>
      </c>
      <c r="B7046">
        <f>IF(Calc!$B7046,INDEX(MineNames,Calc!C7046),"")</f>
        <v/>
      </c>
      <c r="C7046" s="17">
        <f>IF(Calc!$B7046,Calc!O7046,"")</f>
        <v/>
      </c>
    </row>
    <row r="7047">
      <c r="A7047" s="16">
        <f>IF(Calc!$B7047,Calc!E7047,"")</f>
        <v/>
      </c>
      <c r="B7047">
        <f>IF(Calc!$B7047,INDEX(MineNames,Calc!C7047),"")</f>
        <v/>
      </c>
      <c r="C7047" s="17">
        <f>IF(Calc!$B7047,Calc!O7047,"")</f>
        <v/>
      </c>
    </row>
    <row r="7048">
      <c r="A7048" s="16">
        <f>IF(Calc!$B7048,Calc!E7048,"")</f>
        <v/>
      </c>
      <c r="B7048">
        <f>IF(Calc!$B7048,INDEX(MineNames,Calc!C7048),"")</f>
        <v/>
      </c>
      <c r="C7048" s="17">
        <f>IF(Calc!$B7048,Calc!O7048,"")</f>
        <v/>
      </c>
    </row>
    <row r="7049">
      <c r="A7049" s="16">
        <f>IF(Calc!$B7049,Calc!E7049,"")</f>
        <v/>
      </c>
      <c r="B7049">
        <f>IF(Calc!$B7049,INDEX(MineNames,Calc!C7049),"")</f>
        <v/>
      </c>
      <c r="C7049" s="17">
        <f>IF(Calc!$B7049,Calc!O7049,"")</f>
        <v/>
      </c>
    </row>
    <row r="7050">
      <c r="A7050" s="16">
        <f>IF(Calc!$B7050,Calc!E7050,"")</f>
        <v/>
      </c>
      <c r="B7050">
        <f>IF(Calc!$B7050,INDEX(MineNames,Calc!C7050),"")</f>
        <v/>
      </c>
      <c r="C7050" s="17">
        <f>IF(Calc!$B7050,Calc!O7050,"")</f>
        <v/>
      </c>
    </row>
    <row r="7051">
      <c r="A7051" s="16">
        <f>IF(Calc!$B7051,Calc!E7051,"")</f>
        <v/>
      </c>
      <c r="B7051">
        <f>IF(Calc!$B7051,INDEX(MineNames,Calc!C7051),"")</f>
        <v/>
      </c>
      <c r="C7051" s="17">
        <f>IF(Calc!$B7051,Calc!O7051,"")</f>
        <v/>
      </c>
    </row>
    <row r="7052">
      <c r="A7052" s="16">
        <f>IF(Calc!$B7052,Calc!E7052,"")</f>
        <v/>
      </c>
      <c r="B7052">
        <f>IF(Calc!$B7052,INDEX(MineNames,Calc!C7052),"")</f>
        <v/>
      </c>
      <c r="C7052" s="17">
        <f>IF(Calc!$B7052,Calc!O7052,"")</f>
        <v/>
      </c>
    </row>
    <row r="7053">
      <c r="A7053" s="16">
        <f>IF(Calc!$B7053,Calc!E7053,"")</f>
        <v/>
      </c>
      <c r="B7053">
        <f>IF(Calc!$B7053,INDEX(MineNames,Calc!C7053),"")</f>
        <v/>
      </c>
      <c r="C7053" s="17">
        <f>IF(Calc!$B7053,Calc!O7053,"")</f>
        <v/>
      </c>
    </row>
    <row r="7054">
      <c r="A7054" s="16">
        <f>IF(Calc!$B7054,Calc!E7054,"")</f>
        <v/>
      </c>
      <c r="B7054">
        <f>IF(Calc!$B7054,INDEX(MineNames,Calc!C7054),"")</f>
        <v/>
      </c>
      <c r="C7054" s="17">
        <f>IF(Calc!$B7054,Calc!O7054,"")</f>
        <v/>
      </c>
    </row>
    <row r="7055">
      <c r="A7055" s="16">
        <f>IF(Calc!$B7055,Calc!E7055,"")</f>
        <v/>
      </c>
      <c r="B7055">
        <f>IF(Calc!$B7055,INDEX(MineNames,Calc!C7055),"")</f>
        <v/>
      </c>
      <c r="C7055" s="17">
        <f>IF(Calc!$B7055,Calc!O7055,"")</f>
        <v/>
      </c>
    </row>
    <row r="7056">
      <c r="A7056" s="16">
        <f>IF(Calc!$B7056,Calc!E7056,"")</f>
        <v/>
      </c>
      <c r="B7056">
        <f>IF(Calc!$B7056,INDEX(MineNames,Calc!C7056),"")</f>
        <v/>
      </c>
      <c r="C7056" s="17">
        <f>IF(Calc!$B7056,Calc!O7056,"")</f>
        <v/>
      </c>
    </row>
    <row r="7057">
      <c r="A7057" s="16">
        <f>IF(Calc!$B7057,Calc!E7057,"")</f>
        <v/>
      </c>
      <c r="B7057">
        <f>IF(Calc!$B7057,INDEX(MineNames,Calc!C7057),"")</f>
        <v/>
      </c>
      <c r="C7057" s="17">
        <f>IF(Calc!$B7057,Calc!O7057,"")</f>
        <v/>
      </c>
    </row>
    <row r="7058">
      <c r="A7058" s="16">
        <f>IF(Calc!$B7058,Calc!E7058,"")</f>
        <v/>
      </c>
      <c r="B7058">
        <f>IF(Calc!$B7058,INDEX(MineNames,Calc!C7058),"")</f>
        <v/>
      </c>
      <c r="C7058" s="17">
        <f>IF(Calc!$B7058,Calc!O7058,"")</f>
        <v/>
      </c>
    </row>
    <row r="7059">
      <c r="A7059" s="16">
        <f>IF(Calc!$B7059,Calc!E7059,"")</f>
        <v/>
      </c>
      <c r="B7059">
        <f>IF(Calc!$B7059,INDEX(MineNames,Calc!C7059),"")</f>
        <v/>
      </c>
      <c r="C7059" s="17">
        <f>IF(Calc!$B7059,Calc!O7059,"")</f>
        <v/>
      </c>
    </row>
    <row r="7060">
      <c r="A7060" s="16">
        <f>IF(Calc!$B7060,Calc!E7060,"")</f>
        <v/>
      </c>
      <c r="B7060">
        <f>IF(Calc!$B7060,INDEX(MineNames,Calc!C7060),"")</f>
        <v/>
      </c>
      <c r="C7060" s="17">
        <f>IF(Calc!$B7060,Calc!O7060,"")</f>
        <v/>
      </c>
    </row>
    <row r="7061">
      <c r="A7061" s="16">
        <f>IF(Calc!$B7061,Calc!E7061,"")</f>
        <v/>
      </c>
      <c r="B7061">
        <f>IF(Calc!$B7061,INDEX(MineNames,Calc!C7061),"")</f>
        <v/>
      </c>
      <c r="C7061" s="17">
        <f>IF(Calc!$B7061,Calc!O7061,"")</f>
        <v/>
      </c>
    </row>
    <row r="7062">
      <c r="A7062" s="16">
        <f>IF(Calc!$B7062,Calc!E7062,"")</f>
        <v/>
      </c>
      <c r="B7062">
        <f>IF(Calc!$B7062,INDEX(MineNames,Calc!C7062),"")</f>
        <v/>
      </c>
      <c r="C7062" s="17">
        <f>IF(Calc!$B7062,Calc!O7062,"")</f>
        <v/>
      </c>
    </row>
    <row r="7063">
      <c r="A7063" s="16">
        <f>IF(Calc!$B7063,Calc!E7063,"")</f>
        <v/>
      </c>
      <c r="B7063">
        <f>IF(Calc!$B7063,INDEX(MineNames,Calc!C7063),"")</f>
        <v/>
      </c>
      <c r="C7063" s="17">
        <f>IF(Calc!$B7063,Calc!O7063,"")</f>
        <v/>
      </c>
    </row>
    <row r="7064">
      <c r="A7064" s="16">
        <f>IF(Calc!$B7064,Calc!E7064,"")</f>
        <v/>
      </c>
      <c r="B7064">
        <f>IF(Calc!$B7064,INDEX(MineNames,Calc!C7064),"")</f>
        <v/>
      </c>
      <c r="C7064" s="17">
        <f>IF(Calc!$B7064,Calc!O7064,"")</f>
        <v/>
      </c>
    </row>
    <row r="7065">
      <c r="A7065" s="16">
        <f>IF(Calc!$B7065,Calc!E7065,"")</f>
        <v/>
      </c>
      <c r="B7065">
        <f>IF(Calc!$B7065,INDEX(MineNames,Calc!C7065),"")</f>
        <v/>
      </c>
      <c r="C7065" s="17">
        <f>IF(Calc!$B7065,Calc!O7065,"")</f>
        <v/>
      </c>
    </row>
    <row r="7066">
      <c r="A7066" s="16">
        <f>IF(Calc!$B7066,Calc!E7066,"")</f>
        <v/>
      </c>
      <c r="B7066">
        <f>IF(Calc!$B7066,INDEX(MineNames,Calc!C7066),"")</f>
        <v/>
      </c>
      <c r="C7066" s="17">
        <f>IF(Calc!$B7066,Calc!O7066,"")</f>
        <v/>
      </c>
    </row>
    <row r="7067">
      <c r="A7067" s="16">
        <f>IF(Calc!$B7067,Calc!E7067,"")</f>
        <v/>
      </c>
      <c r="B7067">
        <f>IF(Calc!$B7067,INDEX(MineNames,Calc!C7067),"")</f>
        <v/>
      </c>
      <c r="C7067" s="17">
        <f>IF(Calc!$B7067,Calc!O7067,"")</f>
        <v/>
      </c>
    </row>
    <row r="7068">
      <c r="A7068" s="16">
        <f>IF(Calc!$B7068,Calc!E7068,"")</f>
        <v/>
      </c>
      <c r="B7068">
        <f>IF(Calc!$B7068,INDEX(MineNames,Calc!C7068),"")</f>
        <v/>
      </c>
      <c r="C7068" s="17">
        <f>IF(Calc!$B7068,Calc!O7068,"")</f>
        <v/>
      </c>
    </row>
    <row r="7069">
      <c r="A7069" s="16">
        <f>IF(Calc!$B7069,Calc!E7069,"")</f>
        <v/>
      </c>
      <c r="B7069">
        <f>IF(Calc!$B7069,INDEX(MineNames,Calc!C7069),"")</f>
        <v/>
      </c>
      <c r="C7069" s="17">
        <f>IF(Calc!$B7069,Calc!O7069,"")</f>
        <v/>
      </c>
    </row>
    <row r="7070">
      <c r="A7070" s="16">
        <f>IF(Calc!$B7070,Calc!E7070,"")</f>
        <v/>
      </c>
      <c r="B7070">
        <f>IF(Calc!$B7070,INDEX(MineNames,Calc!C7070),"")</f>
        <v/>
      </c>
      <c r="C7070" s="17">
        <f>IF(Calc!$B7070,Calc!O7070,"")</f>
        <v/>
      </c>
    </row>
    <row r="7071">
      <c r="A7071" s="16">
        <f>IF(Calc!$B7071,Calc!E7071,"")</f>
        <v/>
      </c>
      <c r="B7071">
        <f>IF(Calc!$B7071,INDEX(MineNames,Calc!C7071),"")</f>
        <v/>
      </c>
      <c r="C7071" s="17">
        <f>IF(Calc!$B7071,Calc!O7071,"")</f>
        <v/>
      </c>
    </row>
    <row r="7072">
      <c r="A7072" s="16">
        <f>IF(Calc!$B7072,Calc!E7072,"")</f>
        <v/>
      </c>
      <c r="B7072">
        <f>IF(Calc!$B7072,INDEX(MineNames,Calc!C7072),"")</f>
        <v/>
      </c>
      <c r="C7072" s="17">
        <f>IF(Calc!$B7072,Calc!O7072,"")</f>
        <v/>
      </c>
    </row>
    <row r="7073">
      <c r="A7073" s="16">
        <f>IF(Calc!$B7073,Calc!E7073,"")</f>
        <v/>
      </c>
      <c r="B7073">
        <f>IF(Calc!$B7073,INDEX(MineNames,Calc!C7073),"")</f>
        <v/>
      </c>
      <c r="C7073" s="17">
        <f>IF(Calc!$B7073,Calc!O7073,"")</f>
        <v/>
      </c>
    </row>
    <row r="7074">
      <c r="A7074" s="16">
        <f>IF(Calc!$B7074,Calc!E7074,"")</f>
        <v/>
      </c>
      <c r="B7074">
        <f>IF(Calc!$B7074,INDEX(MineNames,Calc!C7074),"")</f>
        <v/>
      </c>
      <c r="C7074" s="17">
        <f>IF(Calc!$B7074,Calc!O7074,"")</f>
        <v/>
      </c>
    </row>
    <row r="7075">
      <c r="A7075" s="16">
        <f>IF(Calc!$B7075,Calc!E7075,"")</f>
        <v/>
      </c>
      <c r="B7075">
        <f>IF(Calc!$B7075,INDEX(MineNames,Calc!C7075),"")</f>
        <v/>
      </c>
      <c r="C7075" s="17">
        <f>IF(Calc!$B7075,Calc!O7075,"")</f>
        <v/>
      </c>
    </row>
    <row r="7076">
      <c r="A7076" s="16">
        <f>IF(Calc!$B7076,Calc!E7076,"")</f>
        <v/>
      </c>
      <c r="B7076">
        <f>IF(Calc!$B7076,INDEX(MineNames,Calc!C7076),"")</f>
        <v/>
      </c>
      <c r="C7076" s="17">
        <f>IF(Calc!$B7076,Calc!O7076,"")</f>
        <v/>
      </c>
    </row>
    <row r="7077">
      <c r="A7077" s="16">
        <f>IF(Calc!$B7077,Calc!E7077,"")</f>
        <v/>
      </c>
      <c r="B7077">
        <f>IF(Calc!$B7077,INDEX(MineNames,Calc!C7077),"")</f>
        <v/>
      </c>
      <c r="C7077" s="17">
        <f>IF(Calc!$B7077,Calc!O7077,"")</f>
        <v/>
      </c>
    </row>
    <row r="7078">
      <c r="A7078" s="16">
        <f>IF(Calc!$B7078,Calc!E7078,"")</f>
        <v/>
      </c>
      <c r="B7078">
        <f>IF(Calc!$B7078,INDEX(MineNames,Calc!C7078),"")</f>
        <v/>
      </c>
      <c r="C7078" s="17">
        <f>IF(Calc!$B7078,Calc!O7078,"")</f>
        <v/>
      </c>
    </row>
    <row r="7079">
      <c r="A7079" s="16">
        <f>IF(Calc!$B7079,Calc!E7079,"")</f>
        <v/>
      </c>
      <c r="B7079">
        <f>IF(Calc!$B7079,INDEX(MineNames,Calc!C7079),"")</f>
        <v/>
      </c>
      <c r="C7079" s="17">
        <f>IF(Calc!$B7079,Calc!O7079,"")</f>
        <v/>
      </c>
    </row>
    <row r="7080">
      <c r="A7080" s="16">
        <f>IF(Calc!$B7080,Calc!E7080,"")</f>
        <v/>
      </c>
      <c r="B7080">
        <f>IF(Calc!$B7080,INDEX(MineNames,Calc!C7080),"")</f>
        <v/>
      </c>
      <c r="C7080" s="17">
        <f>IF(Calc!$B7080,Calc!O7080,"")</f>
        <v/>
      </c>
    </row>
    <row r="7081">
      <c r="A7081" s="16">
        <f>IF(Calc!$B7081,Calc!E7081,"")</f>
        <v/>
      </c>
      <c r="B7081">
        <f>IF(Calc!$B7081,INDEX(MineNames,Calc!C7081),"")</f>
        <v/>
      </c>
      <c r="C7081" s="17">
        <f>IF(Calc!$B7081,Calc!O7081,"")</f>
        <v/>
      </c>
    </row>
    <row r="7082">
      <c r="A7082" s="16">
        <f>IF(Calc!$B7082,Calc!E7082,"")</f>
        <v/>
      </c>
      <c r="B7082">
        <f>IF(Calc!$B7082,INDEX(MineNames,Calc!C7082),"")</f>
        <v/>
      </c>
      <c r="C7082" s="17">
        <f>IF(Calc!$B7082,Calc!O7082,"")</f>
        <v/>
      </c>
    </row>
    <row r="7083">
      <c r="A7083" s="16">
        <f>IF(Calc!$B7083,Calc!E7083,"")</f>
        <v/>
      </c>
      <c r="B7083">
        <f>IF(Calc!$B7083,INDEX(MineNames,Calc!C7083),"")</f>
        <v/>
      </c>
      <c r="C7083" s="17">
        <f>IF(Calc!$B7083,Calc!O7083,"")</f>
        <v/>
      </c>
    </row>
    <row r="7084">
      <c r="A7084" s="16">
        <f>IF(Calc!$B7084,Calc!E7084,"")</f>
        <v/>
      </c>
      <c r="B7084">
        <f>IF(Calc!$B7084,INDEX(MineNames,Calc!C7084),"")</f>
        <v/>
      </c>
      <c r="C7084" s="17">
        <f>IF(Calc!$B7084,Calc!O7084,"")</f>
        <v/>
      </c>
    </row>
    <row r="7085">
      <c r="A7085" s="16">
        <f>IF(Calc!$B7085,Calc!E7085,"")</f>
        <v/>
      </c>
      <c r="B7085">
        <f>IF(Calc!$B7085,INDEX(MineNames,Calc!C7085),"")</f>
        <v/>
      </c>
      <c r="C7085" s="17">
        <f>IF(Calc!$B7085,Calc!O7085,"")</f>
        <v/>
      </c>
    </row>
    <row r="7086">
      <c r="A7086" s="16">
        <f>IF(Calc!$B7086,Calc!E7086,"")</f>
        <v/>
      </c>
      <c r="B7086">
        <f>IF(Calc!$B7086,INDEX(MineNames,Calc!C7086),"")</f>
        <v/>
      </c>
      <c r="C7086" s="17">
        <f>IF(Calc!$B7086,Calc!O7086,"")</f>
        <v/>
      </c>
    </row>
    <row r="7087">
      <c r="A7087" s="16">
        <f>IF(Calc!$B7087,Calc!E7087,"")</f>
        <v/>
      </c>
      <c r="B7087">
        <f>IF(Calc!$B7087,INDEX(MineNames,Calc!C7087),"")</f>
        <v/>
      </c>
      <c r="C7087" s="17">
        <f>IF(Calc!$B7087,Calc!O7087,"")</f>
        <v/>
      </c>
    </row>
    <row r="7088">
      <c r="A7088" s="16">
        <f>IF(Calc!$B7088,Calc!E7088,"")</f>
        <v/>
      </c>
      <c r="B7088">
        <f>IF(Calc!$B7088,INDEX(MineNames,Calc!C7088),"")</f>
        <v/>
      </c>
      <c r="C7088" s="17">
        <f>IF(Calc!$B7088,Calc!O7088,"")</f>
        <v/>
      </c>
    </row>
    <row r="7089">
      <c r="A7089" s="16">
        <f>IF(Calc!$B7089,Calc!E7089,"")</f>
        <v/>
      </c>
      <c r="B7089">
        <f>IF(Calc!$B7089,INDEX(MineNames,Calc!C7089),"")</f>
        <v/>
      </c>
      <c r="C7089" s="17">
        <f>IF(Calc!$B7089,Calc!O7089,"")</f>
        <v/>
      </c>
    </row>
    <row r="7090">
      <c r="A7090" s="16">
        <f>IF(Calc!$B7090,Calc!E7090,"")</f>
        <v/>
      </c>
      <c r="B7090">
        <f>IF(Calc!$B7090,INDEX(MineNames,Calc!C7090),"")</f>
        <v/>
      </c>
      <c r="C7090" s="17">
        <f>IF(Calc!$B7090,Calc!O7090,"")</f>
        <v/>
      </c>
    </row>
    <row r="7091">
      <c r="A7091" s="16">
        <f>IF(Calc!$B7091,Calc!E7091,"")</f>
        <v/>
      </c>
      <c r="B7091">
        <f>IF(Calc!$B7091,INDEX(MineNames,Calc!C7091),"")</f>
        <v/>
      </c>
      <c r="C7091" s="17">
        <f>IF(Calc!$B7091,Calc!O7091,"")</f>
        <v/>
      </c>
    </row>
    <row r="7092">
      <c r="A7092" s="16">
        <f>IF(Calc!$B7092,Calc!E7092,"")</f>
        <v/>
      </c>
      <c r="B7092">
        <f>IF(Calc!$B7092,INDEX(MineNames,Calc!C7092),"")</f>
        <v/>
      </c>
      <c r="C7092" s="17">
        <f>IF(Calc!$B7092,Calc!O7092,"")</f>
        <v/>
      </c>
    </row>
    <row r="7093">
      <c r="A7093" s="16">
        <f>IF(Calc!$B7093,Calc!E7093,"")</f>
        <v/>
      </c>
      <c r="B7093">
        <f>IF(Calc!$B7093,INDEX(MineNames,Calc!C7093),"")</f>
        <v/>
      </c>
      <c r="C7093" s="17">
        <f>IF(Calc!$B7093,Calc!O7093,"")</f>
        <v/>
      </c>
    </row>
    <row r="7094">
      <c r="A7094" s="16">
        <f>IF(Calc!$B7094,Calc!E7094,"")</f>
        <v/>
      </c>
      <c r="B7094">
        <f>IF(Calc!$B7094,INDEX(MineNames,Calc!C7094),"")</f>
        <v/>
      </c>
      <c r="C7094" s="17">
        <f>IF(Calc!$B7094,Calc!O7094,"")</f>
        <v/>
      </c>
    </row>
    <row r="7095">
      <c r="A7095" s="16">
        <f>IF(Calc!$B7095,Calc!E7095,"")</f>
        <v/>
      </c>
      <c r="B7095">
        <f>IF(Calc!$B7095,INDEX(MineNames,Calc!C7095),"")</f>
        <v/>
      </c>
      <c r="C7095" s="17">
        <f>IF(Calc!$B7095,Calc!O7095,"")</f>
        <v/>
      </c>
    </row>
    <row r="7096">
      <c r="A7096" s="16">
        <f>IF(Calc!$B7096,Calc!E7096,"")</f>
        <v/>
      </c>
      <c r="B7096">
        <f>IF(Calc!$B7096,INDEX(MineNames,Calc!C7096),"")</f>
        <v/>
      </c>
      <c r="C7096" s="17">
        <f>IF(Calc!$B7096,Calc!O7096,"")</f>
        <v/>
      </c>
    </row>
    <row r="7097">
      <c r="A7097" s="16">
        <f>IF(Calc!$B7097,Calc!E7097,"")</f>
        <v/>
      </c>
      <c r="B7097">
        <f>IF(Calc!$B7097,INDEX(MineNames,Calc!C7097),"")</f>
        <v/>
      </c>
      <c r="C7097" s="17">
        <f>IF(Calc!$B7097,Calc!O7097,"")</f>
        <v/>
      </c>
    </row>
    <row r="7098">
      <c r="A7098" s="16">
        <f>IF(Calc!$B7098,Calc!E7098,"")</f>
        <v/>
      </c>
      <c r="B7098">
        <f>IF(Calc!$B7098,INDEX(MineNames,Calc!C7098),"")</f>
        <v/>
      </c>
      <c r="C7098" s="17">
        <f>IF(Calc!$B7098,Calc!O7098,"")</f>
        <v/>
      </c>
    </row>
    <row r="7099">
      <c r="A7099" s="16">
        <f>IF(Calc!$B7099,Calc!E7099,"")</f>
        <v/>
      </c>
      <c r="B7099">
        <f>IF(Calc!$B7099,INDEX(MineNames,Calc!C7099),"")</f>
        <v/>
      </c>
      <c r="C7099" s="17">
        <f>IF(Calc!$B7099,Calc!O7099,"")</f>
        <v/>
      </c>
    </row>
    <row r="7100">
      <c r="A7100" s="16">
        <f>IF(Calc!$B7100,Calc!E7100,"")</f>
        <v/>
      </c>
      <c r="B7100">
        <f>IF(Calc!$B7100,INDEX(MineNames,Calc!C7100),"")</f>
        <v/>
      </c>
      <c r="C7100" s="17">
        <f>IF(Calc!$B7100,Calc!O7100,"")</f>
        <v/>
      </c>
    </row>
    <row r="7101">
      <c r="A7101" s="16">
        <f>IF(Calc!$B7101,Calc!E7101,"")</f>
        <v/>
      </c>
      <c r="B7101">
        <f>IF(Calc!$B7101,INDEX(MineNames,Calc!C7101),"")</f>
        <v/>
      </c>
      <c r="C7101" s="17">
        <f>IF(Calc!$B7101,Calc!O7101,"")</f>
        <v/>
      </c>
    </row>
    <row r="7102">
      <c r="A7102" s="16">
        <f>IF(Calc!$B7102,Calc!E7102,"")</f>
        <v/>
      </c>
      <c r="B7102">
        <f>IF(Calc!$B7102,INDEX(MineNames,Calc!C7102),"")</f>
        <v/>
      </c>
      <c r="C7102" s="17">
        <f>IF(Calc!$B7102,Calc!O7102,"")</f>
        <v/>
      </c>
    </row>
    <row r="7103">
      <c r="A7103" s="16">
        <f>IF(Calc!$B7103,Calc!E7103,"")</f>
        <v/>
      </c>
      <c r="B7103">
        <f>IF(Calc!$B7103,INDEX(MineNames,Calc!C7103),"")</f>
        <v/>
      </c>
      <c r="C7103" s="17">
        <f>IF(Calc!$B7103,Calc!O7103,"")</f>
        <v/>
      </c>
    </row>
    <row r="7104">
      <c r="A7104" s="16">
        <f>IF(Calc!$B7104,Calc!E7104,"")</f>
        <v/>
      </c>
      <c r="B7104">
        <f>IF(Calc!$B7104,INDEX(MineNames,Calc!C7104),"")</f>
        <v/>
      </c>
      <c r="C7104" s="17">
        <f>IF(Calc!$B7104,Calc!O7104,"")</f>
        <v/>
      </c>
    </row>
    <row r="7105">
      <c r="A7105" s="16">
        <f>IF(Calc!$B7105,Calc!E7105,"")</f>
        <v/>
      </c>
      <c r="B7105">
        <f>IF(Calc!$B7105,INDEX(MineNames,Calc!C7105),"")</f>
        <v/>
      </c>
      <c r="C7105" s="17">
        <f>IF(Calc!$B7105,Calc!O7105,"")</f>
        <v/>
      </c>
    </row>
    <row r="7106">
      <c r="A7106" s="16">
        <f>IF(Calc!$B7106,Calc!E7106,"")</f>
        <v/>
      </c>
      <c r="B7106">
        <f>IF(Calc!$B7106,INDEX(MineNames,Calc!C7106),"")</f>
        <v/>
      </c>
      <c r="C7106" s="17">
        <f>IF(Calc!$B7106,Calc!O7106,"")</f>
        <v/>
      </c>
    </row>
    <row r="7107">
      <c r="A7107" s="16">
        <f>IF(Calc!$B7107,Calc!E7107,"")</f>
        <v/>
      </c>
      <c r="B7107">
        <f>IF(Calc!$B7107,INDEX(MineNames,Calc!C7107),"")</f>
        <v/>
      </c>
      <c r="C7107" s="17">
        <f>IF(Calc!$B7107,Calc!O7107,"")</f>
        <v/>
      </c>
    </row>
    <row r="7108">
      <c r="A7108" s="16">
        <f>IF(Calc!$B7108,Calc!E7108,"")</f>
        <v/>
      </c>
      <c r="B7108">
        <f>IF(Calc!$B7108,INDEX(MineNames,Calc!C7108),"")</f>
        <v/>
      </c>
      <c r="C7108" s="17">
        <f>IF(Calc!$B7108,Calc!O7108,"")</f>
        <v/>
      </c>
    </row>
    <row r="7109">
      <c r="A7109" s="16">
        <f>IF(Calc!$B7109,Calc!E7109,"")</f>
        <v/>
      </c>
      <c r="B7109">
        <f>IF(Calc!$B7109,INDEX(MineNames,Calc!C7109),"")</f>
        <v/>
      </c>
      <c r="C7109" s="17">
        <f>IF(Calc!$B7109,Calc!O7109,"")</f>
        <v/>
      </c>
    </row>
    <row r="7110">
      <c r="A7110" s="16">
        <f>IF(Calc!$B7110,Calc!E7110,"")</f>
        <v/>
      </c>
      <c r="B7110">
        <f>IF(Calc!$B7110,INDEX(MineNames,Calc!C7110),"")</f>
        <v/>
      </c>
      <c r="C7110" s="17">
        <f>IF(Calc!$B7110,Calc!O7110,"")</f>
        <v/>
      </c>
    </row>
    <row r="7111">
      <c r="A7111" s="16">
        <f>IF(Calc!$B7111,Calc!E7111,"")</f>
        <v/>
      </c>
      <c r="B7111">
        <f>IF(Calc!$B7111,INDEX(MineNames,Calc!C7111),"")</f>
        <v/>
      </c>
      <c r="C7111" s="17">
        <f>IF(Calc!$B7111,Calc!O7111,"")</f>
        <v/>
      </c>
    </row>
    <row r="7112">
      <c r="A7112" s="16">
        <f>IF(Calc!$B7112,Calc!E7112,"")</f>
        <v/>
      </c>
      <c r="B7112">
        <f>IF(Calc!$B7112,INDEX(MineNames,Calc!C7112),"")</f>
        <v/>
      </c>
      <c r="C7112" s="17">
        <f>IF(Calc!$B7112,Calc!O7112,"")</f>
        <v/>
      </c>
    </row>
    <row r="7113">
      <c r="A7113" s="16">
        <f>IF(Calc!$B7113,Calc!E7113,"")</f>
        <v/>
      </c>
      <c r="B7113">
        <f>IF(Calc!$B7113,INDEX(MineNames,Calc!C7113),"")</f>
        <v/>
      </c>
      <c r="C7113" s="17">
        <f>IF(Calc!$B7113,Calc!O7113,"")</f>
        <v/>
      </c>
    </row>
    <row r="7114">
      <c r="A7114" s="16">
        <f>IF(Calc!$B7114,Calc!E7114,"")</f>
        <v/>
      </c>
      <c r="B7114">
        <f>IF(Calc!$B7114,INDEX(MineNames,Calc!C7114),"")</f>
        <v/>
      </c>
      <c r="C7114" s="17">
        <f>IF(Calc!$B7114,Calc!O7114,"")</f>
        <v/>
      </c>
    </row>
    <row r="7115">
      <c r="A7115" s="16">
        <f>IF(Calc!$B7115,Calc!E7115,"")</f>
        <v/>
      </c>
      <c r="B7115">
        <f>IF(Calc!$B7115,INDEX(MineNames,Calc!C7115),"")</f>
        <v/>
      </c>
      <c r="C7115" s="17">
        <f>IF(Calc!$B7115,Calc!O7115,"")</f>
        <v/>
      </c>
    </row>
    <row r="7116">
      <c r="A7116" s="16">
        <f>IF(Calc!$B7116,Calc!E7116,"")</f>
        <v/>
      </c>
      <c r="B7116">
        <f>IF(Calc!$B7116,INDEX(MineNames,Calc!C7116),"")</f>
        <v/>
      </c>
      <c r="C7116" s="17">
        <f>IF(Calc!$B7116,Calc!O7116,"")</f>
        <v/>
      </c>
    </row>
    <row r="7117">
      <c r="A7117" s="16">
        <f>IF(Calc!$B7117,Calc!E7117,"")</f>
        <v/>
      </c>
      <c r="B7117">
        <f>IF(Calc!$B7117,INDEX(MineNames,Calc!C7117),"")</f>
        <v/>
      </c>
      <c r="C7117" s="17">
        <f>IF(Calc!$B7117,Calc!O7117,"")</f>
        <v/>
      </c>
    </row>
    <row r="7118">
      <c r="A7118" s="16">
        <f>IF(Calc!$B7118,Calc!E7118,"")</f>
        <v/>
      </c>
      <c r="B7118">
        <f>IF(Calc!$B7118,INDEX(MineNames,Calc!C7118),"")</f>
        <v/>
      </c>
      <c r="C7118" s="17">
        <f>IF(Calc!$B7118,Calc!O7118,"")</f>
        <v/>
      </c>
    </row>
    <row r="7119">
      <c r="A7119" s="16">
        <f>IF(Calc!$B7119,Calc!E7119,"")</f>
        <v/>
      </c>
      <c r="B7119">
        <f>IF(Calc!$B7119,INDEX(MineNames,Calc!C7119),"")</f>
        <v/>
      </c>
      <c r="C7119" s="17">
        <f>IF(Calc!$B7119,Calc!O7119,"")</f>
        <v/>
      </c>
    </row>
    <row r="7120">
      <c r="A7120" s="16">
        <f>IF(Calc!$B7120,Calc!E7120,"")</f>
        <v/>
      </c>
      <c r="B7120">
        <f>IF(Calc!$B7120,INDEX(MineNames,Calc!C7120),"")</f>
        <v/>
      </c>
      <c r="C7120" s="17">
        <f>IF(Calc!$B7120,Calc!O7120,"")</f>
        <v/>
      </c>
    </row>
    <row r="7121">
      <c r="A7121" s="16">
        <f>IF(Calc!$B7121,Calc!E7121,"")</f>
        <v/>
      </c>
      <c r="B7121">
        <f>IF(Calc!$B7121,INDEX(MineNames,Calc!C7121),"")</f>
        <v/>
      </c>
      <c r="C7121" s="17">
        <f>IF(Calc!$B7121,Calc!O7121,"")</f>
        <v/>
      </c>
    </row>
    <row r="7122">
      <c r="A7122" s="16">
        <f>IF(Calc!$B7122,Calc!E7122,"")</f>
        <v/>
      </c>
      <c r="B7122">
        <f>IF(Calc!$B7122,INDEX(MineNames,Calc!C7122),"")</f>
        <v/>
      </c>
      <c r="C7122" s="17">
        <f>IF(Calc!$B7122,Calc!O7122,"")</f>
        <v/>
      </c>
    </row>
    <row r="7123">
      <c r="A7123" s="16">
        <f>IF(Calc!$B7123,Calc!E7123,"")</f>
        <v/>
      </c>
      <c r="B7123">
        <f>IF(Calc!$B7123,INDEX(MineNames,Calc!C7123),"")</f>
        <v/>
      </c>
      <c r="C7123" s="17">
        <f>IF(Calc!$B7123,Calc!O7123,"")</f>
        <v/>
      </c>
    </row>
    <row r="7124">
      <c r="A7124" s="16">
        <f>IF(Calc!$B7124,Calc!E7124,"")</f>
        <v/>
      </c>
      <c r="B7124">
        <f>IF(Calc!$B7124,INDEX(MineNames,Calc!C7124),"")</f>
        <v/>
      </c>
      <c r="C7124" s="17">
        <f>IF(Calc!$B7124,Calc!O7124,"")</f>
        <v/>
      </c>
    </row>
    <row r="7125">
      <c r="A7125" s="16">
        <f>IF(Calc!$B7125,Calc!E7125,"")</f>
        <v/>
      </c>
      <c r="B7125">
        <f>IF(Calc!$B7125,INDEX(MineNames,Calc!C7125),"")</f>
        <v/>
      </c>
      <c r="C7125" s="17">
        <f>IF(Calc!$B7125,Calc!O7125,"")</f>
        <v/>
      </c>
    </row>
    <row r="7126">
      <c r="A7126" s="16">
        <f>IF(Calc!$B7126,Calc!E7126,"")</f>
        <v/>
      </c>
      <c r="B7126">
        <f>IF(Calc!$B7126,INDEX(MineNames,Calc!C7126),"")</f>
        <v/>
      </c>
      <c r="C7126" s="17">
        <f>IF(Calc!$B7126,Calc!O7126,"")</f>
        <v/>
      </c>
    </row>
    <row r="7127">
      <c r="A7127" s="16">
        <f>IF(Calc!$B7127,Calc!E7127,"")</f>
        <v/>
      </c>
      <c r="B7127">
        <f>IF(Calc!$B7127,INDEX(MineNames,Calc!C7127),"")</f>
        <v/>
      </c>
      <c r="C7127" s="17">
        <f>IF(Calc!$B7127,Calc!O7127,"")</f>
        <v/>
      </c>
    </row>
    <row r="7128">
      <c r="A7128" s="16">
        <f>IF(Calc!$B7128,Calc!E7128,"")</f>
        <v/>
      </c>
      <c r="B7128">
        <f>IF(Calc!$B7128,INDEX(MineNames,Calc!C7128),"")</f>
        <v/>
      </c>
      <c r="C7128" s="17">
        <f>IF(Calc!$B7128,Calc!O7128,"")</f>
        <v/>
      </c>
    </row>
    <row r="7129">
      <c r="A7129" s="16">
        <f>IF(Calc!$B7129,Calc!E7129,"")</f>
        <v/>
      </c>
      <c r="B7129">
        <f>IF(Calc!$B7129,INDEX(MineNames,Calc!C7129),"")</f>
        <v/>
      </c>
      <c r="C7129" s="17">
        <f>IF(Calc!$B7129,Calc!O7129,"")</f>
        <v/>
      </c>
    </row>
    <row r="7130">
      <c r="A7130" s="16">
        <f>IF(Calc!$B7130,Calc!E7130,"")</f>
        <v/>
      </c>
      <c r="B7130">
        <f>IF(Calc!$B7130,INDEX(MineNames,Calc!C7130),"")</f>
        <v/>
      </c>
      <c r="C7130" s="17">
        <f>IF(Calc!$B7130,Calc!O7130,"")</f>
        <v/>
      </c>
    </row>
    <row r="7131">
      <c r="A7131" s="16">
        <f>IF(Calc!$B7131,Calc!E7131,"")</f>
        <v/>
      </c>
      <c r="B7131">
        <f>IF(Calc!$B7131,INDEX(MineNames,Calc!C7131),"")</f>
        <v/>
      </c>
      <c r="C7131" s="17">
        <f>IF(Calc!$B7131,Calc!O7131,"")</f>
        <v/>
      </c>
    </row>
    <row r="7132">
      <c r="A7132" s="16">
        <f>IF(Calc!$B7132,Calc!E7132,"")</f>
        <v/>
      </c>
      <c r="B7132">
        <f>IF(Calc!$B7132,INDEX(MineNames,Calc!C7132),"")</f>
        <v/>
      </c>
      <c r="C7132" s="17">
        <f>IF(Calc!$B7132,Calc!O7132,"")</f>
        <v/>
      </c>
    </row>
    <row r="7133">
      <c r="A7133" s="16">
        <f>IF(Calc!$B7133,Calc!E7133,"")</f>
        <v/>
      </c>
      <c r="B7133">
        <f>IF(Calc!$B7133,INDEX(MineNames,Calc!C7133),"")</f>
        <v/>
      </c>
      <c r="C7133" s="17">
        <f>IF(Calc!$B7133,Calc!O7133,"")</f>
        <v/>
      </c>
    </row>
    <row r="7134">
      <c r="A7134" s="16">
        <f>IF(Calc!$B7134,Calc!E7134,"")</f>
        <v/>
      </c>
      <c r="B7134">
        <f>IF(Calc!$B7134,INDEX(MineNames,Calc!C7134),"")</f>
        <v/>
      </c>
      <c r="C7134" s="17">
        <f>IF(Calc!$B7134,Calc!O7134,"")</f>
        <v/>
      </c>
    </row>
    <row r="7135">
      <c r="A7135" s="16">
        <f>IF(Calc!$B7135,Calc!E7135,"")</f>
        <v/>
      </c>
      <c r="B7135">
        <f>IF(Calc!$B7135,INDEX(MineNames,Calc!C7135),"")</f>
        <v/>
      </c>
      <c r="C7135" s="17">
        <f>IF(Calc!$B7135,Calc!O7135,"")</f>
        <v/>
      </c>
    </row>
    <row r="7136">
      <c r="A7136" s="16">
        <f>IF(Calc!$B7136,Calc!E7136,"")</f>
        <v/>
      </c>
      <c r="B7136">
        <f>IF(Calc!$B7136,INDEX(MineNames,Calc!C7136),"")</f>
        <v/>
      </c>
      <c r="C7136" s="17">
        <f>IF(Calc!$B7136,Calc!O7136,"")</f>
        <v/>
      </c>
    </row>
    <row r="7137">
      <c r="A7137" s="16">
        <f>IF(Calc!$B7137,Calc!E7137,"")</f>
        <v/>
      </c>
      <c r="B7137">
        <f>IF(Calc!$B7137,INDEX(MineNames,Calc!C7137),"")</f>
        <v/>
      </c>
      <c r="C7137" s="17">
        <f>IF(Calc!$B7137,Calc!O7137,"")</f>
        <v/>
      </c>
    </row>
    <row r="7138">
      <c r="A7138" s="16">
        <f>IF(Calc!$B7138,Calc!E7138,"")</f>
        <v/>
      </c>
      <c r="B7138">
        <f>IF(Calc!$B7138,INDEX(MineNames,Calc!C7138),"")</f>
        <v/>
      </c>
      <c r="C7138" s="17">
        <f>IF(Calc!$B7138,Calc!O7138,"")</f>
        <v/>
      </c>
    </row>
    <row r="7139">
      <c r="A7139" s="16">
        <f>IF(Calc!$B7139,Calc!E7139,"")</f>
        <v/>
      </c>
      <c r="B7139">
        <f>IF(Calc!$B7139,INDEX(MineNames,Calc!C7139),"")</f>
        <v/>
      </c>
      <c r="C7139" s="17">
        <f>IF(Calc!$B7139,Calc!O7139,"")</f>
        <v/>
      </c>
    </row>
    <row r="7140">
      <c r="A7140" s="16">
        <f>IF(Calc!$B7140,Calc!E7140,"")</f>
        <v/>
      </c>
      <c r="B7140">
        <f>IF(Calc!$B7140,INDEX(MineNames,Calc!C7140),"")</f>
        <v/>
      </c>
      <c r="C7140" s="17">
        <f>IF(Calc!$B7140,Calc!O7140,"")</f>
        <v/>
      </c>
    </row>
    <row r="7141">
      <c r="A7141" s="16">
        <f>IF(Calc!$B7141,Calc!E7141,"")</f>
        <v/>
      </c>
      <c r="B7141">
        <f>IF(Calc!$B7141,INDEX(MineNames,Calc!C7141),"")</f>
        <v/>
      </c>
      <c r="C7141" s="17">
        <f>IF(Calc!$B7141,Calc!O7141,"")</f>
        <v/>
      </c>
    </row>
    <row r="7142">
      <c r="A7142" s="16">
        <f>IF(Calc!$B7142,Calc!E7142,"")</f>
        <v/>
      </c>
      <c r="B7142">
        <f>IF(Calc!$B7142,INDEX(MineNames,Calc!C7142),"")</f>
        <v/>
      </c>
      <c r="C7142" s="17">
        <f>IF(Calc!$B7142,Calc!O7142,"")</f>
        <v/>
      </c>
    </row>
    <row r="7143">
      <c r="A7143" s="16">
        <f>IF(Calc!$B7143,Calc!E7143,"")</f>
        <v/>
      </c>
      <c r="B7143">
        <f>IF(Calc!$B7143,INDEX(MineNames,Calc!C7143),"")</f>
        <v/>
      </c>
      <c r="C7143" s="17">
        <f>IF(Calc!$B7143,Calc!O7143,"")</f>
        <v/>
      </c>
    </row>
    <row r="7144">
      <c r="A7144" s="16">
        <f>IF(Calc!$B7144,Calc!E7144,"")</f>
        <v/>
      </c>
      <c r="B7144">
        <f>IF(Calc!$B7144,INDEX(MineNames,Calc!C7144),"")</f>
        <v/>
      </c>
      <c r="C7144" s="17">
        <f>IF(Calc!$B7144,Calc!O7144,"")</f>
        <v/>
      </c>
    </row>
    <row r="7145">
      <c r="A7145" s="16">
        <f>IF(Calc!$B7145,Calc!E7145,"")</f>
        <v/>
      </c>
      <c r="B7145">
        <f>IF(Calc!$B7145,INDEX(MineNames,Calc!C7145),"")</f>
        <v/>
      </c>
      <c r="C7145" s="17">
        <f>IF(Calc!$B7145,Calc!O7145,"")</f>
        <v/>
      </c>
    </row>
    <row r="7146">
      <c r="A7146" s="16">
        <f>IF(Calc!$B7146,Calc!E7146,"")</f>
        <v/>
      </c>
      <c r="B7146">
        <f>IF(Calc!$B7146,INDEX(MineNames,Calc!C7146),"")</f>
        <v/>
      </c>
      <c r="C7146" s="17">
        <f>IF(Calc!$B7146,Calc!O7146,"")</f>
        <v/>
      </c>
    </row>
    <row r="7147">
      <c r="A7147" s="16">
        <f>IF(Calc!$B7147,Calc!E7147,"")</f>
        <v/>
      </c>
      <c r="B7147">
        <f>IF(Calc!$B7147,INDEX(MineNames,Calc!C7147),"")</f>
        <v/>
      </c>
      <c r="C7147" s="17">
        <f>IF(Calc!$B7147,Calc!O7147,"")</f>
        <v/>
      </c>
    </row>
    <row r="7148">
      <c r="A7148" s="16">
        <f>IF(Calc!$B7148,Calc!E7148,"")</f>
        <v/>
      </c>
      <c r="B7148">
        <f>IF(Calc!$B7148,INDEX(MineNames,Calc!C7148),"")</f>
        <v/>
      </c>
      <c r="C7148" s="17">
        <f>IF(Calc!$B7148,Calc!O7148,"")</f>
        <v/>
      </c>
    </row>
    <row r="7149">
      <c r="A7149" s="16">
        <f>IF(Calc!$B7149,Calc!E7149,"")</f>
        <v/>
      </c>
      <c r="B7149">
        <f>IF(Calc!$B7149,INDEX(MineNames,Calc!C7149),"")</f>
        <v/>
      </c>
      <c r="C7149" s="17">
        <f>IF(Calc!$B7149,Calc!O7149,"")</f>
        <v/>
      </c>
    </row>
    <row r="7150">
      <c r="A7150" s="16">
        <f>IF(Calc!$B7150,Calc!E7150,"")</f>
        <v/>
      </c>
      <c r="B7150">
        <f>IF(Calc!$B7150,INDEX(MineNames,Calc!C7150),"")</f>
        <v/>
      </c>
      <c r="C7150" s="17">
        <f>IF(Calc!$B7150,Calc!O7150,"")</f>
        <v/>
      </c>
    </row>
    <row r="7151">
      <c r="A7151" s="16">
        <f>IF(Calc!$B7151,Calc!E7151,"")</f>
        <v/>
      </c>
      <c r="B7151">
        <f>IF(Calc!$B7151,INDEX(MineNames,Calc!C7151),"")</f>
        <v/>
      </c>
      <c r="C7151" s="17">
        <f>IF(Calc!$B7151,Calc!O7151,"")</f>
        <v/>
      </c>
    </row>
    <row r="7152">
      <c r="A7152" s="16">
        <f>IF(Calc!$B7152,Calc!E7152,"")</f>
        <v/>
      </c>
      <c r="B7152">
        <f>IF(Calc!$B7152,INDEX(MineNames,Calc!C7152),"")</f>
        <v/>
      </c>
      <c r="C7152" s="17">
        <f>IF(Calc!$B7152,Calc!O7152,"")</f>
        <v/>
      </c>
    </row>
    <row r="7153">
      <c r="A7153" s="16">
        <f>IF(Calc!$B7153,Calc!E7153,"")</f>
        <v/>
      </c>
      <c r="B7153">
        <f>IF(Calc!$B7153,INDEX(MineNames,Calc!C7153),"")</f>
        <v/>
      </c>
      <c r="C7153" s="17">
        <f>IF(Calc!$B7153,Calc!O7153,"")</f>
        <v/>
      </c>
    </row>
    <row r="7154">
      <c r="A7154" s="16">
        <f>IF(Calc!$B7154,Calc!E7154,"")</f>
        <v/>
      </c>
      <c r="B7154">
        <f>IF(Calc!$B7154,INDEX(MineNames,Calc!C7154),"")</f>
        <v/>
      </c>
      <c r="C7154" s="17">
        <f>IF(Calc!$B7154,Calc!O7154,"")</f>
        <v/>
      </c>
    </row>
    <row r="7155">
      <c r="A7155" s="16">
        <f>IF(Calc!$B7155,Calc!E7155,"")</f>
        <v/>
      </c>
      <c r="B7155">
        <f>IF(Calc!$B7155,INDEX(MineNames,Calc!C7155),"")</f>
        <v/>
      </c>
      <c r="C7155" s="17">
        <f>IF(Calc!$B7155,Calc!O7155,"")</f>
        <v/>
      </c>
    </row>
    <row r="7156">
      <c r="A7156" s="16">
        <f>IF(Calc!$B7156,Calc!E7156,"")</f>
        <v/>
      </c>
      <c r="B7156">
        <f>IF(Calc!$B7156,INDEX(MineNames,Calc!C7156),"")</f>
        <v/>
      </c>
      <c r="C7156" s="17">
        <f>IF(Calc!$B7156,Calc!O7156,"")</f>
        <v/>
      </c>
    </row>
    <row r="7157">
      <c r="A7157" s="16">
        <f>IF(Calc!$B7157,Calc!E7157,"")</f>
        <v/>
      </c>
      <c r="B7157">
        <f>IF(Calc!$B7157,INDEX(MineNames,Calc!C7157),"")</f>
        <v/>
      </c>
      <c r="C7157" s="17">
        <f>IF(Calc!$B7157,Calc!O7157,"")</f>
        <v/>
      </c>
    </row>
    <row r="7158">
      <c r="A7158" s="16">
        <f>IF(Calc!$B7158,Calc!E7158,"")</f>
        <v/>
      </c>
      <c r="B7158">
        <f>IF(Calc!$B7158,INDEX(MineNames,Calc!C7158),"")</f>
        <v/>
      </c>
      <c r="C7158" s="17">
        <f>IF(Calc!$B7158,Calc!O7158,"")</f>
        <v/>
      </c>
    </row>
    <row r="7159">
      <c r="A7159" s="16">
        <f>IF(Calc!$B7159,Calc!E7159,"")</f>
        <v/>
      </c>
      <c r="B7159">
        <f>IF(Calc!$B7159,INDEX(MineNames,Calc!C7159),"")</f>
        <v/>
      </c>
      <c r="C7159" s="17">
        <f>IF(Calc!$B7159,Calc!O7159,"")</f>
        <v/>
      </c>
    </row>
    <row r="7160">
      <c r="A7160" s="16">
        <f>IF(Calc!$B7160,Calc!E7160,"")</f>
        <v/>
      </c>
      <c r="B7160">
        <f>IF(Calc!$B7160,INDEX(MineNames,Calc!C7160),"")</f>
        <v/>
      </c>
      <c r="C7160" s="17">
        <f>IF(Calc!$B7160,Calc!O7160,"")</f>
        <v/>
      </c>
    </row>
    <row r="7161">
      <c r="A7161" s="16">
        <f>IF(Calc!$B7161,Calc!E7161,"")</f>
        <v/>
      </c>
      <c r="B7161">
        <f>IF(Calc!$B7161,INDEX(MineNames,Calc!C7161),"")</f>
        <v/>
      </c>
      <c r="C7161" s="17">
        <f>IF(Calc!$B7161,Calc!O7161,"")</f>
        <v/>
      </c>
    </row>
    <row r="7162">
      <c r="A7162" s="16">
        <f>IF(Calc!$B7162,Calc!E7162,"")</f>
        <v/>
      </c>
      <c r="B7162">
        <f>IF(Calc!$B7162,INDEX(MineNames,Calc!C7162),"")</f>
        <v/>
      </c>
      <c r="C7162" s="17">
        <f>IF(Calc!$B7162,Calc!O7162,"")</f>
        <v/>
      </c>
    </row>
    <row r="7163">
      <c r="A7163" s="16">
        <f>IF(Calc!$B7163,Calc!E7163,"")</f>
        <v/>
      </c>
      <c r="B7163">
        <f>IF(Calc!$B7163,INDEX(MineNames,Calc!C7163),"")</f>
        <v/>
      </c>
      <c r="C7163" s="17">
        <f>IF(Calc!$B7163,Calc!O7163,"")</f>
        <v/>
      </c>
    </row>
    <row r="7164">
      <c r="A7164" s="16">
        <f>IF(Calc!$B7164,Calc!E7164,"")</f>
        <v/>
      </c>
      <c r="B7164">
        <f>IF(Calc!$B7164,INDEX(MineNames,Calc!C7164),"")</f>
        <v/>
      </c>
      <c r="C7164" s="17">
        <f>IF(Calc!$B7164,Calc!O7164,"")</f>
        <v/>
      </c>
    </row>
    <row r="7165">
      <c r="A7165" s="16">
        <f>IF(Calc!$B7165,Calc!E7165,"")</f>
        <v/>
      </c>
      <c r="B7165">
        <f>IF(Calc!$B7165,INDEX(MineNames,Calc!C7165),"")</f>
        <v/>
      </c>
      <c r="C7165" s="17">
        <f>IF(Calc!$B7165,Calc!O7165,"")</f>
        <v/>
      </c>
    </row>
    <row r="7166">
      <c r="A7166" s="16">
        <f>IF(Calc!$B7166,Calc!E7166,"")</f>
        <v/>
      </c>
      <c r="B7166">
        <f>IF(Calc!$B7166,INDEX(MineNames,Calc!C7166),"")</f>
        <v/>
      </c>
      <c r="C7166" s="17">
        <f>IF(Calc!$B7166,Calc!O7166,"")</f>
        <v/>
      </c>
    </row>
    <row r="7167">
      <c r="A7167" s="16">
        <f>IF(Calc!$B7167,Calc!E7167,"")</f>
        <v/>
      </c>
      <c r="B7167">
        <f>IF(Calc!$B7167,INDEX(MineNames,Calc!C7167),"")</f>
        <v/>
      </c>
      <c r="C7167" s="17">
        <f>IF(Calc!$B7167,Calc!O7167,"")</f>
        <v/>
      </c>
    </row>
    <row r="7168">
      <c r="A7168" s="16">
        <f>IF(Calc!$B7168,Calc!E7168,"")</f>
        <v/>
      </c>
      <c r="B7168">
        <f>IF(Calc!$B7168,INDEX(MineNames,Calc!C7168),"")</f>
        <v/>
      </c>
      <c r="C7168" s="17">
        <f>IF(Calc!$B7168,Calc!O7168,"")</f>
        <v/>
      </c>
    </row>
    <row r="7169">
      <c r="A7169" s="16">
        <f>IF(Calc!$B7169,Calc!E7169,"")</f>
        <v/>
      </c>
      <c r="B7169">
        <f>IF(Calc!$B7169,INDEX(MineNames,Calc!C7169),"")</f>
        <v/>
      </c>
      <c r="C7169" s="17">
        <f>IF(Calc!$B7169,Calc!O7169,"")</f>
        <v/>
      </c>
    </row>
    <row r="7170">
      <c r="A7170" s="16">
        <f>IF(Calc!$B7170,Calc!E7170,"")</f>
        <v/>
      </c>
      <c r="B7170">
        <f>IF(Calc!$B7170,INDEX(MineNames,Calc!C7170),"")</f>
        <v/>
      </c>
      <c r="C7170" s="17">
        <f>IF(Calc!$B7170,Calc!O7170,"")</f>
        <v/>
      </c>
    </row>
    <row r="7171">
      <c r="A7171" s="16">
        <f>IF(Calc!$B7171,Calc!E7171,"")</f>
        <v/>
      </c>
      <c r="B7171">
        <f>IF(Calc!$B7171,INDEX(MineNames,Calc!C7171),"")</f>
        <v/>
      </c>
      <c r="C7171" s="17">
        <f>IF(Calc!$B7171,Calc!O7171,"")</f>
        <v/>
      </c>
    </row>
    <row r="7172">
      <c r="A7172" s="16">
        <f>IF(Calc!$B7172,Calc!E7172,"")</f>
        <v/>
      </c>
      <c r="B7172">
        <f>IF(Calc!$B7172,INDEX(MineNames,Calc!C7172),"")</f>
        <v/>
      </c>
      <c r="C7172" s="17">
        <f>IF(Calc!$B7172,Calc!O7172,"")</f>
        <v/>
      </c>
    </row>
    <row r="7173">
      <c r="A7173" s="16">
        <f>IF(Calc!$B7173,Calc!E7173,"")</f>
        <v/>
      </c>
      <c r="B7173">
        <f>IF(Calc!$B7173,INDEX(MineNames,Calc!C7173),"")</f>
        <v/>
      </c>
      <c r="C7173" s="17">
        <f>IF(Calc!$B7173,Calc!O7173,"")</f>
        <v/>
      </c>
    </row>
    <row r="7174">
      <c r="A7174" s="16">
        <f>IF(Calc!$B7174,Calc!E7174,"")</f>
        <v/>
      </c>
      <c r="B7174">
        <f>IF(Calc!$B7174,INDEX(MineNames,Calc!C7174),"")</f>
        <v/>
      </c>
      <c r="C7174" s="17">
        <f>IF(Calc!$B7174,Calc!O7174,"")</f>
        <v/>
      </c>
    </row>
    <row r="7175">
      <c r="A7175" s="16">
        <f>IF(Calc!$B7175,Calc!E7175,"")</f>
        <v/>
      </c>
      <c r="B7175">
        <f>IF(Calc!$B7175,INDEX(MineNames,Calc!C7175),"")</f>
        <v/>
      </c>
      <c r="C7175" s="17">
        <f>IF(Calc!$B7175,Calc!O7175,"")</f>
        <v/>
      </c>
    </row>
    <row r="7176">
      <c r="A7176" s="16">
        <f>IF(Calc!$B7176,Calc!E7176,"")</f>
        <v/>
      </c>
      <c r="B7176">
        <f>IF(Calc!$B7176,INDEX(MineNames,Calc!C7176),"")</f>
        <v/>
      </c>
      <c r="C7176" s="17">
        <f>IF(Calc!$B7176,Calc!O7176,"")</f>
        <v/>
      </c>
    </row>
    <row r="7177">
      <c r="A7177" s="16">
        <f>IF(Calc!$B7177,Calc!E7177,"")</f>
        <v/>
      </c>
      <c r="B7177">
        <f>IF(Calc!$B7177,INDEX(MineNames,Calc!C7177),"")</f>
        <v/>
      </c>
      <c r="C7177" s="17">
        <f>IF(Calc!$B7177,Calc!O7177,"")</f>
        <v/>
      </c>
    </row>
    <row r="7178">
      <c r="A7178" s="16">
        <f>IF(Calc!$B7178,Calc!E7178,"")</f>
        <v/>
      </c>
      <c r="B7178">
        <f>IF(Calc!$B7178,INDEX(MineNames,Calc!C7178),"")</f>
        <v/>
      </c>
      <c r="C7178" s="17">
        <f>IF(Calc!$B7178,Calc!O7178,"")</f>
        <v/>
      </c>
    </row>
    <row r="7179">
      <c r="A7179" s="16">
        <f>IF(Calc!$B7179,Calc!E7179,"")</f>
        <v/>
      </c>
      <c r="B7179">
        <f>IF(Calc!$B7179,INDEX(MineNames,Calc!C7179),"")</f>
        <v/>
      </c>
      <c r="C7179" s="17">
        <f>IF(Calc!$B7179,Calc!O7179,"")</f>
        <v/>
      </c>
    </row>
    <row r="7180">
      <c r="A7180" s="16">
        <f>IF(Calc!$B7180,Calc!E7180,"")</f>
        <v/>
      </c>
      <c r="B7180">
        <f>IF(Calc!$B7180,INDEX(MineNames,Calc!C7180),"")</f>
        <v/>
      </c>
      <c r="C7180" s="17">
        <f>IF(Calc!$B7180,Calc!O7180,"")</f>
        <v/>
      </c>
    </row>
    <row r="7181">
      <c r="A7181" s="16">
        <f>IF(Calc!$B7181,Calc!E7181,"")</f>
        <v/>
      </c>
      <c r="B7181">
        <f>IF(Calc!$B7181,INDEX(MineNames,Calc!C7181),"")</f>
        <v/>
      </c>
      <c r="C7181" s="17">
        <f>IF(Calc!$B7181,Calc!O7181,"")</f>
        <v/>
      </c>
    </row>
    <row r="7182">
      <c r="A7182" s="16">
        <f>IF(Calc!$B7182,Calc!E7182,"")</f>
        <v/>
      </c>
      <c r="B7182">
        <f>IF(Calc!$B7182,INDEX(MineNames,Calc!C7182),"")</f>
        <v/>
      </c>
      <c r="C7182" s="17">
        <f>IF(Calc!$B7182,Calc!O7182,"")</f>
        <v/>
      </c>
    </row>
    <row r="7183">
      <c r="A7183" s="16">
        <f>IF(Calc!$B7183,Calc!E7183,"")</f>
        <v/>
      </c>
      <c r="B7183">
        <f>IF(Calc!$B7183,INDEX(MineNames,Calc!C7183),"")</f>
        <v/>
      </c>
      <c r="C7183" s="17">
        <f>IF(Calc!$B7183,Calc!O7183,"")</f>
        <v/>
      </c>
    </row>
    <row r="7184">
      <c r="A7184" s="16">
        <f>IF(Calc!$B7184,Calc!E7184,"")</f>
        <v/>
      </c>
      <c r="B7184">
        <f>IF(Calc!$B7184,INDEX(MineNames,Calc!C7184),"")</f>
        <v/>
      </c>
      <c r="C7184" s="17">
        <f>IF(Calc!$B7184,Calc!O7184,"")</f>
        <v/>
      </c>
    </row>
    <row r="7185">
      <c r="A7185" s="16">
        <f>IF(Calc!$B7185,Calc!E7185,"")</f>
        <v/>
      </c>
      <c r="B7185">
        <f>IF(Calc!$B7185,INDEX(MineNames,Calc!C7185),"")</f>
        <v/>
      </c>
      <c r="C7185" s="17">
        <f>IF(Calc!$B7185,Calc!O7185,"")</f>
        <v/>
      </c>
    </row>
    <row r="7186">
      <c r="A7186" s="16">
        <f>IF(Calc!$B7186,Calc!E7186,"")</f>
        <v/>
      </c>
      <c r="B7186">
        <f>IF(Calc!$B7186,INDEX(MineNames,Calc!C7186),"")</f>
        <v/>
      </c>
      <c r="C7186" s="17">
        <f>IF(Calc!$B7186,Calc!O7186,"")</f>
        <v/>
      </c>
    </row>
    <row r="7187">
      <c r="A7187" s="16">
        <f>IF(Calc!$B7187,Calc!E7187,"")</f>
        <v/>
      </c>
      <c r="B7187">
        <f>IF(Calc!$B7187,INDEX(MineNames,Calc!C7187),"")</f>
        <v/>
      </c>
      <c r="C7187" s="17">
        <f>IF(Calc!$B7187,Calc!O7187,"")</f>
        <v/>
      </c>
    </row>
    <row r="7188">
      <c r="A7188" s="16">
        <f>IF(Calc!$B7188,Calc!E7188,"")</f>
        <v/>
      </c>
      <c r="B7188">
        <f>IF(Calc!$B7188,INDEX(MineNames,Calc!C7188),"")</f>
        <v/>
      </c>
      <c r="C7188" s="17">
        <f>IF(Calc!$B7188,Calc!O7188,"")</f>
        <v/>
      </c>
    </row>
    <row r="7189">
      <c r="A7189" s="16">
        <f>IF(Calc!$B7189,Calc!E7189,"")</f>
        <v/>
      </c>
      <c r="B7189">
        <f>IF(Calc!$B7189,INDEX(MineNames,Calc!C7189),"")</f>
        <v/>
      </c>
      <c r="C7189" s="17">
        <f>IF(Calc!$B7189,Calc!O7189,"")</f>
        <v/>
      </c>
    </row>
    <row r="7190">
      <c r="A7190" s="16">
        <f>IF(Calc!$B7190,Calc!E7190,"")</f>
        <v/>
      </c>
      <c r="B7190">
        <f>IF(Calc!$B7190,INDEX(MineNames,Calc!C7190),"")</f>
        <v/>
      </c>
      <c r="C7190" s="17">
        <f>IF(Calc!$B7190,Calc!O7190,"")</f>
        <v/>
      </c>
    </row>
    <row r="7191">
      <c r="A7191" s="16">
        <f>IF(Calc!$B7191,Calc!E7191,"")</f>
        <v/>
      </c>
      <c r="B7191">
        <f>IF(Calc!$B7191,INDEX(MineNames,Calc!C7191),"")</f>
        <v/>
      </c>
      <c r="C7191" s="17">
        <f>IF(Calc!$B7191,Calc!O7191,"")</f>
        <v/>
      </c>
    </row>
    <row r="7192">
      <c r="A7192" s="16">
        <f>IF(Calc!$B7192,Calc!E7192,"")</f>
        <v/>
      </c>
      <c r="B7192">
        <f>IF(Calc!$B7192,INDEX(MineNames,Calc!C7192),"")</f>
        <v/>
      </c>
      <c r="C7192" s="17">
        <f>IF(Calc!$B7192,Calc!O7192,"")</f>
        <v/>
      </c>
    </row>
    <row r="7193">
      <c r="A7193" s="16">
        <f>IF(Calc!$B7193,Calc!E7193,"")</f>
        <v/>
      </c>
      <c r="B7193">
        <f>IF(Calc!$B7193,INDEX(MineNames,Calc!C7193),"")</f>
        <v/>
      </c>
      <c r="C7193" s="17">
        <f>IF(Calc!$B7193,Calc!O7193,"")</f>
        <v/>
      </c>
    </row>
    <row r="7194">
      <c r="A7194" s="16">
        <f>IF(Calc!$B7194,Calc!E7194,"")</f>
        <v/>
      </c>
      <c r="B7194">
        <f>IF(Calc!$B7194,INDEX(MineNames,Calc!C7194),"")</f>
        <v/>
      </c>
      <c r="C7194" s="17">
        <f>IF(Calc!$B7194,Calc!O7194,"")</f>
        <v/>
      </c>
    </row>
    <row r="7195">
      <c r="A7195" s="16">
        <f>IF(Calc!$B7195,Calc!E7195,"")</f>
        <v/>
      </c>
      <c r="B7195">
        <f>IF(Calc!$B7195,INDEX(MineNames,Calc!C7195),"")</f>
        <v/>
      </c>
      <c r="C7195" s="17">
        <f>IF(Calc!$B7195,Calc!O7195,"")</f>
        <v/>
      </c>
    </row>
    <row r="7196">
      <c r="A7196" s="16">
        <f>IF(Calc!$B7196,Calc!E7196,"")</f>
        <v/>
      </c>
      <c r="B7196">
        <f>IF(Calc!$B7196,INDEX(MineNames,Calc!C7196),"")</f>
        <v/>
      </c>
      <c r="C7196" s="17">
        <f>IF(Calc!$B7196,Calc!O7196,"")</f>
        <v/>
      </c>
    </row>
    <row r="7197">
      <c r="A7197" s="16">
        <f>IF(Calc!$B7197,Calc!E7197,"")</f>
        <v/>
      </c>
      <c r="B7197">
        <f>IF(Calc!$B7197,INDEX(MineNames,Calc!C7197),"")</f>
        <v/>
      </c>
      <c r="C7197" s="17">
        <f>IF(Calc!$B7197,Calc!O7197,"")</f>
        <v/>
      </c>
    </row>
    <row r="7198">
      <c r="A7198" s="16">
        <f>IF(Calc!$B7198,Calc!E7198,"")</f>
        <v/>
      </c>
      <c r="B7198">
        <f>IF(Calc!$B7198,INDEX(MineNames,Calc!C7198),"")</f>
        <v/>
      </c>
      <c r="C7198" s="17">
        <f>IF(Calc!$B7198,Calc!O7198,"")</f>
        <v/>
      </c>
    </row>
    <row r="7199">
      <c r="A7199" s="16">
        <f>IF(Calc!$B7199,Calc!E7199,"")</f>
        <v/>
      </c>
      <c r="B7199">
        <f>IF(Calc!$B7199,INDEX(MineNames,Calc!C7199),"")</f>
        <v/>
      </c>
      <c r="C7199" s="17">
        <f>IF(Calc!$B7199,Calc!O7199,"")</f>
        <v/>
      </c>
    </row>
    <row r="7200">
      <c r="A7200" s="16">
        <f>IF(Calc!$B7200,Calc!E7200,"")</f>
        <v/>
      </c>
      <c r="B7200">
        <f>IF(Calc!$B7200,INDEX(MineNames,Calc!C7200),"")</f>
        <v/>
      </c>
      <c r="C7200" s="17">
        <f>IF(Calc!$B7200,Calc!O7200,"")</f>
        <v/>
      </c>
    </row>
    <row r="7201">
      <c r="A7201" s="16">
        <f>IF(Calc!$B7201,Calc!E7201,"")</f>
        <v/>
      </c>
      <c r="B7201">
        <f>IF(Calc!$B7201,INDEX(MineNames,Calc!C7201),"")</f>
        <v/>
      </c>
      <c r="C7201" s="17">
        <f>IF(Calc!$B7201,Calc!O7201,"")</f>
        <v/>
      </c>
    </row>
    <row r="7202">
      <c r="A7202" s="16">
        <f>IF(Calc!$B7202,Calc!E7202,"")</f>
        <v/>
      </c>
      <c r="B7202">
        <f>IF(Calc!$B7202,INDEX(MineNames,Calc!C7202),"")</f>
        <v/>
      </c>
      <c r="C7202" s="17">
        <f>IF(Calc!$B7202,Calc!O7202,"")</f>
        <v/>
      </c>
    </row>
    <row r="7203">
      <c r="A7203" s="16">
        <f>IF(Calc!$B7203,Calc!E7203,"")</f>
        <v/>
      </c>
      <c r="B7203">
        <f>IF(Calc!$B7203,INDEX(MineNames,Calc!C7203),"")</f>
        <v/>
      </c>
      <c r="C7203" s="17">
        <f>IF(Calc!$B7203,Calc!O7203,"")</f>
        <v/>
      </c>
    </row>
    <row r="7204">
      <c r="A7204" s="16">
        <f>IF(Calc!$B7204,Calc!E7204,"")</f>
        <v/>
      </c>
      <c r="B7204">
        <f>IF(Calc!$B7204,INDEX(MineNames,Calc!C7204),"")</f>
        <v/>
      </c>
      <c r="C7204" s="17">
        <f>IF(Calc!$B7204,Calc!O7204,"")</f>
        <v/>
      </c>
    </row>
    <row r="7205">
      <c r="A7205" s="16">
        <f>IF(Calc!$B7205,Calc!E7205,"")</f>
        <v/>
      </c>
      <c r="B7205">
        <f>IF(Calc!$B7205,INDEX(MineNames,Calc!C7205),"")</f>
        <v/>
      </c>
      <c r="C7205" s="17">
        <f>IF(Calc!$B7205,Calc!O7205,"")</f>
        <v/>
      </c>
    </row>
    <row r="7206">
      <c r="A7206" s="16">
        <f>IF(Calc!$B7206,Calc!E7206,"")</f>
        <v/>
      </c>
      <c r="B7206">
        <f>IF(Calc!$B7206,INDEX(MineNames,Calc!C7206),"")</f>
        <v/>
      </c>
      <c r="C7206" s="17">
        <f>IF(Calc!$B7206,Calc!O7206,"")</f>
        <v/>
      </c>
    </row>
    <row r="7207">
      <c r="A7207" s="16">
        <f>IF(Calc!$B7207,Calc!E7207,"")</f>
        <v/>
      </c>
      <c r="B7207">
        <f>IF(Calc!$B7207,INDEX(MineNames,Calc!C7207),"")</f>
        <v/>
      </c>
      <c r="C7207" s="17">
        <f>IF(Calc!$B7207,Calc!O7207,"")</f>
        <v/>
      </c>
    </row>
    <row r="7208">
      <c r="A7208" s="16">
        <f>IF(Calc!$B7208,Calc!E7208,"")</f>
        <v/>
      </c>
      <c r="B7208">
        <f>IF(Calc!$B7208,INDEX(MineNames,Calc!C7208),"")</f>
        <v/>
      </c>
      <c r="C7208" s="17">
        <f>IF(Calc!$B7208,Calc!O7208,"")</f>
        <v/>
      </c>
    </row>
    <row r="7209">
      <c r="A7209" s="16">
        <f>IF(Calc!$B7209,Calc!E7209,"")</f>
        <v/>
      </c>
      <c r="B7209">
        <f>IF(Calc!$B7209,INDEX(MineNames,Calc!C7209),"")</f>
        <v/>
      </c>
      <c r="C7209" s="17">
        <f>IF(Calc!$B7209,Calc!O7209,"")</f>
        <v/>
      </c>
    </row>
    <row r="7210">
      <c r="A7210" s="16">
        <f>IF(Calc!$B7210,Calc!E7210,"")</f>
        <v/>
      </c>
      <c r="B7210">
        <f>IF(Calc!$B7210,INDEX(MineNames,Calc!C7210),"")</f>
        <v/>
      </c>
      <c r="C7210" s="17">
        <f>IF(Calc!$B7210,Calc!O7210,"")</f>
        <v/>
      </c>
    </row>
    <row r="7211">
      <c r="A7211" s="16">
        <f>IF(Calc!$B7211,Calc!E7211,"")</f>
        <v/>
      </c>
      <c r="B7211">
        <f>IF(Calc!$B7211,INDEX(MineNames,Calc!C7211),"")</f>
        <v/>
      </c>
      <c r="C7211" s="17">
        <f>IF(Calc!$B7211,Calc!O7211,"")</f>
        <v/>
      </c>
    </row>
    <row r="7212">
      <c r="A7212" s="16">
        <f>IF(Calc!$B7212,Calc!E7212,"")</f>
        <v/>
      </c>
      <c r="B7212">
        <f>IF(Calc!$B7212,INDEX(MineNames,Calc!C7212),"")</f>
        <v/>
      </c>
      <c r="C7212" s="17">
        <f>IF(Calc!$B7212,Calc!O7212,"")</f>
        <v/>
      </c>
    </row>
    <row r="7213">
      <c r="A7213" s="16">
        <f>IF(Calc!$B7213,Calc!E7213,"")</f>
        <v/>
      </c>
      <c r="B7213">
        <f>IF(Calc!$B7213,INDEX(MineNames,Calc!C7213),"")</f>
        <v/>
      </c>
      <c r="C7213" s="17">
        <f>IF(Calc!$B7213,Calc!O7213,"")</f>
        <v/>
      </c>
    </row>
    <row r="7214">
      <c r="A7214" s="16">
        <f>IF(Calc!$B7214,Calc!E7214,"")</f>
        <v/>
      </c>
      <c r="B7214">
        <f>IF(Calc!$B7214,INDEX(MineNames,Calc!C7214),"")</f>
        <v/>
      </c>
      <c r="C7214" s="17">
        <f>IF(Calc!$B7214,Calc!O7214,"")</f>
        <v/>
      </c>
    </row>
    <row r="7215">
      <c r="A7215" s="16">
        <f>IF(Calc!$B7215,Calc!E7215,"")</f>
        <v/>
      </c>
      <c r="B7215">
        <f>IF(Calc!$B7215,INDEX(MineNames,Calc!C7215),"")</f>
        <v/>
      </c>
      <c r="C7215" s="17">
        <f>IF(Calc!$B7215,Calc!O7215,"")</f>
        <v/>
      </c>
    </row>
    <row r="7216">
      <c r="A7216" s="16">
        <f>IF(Calc!$B7216,Calc!E7216,"")</f>
        <v/>
      </c>
      <c r="B7216">
        <f>IF(Calc!$B7216,INDEX(MineNames,Calc!C7216),"")</f>
        <v/>
      </c>
      <c r="C7216" s="17">
        <f>IF(Calc!$B7216,Calc!O7216,"")</f>
        <v/>
      </c>
    </row>
    <row r="7217">
      <c r="A7217" s="16">
        <f>IF(Calc!$B7217,Calc!E7217,"")</f>
        <v/>
      </c>
      <c r="B7217">
        <f>IF(Calc!$B7217,INDEX(MineNames,Calc!C7217),"")</f>
        <v/>
      </c>
      <c r="C7217" s="17">
        <f>IF(Calc!$B7217,Calc!O7217,"")</f>
        <v/>
      </c>
    </row>
    <row r="7218">
      <c r="A7218" s="16">
        <f>IF(Calc!$B7218,Calc!E7218,"")</f>
        <v/>
      </c>
      <c r="B7218">
        <f>IF(Calc!$B7218,INDEX(MineNames,Calc!C7218),"")</f>
        <v/>
      </c>
      <c r="C7218" s="17">
        <f>IF(Calc!$B7218,Calc!O7218,"")</f>
        <v/>
      </c>
    </row>
    <row r="7219">
      <c r="A7219" s="16">
        <f>IF(Calc!$B7219,Calc!E7219,"")</f>
        <v/>
      </c>
      <c r="B7219">
        <f>IF(Calc!$B7219,INDEX(MineNames,Calc!C7219),"")</f>
        <v/>
      </c>
      <c r="C7219" s="17">
        <f>IF(Calc!$B7219,Calc!O7219,"")</f>
        <v/>
      </c>
    </row>
    <row r="7220">
      <c r="A7220" s="16">
        <f>IF(Calc!$B7220,Calc!E7220,"")</f>
        <v/>
      </c>
      <c r="B7220">
        <f>IF(Calc!$B7220,INDEX(MineNames,Calc!C7220),"")</f>
        <v/>
      </c>
      <c r="C7220" s="17">
        <f>IF(Calc!$B7220,Calc!O7220,"")</f>
        <v/>
      </c>
    </row>
    <row r="7221">
      <c r="A7221" s="16">
        <f>IF(Calc!$B7221,Calc!E7221,"")</f>
        <v/>
      </c>
      <c r="B7221">
        <f>IF(Calc!$B7221,INDEX(MineNames,Calc!C7221),"")</f>
        <v/>
      </c>
      <c r="C7221" s="17">
        <f>IF(Calc!$B7221,Calc!O7221,"")</f>
        <v/>
      </c>
    </row>
    <row r="7222">
      <c r="A7222" s="16">
        <f>IF(Calc!$B7222,Calc!E7222,"")</f>
        <v/>
      </c>
      <c r="B7222">
        <f>IF(Calc!$B7222,INDEX(MineNames,Calc!C7222),"")</f>
        <v/>
      </c>
      <c r="C7222" s="17">
        <f>IF(Calc!$B7222,Calc!O7222,"")</f>
        <v/>
      </c>
    </row>
    <row r="7223">
      <c r="A7223" s="16">
        <f>IF(Calc!$B7223,Calc!E7223,"")</f>
        <v/>
      </c>
      <c r="B7223">
        <f>IF(Calc!$B7223,INDEX(MineNames,Calc!C7223),"")</f>
        <v/>
      </c>
      <c r="C7223" s="17">
        <f>IF(Calc!$B7223,Calc!O7223,"")</f>
        <v/>
      </c>
    </row>
    <row r="7224">
      <c r="A7224" s="16">
        <f>IF(Calc!$B7224,Calc!E7224,"")</f>
        <v/>
      </c>
      <c r="B7224">
        <f>IF(Calc!$B7224,INDEX(MineNames,Calc!C7224),"")</f>
        <v/>
      </c>
      <c r="C7224" s="17">
        <f>IF(Calc!$B7224,Calc!O7224,"")</f>
        <v/>
      </c>
    </row>
    <row r="7225">
      <c r="A7225" s="16">
        <f>IF(Calc!$B7225,Calc!E7225,"")</f>
        <v/>
      </c>
      <c r="B7225">
        <f>IF(Calc!$B7225,INDEX(MineNames,Calc!C7225),"")</f>
        <v/>
      </c>
      <c r="C7225" s="17">
        <f>IF(Calc!$B7225,Calc!O7225,"")</f>
        <v/>
      </c>
    </row>
    <row r="7226">
      <c r="A7226" s="16">
        <f>IF(Calc!$B7226,Calc!E7226,"")</f>
        <v/>
      </c>
      <c r="B7226">
        <f>IF(Calc!$B7226,INDEX(MineNames,Calc!C7226),"")</f>
        <v/>
      </c>
      <c r="C7226" s="17">
        <f>IF(Calc!$B7226,Calc!O7226,"")</f>
        <v/>
      </c>
    </row>
    <row r="7227">
      <c r="A7227" s="16">
        <f>IF(Calc!$B7227,Calc!E7227,"")</f>
        <v/>
      </c>
      <c r="B7227">
        <f>IF(Calc!$B7227,INDEX(MineNames,Calc!C7227),"")</f>
        <v/>
      </c>
      <c r="C7227" s="17">
        <f>IF(Calc!$B7227,Calc!O7227,"")</f>
        <v/>
      </c>
    </row>
    <row r="7228">
      <c r="A7228" s="16">
        <f>IF(Calc!$B7228,Calc!E7228,"")</f>
        <v/>
      </c>
      <c r="B7228">
        <f>IF(Calc!$B7228,INDEX(MineNames,Calc!C7228),"")</f>
        <v/>
      </c>
      <c r="C7228" s="17">
        <f>IF(Calc!$B7228,Calc!O7228,"")</f>
        <v/>
      </c>
    </row>
    <row r="7229">
      <c r="A7229" s="16">
        <f>IF(Calc!$B7229,Calc!E7229,"")</f>
        <v/>
      </c>
      <c r="B7229">
        <f>IF(Calc!$B7229,INDEX(MineNames,Calc!C7229),"")</f>
        <v/>
      </c>
      <c r="C7229" s="17">
        <f>IF(Calc!$B7229,Calc!O7229,"")</f>
        <v/>
      </c>
    </row>
    <row r="7230">
      <c r="A7230" s="16">
        <f>IF(Calc!$B7230,Calc!E7230,"")</f>
        <v/>
      </c>
      <c r="B7230">
        <f>IF(Calc!$B7230,INDEX(MineNames,Calc!C7230),"")</f>
        <v/>
      </c>
      <c r="C7230" s="17">
        <f>IF(Calc!$B7230,Calc!O7230,"")</f>
        <v/>
      </c>
    </row>
    <row r="7231">
      <c r="A7231" s="16">
        <f>IF(Calc!$B7231,Calc!E7231,"")</f>
        <v/>
      </c>
      <c r="B7231">
        <f>IF(Calc!$B7231,INDEX(MineNames,Calc!C7231),"")</f>
        <v/>
      </c>
      <c r="C7231" s="17">
        <f>IF(Calc!$B7231,Calc!O7231,"")</f>
        <v/>
      </c>
    </row>
    <row r="7232">
      <c r="A7232" s="16">
        <f>IF(Calc!$B7232,Calc!E7232,"")</f>
        <v/>
      </c>
      <c r="B7232">
        <f>IF(Calc!$B7232,INDEX(MineNames,Calc!C7232),"")</f>
        <v/>
      </c>
      <c r="C7232" s="17">
        <f>IF(Calc!$B7232,Calc!O7232,"")</f>
        <v/>
      </c>
    </row>
    <row r="7233">
      <c r="A7233" s="16">
        <f>IF(Calc!$B7233,Calc!E7233,"")</f>
        <v/>
      </c>
      <c r="B7233">
        <f>IF(Calc!$B7233,INDEX(MineNames,Calc!C7233),"")</f>
        <v/>
      </c>
      <c r="C7233" s="17">
        <f>IF(Calc!$B7233,Calc!O7233,"")</f>
        <v/>
      </c>
    </row>
    <row r="7234">
      <c r="A7234" s="16">
        <f>IF(Calc!$B7234,Calc!E7234,"")</f>
        <v/>
      </c>
      <c r="B7234">
        <f>IF(Calc!$B7234,INDEX(MineNames,Calc!C7234),"")</f>
        <v/>
      </c>
      <c r="C7234" s="17">
        <f>IF(Calc!$B7234,Calc!O7234,"")</f>
        <v/>
      </c>
    </row>
    <row r="7235">
      <c r="A7235" s="16">
        <f>IF(Calc!$B7235,Calc!E7235,"")</f>
        <v/>
      </c>
      <c r="B7235">
        <f>IF(Calc!$B7235,INDEX(MineNames,Calc!C7235),"")</f>
        <v/>
      </c>
      <c r="C7235" s="17">
        <f>IF(Calc!$B7235,Calc!O7235,"")</f>
        <v/>
      </c>
    </row>
    <row r="7236">
      <c r="A7236" s="16">
        <f>IF(Calc!$B7236,Calc!E7236,"")</f>
        <v/>
      </c>
      <c r="B7236">
        <f>IF(Calc!$B7236,INDEX(MineNames,Calc!C7236),"")</f>
        <v/>
      </c>
      <c r="C7236" s="17">
        <f>IF(Calc!$B7236,Calc!O7236,"")</f>
        <v/>
      </c>
    </row>
    <row r="7237">
      <c r="A7237" s="16">
        <f>IF(Calc!$B7237,Calc!E7237,"")</f>
        <v/>
      </c>
      <c r="B7237">
        <f>IF(Calc!$B7237,INDEX(MineNames,Calc!C7237),"")</f>
        <v/>
      </c>
      <c r="C7237" s="17">
        <f>IF(Calc!$B7237,Calc!O7237,"")</f>
        <v/>
      </c>
    </row>
    <row r="7238">
      <c r="A7238" s="16">
        <f>IF(Calc!$B7238,Calc!E7238,"")</f>
        <v/>
      </c>
      <c r="B7238">
        <f>IF(Calc!$B7238,INDEX(MineNames,Calc!C7238),"")</f>
        <v/>
      </c>
      <c r="C7238" s="17">
        <f>IF(Calc!$B7238,Calc!O7238,"")</f>
        <v/>
      </c>
    </row>
    <row r="7239">
      <c r="A7239" s="16">
        <f>IF(Calc!$B7239,Calc!E7239,"")</f>
        <v/>
      </c>
      <c r="B7239">
        <f>IF(Calc!$B7239,INDEX(MineNames,Calc!C7239),"")</f>
        <v/>
      </c>
      <c r="C7239" s="17">
        <f>IF(Calc!$B7239,Calc!O7239,"")</f>
        <v/>
      </c>
    </row>
    <row r="7240">
      <c r="A7240" s="16">
        <f>IF(Calc!$B7240,Calc!E7240,"")</f>
        <v/>
      </c>
      <c r="B7240">
        <f>IF(Calc!$B7240,INDEX(MineNames,Calc!C7240),"")</f>
        <v/>
      </c>
      <c r="C7240" s="17">
        <f>IF(Calc!$B7240,Calc!O7240,"")</f>
        <v/>
      </c>
    </row>
    <row r="7241">
      <c r="A7241" s="16">
        <f>IF(Calc!$B7241,Calc!E7241,"")</f>
        <v/>
      </c>
      <c r="B7241">
        <f>IF(Calc!$B7241,INDEX(MineNames,Calc!C7241),"")</f>
        <v/>
      </c>
      <c r="C7241" s="17">
        <f>IF(Calc!$B7241,Calc!O7241,"")</f>
        <v/>
      </c>
    </row>
    <row r="7242">
      <c r="A7242" s="16">
        <f>IF(Calc!$B7242,Calc!E7242,"")</f>
        <v/>
      </c>
      <c r="B7242">
        <f>IF(Calc!$B7242,INDEX(MineNames,Calc!C7242),"")</f>
        <v/>
      </c>
      <c r="C7242" s="17">
        <f>IF(Calc!$B7242,Calc!O7242,"")</f>
        <v/>
      </c>
    </row>
    <row r="7243">
      <c r="A7243" s="16">
        <f>IF(Calc!$B7243,Calc!E7243,"")</f>
        <v/>
      </c>
      <c r="B7243">
        <f>IF(Calc!$B7243,INDEX(MineNames,Calc!C7243),"")</f>
        <v/>
      </c>
      <c r="C7243" s="17">
        <f>IF(Calc!$B7243,Calc!O7243,"")</f>
        <v/>
      </c>
    </row>
    <row r="7244">
      <c r="A7244" s="16">
        <f>IF(Calc!$B7244,Calc!E7244,"")</f>
        <v/>
      </c>
      <c r="B7244">
        <f>IF(Calc!$B7244,INDEX(MineNames,Calc!C7244),"")</f>
        <v/>
      </c>
      <c r="C7244" s="17">
        <f>IF(Calc!$B7244,Calc!O7244,"")</f>
        <v/>
      </c>
    </row>
    <row r="7245">
      <c r="A7245" s="16">
        <f>IF(Calc!$B7245,Calc!E7245,"")</f>
        <v/>
      </c>
      <c r="B7245">
        <f>IF(Calc!$B7245,INDEX(MineNames,Calc!C7245),"")</f>
        <v/>
      </c>
      <c r="C7245" s="17">
        <f>IF(Calc!$B7245,Calc!O7245,"")</f>
        <v/>
      </c>
    </row>
    <row r="7246">
      <c r="A7246" s="16">
        <f>IF(Calc!$B7246,Calc!E7246,"")</f>
        <v/>
      </c>
      <c r="B7246">
        <f>IF(Calc!$B7246,INDEX(MineNames,Calc!C7246),"")</f>
        <v/>
      </c>
      <c r="C7246" s="17">
        <f>IF(Calc!$B7246,Calc!O7246,"")</f>
        <v/>
      </c>
    </row>
    <row r="7247">
      <c r="A7247" s="16">
        <f>IF(Calc!$B7247,Calc!E7247,"")</f>
        <v/>
      </c>
      <c r="B7247">
        <f>IF(Calc!$B7247,INDEX(MineNames,Calc!C7247),"")</f>
        <v/>
      </c>
      <c r="C7247" s="17">
        <f>IF(Calc!$B7247,Calc!O7247,"")</f>
        <v/>
      </c>
    </row>
    <row r="7248">
      <c r="A7248" s="16">
        <f>IF(Calc!$B7248,Calc!E7248,"")</f>
        <v/>
      </c>
      <c r="B7248">
        <f>IF(Calc!$B7248,INDEX(MineNames,Calc!C7248),"")</f>
        <v/>
      </c>
      <c r="C7248" s="17">
        <f>IF(Calc!$B7248,Calc!O7248,"")</f>
        <v/>
      </c>
    </row>
    <row r="7249">
      <c r="A7249" s="16">
        <f>IF(Calc!$B7249,Calc!E7249,"")</f>
        <v/>
      </c>
      <c r="B7249">
        <f>IF(Calc!$B7249,INDEX(MineNames,Calc!C7249),"")</f>
        <v/>
      </c>
      <c r="C7249" s="17">
        <f>IF(Calc!$B7249,Calc!O7249,"")</f>
        <v/>
      </c>
    </row>
    <row r="7250">
      <c r="A7250" s="16">
        <f>IF(Calc!$B7250,Calc!E7250,"")</f>
        <v/>
      </c>
      <c r="B7250">
        <f>IF(Calc!$B7250,INDEX(MineNames,Calc!C7250),"")</f>
        <v/>
      </c>
      <c r="C7250" s="17">
        <f>IF(Calc!$B7250,Calc!O7250,"")</f>
        <v/>
      </c>
    </row>
    <row r="7251">
      <c r="A7251" s="16">
        <f>IF(Calc!$B7251,Calc!E7251,"")</f>
        <v/>
      </c>
      <c r="B7251">
        <f>IF(Calc!$B7251,INDEX(MineNames,Calc!C7251),"")</f>
        <v/>
      </c>
      <c r="C7251" s="17">
        <f>IF(Calc!$B7251,Calc!O7251,"")</f>
        <v/>
      </c>
    </row>
    <row r="7252">
      <c r="A7252" s="16">
        <f>IF(Calc!$B7252,Calc!E7252,"")</f>
        <v/>
      </c>
      <c r="B7252">
        <f>IF(Calc!$B7252,INDEX(MineNames,Calc!C7252),"")</f>
        <v/>
      </c>
      <c r="C7252" s="17">
        <f>IF(Calc!$B7252,Calc!O7252,"")</f>
        <v/>
      </c>
    </row>
    <row r="7253">
      <c r="A7253" s="16">
        <f>IF(Calc!$B7253,Calc!E7253,"")</f>
        <v/>
      </c>
      <c r="B7253">
        <f>IF(Calc!$B7253,INDEX(MineNames,Calc!C7253),"")</f>
        <v/>
      </c>
      <c r="C7253" s="17">
        <f>IF(Calc!$B7253,Calc!O7253,"")</f>
        <v/>
      </c>
    </row>
    <row r="7254">
      <c r="A7254" s="16">
        <f>IF(Calc!$B7254,Calc!E7254,"")</f>
        <v/>
      </c>
      <c r="B7254">
        <f>IF(Calc!$B7254,INDEX(MineNames,Calc!C7254),"")</f>
        <v/>
      </c>
      <c r="C7254" s="17">
        <f>IF(Calc!$B7254,Calc!O7254,"")</f>
        <v/>
      </c>
    </row>
    <row r="7255">
      <c r="A7255" s="16">
        <f>IF(Calc!$B7255,Calc!E7255,"")</f>
        <v/>
      </c>
      <c r="B7255">
        <f>IF(Calc!$B7255,INDEX(MineNames,Calc!C7255),"")</f>
        <v/>
      </c>
      <c r="C7255" s="17">
        <f>IF(Calc!$B7255,Calc!O7255,"")</f>
        <v/>
      </c>
    </row>
    <row r="7256">
      <c r="A7256" s="16">
        <f>IF(Calc!$B7256,Calc!E7256,"")</f>
        <v/>
      </c>
      <c r="B7256">
        <f>IF(Calc!$B7256,INDEX(MineNames,Calc!C7256),"")</f>
        <v/>
      </c>
      <c r="C7256" s="17">
        <f>IF(Calc!$B7256,Calc!O7256,"")</f>
        <v/>
      </c>
    </row>
    <row r="7257">
      <c r="A7257" s="16">
        <f>IF(Calc!$B7257,Calc!E7257,"")</f>
        <v/>
      </c>
      <c r="B7257">
        <f>IF(Calc!$B7257,INDEX(MineNames,Calc!C7257),"")</f>
        <v/>
      </c>
      <c r="C7257" s="17">
        <f>IF(Calc!$B7257,Calc!O7257,"")</f>
        <v/>
      </c>
    </row>
    <row r="7258">
      <c r="A7258" s="16">
        <f>IF(Calc!$B7258,Calc!E7258,"")</f>
        <v/>
      </c>
      <c r="B7258">
        <f>IF(Calc!$B7258,INDEX(MineNames,Calc!C7258),"")</f>
        <v/>
      </c>
      <c r="C7258" s="17">
        <f>IF(Calc!$B7258,Calc!O7258,"")</f>
        <v/>
      </c>
    </row>
    <row r="7259">
      <c r="A7259" s="16">
        <f>IF(Calc!$B7259,Calc!E7259,"")</f>
        <v/>
      </c>
      <c r="B7259">
        <f>IF(Calc!$B7259,INDEX(MineNames,Calc!C7259),"")</f>
        <v/>
      </c>
      <c r="C7259" s="17">
        <f>IF(Calc!$B7259,Calc!O7259,"")</f>
        <v/>
      </c>
    </row>
    <row r="7260">
      <c r="A7260" s="16">
        <f>IF(Calc!$B7260,Calc!E7260,"")</f>
        <v/>
      </c>
      <c r="B7260">
        <f>IF(Calc!$B7260,INDEX(MineNames,Calc!C7260),"")</f>
        <v/>
      </c>
      <c r="C7260" s="17">
        <f>IF(Calc!$B7260,Calc!O7260,"")</f>
        <v/>
      </c>
    </row>
    <row r="7261">
      <c r="A7261" s="16">
        <f>IF(Calc!$B7261,Calc!E7261,"")</f>
        <v/>
      </c>
      <c r="B7261">
        <f>IF(Calc!$B7261,INDEX(MineNames,Calc!C7261),"")</f>
        <v/>
      </c>
      <c r="C7261" s="17">
        <f>IF(Calc!$B7261,Calc!O7261,"")</f>
        <v/>
      </c>
    </row>
    <row r="7262">
      <c r="A7262" s="16">
        <f>IF(Calc!$B7262,Calc!E7262,"")</f>
        <v/>
      </c>
      <c r="B7262">
        <f>IF(Calc!$B7262,INDEX(MineNames,Calc!C7262),"")</f>
        <v/>
      </c>
      <c r="C7262" s="17">
        <f>IF(Calc!$B7262,Calc!O7262,"")</f>
        <v/>
      </c>
    </row>
    <row r="7263">
      <c r="A7263" s="16">
        <f>IF(Calc!$B7263,Calc!E7263,"")</f>
        <v/>
      </c>
      <c r="B7263">
        <f>IF(Calc!$B7263,INDEX(MineNames,Calc!C7263),"")</f>
        <v/>
      </c>
      <c r="C7263" s="17">
        <f>IF(Calc!$B7263,Calc!O7263,"")</f>
        <v/>
      </c>
    </row>
    <row r="7264">
      <c r="A7264" s="16">
        <f>IF(Calc!$B7264,Calc!E7264,"")</f>
        <v/>
      </c>
      <c r="B7264">
        <f>IF(Calc!$B7264,INDEX(MineNames,Calc!C7264),"")</f>
        <v/>
      </c>
      <c r="C7264" s="17">
        <f>IF(Calc!$B7264,Calc!O7264,"")</f>
        <v/>
      </c>
    </row>
    <row r="7265">
      <c r="A7265" s="16">
        <f>IF(Calc!$B7265,Calc!E7265,"")</f>
        <v/>
      </c>
      <c r="B7265">
        <f>IF(Calc!$B7265,INDEX(MineNames,Calc!C7265),"")</f>
        <v/>
      </c>
      <c r="C7265" s="17">
        <f>IF(Calc!$B7265,Calc!O7265,"")</f>
        <v/>
      </c>
    </row>
    <row r="7266">
      <c r="A7266" s="16">
        <f>IF(Calc!$B7266,Calc!E7266,"")</f>
        <v/>
      </c>
      <c r="B7266">
        <f>IF(Calc!$B7266,INDEX(MineNames,Calc!C7266),"")</f>
        <v/>
      </c>
      <c r="C7266" s="17">
        <f>IF(Calc!$B7266,Calc!O7266,"")</f>
        <v/>
      </c>
    </row>
    <row r="7267">
      <c r="A7267" s="16">
        <f>IF(Calc!$B7267,Calc!E7267,"")</f>
        <v/>
      </c>
      <c r="B7267">
        <f>IF(Calc!$B7267,INDEX(MineNames,Calc!C7267),"")</f>
        <v/>
      </c>
      <c r="C7267" s="17">
        <f>IF(Calc!$B7267,Calc!O7267,"")</f>
        <v/>
      </c>
    </row>
    <row r="7268">
      <c r="A7268" s="16">
        <f>IF(Calc!$B7268,Calc!E7268,"")</f>
        <v/>
      </c>
      <c r="B7268">
        <f>IF(Calc!$B7268,INDEX(MineNames,Calc!C7268),"")</f>
        <v/>
      </c>
      <c r="C7268" s="17">
        <f>IF(Calc!$B7268,Calc!O7268,"")</f>
        <v/>
      </c>
    </row>
    <row r="7269">
      <c r="A7269" s="16">
        <f>IF(Calc!$B7269,Calc!E7269,"")</f>
        <v/>
      </c>
      <c r="B7269">
        <f>IF(Calc!$B7269,INDEX(MineNames,Calc!C7269),"")</f>
        <v/>
      </c>
      <c r="C7269" s="17">
        <f>IF(Calc!$B7269,Calc!O7269,"")</f>
        <v/>
      </c>
    </row>
    <row r="7270">
      <c r="A7270" s="16">
        <f>IF(Calc!$B7270,Calc!E7270,"")</f>
        <v/>
      </c>
      <c r="B7270">
        <f>IF(Calc!$B7270,INDEX(MineNames,Calc!C7270),"")</f>
        <v/>
      </c>
      <c r="C7270" s="17">
        <f>IF(Calc!$B7270,Calc!O7270,"")</f>
        <v/>
      </c>
    </row>
    <row r="7271">
      <c r="A7271" s="16">
        <f>IF(Calc!$B7271,Calc!E7271,"")</f>
        <v/>
      </c>
      <c r="B7271">
        <f>IF(Calc!$B7271,INDEX(MineNames,Calc!C7271),"")</f>
        <v/>
      </c>
      <c r="C7271" s="17">
        <f>IF(Calc!$B7271,Calc!O7271,"")</f>
        <v/>
      </c>
    </row>
    <row r="7272">
      <c r="A7272" s="16">
        <f>IF(Calc!$B7272,Calc!E7272,"")</f>
        <v/>
      </c>
      <c r="B7272">
        <f>IF(Calc!$B7272,INDEX(MineNames,Calc!C7272),"")</f>
        <v/>
      </c>
      <c r="C7272" s="17">
        <f>IF(Calc!$B7272,Calc!O7272,"")</f>
        <v/>
      </c>
    </row>
    <row r="7273">
      <c r="A7273" s="16">
        <f>IF(Calc!$B7273,Calc!E7273,"")</f>
        <v/>
      </c>
      <c r="B7273">
        <f>IF(Calc!$B7273,INDEX(MineNames,Calc!C7273),"")</f>
        <v/>
      </c>
      <c r="C7273" s="17">
        <f>IF(Calc!$B7273,Calc!O7273,"")</f>
        <v/>
      </c>
    </row>
    <row r="7274">
      <c r="A7274" s="16">
        <f>IF(Calc!$B7274,Calc!E7274,"")</f>
        <v/>
      </c>
      <c r="B7274">
        <f>IF(Calc!$B7274,INDEX(MineNames,Calc!C7274),"")</f>
        <v/>
      </c>
      <c r="C7274" s="17">
        <f>IF(Calc!$B7274,Calc!O7274,"")</f>
        <v/>
      </c>
    </row>
    <row r="7275">
      <c r="A7275" s="16">
        <f>IF(Calc!$B7275,Calc!E7275,"")</f>
        <v/>
      </c>
      <c r="B7275">
        <f>IF(Calc!$B7275,INDEX(MineNames,Calc!C7275),"")</f>
        <v/>
      </c>
      <c r="C7275" s="17">
        <f>IF(Calc!$B7275,Calc!O7275,"")</f>
        <v/>
      </c>
    </row>
    <row r="7276">
      <c r="A7276" s="16">
        <f>IF(Calc!$B7276,Calc!E7276,"")</f>
        <v/>
      </c>
      <c r="B7276">
        <f>IF(Calc!$B7276,INDEX(MineNames,Calc!C7276),"")</f>
        <v/>
      </c>
      <c r="C7276" s="17">
        <f>IF(Calc!$B7276,Calc!O7276,"")</f>
        <v/>
      </c>
    </row>
    <row r="7277">
      <c r="A7277" s="16">
        <f>IF(Calc!$B7277,Calc!E7277,"")</f>
        <v/>
      </c>
      <c r="B7277">
        <f>IF(Calc!$B7277,INDEX(MineNames,Calc!C7277),"")</f>
        <v/>
      </c>
      <c r="C7277" s="17">
        <f>IF(Calc!$B7277,Calc!O7277,"")</f>
        <v/>
      </c>
    </row>
    <row r="7278">
      <c r="A7278" s="16">
        <f>IF(Calc!$B7278,Calc!E7278,"")</f>
        <v/>
      </c>
      <c r="B7278">
        <f>IF(Calc!$B7278,INDEX(MineNames,Calc!C7278),"")</f>
        <v/>
      </c>
      <c r="C7278" s="17">
        <f>IF(Calc!$B7278,Calc!O7278,"")</f>
        <v/>
      </c>
    </row>
    <row r="7279">
      <c r="A7279" s="16">
        <f>IF(Calc!$B7279,Calc!E7279,"")</f>
        <v/>
      </c>
      <c r="B7279">
        <f>IF(Calc!$B7279,INDEX(MineNames,Calc!C7279),"")</f>
        <v/>
      </c>
      <c r="C7279" s="17">
        <f>IF(Calc!$B7279,Calc!O7279,"")</f>
        <v/>
      </c>
    </row>
    <row r="7280">
      <c r="A7280" s="16">
        <f>IF(Calc!$B7280,Calc!E7280,"")</f>
        <v/>
      </c>
      <c r="B7280">
        <f>IF(Calc!$B7280,INDEX(MineNames,Calc!C7280),"")</f>
        <v/>
      </c>
      <c r="C7280" s="17">
        <f>IF(Calc!$B7280,Calc!O7280,"")</f>
        <v/>
      </c>
    </row>
    <row r="7281">
      <c r="A7281" s="16">
        <f>IF(Calc!$B7281,Calc!E7281,"")</f>
        <v/>
      </c>
      <c r="B7281">
        <f>IF(Calc!$B7281,INDEX(MineNames,Calc!C7281),"")</f>
        <v/>
      </c>
      <c r="C7281" s="17">
        <f>IF(Calc!$B7281,Calc!O7281,"")</f>
        <v/>
      </c>
    </row>
    <row r="7282">
      <c r="A7282" s="16">
        <f>IF(Calc!$B7282,Calc!E7282,"")</f>
        <v/>
      </c>
      <c r="B7282">
        <f>IF(Calc!$B7282,INDEX(MineNames,Calc!C7282),"")</f>
        <v/>
      </c>
      <c r="C7282" s="17">
        <f>IF(Calc!$B7282,Calc!O7282,"")</f>
        <v/>
      </c>
    </row>
    <row r="7283">
      <c r="A7283" s="16">
        <f>IF(Calc!$B7283,Calc!E7283,"")</f>
        <v/>
      </c>
      <c r="B7283">
        <f>IF(Calc!$B7283,INDEX(MineNames,Calc!C7283),"")</f>
        <v/>
      </c>
      <c r="C7283" s="17">
        <f>IF(Calc!$B7283,Calc!O7283,"")</f>
        <v/>
      </c>
    </row>
    <row r="7284">
      <c r="A7284" s="16">
        <f>IF(Calc!$B7284,Calc!E7284,"")</f>
        <v/>
      </c>
      <c r="B7284">
        <f>IF(Calc!$B7284,INDEX(MineNames,Calc!C7284),"")</f>
        <v/>
      </c>
      <c r="C7284" s="17">
        <f>IF(Calc!$B7284,Calc!O7284,"")</f>
        <v/>
      </c>
    </row>
    <row r="7285">
      <c r="A7285" s="16">
        <f>IF(Calc!$B7285,Calc!E7285,"")</f>
        <v/>
      </c>
      <c r="B7285">
        <f>IF(Calc!$B7285,INDEX(MineNames,Calc!C7285),"")</f>
        <v/>
      </c>
      <c r="C7285" s="17">
        <f>IF(Calc!$B7285,Calc!O7285,"")</f>
        <v/>
      </c>
    </row>
    <row r="7286">
      <c r="A7286" s="16">
        <f>IF(Calc!$B7286,Calc!E7286,"")</f>
        <v/>
      </c>
      <c r="B7286">
        <f>IF(Calc!$B7286,INDEX(MineNames,Calc!C7286),"")</f>
        <v/>
      </c>
      <c r="C7286" s="17">
        <f>IF(Calc!$B7286,Calc!O7286,"")</f>
        <v/>
      </c>
    </row>
    <row r="7287">
      <c r="A7287" s="16">
        <f>IF(Calc!$B7287,Calc!E7287,"")</f>
        <v/>
      </c>
      <c r="B7287">
        <f>IF(Calc!$B7287,INDEX(MineNames,Calc!C7287),"")</f>
        <v/>
      </c>
      <c r="C7287" s="17">
        <f>IF(Calc!$B7287,Calc!O7287,"")</f>
        <v/>
      </c>
    </row>
    <row r="7288">
      <c r="A7288" s="16">
        <f>IF(Calc!$B7288,Calc!E7288,"")</f>
        <v/>
      </c>
      <c r="B7288">
        <f>IF(Calc!$B7288,INDEX(MineNames,Calc!C7288),"")</f>
        <v/>
      </c>
      <c r="C7288" s="17">
        <f>IF(Calc!$B7288,Calc!O7288,"")</f>
        <v/>
      </c>
    </row>
    <row r="7289">
      <c r="A7289" s="16">
        <f>IF(Calc!$B7289,Calc!E7289,"")</f>
        <v/>
      </c>
      <c r="B7289">
        <f>IF(Calc!$B7289,INDEX(MineNames,Calc!C7289),"")</f>
        <v/>
      </c>
      <c r="C7289" s="17">
        <f>IF(Calc!$B7289,Calc!O7289,"")</f>
        <v/>
      </c>
    </row>
    <row r="7290">
      <c r="A7290" s="16">
        <f>IF(Calc!$B7290,Calc!E7290,"")</f>
        <v/>
      </c>
      <c r="B7290">
        <f>IF(Calc!$B7290,INDEX(MineNames,Calc!C7290),"")</f>
        <v/>
      </c>
      <c r="C7290" s="17">
        <f>IF(Calc!$B7290,Calc!O7290,"")</f>
        <v/>
      </c>
    </row>
    <row r="7291">
      <c r="A7291" s="16">
        <f>IF(Calc!$B7291,Calc!E7291,"")</f>
        <v/>
      </c>
      <c r="B7291">
        <f>IF(Calc!$B7291,INDEX(MineNames,Calc!C7291),"")</f>
        <v/>
      </c>
      <c r="C7291" s="17">
        <f>IF(Calc!$B7291,Calc!O7291,"")</f>
        <v/>
      </c>
    </row>
    <row r="7292">
      <c r="A7292" s="16">
        <f>IF(Calc!$B7292,Calc!E7292,"")</f>
        <v/>
      </c>
      <c r="B7292">
        <f>IF(Calc!$B7292,INDEX(MineNames,Calc!C7292),"")</f>
        <v/>
      </c>
      <c r="C7292" s="17">
        <f>IF(Calc!$B7292,Calc!O7292,"")</f>
        <v/>
      </c>
    </row>
    <row r="7293">
      <c r="A7293" s="16">
        <f>IF(Calc!$B7293,Calc!E7293,"")</f>
        <v/>
      </c>
      <c r="B7293">
        <f>IF(Calc!$B7293,INDEX(MineNames,Calc!C7293),"")</f>
        <v/>
      </c>
      <c r="C7293" s="17">
        <f>IF(Calc!$B7293,Calc!O7293,"")</f>
        <v/>
      </c>
    </row>
    <row r="7294">
      <c r="A7294" s="16">
        <f>IF(Calc!$B7294,Calc!E7294,"")</f>
        <v/>
      </c>
      <c r="B7294">
        <f>IF(Calc!$B7294,INDEX(MineNames,Calc!C7294),"")</f>
        <v/>
      </c>
      <c r="C7294" s="17">
        <f>IF(Calc!$B7294,Calc!O7294,"")</f>
        <v/>
      </c>
    </row>
    <row r="7295">
      <c r="A7295" s="16">
        <f>IF(Calc!$B7295,Calc!E7295,"")</f>
        <v/>
      </c>
      <c r="B7295">
        <f>IF(Calc!$B7295,INDEX(MineNames,Calc!C7295),"")</f>
        <v/>
      </c>
      <c r="C7295" s="17">
        <f>IF(Calc!$B7295,Calc!O7295,"")</f>
        <v/>
      </c>
    </row>
    <row r="7296">
      <c r="A7296" s="16">
        <f>IF(Calc!$B7296,Calc!E7296,"")</f>
        <v/>
      </c>
      <c r="B7296">
        <f>IF(Calc!$B7296,INDEX(MineNames,Calc!C7296),"")</f>
        <v/>
      </c>
      <c r="C7296" s="17">
        <f>IF(Calc!$B7296,Calc!O7296,"")</f>
        <v/>
      </c>
    </row>
    <row r="7297">
      <c r="A7297" s="16">
        <f>IF(Calc!$B7297,Calc!E7297,"")</f>
        <v/>
      </c>
      <c r="B7297">
        <f>IF(Calc!$B7297,INDEX(MineNames,Calc!C7297),"")</f>
        <v/>
      </c>
      <c r="C7297" s="17">
        <f>IF(Calc!$B7297,Calc!O7297,"")</f>
        <v/>
      </c>
    </row>
    <row r="7298">
      <c r="A7298" s="16">
        <f>IF(Calc!$B7298,Calc!E7298,"")</f>
        <v/>
      </c>
      <c r="B7298">
        <f>IF(Calc!$B7298,INDEX(MineNames,Calc!C7298),"")</f>
        <v/>
      </c>
      <c r="C7298" s="17">
        <f>IF(Calc!$B7298,Calc!O7298,"")</f>
        <v/>
      </c>
    </row>
    <row r="7299">
      <c r="A7299" s="16">
        <f>IF(Calc!$B7299,Calc!E7299,"")</f>
        <v/>
      </c>
      <c r="B7299">
        <f>IF(Calc!$B7299,INDEX(MineNames,Calc!C7299),"")</f>
        <v/>
      </c>
      <c r="C7299" s="17">
        <f>IF(Calc!$B7299,Calc!O7299,"")</f>
        <v/>
      </c>
    </row>
    <row r="7300">
      <c r="A7300" s="16">
        <f>IF(Calc!$B7300,Calc!E7300,"")</f>
        <v/>
      </c>
      <c r="B7300">
        <f>IF(Calc!$B7300,INDEX(MineNames,Calc!C7300),"")</f>
        <v/>
      </c>
      <c r="C7300" s="17">
        <f>IF(Calc!$B7300,Calc!O7300,"")</f>
        <v/>
      </c>
    </row>
    <row r="7301">
      <c r="A7301" s="16">
        <f>IF(Calc!$B7301,Calc!E7301,"")</f>
        <v/>
      </c>
      <c r="B7301">
        <f>IF(Calc!$B7301,INDEX(MineNames,Calc!C7301),"")</f>
        <v/>
      </c>
      <c r="C7301" s="17">
        <f>IF(Calc!$B7301,Calc!O7301,"")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Mine</t>
        </is>
      </c>
      <c r="B1" s="2" t="inlineStr">
        <is>
          <t>Name</t>
        </is>
      </c>
      <c r="C1" s="2" t="inlineStr">
        <is>
          <t>Size factor</t>
        </is>
      </c>
    </row>
    <row r="2">
      <c r="A2" t="n">
        <v>1</v>
      </c>
      <c r="B2">
        <f>IF(A2&lt;=MineCount,INDEX(MineNames,A2),"")</f>
        <v/>
      </c>
      <c r="C2">
        <f>1+Spread*(2*MOD(SIN(Seed*1.3711+A2*91.733)*43758.5453,1)-1)</f>
        <v/>
      </c>
    </row>
    <row r="3">
      <c r="A3" t="n">
        <v>2</v>
      </c>
      <c r="B3">
        <f>IF(A3&lt;=MineCount,INDEX(MineNames,A3),"")</f>
        <v/>
      </c>
      <c r="C3">
        <f>1+Spread*(2*MOD(SIN(Seed*1.3711+A3*91.733)*43758.5453,1)-1)</f>
        <v/>
      </c>
    </row>
    <row r="4">
      <c r="A4" t="n">
        <v>3</v>
      </c>
      <c r="B4">
        <f>IF(A4&lt;=MineCount,INDEX(MineNames,A4),"")</f>
        <v/>
      </c>
      <c r="C4">
        <f>1+Spread*(2*MOD(SIN(Seed*1.3711+A4*91.733)*43758.5453,1)-1)</f>
        <v/>
      </c>
    </row>
    <row r="5">
      <c r="A5" t="n">
        <v>4</v>
      </c>
      <c r="B5">
        <f>IF(A5&lt;=MineCount,INDEX(MineNames,A5),"")</f>
        <v/>
      </c>
      <c r="C5">
        <f>1+Spread*(2*MOD(SIN(Seed*1.3711+A5*91.733)*43758.5453,1)-1)</f>
        <v/>
      </c>
    </row>
    <row r="6">
      <c r="A6" t="n">
        <v>5</v>
      </c>
      <c r="B6">
        <f>IF(A6&lt;=MineCount,INDEX(MineNames,A6),"")</f>
        <v/>
      </c>
      <c r="C6">
        <f>1+Spread*(2*MOD(SIN(Seed*1.3711+A6*91.733)*43758.5453,1)-1)</f>
        <v/>
      </c>
    </row>
    <row r="7">
      <c r="A7" t="n">
        <v>6</v>
      </c>
      <c r="B7">
        <f>IF(A7&lt;=MineCount,INDEX(MineNames,A7),"")</f>
        <v/>
      </c>
      <c r="C7">
        <f>1+Spread*(2*MOD(SIN(Seed*1.3711+A7*91.733)*43758.5453,1)-1)</f>
        <v/>
      </c>
    </row>
    <row r="8">
      <c r="A8" t="n">
        <v>7</v>
      </c>
      <c r="B8">
        <f>IF(A8&lt;=MineCount,INDEX(MineNames,A8),"")</f>
        <v/>
      </c>
      <c r="C8">
        <f>1+Spread*(2*MOD(SIN(Seed*1.3711+A8*91.733)*43758.5453,1)-1)</f>
        <v/>
      </c>
    </row>
    <row r="9">
      <c r="A9" t="n">
        <v>8</v>
      </c>
      <c r="B9">
        <f>IF(A9&lt;=MineCount,INDEX(MineNames,A9),"")</f>
        <v/>
      </c>
      <c r="C9">
        <f>1+Spread*(2*MOD(SIN(Seed*1.3711+A9*91.733)*43758.5453,1)-1)</f>
        <v/>
      </c>
    </row>
    <row r="10">
      <c r="A10" t="n">
        <v>9</v>
      </c>
      <c r="B10">
        <f>IF(A10&lt;=MineCount,INDEX(MineNames,A10),"")</f>
        <v/>
      </c>
      <c r="C10">
        <f>1+Spread*(2*MOD(SIN(Seed*1.3711+A10*91.733)*43758.5453,1)-1)</f>
        <v/>
      </c>
    </row>
    <row r="11">
      <c r="A11" t="n">
        <v>10</v>
      </c>
      <c r="B11">
        <f>IF(A11&lt;=MineCount,INDEX(MineNames,A11),"")</f>
        <v/>
      </c>
      <c r="C11">
        <f>1+Spread*(2*MOD(SIN(Seed*1.3711+A11*91.733)*43758.5453,1)-1)</f>
        <v/>
      </c>
    </row>
    <row r="12">
      <c r="E12" s="18" t="inlineStr">
        <is>
          <t>Random rank key per mine</t>
        </is>
      </c>
      <c r="O12" s="18" t="inlineStr">
        <is>
          <t>Affected (1) or not (0)</t>
        </is>
      </c>
    </row>
    <row r="13">
      <c r="A13" s="2" t="inlineStr">
        <is>
          <t>Event</t>
        </is>
      </c>
      <c r="B13" s="2" t="inlineStr">
        <is>
          <t>Factor</t>
        </is>
      </c>
      <c r="C13" s="2" t="inlineStr">
        <is>
          <t>Center</t>
        </is>
      </c>
      <c r="D13" s="2" t="inlineStr">
        <is>
          <t>Sigma</t>
        </is>
      </c>
      <c r="E13" s="2" t="n">
        <v>1</v>
      </c>
      <c r="F13" s="2" t="n">
        <v>2</v>
      </c>
      <c r="G13" s="2" t="n">
        <v>3</v>
      </c>
      <c r="H13" s="2" t="n">
        <v>4</v>
      </c>
      <c r="I13" s="2" t="n">
        <v>5</v>
      </c>
      <c r="J13" s="2" t="n">
        <v>6</v>
      </c>
      <c r="K13" s="2" t="n">
        <v>7</v>
      </c>
      <c r="L13" s="2" t="n">
        <v>8</v>
      </c>
      <c r="M13" s="2" t="n">
        <v>9</v>
      </c>
      <c r="N13" s="2" t="n">
        <v>10</v>
      </c>
      <c r="O13" s="2" t="n">
        <v>1</v>
      </c>
      <c r="P13" s="2" t="n">
        <v>2</v>
      </c>
      <c r="Q13" s="2" t="n">
        <v>3</v>
      </c>
      <c r="R13" s="2" t="n">
        <v>4</v>
      </c>
      <c r="S13" s="2" t="n">
        <v>5</v>
      </c>
      <c r="T13" s="2" t="n">
        <v>6</v>
      </c>
      <c r="U13" s="2" t="n">
        <v>7</v>
      </c>
      <c r="V13" s="2" t="n">
        <v>8</v>
      </c>
      <c r="W13" s="2" t="n">
        <v>9</v>
      </c>
      <c r="X13" s="2" t="n">
        <v>10</v>
      </c>
    </row>
    <row r="14">
      <c r="A14" t="n">
        <v>1</v>
      </c>
      <c r="B14">
        <f>IF(INDEX(EvDate,1)="",1,MAX(INDEX(EvFactor,1),0.01))</f>
        <v/>
      </c>
      <c r="C14">
        <f>IF(INDEX(EvDate,1)="",0,INDEX(EvDate,1)+(MAX(INDEX(EvDur,1),1)-1)/2)</f>
        <v/>
      </c>
      <c r="D14">
        <f>MAX(INDEX(EvDur,1),1)/2</f>
        <v/>
      </c>
      <c r="E14">
        <f>IF(1&gt;MineCount,2,MOD(SIN(Seed*0.9137+1*311.71+1*17.317)*43758.5453,1))</f>
        <v/>
      </c>
      <c r="F14">
        <f>IF(2&gt;MineCount,2,MOD(SIN(Seed*0.9137+1*311.71+2*17.317)*43758.5453,1))</f>
        <v/>
      </c>
      <c r="G14">
        <f>IF(3&gt;MineCount,2,MOD(SIN(Seed*0.9137+1*311.71+3*17.317)*43758.5453,1))</f>
        <v/>
      </c>
      <c r="H14">
        <f>IF(4&gt;MineCount,2,MOD(SIN(Seed*0.9137+1*311.71+4*17.317)*43758.5453,1))</f>
        <v/>
      </c>
      <c r="I14">
        <f>IF(5&gt;MineCount,2,MOD(SIN(Seed*0.9137+1*311.71+5*17.317)*43758.5453,1))</f>
        <v/>
      </c>
      <c r="J14">
        <f>IF(6&gt;MineCount,2,MOD(SIN(Seed*0.9137+1*311.71+6*17.317)*43758.5453,1))</f>
        <v/>
      </c>
      <c r="K14">
        <f>IF(7&gt;MineCount,2,MOD(SIN(Seed*0.9137+1*311.71+7*17.317)*43758.5453,1))</f>
        <v/>
      </c>
      <c r="L14">
        <f>IF(8&gt;MineCount,2,MOD(SIN(Seed*0.9137+1*311.71+8*17.317)*43758.5453,1))</f>
        <v/>
      </c>
      <c r="M14">
        <f>IF(9&gt;MineCount,2,MOD(SIN(Seed*0.9137+1*311.71+9*17.317)*43758.5453,1))</f>
        <v/>
      </c>
      <c r="N14">
        <f>IF(10&gt;MineCount,2,MOD(SIN(Seed*0.9137+1*311.71+10*17.317)*43758.5453,1))</f>
        <v/>
      </c>
      <c r="O14">
        <f>IF(OR(1&gt;MineCount,INDEX(EvDate,1)=""),0,IF(INDEX(EvN,1)&lt;&gt;"",IF(COUNTIF($E14:$N14,"&lt;"&amp;E14)&lt;INDEX(EvN,1),1,0),IF(E14&lt;INDEX(EvProb,1),1,0)))</f>
        <v/>
      </c>
      <c r="P14">
        <f>IF(OR(2&gt;MineCount,INDEX(EvDate,1)=""),0,IF(INDEX(EvN,1)&lt;&gt;"",IF(COUNTIF($E14:$N14,"&lt;"&amp;F14)&lt;INDEX(EvN,1),1,0),IF(F14&lt;INDEX(EvProb,1),1,0)))</f>
        <v/>
      </c>
      <c r="Q14">
        <f>IF(OR(3&gt;MineCount,INDEX(EvDate,1)=""),0,IF(INDEX(EvN,1)&lt;&gt;"",IF(COUNTIF($E14:$N14,"&lt;"&amp;G14)&lt;INDEX(EvN,1),1,0),IF(G14&lt;INDEX(EvProb,1),1,0)))</f>
        <v/>
      </c>
      <c r="R14">
        <f>IF(OR(4&gt;MineCount,INDEX(EvDate,1)=""),0,IF(INDEX(EvN,1)&lt;&gt;"",IF(COUNTIF($E14:$N14,"&lt;"&amp;H14)&lt;INDEX(EvN,1),1,0),IF(H14&lt;INDEX(EvProb,1),1,0)))</f>
        <v/>
      </c>
      <c r="S14">
        <f>IF(OR(5&gt;MineCount,INDEX(EvDate,1)=""),0,IF(INDEX(EvN,1)&lt;&gt;"",IF(COUNTIF($E14:$N14,"&lt;"&amp;I14)&lt;INDEX(EvN,1),1,0),IF(I14&lt;INDEX(EvProb,1),1,0)))</f>
        <v/>
      </c>
      <c r="T14">
        <f>IF(OR(6&gt;MineCount,INDEX(EvDate,1)=""),0,IF(INDEX(EvN,1)&lt;&gt;"",IF(COUNTIF($E14:$N14,"&lt;"&amp;J14)&lt;INDEX(EvN,1),1,0),IF(J14&lt;INDEX(EvProb,1),1,0)))</f>
        <v/>
      </c>
      <c r="U14">
        <f>IF(OR(7&gt;MineCount,INDEX(EvDate,1)=""),0,IF(INDEX(EvN,1)&lt;&gt;"",IF(COUNTIF($E14:$N14,"&lt;"&amp;K14)&lt;INDEX(EvN,1),1,0),IF(K14&lt;INDEX(EvProb,1),1,0)))</f>
        <v/>
      </c>
      <c r="V14">
        <f>IF(OR(8&gt;MineCount,INDEX(EvDate,1)=""),0,IF(INDEX(EvN,1)&lt;&gt;"",IF(COUNTIF($E14:$N14,"&lt;"&amp;L14)&lt;INDEX(EvN,1),1,0),IF(L14&lt;INDEX(EvProb,1),1,0)))</f>
        <v/>
      </c>
      <c r="W14">
        <f>IF(OR(9&gt;MineCount,INDEX(EvDate,1)=""),0,IF(INDEX(EvN,1)&lt;&gt;"",IF(COUNTIF($E14:$N14,"&lt;"&amp;M14)&lt;INDEX(EvN,1),1,0),IF(M14&lt;INDEX(EvProb,1),1,0)))</f>
        <v/>
      </c>
      <c r="X14">
        <f>IF(OR(10&gt;MineCount,INDEX(EvDate,1)=""),0,IF(INDEX(EvN,1)&lt;&gt;"",IF(COUNTIF($E14:$N14,"&lt;"&amp;N14)&lt;INDEX(EvN,1),1,0),IF(N14&lt;INDEX(EvProb,1),1,0)))</f>
        <v/>
      </c>
    </row>
    <row r="15">
      <c r="A15" t="n">
        <v>2</v>
      </c>
      <c r="B15">
        <f>IF(INDEX(EvDate,2)="",1,MAX(INDEX(EvFactor,2),0.01))</f>
        <v/>
      </c>
      <c r="C15">
        <f>IF(INDEX(EvDate,2)="",0,INDEX(EvDate,2)+(MAX(INDEX(EvDur,2),1)-1)/2)</f>
        <v/>
      </c>
      <c r="D15">
        <f>MAX(INDEX(EvDur,2),1)/2</f>
        <v/>
      </c>
      <c r="E15">
        <f>IF(1&gt;MineCount,2,MOD(SIN(Seed*0.9137+2*311.71+1*17.317)*43758.5453,1))</f>
        <v/>
      </c>
      <c r="F15">
        <f>IF(2&gt;MineCount,2,MOD(SIN(Seed*0.9137+2*311.71+2*17.317)*43758.5453,1))</f>
        <v/>
      </c>
      <c r="G15">
        <f>IF(3&gt;MineCount,2,MOD(SIN(Seed*0.9137+2*311.71+3*17.317)*43758.5453,1))</f>
        <v/>
      </c>
      <c r="H15">
        <f>IF(4&gt;MineCount,2,MOD(SIN(Seed*0.9137+2*311.71+4*17.317)*43758.5453,1))</f>
        <v/>
      </c>
      <c r="I15">
        <f>IF(5&gt;MineCount,2,MOD(SIN(Seed*0.9137+2*311.71+5*17.317)*43758.5453,1))</f>
        <v/>
      </c>
      <c r="J15">
        <f>IF(6&gt;MineCount,2,MOD(SIN(Seed*0.9137+2*311.71+6*17.317)*43758.5453,1))</f>
        <v/>
      </c>
      <c r="K15">
        <f>IF(7&gt;MineCount,2,MOD(SIN(Seed*0.9137+2*311.71+7*17.317)*43758.5453,1))</f>
        <v/>
      </c>
      <c r="L15">
        <f>IF(8&gt;MineCount,2,MOD(SIN(Seed*0.9137+2*311.71+8*17.317)*43758.5453,1))</f>
        <v/>
      </c>
      <c r="M15">
        <f>IF(9&gt;MineCount,2,MOD(SIN(Seed*0.9137+2*311.71+9*17.317)*43758.5453,1))</f>
        <v/>
      </c>
      <c r="N15">
        <f>IF(10&gt;MineCount,2,MOD(SIN(Seed*0.9137+2*311.71+10*17.317)*43758.5453,1))</f>
        <v/>
      </c>
      <c r="O15">
        <f>IF(OR(1&gt;MineCount,INDEX(EvDate,2)=""),0,IF(INDEX(EvN,2)&lt;&gt;"",IF(COUNTIF($E15:$N15,"&lt;"&amp;E15)&lt;INDEX(EvN,2),1,0),IF(E15&lt;INDEX(EvProb,2),1,0)))</f>
        <v/>
      </c>
      <c r="P15">
        <f>IF(OR(2&gt;MineCount,INDEX(EvDate,2)=""),0,IF(INDEX(EvN,2)&lt;&gt;"",IF(COUNTIF($E15:$N15,"&lt;"&amp;F15)&lt;INDEX(EvN,2),1,0),IF(F15&lt;INDEX(EvProb,2),1,0)))</f>
        <v/>
      </c>
      <c r="Q15">
        <f>IF(OR(3&gt;MineCount,INDEX(EvDate,2)=""),0,IF(INDEX(EvN,2)&lt;&gt;"",IF(COUNTIF($E15:$N15,"&lt;"&amp;G15)&lt;INDEX(EvN,2),1,0),IF(G15&lt;INDEX(EvProb,2),1,0)))</f>
        <v/>
      </c>
      <c r="R15">
        <f>IF(OR(4&gt;MineCount,INDEX(EvDate,2)=""),0,IF(INDEX(EvN,2)&lt;&gt;"",IF(COUNTIF($E15:$N15,"&lt;"&amp;H15)&lt;INDEX(EvN,2),1,0),IF(H15&lt;INDEX(EvProb,2),1,0)))</f>
        <v/>
      </c>
      <c r="S15">
        <f>IF(OR(5&gt;MineCount,INDEX(EvDate,2)=""),0,IF(INDEX(EvN,2)&lt;&gt;"",IF(COUNTIF($E15:$N15,"&lt;"&amp;I15)&lt;INDEX(EvN,2),1,0),IF(I15&lt;INDEX(EvProb,2),1,0)))</f>
        <v/>
      </c>
      <c r="T15">
        <f>IF(OR(6&gt;MineCount,INDEX(EvDate,2)=""),0,IF(INDEX(EvN,2)&lt;&gt;"",IF(COUNTIF($E15:$N15,"&lt;"&amp;J15)&lt;INDEX(EvN,2),1,0),IF(J15&lt;INDEX(EvProb,2),1,0)))</f>
        <v/>
      </c>
      <c r="U15">
        <f>IF(OR(7&gt;MineCount,INDEX(EvDate,2)=""),0,IF(INDEX(EvN,2)&lt;&gt;"",IF(COUNTIF($E15:$N15,"&lt;"&amp;K15)&lt;INDEX(EvN,2),1,0),IF(K15&lt;INDEX(EvProb,2),1,0)))</f>
        <v/>
      </c>
      <c r="V15">
        <f>IF(OR(8&gt;MineCount,INDEX(EvDate,2)=""),0,IF(INDEX(EvN,2)&lt;&gt;"",IF(COUNTIF($E15:$N15,"&lt;"&amp;L15)&lt;INDEX(EvN,2),1,0),IF(L15&lt;INDEX(EvProb,2),1,0)))</f>
        <v/>
      </c>
      <c r="W15">
        <f>IF(OR(9&gt;MineCount,INDEX(EvDate,2)=""),0,IF(INDEX(EvN,2)&lt;&gt;"",IF(COUNTIF($E15:$N15,"&lt;"&amp;M15)&lt;INDEX(EvN,2),1,0),IF(M15&lt;INDEX(EvProb,2),1,0)))</f>
        <v/>
      </c>
      <c r="X15">
        <f>IF(OR(10&gt;MineCount,INDEX(EvDate,2)=""),0,IF(INDEX(EvN,2)&lt;&gt;"",IF(COUNTIF($E15:$N15,"&lt;"&amp;N15)&lt;INDEX(EvN,2),1,0),IF(N15&lt;INDEX(EvProb,2),1,0)))</f>
        <v/>
      </c>
    </row>
    <row r="16">
      <c r="A16" t="n">
        <v>3</v>
      </c>
      <c r="B16">
        <f>IF(INDEX(EvDate,3)="",1,MAX(INDEX(EvFactor,3),0.01))</f>
        <v/>
      </c>
      <c r="C16">
        <f>IF(INDEX(EvDate,3)="",0,INDEX(EvDate,3)+(MAX(INDEX(EvDur,3),1)-1)/2)</f>
        <v/>
      </c>
      <c r="D16">
        <f>MAX(INDEX(EvDur,3),1)/2</f>
        <v/>
      </c>
      <c r="E16">
        <f>IF(1&gt;MineCount,2,MOD(SIN(Seed*0.9137+3*311.71+1*17.317)*43758.5453,1))</f>
        <v/>
      </c>
      <c r="F16">
        <f>IF(2&gt;MineCount,2,MOD(SIN(Seed*0.9137+3*311.71+2*17.317)*43758.5453,1))</f>
        <v/>
      </c>
      <c r="G16">
        <f>IF(3&gt;MineCount,2,MOD(SIN(Seed*0.9137+3*311.71+3*17.317)*43758.5453,1))</f>
        <v/>
      </c>
      <c r="H16">
        <f>IF(4&gt;MineCount,2,MOD(SIN(Seed*0.9137+3*311.71+4*17.317)*43758.5453,1))</f>
        <v/>
      </c>
      <c r="I16">
        <f>IF(5&gt;MineCount,2,MOD(SIN(Seed*0.9137+3*311.71+5*17.317)*43758.5453,1))</f>
        <v/>
      </c>
      <c r="J16">
        <f>IF(6&gt;MineCount,2,MOD(SIN(Seed*0.9137+3*311.71+6*17.317)*43758.5453,1))</f>
        <v/>
      </c>
      <c r="K16">
        <f>IF(7&gt;MineCount,2,MOD(SIN(Seed*0.9137+3*311.71+7*17.317)*43758.5453,1))</f>
        <v/>
      </c>
      <c r="L16">
        <f>IF(8&gt;MineCount,2,MOD(SIN(Seed*0.9137+3*311.71+8*17.317)*43758.5453,1))</f>
        <v/>
      </c>
      <c r="M16">
        <f>IF(9&gt;MineCount,2,MOD(SIN(Seed*0.9137+3*311.71+9*17.317)*43758.5453,1))</f>
        <v/>
      </c>
      <c r="N16">
        <f>IF(10&gt;MineCount,2,MOD(SIN(Seed*0.9137+3*311.71+10*17.317)*43758.5453,1))</f>
        <v/>
      </c>
      <c r="O16">
        <f>IF(OR(1&gt;MineCount,INDEX(EvDate,3)=""),0,IF(INDEX(EvN,3)&lt;&gt;"",IF(COUNTIF($E16:$N16,"&lt;"&amp;E16)&lt;INDEX(EvN,3),1,0),IF(E16&lt;INDEX(EvProb,3),1,0)))</f>
        <v/>
      </c>
      <c r="P16">
        <f>IF(OR(2&gt;MineCount,INDEX(EvDate,3)=""),0,IF(INDEX(EvN,3)&lt;&gt;"",IF(COUNTIF($E16:$N16,"&lt;"&amp;F16)&lt;INDEX(EvN,3),1,0),IF(F16&lt;INDEX(EvProb,3),1,0)))</f>
        <v/>
      </c>
      <c r="Q16">
        <f>IF(OR(3&gt;MineCount,INDEX(EvDate,3)=""),0,IF(INDEX(EvN,3)&lt;&gt;"",IF(COUNTIF($E16:$N16,"&lt;"&amp;G16)&lt;INDEX(EvN,3),1,0),IF(G16&lt;INDEX(EvProb,3),1,0)))</f>
        <v/>
      </c>
      <c r="R16">
        <f>IF(OR(4&gt;MineCount,INDEX(EvDate,3)=""),0,IF(INDEX(EvN,3)&lt;&gt;"",IF(COUNTIF($E16:$N16,"&lt;"&amp;H16)&lt;INDEX(EvN,3),1,0),IF(H16&lt;INDEX(EvProb,3),1,0)))</f>
        <v/>
      </c>
      <c r="S16">
        <f>IF(OR(5&gt;MineCount,INDEX(EvDate,3)=""),0,IF(INDEX(EvN,3)&lt;&gt;"",IF(COUNTIF($E16:$N16,"&lt;"&amp;I16)&lt;INDEX(EvN,3),1,0),IF(I16&lt;INDEX(EvProb,3),1,0)))</f>
        <v/>
      </c>
      <c r="T16">
        <f>IF(OR(6&gt;MineCount,INDEX(EvDate,3)=""),0,IF(INDEX(EvN,3)&lt;&gt;"",IF(COUNTIF($E16:$N16,"&lt;"&amp;J16)&lt;INDEX(EvN,3),1,0),IF(J16&lt;INDEX(EvProb,3),1,0)))</f>
        <v/>
      </c>
      <c r="U16">
        <f>IF(OR(7&gt;MineCount,INDEX(EvDate,3)=""),0,IF(INDEX(EvN,3)&lt;&gt;"",IF(COUNTIF($E16:$N16,"&lt;"&amp;K16)&lt;INDEX(EvN,3),1,0),IF(K16&lt;INDEX(EvProb,3),1,0)))</f>
        <v/>
      </c>
      <c r="V16">
        <f>IF(OR(8&gt;MineCount,INDEX(EvDate,3)=""),0,IF(INDEX(EvN,3)&lt;&gt;"",IF(COUNTIF($E16:$N16,"&lt;"&amp;L16)&lt;INDEX(EvN,3),1,0),IF(L16&lt;INDEX(EvProb,3),1,0)))</f>
        <v/>
      </c>
      <c r="W16">
        <f>IF(OR(9&gt;MineCount,INDEX(EvDate,3)=""),0,IF(INDEX(EvN,3)&lt;&gt;"",IF(COUNTIF($E16:$N16,"&lt;"&amp;M16)&lt;INDEX(EvN,3),1,0),IF(M16&lt;INDEX(EvProb,3),1,0)))</f>
        <v/>
      </c>
      <c r="X16">
        <f>IF(OR(10&gt;MineCount,INDEX(EvDate,3)=""),0,IF(INDEX(EvN,3)&lt;&gt;"",IF(COUNTIF($E16:$N16,"&lt;"&amp;N16)&lt;INDEX(EvN,3),1,0),IF(N16&lt;INDEX(EvProb,3),1,0)))</f>
        <v/>
      </c>
    </row>
    <row r="17">
      <c r="A17" t="n">
        <v>4</v>
      </c>
      <c r="B17">
        <f>IF(INDEX(EvDate,4)="",1,MAX(INDEX(EvFactor,4),0.01))</f>
        <v/>
      </c>
      <c r="C17">
        <f>IF(INDEX(EvDate,4)="",0,INDEX(EvDate,4)+(MAX(INDEX(EvDur,4),1)-1)/2)</f>
        <v/>
      </c>
      <c r="D17">
        <f>MAX(INDEX(EvDur,4),1)/2</f>
        <v/>
      </c>
      <c r="E17">
        <f>IF(1&gt;MineCount,2,MOD(SIN(Seed*0.9137+4*311.71+1*17.317)*43758.5453,1))</f>
        <v/>
      </c>
      <c r="F17">
        <f>IF(2&gt;MineCount,2,MOD(SIN(Seed*0.9137+4*311.71+2*17.317)*43758.5453,1))</f>
        <v/>
      </c>
      <c r="G17">
        <f>IF(3&gt;MineCount,2,MOD(SIN(Seed*0.9137+4*311.71+3*17.317)*43758.5453,1))</f>
        <v/>
      </c>
      <c r="H17">
        <f>IF(4&gt;MineCount,2,MOD(SIN(Seed*0.9137+4*311.71+4*17.317)*43758.5453,1))</f>
        <v/>
      </c>
      <c r="I17">
        <f>IF(5&gt;MineCount,2,MOD(SIN(Seed*0.9137+4*311.71+5*17.317)*43758.5453,1))</f>
        <v/>
      </c>
      <c r="J17">
        <f>IF(6&gt;MineCount,2,MOD(SIN(Seed*0.9137+4*311.71+6*17.317)*43758.5453,1))</f>
        <v/>
      </c>
      <c r="K17">
        <f>IF(7&gt;MineCount,2,MOD(SIN(Seed*0.9137+4*311.71+7*17.317)*43758.5453,1))</f>
        <v/>
      </c>
      <c r="L17">
        <f>IF(8&gt;MineCount,2,MOD(SIN(Seed*0.9137+4*311.71+8*17.317)*43758.5453,1))</f>
        <v/>
      </c>
      <c r="M17">
        <f>IF(9&gt;MineCount,2,MOD(SIN(Seed*0.9137+4*311.71+9*17.317)*43758.5453,1))</f>
        <v/>
      </c>
      <c r="N17">
        <f>IF(10&gt;MineCount,2,MOD(SIN(Seed*0.9137+4*311.71+10*17.317)*43758.5453,1))</f>
        <v/>
      </c>
      <c r="O17">
        <f>IF(OR(1&gt;MineCount,INDEX(EvDate,4)=""),0,IF(INDEX(EvN,4)&lt;&gt;"",IF(COUNTIF($E17:$N17,"&lt;"&amp;E17)&lt;INDEX(EvN,4),1,0),IF(E17&lt;INDEX(EvProb,4),1,0)))</f>
        <v/>
      </c>
      <c r="P17">
        <f>IF(OR(2&gt;MineCount,INDEX(EvDate,4)=""),0,IF(INDEX(EvN,4)&lt;&gt;"",IF(COUNTIF($E17:$N17,"&lt;"&amp;F17)&lt;INDEX(EvN,4),1,0),IF(F17&lt;INDEX(EvProb,4),1,0)))</f>
        <v/>
      </c>
      <c r="Q17">
        <f>IF(OR(3&gt;MineCount,INDEX(EvDate,4)=""),0,IF(INDEX(EvN,4)&lt;&gt;"",IF(COUNTIF($E17:$N17,"&lt;"&amp;G17)&lt;INDEX(EvN,4),1,0),IF(G17&lt;INDEX(EvProb,4),1,0)))</f>
        <v/>
      </c>
      <c r="R17">
        <f>IF(OR(4&gt;MineCount,INDEX(EvDate,4)=""),0,IF(INDEX(EvN,4)&lt;&gt;"",IF(COUNTIF($E17:$N17,"&lt;"&amp;H17)&lt;INDEX(EvN,4),1,0),IF(H17&lt;INDEX(EvProb,4),1,0)))</f>
        <v/>
      </c>
      <c r="S17">
        <f>IF(OR(5&gt;MineCount,INDEX(EvDate,4)=""),0,IF(INDEX(EvN,4)&lt;&gt;"",IF(COUNTIF($E17:$N17,"&lt;"&amp;I17)&lt;INDEX(EvN,4),1,0),IF(I17&lt;INDEX(EvProb,4),1,0)))</f>
        <v/>
      </c>
      <c r="T17">
        <f>IF(OR(6&gt;MineCount,INDEX(EvDate,4)=""),0,IF(INDEX(EvN,4)&lt;&gt;"",IF(COUNTIF($E17:$N17,"&lt;"&amp;J17)&lt;INDEX(EvN,4),1,0),IF(J17&lt;INDEX(EvProb,4),1,0)))</f>
        <v/>
      </c>
      <c r="U17">
        <f>IF(OR(7&gt;MineCount,INDEX(EvDate,4)=""),0,IF(INDEX(EvN,4)&lt;&gt;"",IF(COUNTIF($E17:$N17,"&lt;"&amp;K17)&lt;INDEX(EvN,4),1,0),IF(K17&lt;INDEX(EvProb,4),1,0)))</f>
        <v/>
      </c>
      <c r="V17">
        <f>IF(OR(8&gt;MineCount,INDEX(EvDate,4)=""),0,IF(INDEX(EvN,4)&lt;&gt;"",IF(COUNTIF($E17:$N17,"&lt;"&amp;L17)&lt;INDEX(EvN,4),1,0),IF(L17&lt;INDEX(EvProb,4),1,0)))</f>
        <v/>
      </c>
      <c r="W17">
        <f>IF(OR(9&gt;MineCount,INDEX(EvDate,4)=""),0,IF(INDEX(EvN,4)&lt;&gt;"",IF(COUNTIF($E17:$N17,"&lt;"&amp;M17)&lt;INDEX(EvN,4),1,0),IF(M17&lt;INDEX(EvProb,4),1,0)))</f>
        <v/>
      </c>
      <c r="X17">
        <f>IF(OR(10&gt;MineCount,INDEX(EvDate,4)=""),0,IF(INDEX(EvN,4)&lt;&gt;"",IF(COUNTIF($E17:$N17,"&lt;"&amp;N17)&lt;INDEX(EvN,4),1,0),IF(N17&lt;INDEX(EvProb,4),1,0)))</f>
        <v/>
      </c>
    </row>
    <row r="18">
      <c r="A18" t="n">
        <v>5</v>
      </c>
      <c r="B18">
        <f>IF(INDEX(EvDate,5)="",1,MAX(INDEX(EvFactor,5),0.01))</f>
        <v/>
      </c>
      <c r="C18">
        <f>IF(INDEX(EvDate,5)="",0,INDEX(EvDate,5)+(MAX(INDEX(EvDur,5),1)-1)/2)</f>
        <v/>
      </c>
      <c r="D18">
        <f>MAX(INDEX(EvDur,5),1)/2</f>
        <v/>
      </c>
      <c r="E18">
        <f>IF(1&gt;MineCount,2,MOD(SIN(Seed*0.9137+5*311.71+1*17.317)*43758.5453,1))</f>
        <v/>
      </c>
      <c r="F18">
        <f>IF(2&gt;MineCount,2,MOD(SIN(Seed*0.9137+5*311.71+2*17.317)*43758.5453,1))</f>
        <v/>
      </c>
      <c r="G18">
        <f>IF(3&gt;MineCount,2,MOD(SIN(Seed*0.9137+5*311.71+3*17.317)*43758.5453,1))</f>
        <v/>
      </c>
      <c r="H18">
        <f>IF(4&gt;MineCount,2,MOD(SIN(Seed*0.9137+5*311.71+4*17.317)*43758.5453,1))</f>
        <v/>
      </c>
      <c r="I18">
        <f>IF(5&gt;MineCount,2,MOD(SIN(Seed*0.9137+5*311.71+5*17.317)*43758.5453,1))</f>
        <v/>
      </c>
      <c r="J18">
        <f>IF(6&gt;MineCount,2,MOD(SIN(Seed*0.9137+5*311.71+6*17.317)*43758.5453,1))</f>
        <v/>
      </c>
      <c r="K18">
        <f>IF(7&gt;MineCount,2,MOD(SIN(Seed*0.9137+5*311.71+7*17.317)*43758.5453,1))</f>
        <v/>
      </c>
      <c r="L18">
        <f>IF(8&gt;MineCount,2,MOD(SIN(Seed*0.9137+5*311.71+8*17.317)*43758.5453,1))</f>
        <v/>
      </c>
      <c r="M18">
        <f>IF(9&gt;MineCount,2,MOD(SIN(Seed*0.9137+5*311.71+9*17.317)*43758.5453,1))</f>
        <v/>
      </c>
      <c r="N18">
        <f>IF(10&gt;MineCount,2,MOD(SIN(Seed*0.9137+5*311.71+10*17.317)*43758.5453,1))</f>
        <v/>
      </c>
      <c r="O18">
        <f>IF(OR(1&gt;MineCount,INDEX(EvDate,5)=""),0,IF(INDEX(EvN,5)&lt;&gt;"",IF(COUNTIF($E18:$N18,"&lt;"&amp;E18)&lt;INDEX(EvN,5),1,0),IF(E18&lt;INDEX(EvProb,5),1,0)))</f>
        <v/>
      </c>
      <c r="P18">
        <f>IF(OR(2&gt;MineCount,INDEX(EvDate,5)=""),0,IF(INDEX(EvN,5)&lt;&gt;"",IF(COUNTIF($E18:$N18,"&lt;"&amp;F18)&lt;INDEX(EvN,5),1,0),IF(F18&lt;INDEX(EvProb,5),1,0)))</f>
        <v/>
      </c>
      <c r="Q18">
        <f>IF(OR(3&gt;MineCount,INDEX(EvDate,5)=""),0,IF(INDEX(EvN,5)&lt;&gt;"",IF(COUNTIF($E18:$N18,"&lt;"&amp;G18)&lt;INDEX(EvN,5),1,0),IF(G18&lt;INDEX(EvProb,5),1,0)))</f>
        <v/>
      </c>
      <c r="R18">
        <f>IF(OR(4&gt;MineCount,INDEX(EvDate,5)=""),0,IF(INDEX(EvN,5)&lt;&gt;"",IF(COUNTIF($E18:$N18,"&lt;"&amp;H18)&lt;INDEX(EvN,5),1,0),IF(H18&lt;INDEX(EvProb,5),1,0)))</f>
        <v/>
      </c>
      <c r="S18">
        <f>IF(OR(5&gt;MineCount,INDEX(EvDate,5)=""),0,IF(INDEX(EvN,5)&lt;&gt;"",IF(COUNTIF($E18:$N18,"&lt;"&amp;I18)&lt;INDEX(EvN,5),1,0),IF(I18&lt;INDEX(EvProb,5),1,0)))</f>
        <v/>
      </c>
      <c r="T18">
        <f>IF(OR(6&gt;MineCount,INDEX(EvDate,5)=""),0,IF(INDEX(EvN,5)&lt;&gt;"",IF(COUNTIF($E18:$N18,"&lt;"&amp;J18)&lt;INDEX(EvN,5),1,0),IF(J18&lt;INDEX(EvProb,5),1,0)))</f>
        <v/>
      </c>
      <c r="U18">
        <f>IF(OR(7&gt;MineCount,INDEX(EvDate,5)=""),0,IF(INDEX(EvN,5)&lt;&gt;"",IF(COUNTIF($E18:$N18,"&lt;"&amp;K18)&lt;INDEX(EvN,5),1,0),IF(K18&lt;INDEX(EvProb,5),1,0)))</f>
        <v/>
      </c>
      <c r="V18">
        <f>IF(OR(8&gt;MineCount,INDEX(EvDate,5)=""),0,IF(INDEX(EvN,5)&lt;&gt;"",IF(COUNTIF($E18:$N18,"&lt;"&amp;L18)&lt;INDEX(EvN,5),1,0),IF(L18&lt;INDEX(EvProb,5),1,0)))</f>
        <v/>
      </c>
      <c r="W18">
        <f>IF(OR(9&gt;MineCount,INDEX(EvDate,5)=""),0,IF(INDEX(EvN,5)&lt;&gt;"",IF(COUNTIF($E18:$N18,"&lt;"&amp;M18)&lt;INDEX(EvN,5),1,0),IF(M18&lt;INDEX(EvProb,5),1,0)))</f>
        <v/>
      </c>
      <c r="X18">
        <f>IF(OR(10&gt;MineCount,INDEX(EvDate,5)=""),0,IF(INDEX(EvN,5)&lt;&gt;"",IF(COUNTIF($E18:$N18,"&lt;"&amp;N18)&lt;INDEX(EvN,5),1,0),IF(N18&lt;INDEX(EvProb,5),1,0)))</f>
        <v/>
      </c>
    </row>
    <row r="19">
      <c r="A19" t="n">
        <v>6</v>
      </c>
      <c r="B19">
        <f>IF(INDEX(EvDate,6)="",1,MAX(INDEX(EvFactor,6),0.01))</f>
        <v/>
      </c>
      <c r="C19">
        <f>IF(INDEX(EvDate,6)="",0,INDEX(EvDate,6)+(MAX(INDEX(EvDur,6),1)-1)/2)</f>
        <v/>
      </c>
      <c r="D19">
        <f>MAX(INDEX(EvDur,6),1)/2</f>
        <v/>
      </c>
      <c r="E19">
        <f>IF(1&gt;MineCount,2,MOD(SIN(Seed*0.9137+6*311.71+1*17.317)*43758.5453,1))</f>
        <v/>
      </c>
      <c r="F19">
        <f>IF(2&gt;MineCount,2,MOD(SIN(Seed*0.9137+6*311.71+2*17.317)*43758.5453,1))</f>
        <v/>
      </c>
      <c r="G19">
        <f>IF(3&gt;MineCount,2,MOD(SIN(Seed*0.9137+6*311.71+3*17.317)*43758.5453,1))</f>
        <v/>
      </c>
      <c r="H19">
        <f>IF(4&gt;MineCount,2,MOD(SIN(Seed*0.9137+6*311.71+4*17.317)*43758.5453,1))</f>
        <v/>
      </c>
      <c r="I19">
        <f>IF(5&gt;MineCount,2,MOD(SIN(Seed*0.9137+6*311.71+5*17.317)*43758.5453,1))</f>
        <v/>
      </c>
      <c r="J19">
        <f>IF(6&gt;MineCount,2,MOD(SIN(Seed*0.9137+6*311.71+6*17.317)*43758.5453,1))</f>
        <v/>
      </c>
      <c r="K19">
        <f>IF(7&gt;MineCount,2,MOD(SIN(Seed*0.9137+6*311.71+7*17.317)*43758.5453,1))</f>
        <v/>
      </c>
      <c r="L19">
        <f>IF(8&gt;MineCount,2,MOD(SIN(Seed*0.9137+6*311.71+8*17.317)*43758.5453,1))</f>
        <v/>
      </c>
      <c r="M19">
        <f>IF(9&gt;MineCount,2,MOD(SIN(Seed*0.9137+6*311.71+9*17.317)*43758.5453,1))</f>
        <v/>
      </c>
      <c r="N19">
        <f>IF(10&gt;MineCount,2,MOD(SIN(Seed*0.9137+6*311.71+10*17.317)*43758.5453,1))</f>
        <v/>
      </c>
      <c r="O19">
        <f>IF(OR(1&gt;MineCount,INDEX(EvDate,6)=""),0,IF(INDEX(EvN,6)&lt;&gt;"",IF(COUNTIF($E19:$N19,"&lt;"&amp;E19)&lt;INDEX(EvN,6),1,0),IF(E19&lt;INDEX(EvProb,6),1,0)))</f>
        <v/>
      </c>
      <c r="P19">
        <f>IF(OR(2&gt;MineCount,INDEX(EvDate,6)=""),0,IF(INDEX(EvN,6)&lt;&gt;"",IF(COUNTIF($E19:$N19,"&lt;"&amp;F19)&lt;INDEX(EvN,6),1,0),IF(F19&lt;INDEX(EvProb,6),1,0)))</f>
        <v/>
      </c>
      <c r="Q19">
        <f>IF(OR(3&gt;MineCount,INDEX(EvDate,6)=""),0,IF(INDEX(EvN,6)&lt;&gt;"",IF(COUNTIF($E19:$N19,"&lt;"&amp;G19)&lt;INDEX(EvN,6),1,0),IF(G19&lt;INDEX(EvProb,6),1,0)))</f>
        <v/>
      </c>
      <c r="R19">
        <f>IF(OR(4&gt;MineCount,INDEX(EvDate,6)=""),0,IF(INDEX(EvN,6)&lt;&gt;"",IF(COUNTIF($E19:$N19,"&lt;"&amp;H19)&lt;INDEX(EvN,6),1,0),IF(H19&lt;INDEX(EvProb,6),1,0)))</f>
        <v/>
      </c>
      <c r="S19">
        <f>IF(OR(5&gt;MineCount,INDEX(EvDate,6)=""),0,IF(INDEX(EvN,6)&lt;&gt;"",IF(COUNTIF($E19:$N19,"&lt;"&amp;I19)&lt;INDEX(EvN,6),1,0),IF(I19&lt;INDEX(EvProb,6),1,0)))</f>
        <v/>
      </c>
      <c r="T19">
        <f>IF(OR(6&gt;MineCount,INDEX(EvDate,6)=""),0,IF(INDEX(EvN,6)&lt;&gt;"",IF(COUNTIF($E19:$N19,"&lt;"&amp;J19)&lt;INDEX(EvN,6),1,0),IF(J19&lt;INDEX(EvProb,6),1,0)))</f>
        <v/>
      </c>
      <c r="U19">
        <f>IF(OR(7&gt;MineCount,INDEX(EvDate,6)=""),0,IF(INDEX(EvN,6)&lt;&gt;"",IF(COUNTIF($E19:$N19,"&lt;"&amp;K19)&lt;INDEX(EvN,6),1,0),IF(K19&lt;INDEX(EvProb,6),1,0)))</f>
        <v/>
      </c>
      <c r="V19">
        <f>IF(OR(8&gt;MineCount,INDEX(EvDate,6)=""),0,IF(INDEX(EvN,6)&lt;&gt;"",IF(COUNTIF($E19:$N19,"&lt;"&amp;L19)&lt;INDEX(EvN,6),1,0),IF(L19&lt;INDEX(EvProb,6),1,0)))</f>
        <v/>
      </c>
      <c r="W19">
        <f>IF(OR(9&gt;MineCount,INDEX(EvDate,6)=""),0,IF(INDEX(EvN,6)&lt;&gt;"",IF(COUNTIF($E19:$N19,"&lt;"&amp;M19)&lt;INDEX(EvN,6),1,0),IF(M19&lt;INDEX(EvProb,6),1,0)))</f>
        <v/>
      </c>
      <c r="X19">
        <f>IF(OR(10&gt;MineCount,INDEX(EvDate,6)=""),0,IF(INDEX(EvN,6)&lt;&gt;"",IF(COUNTIF($E19:$N19,"&lt;"&amp;N19)&lt;INDEX(EvN,6),1,0),IF(N19&lt;INDEX(EvProb,6),1,0)))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3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</t>
        </is>
      </c>
      <c r="B1" s="2" t="inlineStr">
        <is>
          <t>active</t>
        </is>
      </c>
      <c r="C1" s="2" t="inlineStr">
        <is>
          <t>mine</t>
        </is>
      </c>
      <c r="D1" s="2" t="inlineStr">
        <is>
          <t>day</t>
        </is>
      </c>
      <c r="E1" s="2" t="inlineStr">
        <is>
          <t>date</t>
        </is>
      </c>
      <c r="F1" s="2" t="inlineStr">
        <is>
          <t>u1</t>
        </is>
      </c>
      <c r="G1" s="2" t="inlineStr">
        <is>
          <t>u2</t>
        </is>
      </c>
      <c r="H1" s="2" t="inlineStr">
        <is>
          <t>z</t>
        </is>
      </c>
      <c r="I1" s="2" t="inlineStr">
        <is>
          <t>smoothed</t>
        </is>
      </c>
      <c r="J1" s="2" t="inlineStr">
        <is>
          <t>base</t>
        </is>
      </c>
      <c r="K1" s="2" t="inlineStr">
        <is>
          <t>size</t>
        </is>
      </c>
      <c r="L1" s="2" t="inlineStr">
        <is>
          <t>weekday</t>
        </is>
      </c>
      <c r="M1" s="2" t="inlineStr">
        <is>
          <t>trend</t>
        </is>
      </c>
      <c r="N1" s="2" t="inlineStr">
        <is>
          <t>events</t>
        </is>
      </c>
      <c r="O1" s="2" t="inlineStr">
        <is>
          <t>output</t>
        </is>
      </c>
    </row>
    <row r="2">
      <c r="A2" t="n">
        <v>1</v>
      </c>
      <c r="B2">
        <f>A2&lt;=MineCount*Days</f>
        <v/>
      </c>
      <c r="C2">
        <f>IF(B2,INT((A2-1)/Days)+1,"")</f>
        <v/>
      </c>
      <c r="D2">
        <f>IF(B2,MOD(A2-1,Days),"")</f>
        <v/>
      </c>
      <c r="E2" s="16">
        <f>IF(B2,StartDate+D2,"")</f>
        <v/>
      </c>
      <c r="F2">
        <f>IF(B2,MAX(MOD(SIN(Seed*0.1373+C2*12.9898+D2*78.233)*43758.5453,1),1E-9),"")</f>
        <v/>
      </c>
      <c r="G2">
        <f>IF(B2,MOD(SIN(Seed*0.5917+C2*39.3468+D2*11.135)*24634.6345,1),"")</f>
        <v/>
      </c>
      <c r="H2">
        <f>IF(B2,SQRT(-2*LN(F2))*COS(2*PI()*G2),"")</f>
        <v/>
      </c>
      <c r="I2">
        <f>IF(B2,IF(D2=0,H2,Rho*I1+SQRT(1-Rho^2)*H2),"")</f>
        <v/>
      </c>
      <c r="J2">
        <f>IF(B2,IF(Dist="Normal",DistA+DistB*I2,DistA+(DistB-DistA)*NORMSDIST(I2)),"")</f>
        <v/>
      </c>
      <c r="K2">
        <f>IF(B2,INDEX(MineScale,C2),"")</f>
        <v/>
      </c>
      <c r="L2">
        <f>IF(B2,INDEX(Dow,1,WEEKDAY(E2,2)),"")</f>
        <v/>
      </c>
      <c r="M2">
        <f>IF(B2,(1+Trend)^D2,"")</f>
        <v/>
      </c>
      <c r="N2">
        <f>IF(B2,EXP(SUMPRODUCT(LN(1+(EvEff-1)*INDEX(Affected,0,C2)*EXP(-((E2-EvCenter)^2)/(2*EvSigma^2))))),"")</f>
        <v/>
      </c>
      <c r="O2">
        <f>IF(B2,ROUND(MAX(0,J2*K2*L2*M2*N2),2),"")</f>
        <v/>
      </c>
    </row>
    <row r="3">
      <c r="A3" t="n">
        <v>2</v>
      </c>
      <c r="B3">
        <f>A3&lt;=MineCount*Days</f>
        <v/>
      </c>
      <c r="C3">
        <f>IF(B3,INT((A3-1)/Days)+1,"")</f>
        <v/>
      </c>
      <c r="D3">
        <f>IF(B3,MOD(A3-1,Days),"")</f>
        <v/>
      </c>
      <c r="E3" s="16">
        <f>IF(B3,StartDate+D3,"")</f>
        <v/>
      </c>
      <c r="F3">
        <f>IF(B3,MAX(MOD(SIN(Seed*0.1373+C3*12.9898+D3*78.233)*43758.5453,1),1E-9),"")</f>
        <v/>
      </c>
      <c r="G3">
        <f>IF(B3,MOD(SIN(Seed*0.5917+C3*39.3468+D3*11.135)*24634.6345,1),"")</f>
        <v/>
      </c>
      <c r="H3">
        <f>IF(B3,SQRT(-2*LN(F3))*COS(2*PI()*G3),"")</f>
        <v/>
      </c>
      <c r="I3">
        <f>IF(B3,IF(D3=0,H3,Rho*I2+SQRT(1-Rho^2)*H3),"")</f>
        <v/>
      </c>
      <c r="J3">
        <f>IF(B3,IF(Dist="Normal",DistA+DistB*I3,DistA+(DistB-DistA)*NORMSDIST(I3)),"")</f>
        <v/>
      </c>
      <c r="K3">
        <f>IF(B3,INDEX(MineScale,C3),"")</f>
        <v/>
      </c>
      <c r="L3">
        <f>IF(B3,INDEX(Dow,1,WEEKDAY(E3,2)),"")</f>
        <v/>
      </c>
      <c r="M3">
        <f>IF(B3,(1+Trend)^D3,"")</f>
        <v/>
      </c>
      <c r="N3">
        <f>IF(B3,EXP(SUMPRODUCT(LN(1+(EvEff-1)*INDEX(Affected,0,C3)*EXP(-((E3-EvCenter)^2)/(2*EvSigma^2))))),"")</f>
        <v/>
      </c>
      <c r="O3">
        <f>IF(B3,ROUND(MAX(0,J3*K3*L3*M3*N3),2),"")</f>
        <v/>
      </c>
    </row>
    <row r="4">
      <c r="A4" t="n">
        <v>3</v>
      </c>
      <c r="B4">
        <f>A4&lt;=MineCount*Days</f>
        <v/>
      </c>
      <c r="C4">
        <f>IF(B4,INT((A4-1)/Days)+1,"")</f>
        <v/>
      </c>
      <c r="D4">
        <f>IF(B4,MOD(A4-1,Days),"")</f>
        <v/>
      </c>
      <c r="E4" s="16">
        <f>IF(B4,StartDate+D4,"")</f>
        <v/>
      </c>
      <c r="F4">
        <f>IF(B4,MAX(MOD(SIN(Seed*0.1373+C4*12.9898+D4*78.233)*43758.5453,1),1E-9),"")</f>
        <v/>
      </c>
      <c r="G4">
        <f>IF(B4,MOD(SIN(Seed*0.5917+C4*39.3468+D4*11.135)*24634.6345,1),"")</f>
        <v/>
      </c>
      <c r="H4">
        <f>IF(B4,SQRT(-2*LN(F4))*COS(2*PI()*G4),"")</f>
        <v/>
      </c>
      <c r="I4">
        <f>IF(B4,IF(D4=0,H4,Rho*I3+SQRT(1-Rho^2)*H4),"")</f>
        <v/>
      </c>
      <c r="J4">
        <f>IF(B4,IF(Dist="Normal",DistA+DistB*I4,DistA+(DistB-DistA)*NORMSDIST(I4)),"")</f>
        <v/>
      </c>
      <c r="K4">
        <f>IF(B4,INDEX(MineScale,C4),"")</f>
        <v/>
      </c>
      <c r="L4">
        <f>IF(B4,INDEX(Dow,1,WEEKDAY(E4,2)),"")</f>
        <v/>
      </c>
      <c r="M4">
        <f>IF(B4,(1+Trend)^D4,"")</f>
        <v/>
      </c>
      <c r="N4">
        <f>IF(B4,EXP(SUMPRODUCT(LN(1+(EvEff-1)*INDEX(Affected,0,C4)*EXP(-((E4-EvCenter)^2)/(2*EvSigma^2))))),"")</f>
        <v/>
      </c>
      <c r="O4">
        <f>IF(B4,ROUND(MAX(0,J4*K4*L4*M4*N4),2),"")</f>
        <v/>
      </c>
    </row>
    <row r="5">
      <c r="A5" t="n">
        <v>4</v>
      </c>
      <c r="B5">
        <f>A5&lt;=MineCount*Days</f>
        <v/>
      </c>
      <c r="C5">
        <f>IF(B5,INT((A5-1)/Days)+1,"")</f>
        <v/>
      </c>
      <c r="D5">
        <f>IF(B5,MOD(A5-1,Days),"")</f>
        <v/>
      </c>
      <c r="E5" s="16">
        <f>IF(B5,StartDate+D5,"")</f>
        <v/>
      </c>
      <c r="F5">
        <f>IF(B5,MAX(MOD(SIN(Seed*0.1373+C5*12.9898+D5*78.233)*43758.5453,1),1E-9),"")</f>
        <v/>
      </c>
      <c r="G5">
        <f>IF(B5,MOD(SIN(Seed*0.5917+C5*39.3468+D5*11.135)*24634.6345,1),"")</f>
        <v/>
      </c>
      <c r="H5">
        <f>IF(B5,SQRT(-2*LN(F5))*COS(2*PI()*G5),"")</f>
        <v/>
      </c>
      <c r="I5">
        <f>IF(B5,IF(D5=0,H5,Rho*I4+SQRT(1-Rho^2)*H5),"")</f>
        <v/>
      </c>
      <c r="J5">
        <f>IF(B5,IF(Dist="Normal",DistA+DistB*I5,DistA+(DistB-DistA)*NORMSDIST(I5)),"")</f>
        <v/>
      </c>
      <c r="K5">
        <f>IF(B5,INDEX(MineScale,C5),"")</f>
        <v/>
      </c>
      <c r="L5">
        <f>IF(B5,INDEX(Dow,1,WEEKDAY(E5,2)),"")</f>
        <v/>
      </c>
      <c r="M5">
        <f>IF(B5,(1+Trend)^D5,"")</f>
        <v/>
      </c>
      <c r="N5">
        <f>IF(B5,EXP(SUMPRODUCT(LN(1+(EvEff-1)*INDEX(Affected,0,C5)*EXP(-((E5-EvCenter)^2)/(2*EvSigma^2))))),"")</f>
        <v/>
      </c>
      <c r="O5">
        <f>IF(B5,ROUND(MAX(0,J5*K5*L5*M5*N5),2),"")</f>
        <v/>
      </c>
    </row>
    <row r="6">
      <c r="A6" t="n">
        <v>5</v>
      </c>
      <c r="B6">
        <f>A6&lt;=MineCount*Days</f>
        <v/>
      </c>
      <c r="C6">
        <f>IF(B6,INT((A6-1)/Days)+1,"")</f>
        <v/>
      </c>
      <c r="D6">
        <f>IF(B6,MOD(A6-1,Days),"")</f>
        <v/>
      </c>
      <c r="E6" s="16">
        <f>IF(B6,StartDate+D6,"")</f>
        <v/>
      </c>
      <c r="F6">
        <f>IF(B6,MAX(MOD(SIN(Seed*0.1373+C6*12.9898+D6*78.233)*43758.5453,1),1E-9),"")</f>
        <v/>
      </c>
      <c r="G6">
        <f>IF(B6,MOD(SIN(Seed*0.5917+C6*39.3468+D6*11.135)*24634.6345,1),"")</f>
        <v/>
      </c>
      <c r="H6">
        <f>IF(B6,SQRT(-2*LN(F6))*COS(2*PI()*G6),"")</f>
        <v/>
      </c>
      <c r="I6">
        <f>IF(B6,IF(D6=0,H6,Rho*I5+SQRT(1-Rho^2)*H6),"")</f>
        <v/>
      </c>
      <c r="J6">
        <f>IF(B6,IF(Dist="Normal",DistA+DistB*I6,DistA+(DistB-DistA)*NORMSDIST(I6)),"")</f>
        <v/>
      </c>
      <c r="K6">
        <f>IF(B6,INDEX(MineScale,C6),"")</f>
        <v/>
      </c>
      <c r="L6">
        <f>IF(B6,INDEX(Dow,1,WEEKDAY(E6,2)),"")</f>
        <v/>
      </c>
      <c r="M6">
        <f>IF(B6,(1+Trend)^D6,"")</f>
        <v/>
      </c>
      <c r="N6">
        <f>IF(B6,EXP(SUMPRODUCT(LN(1+(EvEff-1)*INDEX(Affected,0,C6)*EXP(-((E6-EvCenter)^2)/(2*EvSigma^2))))),"")</f>
        <v/>
      </c>
      <c r="O6">
        <f>IF(B6,ROUND(MAX(0,J6*K6*L6*M6*N6),2),"")</f>
        <v/>
      </c>
    </row>
    <row r="7">
      <c r="A7" t="n">
        <v>6</v>
      </c>
      <c r="B7">
        <f>A7&lt;=MineCount*Days</f>
        <v/>
      </c>
      <c r="C7">
        <f>IF(B7,INT((A7-1)/Days)+1,"")</f>
        <v/>
      </c>
      <c r="D7">
        <f>IF(B7,MOD(A7-1,Days),"")</f>
        <v/>
      </c>
      <c r="E7" s="16">
        <f>IF(B7,StartDate+D7,"")</f>
        <v/>
      </c>
      <c r="F7">
        <f>IF(B7,MAX(MOD(SIN(Seed*0.1373+C7*12.9898+D7*78.233)*43758.5453,1),1E-9),"")</f>
        <v/>
      </c>
      <c r="G7">
        <f>IF(B7,MOD(SIN(Seed*0.5917+C7*39.3468+D7*11.135)*24634.6345,1),"")</f>
        <v/>
      </c>
      <c r="H7">
        <f>IF(B7,SQRT(-2*LN(F7))*COS(2*PI()*G7),"")</f>
        <v/>
      </c>
      <c r="I7">
        <f>IF(B7,IF(D7=0,H7,Rho*I6+SQRT(1-Rho^2)*H7),"")</f>
        <v/>
      </c>
      <c r="J7">
        <f>IF(B7,IF(Dist="Normal",DistA+DistB*I7,DistA+(DistB-DistA)*NORMSDIST(I7)),"")</f>
        <v/>
      </c>
      <c r="K7">
        <f>IF(B7,INDEX(MineScale,C7),"")</f>
        <v/>
      </c>
      <c r="L7">
        <f>IF(B7,INDEX(Dow,1,WEEKDAY(E7,2)),"")</f>
        <v/>
      </c>
      <c r="M7">
        <f>IF(B7,(1+Trend)^D7,"")</f>
        <v/>
      </c>
      <c r="N7">
        <f>IF(B7,EXP(SUMPRODUCT(LN(1+(EvEff-1)*INDEX(Affected,0,C7)*EXP(-((E7-EvCenter)^2)/(2*EvSigma^2))))),"")</f>
        <v/>
      </c>
      <c r="O7">
        <f>IF(B7,ROUND(MAX(0,J7*K7*L7*M7*N7),2),"")</f>
        <v/>
      </c>
    </row>
    <row r="8">
      <c r="A8" t="n">
        <v>7</v>
      </c>
      <c r="B8">
        <f>A8&lt;=MineCount*Days</f>
        <v/>
      </c>
      <c r="C8">
        <f>IF(B8,INT((A8-1)/Days)+1,"")</f>
        <v/>
      </c>
      <c r="D8">
        <f>IF(B8,MOD(A8-1,Days),"")</f>
        <v/>
      </c>
      <c r="E8" s="16">
        <f>IF(B8,StartDate+D8,"")</f>
        <v/>
      </c>
      <c r="F8">
        <f>IF(B8,MAX(MOD(SIN(Seed*0.1373+C8*12.9898+D8*78.233)*43758.5453,1),1E-9),"")</f>
        <v/>
      </c>
      <c r="G8">
        <f>IF(B8,MOD(SIN(Seed*0.5917+C8*39.3468+D8*11.135)*24634.6345,1),"")</f>
        <v/>
      </c>
      <c r="H8">
        <f>IF(B8,SQRT(-2*LN(F8))*COS(2*PI()*G8),"")</f>
        <v/>
      </c>
      <c r="I8">
        <f>IF(B8,IF(D8=0,H8,Rho*I7+SQRT(1-Rho^2)*H8),"")</f>
        <v/>
      </c>
      <c r="J8">
        <f>IF(B8,IF(Dist="Normal",DistA+DistB*I8,DistA+(DistB-DistA)*NORMSDIST(I8)),"")</f>
        <v/>
      </c>
      <c r="K8">
        <f>IF(B8,INDEX(MineScale,C8),"")</f>
        <v/>
      </c>
      <c r="L8">
        <f>IF(B8,INDEX(Dow,1,WEEKDAY(E8,2)),"")</f>
        <v/>
      </c>
      <c r="M8">
        <f>IF(B8,(1+Trend)^D8,"")</f>
        <v/>
      </c>
      <c r="N8">
        <f>IF(B8,EXP(SUMPRODUCT(LN(1+(EvEff-1)*INDEX(Affected,0,C8)*EXP(-((E8-EvCenter)^2)/(2*EvSigma^2))))),"")</f>
        <v/>
      </c>
      <c r="O8">
        <f>IF(B8,ROUND(MAX(0,J8*K8*L8*M8*N8),2),"")</f>
        <v/>
      </c>
    </row>
    <row r="9">
      <c r="A9" t="n">
        <v>8</v>
      </c>
      <c r="B9">
        <f>A9&lt;=MineCount*Days</f>
        <v/>
      </c>
      <c r="C9">
        <f>IF(B9,INT((A9-1)/Days)+1,"")</f>
        <v/>
      </c>
      <c r="D9">
        <f>IF(B9,MOD(A9-1,Days),"")</f>
        <v/>
      </c>
      <c r="E9" s="16">
        <f>IF(B9,StartDate+D9,"")</f>
        <v/>
      </c>
      <c r="F9">
        <f>IF(B9,MAX(MOD(SIN(Seed*0.1373+C9*12.9898+D9*78.233)*43758.5453,1),1E-9),"")</f>
        <v/>
      </c>
      <c r="G9">
        <f>IF(B9,MOD(SIN(Seed*0.5917+C9*39.3468+D9*11.135)*24634.6345,1),"")</f>
        <v/>
      </c>
      <c r="H9">
        <f>IF(B9,SQRT(-2*LN(F9))*COS(2*PI()*G9),"")</f>
        <v/>
      </c>
      <c r="I9">
        <f>IF(B9,IF(D9=0,H9,Rho*I8+SQRT(1-Rho^2)*H9),"")</f>
        <v/>
      </c>
      <c r="J9">
        <f>IF(B9,IF(Dist="Normal",DistA+DistB*I9,DistA+(DistB-DistA)*NORMSDIST(I9)),"")</f>
        <v/>
      </c>
      <c r="K9">
        <f>IF(B9,INDEX(MineScale,C9),"")</f>
        <v/>
      </c>
      <c r="L9">
        <f>IF(B9,INDEX(Dow,1,WEEKDAY(E9,2)),"")</f>
        <v/>
      </c>
      <c r="M9">
        <f>IF(B9,(1+Trend)^D9,"")</f>
        <v/>
      </c>
      <c r="N9">
        <f>IF(B9,EXP(SUMPRODUCT(LN(1+(EvEff-1)*INDEX(Affected,0,C9)*EXP(-((E9-EvCenter)^2)/(2*EvSigma^2))))),"")</f>
        <v/>
      </c>
      <c r="O9">
        <f>IF(B9,ROUND(MAX(0,J9*K9*L9*M9*N9),2),"")</f>
        <v/>
      </c>
    </row>
    <row r="10">
      <c r="A10" t="n">
        <v>9</v>
      </c>
      <c r="B10">
        <f>A10&lt;=MineCount*Days</f>
        <v/>
      </c>
      <c r="C10">
        <f>IF(B10,INT((A10-1)/Days)+1,"")</f>
        <v/>
      </c>
      <c r="D10">
        <f>IF(B10,MOD(A10-1,Days),"")</f>
        <v/>
      </c>
      <c r="E10" s="16">
        <f>IF(B10,StartDate+D10,"")</f>
        <v/>
      </c>
      <c r="F10">
        <f>IF(B10,MAX(MOD(SIN(Seed*0.1373+C10*12.9898+D10*78.233)*43758.5453,1),1E-9),"")</f>
        <v/>
      </c>
      <c r="G10">
        <f>IF(B10,MOD(SIN(Seed*0.5917+C10*39.3468+D10*11.135)*24634.6345,1),"")</f>
        <v/>
      </c>
      <c r="H10">
        <f>IF(B10,SQRT(-2*LN(F10))*COS(2*PI()*G10),"")</f>
        <v/>
      </c>
      <c r="I10">
        <f>IF(B10,IF(D10=0,H10,Rho*I9+SQRT(1-Rho^2)*H10),"")</f>
        <v/>
      </c>
      <c r="J10">
        <f>IF(B10,IF(Dist="Normal",DistA+DistB*I10,DistA+(DistB-DistA)*NORMSDIST(I10)),"")</f>
        <v/>
      </c>
      <c r="K10">
        <f>IF(B10,INDEX(MineScale,C10),"")</f>
        <v/>
      </c>
      <c r="L10">
        <f>IF(B10,INDEX(Dow,1,WEEKDAY(E10,2)),"")</f>
        <v/>
      </c>
      <c r="M10">
        <f>IF(B10,(1+Trend)^D10,"")</f>
        <v/>
      </c>
      <c r="N10">
        <f>IF(B10,EXP(SUMPRODUCT(LN(1+(EvEff-1)*INDEX(Affected,0,C10)*EXP(-((E10-EvCenter)^2)/(2*EvSigma^2))))),"")</f>
        <v/>
      </c>
      <c r="O10">
        <f>IF(B10,ROUND(MAX(0,J10*K10*L10*M10*N10),2),"")</f>
        <v/>
      </c>
    </row>
    <row r="11">
      <c r="A11" t="n">
        <v>10</v>
      </c>
      <c r="B11">
        <f>A11&lt;=MineCount*Days</f>
        <v/>
      </c>
      <c r="C11">
        <f>IF(B11,INT((A11-1)/Days)+1,"")</f>
        <v/>
      </c>
      <c r="D11">
        <f>IF(B11,MOD(A11-1,Days),"")</f>
        <v/>
      </c>
      <c r="E11" s="16">
        <f>IF(B11,StartDate+D11,"")</f>
        <v/>
      </c>
      <c r="F11">
        <f>IF(B11,MAX(MOD(SIN(Seed*0.1373+C11*12.9898+D11*78.233)*43758.5453,1),1E-9),"")</f>
        <v/>
      </c>
      <c r="G11">
        <f>IF(B11,MOD(SIN(Seed*0.5917+C11*39.3468+D11*11.135)*24634.6345,1),"")</f>
        <v/>
      </c>
      <c r="H11">
        <f>IF(B11,SQRT(-2*LN(F11))*COS(2*PI()*G11),"")</f>
        <v/>
      </c>
      <c r="I11">
        <f>IF(B11,IF(D11=0,H11,Rho*I10+SQRT(1-Rho^2)*H11),"")</f>
        <v/>
      </c>
      <c r="J11">
        <f>IF(B11,IF(Dist="Normal",DistA+DistB*I11,DistA+(DistB-DistA)*NORMSDIST(I11)),"")</f>
        <v/>
      </c>
      <c r="K11">
        <f>IF(B11,INDEX(MineScale,C11),"")</f>
        <v/>
      </c>
      <c r="L11">
        <f>IF(B11,INDEX(Dow,1,WEEKDAY(E11,2)),"")</f>
        <v/>
      </c>
      <c r="M11">
        <f>IF(B11,(1+Trend)^D11,"")</f>
        <v/>
      </c>
      <c r="N11">
        <f>IF(B11,EXP(SUMPRODUCT(LN(1+(EvEff-1)*INDEX(Affected,0,C11)*EXP(-((E11-EvCenter)^2)/(2*EvSigma^2))))),"")</f>
        <v/>
      </c>
      <c r="O11">
        <f>IF(B11,ROUND(MAX(0,J11*K11*L11*M11*N11),2),"")</f>
        <v/>
      </c>
    </row>
    <row r="12">
      <c r="A12" t="n">
        <v>11</v>
      </c>
      <c r="B12">
        <f>A12&lt;=MineCount*Days</f>
        <v/>
      </c>
      <c r="C12">
        <f>IF(B12,INT((A12-1)/Days)+1,"")</f>
        <v/>
      </c>
      <c r="D12">
        <f>IF(B12,MOD(A12-1,Days),"")</f>
        <v/>
      </c>
      <c r="E12" s="16">
        <f>IF(B12,StartDate+D12,"")</f>
        <v/>
      </c>
      <c r="F12">
        <f>IF(B12,MAX(MOD(SIN(Seed*0.1373+C12*12.9898+D12*78.233)*43758.5453,1),1E-9),"")</f>
        <v/>
      </c>
      <c r="G12">
        <f>IF(B12,MOD(SIN(Seed*0.5917+C12*39.3468+D12*11.135)*24634.6345,1),"")</f>
        <v/>
      </c>
      <c r="H12">
        <f>IF(B12,SQRT(-2*LN(F12))*COS(2*PI()*G12),"")</f>
        <v/>
      </c>
      <c r="I12">
        <f>IF(B12,IF(D12=0,H12,Rho*I11+SQRT(1-Rho^2)*H12),"")</f>
        <v/>
      </c>
      <c r="J12">
        <f>IF(B12,IF(Dist="Normal",DistA+DistB*I12,DistA+(DistB-DistA)*NORMSDIST(I12)),"")</f>
        <v/>
      </c>
      <c r="K12">
        <f>IF(B12,INDEX(MineScale,C12),"")</f>
        <v/>
      </c>
      <c r="L12">
        <f>IF(B12,INDEX(Dow,1,WEEKDAY(E12,2)),"")</f>
        <v/>
      </c>
      <c r="M12">
        <f>IF(B12,(1+Trend)^D12,"")</f>
        <v/>
      </c>
      <c r="N12">
        <f>IF(B12,EXP(SUMPRODUCT(LN(1+(EvEff-1)*INDEX(Affected,0,C12)*EXP(-((E12-EvCenter)^2)/(2*EvSigma^2))))),"")</f>
        <v/>
      </c>
      <c r="O12">
        <f>IF(B12,ROUND(MAX(0,J12*K12*L12*M12*N12),2),"")</f>
        <v/>
      </c>
    </row>
    <row r="13">
      <c r="A13" t="n">
        <v>12</v>
      </c>
      <c r="B13">
        <f>A13&lt;=MineCount*Days</f>
        <v/>
      </c>
      <c r="C13">
        <f>IF(B13,INT((A13-1)/Days)+1,"")</f>
        <v/>
      </c>
      <c r="D13">
        <f>IF(B13,MOD(A13-1,Days),"")</f>
        <v/>
      </c>
      <c r="E13" s="16">
        <f>IF(B13,StartDate+D13,"")</f>
        <v/>
      </c>
      <c r="F13">
        <f>IF(B13,MAX(MOD(SIN(Seed*0.1373+C13*12.9898+D13*78.233)*43758.5453,1),1E-9),"")</f>
        <v/>
      </c>
      <c r="G13">
        <f>IF(B13,MOD(SIN(Seed*0.5917+C13*39.3468+D13*11.135)*24634.6345,1),"")</f>
        <v/>
      </c>
      <c r="H13">
        <f>IF(B13,SQRT(-2*LN(F13))*COS(2*PI()*G13),"")</f>
        <v/>
      </c>
      <c r="I13">
        <f>IF(B13,IF(D13=0,H13,Rho*I12+SQRT(1-Rho^2)*H13),"")</f>
        <v/>
      </c>
      <c r="J13">
        <f>IF(B13,IF(Dist="Normal",DistA+DistB*I13,DistA+(DistB-DistA)*NORMSDIST(I13)),"")</f>
        <v/>
      </c>
      <c r="K13">
        <f>IF(B13,INDEX(MineScale,C13),"")</f>
        <v/>
      </c>
      <c r="L13">
        <f>IF(B13,INDEX(Dow,1,WEEKDAY(E13,2)),"")</f>
        <v/>
      </c>
      <c r="M13">
        <f>IF(B13,(1+Trend)^D13,"")</f>
        <v/>
      </c>
      <c r="N13">
        <f>IF(B13,EXP(SUMPRODUCT(LN(1+(EvEff-1)*INDEX(Affected,0,C13)*EXP(-((E13-EvCenter)^2)/(2*EvSigma^2))))),"")</f>
        <v/>
      </c>
      <c r="O13">
        <f>IF(B13,ROUND(MAX(0,J13*K13*L13*M13*N13),2),"")</f>
        <v/>
      </c>
    </row>
    <row r="14">
      <c r="A14" t="n">
        <v>13</v>
      </c>
      <c r="B14">
        <f>A14&lt;=MineCount*Days</f>
        <v/>
      </c>
      <c r="C14">
        <f>IF(B14,INT((A14-1)/Days)+1,"")</f>
        <v/>
      </c>
      <c r="D14">
        <f>IF(B14,MOD(A14-1,Days),"")</f>
        <v/>
      </c>
      <c r="E14" s="16">
        <f>IF(B14,StartDate+D14,"")</f>
        <v/>
      </c>
      <c r="F14">
        <f>IF(B14,MAX(MOD(SIN(Seed*0.1373+C14*12.9898+D14*78.233)*43758.5453,1),1E-9),"")</f>
        <v/>
      </c>
      <c r="G14">
        <f>IF(B14,MOD(SIN(Seed*0.5917+C14*39.3468+D14*11.135)*24634.6345,1),"")</f>
        <v/>
      </c>
      <c r="H14">
        <f>IF(B14,SQRT(-2*LN(F14))*COS(2*PI()*G14),"")</f>
        <v/>
      </c>
      <c r="I14">
        <f>IF(B14,IF(D14=0,H14,Rho*I13+SQRT(1-Rho^2)*H14),"")</f>
        <v/>
      </c>
      <c r="J14">
        <f>IF(B14,IF(Dist="Normal",DistA+DistB*I14,DistA+(DistB-DistA)*NORMSDIST(I14)),"")</f>
        <v/>
      </c>
      <c r="K14">
        <f>IF(B14,INDEX(MineScale,C14),"")</f>
        <v/>
      </c>
      <c r="L14">
        <f>IF(B14,INDEX(Dow,1,WEEKDAY(E14,2)),"")</f>
        <v/>
      </c>
      <c r="M14">
        <f>IF(B14,(1+Trend)^D14,"")</f>
        <v/>
      </c>
      <c r="N14">
        <f>IF(B14,EXP(SUMPRODUCT(LN(1+(EvEff-1)*INDEX(Affected,0,C14)*EXP(-((E14-EvCenter)^2)/(2*EvSigma^2))))),"")</f>
        <v/>
      </c>
      <c r="O14">
        <f>IF(B14,ROUND(MAX(0,J14*K14*L14*M14*N14),2),"")</f>
        <v/>
      </c>
    </row>
    <row r="15">
      <c r="A15" t="n">
        <v>14</v>
      </c>
      <c r="B15">
        <f>A15&lt;=MineCount*Days</f>
        <v/>
      </c>
      <c r="C15">
        <f>IF(B15,INT((A15-1)/Days)+1,"")</f>
        <v/>
      </c>
      <c r="D15">
        <f>IF(B15,MOD(A15-1,Days),"")</f>
        <v/>
      </c>
      <c r="E15" s="16">
        <f>IF(B15,StartDate+D15,"")</f>
        <v/>
      </c>
      <c r="F15">
        <f>IF(B15,MAX(MOD(SIN(Seed*0.1373+C15*12.9898+D15*78.233)*43758.5453,1),1E-9),"")</f>
        <v/>
      </c>
      <c r="G15">
        <f>IF(B15,MOD(SIN(Seed*0.5917+C15*39.3468+D15*11.135)*24634.6345,1),"")</f>
        <v/>
      </c>
      <c r="H15">
        <f>IF(B15,SQRT(-2*LN(F15))*COS(2*PI()*G15),"")</f>
        <v/>
      </c>
      <c r="I15">
        <f>IF(B15,IF(D15=0,H15,Rho*I14+SQRT(1-Rho^2)*H15),"")</f>
        <v/>
      </c>
      <c r="J15">
        <f>IF(B15,IF(Dist="Normal",DistA+DistB*I15,DistA+(DistB-DistA)*NORMSDIST(I15)),"")</f>
        <v/>
      </c>
      <c r="K15">
        <f>IF(B15,INDEX(MineScale,C15),"")</f>
        <v/>
      </c>
      <c r="L15">
        <f>IF(B15,INDEX(Dow,1,WEEKDAY(E15,2)),"")</f>
        <v/>
      </c>
      <c r="M15">
        <f>IF(B15,(1+Trend)^D15,"")</f>
        <v/>
      </c>
      <c r="N15">
        <f>IF(B15,EXP(SUMPRODUCT(LN(1+(EvEff-1)*INDEX(Affected,0,C15)*EXP(-((E15-EvCenter)^2)/(2*EvSigma^2))))),"")</f>
        <v/>
      </c>
      <c r="O15">
        <f>IF(B15,ROUND(MAX(0,J15*K15*L15*M15*N15),2),"")</f>
        <v/>
      </c>
    </row>
    <row r="16">
      <c r="A16" t="n">
        <v>15</v>
      </c>
      <c r="B16">
        <f>A16&lt;=MineCount*Days</f>
        <v/>
      </c>
      <c r="C16">
        <f>IF(B16,INT((A16-1)/Days)+1,"")</f>
        <v/>
      </c>
      <c r="D16">
        <f>IF(B16,MOD(A16-1,Days),"")</f>
        <v/>
      </c>
      <c r="E16" s="16">
        <f>IF(B16,StartDate+D16,"")</f>
        <v/>
      </c>
      <c r="F16">
        <f>IF(B16,MAX(MOD(SIN(Seed*0.1373+C16*12.9898+D16*78.233)*43758.5453,1),1E-9),"")</f>
        <v/>
      </c>
      <c r="G16">
        <f>IF(B16,MOD(SIN(Seed*0.5917+C16*39.3468+D16*11.135)*24634.6345,1),"")</f>
        <v/>
      </c>
      <c r="H16">
        <f>IF(B16,SQRT(-2*LN(F16))*COS(2*PI()*G16),"")</f>
        <v/>
      </c>
      <c r="I16">
        <f>IF(B16,IF(D16=0,H16,Rho*I15+SQRT(1-Rho^2)*H16),"")</f>
        <v/>
      </c>
      <c r="J16">
        <f>IF(B16,IF(Dist="Normal",DistA+DistB*I16,DistA+(DistB-DistA)*NORMSDIST(I16)),"")</f>
        <v/>
      </c>
      <c r="K16">
        <f>IF(B16,INDEX(MineScale,C16),"")</f>
        <v/>
      </c>
      <c r="L16">
        <f>IF(B16,INDEX(Dow,1,WEEKDAY(E16,2)),"")</f>
        <v/>
      </c>
      <c r="M16">
        <f>IF(B16,(1+Trend)^D16,"")</f>
        <v/>
      </c>
      <c r="N16">
        <f>IF(B16,EXP(SUMPRODUCT(LN(1+(EvEff-1)*INDEX(Affected,0,C16)*EXP(-((E16-EvCenter)^2)/(2*EvSigma^2))))),"")</f>
        <v/>
      </c>
      <c r="O16">
        <f>IF(B16,ROUND(MAX(0,J16*K16*L16*M16*N16),2),"")</f>
        <v/>
      </c>
    </row>
    <row r="17">
      <c r="A17" t="n">
        <v>16</v>
      </c>
      <c r="B17">
        <f>A17&lt;=MineCount*Days</f>
        <v/>
      </c>
      <c r="C17">
        <f>IF(B17,INT((A17-1)/Days)+1,"")</f>
        <v/>
      </c>
      <c r="D17">
        <f>IF(B17,MOD(A17-1,Days),"")</f>
        <v/>
      </c>
      <c r="E17" s="16">
        <f>IF(B17,StartDate+D17,"")</f>
        <v/>
      </c>
      <c r="F17">
        <f>IF(B17,MAX(MOD(SIN(Seed*0.1373+C17*12.9898+D17*78.233)*43758.5453,1),1E-9),"")</f>
        <v/>
      </c>
      <c r="G17">
        <f>IF(B17,MOD(SIN(Seed*0.5917+C17*39.3468+D17*11.135)*24634.6345,1),"")</f>
        <v/>
      </c>
      <c r="H17">
        <f>IF(B17,SQRT(-2*LN(F17))*COS(2*PI()*G17),"")</f>
        <v/>
      </c>
      <c r="I17">
        <f>IF(B17,IF(D17=0,H17,Rho*I16+SQRT(1-Rho^2)*H17),"")</f>
        <v/>
      </c>
      <c r="J17">
        <f>IF(B17,IF(Dist="Normal",DistA+DistB*I17,DistA+(DistB-DistA)*NORMSDIST(I17)),"")</f>
        <v/>
      </c>
      <c r="K17">
        <f>IF(B17,INDEX(MineScale,C17),"")</f>
        <v/>
      </c>
      <c r="L17">
        <f>IF(B17,INDEX(Dow,1,WEEKDAY(E17,2)),"")</f>
        <v/>
      </c>
      <c r="M17">
        <f>IF(B17,(1+Trend)^D17,"")</f>
        <v/>
      </c>
      <c r="N17">
        <f>IF(B17,EXP(SUMPRODUCT(LN(1+(EvEff-1)*INDEX(Affected,0,C17)*EXP(-((E17-EvCenter)^2)/(2*EvSigma^2))))),"")</f>
        <v/>
      </c>
      <c r="O17">
        <f>IF(B17,ROUND(MAX(0,J17*K17*L17*M17*N17),2),"")</f>
        <v/>
      </c>
    </row>
    <row r="18">
      <c r="A18" t="n">
        <v>17</v>
      </c>
      <c r="B18">
        <f>A18&lt;=MineCount*Days</f>
        <v/>
      </c>
      <c r="C18">
        <f>IF(B18,INT((A18-1)/Days)+1,"")</f>
        <v/>
      </c>
      <c r="D18">
        <f>IF(B18,MOD(A18-1,Days),"")</f>
        <v/>
      </c>
      <c r="E18" s="16">
        <f>IF(B18,StartDate+D18,"")</f>
        <v/>
      </c>
      <c r="F18">
        <f>IF(B18,MAX(MOD(SIN(Seed*0.1373+C18*12.9898+D18*78.233)*43758.5453,1),1E-9),"")</f>
        <v/>
      </c>
      <c r="G18">
        <f>IF(B18,MOD(SIN(Seed*0.5917+C18*39.3468+D18*11.135)*24634.6345,1),"")</f>
        <v/>
      </c>
      <c r="H18">
        <f>IF(B18,SQRT(-2*LN(F18))*COS(2*PI()*G18),"")</f>
        <v/>
      </c>
      <c r="I18">
        <f>IF(B18,IF(D18=0,H18,Rho*I17+SQRT(1-Rho^2)*H18),"")</f>
        <v/>
      </c>
      <c r="J18">
        <f>IF(B18,IF(Dist="Normal",DistA+DistB*I18,DistA+(DistB-DistA)*NORMSDIST(I18)),"")</f>
        <v/>
      </c>
      <c r="K18">
        <f>IF(B18,INDEX(MineScale,C18),"")</f>
        <v/>
      </c>
      <c r="L18">
        <f>IF(B18,INDEX(Dow,1,WEEKDAY(E18,2)),"")</f>
        <v/>
      </c>
      <c r="M18">
        <f>IF(B18,(1+Trend)^D18,"")</f>
        <v/>
      </c>
      <c r="N18">
        <f>IF(B18,EXP(SUMPRODUCT(LN(1+(EvEff-1)*INDEX(Affected,0,C18)*EXP(-((E18-EvCenter)^2)/(2*EvSigma^2))))),"")</f>
        <v/>
      </c>
      <c r="O18">
        <f>IF(B18,ROUND(MAX(0,J18*K18*L18*M18*N18),2),"")</f>
        <v/>
      </c>
    </row>
    <row r="19">
      <c r="A19" t="n">
        <v>18</v>
      </c>
      <c r="B19">
        <f>A19&lt;=MineCount*Days</f>
        <v/>
      </c>
      <c r="C19">
        <f>IF(B19,INT((A19-1)/Days)+1,"")</f>
        <v/>
      </c>
      <c r="D19">
        <f>IF(B19,MOD(A19-1,Days),"")</f>
        <v/>
      </c>
      <c r="E19" s="16">
        <f>IF(B19,StartDate+D19,"")</f>
        <v/>
      </c>
      <c r="F19">
        <f>IF(B19,MAX(MOD(SIN(Seed*0.1373+C19*12.9898+D19*78.233)*43758.5453,1),1E-9),"")</f>
        <v/>
      </c>
      <c r="G19">
        <f>IF(B19,MOD(SIN(Seed*0.5917+C19*39.3468+D19*11.135)*24634.6345,1),"")</f>
        <v/>
      </c>
      <c r="H19">
        <f>IF(B19,SQRT(-2*LN(F19))*COS(2*PI()*G19),"")</f>
        <v/>
      </c>
      <c r="I19">
        <f>IF(B19,IF(D19=0,H19,Rho*I18+SQRT(1-Rho^2)*H19),"")</f>
        <v/>
      </c>
      <c r="J19">
        <f>IF(B19,IF(Dist="Normal",DistA+DistB*I19,DistA+(DistB-DistA)*NORMSDIST(I19)),"")</f>
        <v/>
      </c>
      <c r="K19">
        <f>IF(B19,INDEX(MineScale,C19),"")</f>
        <v/>
      </c>
      <c r="L19">
        <f>IF(B19,INDEX(Dow,1,WEEKDAY(E19,2)),"")</f>
        <v/>
      </c>
      <c r="M19">
        <f>IF(B19,(1+Trend)^D19,"")</f>
        <v/>
      </c>
      <c r="N19">
        <f>IF(B19,EXP(SUMPRODUCT(LN(1+(EvEff-1)*INDEX(Affected,0,C19)*EXP(-((E19-EvCenter)^2)/(2*EvSigma^2))))),"")</f>
        <v/>
      </c>
      <c r="O19">
        <f>IF(B19,ROUND(MAX(0,J19*K19*L19*M19*N19),2),"")</f>
        <v/>
      </c>
    </row>
    <row r="20">
      <c r="A20" t="n">
        <v>19</v>
      </c>
      <c r="B20">
        <f>A20&lt;=MineCount*Days</f>
        <v/>
      </c>
      <c r="C20">
        <f>IF(B20,INT((A20-1)/Days)+1,"")</f>
        <v/>
      </c>
      <c r="D20">
        <f>IF(B20,MOD(A20-1,Days),"")</f>
        <v/>
      </c>
      <c r="E20" s="16">
        <f>IF(B20,StartDate+D20,"")</f>
        <v/>
      </c>
      <c r="F20">
        <f>IF(B20,MAX(MOD(SIN(Seed*0.1373+C20*12.9898+D20*78.233)*43758.5453,1),1E-9),"")</f>
        <v/>
      </c>
      <c r="G20">
        <f>IF(B20,MOD(SIN(Seed*0.5917+C20*39.3468+D20*11.135)*24634.6345,1),"")</f>
        <v/>
      </c>
      <c r="H20">
        <f>IF(B20,SQRT(-2*LN(F20))*COS(2*PI()*G20),"")</f>
        <v/>
      </c>
      <c r="I20">
        <f>IF(B20,IF(D20=0,H20,Rho*I19+SQRT(1-Rho^2)*H20),"")</f>
        <v/>
      </c>
      <c r="J20">
        <f>IF(B20,IF(Dist="Normal",DistA+DistB*I20,DistA+(DistB-DistA)*NORMSDIST(I20)),"")</f>
        <v/>
      </c>
      <c r="K20">
        <f>IF(B20,INDEX(MineScale,C20),"")</f>
        <v/>
      </c>
      <c r="L20">
        <f>IF(B20,INDEX(Dow,1,WEEKDAY(E20,2)),"")</f>
        <v/>
      </c>
      <c r="M20">
        <f>IF(B20,(1+Trend)^D20,"")</f>
        <v/>
      </c>
      <c r="N20">
        <f>IF(B20,EXP(SUMPRODUCT(LN(1+(EvEff-1)*INDEX(Affected,0,C20)*EXP(-((E20-EvCenter)^2)/(2*EvSigma^2))))),"")</f>
        <v/>
      </c>
      <c r="O20">
        <f>IF(B20,ROUND(MAX(0,J20*K20*L20*M20*N20),2),"")</f>
        <v/>
      </c>
    </row>
    <row r="21">
      <c r="A21" t="n">
        <v>20</v>
      </c>
      <c r="B21">
        <f>A21&lt;=MineCount*Days</f>
        <v/>
      </c>
      <c r="C21">
        <f>IF(B21,INT((A21-1)/Days)+1,"")</f>
        <v/>
      </c>
      <c r="D21">
        <f>IF(B21,MOD(A21-1,Days),"")</f>
        <v/>
      </c>
      <c r="E21" s="16">
        <f>IF(B21,StartDate+D21,"")</f>
        <v/>
      </c>
      <c r="F21">
        <f>IF(B21,MAX(MOD(SIN(Seed*0.1373+C21*12.9898+D21*78.233)*43758.5453,1),1E-9),"")</f>
        <v/>
      </c>
      <c r="G21">
        <f>IF(B21,MOD(SIN(Seed*0.5917+C21*39.3468+D21*11.135)*24634.6345,1),"")</f>
        <v/>
      </c>
      <c r="H21">
        <f>IF(B21,SQRT(-2*LN(F21))*COS(2*PI()*G21),"")</f>
        <v/>
      </c>
      <c r="I21">
        <f>IF(B21,IF(D21=0,H21,Rho*I20+SQRT(1-Rho^2)*H21),"")</f>
        <v/>
      </c>
      <c r="J21">
        <f>IF(B21,IF(Dist="Normal",DistA+DistB*I21,DistA+(DistB-DistA)*NORMSDIST(I21)),"")</f>
        <v/>
      </c>
      <c r="K21">
        <f>IF(B21,INDEX(MineScale,C21),"")</f>
        <v/>
      </c>
      <c r="L21">
        <f>IF(B21,INDEX(Dow,1,WEEKDAY(E21,2)),"")</f>
        <v/>
      </c>
      <c r="M21">
        <f>IF(B21,(1+Trend)^D21,"")</f>
        <v/>
      </c>
      <c r="N21">
        <f>IF(B21,EXP(SUMPRODUCT(LN(1+(EvEff-1)*INDEX(Affected,0,C21)*EXP(-((E21-EvCenter)^2)/(2*EvSigma^2))))),"")</f>
        <v/>
      </c>
      <c r="O21">
        <f>IF(B21,ROUND(MAX(0,J21*K21*L21*M21*N21),2),"")</f>
        <v/>
      </c>
    </row>
    <row r="22">
      <c r="A22" t="n">
        <v>21</v>
      </c>
      <c r="B22">
        <f>A22&lt;=MineCount*Days</f>
        <v/>
      </c>
      <c r="C22">
        <f>IF(B22,INT((A22-1)/Days)+1,"")</f>
        <v/>
      </c>
      <c r="D22">
        <f>IF(B22,MOD(A22-1,Days),"")</f>
        <v/>
      </c>
      <c r="E22" s="16">
        <f>IF(B22,StartDate+D22,"")</f>
        <v/>
      </c>
      <c r="F22">
        <f>IF(B22,MAX(MOD(SIN(Seed*0.1373+C22*12.9898+D22*78.233)*43758.5453,1),1E-9),"")</f>
        <v/>
      </c>
      <c r="G22">
        <f>IF(B22,MOD(SIN(Seed*0.5917+C22*39.3468+D22*11.135)*24634.6345,1),"")</f>
        <v/>
      </c>
      <c r="H22">
        <f>IF(B22,SQRT(-2*LN(F22))*COS(2*PI()*G22),"")</f>
        <v/>
      </c>
      <c r="I22">
        <f>IF(B22,IF(D22=0,H22,Rho*I21+SQRT(1-Rho^2)*H22),"")</f>
        <v/>
      </c>
      <c r="J22">
        <f>IF(B22,IF(Dist="Normal",DistA+DistB*I22,DistA+(DistB-DistA)*NORMSDIST(I22)),"")</f>
        <v/>
      </c>
      <c r="K22">
        <f>IF(B22,INDEX(MineScale,C22),"")</f>
        <v/>
      </c>
      <c r="L22">
        <f>IF(B22,INDEX(Dow,1,WEEKDAY(E22,2)),"")</f>
        <v/>
      </c>
      <c r="M22">
        <f>IF(B22,(1+Trend)^D22,"")</f>
        <v/>
      </c>
      <c r="N22">
        <f>IF(B22,EXP(SUMPRODUCT(LN(1+(EvEff-1)*INDEX(Affected,0,C22)*EXP(-((E22-EvCenter)^2)/(2*EvSigma^2))))),"")</f>
        <v/>
      </c>
      <c r="O22">
        <f>IF(B22,ROUND(MAX(0,J22*K22*L22*M22*N22),2),"")</f>
        <v/>
      </c>
    </row>
    <row r="23">
      <c r="A23" t="n">
        <v>22</v>
      </c>
      <c r="B23">
        <f>A23&lt;=MineCount*Days</f>
        <v/>
      </c>
      <c r="C23">
        <f>IF(B23,INT((A23-1)/Days)+1,"")</f>
        <v/>
      </c>
      <c r="D23">
        <f>IF(B23,MOD(A23-1,Days),"")</f>
        <v/>
      </c>
      <c r="E23" s="16">
        <f>IF(B23,StartDate+D23,"")</f>
        <v/>
      </c>
      <c r="F23">
        <f>IF(B23,MAX(MOD(SIN(Seed*0.1373+C23*12.9898+D23*78.233)*43758.5453,1),1E-9),"")</f>
        <v/>
      </c>
      <c r="G23">
        <f>IF(B23,MOD(SIN(Seed*0.5917+C23*39.3468+D23*11.135)*24634.6345,1),"")</f>
        <v/>
      </c>
      <c r="H23">
        <f>IF(B23,SQRT(-2*LN(F23))*COS(2*PI()*G23),"")</f>
        <v/>
      </c>
      <c r="I23">
        <f>IF(B23,IF(D23=0,H23,Rho*I22+SQRT(1-Rho^2)*H23),"")</f>
        <v/>
      </c>
      <c r="J23">
        <f>IF(B23,IF(Dist="Normal",DistA+DistB*I23,DistA+(DistB-DistA)*NORMSDIST(I23)),"")</f>
        <v/>
      </c>
      <c r="K23">
        <f>IF(B23,INDEX(MineScale,C23),"")</f>
        <v/>
      </c>
      <c r="L23">
        <f>IF(B23,INDEX(Dow,1,WEEKDAY(E23,2)),"")</f>
        <v/>
      </c>
      <c r="M23">
        <f>IF(B23,(1+Trend)^D23,"")</f>
        <v/>
      </c>
      <c r="N23">
        <f>IF(B23,EXP(SUMPRODUCT(LN(1+(EvEff-1)*INDEX(Affected,0,C23)*EXP(-((E23-EvCenter)^2)/(2*EvSigma^2))))),"")</f>
        <v/>
      </c>
      <c r="O23">
        <f>IF(B23,ROUND(MAX(0,J23*K23*L23*M23*N23),2),"")</f>
        <v/>
      </c>
    </row>
    <row r="24">
      <c r="A24" t="n">
        <v>23</v>
      </c>
      <c r="B24">
        <f>A24&lt;=MineCount*Days</f>
        <v/>
      </c>
      <c r="C24">
        <f>IF(B24,INT((A24-1)/Days)+1,"")</f>
        <v/>
      </c>
      <c r="D24">
        <f>IF(B24,MOD(A24-1,Days),"")</f>
        <v/>
      </c>
      <c r="E24" s="16">
        <f>IF(B24,StartDate+D24,"")</f>
        <v/>
      </c>
      <c r="F24">
        <f>IF(B24,MAX(MOD(SIN(Seed*0.1373+C24*12.9898+D24*78.233)*43758.5453,1),1E-9),"")</f>
        <v/>
      </c>
      <c r="G24">
        <f>IF(B24,MOD(SIN(Seed*0.5917+C24*39.3468+D24*11.135)*24634.6345,1),"")</f>
        <v/>
      </c>
      <c r="H24">
        <f>IF(B24,SQRT(-2*LN(F24))*COS(2*PI()*G24),"")</f>
        <v/>
      </c>
      <c r="I24">
        <f>IF(B24,IF(D24=0,H24,Rho*I23+SQRT(1-Rho^2)*H24),"")</f>
        <v/>
      </c>
      <c r="J24">
        <f>IF(B24,IF(Dist="Normal",DistA+DistB*I24,DistA+(DistB-DistA)*NORMSDIST(I24)),"")</f>
        <v/>
      </c>
      <c r="K24">
        <f>IF(B24,INDEX(MineScale,C24),"")</f>
        <v/>
      </c>
      <c r="L24">
        <f>IF(B24,INDEX(Dow,1,WEEKDAY(E24,2)),"")</f>
        <v/>
      </c>
      <c r="M24">
        <f>IF(B24,(1+Trend)^D24,"")</f>
        <v/>
      </c>
      <c r="N24">
        <f>IF(B24,EXP(SUMPRODUCT(LN(1+(EvEff-1)*INDEX(Affected,0,C24)*EXP(-((E24-EvCenter)^2)/(2*EvSigma^2))))),"")</f>
        <v/>
      </c>
      <c r="O24">
        <f>IF(B24,ROUND(MAX(0,J24*K24*L24*M24*N24),2),"")</f>
        <v/>
      </c>
    </row>
    <row r="25">
      <c r="A25" t="n">
        <v>24</v>
      </c>
      <c r="B25">
        <f>A25&lt;=MineCount*Days</f>
        <v/>
      </c>
      <c r="C25">
        <f>IF(B25,INT((A25-1)/Days)+1,"")</f>
        <v/>
      </c>
      <c r="D25">
        <f>IF(B25,MOD(A25-1,Days),"")</f>
        <v/>
      </c>
      <c r="E25" s="16">
        <f>IF(B25,StartDate+D25,"")</f>
        <v/>
      </c>
      <c r="F25">
        <f>IF(B25,MAX(MOD(SIN(Seed*0.1373+C25*12.9898+D25*78.233)*43758.5453,1),1E-9),"")</f>
        <v/>
      </c>
      <c r="G25">
        <f>IF(B25,MOD(SIN(Seed*0.5917+C25*39.3468+D25*11.135)*24634.6345,1),"")</f>
        <v/>
      </c>
      <c r="H25">
        <f>IF(B25,SQRT(-2*LN(F25))*COS(2*PI()*G25),"")</f>
        <v/>
      </c>
      <c r="I25">
        <f>IF(B25,IF(D25=0,H25,Rho*I24+SQRT(1-Rho^2)*H25),"")</f>
        <v/>
      </c>
      <c r="J25">
        <f>IF(B25,IF(Dist="Normal",DistA+DistB*I25,DistA+(DistB-DistA)*NORMSDIST(I25)),"")</f>
        <v/>
      </c>
      <c r="K25">
        <f>IF(B25,INDEX(MineScale,C25),"")</f>
        <v/>
      </c>
      <c r="L25">
        <f>IF(B25,INDEX(Dow,1,WEEKDAY(E25,2)),"")</f>
        <v/>
      </c>
      <c r="M25">
        <f>IF(B25,(1+Trend)^D25,"")</f>
        <v/>
      </c>
      <c r="N25">
        <f>IF(B25,EXP(SUMPRODUCT(LN(1+(EvEff-1)*INDEX(Affected,0,C25)*EXP(-((E25-EvCenter)^2)/(2*EvSigma^2))))),"")</f>
        <v/>
      </c>
      <c r="O25">
        <f>IF(B25,ROUND(MAX(0,J25*K25*L25*M25*N25),2),"")</f>
        <v/>
      </c>
    </row>
    <row r="26">
      <c r="A26" t="n">
        <v>25</v>
      </c>
      <c r="B26">
        <f>A26&lt;=MineCount*Days</f>
        <v/>
      </c>
      <c r="C26">
        <f>IF(B26,INT((A26-1)/Days)+1,"")</f>
        <v/>
      </c>
      <c r="D26">
        <f>IF(B26,MOD(A26-1,Days),"")</f>
        <v/>
      </c>
      <c r="E26" s="16">
        <f>IF(B26,StartDate+D26,"")</f>
        <v/>
      </c>
      <c r="F26">
        <f>IF(B26,MAX(MOD(SIN(Seed*0.1373+C26*12.9898+D26*78.233)*43758.5453,1),1E-9),"")</f>
        <v/>
      </c>
      <c r="G26">
        <f>IF(B26,MOD(SIN(Seed*0.5917+C26*39.3468+D26*11.135)*24634.6345,1),"")</f>
        <v/>
      </c>
      <c r="H26">
        <f>IF(B26,SQRT(-2*LN(F26))*COS(2*PI()*G26),"")</f>
        <v/>
      </c>
      <c r="I26">
        <f>IF(B26,IF(D26=0,H26,Rho*I25+SQRT(1-Rho^2)*H26),"")</f>
        <v/>
      </c>
      <c r="J26">
        <f>IF(B26,IF(Dist="Normal",DistA+DistB*I26,DistA+(DistB-DistA)*NORMSDIST(I26)),"")</f>
        <v/>
      </c>
      <c r="K26">
        <f>IF(B26,INDEX(MineScale,C26),"")</f>
        <v/>
      </c>
      <c r="L26">
        <f>IF(B26,INDEX(Dow,1,WEEKDAY(E26,2)),"")</f>
        <v/>
      </c>
      <c r="M26">
        <f>IF(B26,(1+Trend)^D26,"")</f>
        <v/>
      </c>
      <c r="N26">
        <f>IF(B26,EXP(SUMPRODUCT(LN(1+(EvEff-1)*INDEX(Affected,0,C26)*EXP(-((E26-EvCenter)^2)/(2*EvSigma^2))))),"")</f>
        <v/>
      </c>
      <c r="O26">
        <f>IF(B26,ROUND(MAX(0,J26*K26*L26*M26*N26),2),"")</f>
        <v/>
      </c>
    </row>
    <row r="27">
      <c r="A27" t="n">
        <v>26</v>
      </c>
      <c r="B27">
        <f>A27&lt;=MineCount*Days</f>
        <v/>
      </c>
      <c r="C27">
        <f>IF(B27,INT((A27-1)/Days)+1,"")</f>
        <v/>
      </c>
      <c r="D27">
        <f>IF(B27,MOD(A27-1,Days),"")</f>
        <v/>
      </c>
      <c r="E27" s="16">
        <f>IF(B27,StartDate+D27,"")</f>
        <v/>
      </c>
      <c r="F27">
        <f>IF(B27,MAX(MOD(SIN(Seed*0.1373+C27*12.9898+D27*78.233)*43758.5453,1),1E-9),"")</f>
        <v/>
      </c>
      <c r="G27">
        <f>IF(B27,MOD(SIN(Seed*0.5917+C27*39.3468+D27*11.135)*24634.6345,1),"")</f>
        <v/>
      </c>
      <c r="H27">
        <f>IF(B27,SQRT(-2*LN(F27))*COS(2*PI()*G27),"")</f>
        <v/>
      </c>
      <c r="I27">
        <f>IF(B27,IF(D27=0,H27,Rho*I26+SQRT(1-Rho^2)*H27),"")</f>
        <v/>
      </c>
      <c r="J27">
        <f>IF(B27,IF(Dist="Normal",DistA+DistB*I27,DistA+(DistB-DistA)*NORMSDIST(I27)),"")</f>
        <v/>
      </c>
      <c r="K27">
        <f>IF(B27,INDEX(MineScale,C27),"")</f>
        <v/>
      </c>
      <c r="L27">
        <f>IF(B27,INDEX(Dow,1,WEEKDAY(E27,2)),"")</f>
        <v/>
      </c>
      <c r="M27">
        <f>IF(B27,(1+Trend)^D27,"")</f>
        <v/>
      </c>
      <c r="N27">
        <f>IF(B27,EXP(SUMPRODUCT(LN(1+(EvEff-1)*INDEX(Affected,0,C27)*EXP(-((E27-EvCenter)^2)/(2*EvSigma^2))))),"")</f>
        <v/>
      </c>
      <c r="O27">
        <f>IF(B27,ROUND(MAX(0,J27*K27*L27*M27*N27),2),"")</f>
        <v/>
      </c>
    </row>
    <row r="28">
      <c r="A28" t="n">
        <v>27</v>
      </c>
      <c r="B28">
        <f>A28&lt;=MineCount*Days</f>
        <v/>
      </c>
      <c r="C28">
        <f>IF(B28,INT((A28-1)/Days)+1,"")</f>
        <v/>
      </c>
      <c r="D28">
        <f>IF(B28,MOD(A28-1,Days),"")</f>
        <v/>
      </c>
      <c r="E28" s="16">
        <f>IF(B28,StartDate+D28,"")</f>
        <v/>
      </c>
      <c r="F28">
        <f>IF(B28,MAX(MOD(SIN(Seed*0.1373+C28*12.9898+D28*78.233)*43758.5453,1),1E-9),"")</f>
        <v/>
      </c>
      <c r="G28">
        <f>IF(B28,MOD(SIN(Seed*0.5917+C28*39.3468+D28*11.135)*24634.6345,1),"")</f>
        <v/>
      </c>
      <c r="H28">
        <f>IF(B28,SQRT(-2*LN(F28))*COS(2*PI()*G28),"")</f>
        <v/>
      </c>
      <c r="I28">
        <f>IF(B28,IF(D28=0,H28,Rho*I27+SQRT(1-Rho^2)*H28),"")</f>
        <v/>
      </c>
      <c r="J28">
        <f>IF(B28,IF(Dist="Normal",DistA+DistB*I28,DistA+(DistB-DistA)*NORMSDIST(I28)),"")</f>
        <v/>
      </c>
      <c r="K28">
        <f>IF(B28,INDEX(MineScale,C28),"")</f>
        <v/>
      </c>
      <c r="L28">
        <f>IF(B28,INDEX(Dow,1,WEEKDAY(E28,2)),"")</f>
        <v/>
      </c>
      <c r="M28">
        <f>IF(B28,(1+Trend)^D28,"")</f>
        <v/>
      </c>
      <c r="N28">
        <f>IF(B28,EXP(SUMPRODUCT(LN(1+(EvEff-1)*INDEX(Affected,0,C28)*EXP(-((E28-EvCenter)^2)/(2*EvSigma^2))))),"")</f>
        <v/>
      </c>
      <c r="O28">
        <f>IF(B28,ROUND(MAX(0,J28*K28*L28*M28*N28),2),"")</f>
        <v/>
      </c>
    </row>
    <row r="29">
      <c r="A29" t="n">
        <v>28</v>
      </c>
      <c r="B29">
        <f>A29&lt;=MineCount*Days</f>
        <v/>
      </c>
      <c r="C29">
        <f>IF(B29,INT((A29-1)/Days)+1,"")</f>
        <v/>
      </c>
      <c r="D29">
        <f>IF(B29,MOD(A29-1,Days),"")</f>
        <v/>
      </c>
      <c r="E29" s="16">
        <f>IF(B29,StartDate+D29,"")</f>
        <v/>
      </c>
      <c r="F29">
        <f>IF(B29,MAX(MOD(SIN(Seed*0.1373+C29*12.9898+D29*78.233)*43758.5453,1),1E-9),"")</f>
        <v/>
      </c>
      <c r="G29">
        <f>IF(B29,MOD(SIN(Seed*0.5917+C29*39.3468+D29*11.135)*24634.6345,1),"")</f>
        <v/>
      </c>
      <c r="H29">
        <f>IF(B29,SQRT(-2*LN(F29))*COS(2*PI()*G29),"")</f>
        <v/>
      </c>
      <c r="I29">
        <f>IF(B29,IF(D29=0,H29,Rho*I28+SQRT(1-Rho^2)*H29),"")</f>
        <v/>
      </c>
      <c r="J29">
        <f>IF(B29,IF(Dist="Normal",DistA+DistB*I29,DistA+(DistB-DistA)*NORMSDIST(I29)),"")</f>
        <v/>
      </c>
      <c r="K29">
        <f>IF(B29,INDEX(MineScale,C29),"")</f>
        <v/>
      </c>
      <c r="L29">
        <f>IF(B29,INDEX(Dow,1,WEEKDAY(E29,2)),"")</f>
        <v/>
      </c>
      <c r="M29">
        <f>IF(B29,(1+Trend)^D29,"")</f>
        <v/>
      </c>
      <c r="N29">
        <f>IF(B29,EXP(SUMPRODUCT(LN(1+(EvEff-1)*INDEX(Affected,0,C29)*EXP(-((E29-EvCenter)^2)/(2*EvSigma^2))))),"")</f>
        <v/>
      </c>
      <c r="O29">
        <f>IF(B29,ROUND(MAX(0,J29*K29*L29*M29*N29),2),"")</f>
        <v/>
      </c>
    </row>
    <row r="30">
      <c r="A30" t="n">
        <v>29</v>
      </c>
      <c r="B30">
        <f>A30&lt;=MineCount*Days</f>
        <v/>
      </c>
      <c r="C30">
        <f>IF(B30,INT((A30-1)/Days)+1,"")</f>
        <v/>
      </c>
      <c r="D30">
        <f>IF(B30,MOD(A30-1,Days),"")</f>
        <v/>
      </c>
      <c r="E30" s="16">
        <f>IF(B30,StartDate+D30,"")</f>
        <v/>
      </c>
      <c r="F30">
        <f>IF(B30,MAX(MOD(SIN(Seed*0.1373+C30*12.9898+D30*78.233)*43758.5453,1),1E-9),"")</f>
        <v/>
      </c>
      <c r="G30">
        <f>IF(B30,MOD(SIN(Seed*0.5917+C30*39.3468+D30*11.135)*24634.6345,1),"")</f>
        <v/>
      </c>
      <c r="H30">
        <f>IF(B30,SQRT(-2*LN(F30))*COS(2*PI()*G30),"")</f>
        <v/>
      </c>
      <c r="I30">
        <f>IF(B30,IF(D30=0,H30,Rho*I29+SQRT(1-Rho^2)*H30),"")</f>
        <v/>
      </c>
      <c r="J30">
        <f>IF(B30,IF(Dist="Normal",DistA+DistB*I30,DistA+(DistB-DistA)*NORMSDIST(I30)),"")</f>
        <v/>
      </c>
      <c r="K30">
        <f>IF(B30,INDEX(MineScale,C30),"")</f>
        <v/>
      </c>
      <c r="L30">
        <f>IF(B30,INDEX(Dow,1,WEEKDAY(E30,2)),"")</f>
        <v/>
      </c>
      <c r="M30">
        <f>IF(B30,(1+Trend)^D30,"")</f>
        <v/>
      </c>
      <c r="N30">
        <f>IF(B30,EXP(SUMPRODUCT(LN(1+(EvEff-1)*INDEX(Affected,0,C30)*EXP(-((E30-EvCenter)^2)/(2*EvSigma^2))))),"")</f>
        <v/>
      </c>
      <c r="O30">
        <f>IF(B30,ROUND(MAX(0,J30*K30*L30*M30*N30),2),"")</f>
        <v/>
      </c>
    </row>
    <row r="31">
      <c r="A31" t="n">
        <v>30</v>
      </c>
      <c r="B31">
        <f>A31&lt;=MineCount*Days</f>
        <v/>
      </c>
      <c r="C31">
        <f>IF(B31,INT((A31-1)/Days)+1,"")</f>
        <v/>
      </c>
      <c r="D31">
        <f>IF(B31,MOD(A31-1,Days),"")</f>
        <v/>
      </c>
      <c r="E31" s="16">
        <f>IF(B31,StartDate+D31,"")</f>
        <v/>
      </c>
      <c r="F31">
        <f>IF(B31,MAX(MOD(SIN(Seed*0.1373+C31*12.9898+D31*78.233)*43758.5453,1),1E-9),"")</f>
        <v/>
      </c>
      <c r="G31">
        <f>IF(B31,MOD(SIN(Seed*0.5917+C31*39.3468+D31*11.135)*24634.6345,1),"")</f>
        <v/>
      </c>
      <c r="H31">
        <f>IF(B31,SQRT(-2*LN(F31))*COS(2*PI()*G31),"")</f>
        <v/>
      </c>
      <c r="I31">
        <f>IF(B31,IF(D31=0,H31,Rho*I30+SQRT(1-Rho^2)*H31),"")</f>
        <v/>
      </c>
      <c r="J31">
        <f>IF(B31,IF(Dist="Normal",DistA+DistB*I31,DistA+(DistB-DistA)*NORMSDIST(I31)),"")</f>
        <v/>
      </c>
      <c r="K31">
        <f>IF(B31,INDEX(MineScale,C31),"")</f>
        <v/>
      </c>
      <c r="L31">
        <f>IF(B31,INDEX(Dow,1,WEEKDAY(E31,2)),"")</f>
        <v/>
      </c>
      <c r="M31">
        <f>IF(B31,(1+Trend)^D31,"")</f>
        <v/>
      </c>
      <c r="N31">
        <f>IF(B31,EXP(SUMPRODUCT(LN(1+(EvEff-1)*INDEX(Affected,0,C31)*EXP(-((E31-EvCenter)^2)/(2*EvSigma^2))))),"")</f>
        <v/>
      </c>
      <c r="O31">
        <f>IF(B31,ROUND(MAX(0,J31*K31*L31*M31*N31),2),"")</f>
        <v/>
      </c>
    </row>
    <row r="32">
      <c r="A32" t="n">
        <v>31</v>
      </c>
      <c r="B32">
        <f>A32&lt;=MineCount*Days</f>
        <v/>
      </c>
      <c r="C32">
        <f>IF(B32,INT((A32-1)/Days)+1,"")</f>
        <v/>
      </c>
      <c r="D32">
        <f>IF(B32,MOD(A32-1,Days),"")</f>
        <v/>
      </c>
      <c r="E32" s="16">
        <f>IF(B32,StartDate+D32,"")</f>
        <v/>
      </c>
      <c r="F32">
        <f>IF(B32,MAX(MOD(SIN(Seed*0.1373+C32*12.9898+D32*78.233)*43758.5453,1),1E-9),"")</f>
        <v/>
      </c>
      <c r="G32">
        <f>IF(B32,MOD(SIN(Seed*0.5917+C32*39.3468+D32*11.135)*24634.6345,1),"")</f>
        <v/>
      </c>
      <c r="H32">
        <f>IF(B32,SQRT(-2*LN(F32))*COS(2*PI()*G32),"")</f>
        <v/>
      </c>
      <c r="I32">
        <f>IF(B32,IF(D32=0,H32,Rho*I31+SQRT(1-Rho^2)*H32),"")</f>
        <v/>
      </c>
      <c r="J32">
        <f>IF(B32,IF(Dist="Normal",DistA+DistB*I32,DistA+(DistB-DistA)*NORMSDIST(I32)),"")</f>
        <v/>
      </c>
      <c r="K32">
        <f>IF(B32,INDEX(MineScale,C32),"")</f>
        <v/>
      </c>
      <c r="L32">
        <f>IF(B32,INDEX(Dow,1,WEEKDAY(E32,2)),"")</f>
        <v/>
      </c>
      <c r="M32">
        <f>IF(B32,(1+Trend)^D32,"")</f>
        <v/>
      </c>
      <c r="N32">
        <f>IF(B32,EXP(SUMPRODUCT(LN(1+(EvEff-1)*INDEX(Affected,0,C32)*EXP(-((E32-EvCenter)^2)/(2*EvSigma^2))))),"")</f>
        <v/>
      </c>
      <c r="O32">
        <f>IF(B32,ROUND(MAX(0,J32*K32*L32*M32*N32),2),"")</f>
        <v/>
      </c>
    </row>
    <row r="33">
      <c r="A33" t="n">
        <v>32</v>
      </c>
      <c r="B33">
        <f>A33&lt;=MineCount*Days</f>
        <v/>
      </c>
      <c r="C33">
        <f>IF(B33,INT((A33-1)/Days)+1,"")</f>
        <v/>
      </c>
      <c r="D33">
        <f>IF(B33,MOD(A33-1,Days),"")</f>
        <v/>
      </c>
      <c r="E33" s="16">
        <f>IF(B33,StartDate+D33,"")</f>
        <v/>
      </c>
      <c r="F33">
        <f>IF(B33,MAX(MOD(SIN(Seed*0.1373+C33*12.9898+D33*78.233)*43758.5453,1),1E-9),"")</f>
        <v/>
      </c>
      <c r="G33">
        <f>IF(B33,MOD(SIN(Seed*0.5917+C33*39.3468+D33*11.135)*24634.6345,1),"")</f>
        <v/>
      </c>
      <c r="H33">
        <f>IF(B33,SQRT(-2*LN(F33))*COS(2*PI()*G33),"")</f>
        <v/>
      </c>
      <c r="I33">
        <f>IF(B33,IF(D33=0,H33,Rho*I32+SQRT(1-Rho^2)*H33),"")</f>
        <v/>
      </c>
      <c r="J33">
        <f>IF(B33,IF(Dist="Normal",DistA+DistB*I33,DistA+(DistB-DistA)*NORMSDIST(I33)),"")</f>
        <v/>
      </c>
      <c r="K33">
        <f>IF(B33,INDEX(MineScale,C33),"")</f>
        <v/>
      </c>
      <c r="L33">
        <f>IF(B33,INDEX(Dow,1,WEEKDAY(E33,2)),"")</f>
        <v/>
      </c>
      <c r="M33">
        <f>IF(B33,(1+Trend)^D33,"")</f>
        <v/>
      </c>
      <c r="N33">
        <f>IF(B33,EXP(SUMPRODUCT(LN(1+(EvEff-1)*INDEX(Affected,0,C33)*EXP(-((E33-EvCenter)^2)/(2*EvSigma^2))))),"")</f>
        <v/>
      </c>
      <c r="O33">
        <f>IF(B33,ROUND(MAX(0,J33*K33*L33*M33*N33),2),"")</f>
        <v/>
      </c>
    </row>
    <row r="34">
      <c r="A34" t="n">
        <v>33</v>
      </c>
      <c r="B34">
        <f>A34&lt;=MineCount*Days</f>
        <v/>
      </c>
      <c r="C34">
        <f>IF(B34,INT((A34-1)/Days)+1,"")</f>
        <v/>
      </c>
      <c r="D34">
        <f>IF(B34,MOD(A34-1,Days),"")</f>
        <v/>
      </c>
      <c r="E34" s="16">
        <f>IF(B34,StartDate+D34,"")</f>
        <v/>
      </c>
      <c r="F34">
        <f>IF(B34,MAX(MOD(SIN(Seed*0.1373+C34*12.9898+D34*78.233)*43758.5453,1),1E-9),"")</f>
        <v/>
      </c>
      <c r="G34">
        <f>IF(B34,MOD(SIN(Seed*0.5917+C34*39.3468+D34*11.135)*24634.6345,1),"")</f>
        <v/>
      </c>
      <c r="H34">
        <f>IF(B34,SQRT(-2*LN(F34))*COS(2*PI()*G34),"")</f>
        <v/>
      </c>
      <c r="I34">
        <f>IF(B34,IF(D34=0,H34,Rho*I33+SQRT(1-Rho^2)*H34),"")</f>
        <v/>
      </c>
      <c r="J34">
        <f>IF(B34,IF(Dist="Normal",DistA+DistB*I34,DistA+(DistB-DistA)*NORMSDIST(I34)),"")</f>
        <v/>
      </c>
      <c r="K34">
        <f>IF(B34,INDEX(MineScale,C34),"")</f>
        <v/>
      </c>
      <c r="L34">
        <f>IF(B34,INDEX(Dow,1,WEEKDAY(E34,2)),"")</f>
        <v/>
      </c>
      <c r="M34">
        <f>IF(B34,(1+Trend)^D34,"")</f>
        <v/>
      </c>
      <c r="N34">
        <f>IF(B34,EXP(SUMPRODUCT(LN(1+(EvEff-1)*INDEX(Affected,0,C34)*EXP(-((E34-EvCenter)^2)/(2*EvSigma^2))))),"")</f>
        <v/>
      </c>
      <c r="O34">
        <f>IF(B34,ROUND(MAX(0,J34*K34*L34*M34*N34),2),"")</f>
        <v/>
      </c>
    </row>
    <row r="35">
      <c r="A35" t="n">
        <v>34</v>
      </c>
      <c r="B35">
        <f>A35&lt;=MineCount*Days</f>
        <v/>
      </c>
      <c r="C35">
        <f>IF(B35,INT((A35-1)/Days)+1,"")</f>
        <v/>
      </c>
      <c r="D35">
        <f>IF(B35,MOD(A35-1,Days),"")</f>
        <v/>
      </c>
      <c r="E35" s="16">
        <f>IF(B35,StartDate+D35,"")</f>
        <v/>
      </c>
      <c r="F35">
        <f>IF(B35,MAX(MOD(SIN(Seed*0.1373+C35*12.9898+D35*78.233)*43758.5453,1),1E-9),"")</f>
        <v/>
      </c>
      <c r="G35">
        <f>IF(B35,MOD(SIN(Seed*0.5917+C35*39.3468+D35*11.135)*24634.6345,1),"")</f>
        <v/>
      </c>
      <c r="H35">
        <f>IF(B35,SQRT(-2*LN(F35))*COS(2*PI()*G35),"")</f>
        <v/>
      </c>
      <c r="I35">
        <f>IF(B35,IF(D35=0,H35,Rho*I34+SQRT(1-Rho^2)*H35),"")</f>
        <v/>
      </c>
      <c r="J35">
        <f>IF(B35,IF(Dist="Normal",DistA+DistB*I35,DistA+(DistB-DistA)*NORMSDIST(I35)),"")</f>
        <v/>
      </c>
      <c r="K35">
        <f>IF(B35,INDEX(MineScale,C35),"")</f>
        <v/>
      </c>
      <c r="L35">
        <f>IF(B35,INDEX(Dow,1,WEEKDAY(E35,2)),"")</f>
        <v/>
      </c>
      <c r="M35">
        <f>IF(B35,(1+Trend)^D35,"")</f>
        <v/>
      </c>
      <c r="N35">
        <f>IF(B35,EXP(SUMPRODUCT(LN(1+(EvEff-1)*INDEX(Affected,0,C35)*EXP(-((E35-EvCenter)^2)/(2*EvSigma^2))))),"")</f>
        <v/>
      </c>
      <c r="O35">
        <f>IF(B35,ROUND(MAX(0,J35*K35*L35*M35*N35),2),"")</f>
        <v/>
      </c>
    </row>
    <row r="36">
      <c r="A36" t="n">
        <v>35</v>
      </c>
      <c r="B36">
        <f>A36&lt;=MineCount*Days</f>
        <v/>
      </c>
      <c r="C36">
        <f>IF(B36,INT((A36-1)/Days)+1,"")</f>
        <v/>
      </c>
      <c r="D36">
        <f>IF(B36,MOD(A36-1,Days),"")</f>
        <v/>
      </c>
      <c r="E36" s="16">
        <f>IF(B36,StartDate+D36,"")</f>
        <v/>
      </c>
      <c r="F36">
        <f>IF(B36,MAX(MOD(SIN(Seed*0.1373+C36*12.9898+D36*78.233)*43758.5453,1),1E-9),"")</f>
        <v/>
      </c>
      <c r="G36">
        <f>IF(B36,MOD(SIN(Seed*0.5917+C36*39.3468+D36*11.135)*24634.6345,1),"")</f>
        <v/>
      </c>
      <c r="H36">
        <f>IF(B36,SQRT(-2*LN(F36))*COS(2*PI()*G36),"")</f>
        <v/>
      </c>
      <c r="I36">
        <f>IF(B36,IF(D36=0,H36,Rho*I35+SQRT(1-Rho^2)*H36),"")</f>
        <v/>
      </c>
      <c r="J36">
        <f>IF(B36,IF(Dist="Normal",DistA+DistB*I36,DistA+(DistB-DistA)*NORMSDIST(I36)),"")</f>
        <v/>
      </c>
      <c r="K36">
        <f>IF(B36,INDEX(MineScale,C36),"")</f>
        <v/>
      </c>
      <c r="L36">
        <f>IF(B36,INDEX(Dow,1,WEEKDAY(E36,2)),"")</f>
        <v/>
      </c>
      <c r="M36">
        <f>IF(B36,(1+Trend)^D36,"")</f>
        <v/>
      </c>
      <c r="N36">
        <f>IF(B36,EXP(SUMPRODUCT(LN(1+(EvEff-1)*INDEX(Affected,0,C36)*EXP(-((E36-EvCenter)^2)/(2*EvSigma^2))))),"")</f>
        <v/>
      </c>
      <c r="O36">
        <f>IF(B36,ROUND(MAX(0,J36*K36*L36*M36*N36),2),"")</f>
        <v/>
      </c>
    </row>
    <row r="37">
      <c r="A37" t="n">
        <v>36</v>
      </c>
      <c r="B37">
        <f>A37&lt;=MineCount*Days</f>
        <v/>
      </c>
      <c r="C37">
        <f>IF(B37,INT((A37-1)/Days)+1,"")</f>
        <v/>
      </c>
      <c r="D37">
        <f>IF(B37,MOD(A37-1,Days),"")</f>
        <v/>
      </c>
      <c r="E37" s="16">
        <f>IF(B37,StartDate+D37,"")</f>
        <v/>
      </c>
      <c r="F37">
        <f>IF(B37,MAX(MOD(SIN(Seed*0.1373+C37*12.9898+D37*78.233)*43758.5453,1),1E-9),"")</f>
        <v/>
      </c>
      <c r="G37">
        <f>IF(B37,MOD(SIN(Seed*0.5917+C37*39.3468+D37*11.135)*24634.6345,1),"")</f>
        <v/>
      </c>
      <c r="H37">
        <f>IF(B37,SQRT(-2*LN(F37))*COS(2*PI()*G37),"")</f>
        <v/>
      </c>
      <c r="I37">
        <f>IF(B37,IF(D37=0,H37,Rho*I36+SQRT(1-Rho^2)*H37),"")</f>
        <v/>
      </c>
      <c r="J37">
        <f>IF(B37,IF(Dist="Normal",DistA+DistB*I37,DistA+(DistB-DistA)*NORMSDIST(I37)),"")</f>
        <v/>
      </c>
      <c r="K37">
        <f>IF(B37,INDEX(MineScale,C37),"")</f>
        <v/>
      </c>
      <c r="L37">
        <f>IF(B37,INDEX(Dow,1,WEEKDAY(E37,2)),"")</f>
        <v/>
      </c>
      <c r="M37">
        <f>IF(B37,(1+Trend)^D37,"")</f>
        <v/>
      </c>
      <c r="N37">
        <f>IF(B37,EXP(SUMPRODUCT(LN(1+(EvEff-1)*INDEX(Affected,0,C37)*EXP(-((E37-EvCenter)^2)/(2*EvSigma^2))))),"")</f>
        <v/>
      </c>
      <c r="O37">
        <f>IF(B37,ROUND(MAX(0,J37*K37*L37*M37*N37),2),"")</f>
        <v/>
      </c>
    </row>
    <row r="38">
      <c r="A38" t="n">
        <v>37</v>
      </c>
      <c r="B38">
        <f>A38&lt;=MineCount*Days</f>
        <v/>
      </c>
      <c r="C38">
        <f>IF(B38,INT((A38-1)/Days)+1,"")</f>
        <v/>
      </c>
      <c r="D38">
        <f>IF(B38,MOD(A38-1,Days),"")</f>
        <v/>
      </c>
      <c r="E38" s="16">
        <f>IF(B38,StartDate+D38,"")</f>
        <v/>
      </c>
      <c r="F38">
        <f>IF(B38,MAX(MOD(SIN(Seed*0.1373+C38*12.9898+D38*78.233)*43758.5453,1),1E-9),"")</f>
        <v/>
      </c>
      <c r="G38">
        <f>IF(B38,MOD(SIN(Seed*0.5917+C38*39.3468+D38*11.135)*24634.6345,1),"")</f>
        <v/>
      </c>
      <c r="H38">
        <f>IF(B38,SQRT(-2*LN(F38))*COS(2*PI()*G38),"")</f>
        <v/>
      </c>
      <c r="I38">
        <f>IF(B38,IF(D38=0,H38,Rho*I37+SQRT(1-Rho^2)*H38),"")</f>
        <v/>
      </c>
      <c r="J38">
        <f>IF(B38,IF(Dist="Normal",DistA+DistB*I38,DistA+(DistB-DistA)*NORMSDIST(I38)),"")</f>
        <v/>
      </c>
      <c r="K38">
        <f>IF(B38,INDEX(MineScale,C38),"")</f>
        <v/>
      </c>
      <c r="L38">
        <f>IF(B38,INDEX(Dow,1,WEEKDAY(E38,2)),"")</f>
        <v/>
      </c>
      <c r="M38">
        <f>IF(B38,(1+Trend)^D38,"")</f>
        <v/>
      </c>
      <c r="N38">
        <f>IF(B38,EXP(SUMPRODUCT(LN(1+(EvEff-1)*INDEX(Affected,0,C38)*EXP(-((E38-EvCenter)^2)/(2*EvSigma^2))))),"")</f>
        <v/>
      </c>
      <c r="O38">
        <f>IF(B38,ROUND(MAX(0,J38*K38*L38*M38*N38),2),"")</f>
        <v/>
      </c>
    </row>
    <row r="39">
      <c r="A39" t="n">
        <v>38</v>
      </c>
      <c r="B39">
        <f>A39&lt;=MineCount*Days</f>
        <v/>
      </c>
      <c r="C39">
        <f>IF(B39,INT((A39-1)/Days)+1,"")</f>
        <v/>
      </c>
      <c r="D39">
        <f>IF(B39,MOD(A39-1,Days),"")</f>
        <v/>
      </c>
      <c r="E39" s="16">
        <f>IF(B39,StartDate+D39,"")</f>
        <v/>
      </c>
      <c r="F39">
        <f>IF(B39,MAX(MOD(SIN(Seed*0.1373+C39*12.9898+D39*78.233)*43758.5453,1),1E-9),"")</f>
        <v/>
      </c>
      <c r="G39">
        <f>IF(B39,MOD(SIN(Seed*0.5917+C39*39.3468+D39*11.135)*24634.6345,1),"")</f>
        <v/>
      </c>
      <c r="H39">
        <f>IF(B39,SQRT(-2*LN(F39))*COS(2*PI()*G39),"")</f>
        <v/>
      </c>
      <c r="I39">
        <f>IF(B39,IF(D39=0,H39,Rho*I38+SQRT(1-Rho^2)*H39),"")</f>
        <v/>
      </c>
      <c r="J39">
        <f>IF(B39,IF(Dist="Normal",DistA+DistB*I39,DistA+(DistB-DistA)*NORMSDIST(I39)),"")</f>
        <v/>
      </c>
      <c r="K39">
        <f>IF(B39,INDEX(MineScale,C39),"")</f>
        <v/>
      </c>
      <c r="L39">
        <f>IF(B39,INDEX(Dow,1,WEEKDAY(E39,2)),"")</f>
        <v/>
      </c>
      <c r="M39">
        <f>IF(B39,(1+Trend)^D39,"")</f>
        <v/>
      </c>
      <c r="N39">
        <f>IF(B39,EXP(SUMPRODUCT(LN(1+(EvEff-1)*INDEX(Affected,0,C39)*EXP(-((E39-EvCenter)^2)/(2*EvSigma^2))))),"")</f>
        <v/>
      </c>
      <c r="O39">
        <f>IF(B39,ROUND(MAX(0,J39*K39*L39*M39*N39),2),"")</f>
        <v/>
      </c>
    </row>
    <row r="40">
      <c r="A40" t="n">
        <v>39</v>
      </c>
      <c r="B40">
        <f>A40&lt;=MineCount*Days</f>
        <v/>
      </c>
      <c r="C40">
        <f>IF(B40,INT((A40-1)/Days)+1,"")</f>
        <v/>
      </c>
      <c r="D40">
        <f>IF(B40,MOD(A40-1,Days),"")</f>
        <v/>
      </c>
      <c r="E40" s="16">
        <f>IF(B40,StartDate+D40,"")</f>
        <v/>
      </c>
      <c r="F40">
        <f>IF(B40,MAX(MOD(SIN(Seed*0.1373+C40*12.9898+D40*78.233)*43758.5453,1),1E-9),"")</f>
        <v/>
      </c>
      <c r="G40">
        <f>IF(B40,MOD(SIN(Seed*0.5917+C40*39.3468+D40*11.135)*24634.6345,1),"")</f>
        <v/>
      </c>
      <c r="H40">
        <f>IF(B40,SQRT(-2*LN(F40))*COS(2*PI()*G40),"")</f>
        <v/>
      </c>
      <c r="I40">
        <f>IF(B40,IF(D40=0,H40,Rho*I39+SQRT(1-Rho^2)*H40),"")</f>
        <v/>
      </c>
      <c r="J40">
        <f>IF(B40,IF(Dist="Normal",DistA+DistB*I40,DistA+(DistB-DistA)*NORMSDIST(I40)),"")</f>
        <v/>
      </c>
      <c r="K40">
        <f>IF(B40,INDEX(MineScale,C40),"")</f>
        <v/>
      </c>
      <c r="L40">
        <f>IF(B40,INDEX(Dow,1,WEEKDAY(E40,2)),"")</f>
        <v/>
      </c>
      <c r="M40">
        <f>IF(B40,(1+Trend)^D40,"")</f>
        <v/>
      </c>
      <c r="N40">
        <f>IF(B40,EXP(SUMPRODUCT(LN(1+(EvEff-1)*INDEX(Affected,0,C40)*EXP(-((E40-EvCenter)^2)/(2*EvSigma^2))))),"")</f>
        <v/>
      </c>
      <c r="O40">
        <f>IF(B40,ROUND(MAX(0,J40*K40*L40*M40*N40),2),"")</f>
        <v/>
      </c>
    </row>
    <row r="41">
      <c r="A41" t="n">
        <v>40</v>
      </c>
      <c r="B41">
        <f>A41&lt;=MineCount*Days</f>
        <v/>
      </c>
      <c r="C41">
        <f>IF(B41,INT((A41-1)/Days)+1,"")</f>
        <v/>
      </c>
      <c r="D41">
        <f>IF(B41,MOD(A41-1,Days),"")</f>
        <v/>
      </c>
      <c r="E41" s="16">
        <f>IF(B41,StartDate+D41,"")</f>
        <v/>
      </c>
      <c r="F41">
        <f>IF(B41,MAX(MOD(SIN(Seed*0.1373+C41*12.9898+D41*78.233)*43758.5453,1),1E-9),"")</f>
        <v/>
      </c>
      <c r="G41">
        <f>IF(B41,MOD(SIN(Seed*0.5917+C41*39.3468+D41*11.135)*24634.6345,1),"")</f>
        <v/>
      </c>
      <c r="H41">
        <f>IF(B41,SQRT(-2*LN(F41))*COS(2*PI()*G41),"")</f>
        <v/>
      </c>
      <c r="I41">
        <f>IF(B41,IF(D41=0,H41,Rho*I40+SQRT(1-Rho^2)*H41),"")</f>
        <v/>
      </c>
      <c r="J41">
        <f>IF(B41,IF(Dist="Normal",DistA+DistB*I41,DistA+(DistB-DistA)*NORMSDIST(I41)),"")</f>
        <v/>
      </c>
      <c r="K41">
        <f>IF(B41,INDEX(MineScale,C41),"")</f>
        <v/>
      </c>
      <c r="L41">
        <f>IF(B41,INDEX(Dow,1,WEEKDAY(E41,2)),"")</f>
        <v/>
      </c>
      <c r="M41">
        <f>IF(B41,(1+Trend)^D41,"")</f>
        <v/>
      </c>
      <c r="N41">
        <f>IF(B41,EXP(SUMPRODUCT(LN(1+(EvEff-1)*INDEX(Affected,0,C41)*EXP(-((E41-EvCenter)^2)/(2*EvSigma^2))))),"")</f>
        <v/>
      </c>
      <c r="O41">
        <f>IF(B41,ROUND(MAX(0,J41*K41*L41*M41*N41),2),"")</f>
        <v/>
      </c>
    </row>
    <row r="42">
      <c r="A42" t="n">
        <v>41</v>
      </c>
      <c r="B42">
        <f>A42&lt;=MineCount*Days</f>
        <v/>
      </c>
      <c r="C42">
        <f>IF(B42,INT((A42-1)/Days)+1,"")</f>
        <v/>
      </c>
      <c r="D42">
        <f>IF(B42,MOD(A42-1,Days),"")</f>
        <v/>
      </c>
      <c r="E42" s="16">
        <f>IF(B42,StartDate+D42,"")</f>
        <v/>
      </c>
      <c r="F42">
        <f>IF(B42,MAX(MOD(SIN(Seed*0.1373+C42*12.9898+D42*78.233)*43758.5453,1),1E-9),"")</f>
        <v/>
      </c>
      <c r="G42">
        <f>IF(B42,MOD(SIN(Seed*0.5917+C42*39.3468+D42*11.135)*24634.6345,1),"")</f>
        <v/>
      </c>
      <c r="H42">
        <f>IF(B42,SQRT(-2*LN(F42))*COS(2*PI()*G42),"")</f>
        <v/>
      </c>
      <c r="I42">
        <f>IF(B42,IF(D42=0,H42,Rho*I41+SQRT(1-Rho^2)*H42),"")</f>
        <v/>
      </c>
      <c r="J42">
        <f>IF(B42,IF(Dist="Normal",DistA+DistB*I42,DistA+(DistB-DistA)*NORMSDIST(I42)),"")</f>
        <v/>
      </c>
      <c r="K42">
        <f>IF(B42,INDEX(MineScale,C42),"")</f>
        <v/>
      </c>
      <c r="L42">
        <f>IF(B42,INDEX(Dow,1,WEEKDAY(E42,2)),"")</f>
        <v/>
      </c>
      <c r="M42">
        <f>IF(B42,(1+Trend)^D42,"")</f>
        <v/>
      </c>
      <c r="N42">
        <f>IF(B42,EXP(SUMPRODUCT(LN(1+(EvEff-1)*INDEX(Affected,0,C42)*EXP(-((E42-EvCenter)^2)/(2*EvSigma^2))))),"")</f>
        <v/>
      </c>
      <c r="O42">
        <f>IF(B42,ROUND(MAX(0,J42*K42*L42*M42*N42),2),"")</f>
        <v/>
      </c>
    </row>
    <row r="43">
      <c r="A43" t="n">
        <v>42</v>
      </c>
      <c r="B43">
        <f>A43&lt;=MineCount*Days</f>
        <v/>
      </c>
      <c r="C43">
        <f>IF(B43,INT((A43-1)/Days)+1,"")</f>
        <v/>
      </c>
      <c r="D43">
        <f>IF(B43,MOD(A43-1,Days),"")</f>
        <v/>
      </c>
      <c r="E43" s="16">
        <f>IF(B43,StartDate+D43,"")</f>
        <v/>
      </c>
      <c r="F43">
        <f>IF(B43,MAX(MOD(SIN(Seed*0.1373+C43*12.9898+D43*78.233)*43758.5453,1),1E-9),"")</f>
        <v/>
      </c>
      <c r="G43">
        <f>IF(B43,MOD(SIN(Seed*0.5917+C43*39.3468+D43*11.135)*24634.6345,1),"")</f>
        <v/>
      </c>
      <c r="H43">
        <f>IF(B43,SQRT(-2*LN(F43))*COS(2*PI()*G43),"")</f>
        <v/>
      </c>
      <c r="I43">
        <f>IF(B43,IF(D43=0,H43,Rho*I42+SQRT(1-Rho^2)*H43),"")</f>
        <v/>
      </c>
      <c r="J43">
        <f>IF(B43,IF(Dist="Normal",DistA+DistB*I43,DistA+(DistB-DistA)*NORMSDIST(I43)),"")</f>
        <v/>
      </c>
      <c r="K43">
        <f>IF(B43,INDEX(MineScale,C43),"")</f>
        <v/>
      </c>
      <c r="L43">
        <f>IF(B43,INDEX(Dow,1,WEEKDAY(E43,2)),"")</f>
        <v/>
      </c>
      <c r="M43">
        <f>IF(B43,(1+Trend)^D43,"")</f>
        <v/>
      </c>
      <c r="N43">
        <f>IF(B43,EXP(SUMPRODUCT(LN(1+(EvEff-1)*INDEX(Affected,0,C43)*EXP(-((E43-EvCenter)^2)/(2*EvSigma^2))))),"")</f>
        <v/>
      </c>
      <c r="O43">
        <f>IF(B43,ROUND(MAX(0,J43*K43*L43*M43*N43),2),"")</f>
        <v/>
      </c>
    </row>
    <row r="44">
      <c r="A44" t="n">
        <v>43</v>
      </c>
      <c r="B44">
        <f>A44&lt;=MineCount*Days</f>
        <v/>
      </c>
      <c r="C44">
        <f>IF(B44,INT((A44-1)/Days)+1,"")</f>
        <v/>
      </c>
      <c r="D44">
        <f>IF(B44,MOD(A44-1,Days),"")</f>
        <v/>
      </c>
      <c r="E44" s="16">
        <f>IF(B44,StartDate+D44,"")</f>
        <v/>
      </c>
      <c r="F44">
        <f>IF(B44,MAX(MOD(SIN(Seed*0.1373+C44*12.9898+D44*78.233)*43758.5453,1),1E-9),"")</f>
        <v/>
      </c>
      <c r="G44">
        <f>IF(B44,MOD(SIN(Seed*0.5917+C44*39.3468+D44*11.135)*24634.6345,1),"")</f>
        <v/>
      </c>
      <c r="H44">
        <f>IF(B44,SQRT(-2*LN(F44))*COS(2*PI()*G44),"")</f>
        <v/>
      </c>
      <c r="I44">
        <f>IF(B44,IF(D44=0,H44,Rho*I43+SQRT(1-Rho^2)*H44),"")</f>
        <v/>
      </c>
      <c r="J44">
        <f>IF(B44,IF(Dist="Normal",DistA+DistB*I44,DistA+(DistB-DistA)*NORMSDIST(I44)),"")</f>
        <v/>
      </c>
      <c r="K44">
        <f>IF(B44,INDEX(MineScale,C44),"")</f>
        <v/>
      </c>
      <c r="L44">
        <f>IF(B44,INDEX(Dow,1,WEEKDAY(E44,2)),"")</f>
        <v/>
      </c>
      <c r="M44">
        <f>IF(B44,(1+Trend)^D44,"")</f>
        <v/>
      </c>
      <c r="N44">
        <f>IF(B44,EXP(SUMPRODUCT(LN(1+(EvEff-1)*INDEX(Affected,0,C44)*EXP(-((E44-EvCenter)^2)/(2*EvSigma^2))))),"")</f>
        <v/>
      </c>
      <c r="O44">
        <f>IF(B44,ROUND(MAX(0,J44*K44*L44*M44*N44),2),"")</f>
        <v/>
      </c>
    </row>
    <row r="45">
      <c r="A45" t="n">
        <v>44</v>
      </c>
      <c r="B45">
        <f>A45&lt;=MineCount*Days</f>
        <v/>
      </c>
      <c r="C45">
        <f>IF(B45,INT((A45-1)/Days)+1,"")</f>
        <v/>
      </c>
      <c r="D45">
        <f>IF(B45,MOD(A45-1,Days),"")</f>
        <v/>
      </c>
      <c r="E45" s="16">
        <f>IF(B45,StartDate+D45,"")</f>
        <v/>
      </c>
      <c r="F45">
        <f>IF(B45,MAX(MOD(SIN(Seed*0.1373+C45*12.9898+D45*78.233)*43758.5453,1),1E-9),"")</f>
        <v/>
      </c>
      <c r="G45">
        <f>IF(B45,MOD(SIN(Seed*0.5917+C45*39.3468+D45*11.135)*24634.6345,1),"")</f>
        <v/>
      </c>
      <c r="H45">
        <f>IF(B45,SQRT(-2*LN(F45))*COS(2*PI()*G45),"")</f>
        <v/>
      </c>
      <c r="I45">
        <f>IF(B45,IF(D45=0,H45,Rho*I44+SQRT(1-Rho^2)*H45),"")</f>
        <v/>
      </c>
      <c r="J45">
        <f>IF(B45,IF(Dist="Normal",DistA+DistB*I45,DistA+(DistB-DistA)*NORMSDIST(I45)),"")</f>
        <v/>
      </c>
      <c r="K45">
        <f>IF(B45,INDEX(MineScale,C45),"")</f>
        <v/>
      </c>
      <c r="L45">
        <f>IF(B45,INDEX(Dow,1,WEEKDAY(E45,2)),"")</f>
        <v/>
      </c>
      <c r="M45">
        <f>IF(B45,(1+Trend)^D45,"")</f>
        <v/>
      </c>
      <c r="N45">
        <f>IF(B45,EXP(SUMPRODUCT(LN(1+(EvEff-1)*INDEX(Affected,0,C45)*EXP(-((E45-EvCenter)^2)/(2*EvSigma^2))))),"")</f>
        <v/>
      </c>
      <c r="O45">
        <f>IF(B45,ROUND(MAX(0,J45*K45*L45*M45*N45),2),"")</f>
        <v/>
      </c>
    </row>
    <row r="46">
      <c r="A46" t="n">
        <v>45</v>
      </c>
      <c r="B46">
        <f>A46&lt;=MineCount*Days</f>
        <v/>
      </c>
      <c r="C46">
        <f>IF(B46,INT((A46-1)/Days)+1,"")</f>
        <v/>
      </c>
      <c r="D46">
        <f>IF(B46,MOD(A46-1,Days),"")</f>
        <v/>
      </c>
      <c r="E46" s="16">
        <f>IF(B46,StartDate+D46,"")</f>
        <v/>
      </c>
      <c r="F46">
        <f>IF(B46,MAX(MOD(SIN(Seed*0.1373+C46*12.9898+D46*78.233)*43758.5453,1),1E-9),"")</f>
        <v/>
      </c>
      <c r="G46">
        <f>IF(B46,MOD(SIN(Seed*0.5917+C46*39.3468+D46*11.135)*24634.6345,1),"")</f>
        <v/>
      </c>
      <c r="H46">
        <f>IF(B46,SQRT(-2*LN(F46))*COS(2*PI()*G46),"")</f>
        <v/>
      </c>
      <c r="I46">
        <f>IF(B46,IF(D46=0,H46,Rho*I45+SQRT(1-Rho^2)*H46),"")</f>
        <v/>
      </c>
      <c r="J46">
        <f>IF(B46,IF(Dist="Normal",DistA+DistB*I46,DistA+(DistB-DistA)*NORMSDIST(I46)),"")</f>
        <v/>
      </c>
      <c r="K46">
        <f>IF(B46,INDEX(MineScale,C46),"")</f>
        <v/>
      </c>
      <c r="L46">
        <f>IF(B46,INDEX(Dow,1,WEEKDAY(E46,2)),"")</f>
        <v/>
      </c>
      <c r="M46">
        <f>IF(B46,(1+Trend)^D46,"")</f>
        <v/>
      </c>
      <c r="N46">
        <f>IF(B46,EXP(SUMPRODUCT(LN(1+(EvEff-1)*INDEX(Affected,0,C46)*EXP(-((E46-EvCenter)^2)/(2*EvSigma^2))))),"")</f>
        <v/>
      </c>
      <c r="O46">
        <f>IF(B46,ROUND(MAX(0,J46*K46*L46*M46*N46),2),"")</f>
        <v/>
      </c>
    </row>
    <row r="47">
      <c r="A47" t="n">
        <v>46</v>
      </c>
      <c r="B47">
        <f>A47&lt;=MineCount*Days</f>
        <v/>
      </c>
      <c r="C47">
        <f>IF(B47,INT((A47-1)/Days)+1,"")</f>
        <v/>
      </c>
      <c r="D47">
        <f>IF(B47,MOD(A47-1,Days),"")</f>
        <v/>
      </c>
      <c r="E47" s="16">
        <f>IF(B47,StartDate+D47,"")</f>
        <v/>
      </c>
      <c r="F47">
        <f>IF(B47,MAX(MOD(SIN(Seed*0.1373+C47*12.9898+D47*78.233)*43758.5453,1),1E-9),"")</f>
        <v/>
      </c>
      <c r="G47">
        <f>IF(B47,MOD(SIN(Seed*0.5917+C47*39.3468+D47*11.135)*24634.6345,1),"")</f>
        <v/>
      </c>
      <c r="H47">
        <f>IF(B47,SQRT(-2*LN(F47))*COS(2*PI()*G47),"")</f>
        <v/>
      </c>
      <c r="I47">
        <f>IF(B47,IF(D47=0,H47,Rho*I46+SQRT(1-Rho^2)*H47),"")</f>
        <v/>
      </c>
      <c r="J47">
        <f>IF(B47,IF(Dist="Normal",DistA+DistB*I47,DistA+(DistB-DistA)*NORMSDIST(I47)),"")</f>
        <v/>
      </c>
      <c r="K47">
        <f>IF(B47,INDEX(MineScale,C47),"")</f>
        <v/>
      </c>
      <c r="L47">
        <f>IF(B47,INDEX(Dow,1,WEEKDAY(E47,2)),"")</f>
        <v/>
      </c>
      <c r="M47">
        <f>IF(B47,(1+Trend)^D47,"")</f>
        <v/>
      </c>
      <c r="N47">
        <f>IF(B47,EXP(SUMPRODUCT(LN(1+(EvEff-1)*INDEX(Affected,0,C47)*EXP(-((E47-EvCenter)^2)/(2*EvSigma^2))))),"")</f>
        <v/>
      </c>
      <c r="O47">
        <f>IF(B47,ROUND(MAX(0,J47*K47*L47*M47*N47),2),"")</f>
        <v/>
      </c>
    </row>
    <row r="48">
      <c r="A48" t="n">
        <v>47</v>
      </c>
      <c r="B48">
        <f>A48&lt;=MineCount*Days</f>
        <v/>
      </c>
      <c r="C48">
        <f>IF(B48,INT((A48-1)/Days)+1,"")</f>
        <v/>
      </c>
      <c r="D48">
        <f>IF(B48,MOD(A48-1,Days),"")</f>
        <v/>
      </c>
      <c r="E48" s="16">
        <f>IF(B48,StartDate+D48,"")</f>
        <v/>
      </c>
      <c r="F48">
        <f>IF(B48,MAX(MOD(SIN(Seed*0.1373+C48*12.9898+D48*78.233)*43758.5453,1),1E-9),"")</f>
        <v/>
      </c>
      <c r="G48">
        <f>IF(B48,MOD(SIN(Seed*0.5917+C48*39.3468+D48*11.135)*24634.6345,1),"")</f>
        <v/>
      </c>
      <c r="H48">
        <f>IF(B48,SQRT(-2*LN(F48))*COS(2*PI()*G48),"")</f>
        <v/>
      </c>
      <c r="I48">
        <f>IF(B48,IF(D48=0,H48,Rho*I47+SQRT(1-Rho^2)*H48),"")</f>
        <v/>
      </c>
      <c r="J48">
        <f>IF(B48,IF(Dist="Normal",DistA+DistB*I48,DistA+(DistB-DistA)*NORMSDIST(I48)),"")</f>
        <v/>
      </c>
      <c r="K48">
        <f>IF(B48,INDEX(MineScale,C48),"")</f>
        <v/>
      </c>
      <c r="L48">
        <f>IF(B48,INDEX(Dow,1,WEEKDAY(E48,2)),"")</f>
        <v/>
      </c>
      <c r="M48">
        <f>IF(B48,(1+Trend)^D48,"")</f>
        <v/>
      </c>
      <c r="N48">
        <f>IF(B48,EXP(SUMPRODUCT(LN(1+(EvEff-1)*INDEX(Affected,0,C48)*EXP(-((E48-EvCenter)^2)/(2*EvSigma^2))))),"")</f>
        <v/>
      </c>
      <c r="O48">
        <f>IF(B48,ROUND(MAX(0,J48*K48*L48*M48*N48),2),"")</f>
        <v/>
      </c>
    </row>
    <row r="49">
      <c r="A49" t="n">
        <v>48</v>
      </c>
      <c r="B49">
        <f>A49&lt;=MineCount*Days</f>
        <v/>
      </c>
      <c r="C49">
        <f>IF(B49,INT((A49-1)/Days)+1,"")</f>
        <v/>
      </c>
      <c r="D49">
        <f>IF(B49,MOD(A49-1,Days),"")</f>
        <v/>
      </c>
      <c r="E49" s="16">
        <f>IF(B49,StartDate+D49,"")</f>
        <v/>
      </c>
      <c r="F49">
        <f>IF(B49,MAX(MOD(SIN(Seed*0.1373+C49*12.9898+D49*78.233)*43758.5453,1),1E-9),"")</f>
        <v/>
      </c>
      <c r="G49">
        <f>IF(B49,MOD(SIN(Seed*0.5917+C49*39.3468+D49*11.135)*24634.6345,1),"")</f>
        <v/>
      </c>
      <c r="H49">
        <f>IF(B49,SQRT(-2*LN(F49))*COS(2*PI()*G49),"")</f>
        <v/>
      </c>
      <c r="I49">
        <f>IF(B49,IF(D49=0,H49,Rho*I48+SQRT(1-Rho^2)*H49),"")</f>
        <v/>
      </c>
      <c r="J49">
        <f>IF(B49,IF(Dist="Normal",DistA+DistB*I49,DistA+(DistB-DistA)*NORMSDIST(I49)),"")</f>
        <v/>
      </c>
      <c r="K49">
        <f>IF(B49,INDEX(MineScale,C49),"")</f>
        <v/>
      </c>
      <c r="L49">
        <f>IF(B49,INDEX(Dow,1,WEEKDAY(E49,2)),"")</f>
        <v/>
      </c>
      <c r="M49">
        <f>IF(B49,(1+Trend)^D49,"")</f>
        <v/>
      </c>
      <c r="N49">
        <f>IF(B49,EXP(SUMPRODUCT(LN(1+(EvEff-1)*INDEX(Affected,0,C49)*EXP(-((E49-EvCenter)^2)/(2*EvSigma^2))))),"")</f>
        <v/>
      </c>
      <c r="O49">
        <f>IF(B49,ROUND(MAX(0,J49*K49*L49*M49*N49),2),"")</f>
        <v/>
      </c>
    </row>
    <row r="50">
      <c r="A50" t="n">
        <v>49</v>
      </c>
      <c r="B50">
        <f>A50&lt;=MineCount*Days</f>
        <v/>
      </c>
      <c r="C50">
        <f>IF(B50,INT((A50-1)/Days)+1,"")</f>
        <v/>
      </c>
      <c r="D50">
        <f>IF(B50,MOD(A50-1,Days),"")</f>
        <v/>
      </c>
      <c r="E50" s="16">
        <f>IF(B50,StartDate+D50,"")</f>
        <v/>
      </c>
      <c r="F50">
        <f>IF(B50,MAX(MOD(SIN(Seed*0.1373+C50*12.9898+D50*78.233)*43758.5453,1),1E-9),"")</f>
        <v/>
      </c>
      <c r="G50">
        <f>IF(B50,MOD(SIN(Seed*0.5917+C50*39.3468+D50*11.135)*24634.6345,1),"")</f>
        <v/>
      </c>
      <c r="H50">
        <f>IF(B50,SQRT(-2*LN(F50))*COS(2*PI()*G50),"")</f>
        <v/>
      </c>
      <c r="I50">
        <f>IF(B50,IF(D50=0,H50,Rho*I49+SQRT(1-Rho^2)*H50),"")</f>
        <v/>
      </c>
      <c r="J50">
        <f>IF(B50,IF(Dist="Normal",DistA+DistB*I50,DistA+(DistB-DistA)*NORMSDIST(I50)),"")</f>
        <v/>
      </c>
      <c r="K50">
        <f>IF(B50,INDEX(MineScale,C50),"")</f>
        <v/>
      </c>
      <c r="L50">
        <f>IF(B50,INDEX(Dow,1,WEEKDAY(E50,2)),"")</f>
        <v/>
      </c>
      <c r="M50">
        <f>IF(B50,(1+Trend)^D50,"")</f>
        <v/>
      </c>
      <c r="N50">
        <f>IF(B50,EXP(SUMPRODUCT(LN(1+(EvEff-1)*INDEX(Affected,0,C50)*EXP(-((E50-EvCenter)^2)/(2*EvSigma^2))))),"")</f>
        <v/>
      </c>
      <c r="O50">
        <f>IF(B50,ROUND(MAX(0,J50*K50*L50*M50*N50),2),"")</f>
        <v/>
      </c>
    </row>
    <row r="51">
      <c r="A51" t="n">
        <v>50</v>
      </c>
      <c r="B51">
        <f>A51&lt;=MineCount*Days</f>
        <v/>
      </c>
      <c r="C51">
        <f>IF(B51,INT((A51-1)/Days)+1,"")</f>
        <v/>
      </c>
      <c r="D51">
        <f>IF(B51,MOD(A51-1,Days),"")</f>
        <v/>
      </c>
      <c r="E51" s="16">
        <f>IF(B51,StartDate+D51,"")</f>
        <v/>
      </c>
      <c r="F51">
        <f>IF(B51,MAX(MOD(SIN(Seed*0.1373+C51*12.9898+D51*78.233)*43758.5453,1),1E-9),"")</f>
        <v/>
      </c>
      <c r="G51">
        <f>IF(B51,MOD(SIN(Seed*0.5917+C51*39.3468+D51*11.135)*24634.6345,1),"")</f>
        <v/>
      </c>
      <c r="H51">
        <f>IF(B51,SQRT(-2*LN(F51))*COS(2*PI()*G51),"")</f>
        <v/>
      </c>
      <c r="I51">
        <f>IF(B51,IF(D51=0,H51,Rho*I50+SQRT(1-Rho^2)*H51),"")</f>
        <v/>
      </c>
      <c r="J51">
        <f>IF(B51,IF(Dist="Normal",DistA+DistB*I51,DistA+(DistB-DistA)*NORMSDIST(I51)),"")</f>
        <v/>
      </c>
      <c r="K51">
        <f>IF(B51,INDEX(MineScale,C51),"")</f>
        <v/>
      </c>
      <c r="L51">
        <f>IF(B51,INDEX(Dow,1,WEEKDAY(E51,2)),"")</f>
        <v/>
      </c>
      <c r="M51">
        <f>IF(B51,(1+Trend)^D51,"")</f>
        <v/>
      </c>
      <c r="N51">
        <f>IF(B51,EXP(SUMPRODUCT(LN(1+(EvEff-1)*INDEX(Affected,0,C51)*EXP(-((E51-EvCenter)^2)/(2*EvSigma^2))))),"")</f>
        <v/>
      </c>
      <c r="O51">
        <f>IF(B51,ROUND(MAX(0,J51*K51*L51*M51*N51),2),"")</f>
        <v/>
      </c>
    </row>
    <row r="52">
      <c r="A52" t="n">
        <v>51</v>
      </c>
      <c r="B52">
        <f>A52&lt;=MineCount*Days</f>
        <v/>
      </c>
      <c r="C52">
        <f>IF(B52,INT((A52-1)/Days)+1,"")</f>
        <v/>
      </c>
      <c r="D52">
        <f>IF(B52,MOD(A52-1,Days),"")</f>
        <v/>
      </c>
      <c r="E52" s="16">
        <f>IF(B52,StartDate+D52,"")</f>
        <v/>
      </c>
      <c r="F52">
        <f>IF(B52,MAX(MOD(SIN(Seed*0.1373+C52*12.9898+D52*78.233)*43758.5453,1),1E-9),"")</f>
        <v/>
      </c>
      <c r="G52">
        <f>IF(B52,MOD(SIN(Seed*0.5917+C52*39.3468+D52*11.135)*24634.6345,1),"")</f>
        <v/>
      </c>
      <c r="H52">
        <f>IF(B52,SQRT(-2*LN(F52))*COS(2*PI()*G52),"")</f>
        <v/>
      </c>
      <c r="I52">
        <f>IF(B52,IF(D52=0,H52,Rho*I51+SQRT(1-Rho^2)*H52),"")</f>
        <v/>
      </c>
      <c r="J52">
        <f>IF(B52,IF(Dist="Normal",DistA+DistB*I52,DistA+(DistB-DistA)*NORMSDIST(I52)),"")</f>
        <v/>
      </c>
      <c r="K52">
        <f>IF(B52,INDEX(MineScale,C52),"")</f>
        <v/>
      </c>
      <c r="L52">
        <f>IF(B52,INDEX(Dow,1,WEEKDAY(E52,2)),"")</f>
        <v/>
      </c>
      <c r="M52">
        <f>IF(B52,(1+Trend)^D52,"")</f>
        <v/>
      </c>
      <c r="N52">
        <f>IF(B52,EXP(SUMPRODUCT(LN(1+(EvEff-1)*INDEX(Affected,0,C52)*EXP(-((E52-EvCenter)^2)/(2*EvSigma^2))))),"")</f>
        <v/>
      </c>
      <c r="O52">
        <f>IF(B52,ROUND(MAX(0,J52*K52*L52*M52*N52),2),"")</f>
        <v/>
      </c>
    </row>
    <row r="53">
      <c r="A53" t="n">
        <v>52</v>
      </c>
      <c r="B53">
        <f>A53&lt;=MineCount*Days</f>
        <v/>
      </c>
      <c r="C53">
        <f>IF(B53,INT((A53-1)/Days)+1,"")</f>
        <v/>
      </c>
      <c r="D53">
        <f>IF(B53,MOD(A53-1,Days),"")</f>
        <v/>
      </c>
      <c r="E53" s="16">
        <f>IF(B53,StartDate+D53,"")</f>
        <v/>
      </c>
      <c r="F53">
        <f>IF(B53,MAX(MOD(SIN(Seed*0.1373+C53*12.9898+D53*78.233)*43758.5453,1),1E-9),"")</f>
        <v/>
      </c>
      <c r="G53">
        <f>IF(B53,MOD(SIN(Seed*0.5917+C53*39.3468+D53*11.135)*24634.6345,1),"")</f>
        <v/>
      </c>
      <c r="H53">
        <f>IF(B53,SQRT(-2*LN(F53))*COS(2*PI()*G53),"")</f>
        <v/>
      </c>
      <c r="I53">
        <f>IF(B53,IF(D53=0,H53,Rho*I52+SQRT(1-Rho^2)*H53),"")</f>
        <v/>
      </c>
      <c r="J53">
        <f>IF(B53,IF(Dist="Normal",DistA+DistB*I53,DistA+(DistB-DistA)*NORMSDIST(I53)),"")</f>
        <v/>
      </c>
      <c r="K53">
        <f>IF(B53,INDEX(MineScale,C53),"")</f>
        <v/>
      </c>
      <c r="L53">
        <f>IF(B53,INDEX(Dow,1,WEEKDAY(E53,2)),"")</f>
        <v/>
      </c>
      <c r="M53">
        <f>IF(B53,(1+Trend)^D53,"")</f>
        <v/>
      </c>
      <c r="N53">
        <f>IF(B53,EXP(SUMPRODUCT(LN(1+(EvEff-1)*INDEX(Affected,0,C53)*EXP(-((E53-EvCenter)^2)/(2*EvSigma^2))))),"")</f>
        <v/>
      </c>
      <c r="O53">
        <f>IF(B53,ROUND(MAX(0,J53*K53*L53*M53*N53),2),"")</f>
        <v/>
      </c>
    </row>
    <row r="54">
      <c r="A54" t="n">
        <v>53</v>
      </c>
      <c r="B54">
        <f>A54&lt;=MineCount*Days</f>
        <v/>
      </c>
      <c r="C54">
        <f>IF(B54,INT((A54-1)/Days)+1,"")</f>
        <v/>
      </c>
      <c r="D54">
        <f>IF(B54,MOD(A54-1,Days),"")</f>
        <v/>
      </c>
      <c r="E54" s="16">
        <f>IF(B54,StartDate+D54,"")</f>
        <v/>
      </c>
      <c r="F54">
        <f>IF(B54,MAX(MOD(SIN(Seed*0.1373+C54*12.9898+D54*78.233)*43758.5453,1),1E-9),"")</f>
        <v/>
      </c>
      <c r="G54">
        <f>IF(B54,MOD(SIN(Seed*0.5917+C54*39.3468+D54*11.135)*24634.6345,1),"")</f>
        <v/>
      </c>
      <c r="H54">
        <f>IF(B54,SQRT(-2*LN(F54))*COS(2*PI()*G54),"")</f>
        <v/>
      </c>
      <c r="I54">
        <f>IF(B54,IF(D54=0,H54,Rho*I53+SQRT(1-Rho^2)*H54),"")</f>
        <v/>
      </c>
      <c r="J54">
        <f>IF(B54,IF(Dist="Normal",DistA+DistB*I54,DistA+(DistB-DistA)*NORMSDIST(I54)),"")</f>
        <v/>
      </c>
      <c r="K54">
        <f>IF(B54,INDEX(MineScale,C54),"")</f>
        <v/>
      </c>
      <c r="L54">
        <f>IF(B54,INDEX(Dow,1,WEEKDAY(E54,2)),"")</f>
        <v/>
      </c>
      <c r="M54">
        <f>IF(B54,(1+Trend)^D54,"")</f>
        <v/>
      </c>
      <c r="N54">
        <f>IF(B54,EXP(SUMPRODUCT(LN(1+(EvEff-1)*INDEX(Affected,0,C54)*EXP(-((E54-EvCenter)^2)/(2*EvSigma^2))))),"")</f>
        <v/>
      </c>
      <c r="O54">
        <f>IF(B54,ROUND(MAX(0,J54*K54*L54*M54*N54),2),"")</f>
        <v/>
      </c>
    </row>
    <row r="55">
      <c r="A55" t="n">
        <v>54</v>
      </c>
      <c r="B55">
        <f>A55&lt;=MineCount*Days</f>
        <v/>
      </c>
      <c r="C55">
        <f>IF(B55,INT((A55-1)/Days)+1,"")</f>
        <v/>
      </c>
      <c r="D55">
        <f>IF(B55,MOD(A55-1,Days),"")</f>
        <v/>
      </c>
      <c r="E55" s="16">
        <f>IF(B55,StartDate+D55,"")</f>
        <v/>
      </c>
      <c r="F55">
        <f>IF(B55,MAX(MOD(SIN(Seed*0.1373+C55*12.9898+D55*78.233)*43758.5453,1),1E-9),"")</f>
        <v/>
      </c>
      <c r="G55">
        <f>IF(B55,MOD(SIN(Seed*0.5917+C55*39.3468+D55*11.135)*24634.6345,1),"")</f>
        <v/>
      </c>
      <c r="H55">
        <f>IF(B55,SQRT(-2*LN(F55))*COS(2*PI()*G55),"")</f>
        <v/>
      </c>
      <c r="I55">
        <f>IF(B55,IF(D55=0,H55,Rho*I54+SQRT(1-Rho^2)*H55),"")</f>
        <v/>
      </c>
      <c r="J55">
        <f>IF(B55,IF(Dist="Normal",DistA+DistB*I55,DistA+(DistB-DistA)*NORMSDIST(I55)),"")</f>
        <v/>
      </c>
      <c r="K55">
        <f>IF(B55,INDEX(MineScale,C55),"")</f>
        <v/>
      </c>
      <c r="L55">
        <f>IF(B55,INDEX(Dow,1,WEEKDAY(E55,2)),"")</f>
        <v/>
      </c>
      <c r="M55">
        <f>IF(B55,(1+Trend)^D55,"")</f>
        <v/>
      </c>
      <c r="N55">
        <f>IF(B55,EXP(SUMPRODUCT(LN(1+(EvEff-1)*INDEX(Affected,0,C55)*EXP(-((E55-EvCenter)^2)/(2*EvSigma^2))))),"")</f>
        <v/>
      </c>
      <c r="O55">
        <f>IF(B55,ROUND(MAX(0,J55*K55*L55*M55*N55),2),"")</f>
        <v/>
      </c>
    </row>
    <row r="56">
      <c r="A56" t="n">
        <v>55</v>
      </c>
      <c r="B56">
        <f>A56&lt;=MineCount*Days</f>
        <v/>
      </c>
      <c r="C56">
        <f>IF(B56,INT((A56-1)/Days)+1,"")</f>
        <v/>
      </c>
      <c r="D56">
        <f>IF(B56,MOD(A56-1,Days),"")</f>
        <v/>
      </c>
      <c r="E56" s="16">
        <f>IF(B56,StartDate+D56,"")</f>
        <v/>
      </c>
      <c r="F56">
        <f>IF(B56,MAX(MOD(SIN(Seed*0.1373+C56*12.9898+D56*78.233)*43758.5453,1),1E-9),"")</f>
        <v/>
      </c>
      <c r="G56">
        <f>IF(B56,MOD(SIN(Seed*0.5917+C56*39.3468+D56*11.135)*24634.6345,1),"")</f>
        <v/>
      </c>
      <c r="H56">
        <f>IF(B56,SQRT(-2*LN(F56))*COS(2*PI()*G56),"")</f>
        <v/>
      </c>
      <c r="I56">
        <f>IF(B56,IF(D56=0,H56,Rho*I55+SQRT(1-Rho^2)*H56),"")</f>
        <v/>
      </c>
      <c r="J56">
        <f>IF(B56,IF(Dist="Normal",DistA+DistB*I56,DistA+(DistB-DistA)*NORMSDIST(I56)),"")</f>
        <v/>
      </c>
      <c r="K56">
        <f>IF(B56,INDEX(MineScale,C56),"")</f>
        <v/>
      </c>
      <c r="L56">
        <f>IF(B56,INDEX(Dow,1,WEEKDAY(E56,2)),"")</f>
        <v/>
      </c>
      <c r="M56">
        <f>IF(B56,(1+Trend)^D56,"")</f>
        <v/>
      </c>
      <c r="N56">
        <f>IF(B56,EXP(SUMPRODUCT(LN(1+(EvEff-1)*INDEX(Affected,0,C56)*EXP(-((E56-EvCenter)^2)/(2*EvSigma^2))))),"")</f>
        <v/>
      </c>
      <c r="O56">
        <f>IF(B56,ROUND(MAX(0,J56*K56*L56*M56*N56),2),"")</f>
        <v/>
      </c>
    </row>
    <row r="57">
      <c r="A57" t="n">
        <v>56</v>
      </c>
      <c r="B57">
        <f>A57&lt;=MineCount*Days</f>
        <v/>
      </c>
      <c r="C57">
        <f>IF(B57,INT((A57-1)/Days)+1,"")</f>
        <v/>
      </c>
      <c r="D57">
        <f>IF(B57,MOD(A57-1,Days),"")</f>
        <v/>
      </c>
      <c r="E57" s="16">
        <f>IF(B57,StartDate+D57,"")</f>
        <v/>
      </c>
      <c r="F57">
        <f>IF(B57,MAX(MOD(SIN(Seed*0.1373+C57*12.9898+D57*78.233)*43758.5453,1),1E-9),"")</f>
        <v/>
      </c>
      <c r="G57">
        <f>IF(B57,MOD(SIN(Seed*0.5917+C57*39.3468+D57*11.135)*24634.6345,1),"")</f>
        <v/>
      </c>
      <c r="H57">
        <f>IF(B57,SQRT(-2*LN(F57))*COS(2*PI()*G57),"")</f>
        <v/>
      </c>
      <c r="I57">
        <f>IF(B57,IF(D57=0,H57,Rho*I56+SQRT(1-Rho^2)*H57),"")</f>
        <v/>
      </c>
      <c r="J57">
        <f>IF(B57,IF(Dist="Normal",DistA+DistB*I57,DistA+(DistB-DistA)*NORMSDIST(I57)),"")</f>
        <v/>
      </c>
      <c r="K57">
        <f>IF(B57,INDEX(MineScale,C57),"")</f>
        <v/>
      </c>
      <c r="L57">
        <f>IF(B57,INDEX(Dow,1,WEEKDAY(E57,2)),"")</f>
        <v/>
      </c>
      <c r="M57">
        <f>IF(B57,(1+Trend)^D57,"")</f>
        <v/>
      </c>
      <c r="N57">
        <f>IF(B57,EXP(SUMPRODUCT(LN(1+(EvEff-1)*INDEX(Affected,0,C57)*EXP(-((E57-EvCenter)^2)/(2*EvSigma^2))))),"")</f>
        <v/>
      </c>
      <c r="O57">
        <f>IF(B57,ROUND(MAX(0,J57*K57*L57*M57*N57),2),"")</f>
        <v/>
      </c>
    </row>
    <row r="58">
      <c r="A58" t="n">
        <v>57</v>
      </c>
      <c r="B58">
        <f>A58&lt;=MineCount*Days</f>
        <v/>
      </c>
      <c r="C58">
        <f>IF(B58,INT((A58-1)/Days)+1,"")</f>
        <v/>
      </c>
      <c r="D58">
        <f>IF(B58,MOD(A58-1,Days),"")</f>
        <v/>
      </c>
      <c r="E58" s="16">
        <f>IF(B58,StartDate+D58,"")</f>
        <v/>
      </c>
      <c r="F58">
        <f>IF(B58,MAX(MOD(SIN(Seed*0.1373+C58*12.9898+D58*78.233)*43758.5453,1),1E-9),"")</f>
        <v/>
      </c>
      <c r="G58">
        <f>IF(B58,MOD(SIN(Seed*0.5917+C58*39.3468+D58*11.135)*24634.6345,1),"")</f>
        <v/>
      </c>
      <c r="H58">
        <f>IF(B58,SQRT(-2*LN(F58))*COS(2*PI()*G58),"")</f>
        <v/>
      </c>
      <c r="I58">
        <f>IF(B58,IF(D58=0,H58,Rho*I57+SQRT(1-Rho^2)*H58),"")</f>
        <v/>
      </c>
      <c r="J58">
        <f>IF(B58,IF(Dist="Normal",DistA+DistB*I58,DistA+(DistB-DistA)*NORMSDIST(I58)),"")</f>
        <v/>
      </c>
      <c r="K58">
        <f>IF(B58,INDEX(MineScale,C58),"")</f>
        <v/>
      </c>
      <c r="L58">
        <f>IF(B58,INDEX(Dow,1,WEEKDAY(E58,2)),"")</f>
        <v/>
      </c>
      <c r="M58">
        <f>IF(B58,(1+Trend)^D58,"")</f>
        <v/>
      </c>
      <c r="N58">
        <f>IF(B58,EXP(SUMPRODUCT(LN(1+(EvEff-1)*INDEX(Affected,0,C58)*EXP(-((E58-EvCenter)^2)/(2*EvSigma^2))))),"")</f>
        <v/>
      </c>
      <c r="O58">
        <f>IF(B58,ROUND(MAX(0,J58*K58*L58*M58*N58),2),"")</f>
        <v/>
      </c>
    </row>
    <row r="59">
      <c r="A59" t="n">
        <v>58</v>
      </c>
      <c r="B59">
        <f>A59&lt;=MineCount*Days</f>
        <v/>
      </c>
      <c r="C59">
        <f>IF(B59,INT((A59-1)/Days)+1,"")</f>
        <v/>
      </c>
      <c r="D59">
        <f>IF(B59,MOD(A59-1,Days),"")</f>
        <v/>
      </c>
      <c r="E59" s="16">
        <f>IF(B59,StartDate+D59,"")</f>
        <v/>
      </c>
      <c r="F59">
        <f>IF(B59,MAX(MOD(SIN(Seed*0.1373+C59*12.9898+D59*78.233)*43758.5453,1),1E-9),"")</f>
        <v/>
      </c>
      <c r="G59">
        <f>IF(B59,MOD(SIN(Seed*0.5917+C59*39.3468+D59*11.135)*24634.6345,1),"")</f>
        <v/>
      </c>
      <c r="H59">
        <f>IF(B59,SQRT(-2*LN(F59))*COS(2*PI()*G59),"")</f>
        <v/>
      </c>
      <c r="I59">
        <f>IF(B59,IF(D59=0,H59,Rho*I58+SQRT(1-Rho^2)*H59),"")</f>
        <v/>
      </c>
      <c r="J59">
        <f>IF(B59,IF(Dist="Normal",DistA+DistB*I59,DistA+(DistB-DistA)*NORMSDIST(I59)),"")</f>
        <v/>
      </c>
      <c r="K59">
        <f>IF(B59,INDEX(MineScale,C59),"")</f>
        <v/>
      </c>
      <c r="L59">
        <f>IF(B59,INDEX(Dow,1,WEEKDAY(E59,2)),"")</f>
        <v/>
      </c>
      <c r="M59">
        <f>IF(B59,(1+Trend)^D59,"")</f>
        <v/>
      </c>
      <c r="N59">
        <f>IF(B59,EXP(SUMPRODUCT(LN(1+(EvEff-1)*INDEX(Affected,0,C59)*EXP(-((E59-EvCenter)^2)/(2*EvSigma^2))))),"")</f>
        <v/>
      </c>
      <c r="O59">
        <f>IF(B59,ROUND(MAX(0,J59*K59*L59*M59*N59),2),"")</f>
        <v/>
      </c>
    </row>
    <row r="60">
      <c r="A60" t="n">
        <v>59</v>
      </c>
      <c r="B60">
        <f>A60&lt;=MineCount*Days</f>
        <v/>
      </c>
      <c r="C60">
        <f>IF(B60,INT((A60-1)/Days)+1,"")</f>
        <v/>
      </c>
      <c r="D60">
        <f>IF(B60,MOD(A60-1,Days),"")</f>
        <v/>
      </c>
      <c r="E60" s="16">
        <f>IF(B60,StartDate+D60,"")</f>
        <v/>
      </c>
      <c r="F60">
        <f>IF(B60,MAX(MOD(SIN(Seed*0.1373+C60*12.9898+D60*78.233)*43758.5453,1),1E-9),"")</f>
        <v/>
      </c>
      <c r="G60">
        <f>IF(B60,MOD(SIN(Seed*0.5917+C60*39.3468+D60*11.135)*24634.6345,1),"")</f>
        <v/>
      </c>
      <c r="H60">
        <f>IF(B60,SQRT(-2*LN(F60))*COS(2*PI()*G60),"")</f>
        <v/>
      </c>
      <c r="I60">
        <f>IF(B60,IF(D60=0,H60,Rho*I59+SQRT(1-Rho^2)*H60),"")</f>
        <v/>
      </c>
      <c r="J60">
        <f>IF(B60,IF(Dist="Normal",DistA+DistB*I60,DistA+(DistB-DistA)*NORMSDIST(I60)),"")</f>
        <v/>
      </c>
      <c r="K60">
        <f>IF(B60,INDEX(MineScale,C60),"")</f>
        <v/>
      </c>
      <c r="L60">
        <f>IF(B60,INDEX(Dow,1,WEEKDAY(E60,2)),"")</f>
        <v/>
      </c>
      <c r="M60">
        <f>IF(B60,(1+Trend)^D60,"")</f>
        <v/>
      </c>
      <c r="N60">
        <f>IF(B60,EXP(SUMPRODUCT(LN(1+(EvEff-1)*INDEX(Affected,0,C60)*EXP(-((E60-EvCenter)^2)/(2*EvSigma^2))))),"")</f>
        <v/>
      </c>
      <c r="O60">
        <f>IF(B60,ROUND(MAX(0,J60*K60*L60*M60*N60),2),"")</f>
        <v/>
      </c>
    </row>
    <row r="61">
      <c r="A61" t="n">
        <v>60</v>
      </c>
      <c r="B61">
        <f>A61&lt;=MineCount*Days</f>
        <v/>
      </c>
      <c r="C61">
        <f>IF(B61,INT((A61-1)/Days)+1,"")</f>
        <v/>
      </c>
      <c r="D61">
        <f>IF(B61,MOD(A61-1,Days),"")</f>
        <v/>
      </c>
      <c r="E61" s="16">
        <f>IF(B61,StartDate+D61,"")</f>
        <v/>
      </c>
      <c r="F61">
        <f>IF(B61,MAX(MOD(SIN(Seed*0.1373+C61*12.9898+D61*78.233)*43758.5453,1),1E-9),"")</f>
        <v/>
      </c>
      <c r="G61">
        <f>IF(B61,MOD(SIN(Seed*0.5917+C61*39.3468+D61*11.135)*24634.6345,1),"")</f>
        <v/>
      </c>
      <c r="H61">
        <f>IF(B61,SQRT(-2*LN(F61))*COS(2*PI()*G61),"")</f>
        <v/>
      </c>
      <c r="I61">
        <f>IF(B61,IF(D61=0,H61,Rho*I60+SQRT(1-Rho^2)*H61),"")</f>
        <v/>
      </c>
      <c r="J61">
        <f>IF(B61,IF(Dist="Normal",DistA+DistB*I61,DistA+(DistB-DistA)*NORMSDIST(I61)),"")</f>
        <v/>
      </c>
      <c r="K61">
        <f>IF(B61,INDEX(MineScale,C61),"")</f>
        <v/>
      </c>
      <c r="L61">
        <f>IF(B61,INDEX(Dow,1,WEEKDAY(E61,2)),"")</f>
        <v/>
      </c>
      <c r="M61">
        <f>IF(B61,(1+Trend)^D61,"")</f>
        <v/>
      </c>
      <c r="N61">
        <f>IF(B61,EXP(SUMPRODUCT(LN(1+(EvEff-1)*INDEX(Affected,0,C61)*EXP(-((E61-EvCenter)^2)/(2*EvSigma^2))))),"")</f>
        <v/>
      </c>
      <c r="O61">
        <f>IF(B61,ROUND(MAX(0,J61*K61*L61*M61*N61),2),"")</f>
        <v/>
      </c>
    </row>
    <row r="62">
      <c r="A62" t="n">
        <v>61</v>
      </c>
      <c r="B62">
        <f>A62&lt;=MineCount*Days</f>
        <v/>
      </c>
      <c r="C62">
        <f>IF(B62,INT((A62-1)/Days)+1,"")</f>
        <v/>
      </c>
      <c r="D62">
        <f>IF(B62,MOD(A62-1,Days),"")</f>
        <v/>
      </c>
      <c r="E62" s="16">
        <f>IF(B62,StartDate+D62,"")</f>
        <v/>
      </c>
      <c r="F62">
        <f>IF(B62,MAX(MOD(SIN(Seed*0.1373+C62*12.9898+D62*78.233)*43758.5453,1),1E-9),"")</f>
        <v/>
      </c>
      <c r="G62">
        <f>IF(B62,MOD(SIN(Seed*0.5917+C62*39.3468+D62*11.135)*24634.6345,1),"")</f>
        <v/>
      </c>
      <c r="H62">
        <f>IF(B62,SQRT(-2*LN(F62))*COS(2*PI()*G62),"")</f>
        <v/>
      </c>
      <c r="I62">
        <f>IF(B62,IF(D62=0,H62,Rho*I61+SQRT(1-Rho^2)*H62),"")</f>
        <v/>
      </c>
      <c r="J62">
        <f>IF(B62,IF(Dist="Normal",DistA+DistB*I62,DistA+(DistB-DistA)*NORMSDIST(I62)),"")</f>
        <v/>
      </c>
      <c r="K62">
        <f>IF(B62,INDEX(MineScale,C62),"")</f>
        <v/>
      </c>
      <c r="L62">
        <f>IF(B62,INDEX(Dow,1,WEEKDAY(E62,2)),"")</f>
        <v/>
      </c>
      <c r="M62">
        <f>IF(B62,(1+Trend)^D62,"")</f>
        <v/>
      </c>
      <c r="N62">
        <f>IF(B62,EXP(SUMPRODUCT(LN(1+(EvEff-1)*INDEX(Affected,0,C62)*EXP(-((E62-EvCenter)^2)/(2*EvSigma^2))))),"")</f>
        <v/>
      </c>
      <c r="O62">
        <f>IF(B62,ROUND(MAX(0,J62*K62*L62*M62*N62),2),"")</f>
        <v/>
      </c>
    </row>
    <row r="63">
      <c r="A63" t="n">
        <v>62</v>
      </c>
      <c r="B63">
        <f>A63&lt;=MineCount*Days</f>
        <v/>
      </c>
      <c r="C63">
        <f>IF(B63,INT((A63-1)/Days)+1,"")</f>
        <v/>
      </c>
      <c r="D63">
        <f>IF(B63,MOD(A63-1,Days),"")</f>
        <v/>
      </c>
      <c r="E63" s="16">
        <f>IF(B63,StartDate+D63,"")</f>
        <v/>
      </c>
      <c r="F63">
        <f>IF(B63,MAX(MOD(SIN(Seed*0.1373+C63*12.9898+D63*78.233)*43758.5453,1),1E-9),"")</f>
        <v/>
      </c>
      <c r="G63">
        <f>IF(B63,MOD(SIN(Seed*0.5917+C63*39.3468+D63*11.135)*24634.6345,1),"")</f>
        <v/>
      </c>
      <c r="H63">
        <f>IF(B63,SQRT(-2*LN(F63))*COS(2*PI()*G63),"")</f>
        <v/>
      </c>
      <c r="I63">
        <f>IF(B63,IF(D63=0,H63,Rho*I62+SQRT(1-Rho^2)*H63),"")</f>
        <v/>
      </c>
      <c r="J63">
        <f>IF(B63,IF(Dist="Normal",DistA+DistB*I63,DistA+(DistB-DistA)*NORMSDIST(I63)),"")</f>
        <v/>
      </c>
      <c r="K63">
        <f>IF(B63,INDEX(MineScale,C63),"")</f>
        <v/>
      </c>
      <c r="L63">
        <f>IF(B63,INDEX(Dow,1,WEEKDAY(E63,2)),"")</f>
        <v/>
      </c>
      <c r="M63">
        <f>IF(B63,(1+Trend)^D63,"")</f>
        <v/>
      </c>
      <c r="N63">
        <f>IF(B63,EXP(SUMPRODUCT(LN(1+(EvEff-1)*INDEX(Affected,0,C63)*EXP(-((E63-EvCenter)^2)/(2*EvSigma^2))))),"")</f>
        <v/>
      </c>
      <c r="O63">
        <f>IF(B63,ROUND(MAX(0,J63*K63*L63*M63*N63),2),"")</f>
        <v/>
      </c>
    </row>
    <row r="64">
      <c r="A64" t="n">
        <v>63</v>
      </c>
      <c r="B64">
        <f>A64&lt;=MineCount*Days</f>
        <v/>
      </c>
      <c r="C64">
        <f>IF(B64,INT((A64-1)/Days)+1,"")</f>
        <v/>
      </c>
      <c r="D64">
        <f>IF(B64,MOD(A64-1,Days),"")</f>
        <v/>
      </c>
      <c r="E64" s="16">
        <f>IF(B64,StartDate+D64,"")</f>
        <v/>
      </c>
      <c r="F64">
        <f>IF(B64,MAX(MOD(SIN(Seed*0.1373+C64*12.9898+D64*78.233)*43758.5453,1),1E-9),"")</f>
        <v/>
      </c>
      <c r="G64">
        <f>IF(B64,MOD(SIN(Seed*0.5917+C64*39.3468+D64*11.135)*24634.6345,1),"")</f>
        <v/>
      </c>
      <c r="H64">
        <f>IF(B64,SQRT(-2*LN(F64))*COS(2*PI()*G64),"")</f>
        <v/>
      </c>
      <c r="I64">
        <f>IF(B64,IF(D64=0,H64,Rho*I63+SQRT(1-Rho^2)*H64),"")</f>
        <v/>
      </c>
      <c r="J64">
        <f>IF(B64,IF(Dist="Normal",DistA+DistB*I64,DistA+(DistB-DistA)*NORMSDIST(I64)),"")</f>
        <v/>
      </c>
      <c r="K64">
        <f>IF(B64,INDEX(MineScale,C64),"")</f>
        <v/>
      </c>
      <c r="L64">
        <f>IF(B64,INDEX(Dow,1,WEEKDAY(E64,2)),"")</f>
        <v/>
      </c>
      <c r="M64">
        <f>IF(B64,(1+Trend)^D64,"")</f>
        <v/>
      </c>
      <c r="N64">
        <f>IF(B64,EXP(SUMPRODUCT(LN(1+(EvEff-1)*INDEX(Affected,0,C64)*EXP(-((E64-EvCenter)^2)/(2*EvSigma^2))))),"")</f>
        <v/>
      </c>
      <c r="O64">
        <f>IF(B64,ROUND(MAX(0,J64*K64*L64*M64*N64),2),"")</f>
        <v/>
      </c>
    </row>
    <row r="65">
      <c r="A65" t="n">
        <v>64</v>
      </c>
      <c r="B65">
        <f>A65&lt;=MineCount*Days</f>
        <v/>
      </c>
      <c r="C65">
        <f>IF(B65,INT((A65-1)/Days)+1,"")</f>
        <v/>
      </c>
      <c r="D65">
        <f>IF(B65,MOD(A65-1,Days),"")</f>
        <v/>
      </c>
      <c r="E65" s="16">
        <f>IF(B65,StartDate+D65,"")</f>
        <v/>
      </c>
      <c r="F65">
        <f>IF(B65,MAX(MOD(SIN(Seed*0.1373+C65*12.9898+D65*78.233)*43758.5453,1),1E-9),"")</f>
        <v/>
      </c>
      <c r="G65">
        <f>IF(B65,MOD(SIN(Seed*0.5917+C65*39.3468+D65*11.135)*24634.6345,1),"")</f>
        <v/>
      </c>
      <c r="H65">
        <f>IF(B65,SQRT(-2*LN(F65))*COS(2*PI()*G65),"")</f>
        <v/>
      </c>
      <c r="I65">
        <f>IF(B65,IF(D65=0,H65,Rho*I64+SQRT(1-Rho^2)*H65),"")</f>
        <v/>
      </c>
      <c r="J65">
        <f>IF(B65,IF(Dist="Normal",DistA+DistB*I65,DistA+(DistB-DistA)*NORMSDIST(I65)),"")</f>
        <v/>
      </c>
      <c r="K65">
        <f>IF(B65,INDEX(MineScale,C65),"")</f>
        <v/>
      </c>
      <c r="L65">
        <f>IF(B65,INDEX(Dow,1,WEEKDAY(E65,2)),"")</f>
        <v/>
      </c>
      <c r="M65">
        <f>IF(B65,(1+Trend)^D65,"")</f>
        <v/>
      </c>
      <c r="N65">
        <f>IF(B65,EXP(SUMPRODUCT(LN(1+(EvEff-1)*INDEX(Affected,0,C65)*EXP(-((E65-EvCenter)^2)/(2*EvSigma^2))))),"")</f>
        <v/>
      </c>
      <c r="O65">
        <f>IF(B65,ROUND(MAX(0,J65*K65*L65*M65*N65),2),"")</f>
        <v/>
      </c>
    </row>
    <row r="66">
      <c r="A66" t="n">
        <v>65</v>
      </c>
      <c r="B66">
        <f>A66&lt;=MineCount*Days</f>
        <v/>
      </c>
      <c r="C66">
        <f>IF(B66,INT((A66-1)/Days)+1,"")</f>
        <v/>
      </c>
      <c r="D66">
        <f>IF(B66,MOD(A66-1,Days),"")</f>
        <v/>
      </c>
      <c r="E66" s="16">
        <f>IF(B66,StartDate+D66,"")</f>
        <v/>
      </c>
      <c r="F66">
        <f>IF(B66,MAX(MOD(SIN(Seed*0.1373+C66*12.9898+D66*78.233)*43758.5453,1),1E-9),"")</f>
        <v/>
      </c>
      <c r="G66">
        <f>IF(B66,MOD(SIN(Seed*0.5917+C66*39.3468+D66*11.135)*24634.6345,1),"")</f>
        <v/>
      </c>
      <c r="H66">
        <f>IF(B66,SQRT(-2*LN(F66))*COS(2*PI()*G66),"")</f>
        <v/>
      </c>
      <c r="I66">
        <f>IF(B66,IF(D66=0,H66,Rho*I65+SQRT(1-Rho^2)*H66),"")</f>
        <v/>
      </c>
      <c r="J66">
        <f>IF(B66,IF(Dist="Normal",DistA+DistB*I66,DistA+(DistB-DistA)*NORMSDIST(I66)),"")</f>
        <v/>
      </c>
      <c r="K66">
        <f>IF(B66,INDEX(MineScale,C66),"")</f>
        <v/>
      </c>
      <c r="L66">
        <f>IF(B66,INDEX(Dow,1,WEEKDAY(E66,2)),"")</f>
        <v/>
      </c>
      <c r="M66">
        <f>IF(B66,(1+Trend)^D66,"")</f>
        <v/>
      </c>
      <c r="N66">
        <f>IF(B66,EXP(SUMPRODUCT(LN(1+(EvEff-1)*INDEX(Affected,0,C66)*EXP(-((E66-EvCenter)^2)/(2*EvSigma^2))))),"")</f>
        <v/>
      </c>
      <c r="O66">
        <f>IF(B66,ROUND(MAX(0,J66*K66*L66*M66*N66),2),"")</f>
        <v/>
      </c>
    </row>
    <row r="67">
      <c r="A67" t="n">
        <v>66</v>
      </c>
      <c r="B67">
        <f>A67&lt;=MineCount*Days</f>
        <v/>
      </c>
      <c r="C67">
        <f>IF(B67,INT((A67-1)/Days)+1,"")</f>
        <v/>
      </c>
      <c r="D67">
        <f>IF(B67,MOD(A67-1,Days),"")</f>
        <v/>
      </c>
      <c r="E67" s="16">
        <f>IF(B67,StartDate+D67,"")</f>
        <v/>
      </c>
      <c r="F67">
        <f>IF(B67,MAX(MOD(SIN(Seed*0.1373+C67*12.9898+D67*78.233)*43758.5453,1),1E-9),"")</f>
        <v/>
      </c>
      <c r="G67">
        <f>IF(B67,MOD(SIN(Seed*0.5917+C67*39.3468+D67*11.135)*24634.6345,1),"")</f>
        <v/>
      </c>
      <c r="H67">
        <f>IF(B67,SQRT(-2*LN(F67))*COS(2*PI()*G67),"")</f>
        <v/>
      </c>
      <c r="I67">
        <f>IF(B67,IF(D67=0,H67,Rho*I66+SQRT(1-Rho^2)*H67),"")</f>
        <v/>
      </c>
      <c r="J67">
        <f>IF(B67,IF(Dist="Normal",DistA+DistB*I67,DistA+(DistB-DistA)*NORMSDIST(I67)),"")</f>
        <v/>
      </c>
      <c r="K67">
        <f>IF(B67,INDEX(MineScale,C67),"")</f>
        <v/>
      </c>
      <c r="L67">
        <f>IF(B67,INDEX(Dow,1,WEEKDAY(E67,2)),"")</f>
        <v/>
      </c>
      <c r="M67">
        <f>IF(B67,(1+Trend)^D67,"")</f>
        <v/>
      </c>
      <c r="N67">
        <f>IF(B67,EXP(SUMPRODUCT(LN(1+(EvEff-1)*INDEX(Affected,0,C67)*EXP(-((E67-EvCenter)^2)/(2*EvSigma^2))))),"")</f>
        <v/>
      </c>
      <c r="O67">
        <f>IF(B67,ROUND(MAX(0,J67*K67*L67*M67*N67),2),"")</f>
        <v/>
      </c>
    </row>
    <row r="68">
      <c r="A68" t="n">
        <v>67</v>
      </c>
      <c r="B68">
        <f>A68&lt;=MineCount*Days</f>
        <v/>
      </c>
      <c r="C68">
        <f>IF(B68,INT((A68-1)/Days)+1,"")</f>
        <v/>
      </c>
      <c r="D68">
        <f>IF(B68,MOD(A68-1,Days),"")</f>
        <v/>
      </c>
      <c r="E68" s="16">
        <f>IF(B68,StartDate+D68,"")</f>
        <v/>
      </c>
      <c r="F68">
        <f>IF(B68,MAX(MOD(SIN(Seed*0.1373+C68*12.9898+D68*78.233)*43758.5453,1),1E-9),"")</f>
        <v/>
      </c>
      <c r="G68">
        <f>IF(B68,MOD(SIN(Seed*0.5917+C68*39.3468+D68*11.135)*24634.6345,1),"")</f>
        <v/>
      </c>
      <c r="H68">
        <f>IF(B68,SQRT(-2*LN(F68))*COS(2*PI()*G68),"")</f>
        <v/>
      </c>
      <c r="I68">
        <f>IF(B68,IF(D68=0,H68,Rho*I67+SQRT(1-Rho^2)*H68),"")</f>
        <v/>
      </c>
      <c r="J68">
        <f>IF(B68,IF(Dist="Normal",DistA+DistB*I68,DistA+(DistB-DistA)*NORMSDIST(I68)),"")</f>
        <v/>
      </c>
      <c r="K68">
        <f>IF(B68,INDEX(MineScale,C68),"")</f>
        <v/>
      </c>
      <c r="L68">
        <f>IF(B68,INDEX(Dow,1,WEEKDAY(E68,2)),"")</f>
        <v/>
      </c>
      <c r="M68">
        <f>IF(B68,(1+Trend)^D68,"")</f>
        <v/>
      </c>
      <c r="N68">
        <f>IF(B68,EXP(SUMPRODUCT(LN(1+(EvEff-1)*INDEX(Affected,0,C68)*EXP(-((E68-EvCenter)^2)/(2*EvSigma^2))))),"")</f>
        <v/>
      </c>
      <c r="O68">
        <f>IF(B68,ROUND(MAX(0,J68*K68*L68*M68*N68),2),"")</f>
        <v/>
      </c>
    </row>
    <row r="69">
      <c r="A69" t="n">
        <v>68</v>
      </c>
      <c r="B69">
        <f>A69&lt;=MineCount*Days</f>
        <v/>
      </c>
      <c r="C69">
        <f>IF(B69,INT((A69-1)/Days)+1,"")</f>
        <v/>
      </c>
      <c r="D69">
        <f>IF(B69,MOD(A69-1,Days),"")</f>
        <v/>
      </c>
      <c r="E69" s="16">
        <f>IF(B69,StartDate+D69,"")</f>
        <v/>
      </c>
      <c r="F69">
        <f>IF(B69,MAX(MOD(SIN(Seed*0.1373+C69*12.9898+D69*78.233)*43758.5453,1),1E-9),"")</f>
        <v/>
      </c>
      <c r="G69">
        <f>IF(B69,MOD(SIN(Seed*0.5917+C69*39.3468+D69*11.135)*24634.6345,1),"")</f>
        <v/>
      </c>
      <c r="H69">
        <f>IF(B69,SQRT(-2*LN(F69))*COS(2*PI()*G69),"")</f>
        <v/>
      </c>
      <c r="I69">
        <f>IF(B69,IF(D69=0,H69,Rho*I68+SQRT(1-Rho^2)*H69),"")</f>
        <v/>
      </c>
      <c r="J69">
        <f>IF(B69,IF(Dist="Normal",DistA+DistB*I69,DistA+(DistB-DistA)*NORMSDIST(I69)),"")</f>
        <v/>
      </c>
      <c r="K69">
        <f>IF(B69,INDEX(MineScale,C69),"")</f>
        <v/>
      </c>
      <c r="L69">
        <f>IF(B69,INDEX(Dow,1,WEEKDAY(E69,2)),"")</f>
        <v/>
      </c>
      <c r="M69">
        <f>IF(B69,(1+Trend)^D69,"")</f>
        <v/>
      </c>
      <c r="N69">
        <f>IF(B69,EXP(SUMPRODUCT(LN(1+(EvEff-1)*INDEX(Affected,0,C69)*EXP(-((E69-EvCenter)^2)/(2*EvSigma^2))))),"")</f>
        <v/>
      </c>
      <c r="O69">
        <f>IF(B69,ROUND(MAX(0,J69*K69*L69*M69*N69),2),"")</f>
        <v/>
      </c>
    </row>
    <row r="70">
      <c r="A70" t="n">
        <v>69</v>
      </c>
      <c r="B70">
        <f>A70&lt;=MineCount*Days</f>
        <v/>
      </c>
      <c r="C70">
        <f>IF(B70,INT((A70-1)/Days)+1,"")</f>
        <v/>
      </c>
      <c r="D70">
        <f>IF(B70,MOD(A70-1,Days),"")</f>
        <v/>
      </c>
      <c r="E70" s="16">
        <f>IF(B70,StartDate+D70,"")</f>
        <v/>
      </c>
      <c r="F70">
        <f>IF(B70,MAX(MOD(SIN(Seed*0.1373+C70*12.9898+D70*78.233)*43758.5453,1),1E-9),"")</f>
        <v/>
      </c>
      <c r="G70">
        <f>IF(B70,MOD(SIN(Seed*0.5917+C70*39.3468+D70*11.135)*24634.6345,1),"")</f>
        <v/>
      </c>
      <c r="H70">
        <f>IF(B70,SQRT(-2*LN(F70))*COS(2*PI()*G70),"")</f>
        <v/>
      </c>
      <c r="I70">
        <f>IF(B70,IF(D70=0,H70,Rho*I69+SQRT(1-Rho^2)*H70),"")</f>
        <v/>
      </c>
      <c r="J70">
        <f>IF(B70,IF(Dist="Normal",DistA+DistB*I70,DistA+(DistB-DistA)*NORMSDIST(I70)),"")</f>
        <v/>
      </c>
      <c r="K70">
        <f>IF(B70,INDEX(MineScale,C70),"")</f>
        <v/>
      </c>
      <c r="L70">
        <f>IF(B70,INDEX(Dow,1,WEEKDAY(E70,2)),"")</f>
        <v/>
      </c>
      <c r="M70">
        <f>IF(B70,(1+Trend)^D70,"")</f>
        <v/>
      </c>
      <c r="N70">
        <f>IF(B70,EXP(SUMPRODUCT(LN(1+(EvEff-1)*INDEX(Affected,0,C70)*EXP(-((E70-EvCenter)^2)/(2*EvSigma^2))))),"")</f>
        <v/>
      </c>
      <c r="O70">
        <f>IF(B70,ROUND(MAX(0,J70*K70*L70*M70*N70),2),"")</f>
        <v/>
      </c>
    </row>
    <row r="71">
      <c r="A71" t="n">
        <v>70</v>
      </c>
      <c r="B71">
        <f>A71&lt;=MineCount*Days</f>
        <v/>
      </c>
      <c r="C71">
        <f>IF(B71,INT((A71-1)/Days)+1,"")</f>
        <v/>
      </c>
      <c r="D71">
        <f>IF(B71,MOD(A71-1,Days),"")</f>
        <v/>
      </c>
      <c r="E71" s="16">
        <f>IF(B71,StartDate+D71,"")</f>
        <v/>
      </c>
      <c r="F71">
        <f>IF(B71,MAX(MOD(SIN(Seed*0.1373+C71*12.9898+D71*78.233)*43758.5453,1),1E-9),"")</f>
        <v/>
      </c>
      <c r="G71">
        <f>IF(B71,MOD(SIN(Seed*0.5917+C71*39.3468+D71*11.135)*24634.6345,1),"")</f>
        <v/>
      </c>
      <c r="H71">
        <f>IF(B71,SQRT(-2*LN(F71))*COS(2*PI()*G71),"")</f>
        <v/>
      </c>
      <c r="I71">
        <f>IF(B71,IF(D71=0,H71,Rho*I70+SQRT(1-Rho^2)*H71),"")</f>
        <v/>
      </c>
      <c r="J71">
        <f>IF(B71,IF(Dist="Normal",DistA+DistB*I71,DistA+(DistB-DistA)*NORMSDIST(I71)),"")</f>
        <v/>
      </c>
      <c r="K71">
        <f>IF(B71,INDEX(MineScale,C71),"")</f>
        <v/>
      </c>
      <c r="L71">
        <f>IF(B71,INDEX(Dow,1,WEEKDAY(E71,2)),"")</f>
        <v/>
      </c>
      <c r="M71">
        <f>IF(B71,(1+Trend)^D71,"")</f>
        <v/>
      </c>
      <c r="N71">
        <f>IF(B71,EXP(SUMPRODUCT(LN(1+(EvEff-1)*INDEX(Affected,0,C71)*EXP(-((E71-EvCenter)^2)/(2*EvSigma^2))))),"")</f>
        <v/>
      </c>
      <c r="O71">
        <f>IF(B71,ROUND(MAX(0,J71*K71*L71*M71*N71),2),"")</f>
        <v/>
      </c>
    </row>
    <row r="72">
      <c r="A72" t="n">
        <v>71</v>
      </c>
      <c r="B72">
        <f>A72&lt;=MineCount*Days</f>
        <v/>
      </c>
      <c r="C72">
        <f>IF(B72,INT((A72-1)/Days)+1,"")</f>
        <v/>
      </c>
      <c r="D72">
        <f>IF(B72,MOD(A72-1,Days),"")</f>
        <v/>
      </c>
      <c r="E72" s="16">
        <f>IF(B72,StartDate+D72,"")</f>
        <v/>
      </c>
      <c r="F72">
        <f>IF(B72,MAX(MOD(SIN(Seed*0.1373+C72*12.9898+D72*78.233)*43758.5453,1),1E-9),"")</f>
        <v/>
      </c>
      <c r="G72">
        <f>IF(B72,MOD(SIN(Seed*0.5917+C72*39.3468+D72*11.135)*24634.6345,1),"")</f>
        <v/>
      </c>
      <c r="H72">
        <f>IF(B72,SQRT(-2*LN(F72))*COS(2*PI()*G72),"")</f>
        <v/>
      </c>
      <c r="I72">
        <f>IF(B72,IF(D72=0,H72,Rho*I71+SQRT(1-Rho^2)*H72),"")</f>
        <v/>
      </c>
      <c r="J72">
        <f>IF(B72,IF(Dist="Normal",DistA+DistB*I72,DistA+(DistB-DistA)*NORMSDIST(I72)),"")</f>
        <v/>
      </c>
      <c r="K72">
        <f>IF(B72,INDEX(MineScale,C72),"")</f>
        <v/>
      </c>
      <c r="L72">
        <f>IF(B72,INDEX(Dow,1,WEEKDAY(E72,2)),"")</f>
        <v/>
      </c>
      <c r="M72">
        <f>IF(B72,(1+Trend)^D72,"")</f>
        <v/>
      </c>
      <c r="N72">
        <f>IF(B72,EXP(SUMPRODUCT(LN(1+(EvEff-1)*INDEX(Affected,0,C72)*EXP(-((E72-EvCenter)^2)/(2*EvSigma^2))))),"")</f>
        <v/>
      </c>
      <c r="O72">
        <f>IF(B72,ROUND(MAX(0,J72*K72*L72*M72*N72),2),"")</f>
        <v/>
      </c>
    </row>
    <row r="73">
      <c r="A73" t="n">
        <v>72</v>
      </c>
      <c r="B73">
        <f>A73&lt;=MineCount*Days</f>
        <v/>
      </c>
      <c r="C73">
        <f>IF(B73,INT((A73-1)/Days)+1,"")</f>
        <v/>
      </c>
      <c r="D73">
        <f>IF(B73,MOD(A73-1,Days),"")</f>
        <v/>
      </c>
      <c r="E73" s="16">
        <f>IF(B73,StartDate+D73,"")</f>
        <v/>
      </c>
      <c r="F73">
        <f>IF(B73,MAX(MOD(SIN(Seed*0.1373+C73*12.9898+D73*78.233)*43758.5453,1),1E-9),"")</f>
        <v/>
      </c>
      <c r="G73">
        <f>IF(B73,MOD(SIN(Seed*0.5917+C73*39.3468+D73*11.135)*24634.6345,1),"")</f>
        <v/>
      </c>
      <c r="H73">
        <f>IF(B73,SQRT(-2*LN(F73))*COS(2*PI()*G73),"")</f>
        <v/>
      </c>
      <c r="I73">
        <f>IF(B73,IF(D73=0,H73,Rho*I72+SQRT(1-Rho^2)*H73),"")</f>
        <v/>
      </c>
      <c r="J73">
        <f>IF(B73,IF(Dist="Normal",DistA+DistB*I73,DistA+(DistB-DistA)*NORMSDIST(I73)),"")</f>
        <v/>
      </c>
      <c r="K73">
        <f>IF(B73,INDEX(MineScale,C73),"")</f>
        <v/>
      </c>
      <c r="L73">
        <f>IF(B73,INDEX(Dow,1,WEEKDAY(E73,2)),"")</f>
        <v/>
      </c>
      <c r="M73">
        <f>IF(B73,(1+Trend)^D73,"")</f>
        <v/>
      </c>
      <c r="N73">
        <f>IF(B73,EXP(SUMPRODUCT(LN(1+(EvEff-1)*INDEX(Affected,0,C73)*EXP(-((E73-EvCenter)^2)/(2*EvSigma^2))))),"")</f>
        <v/>
      </c>
      <c r="O73">
        <f>IF(B73,ROUND(MAX(0,J73*K73*L73*M73*N73),2),"")</f>
        <v/>
      </c>
    </row>
    <row r="74">
      <c r="A74" t="n">
        <v>73</v>
      </c>
      <c r="B74">
        <f>A74&lt;=MineCount*Days</f>
        <v/>
      </c>
      <c r="C74">
        <f>IF(B74,INT((A74-1)/Days)+1,"")</f>
        <v/>
      </c>
      <c r="D74">
        <f>IF(B74,MOD(A74-1,Days),"")</f>
        <v/>
      </c>
      <c r="E74" s="16">
        <f>IF(B74,StartDate+D74,"")</f>
        <v/>
      </c>
      <c r="F74">
        <f>IF(B74,MAX(MOD(SIN(Seed*0.1373+C74*12.9898+D74*78.233)*43758.5453,1),1E-9),"")</f>
        <v/>
      </c>
      <c r="G74">
        <f>IF(B74,MOD(SIN(Seed*0.5917+C74*39.3468+D74*11.135)*24634.6345,1),"")</f>
        <v/>
      </c>
      <c r="H74">
        <f>IF(B74,SQRT(-2*LN(F74))*COS(2*PI()*G74),"")</f>
        <v/>
      </c>
      <c r="I74">
        <f>IF(B74,IF(D74=0,H74,Rho*I73+SQRT(1-Rho^2)*H74),"")</f>
        <v/>
      </c>
      <c r="J74">
        <f>IF(B74,IF(Dist="Normal",DistA+DistB*I74,DistA+(DistB-DistA)*NORMSDIST(I74)),"")</f>
        <v/>
      </c>
      <c r="K74">
        <f>IF(B74,INDEX(MineScale,C74),"")</f>
        <v/>
      </c>
      <c r="L74">
        <f>IF(B74,INDEX(Dow,1,WEEKDAY(E74,2)),"")</f>
        <v/>
      </c>
      <c r="M74">
        <f>IF(B74,(1+Trend)^D74,"")</f>
        <v/>
      </c>
      <c r="N74">
        <f>IF(B74,EXP(SUMPRODUCT(LN(1+(EvEff-1)*INDEX(Affected,0,C74)*EXP(-((E74-EvCenter)^2)/(2*EvSigma^2))))),"")</f>
        <v/>
      </c>
      <c r="O74">
        <f>IF(B74,ROUND(MAX(0,J74*K74*L74*M74*N74),2),"")</f>
        <v/>
      </c>
    </row>
    <row r="75">
      <c r="A75" t="n">
        <v>74</v>
      </c>
      <c r="B75">
        <f>A75&lt;=MineCount*Days</f>
        <v/>
      </c>
      <c r="C75">
        <f>IF(B75,INT((A75-1)/Days)+1,"")</f>
        <v/>
      </c>
      <c r="D75">
        <f>IF(B75,MOD(A75-1,Days),"")</f>
        <v/>
      </c>
      <c r="E75" s="16">
        <f>IF(B75,StartDate+D75,"")</f>
        <v/>
      </c>
      <c r="F75">
        <f>IF(B75,MAX(MOD(SIN(Seed*0.1373+C75*12.9898+D75*78.233)*43758.5453,1),1E-9),"")</f>
        <v/>
      </c>
      <c r="G75">
        <f>IF(B75,MOD(SIN(Seed*0.5917+C75*39.3468+D75*11.135)*24634.6345,1),"")</f>
        <v/>
      </c>
      <c r="H75">
        <f>IF(B75,SQRT(-2*LN(F75))*COS(2*PI()*G75),"")</f>
        <v/>
      </c>
      <c r="I75">
        <f>IF(B75,IF(D75=0,H75,Rho*I74+SQRT(1-Rho^2)*H75),"")</f>
        <v/>
      </c>
      <c r="J75">
        <f>IF(B75,IF(Dist="Normal",DistA+DistB*I75,DistA+(DistB-DistA)*NORMSDIST(I75)),"")</f>
        <v/>
      </c>
      <c r="K75">
        <f>IF(B75,INDEX(MineScale,C75),"")</f>
        <v/>
      </c>
      <c r="L75">
        <f>IF(B75,INDEX(Dow,1,WEEKDAY(E75,2)),"")</f>
        <v/>
      </c>
      <c r="M75">
        <f>IF(B75,(1+Trend)^D75,"")</f>
        <v/>
      </c>
      <c r="N75">
        <f>IF(B75,EXP(SUMPRODUCT(LN(1+(EvEff-1)*INDEX(Affected,0,C75)*EXP(-((E75-EvCenter)^2)/(2*EvSigma^2))))),"")</f>
        <v/>
      </c>
      <c r="O75">
        <f>IF(B75,ROUND(MAX(0,J75*K75*L75*M75*N75),2),"")</f>
        <v/>
      </c>
    </row>
    <row r="76">
      <c r="A76" t="n">
        <v>75</v>
      </c>
      <c r="B76">
        <f>A76&lt;=MineCount*Days</f>
        <v/>
      </c>
      <c r="C76">
        <f>IF(B76,INT((A76-1)/Days)+1,"")</f>
        <v/>
      </c>
      <c r="D76">
        <f>IF(B76,MOD(A76-1,Days),"")</f>
        <v/>
      </c>
      <c r="E76" s="16">
        <f>IF(B76,StartDate+D76,"")</f>
        <v/>
      </c>
      <c r="F76">
        <f>IF(B76,MAX(MOD(SIN(Seed*0.1373+C76*12.9898+D76*78.233)*43758.5453,1),1E-9),"")</f>
        <v/>
      </c>
      <c r="G76">
        <f>IF(B76,MOD(SIN(Seed*0.5917+C76*39.3468+D76*11.135)*24634.6345,1),"")</f>
        <v/>
      </c>
      <c r="H76">
        <f>IF(B76,SQRT(-2*LN(F76))*COS(2*PI()*G76),"")</f>
        <v/>
      </c>
      <c r="I76">
        <f>IF(B76,IF(D76=0,H76,Rho*I75+SQRT(1-Rho^2)*H76),"")</f>
        <v/>
      </c>
      <c r="J76">
        <f>IF(B76,IF(Dist="Normal",DistA+DistB*I76,DistA+(DistB-DistA)*NORMSDIST(I76)),"")</f>
        <v/>
      </c>
      <c r="K76">
        <f>IF(B76,INDEX(MineScale,C76),"")</f>
        <v/>
      </c>
      <c r="L76">
        <f>IF(B76,INDEX(Dow,1,WEEKDAY(E76,2)),"")</f>
        <v/>
      </c>
      <c r="M76">
        <f>IF(B76,(1+Trend)^D76,"")</f>
        <v/>
      </c>
      <c r="N76">
        <f>IF(B76,EXP(SUMPRODUCT(LN(1+(EvEff-1)*INDEX(Affected,0,C76)*EXP(-((E76-EvCenter)^2)/(2*EvSigma^2))))),"")</f>
        <v/>
      </c>
      <c r="O76">
        <f>IF(B76,ROUND(MAX(0,J76*K76*L76*M76*N76),2),"")</f>
        <v/>
      </c>
    </row>
    <row r="77">
      <c r="A77" t="n">
        <v>76</v>
      </c>
      <c r="B77">
        <f>A77&lt;=MineCount*Days</f>
        <v/>
      </c>
      <c r="C77">
        <f>IF(B77,INT((A77-1)/Days)+1,"")</f>
        <v/>
      </c>
      <c r="D77">
        <f>IF(B77,MOD(A77-1,Days),"")</f>
        <v/>
      </c>
      <c r="E77" s="16">
        <f>IF(B77,StartDate+D77,"")</f>
        <v/>
      </c>
      <c r="F77">
        <f>IF(B77,MAX(MOD(SIN(Seed*0.1373+C77*12.9898+D77*78.233)*43758.5453,1),1E-9),"")</f>
        <v/>
      </c>
      <c r="G77">
        <f>IF(B77,MOD(SIN(Seed*0.5917+C77*39.3468+D77*11.135)*24634.6345,1),"")</f>
        <v/>
      </c>
      <c r="H77">
        <f>IF(B77,SQRT(-2*LN(F77))*COS(2*PI()*G77),"")</f>
        <v/>
      </c>
      <c r="I77">
        <f>IF(B77,IF(D77=0,H77,Rho*I76+SQRT(1-Rho^2)*H77),"")</f>
        <v/>
      </c>
      <c r="J77">
        <f>IF(B77,IF(Dist="Normal",DistA+DistB*I77,DistA+(DistB-DistA)*NORMSDIST(I77)),"")</f>
        <v/>
      </c>
      <c r="K77">
        <f>IF(B77,INDEX(MineScale,C77),"")</f>
        <v/>
      </c>
      <c r="L77">
        <f>IF(B77,INDEX(Dow,1,WEEKDAY(E77,2)),"")</f>
        <v/>
      </c>
      <c r="M77">
        <f>IF(B77,(1+Trend)^D77,"")</f>
        <v/>
      </c>
      <c r="N77">
        <f>IF(B77,EXP(SUMPRODUCT(LN(1+(EvEff-1)*INDEX(Affected,0,C77)*EXP(-((E77-EvCenter)^2)/(2*EvSigma^2))))),"")</f>
        <v/>
      </c>
      <c r="O77">
        <f>IF(B77,ROUND(MAX(0,J77*K77*L77*M77*N77),2),"")</f>
        <v/>
      </c>
    </row>
    <row r="78">
      <c r="A78" t="n">
        <v>77</v>
      </c>
      <c r="B78">
        <f>A78&lt;=MineCount*Days</f>
        <v/>
      </c>
      <c r="C78">
        <f>IF(B78,INT((A78-1)/Days)+1,"")</f>
        <v/>
      </c>
      <c r="D78">
        <f>IF(B78,MOD(A78-1,Days),"")</f>
        <v/>
      </c>
      <c r="E78" s="16">
        <f>IF(B78,StartDate+D78,"")</f>
        <v/>
      </c>
      <c r="F78">
        <f>IF(B78,MAX(MOD(SIN(Seed*0.1373+C78*12.9898+D78*78.233)*43758.5453,1),1E-9),"")</f>
        <v/>
      </c>
      <c r="G78">
        <f>IF(B78,MOD(SIN(Seed*0.5917+C78*39.3468+D78*11.135)*24634.6345,1),"")</f>
        <v/>
      </c>
      <c r="H78">
        <f>IF(B78,SQRT(-2*LN(F78))*COS(2*PI()*G78),"")</f>
        <v/>
      </c>
      <c r="I78">
        <f>IF(B78,IF(D78=0,H78,Rho*I77+SQRT(1-Rho^2)*H78),"")</f>
        <v/>
      </c>
      <c r="J78">
        <f>IF(B78,IF(Dist="Normal",DistA+DistB*I78,DistA+(DistB-DistA)*NORMSDIST(I78)),"")</f>
        <v/>
      </c>
      <c r="K78">
        <f>IF(B78,INDEX(MineScale,C78),"")</f>
        <v/>
      </c>
      <c r="L78">
        <f>IF(B78,INDEX(Dow,1,WEEKDAY(E78,2)),"")</f>
        <v/>
      </c>
      <c r="M78">
        <f>IF(B78,(1+Trend)^D78,"")</f>
        <v/>
      </c>
      <c r="N78">
        <f>IF(B78,EXP(SUMPRODUCT(LN(1+(EvEff-1)*INDEX(Affected,0,C78)*EXP(-((E78-EvCenter)^2)/(2*EvSigma^2))))),"")</f>
        <v/>
      </c>
      <c r="O78">
        <f>IF(B78,ROUND(MAX(0,J78*K78*L78*M78*N78),2),"")</f>
        <v/>
      </c>
    </row>
    <row r="79">
      <c r="A79" t="n">
        <v>78</v>
      </c>
      <c r="B79">
        <f>A79&lt;=MineCount*Days</f>
        <v/>
      </c>
      <c r="C79">
        <f>IF(B79,INT((A79-1)/Days)+1,"")</f>
        <v/>
      </c>
      <c r="D79">
        <f>IF(B79,MOD(A79-1,Days),"")</f>
        <v/>
      </c>
      <c r="E79" s="16">
        <f>IF(B79,StartDate+D79,"")</f>
        <v/>
      </c>
      <c r="F79">
        <f>IF(B79,MAX(MOD(SIN(Seed*0.1373+C79*12.9898+D79*78.233)*43758.5453,1),1E-9),"")</f>
        <v/>
      </c>
      <c r="G79">
        <f>IF(B79,MOD(SIN(Seed*0.5917+C79*39.3468+D79*11.135)*24634.6345,1),"")</f>
        <v/>
      </c>
      <c r="H79">
        <f>IF(B79,SQRT(-2*LN(F79))*COS(2*PI()*G79),"")</f>
        <v/>
      </c>
      <c r="I79">
        <f>IF(B79,IF(D79=0,H79,Rho*I78+SQRT(1-Rho^2)*H79),"")</f>
        <v/>
      </c>
      <c r="J79">
        <f>IF(B79,IF(Dist="Normal",DistA+DistB*I79,DistA+(DistB-DistA)*NORMSDIST(I79)),"")</f>
        <v/>
      </c>
      <c r="K79">
        <f>IF(B79,INDEX(MineScale,C79),"")</f>
        <v/>
      </c>
      <c r="L79">
        <f>IF(B79,INDEX(Dow,1,WEEKDAY(E79,2)),"")</f>
        <v/>
      </c>
      <c r="M79">
        <f>IF(B79,(1+Trend)^D79,"")</f>
        <v/>
      </c>
      <c r="N79">
        <f>IF(B79,EXP(SUMPRODUCT(LN(1+(EvEff-1)*INDEX(Affected,0,C79)*EXP(-((E79-EvCenter)^2)/(2*EvSigma^2))))),"")</f>
        <v/>
      </c>
      <c r="O79">
        <f>IF(B79,ROUND(MAX(0,J79*K79*L79*M79*N79),2),"")</f>
        <v/>
      </c>
    </row>
    <row r="80">
      <c r="A80" t="n">
        <v>79</v>
      </c>
      <c r="B80">
        <f>A80&lt;=MineCount*Days</f>
        <v/>
      </c>
      <c r="C80">
        <f>IF(B80,INT((A80-1)/Days)+1,"")</f>
        <v/>
      </c>
      <c r="D80">
        <f>IF(B80,MOD(A80-1,Days),"")</f>
        <v/>
      </c>
      <c r="E80" s="16">
        <f>IF(B80,StartDate+D80,"")</f>
        <v/>
      </c>
      <c r="F80">
        <f>IF(B80,MAX(MOD(SIN(Seed*0.1373+C80*12.9898+D80*78.233)*43758.5453,1),1E-9),"")</f>
        <v/>
      </c>
      <c r="G80">
        <f>IF(B80,MOD(SIN(Seed*0.5917+C80*39.3468+D80*11.135)*24634.6345,1),"")</f>
        <v/>
      </c>
      <c r="H80">
        <f>IF(B80,SQRT(-2*LN(F80))*COS(2*PI()*G80),"")</f>
        <v/>
      </c>
      <c r="I80">
        <f>IF(B80,IF(D80=0,H80,Rho*I79+SQRT(1-Rho^2)*H80),"")</f>
        <v/>
      </c>
      <c r="J80">
        <f>IF(B80,IF(Dist="Normal",DistA+DistB*I80,DistA+(DistB-DistA)*NORMSDIST(I80)),"")</f>
        <v/>
      </c>
      <c r="K80">
        <f>IF(B80,INDEX(MineScale,C80),"")</f>
        <v/>
      </c>
      <c r="L80">
        <f>IF(B80,INDEX(Dow,1,WEEKDAY(E80,2)),"")</f>
        <v/>
      </c>
      <c r="M80">
        <f>IF(B80,(1+Trend)^D80,"")</f>
        <v/>
      </c>
      <c r="N80">
        <f>IF(B80,EXP(SUMPRODUCT(LN(1+(EvEff-1)*INDEX(Affected,0,C80)*EXP(-((E80-EvCenter)^2)/(2*EvSigma^2))))),"")</f>
        <v/>
      </c>
      <c r="O80">
        <f>IF(B80,ROUND(MAX(0,J80*K80*L80*M80*N80),2),"")</f>
        <v/>
      </c>
    </row>
    <row r="81">
      <c r="A81" t="n">
        <v>80</v>
      </c>
      <c r="B81">
        <f>A81&lt;=MineCount*Days</f>
        <v/>
      </c>
      <c r="C81">
        <f>IF(B81,INT((A81-1)/Days)+1,"")</f>
        <v/>
      </c>
      <c r="D81">
        <f>IF(B81,MOD(A81-1,Days),"")</f>
        <v/>
      </c>
      <c r="E81" s="16">
        <f>IF(B81,StartDate+D81,"")</f>
        <v/>
      </c>
      <c r="F81">
        <f>IF(B81,MAX(MOD(SIN(Seed*0.1373+C81*12.9898+D81*78.233)*43758.5453,1),1E-9),"")</f>
        <v/>
      </c>
      <c r="G81">
        <f>IF(B81,MOD(SIN(Seed*0.5917+C81*39.3468+D81*11.135)*24634.6345,1),"")</f>
        <v/>
      </c>
      <c r="H81">
        <f>IF(B81,SQRT(-2*LN(F81))*COS(2*PI()*G81),"")</f>
        <v/>
      </c>
      <c r="I81">
        <f>IF(B81,IF(D81=0,H81,Rho*I80+SQRT(1-Rho^2)*H81),"")</f>
        <v/>
      </c>
      <c r="J81">
        <f>IF(B81,IF(Dist="Normal",DistA+DistB*I81,DistA+(DistB-DistA)*NORMSDIST(I81)),"")</f>
        <v/>
      </c>
      <c r="K81">
        <f>IF(B81,INDEX(MineScale,C81),"")</f>
        <v/>
      </c>
      <c r="L81">
        <f>IF(B81,INDEX(Dow,1,WEEKDAY(E81,2)),"")</f>
        <v/>
      </c>
      <c r="M81">
        <f>IF(B81,(1+Trend)^D81,"")</f>
        <v/>
      </c>
      <c r="N81">
        <f>IF(B81,EXP(SUMPRODUCT(LN(1+(EvEff-1)*INDEX(Affected,0,C81)*EXP(-((E81-EvCenter)^2)/(2*EvSigma^2))))),"")</f>
        <v/>
      </c>
      <c r="O81">
        <f>IF(B81,ROUND(MAX(0,J81*K81*L81*M81*N81),2),"")</f>
        <v/>
      </c>
    </row>
    <row r="82">
      <c r="A82" t="n">
        <v>81</v>
      </c>
      <c r="B82">
        <f>A82&lt;=MineCount*Days</f>
        <v/>
      </c>
      <c r="C82">
        <f>IF(B82,INT((A82-1)/Days)+1,"")</f>
        <v/>
      </c>
      <c r="D82">
        <f>IF(B82,MOD(A82-1,Days),"")</f>
        <v/>
      </c>
      <c r="E82" s="16">
        <f>IF(B82,StartDate+D82,"")</f>
        <v/>
      </c>
      <c r="F82">
        <f>IF(B82,MAX(MOD(SIN(Seed*0.1373+C82*12.9898+D82*78.233)*43758.5453,1),1E-9),"")</f>
        <v/>
      </c>
      <c r="G82">
        <f>IF(B82,MOD(SIN(Seed*0.5917+C82*39.3468+D82*11.135)*24634.6345,1),"")</f>
        <v/>
      </c>
      <c r="H82">
        <f>IF(B82,SQRT(-2*LN(F82))*COS(2*PI()*G82),"")</f>
        <v/>
      </c>
      <c r="I82">
        <f>IF(B82,IF(D82=0,H82,Rho*I81+SQRT(1-Rho^2)*H82),"")</f>
        <v/>
      </c>
      <c r="J82">
        <f>IF(B82,IF(Dist="Normal",DistA+DistB*I82,DistA+(DistB-DistA)*NORMSDIST(I82)),"")</f>
        <v/>
      </c>
      <c r="K82">
        <f>IF(B82,INDEX(MineScale,C82),"")</f>
        <v/>
      </c>
      <c r="L82">
        <f>IF(B82,INDEX(Dow,1,WEEKDAY(E82,2)),"")</f>
        <v/>
      </c>
      <c r="M82">
        <f>IF(B82,(1+Trend)^D82,"")</f>
        <v/>
      </c>
      <c r="N82">
        <f>IF(B82,EXP(SUMPRODUCT(LN(1+(EvEff-1)*INDEX(Affected,0,C82)*EXP(-((E82-EvCenter)^2)/(2*EvSigma^2))))),"")</f>
        <v/>
      </c>
      <c r="O82">
        <f>IF(B82,ROUND(MAX(0,J82*K82*L82*M82*N82),2),"")</f>
        <v/>
      </c>
    </row>
    <row r="83">
      <c r="A83" t="n">
        <v>82</v>
      </c>
      <c r="B83">
        <f>A83&lt;=MineCount*Days</f>
        <v/>
      </c>
      <c r="C83">
        <f>IF(B83,INT((A83-1)/Days)+1,"")</f>
        <v/>
      </c>
      <c r="D83">
        <f>IF(B83,MOD(A83-1,Days),"")</f>
        <v/>
      </c>
      <c r="E83" s="16">
        <f>IF(B83,StartDate+D83,"")</f>
        <v/>
      </c>
      <c r="F83">
        <f>IF(B83,MAX(MOD(SIN(Seed*0.1373+C83*12.9898+D83*78.233)*43758.5453,1),1E-9),"")</f>
        <v/>
      </c>
      <c r="G83">
        <f>IF(B83,MOD(SIN(Seed*0.5917+C83*39.3468+D83*11.135)*24634.6345,1),"")</f>
        <v/>
      </c>
      <c r="H83">
        <f>IF(B83,SQRT(-2*LN(F83))*COS(2*PI()*G83),"")</f>
        <v/>
      </c>
      <c r="I83">
        <f>IF(B83,IF(D83=0,H83,Rho*I82+SQRT(1-Rho^2)*H83),"")</f>
        <v/>
      </c>
      <c r="J83">
        <f>IF(B83,IF(Dist="Normal",DistA+DistB*I83,DistA+(DistB-DistA)*NORMSDIST(I83)),"")</f>
        <v/>
      </c>
      <c r="K83">
        <f>IF(B83,INDEX(MineScale,C83),"")</f>
        <v/>
      </c>
      <c r="L83">
        <f>IF(B83,INDEX(Dow,1,WEEKDAY(E83,2)),"")</f>
        <v/>
      </c>
      <c r="M83">
        <f>IF(B83,(1+Trend)^D83,"")</f>
        <v/>
      </c>
      <c r="N83">
        <f>IF(B83,EXP(SUMPRODUCT(LN(1+(EvEff-1)*INDEX(Affected,0,C83)*EXP(-((E83-EvCenter)^2)/(2*EvSigma^2))))),"")</f>
        <v/>
      </c>
      <c r="O83">
        <f>IF(B83,ROUND(MAX(0,J83*K83*L83*M83*N83),2),"")</f>
        <v/>
      </c>
    </row>
    <row r="84">
      <c r="A84" t="n">
        <v>83</v>
      </c>
      <c r="B84">
        <f>A84&lt;=MineCount*Days</f>
        <v/>
      </c>
      <c r="C84">
        <f>IF(B84,INT((A84-1)/Days)+1,"")</f>
        <v/>
      </c>
      <c r="D84">
        <f>IF(B84,MOD(A84-1,Days),"")</f>
        <v/>
      </c>
      <c r="E84" s="16">
        <f>IF(B84,StartDate+D84,"")</f>
        <v/>
      </c>
      <c r="F84">
        <f>IF(B84,MAX(MOD(SIN(Seed*0.1373+C84*12.9898+D84*78.233)*43758.5453,1),1E-9),"")</f>
        <v/>
      </c>
      <c r="G84">
        <f>IF(B84,MOD(SIN(Seed*0.5917+C84*39.3468+D84*11.135)*24634.6345,1),"")</f>
        <v/>
      </c>
      <c r="H84">
        <f>IF(B84,SQRT(-2*LN(F84))*COS(2*PI()*G84),"")</f>
        <v/>
      </c>
      <c r="I84">
        <f>IF(B84,IF(D84=0,H84,Rho*I83+SQRT(1-Rho^2)*H84),"")</f>
        <v/>
      </c>
      <c r="J84">
        <f>IF(B84,IF(Dist="Normal",DistA+DistB*I84,DistA+(DistB-DistA)*NORMSDIST(I84)),"")</f>
        <v/>
      </c>
      <c r="K84">
        <f>IF(B84,INDEX(MineScale,C84),"")</f>
        <v/>
      </c>
      <c r="L84">
        <f>IF(B84,INDEX(Dow,1,WEEKDAY(E84,2)),"")</f>
        <v/>
      </c>
      <c r="M84">
        <f>IF(B84,(1+Trend)^D84,"")</f>
        <v/>
      </c>
      <c r="N84">
        <f>IF(B84,EXP(SUMPRODUCT(LN(1+(EvEff-1)*INDEX(Affected,0,C84)*EXP(-((E84-EvCenter)^2)/(2*EvSigma^2))))),"")</f>
        <v/>
      </c>
      <c r="O84">
        <f>IF(B84,ROUND(MAX(0,J84*K84*L84*M84*N84),2),"")</f>
        <v/>
      </c>
    </row>
    <row r="85">
      <c r="A85" t="n">
        <v>84</v>
      </c>
      <c r="B85">
        <f>A85&lt;=MineCount*Days</f>
        <v/>
      </c>
      <c r="C85">
        <f>IF(B85,INT((A85-1)/Days)+1,"")</f>
        <v/>
      </c>
      <c r="D85">
        <f>IF(B85,MOD(A85-1,Days),"")</f>
        <v/>
      </c>
      <c r="E85" s="16">
        <f>IF(B85,StartDate+D85,"")</f>
        <v/>
      </c>
      <c r="F85">
        <f>IF(B85,MAX(MOD(SIN(Seed*0.1373+C85*12.9898+D85*78.233)*43758.5453,1),1E-9),"")</f>
        <v/>
      </c>
      <c r="G85">
        <f>IF(B85,MOD(SIN(Seed*0.5917+C85*39.3468+D85*11.135)*24634.6345,1),"")</f>
        <v/>
      </c>
      <c r="H85">
        <f>IF(B85,SQRT(-2*LN(F85))*COS(2*PI()*G85),"")</f>
        <v/>
      </c>
      <c r="I85">
        <f>IF(B85,IF(D85=0,H85,Rho*I84+SQRT(1-Rho^2)*H85),"")</f>
        <v/>
      </c>
      <c r="J85">
        <f>IF(B85,IF(Dist="Normal",DistA+DistB*I85,DistA+(DistB-DistA)*NORMSDIST(I85)),"")</f>
        <v/>
      </c>
      <c r="K85">
        <f>IF(B85,INDEX(MineScale,C85),"")</f>
        <v/>
      </c>
      <c r="L85">
        <f>IF(B85,INDEX(Dow,1,WEEKDAY(E85,2)),"")</f>
        <v/>
      </c>
      <c r="M85">
        <f>IF(B85,(1+Trend)^D85,"")</f>
        <v/>
      </c>
      <c r="N85">
        <f>IF(B85,EXP(SUMPRODUCT(LN(1+(EvEff-1)*INDEX(Affected,0,C85)*EXP(-((E85-EvCenter)^2)/(2*EvSigma^2))))),"")</f>
        <v/>
      </c>
      <c r="O85">
        <f>IF(B85,ROUND(MAX(0,J85*K85*L85*M85*N85),2),"")</f>
        <v/>
      </c>
    </row>
    <row r="86">
      <c r="A86" t="n">
        <v>85</v>
      </c>
      <c r="B86">
        <f>A86&lt;=MineCount*Days</f>
        <v/>
      </c>
      <c r="C86">
        <f>IF(B86,INT((A86-1)/Days)+1,"")</f>
        <v/>
      </c>
      <c r="D86">
        <f>IF(B86,MOD(A86-1,Days),"")</f>
        <v/>
      </c>
      <c r="E86" s="16">
        <f>IF(B86,StartDate+D86,"")</f>
        <v/>
      </c>
      <c r="F86">
        <f>IF(B86,MAX(MOD(SIN(Seed*0.1373+C86*12.9898+D86*78.233)*43758.5453,1),1E-9),"")</f>
        <v/>
      </c>
      <c r="G86">
        <f>IF(B86,MOD(SIN(Seed*0.5917+C86*39.3468+D86*11.135)*24634.6345,1),"")</f>
        <v/>
      </c>
      <c r="H86">
        <f>IF(B86,SQRT(-2*LN(F86))*COS(2*PI()*G86),"")</f>
        <v/>
      </c>
      <c r="I86">
        <f>IF(B86,IF(D86=0,H86,Rho*I85+SQRT(1-Rho^2)*H86),"")</f>
        <v/>
      </c>
      <c r="J86">
        <f>IF(B86,IF(Dist="Normal",DistA+DistB*I86,DistA+(DistB-DistA)*NORMSDIST(I86)),"")</f>
        <v/>
      </c>
      <c r="K86">
        <f>IF(B86,INDEX(MineScale,C86),"")</f>
        <v/>
      </c>
      <c r="L86">
        <f>IF(B86,INDEX(Dow,1,WEEKDAY(E86,2)),"")</f>
        <v/>
      </c>
      <c r="M86">
        <f>IF(B86,(1+Trend)^D86,"")</f>
        <v/>
      </c>
      <c r="N86">
        <f>IF(B86,EXP(SUMPRODUCT(LN(1+(EvEff-1)*INDEX(Affected,0,C86)*EXP(-((E86-EvCenter)^2)/(2*EvSigma^2))))),"")</f>
        <v/>
      </c>
      <c r="O86">
        <f>IF(B86,ROUND(MAX(0,J86*K86*L86*M86*N86),2),"")</f>
        <v/>
      </c>
    </row>
    <row r="87">
      <c r="A87" t="n">
        <v>86</v>
      </c>
      <c r="B87">
        <f>A87&lt;=MineCount*Days</f>
        <v/>
      </c>
      <c r="C87">
        <f>IF(B87,INT((A87-1)/Days)+1,"")</f>
        <v/>
      </c>
      <c r="D87">
        <f>IF(B87,MOD(A87-1,Days),"")</f>
        <v/>
      </c>
      <c r="E87" s="16">
        <f>IF(B87,StartDate+D87,"")</f>
        <v/>
      </c>
      <c r="F87">
        <f>IF(B87,MAX(MOD(SIN(Seed*0.1373+C87*12.9898+D87*78.233)*43758.5453,1),1E-9),"")</f>
        <v/>
      </c>
      <c r="G87">
        <f>IF(B87,MOD(SIN(Seed*0.5917+C87*39.3468+D87*11.135)*24634.6345,1),"")</f>
        <v/>
      </c>
      <c r="H87">
        <f>IF(B87,SQRT(-2*LN(F87))*COS(2*PI()*G87),"")</f>
        <v/>
      </c>
      <c r="I87">
        <f>IF(B87,IF(D87=0,H87,Rho*I86+SQRT(1-Rho^2)*H87),"")</f>
        <v/>
      </c>
      <c r="J87">
        <f>IF(B87,IF(Dist="Normal",DistA+DistB*I87,DistA+(DistB-DistA)*NORMSDIST(I87)),"")</f>
        <v/>
      </c>
      <c r="K87">
        <f>IF(B87,INDEX(MineScale,C87),"")</f>
        <v/>
      </c>
      <c r="L87">
        <f>IF(B87,INDEX(Dow,1,WEEKDAY(E87,2)),"")</f>
        <v/>
      </c>
      <c r="M87">
        <f>IF(B87,(1+Trend)^D87,"")</f>
        <v/>
      </c>
      <c r="N87">
        <f>IF(B87,EXP(SUMPRODUCT(LN(1+(EvEff-1)*INDEX(Affected,0,C87)*EXP(-((E87-EvCenter)^2)/(2*EvSigma^2))))),"")</f>
        <v/>
      </c>
      <c r="O87">
        <f>IF(B87,ROUND(MAX(0,J87*K87*L87*M87*N87),2),"")</f>
        <v/>
      </c>
    </row>
    <row r="88">
      <c r="A88" t="n">
        <v>87</v>
      </c>
      <c r="B88">
        <f>A88&lt;=MineCount*Days</f>
        <v/>
      </c>
      <c r="C88">
        <f>IF(B88,INT((A88-1)/Days)+1,"")</f>
        <v/>
      </c>
      <c r="D88">
        <f>IF(B88,MOD(A88-1,Days),"")</f>
        <v/>
      </c>
      <c r="E88" s="16">
        <f>IF(B88,StartDate+D88,"")</f>
        <v/>
      </c>
      <c r="F88">
        <f>IF(B88,MAX(MOD(SIN(Seed*0.1373+C88*12.9898+D88*78.233)*43758.5453,1),1E-9),"")</f>
        <v/>
      </c>
      <c r="G88">
        <f>IF(B88,MOD(SIN(Seed*0.5917+C88*39.3468+D88*11.135)*24634.6345,1),"")</f>
        <v/>
      </c>
      <c r="H88">
        <f>IF(B88,SQRT(-2*LN(F88))*COS(2*PI()*G88),"")</f>
        <v/>
      </c>
      <c r="I88">
        <f>IF(B88,IF(D88=0,H88,Rho*I87+SQRT(1-Rho^2)*H88),"")</f>
        <v/>
      </c>
      <c r="J88">
        <f>IF(B88,IF(Dist="Normal",DistA+DistB*I88,DistA+(DistB-DistA)*NORMSDIST(I88)),"")</f>
        <v/>
      </c>
      <c r="K88">
        <f>IF(B88,INDEX(MineScale,C88),"")</f>
        <v/>
      </c>
      <c r="L88">
        <f>IF(B88,INDEX(Dow,1,WEEKDAY(E88,2)),"")</f>
        <v/>
      </c>
      <c r="M88">
        <f>IF(B88,(1+Trend)^D88,"")</f>
        <v/>
      </c>
      <c r="N88">
        <f>IF(B88,EXP(SUMPRODUCT(LN(1+(EvEff-1)*INDEX(Affected,0,C88)*EXP(-((E88-EvCenter)^2)/(2*EvSigma^2))))),"")</f>
        <v/>
      </c>
      <c r="O88">
        <f>IF(B88,ROUND(MAX(0,J88*K88*L88*M88*N88),2),"")</f>
        <v/>
      </c>
    </row>
    <row r="89">
      <c r="A89" t="n">
        <v>88</v>
      </c>
      <c r="B89">
        <f>A89&lt;=MineCount*Days</f>
        <v/>
      </c>
      <c r="C89">
        <f>IF(B89,INT((A89-1)/Days)+1,"")</f>
        <v/>
      </c>
      <c r="D89">
        <f>IF(B89,MOD(A89-1,Days),"")</f>
        <v/>
      </c>
      <c r="E89" s="16">
        <f>IF(B89,StartDate+D89,"")</f>
        <v/>
      </c>
      <c r="F89">
        <f>IF(B89,MAX(MOD(SIN(Seed*0.1373+C89*12.9898+D89*78.233)*43758.5453,1),1E-9),"")</f>
        <v/>
      </c>
      <c r="G89">
        <f>IF(B89,MOD(SIN(Seed*0.5917+C89*39.3468+D89*11.135)*24634.6345,1),"")</f>
        <v/>
      </c>
      <c r="H89">
        <f>IF(B89,SQRT(-2*LN(F89))*COS(2*PI()*G89),"")</f>
        <v/>
      </c>
      <c r="I89">
        <f>IF(B89,IF(D89=0,H89,Rho*I88+SQRT(1-Rho^2)*H89),"")</f>
        <v/>
      </c>
      <c r="J89">
        <f>IF(B89,IF(Dist="Normal",DistA+DistB*I89,DistA+(DistB-DistA)*NORMSDIST(I89)),"")</f>
        <v/>
      </c>
      <c r="K89">
        <f>IF(B89,INDEX(MineScale,C89),"")</f>
        <v/>
      </c>
      <c r="L89">
        <f>IF(B89,INDEX(Dow,1,WEEKDAY(E89,2)),"")</f>
        <v/>
      </c>
      <c r="M89">
        <f>IF(B89,(1+Trend)^D89,"")</f>
        <v/>
      </c>
      <c r="N89">
        <f>IF(B89,EXP(SUMPRODUCT(LN(1+(EvEff-1)*INDEX(Affected,0,C89)*EXP(-((E89-EvCenter)^2)/(2*EvSigma^2))))),"")</f>
        <v/>
      </c>
      <c r="O89">
        <f>IF(B89,ROUND(MAX(0,J89*K89*L89*M89*N89),2),"")</f>
        <v/>
      </c>
    </row>
    <row r="90">
      <c r="A90" t="n">
        <v>89</v>
      </c>
      <c r="B90">
        <f>A90&lt;=MineCount*Days</f>
        <v/>
      </c>
      <c r="C90">
        <f>IF(B90,INT((A90-1)/Days)+1,"")</f>
        <v/>
      </c>
      <c r="D90">
        <f>IF(B90,MOD(A90-1,Days),"")</f>
        <v/>
      </c>
      <c r="E90" s="16">
        <f>IF(B90,StartDate+D90,"")</f>
        <v/>
      </c>
      <c r="F90">
        <f>IF(B90,MAX(MOD(SIN(Seed*0.1373+C90*12.9898+D90*78.233)*43758.5453,1),1E-9),"")</f>
        <v/>
      </c>
      <c r="G90">
        <f>IF(B90,MOD(SIN(Seed*0.5917+C90*39.3468+D90*11.135)*24634.6345,1),"")</f>
        <v/>
      </c>
      <c r="H90">
        <f>IF(B90,SQRT(-2*LN(F90))*COS(2*PI()*G90),"")</f>
        <v/>
      </c>
      <c r="I90">
        <f>IF(B90,IF(D90=0,H90,Rho*I89+SQRT(1-Rho^2)*H90),"")</f>
        <v/>
      </c>
      <c r="J90">
        <f>IF(B90,IF(Dist="Normal",DistA+DistB*I90,DistA+(DistB-DistA)*NORMSDIST(I90)),"")</f>
        <v/>
      </c>
      <c r="K90">
        <f>IF(B90,INDEX(MineScale,C90),"")</f>
        <v/>
      </c>
      <c r="L90">
        <f>IF(B90,INDEX(Dow,1,WEEKDAY(E90,2)),"")</f>
        <v/>
      </c>
      <c r="M90">
        <f>IF(B90,(1+Trend)^D90,"")</f>
        <v/>
      </c>
      <c r="N90">
        <f>IF(B90,EXP(SUMPRODUCT(LN(1+(EvEff-1)*INDEX(Affected,0,C90)*EXP(-((E90-EvCenter)^2)/(2*EvSigma^2))))),"")</f>
        <v/>
      </c>
      <c r="O90">
        <f>IF(B90,ROUND(MAX(0,J90*K90*L90*M90*N90),2),"")</f>
        <v/>
      </c>
    </row>
    <row r="91">
      <c r="A91" t="n">
        <v>90</v>
      </c>
      <c r="B91">
        <f>A91&lt;=MineCount*Days</f>
        <v/>
      </c>
      <c r="C91">
        <f>IF(B91,INT((A91-1)/Days)+1,"")</f>
        <v/>
      </c>
      <c r="D91">
        <f>IF(B91,MOD(A91-1,Days),"")</f>
        <v/>
      </c>
      <c r="E91" s="16">
        <f>IF(B91,StartDate+D91,"")</f>
        <v/>
      </c>
      <c r="F91">
        <f>IF(B91,MAX(MOD(SIN(Seed*0.1373+C91*12.9898+D91*78.233)*43758.5453,1),1E-9),"")</f>
        <v/>
      </c>
      <c r="G91">
        <f>IF(B91,MOD(SIN(Seed*0.5917+C91*39.3468+D91*11.135)*24634.6345,1),"")</f>
        <v/>
      </c>
      <c r="H91">
        <f>IF(B91,SQRT(-2*LN(F91))*COS(2*PI()*G91),"")</f>
        <v/>
      </c>
      <c r="I91">
        <f>IF(B91,IF(D91=0,H91,Rho*I90+SQRT(1-Rho^2)*H91),"")</f>
        <v/>
      </c>
      <c r="J91">
        <f>IF(B91,IF(Dist="Normal",DistA+DistB*I91,DistA+(DistB-DistA)*NORMSDIST(I91)),"")</f>
        <v/>
      </c>
      <c r="K91">
        <f>IF(B91,INDEX(MineScale,C91),"")</f>
        <v/>
      </c>
      <c r="L91">
        <f>IF(B91,INDEX(Dow,1,WEEKDAY(E91,2)),"")</f>
        <v/>
      </c>
      <c r="M91">
        <f>IF(B91,(1+Trend)^D91,"")</f>
        <v/>
      </c>
      <c r="N91">
        <f>IF(B91,EXP(SUMPRODUCT(LN(1+(EvEff-1)*INDEX(Affected,0,C91)*EXP(-((E91-EvCenter)^2)/(2*EvSigma^2))))),"")</f>
        <v/>
      </c>
      <c r="O91">
        <f>IF(B91,ROUND(MAX(0,J91*K91*L91*M91*N91),2),"")</f>
        <v/>
      </c>
    </row>
    <row r="92">
      <c r="A92" t="n">
        <v>91</v>
      </c>
      <c r="B92">
        <f>A92&lt;=MineCount*Days</f>
        <v/>
      </c>
      <c r="C92">
        <f>IF(B92,INT((A92-1)/Days)+1,"")</f>
        <v/>
      </c>
      <c r="D92">
        <f>IF(B92,MOD(A92-1,Days),"")</f>
        <v/>
      </c>
      <c r="E92" s="16">
        <f>IF(B92,StartDate+D92,"")</f>
        <v/>
      </c>
      <c r="F92">
        <f>IF(B92,MAX(MOD(SIN(Seed*0.1373+C92*12.9898+D92*78.233)*43758.5453,1),1E-9),"")</f>
        <v/>
      </c>
      <c r="G92">
        <f>IF(B92,MOD(SIN(Seed*0.5917+C92*39.3468+D92*11.135)*24634.6345,1),"")</f>
        <v/>
      </c>
      <c r="H92">
        <f>IF(B92,SQRT(-2*LN(F92))*COS(2*PI()*G92),"")</f>
        <v/>
      </c>
      <c r="I92">
        <f>IF(B92,IF(D92=0,H92,Rho*I91+SQRT(1-Rho^2)*H92),"")</f>
        <v/>
      </c>
      <c r="J92">
        <f>IF(B92,IF(Dist="Normal",DistA+DistB*I92,DistA+(DistB-DistA)*NORMSDIST(I92)),"")</f>
        <v/>
      </c>
      <c r="K92">
        <f>IF(B92,INDEX(MineScale,C92),"")</f>
        <v/>
      </c>
      <c r="L92">
        <f>IF(B92,INDEX(Dow,1,WEEKDAY(E92,2)),"")</f>
        <v/>
      </c>
      <c r="M92">
        <f>IF(B92,(1+Trend)^D92,"")</f>
        <v/>
      </c>
      <c r="N92">
        <f>IF(B92,EXP(SUMPRODUCT(LN(1+(EvEff-1)*INDEX(Affected,0,C92)*EXP(-((E92-EvCenter)^2)/(2*EvSigma^2))))),"")</f>
        <v/>
      </c>
      <c r="O92">
        <f>IF(B92,ROUND(MAX(0,J92*K92*L92*M92*N92),2),"")</f>
        <v/>
      </c>
    </row>
    <row r="93">
      <c r="A93" t="n">
        <v>92</v>
      </c>
      <c r="B93">
        <f>A93&lt;=MineCount*Days</f>
        <v/>
      </c>
      <c r="C93">
        <f>IF(B93,INT((A93-1)/Days)+1,"")</f>
        <v/>
      </c>
      <c r="D93">
        <f>IF(B93,MOD(A93-1,Days),"")</f>
        <v/>
      </c>
      <c r="E93" s="16">
        <f>IF(B93,StartDate+D93,"")</f>
        <v/>
      </c>
      <c r="F93">
        <f>IF(B93,MAX(MOD(SIN(Seed*0.1373+C93*12.9898+D93*78.233)*43758.5453,1),1E-9),"")</f>
        <v/>
      </c>
      <c r="G93">
        <f>IF(B93,MOD(SIN(Seed*0.5917+C93*39.3468+D93*11.135)*24634.6345,1),"")</f>
        <v/>
      </c>
      <c r="H93">
        <f>IF(B93,SQRT(-2*LN(F93))*COS(2*PI()*G93),"")</f>
        <v/>
      </c>
      <c r="I93">
        <f>IF(B93,IF(D93=0,H93,Rho*I92+SQRT(1-Rho^2)*H93),"")</f>
        <v/>
      </c>
      <c r="J93">
        <f>IF(B93,IF(Dist="Normal",DistA+DistB*I93,DistA+(DistB-DistA)*NORMSDIST(I93)),"")</f>
        <v/>
      </c>
      <c r="K93">
        <f>IF(B93,INDEX(MineScale,C93),"")</f>
        <v/>
      </c>
      <c r="L93">
        <f>IF(B93,INDEX(Dow,1,WEEKDAY(E93,2)),"")</f>
        <v/>
      </c>
      <c r="M93">
        <f>IF(B93,(1+Trend)^D93,"")</f>
        <v/>
      </c>
      <c r="N93">
        <f>IF(B93,EXP(SUMPRODUCT(LN(1+(EvEff-1)*INDEX(Affected,0,C93)*EXP(-((E93-EvCenter)^2)/(2*EvSigma^2))))),"")</f>
        <v/>
      </c>
      <c r="O93">
        <f>IF(B93,ROUND(MAX(0,J93*K93*L93*M93*N93),2),"")</f>
        <v/>
      </c>
    </row>
    <row r="94">
      <c r="A94" t="n">
        <v>93</v>
      </c>
      <c r="B94">
        <f>A94&lt;=MineCount*Days</f>
        <v/>
      </c>
      <c r="C94">
        <f>IF(B94,INT((A94-1)/Days)+1,"")</f>
        <v/>
      </c>
      <c r="D94">
        <f>IF(B94,MOD(A94-1,Days),"")</f>
        <v/>
      </c>
      <c r="E94" s="16">
        <f>IF(B94,StartDate+D94,"")</f>
        <v/>
      </c>
      <c r="F94">
        <f>IF(B94,MAX(MOD(SIN(Seed*0.1373+C94*12.9898+D94*78.233)*43758.5453,1),1E-9),"")</f>
        <v/>
      </c>
      <c r="G94">
        <f>IF(B94,MOD(SIN(Seed*0.5917+C94*39.3468+D94*11.135)*24634.6345,1),"")</f>
        <v/>
      </c>
      <c r="H94">
        <f>IF(B94,SQRT(-2*LN(F94))*COS(2*PI()*G94),"")</f>
        <v/>
      </c>
      <c r="I94">
        <f>IF(B94,IF(D94=0,H94,Rho*I93+SQRT(1-Rho^2)*H94),"")</f>
        <v/>
      </c>
      <c r="J94">
        <f>IF(B94,IF(Dist="Normal",DistA+DistB*I94,DistA+(DistB-DistA)*NORMSDIST(I94)),"")</f>
        <v/>
      </c>
      <c r="K94">
        <f>IF(B94,INDEX(MineScale,C94),"")</f>
        <v/>
      </c>
      <c r="L94">
        <f>IF(B94,INDEX(Dow,1,WEEKDAY(E94,2)),"")</f>
        <v/>
      </c>
      <c r="M94">
        <f>IF(B94,(1+Trend)^D94,"")</f>
        <v/>
      </c>
      <c r="N94">
        <f>IF(B94,EXP(SUMPRODUCT(LN(1+(EvEff-1)*INDEX(Affected,0,C94)*EXP(-((E94-EvCenter)^2)/(2*EvSigma^2))))),"")</f>
        <v/>
      </c>
      <c r="O94">
        <f>IF(B94,ROUND(MAX(0,J94*K94*L94*M94*N94),2),"")</f>
        <v/>
      </c>
    </row>
    <row r="95">
      <c r="A95" t="n">
        <v>94</v>
      </c>
      <c r="B95">
        <f>A95&lt;=MineCount*Days</f>
        <v/>
      </c>
      <c r="C95">
        <f>IF(B95,INT((A95-1)/Days)+1,"")</f>
        <v/>
      </c>
      <c r="D95">
        <f>IF(B95,MOD(A95-1,Days),"")</f>
        <v/>
      </c>
      <c r="E95" s="16">
        <f>IF(B95,StartDate+D95,"")</f>
        <v/>
      </c>
      <c r="F95">
        <f>IF(B95,MAX(MOD(SIN(Seed*0.1373+C95*12.9898+D95*78.233)*43758.5453,1),1E-9),"")</f>
        <v/>
      </c>
      <c r="G95">
        <f>IF(B95,MOD(SIN(Seed*0.5917+C95*39.3468+D95*11.135)*24634.6345,1),"")</f>
        <v/>
      </c>
      <c r="H95">
        <f>IF(B95,SQRT(-2*LN(F95))*COS(2*PI()*G95),"")</f>
        <v/>
      </c>
      <c r="I95">
        <f>IF(B95,IF(D95=0,H95,Rho*I94+SQRT(1-Rho^2)*H95),"")</f>
        <v/>
      </c>
      <c r="J95">
        <f>IF(B95,IF(Dist="Normal",DistA+DistB*I95,DistA+(DistB-DistA)*NORMSDIST(I95)),"")</f>
        <v/>
      </c>
      <c r="K95">
        <f>IF(B95,INDEX(MineScale,C95),"")</f>
        <v/>
      </c>
      <c r="L95">
        <f>IF(B95,INDEX(Dow,1,WEEKDAY(E95,2)),"")</f>
        <v/>
      </c>
      <c r="M95">
        <f>IF(B95,(1+Trend)^D95,"")</f>
        <v/>
      </c>
      <c r="N95">
        <f>IF(B95,EXP(SUMPRODUCT(LN(1+(EvEff-1)*INDEX(Affected,0,C95)*EXP(-((E95-EvCenter)^2)/(2*EvSigma^2))))),"")</f>
        <v/>
      </c>
      <c r="O95">
        <f>IF(B95,ROUND(MAX(0,J95*K95*L95*M95*N95),2),"")</f>
        <v/>
      </c>
    </row>
    <row r="96">
      <c r="A96" t="n">
        <v>95</v>
      </c>
      <c r="B96">
        <f>A96&lt;=MineCount*Days</f>
        <v/>
      </c>
      <c r="C96">
        <f>IF(B96,INT((A96-1)/Days)+1,"")</f>
        <v/>
      </c>
      <c r="D96">
        <f>IF(B96,MOD(A96-1,Days),"")</f>
        <v/>
      </c>
      <c r="E96" s="16">
        <f>IF(B96,StartDate+D96,"")</f>
        <v/>
      </c>
      <c r="F96">
        <f>IF(B96,MAX(MOD(SIN(Seed*0.1373+C96*12.9898+D96*78.233)*43758.5453,1),1E-9),"")</f>
        <v/>
      </c>
      <c r="G96">
        <f>IF(B96,MOD(SIN(Seed*0.5917+C96*39.3468+D96*11.135)*24634.6345,1),"")</f>
        <v/>
      </c>
      <c r="H96">
        <f>IF(B96,SQRT(-2*LN(F96))*COS(2*PI()*G96),"")</f>
        <v/>
      </c>
      <c r="I96">
        <f>IF(B96,IF(D96=0,H96,Rho*I95+SQRT(1-Rho^2)*H96),"")</f>
        <v/>
      </c>
      <c r="J96">
        <f>IF(B96,IF(Dist="Normal",DistA+DistB*I96,DistA+(DistB-DistA)*NORMSDIST(I96)),"")</f>
        <v/>
      </c>
      <c r="K96">
        <f>IF(B96,INDEX(MineScale,C96),"")</f>
        <v/>
      </c>
      <c r="L96">
        <f>IF(B96,INDEX(Dow,1,WEEKDAY(E96,2)),"")</f>
        <v/>
      </c>
      <c r="M96">
        <f>IF(B96,(1+Trend)^D96,"")</f>
        <v/>
      </c>
      <c r="N96">
        <f>IF(B96,EXP(SUMPRODUCT(LN(1+(EvEff-1)*INDEX(Affected,0,C96)*EXP(-((E96-EvCenter)^2)/(2*EvSigma^2))))),"")</f>
        <v/>
      </c>
      <c r="O96">
        <f>IF(B96,ROUND(MAX(0,J96*K96*L96*M96*N96),2),"")</f>
        <v/>
      </c>
    </row>
    <row r="97">
      <c r="A97" t="n">
        <v>96</v>
      </c>
      <c r="B97">
        <f>A97&lt;=MineCount*Days</f>
        <v/>
      </c>
      <c r="C97">
        <f>IF(B97,INT((A97-1)/Days)+1,"")</f>
        <v/>
      </c>
      <c r="D97">
        <f>IF(B97,MOD(A97-1,Days),"")</f>
        <v/>
      </c>
      <c r="E97" s="16">
        <f>IF(B97,StartDate+D97,"")</f>
        <v/>
      </c>
      <c r="F97">
        <f>IF(B97,MAX(MOD(SIN(Seed*0.1373+C97*12.9898+D97*78.233)*43758.5453,1),1E-9),"")</f>
        <v/>
      </c>
      <c r="G97">
        <f>IF(B97,MOD(SIN(Seed*0.5917+C97*39.3468+D97*11.135)*24634.6345,1),"")</f>
        <v/>
      </c>
      <c r="H97">
        <f>IF(B97,SQRT(-2*LN(F97))*COS(2*PI()*G97),"")</f>
        <v/>
      </c>
      <c r="I97">
        <f>IF(B97,IF(D97=0,H97,Rho*I96+SQRT(1-Rho^2)*H97),"")</f>
        <v/>
      </c>
      <c r="J97">
        <f>IF(B97,IF(Dist="Normal",DistA+DistB*I97,DistA+(DistB-DistA)*NORMSDIST(I97)),"")</f>
        <v/>
      </c>
      <c r="K97">
        <f>IF(B97,INDEX(MineScale,C97),"")</f>
        <v/>
      </c>
      <c r="L97">
        <f>IF(B97,INDEX(Dow,1,WEEKDAY(E97,2)),"")</f>
        <v/>
      </c>
      <c r="M97">
        <f>IF(B97,(1+Trend)^D97,"")</f>
        <v/>
      </c>
      <c r="N97">
        <f>IF(B97,EXP(SUMPRODUCT(LN(1+(EvEff-1)*INDEX(Affected,0,C97)*EXP(-((E97-EvCenter)^2)/(2*EvSigma^2))))),"")</f>
        <v/>
      </c>
      <c r="O97">
        <f>IF(B97,ROUND(MAX(0,J97*K97*L97*M97*N97),2),"")</f>
        <v/>
      </c>
    </row>
    <row r="98">
      <c r="A98" t="n">
        <v>97</v>
      </c>
      <c r="B98">
        <f>A98&lt;=MineCount*Days</f>
        <v/>
      </c>
      <c r="C98">
        <f>IF(B98,INT((A98-1)/Days)+1,"")</f>
        <v/>
      </c>
      <c r="D98">
        <f>IF(B98,MOD(A98-1,Days),"")</f>
        <v/>
      </c>
      <c r="E98" s="16">
        <f>IF(B98,StartDate+D98,"")</f>
        <v/>
      </c>
      <c r="F98">
        <f>IF(B98,MAX(MOD(SIN(Seed*0.1373+C98*12.9898+D98*78.233)*43758.5453,1),1E-9),"")</f>
        <v/>
      </c>
      <c r="G98">
        <f>IF(B98,MOD(SIN(Seed*0.5917+C98*39.3468+D98*11.135)*24634.6345,1),"")</f>
        <v/>
      </c>
      <c r="H98">
        <f>IF(B98,SQRT(-2*LN(F98))*COS(2*PI()*G98),"")</f>
        <v/>
      </c>
      <c r="I98">
        <f>IF(B98,IF(D98=0,H98,Rho*I97+SQRT(1-Rho^2)*H98),"")</f>
        <v/>
      </c>
      <c r="J98">
        <f>IF(B98,IF(Dist="Normal",DistA+DistB*I98,DistA+(DistB-DistA)*NORMSDIST(I98)),"")</f>
        <v/>
      </c>
      <c r="K98">
        <f>IF(B98,INDEX(MineScale,C98),"")</f>
        <v/>
      </c>
      <c r="L98">
        <f>IF(B98,INDEX(Dow,1,WEEKDAY(E98,2)),"")</f>
        <v/>
      </c>
      <c r="M98">
        <f>IF(B98,(1+Trend)^D98,"")</f>
        <v/>
      </c>
      <c r="N98">
        <f>IF(B98,EXP(SUMPRODUCT(LN(1+(EvEff-1)*INDEX(Affected,0,C98)*EXP(-((E98-EvCenter)^2)/(2*EvSigma^2))))),"")</f>
        <v/>
      </c>
      <c r="O98">
        <f>IF(B98,ROUND(MAX(0,J98*K98*L98*M98*N98),2),"")</f>
        <v/>
      </c>
    </row>
    <row r="99">
      <c r="A99" t="n">
        <v>98</v>
      </c>
      <c r="B99">
        <f>A99&lt;=MineCount*Days</f>
        <v/>
      </c>
      <c r="C99">
        <f>IF(B99,INT((A99-1)/Days)+1,"")</f>
        <v/>
      </c>
      <c r="D99">
        <f>IF(B99,MOD(A99-1,Days),"")</f>
        <v/>
      </c>
      <c r="E99" s="16">
        <f>IF(B99,StartDate+D99,"")</f>
        <v/>
      </c>
      <c r="F99">
        <f>IF(B99,MAX(MOD(SIN(Seed*0.1373+C99*12.9898+D99*78.233)*43758.5453,1),1E-9),"")</f>
        <v/>
      </c>
      <c r="G99">
        <f>IF(B99,MOD(SIN(Seed*0.5917+C99*39.3468+D99*11.135)*24634.6345,1),"")</f>
        <v/>
      </c>
      <c r="H99">
        <f>IF(B99,SQRT(-2*LN(F99))*COS(2*PI()*G99),"")</f>
        <v/>
      </c>
      <c r="I99">
        <f>IF(B99,IF(D99=0,H99,Rho*I98+SQRT(1-Rho^2)*H99),"")</f>
        <v/>
      </c>
      <c r="J99">
        <f>IF(B99,IF(Dist="Normal",DistA+DistB*I99,DistA+(DistB-DistA)*NORMSDIST(I99)),"")</f>
        <v/>
      </c>
      <c r="K99">
        <f>IF(B99,INDEX(MineScale,C99),"")</f>
        <v/>
      </c>
      <c r="L99">
        <f>IF(B99,INDEX(Dow,1,WEEKDAY(E99,2)),"")</f>
        <v/>
      </c>
      <c r="M99">
        <f>IF(B99,(1+Trend)^D99,"")</f>
        <v/>
      </c>
      <c r="N99">
        <f>IF(B99,EXP(SUMPRODUCT(LN(1+(EvEff-1)*INDEX(Affected,0,C99)*EXP(-((E99-EvCenter)^2)/(2*EvSigma^2))))),"")</f>
        <v/>
      </c>
      <c r="O99">
        <f>IF(B99,ROUND(MAX(0,J99*K99*L99*M99*N99),2),"")</f>
        <v/>
      </c>
    </row>
    <row r="100">
      <c r="A100" t="n">
        <v>99</v>
      </c>
      <c r="B100">
        <f>A100&lt;=MineCount*Days</f>
        <v/>
      </c>
      <c r="C100">
        <f>IF(B100,INT((A100-1)/Days)+1,"")</f>
        <v/>
      </c>
      <c r="D100">
        <f>IF(B100,MOD(A100-1,Days),"")</f>
        <v/>
      </c>
      <c r="E100" s="16">
        <f>IF(B100,StartDate+D100,"")</f>
        <v/>
      </c>
      <c r="F100">
        <f>IF(B100,MAX(MOD(SIN(Seed*0.1373+C100*12.9898+D100*78.233)*43758.5453,1),1E-9),"")</f>
        <v/>
      </c>
      <c r="G100">
        <f>IF(B100,MOD(SIN(Seed*0.5917+C100*39.3468+D100*11.135)*24634.6345,1),"")</f>
        <v/>
      </c>
      <c r="H100">
        <f>IF(B100,SQRT(-2*LN(F100))*COS(2*PI()*G100),"")</f>
        <v/>
      </c>
      <c r="I100">
        <f>IF(B100,IF(D100=0,H100,Rho*I99+SQRT(1-Rho^2)*H100),"")</f>
        <v/>
      </c>
      <c r="J100">
        <f>IF(B100,IF(Dist="Normal",DistA+DistB*I100,DistA+(DistB-DistA)*NORMSDIST(I100)),"")</f>
        <v/>
      </c>
      <c r="K100">
        <f>IF(B100,INDEX(MineScale,C100),"")</f>
        <v/>
      </c>
      <c r="L100">
        <f>IF(B100,INDEX(Dow,1,WEEKDAY(E100,2)),"")</f>
        <v/>
      </c>
      <c r="M100">
        <f>IF(B100,(1+Trend)^D100,"")</f>
        <v/>
      </c>
      <c r="N100">
        <f>IF(B100,EXP(SUMPRODUCT(LN(1+(EvEff-1)*INDEX(Affected,0,C100)*EXP(-((E100-EvCenter)^2)/(2*EvSigma^2))))),"")</f>
        <v/>
      </c>
      <c r="O100">
        <f>IF(B100,ROUND(MAX(0,J100*K100*L100*M100*N100),2),"")</f>
        <v/>
      </c>
    </row>
    <row r="101">
      <c r="A101" t="n">
        <v>100</v>
      </c>
      <c r="B101">
        <f>A101&lt;=MineCount*Days</f>
        <v/>
      </c>
      <c r="C101">
        <f>IF(B101,INT((A101-1)/Days)+1,"")</f>
        <v/>
      </c>
      <c r="D101">
        <f>IF(B101,MOD(A101-1,Days),"")</f>
        <v/>
      </c>
      <c r="E101" s="16">
        <f>IF(B101,StartDate+D101,"")</f>
        <v/>
      </c>
      <c r="F101">
        <f>IF(B101,MAX(MOD(SIN(Seed*0.1373+C101*12.9898+D101*78.233)*43758.5453,1),1E-9),"")</f>
        <v/>
      </c>
      <c r="G101">
        <f>IF(B101,MOD(SIN(Seed*0.5917+C101*39.3468+D101*11.135)*24634.6345,1),"")</f>
        <v/>
      </c>
      <c r="H101">
        <f>IF(B101,SQRT(-2*LN(F101))*COS(2*PI()*G101),"")</f>
        <v/>
      </c>
      <c r="I101">
        <f>IF(B101,IF(D101=0,H101,Rho*I100+SQRT(1-Rho^2)*H101),"")</f>
        <v/>
      </c>
      <c r="J101">
        <f>IF(B101,IF(Dist="Normal",DistA+DistB*I101,DistA+(DistB-DistA)*NORMSDIST(I101)),"")</f>
        <v/>
      </c>
      <c r="K101">
        <f>IF(B101,INDEX(MineScale,C101),"")</f>
        <v/>
      </c>
      <c r="L101">
        <f>IF(B101,INDEX(Dow,1,WEEKDAY(E101,2)),"")</f>
        <v/>
      </c>
      <c r="M101">
        <f>IF(B101,(1+Trend)^D101,"")</f>
        <v/>
      </c>
      <c r="N101">
        <f>IF(B101,EXP(SUMPRODUCT(LN(1+(EvEff-1)*INDEX(Affected,0,C101)*EXP(-((E101-EvCenter)^2)/(2*EvSigma^2))))),"")</f>
        <v/>
      </c>
      <c r="O101">
        <f>IF(B101,ROUND(MAX(0,J101*K101*L101*M101*N101),2),"")</f>
        <v/>
      </c>
    </row>
    <row r="102">
      <c r="A102" t="n">
        <v>101</v>
      </c>
      <c r="B102">
        <f>A102&lt;=MineCount*Days</f>
        <v/>
      </c>
      <c r="C102">
        <f>IF(B102,INT((A102-1)/Days)+1,"")</f>
        <v/>
      </c>
      <c r="D102">
        <f>IF(B102,MOD(A102-1,Days),"")</f>
        <v/>
      </c>
      <c r="E102" s="16">
        <f>IF(B102,StartDate+D102,"")</f>
        <v/>
      </c>
      <c r="F102">
        <f>IF(B102,MAX(MOD(SIN(Seed*0.1373+C102*12.9898+D102*78.233)*43758.5453,1),1E-9),"")</f>
        <v/>
      </c>
      <c r="G102">
        <f>IF(B102,MOD(SIN(Seed*0.5917+C102*39.3468+D102*11.135)*24634.6345,1),"")</f>
        <v/>
      </c>
      <c r="H102">
        <f>IF(B102,SQRT(-2*LN(F102))*COS(2*PI()*G102),"")</f>
        <v/>
      </c>
      <c r="I102">
        <f>IF(B102,IF(D102=0,H102,Rho*I101+SQRT(1-Rho^2)*H102),"")</f>
        <v/>
      </c>
      <c r="J102">
        <f>IF(B102,IF(Dist="Normal",DistA+DistB*I102,DistA+(DistB-DistA)*NORMSDIST(I102)),"")</f>
        <v/>
      </c>
      <c r="K102">
        <f>IF(B102,INDEX(MineScale,C102),"")</f>
        <v/>
      </c>
      <c r="L102">
        <f>IF(B102,INDEX(Dow,1,WEEKDAY(E102,2)),"")</f>
        <v/>
      </c>
      <c r="M102">
        <f>IF(B102,(1+Trend)^D102,"")</f>
        <v/>
      </c>
      <c r="N102">
        <f>IF(B102,EXP(SUMPRODUCT(LN(1+(EvEff-1)*INDEX(Affected,0,C102)*EXP(-((E102-EvCenter)^2)/(2*EvSigma^2))))),"")</f>
        <v/>
      </c>
      <c r="O102">
        <f>IF(B102,ROUND(MAX(0,J102*K102*L102*M102*N102),2),"")</f>
        <v/>
      </c>
    </row>
    <row r="103">
      <c r="A103" t="n">
        <v>102</v>
      </c>
      <c r="B103">
        <f>A103&lt;=MineCount*Days</f>
        <v/>
      </c>
      <c r="C103">
        <f>IF(B103,INT((A103-1)/Days)+1,"")</f>
        <v/>
      </c>
      <c r="D103">
        <f>IF(B103,MOD(A103-1,Days),"")</f>
        <v/>
      </c>
      <c r="E103" s="16">
        <f>IF(B103,StartDate+D103,"")</f>
        <v/>
      </c>
      <c r="F103">
        <f>IF(B103,MAX(MOD(SIN(Seed*0.1373+C103*12.9898+D103*78.233)*43758.5453,1),1E-9),"")</f>
        <v/>
      </c>
      <c r="G103">
        <f>IF(B103,MOD(SIN(Seed*0.5917+C103*39.3468+D103*11.135)*24634.6345,1),"")</f>
        <v/>
      </c>
      <c r="H103">
        <f>IF(B103,SQRT(-2*LN(F103))*COS(2*PI()*G103),"")</f>
        <v/>
      </c>
      <c r="I103">
        <f>IF(B103,IF(D103=0,H103,Rho*I102+SQRT(1-Rho^2)*H103),"")</f>
        <v/>
      </c>
      <c r="J103">
        <f>IF(B103,IF(Dist="Normal",DistA+DistB*I103,DistA+(DistB-DistA)*NORMSDIST(I103)),"")</f>
        <v/>
      </c>
      <c r="K103">
        <f>IF(B103,INDEX(MineScale,C103),"")</f>
        <v/>
      </c>
      <c r="L103">
        <f>IF(B103,INDEX(Dow,1,WEEKDAY(E103,2)),"")</f>
        <v/>
      </c>
      <c r="M103">
        <f>IF(B103,(1+Trend)^D103,"")</f>
        <v/>
      </c>
      <c r="N103">
        <f>IF(B103,EXP(SUMPRODUCT(LN(1+(EvEff-1)*INDEX(Affected,0,C103)*EXP(-((E103-EvCenter)^2)/(2*EvSigma^2))))),"")</f>
        <v/>
      </c>
      <c r="O103">
        <f>IF(B103,ROUND(MAX(0,J103*K103*L103*M103*N103),2),"")</f>
        <v/>
      </c>
    </row>
    <row r="104">
      <c r="A104" t="n">
        <v>103</v>
      </c>
      <c r="B104">
        <f>A104&lt;=MineCount*Days</f>
        <v/>
      </c>
      <c r="C104">
        <f>IF(B104,INT((A104-1)/Days)+1,"")</f>
        <v/>
      </c>
      <c r="D104">
        <f>IF(B104,MOD(A104-1,Days),"")</f>
        <v/>
      </c>
      <c r="E104" s="16">
        <f>IF(B104,StartDate+D104,"")</f>
        <v/>
      </c>
      <c r="F104">
        <f>IF(B104,MAX(MOD(SIN(Seed*0.1373+C104*12.9898+D104*78.233)*43758.5453,1),1E-9),"")</f>
        <v/>
      </c>
      <c r="G104">
        <f>IF(B104,MOD(SIN(Seed*0.5917+C104*39.3468+D104*11.135)*24634.6345,1),"")</f>
        <v/>
      </c>
      <c r="H104">
        <f>IF(B104,SQRT(-2*LN(F104))*COS(2*PI()*G104),"")</f>
        <v/>
      </c>
      <c r="I104">
        <f>IF(B104,IF(D104=0,H104,Rho*I103+SQRT(1-Rho^2)*H104),"")</f>
        <v/>
      </c>
      <c r="J104">
        <f>IF(B104,IF(Dist="Normal",DistA+DistB*I104,DistA+(DistB-DistA)*NORMSDIST(I104)),"")</f>
        <v/>
      </c>
      <c r="K104">
        <f>IF(B104,INDEX(MineScale,C104),"")</f>
        <v/>
      </c>
      <c r="L104">
        <f>IF(B104,INDEX(Dow,1,WEEKDAY(E104,2)),"")</f>
        <v/>
      </c>
      <c r="M104">
        <f>IF(B104,(1+Trend)^D104,"")</f>
        <v/>
      </c>
      <c r="N104">
        <f>IF(B104,EXP(SUMPRODUCT(LN(1+(EvEff-1)*INDEX(Affected,0,C104)*EXP(-((E104-EvCenter)^2)/(2*EvSigma^2))))),"")</f>
        <v/>
      </c>
      <c r="O104">
        <f>IF(B104,ROUND(MAX(0,J104*K104*L104*M104*N104),2),"")</f>
        <v/>
      </c>
    </row>
    <row r="105">
      <c r="A105" t="n">
        <v>104</v>
      </c>
      <c r="B105">
        <f>A105&lt;=MineCount*Days</f>
        <v/>
      </c>
      <c r="C105">
        <f>IF(B105,INT((A105-1)/Days)+1,"")</f>
        <v/>
      </c>
      <c r="D105">
        <f>IF(B105,MOD(A105-1,Days),"")</f>
        <v/>
      </c>
      <c r="E105" s="16">
        <f>IF(B105,StartDate+D105,"")</f>
        <v/>
      </c>
      <c r="F105">
        <f>IF(B105,MAX(MOD(SIN(Seed*0.1373+C105*12.9898+D105*78.233)*43758.5453,1),1E-9),"")</f>
        <v/>
      </c>
      <c r="G105">
        <f>IF(B105,MOD(SIN(Seed*0.5917+C105*39.3468+D105*11.135)*24634.6345,1),"")</f>
        <v/>
      </c>
      <c r="H105">
        <f>IF(B105,SQRT(-2*LN(F105))*COS(2*PI()*G105),"")</f>
        <v/>
      </c>
      <c r="I105">
        <f>IF(B105,IF(D105=0,H105,Rho*I104+SQRT(1-Rho^2)*H105),"")</f>
        <v/>
      </c>
      <c r="J105">
        <f>IF(B105,IF(Dist="Normal",DistA+DistB*I105,DistA+(DistB-DistA)*NORMSDIST(I105)),"")</f>
        <v/>
      </c>
      <c r="K105">
        <f>IF(B105,INDEX(MineScale,C105),"")</f>
        <v/>
      </c>
      <c r="L105">
        <f>IF(B105,INDEX(Dow,1,WEEKDAY(E105,2)),"")</f>
        <v/>
      </c>
      <c r="M105">
        <f>IF(B105,(1+Trend)^D105,"")</f>
        <v/>
      </c>
      <c r="N105">
        <f>IF(B105,EXP(SUMPRODUCT(LN(1+(EvEff-1)*INDEX(Affected,0,C105)*EXP(-((E105-EvCenter)^2)/(2*EvSigma^2))))),"")</f>
        <v/>
      </c>
      <c r="O105">
        <f>IF(B105,ROUND(MAX(0,J105*K105*L105*M105*N105),2),"")</f>
        <v/>
      </c>
    </row>
    <row r="106">
      <c r="A106" t="n">
        <v>105</v>
      </c>
      <c r="B106">
        <f>A106&lt;=MineCount*Days</f>
        <v/>
      </c>
      <c r="C106">
        <f>IF(B106,INT((A106-1)/Days)+1,"")</f>
        <v/>
      </c>
      <c r="D106">
        <f>IF(B106,MOD(A106-1,Days),"")</f>
        <v/>
      </c>
      <c r="E106" s="16">
        <f>IF(B106,StartDate+D106,"")</f>
        <v/>
      </c>
      <c r="F106">
        <f>IF(B106,MAX(MOD(SIN(Seed*0.1373+C106*12.9898+D106*78.233)*43758.5453,1),1E-9),"")</f>
        <v/>
      </c>
      <c r="G106">
        <f>IF(B106,MOD(SIN(Seed*0.5917+C106*39.3468+D106*11.135)*24634.6345,1),"")</f>
        <v/>
      </c>
      <c r="H106">
        <f>IF(B106,SQRT(-2*LN(F106))*COS(2*PI()*G106),"")</f>
        <v/>
      </c>
      <c r="I106">
        <f>IF(B106,IF(D106=0,H106,Rho*I105+SQRT(1-Rho^2)*H106),"")</f>
        <v/>
      </c>
      <c r="J106">
        <f>IF(B106,IF(Dist="Normal",DistA+DistB*I106,DistA+(DistB-DistA)*NORMSDIST(I106)),"")</f>
        <v/>
      </c>
      <c r="K106">
        <f>IF(B106,INDEX(MineScale,C106),"")</f>
        <v/>
      </c>
      <c r="L106">
        <f>IF(B106,INDEX(Dow,1,WEEKDAY(E106,2)),"")</f>
        <v/>
      </c>
      <c r="M106">
        <f>IF(B106,(1+Trend)^D106,"")</f>
        <v/>
      </c>
      <c r="N106">
        <f>IF(B106,EXP(SUMPRODUCT(LN(1+(EvEff-1)*INDEX(Affected,0,C106)*EXP(-((E106-EvCenter)^2)/(2*EvSigma^2))))),"")</f>
        <v/>
      </c>
      <c r="O106">
        <f>IF(B106,ROUND(MAX(0,J106*K106*L106*M106*N106),2),"")</f>
        <v/>
      </c>
    </row>
    <row r="107">
      <c r="A107" t="n">
        <v>106</v>
      </c>
      <c r="B107">
        <f>A107&lt;=MineCount*Days</f>
        <v/>
      </c>
      <c r="C107">
        <f>IF(B107,INT((A107-1)/Days)+1,"")</f>
        <v/>
      </c>
      <c r="D107">
        <f>IF(B107,MOD(A107-1,Days),"")</f>
        <v/>
      </c>
      <c r="E107" s="16">
        <f>IF(B107,StartDate+D107,"")</f>
        <v/>
      </c>
      <c r="F107">
        <f>IF(B107,MAX(MOD(SIN(Seed*0.1373+C107*12.9898+D107*78.233)*43758.5453,1),1E-9),"")</f>
        <v/>
      </c>
      <c r="G107">
        <f>IF(B107,MOD(SIN(Seed*0.5917+C107*39.3468+D107*11.135)*24634.6345,1),"")</f>
        <v/>
      </c>
      <c r="H107">
        <f>IF(B107,SQRT(-2*LN(F107))*COS(2*PI()*G107),"")</f>
        <v/>
      </c>
      <c r="I107">
        <f>IF(B107,IF(D107=0,H107,Rho*I106+SQRT(1-Rho^2)*H107),"")</f>
        <v/>
      </c>
      <c r="J107">
        <f>IF(B107,IF(Dist="Normal",DistA+DistB*I107,DistA+(DistB-DistA)*NORMSDIST(I107)),"")</f>
        <v/>
      </c>
      <c r="K107">
        <f>IF(B107,INDEX(MineScale,C107),"")</f>
        <v/>
      </c>
      <c r="L107">
        <f>IF(B107,INDEX(Dow,1,WEEKDAY(E107,2)),"")</f>
        <v/>
      </c>
      <c r="M107">
        <f>IF(B107,(1+Trend)^D107,"")</f>
        <v/>
      </c>
      <c r="N107">
        <f>IF(B107,EXP(SUMPRODUCT(LN(1+(EvEff-1)*INDEX(Affected,0,C107)*EXP(-((E107-EvCenter)^2)/(2*EvSigma^2))))),"")</f>
        <v/>
      </c>
      <c r="O107">
        <f>IF(B107,ROUND(MAX(0,J107*K107*L107*M107*N107),2),"")</f>
        <v/>
      </c>
    </row>
    <row r="108">
      <c r="A108" t="n">
        <v>107</v>
      </c>
      <c r="B108">
        <f>A108&lt;=MineCount*Days</f>
        <v/>
      </c>
      <c r="C108">
        <f>IF(B108,INT((A108-1)/Days)+1,"")</f>
        <v/>
      </c>
      <c r="D108">
        <f>IF(B108,MOD(A108-1,Days),"")</f>
        <v/>
      </c>
      <c r="E108" s="16">
        <f>IF(B108,StartDate+D108,"")</f>
        <v/>
      </c>
      <c r="F108">
        <f>IF(B108,MAX(MOD(SIN(Seed*0.1373+C108*12.9898+D108*78.233)*43758.5453,1),1E-9),"")</f>
        <v/>
      </c>
      <c r="G108">
        <f>IF(B108,MOD(SIN(Seed*0.5917+C108*39.3468+D108*11.135)*24634.6345,1),"")</f>
        <v/>
      </c>
      <c r="H108">
        <f>IF(B108,SQRT(-2*LN(F108))*COS(2*PI()*G108),"")</f>
        <v/>
      </c>
      <c r="I108">
        <f>IF(B108,IF(D108=0,H108,Rho*I107+SQRT(1-Rho^2)*H108),"")</f>
        <v/>
      </c>
      <c r="J108">
        <f>IF(B108,IF(Dist="Normal",DistA+DistB*I108,DistA+(DistB-DistA)*NORMSDIST(I108)),"")</f>
        <v/>
      </c>
      <c r="K108">
        <f>IF(B108,INDEX(MineScale,C108),"")</f>
        <v/>
      </c>
      <c r="L108">
        <f>IF(B108,INDEX(Dow,1,WEEKDAY(E108,2)),"")</f>
        <v/>
      </c>
      <c r="M108">
        <f>IF(B108,(1+Trend)^D108,"")</f>
        <v/>
      </c>
      <c r="N108">
        <f>IF(B108,EXP(SUMPRODUCT(LN(1+(EvEff-1)*INDEX(Affected,0,C108)*EXP(-((E108-EvCenter)^2)/(2*EvSigma^2))))),"")</f>
        <v/>
      </c>
      <c r="O108">
        <f>IF(B108,ROUND(MAX(0,J108*K108*L108*M108*N108),2),"")</f>
        <v/>
      </c>
    </row>
    <row r="109">
      <c r="A109" t="n">
        <v>108</v>
      </c>
      <c r="B109">
        <f>A109&lt;=MineCount*Days</f>
        <v/>
      </c>
      <c r="C109">
        <f>IF(B109,INT((A109-1)/Days)+1,"")</f>
        <v/>
      </c>
      <c r="D109">
        <f>IF(B109,MOD(A109-1,Days),"")</f>
        <v/>
      </c>
      <c r="E109" s="16">
        <f>IF(B109,StartDate+D109,"")</f>
        <v/>
      </c>
      <c r="F109">
        <f>IF(B109,MAX(MOD(SIN(Seed*0.1373+C109*12.9898+D109*78.233)*43758.5453,1),1E-9),"")</f>
        <v/>
      </c>
      <c r="G109">
        <f>IF(B109,MOD(SIN(Seed*0.5917+C109*39.3468+D109*11.135)*24634.6345,1),"")</f>
        <v/>
      </c>
      <c r="H109">
        <f>IF(B109,SQRT(-2*LN(F109))*COS(2*PI()*G109),"")</f>
        <v/>
      </c>
      <c r="I109">
        <f>IF(B109,IF(D109=0,H109,Rho*I108+SQRT(1-Rho^2)*H109),"")</f>
        <v/>
      </c>
      <c r="J109">
        <f>IF(B109,IF(Dist="Normal",DistA+DistB*I109,DistA+(DistB-DistA)*NORMSDIST(I109)),"")</f>
        <v/>
      </c>
      <c r="K109">
        <f>IF(B109,INDEX(MineScale,C109),"")</f>
        <v/>
      </c>
      <c r="L109">
        <f>IF(B109,INDEX(Dow,1,WEEKDAY(E109,2)),"")</f>
        <v/>
      </c>
      <c r="M109">
        <f>IF(B109,(1+Trend)^D109,"")</f>
        <v/>
      </c>
      <c r="N109">
        <f>IF(B109,EXP(SUMPRODUCT(LN(1+(EvEff-1)*INDEX(Affected,0,C109)*EXP(-((E109-EvCenter)^2)/(2*EvSigma^2))))),"")</f>
        <v/>
      </c>
      <c r="O109">
        <f>IF(B109,ROUND(MAX(0,J109*K109*L109*M109*N109),2),"")</f>
        <v/>
      </c>
    </row>
    <row r="110">
      <c r="A110" t="n">
        <v>109</v>
      </c>
      <c r="B110">
        <f>A110&lt;=MineCount*Days</f>
        <v/>
      </c>
      <c r="C110">
        <f>IF(B110,INT((A110-1)/Days)+1,"")</f>
        <v/>
      </c>
      <c r="D110">
        <f>IF(B110,MOD(A110-1,Days),"")</f>
        <v/>
      </c>
      <c r="E110" s="16">
        <f>IF(B110,StartDate+D110,"")</f>
        <v/>
      </c>
      <c r="F110">
        <f>IF(B110,MAX(MOD(SIN(Seed*0.1373+C110*12.9898+D110*78.233)*43758.5453,1),1E-9),"")</f>
        <v/>
      </c>
      <c r="G110">
        <f>IF(B110,MOD(SIN(Seed*0.5917+C110*39.3468+D110*11.135)*24634.6345,1),"")</f>
        <v/>
      </c>
      <c r="H110">
        <f>IF(B110,SQRT(-2*LN(F110))*COS(2*PI()*G110),"")</f>
        <v/>
      </c>
      <c r="I110">
        <f>IF(B110,IF(D110=0,H110,Rho*I109+SQRT(1-Rho^2)*H110),"")</f>
        <v/>
      </c>
      <c r="J110">
        <f>IF(B110,IF(Dist="Normal",DistA+DistB*I110,DistA+(DistB-DistA)*NORMSDIST(I110)),"")</f>
        <v/>
      </c>
      <c r="K110">
        <f>IF(B110,INDEX(MineScale,C110),"")</f>
        <v/>
      </c>
      <c r="L110">
        <f>IF(B110,INDEX(Dow,1,WEEKDAY(E110,2)),"")</f>
        <v/>
      </c>
      <c r="M110">
        <f>IF(B110,(1+Trend)^D110,"")</f>
        <v/>
      </c>
      <c r="N110">
        <f>IF(B110,EXP(SUMPRODUCT(LN(1+(EvEff-1)*INDEX(Affected,0,C110)*EXP(-((E110-EvCenter)^2)/(2*EvSigma^2))))),"")</f>
        <v/>
      </c>
      <c r="O110">
        <f>IF(B110,ROUND(MAX(0,J110*K110*L110*M110*N110),2),"")</f>
        <v/>
      </c>
    </row>
    <row r="111">
      <c r="A111" t="n">
        <v>110</v>
      </c>
      <c r="B111">
        <f>A111&lt;=MineCount*Days</f>
        <v/>
      </c>
      <c r="C111">
        <f>IF(B111,INT((A111-1)/Days)+1,"")</f>
        <v/>
      </c>
      <c r="D111">
        <f>IF(B111,MOD(A111-1,Days),"")</f>
        <v/>
      </c>
      <c r="E111" s="16">
        <f>IF(B111,StartDate+D111,"")</f>
        <v/>
      </c>
      <c r="F111">
        <f>IF(B111,MAX(MOD(SIN(Seed*0.1373+C111*12.9898+D111*78.233)*43758.5453,1),1E-9),"")</f>
        <v/>
      </c>
      <c r="G111">
        <f>IF(B111,MOD(SIN(Seed*0.5917+C111*39.3468+D111*11.135)*24634.6345,1),"")</f>
        <v/>
      </c>
      <c r="H111">
        <f>IF(B111,SQRT(-2*LN(F111))*COS(2*PI()*G111),"")</f>
        <v/>
      </c>
      <c r="I111">
        <f>IF(B111,IF(D111=0,H111,Rho*I110+SQRT(1-Rho^2)*H111),"")</f>
        <v/>
      </c>
      <c r="J111">
        <f>IF(B111,IF(Dist="Normal",DistA+DistB*I111,DistA+(DistB-DistA)*NORMSDIST(I111)),"")</f>
        <v/>
      </c>
      <c r="K111">
        <f>IF(B111,INDEX(MineScale,C111),"")</f>
        <v/>
      </c>
      <c r="L111">
        <f>IF(B111,INDEX(Dow,1,WEEKDAY(E111,2)),"")</f>
        <v/>
      </c>
      <c r="M111">
        <f>IF(B111,(1+Trend)^D111,"")</f>
        <v/>
      </c>
      <c r="N111">
        <f>IF(B111,EXP(SUMPRODUCT(LN(1+(EvEff-1)*INDEX(Affected,0,C111)*EXP(-((E111-EvCenter)^2)/(2*EvSigma^2))))),"")</f>
        <v/>
      </c>
      <c r="O111">
        <f>IF(B111,ROUND(MAX(0,J111*K111*L111*M111*N111),2),"")</f>
        <v/>
      </c>
    </row>
    <row r="112">
      <c r="A112" t="n">
        <v>111</v>
      </c>
      <c r="B112">
        <f>A112&lt;=MineCount*Days</f>
        <v/>
      </c>
      <c r="C112">
        <f>IF(B112,INT((A112-1)/Days)+1,"")</f>
        <v/>
      </c>
      <c r="D112">
        <f>IF(B112,MOD(A112-1,Days),"")</f>
        <v/>
      </c>
      <c r="E112" s="16">
        <f>IF(B112,StartDate+D112,"")</f>
        <v/>
      </c>
      <c r="F112">
        <f>IF(B112,MAX(MOD(SIN(Seed*0.1373+C112*12.9898+D112*78.233)*43758.5453,1),1E-9),"")</f>
        <v/>
      </c>
      <c r="G112">
        <f>IF(B112,MOD(SIN(Seed*0.5917+C112*39.3468+D112*11.135)*24634.6345,1),"")</f>
        <v/>
      </c>
      <c r="H112">
        <f>IF(B112,SQRT(-2*LN(F112))*COS(2*PI()*G112),"")</f>
        <v/>
      </c>
      <c r="I112">
        <f>IF(B112,IF(D112=0,H112,Rho*I111+SQRT(1-Rho^2)*H112),"")</f>
        <v/>
      </c>
      <c r="J112">
        <f>IF(B112,IF(Dist="Normal",DistA+DistB*I112,DistA+(DistB-DistA)*NORMSDIST(I112)),"")</f>
        <v/>
      </c>
      <c r="K112">
        <f>IF(B112,INDEX(MineScale,C112),"")</f>
        <v/>
      </c>
      <c r="L112">
        <f>IF(B112,INDEX(Dow,1,WEEKDAY(E112,2)),"")</f>
        <v/>
      </c>
      <c r="M112">
        <f>IF(B112,(1+Trend)^D112,"")</f>
        <v/>
      </c>
      <c r="N112">
        <f>IF(B112,EXP(SUMPRODUCT(LN(1+(EvEff-1)*INDEX(Affected,0,C112)*EXP(-((E112-EvCenter)^2)/(2*EvSigma^2))))),"")</f>
        <v/>
      </c>
      <c r="O112">
        <f>IF(B112,ROUND(MAX(0,J112*K112*L112*M112*N112),2),"")</f>
        <v/>
      </c>
    </row>
    <row r="113">
      <c r="A113" t="n">
        <v>112</v>
      </c>
      <c r="B113">
        <f>A113&lt;=MineCount*Days</f>
        <v/>
      </c>
      <c r="C113">
        <f>IF(B113,INT((A113-1)/Days)+1,"")</f>
        <v/>
      </c>
      <c r="D113">
        <f>IF(B113,MOD(A113-1,Days),"")</f>
        <v/>
      </c>
      <c r="E113" s="16">
        <f>IF(B113,StartDate+D113,"")</f>
        <v/>
      </c>
      <c r="F113">
        <f>IF(B113,MAX(MOD(SIN(Seed*0.1373+C113*12.9898+D113*78.233)*43758.5453,1),1E-9),"")</f>
        <v/>
      </c>
      <c r="G113">
        <f>IF(B113,MOD(SIN(Seed*0.5917+C113*39.3468+D113*11.135)*24634.6345,1),"")</f>
        <v/>
      </c>
      <c r="H113">
        <f>IF(B113,SQRT(-2*LN(F113))*COS(2*PI()*G113),"")</f>
        <v/>
      </c>
      <c r="I113">
        <f>IF(B113,IF(D113=0,H113,Rho*I112+SQRT(1-Rho^2)*H113),"")</f>
        <v/>
      </c>
      <c r="J113">
        <f>IF(B113,IF(Dist="Normal",DistA+DistB*I113,DistA+(DistB-DistA)*NORMSDIST(I113)),"")</f>
        <v/>
      </c>
      <c r="K113">
        <f>IF(B113,INDEX(MineScale,C113),"")</f>
        <v/>
      </c>
      <c r="L113">
        <f>IF(B113,INDEX(Dow,1,WEEKDAY(E113,2)),"")</f>
        <v/>
      </c>
      <c r="M113">
        <f>IF(B113,(1+Trend)^D113,"")</f>
        <v/>
      </c>
      <c r="N113">
        <f>IF(B113,EXP(SUMPRODUCT(LN(1+(EvEff-1)*INDEX(Affected,0,C113)*EXP(-((E113-EvCenter)^2)/(2*EvSigma^2))))),"")</f>
        <v/>
      </c>
      <c r="O113">
        <f>IF(B113,ROUND(MAX(0,J113*K113*L113*M113*N113),2),"")</f>
        <v/>
      </c>
    </row>
    <row r="114">
      <c r="A114" t="n">
        <v>113</v>
      </c>
      <c r="B114">
        <f>A114&lt;=MineCount*Days</f>
        <v/>
      </c>
      <c r="C114">
        <f>IF(B114,INT((A114-1)/Days)+1,"")</f>
        <v/>
      </c>
      <c r="D114">
        <f>IF(B114,MOD(A114-1,Days),"")</f>
        <v/>
      </c>
      <c r="E114" s="16">
        <f>IF(B114,StartDate+D114,"")</f>
        <v/>
      </c>
      <c r="F114">
        <f>IF(B114,MAX(MOD(SIN(Seed*0.1373+C114*12.9898+D114*78.233)*43758.5453,1),1E-9),"")</f>
        <v/>
      </c>
      <c r="G114">
        <f>IF(B114,MOD(SIN(Seed*0.5917+C114*39.3468+D114*11.135)*24634.6345,1),"")</f>
        <v/>
      </c>
      <c r="H114">
        <f>IF(B114,SQRT(-2*LN(F114))*COS(2*PI()*G114),"")</f>
        <v/>
      </c>
      <c r="I114">
        <f>IF(B114,IF(D114=0,H114,Rho*I113+SQRT(1-Rho^2)*H114),"")</f>
        <v/>
      </c>
      <c r="J114">
        <f>IF(B114,IF(Dist="Normal",DistA+DistB*I114,DistA+(DistB-DistA)*NORMSDIST(I114)),"")</f>
        <v/>
      </c>
      <c r="K114">
        <f>IF(B114,INDEX(MineScale,C114),"")</f>
        <v/>
      </c>
      <c r="L114">
        <f>IF(B114,INDEX(Dow,1,WEEKDAY(E114,2)),"")</f>
        <v/>
      </c>
      <c r="M114">
        <f>IF(B114,(1+Trend)^D114,"")</f>
        <v/>
      </c>
      <c r="N114">
        <f>IF(B114,EXP(SUMPRODUCT(LN(1+(EvEff-1)*INDEX(Affected,0,C114)*EXP(-((E114-EvCenter)^2)/(2*EvSigma^2))))),"")</f>
        <v/>
      </c>
      <c r="O114">
        <f>IF(B114,ROUND(MAX(0,J114*K114*L114*M114*N114),2),"")</f>
        <v/>
      </c>
    </row>
    <row r="115">
      <c r="A115" t="n">
        <v>114</v>
      </c>
      <c r="B115">
        <f>A115&lt;=MineCount*Days</f>
        <v/>
      </c>
      <c r="C115">
        <f>IF(B115,INT((A115-1)/Days)+1,"")</f>
        <v/>
      </c>
      <c r="D115">
        <f>IF(B115,MOD(A115-1,Days),"")</f>
        <v/>
      </c>
      <c r="E115" s="16">
        <f>IF(B115,StartDate+D115,"")</f>
        <v/>
      </c>
      <c r="F115">
        <f>IF(B115,MAX(MOD(SIN(Seed*0.1373+C115*12.9898+D115*78.233)*43758.5453,1),1E-9),"")</f>
        <v/>
      </c>
      <c r="G115">
        <f>IF(B115,MOD(SIN(Seed*0.5917+C115*39.3468+D115*11.135)*24634.6345,1),"")</f>
        <v/>
      </c>
      <c r="H115">
        <f>IF(B115,SQRT(-2*LN(F115))*COS(2*PI()*G115),"")</f>
        <v/>
      </c>
      <c r="I115">
        <f>IF(B115,IF(D115=0,H115,Rho*I114+SQRT(1-Rho^2)*H115),"")</f>
        <v/>
      </c>
      <c r="J115">
        <f>IF(B115,IF(Dist="Normal",DistA+DistB*I115,DistA+(DistB-DistA)*NORMSDIST(I115)),"")</f>
        <v/>
      </c>
      <c r="K115">
        <f>IF(B115,INDEX(MineScale,C115),"")</f>
        <v/>
      </c>
      <c r="L115">
        <f>IF(B115,INDEX(Dow,1,WEEKDAY(E115,2)),"")</f>
        <v/>
      </c>
      <c r="M115">
        <f>IF(B115,(1+Trend)^D115,"")</f>
        <v/>
      </c>
      <c r="N115">
        <f>IF(B115,EXP(SUMPRODUCT(LN(1+(EvEff-1)*INDEX(Affected,0,C115)*EXP(-((E115-EvCenter)^2)/(2*EvSigma^2))))),"")</f>
        <v/>
      </c>
      <c r="O115">
        <f>IF(B115,ROUND(MAX(0,J115*K115*L115*M115*N115),2),"")</f>
        <v/>
      </c>
    </row>
    <row r="116">
      <c r="A116" t="n">
        <v>115</v>
      </c>
      <c r="B116">
        <f>A116&lt;=MineCount*Days</f>
        <v/>
      </c>
      <c r="C116">
        <f>IF(B116,INT((A116-1)/Days)+1,"")</f>
        <v/>
      </c>
      <c r="D116">
        <f>IF(B116,MOD(A116-1,Days),"")</f>
        <v/>
      </c>
      <c r="E116" s="16">
        <f>IF(B116,StartDate+D116,"")</f>
        <v/>
      </c>
      <c r="F116">
        <f>IF(B116,MAX(MOD(SIN(Seed*0.1373+C116*12.9898+D116*78.233)*43758.5453,1),1E-9),"")</f>
        <v/>
      </c>
      <c r="G116">
        <f>IF(B116,MOD(SIN(Seed*0.5917+C116*39.3468+D116*11.135)*24634.6345,1),"")</f>
        <v/>
      </c>
      <c r="H116">
        <f>IF(B116,SQRT(-2*LN(F116))*COS(2*PI()*G116),"")</f>
        <v/>
      </c>
      <c r="I116">
        <f>IF(B116,IF(D116=0,H116,Rho*I115+SQRT(1-Rho^2)*H116),"")</f>
        <v/>
      </c>
      <c r="J116">
        <f>IF(B116,IF(Dist="Normal",DistA+DistB*I116,DistA+(DistB-DistA)*NORMSDIST(I116)),"")</f>
        <v/>
      </c>
      <c r="K116">
        <f>IF(B116,INDEX(MineScale,C116),"")</f>
        <v/>
      </c>
      <c r="L116">
        <f>IF(B116,INDEX(Dow,1,WEEKDAY(E116,2)),"")</f>
        <v/>
      </c>
      <c r="M116">
        <f>IF(B116,(1+Trend)^D116,"")</f>
        <v/>
      </c>
      <c r="N116">
        <f>IF(B116,EXP(SUMPRODUCT(LN(1+(EvEff-1)*INDEX(Affected,0,C116)*EXP(-((E116-EvCenter)^2)/(2*EvSigma^2))))),"")</f>
        <v/>
      </c>
      <c r="O116">
        <f>IF(B116,ROUND(MAX(0,J116*K116*L116*M116*N116),2),"")</f>
        <v/>
      </c>
    </row>
    <row r="117">
      <c r="A117" t="n">
        <v>116</v>
      </c>
      <c r="B117">
        <f>A117&lt;=MineCount*Days</f>
        <v/>
      </c>
      <c r="C117">
        <f>IF(B117,INT((A117-1)/Days)+1,"")</f>
        <v/>
      </c>
      <c r="D117">
        <f>IF(B117,MOD(A117-1,Days),"")</f>
        <v/>
      </c>
      <c r="E117" s="16">
        <f>IF(B117,StartDate+D117,"")</f>
        <v/>
      </c>
      <c r="F117">
        <f>IF(B117,MAX(MOD(SIN(Seed*0.1373+C117*12.9898+D117*78.233)*43758.5453,1),1E-9),"")</f>
        <v/>
      </c>
      <c r="G117">
        <f>IF(B117,MOD(SIN(Seed*0.5917+C117*39.3468+D117*11.135)*24634.6345,1),"")</f>
        <v/>
      </c>
      <c r="H117">
        <f>IF(B117,SQRT(-2*LN(F117))*COS(2*PI()*G117),"")</f>
        <v/>
      </c>
      <c r="I117">
        <f>IF(B117,IF(D117=0,H117,Rho*I116+SQRT(1-Rho^2)*H117),"")</f>
        <v/>
      </c>
      <c r="J117">
        <f>IF(B117,IF(Dist="Normal",DistA+DistB*I117,DistA+(DistB-DistA)*NORMSDIST(I117)),"")</f>
        <v/>
      </c>
      <c r="K117">
        <f>IF(B117,INDEX(MineScale,C117),"")</f>
        <v/>
      </c>
      <c r="L117">
        <f>IF(B117,INDEX(Dow,1,WEEKDAY(E117,2)),"")</f>
        <v/>
      </c>
      <c r="M117">
        <f>IF(B117,(1+Trend)^D117,"")</f>
        <v/>
      </c>
      <c r="N117">
        <f>IF(B117,EXP(SUMPRODUCT(LN(1+(EvEff-1)*INDEX(Affected,0,C117)*EXP(-((E117-EvCenter)^2)/(2*EvSigma^2))))),"")</f>
        <v/>
      </c>
      <c r="O117">
        <f>IF(B117,ROUND(MAX(0,J117*K117*L117*M117*N117),2),"")</f>
        <v/>
      </c>
    </row>
    <row r="118">
      <c r="A118" t="n">
        <v>117</v>
      </c>
      <c r="B118">
        <f>A118&lt;=MineCount*Days</f>
        <v/>
      </c>
      <c r="C118">
        <f>IF(B118,INT((A118-1)/Days)+1,"")</f>
        <v/>
      </c>
      <c r="D118">
        <f>IF(B118,MOD(A118-1,Days),"")</f>
        <v/>
      </c>
      <c r="E118" s="16">
        <f>IF(B118,StartDate+D118,"")</f>
        <v/>
      </c>
      <c r="F118">
        <f>IF(B118,MAX(MOD(SIN(Seed*0.1373+C118*12.9898+D118*78.233)*43758.5453,1),1E-9),"")</f>
        <v/>
      </c>
      <c r="G118">
        <f>IF(B118,MOD(SIN(Seed*0.5917+C118*39.3468+D118*11.135)*24634.6345,1),"")</f>
        <v/>
      </c>
      <c r="H118">
        <f>IF(B118,SQRT(-2*LN(F118))*COS(2*PI()*G118),"")</f>
        <v/>
      </c>
      <c r="I118">
        <f>IF(B118,IF(D118=0,H118,Rho*I117+SQRT(1-Rho^2)*H118),"")</f>
        <v/>
      </c>
      <c r="J118">
        <f>IF(B118,IF(Dist="Normal",DistA+DistB*I118,DistA+(DistB-DistA)*NORMSDIST(I118)),"")</f>
        <v/>
      </c>
      <c r="K118">
        <f>IF(B118,INDEX(MineScale,C118),"")</f>
        <v/>
      </c>
      <c r="L118">
        <f>IF(B118,INDEX(Dow,1,WEEKDAY(E118,2)),"")</f>
        <v/>
      </c>
      <c r="M118">
        <f>IF(B118,(1+Trend)^D118,"")</f>
        <v/>
      </c>
      <c r="N118">
        <f>IF(B118,EXP(SUMPRODUCT(LN(1+(EvEff-1)*INDEX(Affected,0,C118)*EXP(-((E118-EvCenter)^2)/(2*EvSigma^2))))),"")</f>
        <v/>
      </c>
      <c r="O118">
        <f>IF(B118,ROUND(MAX(0,J118*K118*L118*M118*N118),2),"")</f>
        <v/>
      </c>
    </row>
    <row r="119">
      <c r="A119" t="n">
        <v>118</v>
      </c>
      <c r="B119">
        <f>A119&lt;=MineCount*Days</f>
        <v/>
      </c>
      <c r="C119">
        <f>IF(B119,INT((A119-1)/Days)+1,"")</f>
        <v/>
      </c>
      <c r="D119">
        <f>IF(B119,MOD(A119-1,Days),"")</f>
        <v/>
      </c>
      <c r="E119" s="16">
        <f>IF(B119,StartDate+D119,"")</f>
        <v/>
      </c>
      <c r="F119">
        <f>IF(B119,MAX(MOD(SIN(Seed*0.1373+C119*12.9898+D119*78.233)*43758.5453,1),1E-9),"")</f>
        <v/>
      </c>
      <c r="G119">
        <f>IF(B119,MOD(SIN(Seed*0.5917+C119*39.3468+D119*11.135)*24634.6345,1),"")</f>
        <v/>
      </c>
      <c r="H119">
        <f>IF(B119,SQRT(-2*LN(F119))*COS(2*PI()*G119),"")</f>
        <v/>
      </c>
      <c r="I119">
        <f>IF(B119,IF(D119=0,H119,Rho*I118+SQRT(1-Rho^2)*H119),"")</f>
        <v/>
      </c>
      <c r="J119">
        <f>IF(B119,IF(Dist="Normal",DistA+DistB*I119,DistA+(DistB-DistA)*NORMSDIST(I119)),"")</f>
        <v/>
      </c>
      <c r="K119">
        <f>IF(B119,INDEX(MineScale,C119),"")</f>
        <v/>
      </c>
      <c r="L119">
        <f>IF(B119,INDEX(Dow,1,WEEKDAY(E119,2)),"")</f>
        <v/>
      </c>
      <c r="M119">
        <f>IF(B119,(1+Trend)^D119,"")</f>
        <v/>
      </c>
      <c r="N119">
        <f>IF(B119,EXP(SUMPRODUCT(LN(1+(EvEff-1)*INDEX(Affected,0,C119)*EXP(-((E119-EvCenter)^2)/(2*EvSigma^2))))),"")</f>
        <v/>
      </c>
      <c r="O119">
        <f>IF(B119,ROUND(MAX(0,J119*K119*L119*M119*N119),2),"")</f>
        <v/>
      </c>
    </row>
    <row r="120">
      <c r="A120" t="n">
        <v>119</v>
      </c>
      <c r="B120">
        <f>A120&lt;=MineCount*Days</f>
        <v/>
      </c>
      <c r="C120">
        <f>IF(B120,INT((A120-1)/Days)+1,"")</f>
        <v/>
      </c>
      <c r="D120">
        <f>IF(B120,MOD(A120-1,Days),"")</f>
        <v/>
      </c>
      <c r="E120" s="16">
        <f>IF(B120,StartDate+D120,"")</f>
        <v/>
      </c>
      <c r="F120">
        <f>IF(B120,MAX(MOD(SIN(Seed*0.1373+C120*12.9898+D120*78.233)*43758.5453,1),1E-9),"")</f>
        <v/>
      </c>
      <c r="G120">
        <f>IF(B120,MOD(SIN(Seed*0.5917+C120*39.3468+D120*11.135)*24634.6345,1),"")</f>
        <v/>
      </c>
      <c r="H120">
        <f>IF(B120,SQRT(-2*LN(F120))*COS(2*PI()*G120),"")</f>
        <v/>
      </c>
      <c r="I120">
        <f>IF(B120,IF(D120=0,H120,Rho*I119+SQRT(1-Rho^2)*H120),"")</f>
        <v/>
      </c>
      <c r="J120">
        <f>IF(B120,IF(Dist="Normal",DistA+DistB*I120,DistA+(DistB-DistA)*NORMSDIST(I120)),"")</f>
        <v/>
      </c>
      <c r="K120">
        <f>IF(B120,INDEX(MineScale,C120),"")</f>
        <v/>
      </c>
      <c r="L120">
        <f>IF(B120,INDEX(Dow,1,WEEKDAY(E120,2)),"")</f>
        <v/>
      </c>
      <c r="M120">
        <f>IF(B120,(1+Trend)^D120,"")</f>
        <v/>
      </c>
      <c r="N120">
        <f>IF(B120,EXP(SUMPRODUCT(LN(1+(EvEff-1)*INDEX(Affected,0,C120)*EXP(-((E120-EvCenter)^2)/(2*EvSigma^2))))),"")</f>
        <v/>
      </c>
      <c r="O120">
        <f>IF(B120,ROUND(MAX(0,J120*K120*L120*M120*N120),2),"")</f>
        <v/>
      </c>
    </row>
    <row r="121">
      <c r="A121" t="n">
        <v>120</v>
      </c>
      <c r="B121">
        <f>A121&lt;=MineCount*Days</f>
        <v/>
      </c>
      <c r="C121">
        <f>IF(B121,INT((A121-1)/Days)+1,"")</f>
        <v/>
      </c>
      <c r="D121">
        <f>IF(B121,MOD(A121-1,Days),"")</f>
        <v/>
      </c>
      <c r="E121" s="16">
        <f>IF(B121,StartDate+D121,"")</f>
        <v/>
      </c>
      <c r="F121">
        <f>IF(B121,MAX(MOD(SIN(Seed*0.1373+C121*12.9898+D121*78.233)*43758.5453,1),1E-9),"")</f>
        <v/>
      </c>
      <c r="G121">
        <f>IF(B121,MOD(SIN(Seed*0.5917+C121*39.3468+D121*11.135)*24634.6345,1),"")</f>
        <v/>
      </c>
      <c r="H121">
        <f>IF(B121,SQRT(-2*LN(F121))*COS(2*PI()*G121),"")</f>
        <v/>
      </c>
      <c r="I121">
        <f>IF(B121,IF(D121=0,H121,Rho*I120+SQRT(1-Rho^2)*H121),"")</f>
        <v/>
      </c>
      <c r="J121">
        <f>IF(B121,IF(Dist="Normal",DistA+DistB*I121,DistA+(DistB-DistA)*NORMSDIST(I121)),"")</f>
        <v/>
      </c>
      <c r="K121">
        <f>IF(B121,INDEX(MineScale,C121),"")</f>
        <v/>
      </c>
      <c r="L121">
        <f>IF(B121,INDEX(Dow,1,WEEKDAY(E121,2)),"")</f>
        <v/>
      </c>
      <c r="M121">
        <f>IF(B121,(1+Trend)^D121,"")</f>
        <v/>
      </c>
      <c r="N121">
        <f>IF(B121,EXP(SUMPRODUCT(LN(1+(EvEff-1)*INDEX(Affected,0,C121)*EXP(-((E121-EvCenter)^2)/(2*EvSigma^2))))),"")</f>
        <v/>
      </c>
      <c r="O121">
        <f>IF(B121,ROUND(MAX(0,J121*K121*L121*M121*N121),2),"")</f>
        <v/>
      </c>
    </row>
    <row r="122">
      <c r="A122" t="n">
        <v>121</v>
      </c>
      <c r="B122">
        <f>A122&lt;=MineCount*Days</f>
        <v/>
      </c>
      <c r="C122">
        <f>IF(B122,INT((A122-1)/Days)+1,"")</f>
        <v/>
      </c>
      <c r="D122">
        <f>IF(B122,MOD(A122-1,Days),"")</f>
        <v/>
      </c>
      <c r="E122" s="16">
        <f>IF(B122,StartDate+D122,"")</f>
        <v/>
      </c>
      <c r="F122">
        <f>IF(B122,MAX(MOD(SIN(Seed*0.1373+C122*12.9898+D122*78.233)*43758.5453,1),1E-9),"")</f>
        <v/>
      </c>
      <c r="G122">
        <f>IF(B122,MOD(SIN(Seed*0.5917+C122*39.3468+D122*11.135)*24634.6345,1),"")</f>
        <v/>
      </c>
      <c r="H122">
        <f>IF(B122,SQRT(-2*LN(F122))*COS(2*PI()*G122),"")</f>
        <v/>
      </c>
      <c r="I122">
        <f>IF(B122,IF(D122=0,H122,Rho*I121+SQRT(1-Rho^2)*H122),"")</f>
        <v/>
      </c>
      <c r="J122">
        <f>IF(B122,IF(Dist="Normal",DistA+DistB*I122,DistA+(DistB-DistA)*NORMSDIST(I122)),"")</f>
        <v/>
      </c>
      <c r="K122">
        <f>IF(B122,INDEX(MineScale,C122),"")</f>
        <v/>
      </c>
      <c r="L122">
        <f>IF(B122,INDEX(Dow,1,WEEKDAY(E122,2)),"")</f>
        <v/>
      </c>
      <c r="M122">
        <f>IF(B122,(1+Trend)^D122,"")</f>
        <v/>
      </c>
      <c r="N122">
        <f>IF(B122,EXP(SUMPRODUCT(LN(1+(EvEff-1)*INDEX(Affected,0,C122)*EXP(-((E122-EvCenter)^2)/(2*EvSigma^2))))),"")</f>
        <v/>
      </c>
      <c r="O122">
        <f>IF(B122,ROUND(MAX(0,J122*K122*L122*M122*N122),2),"")</f>
        <v/>
      </c>
    </row>
    <row r="123">
      <c r="A123" t="n">
        <v>122</v>
      </c>
      <c r="B123">
        <f>A123&lt;=MineCount*Days</f>
        <v/>
      </c>
      <c r="C123">
        <f>IF(B123,INT((A123-1)/Days)+1,"")</f>
        <v/>
      </c>
      <c r="D123">
        <f>IF(B123,MOD(A123-1,Days),"")</f>
        <v/>
      </c>
      <c r="E123" s="16">
        <f>IF(B123,StartDate+D123,"")</f>
        <v/>
      </c>
      <c r="F123">
        <f>IF(B123,MAX(MOD(SIN(Seed*0.1373+C123*12.9898+D123*78.233)*43758.5453,1),1E-9),"")</f>
        <v/>
      </c>
      <c r="G123">
        <f>IF(B123,MOD(SIN(Seed*0.5917+C123*39.3468+D123*11.135)*24634.6345,1),"")</f>
        <v/>
      </c>
      <c r="H123">
        <f>IF(B123,SQRT(-2*LN(F123))*COS(2*PI()*G123),"")</f>
        <v/>
      </c>
      <c r="I123">
        <f>IF(B123,IF(D123=0,H123,Rho*I122+SQRT(1-Rho^2)*H123),"")</f>
        <v/>
      </c>
      <c r="J123">
        <f>IF(B123,IF(Dist="Normal",DistA+DistB*I123,DistA+(DistB-DistA)*NORMSDIST(I123)),"")</f>
        <v/>
      </c>
      <c r="K123">
        <f>IF(B123,INDEX(MineScale,C123),"")</f>
        <v/>
      </c>
      <c r="L123">
        <f>IF(B123,INDEX(Dow,1,WEEKDAY(E123,2)),"")</f>
        <v/>
      </c>
      <c r="M123">
        <f>IF(B123,(1+Trend)^D123,"")</f>
        <v/>
      </c>
      <c r="N123">
        <f>IF(B123,EXP(SUMPRODUCT(LN(1+(EvEff-1)*INDEX(Affected,0,C123)*EXP(-((E123-EvCenter)^2)/(2*EvSigma^2))))),"")</f>
        <v/>
      </c>
      <c r="O123">
        <f>IF(B123,ROUND(MAX(0,J123*K123*L123*M123*N123),2),"")</f>
        <v/>
      </c>
    </row>
    <row r="124">
      <c r="A124" t="n">
        <v>123</v>
      </c>
      <c r="B124">
        <f>A124&lt;=MineCount*Days</f>
        <v/>
      </c>
      <c r="C124">
        <f>IF(B124,INT((A124-1)/Days)+1,"")</f>
        <v/>
      </c>
      <c r="D124">
        <f>IF(B124,MOD(A124-1,Days),"")</f>
        <v/>
      </c>
      <c r="E124" s="16">
        <f>IF(B124,StartDate+D124,"")</f>
        <v/>
      </c>
      <c r="F124">
        <f>IF(B124,MAX(MOD(SIN(Seed*0.1373+C124*12.9898+D124*78.233)*43758.5453,1),1E-9),"")</f>
        <v/>
      </c>
      <c r="G124">
        <f>IF(B124,MOD(SIN(Seed*0.5917+C124*39.3468+D124*11.135)*24634.6345,1),"")</f>
        <v/>
      </c>
      <c r="H124">
        <f>IF(B124,SQRT(-2*LN(F124))*COS(2*PI()*G124),"")</f>
        <v/>
      </c>
      <c r="I124">
        <f>IF(B124,IF(D124=0,H124,Rho*I123+SQRT(1-Rho^2)*H124),"")</f>
        <v/>
      </c>
      <c r="J124">
        <f>IF(B124,IF(Dist="Normal",DistA+DistB*I124,DistA+(DistB-DistA)*NORMSDIST(I124)),"")</f>
        <v/>
      </c>
      <c r="K124">
        <f>IF(B124,INDEX(MineScale,C124),"")</f>
        <v/>
      </c>
      <c r="L124">
        <f>IF(B124,INDEX(Dow,1,WEEKDAY(E124,2)),"")</f>
        <v/>
      </c>
      <c r="M124">
        <f>IF(B124,(1+Trend)^D124,"")</f>
        <v/>
      </c>
      <c r="N124">
        <f>IF(B124,EXP(SUMPRODUCT(LN(1+(EvEff-1)*INDEX(Affected,0,C124)*EXP(-((E124-EvCenter)^2)/(2*EvSigma^2))))),"")</f>
        <v/>
      </c>
      <c r="O124">
        <f>IF(B124,ROUND(MAX(0,J124*K124*L124*M124*N124),2),"")</f>
        <v/>
      </c>
    </row>
    <row r="125">
      <c r="A125" t="n">
        <v>124</v>
      </c>
      <c r="B125">
        <f>A125&lt;=MineCount*Days</f>
        <v/>
      </c>
      <c r="C125">
        <f>IF(B125,INT((A125-1)/Days)+1,"")</f>
        <v/>
      </c>
      <c r="D125">
        <f>IF(B125,MOD(A125-1,Days),"")</f>
        <v/>
      </c>
      <c r="E125" s="16">
        <f>IF(B125,StartDate+D125,"")</f>
        <v/>
      </c>
      <c r="F125">
        <f>IF(B125,MAX(MOD(SIN(Seed*0.1373+C125*12.9898+D125*78.233)*43758.5453,1),1E-9),"")</f>
        <v/>
      </c>
      <c r="G125">
        <f>IF(B125,MOD(SIN(Seed*0.5917+C125*39.3468+D125*11.135)*24634.6345,1),"")</f>
        <v/>
      </c>
      <c r="H125">
        <f>IF(B125,SQRT(-2*LN(F125))*COS(2*PI()*G125),"")</f>
        <v/>
      </c>
      <c r="I125">
        <f>IF(B125,IF(D125=0,H125,Rho*I124+SQRT(1-Rho^2)*H125),"")</f>
        <v/>
      </c>
      <c r="J125">
        <f>IF(B125,IF(Dist="Normal",DistA+DistB*I125,DistA+(DistB-DistA)*NORMSDIST(I125)),"")</f>
        <v/>
      </c>
      <c r="K125">
        <f>IF(B125,INDEX(MineScale,C125),"")</f>
        <v/>
      </c>
      <c r="L125">
        <f>IF(B125,INDEX(Dow,1,WEEKDAY(E125,2)),"")</f>
        <v/>
      </c>
      <c r="M125">
        <f>IF(B125,(1+Trend)^D125,"")</f>
        <v/>
      </c>
      <c r="N125">
        <f>IF(B125,EXP(SUMPRODUCT(LN(1+(EvEff-1)*INDEX(Affected,0,C125)*EXP(-((E125-EvCenter)^2)/(2*EvSigma^2))))),"")</f>
        <v/>
      </c>
      <c r="O125">
        <f>IF(B125,ROUND(MAX(0,J125*K125*L125*M125*N125),2),"")</f>
        <v/>
      </c>
    </row>
    <row r="126">
      <c r="A126" t="n">
        <v>125</v>
      </c>
      <c r="B126">
        <f>A126&lt;=MineCount*Days</f>
        <v/>
      </c>
      <c r="C126">
        <f>IF(B126,INT((A126-1)/Days)+1,"")</f>
        <v/>
      </c>
      <c r="D126">
        <f>IF(B126,MOD(A126-1,Days),"")</f>
        <v/>
      </c>
      <c r="E126" s="16">
        <f>IF(B126,StartDate+D126,"")</f>
        <v/>
      </c>
      <c r="F126">
        <f>IF(B126,MAX(MOD(SIN(Seed*0.1373+C126*12.9898+D126*78.233)*43758.5453,1),1E-9),"")</f>
        <v/>
      </c>
      <c r="G126">
        <f>IF(B126,MOD(SIN(Seed*0.5917+C126*39.3468+D126*11.135)*24634.6345,1),"")</f>
        <v/>
      </c>
      <c r="H126">
        <f>IF(B126,SQRT(-2*LN(F126))*COS(2*PI()*G126),"")</f>
        <v/>
      </c>
      <c r="I126">
        <f>IF(B126,IF(D126=0,H126,Rho*I125+SQRT(1-Rho^2)*H126),"")</f>
        <v/>
      </c>
      <c r="J126">
        <f>IF(B126,IF(Dist="Normal",DistA+DistB*I126,DistA+(DistB-DistA)*NORMSDIST(I126)),"")</f>
        <v/>
      </c>
      <c r="K126">
        <f>IF(B126,INDEX(MineScale,C126),"")</f>
        <v/>
      </c>
      <c r="L126">
        <f>IF(B126,INDEX(Dow,1,WEEKDAY(E126,2)),"")</f>
        <v/>
      </c>
      <c r="M126">
        <f>IF(B126,(1+Trend)^D126,"")</f>
        <v/>
      </c>
      <c r="N126">
        <f>IF(B126,EXP(SUMPRODUCT(LN(1+(EvEff-1)*INDEX(Affected,0,C126)*EXP(-((E126-EvCenter)^2)/(2*EvSigma^2))))),"")</f>
        <v/>
      </c>
      <c r="O126">
        <f>IF(B126,ROUND(MAX(0,J126*K126*L126*M126*N126),2),"")</f>
        <v/>
      </c>
    </row>
    <row r="127">
      <c r="A127" t="n">
        <v>126</v>
      </c>
      <c r="B127">
        <f>A127&lt;=MineCount*Days</f>
        <v/>
      </c>
      <c r="C127">
        <f>IF(B127,INT((A127-1)/Days)+1,"")</f>
        <v/>
      </c>
      <c r="D127">
        <f>IF(B127,MOD(A127-1,Days),"")</f>
        <v/>
      </c>
      <c r="E127" s="16">
        <f>IF(B127,StartDate+D127,"")</f>
        <v/>
      </c>
      <c r="F127">
        <f>IF(B127,MAX(MOD(SIN(Seed*0.1373+C127*12.9898+D127*78.233)*43758.5453,1),1E-9),"")</f>
        <v/>
      </c>
      <c r="G127">
        <f>IF(B127,MOD(SIN(Seed*0.5917+C127*39.3468+D127*11.135)*24634.6345,1),"")</f>
        <v/>
      </c>
      <c r="H127">
        <f>IF(B127,SQRT(-2*LN(F127))*COS(2*PI()*G127),"")</f>
        <v/>
      </c>
      <c r="I127">
        <f>IF(B127,IF(D127=0,H127,Rho*I126+SQRT(1-Rho^2)*H127),"")</f>
        <v/>
      </c>
      <c r="J127">
        <f>IF(B127,IF(Dist="Normal",DistA+DistB*I127,DistA+(DistB-DistA)*NORMSDIST(I127)),"")</f>
        <v/>
      </c>
      <c r="K127">
        <f>IF(B127,INDEX(MineScale,C127),"")</f>
        <v/>
      </c>
      <c r="L127">
        <f>IF(B127,INDEX(Dow,1,WEEKDAY(E127,2)),"")</f>
        <v/>
      </c>
      <c r="M127">
        <f>IF(B127,(1+Trend)^D127,"")</f>
        <v/>
      </c>
      <c r="N127">
        <f>IF(B127,EXP(SUMPRODUCT(LN(1+(EvEff-1)*INDEX(Affected,0,C127)*EXP(-((E127-EvCenter)^2)/(2*EvSigma^2))))),"")</f>
        <v/>
      </c>
      <c r="O127">
        <f>IF(B127,ROUND(MAX(0,J127*K127*L127*M127*N127),2),"")</f>
        <v/>
      </c>
    </row>
    <row r="128">
      <c r="A128" t="n">
        <v>127</v>
      </c>
      <c r="B128">
        <f>A128&lt;=MineCount*Days</f>
        <v/>
      </c>
      <c r="C128">
        <f>IF(B128,INT((A128-1)/Days)+1,"")</f>
        <v/>
      </c>
      <c r="D128">
        <f>IF(B128,MOD(A128-1,Days),"")</f>
        <v/>
      </c>
      <c r="E128" s="16">
        <f>IF(B128,StartDate+D128,"")</f>
        <v/>
      </c>
      <c r="F128">
        <f>IF(B128,MAX(MOD(SIN(Seed*0.1373+C128*12.9898+D128*78.233)*43758.5453,1),1E-9),"")</f>
        <v/>
      </c>
      <c r="G128">
        <f>IF(B128,MOD(SIN(Seed*0.5917+C128*39.3468+D128*11.135)*24634.6345,1),"")</f>
        <v/>
      </c>
      <c r="H128">
        <f>IF(B128,SQRT(-2*LN(F128))*COS(2*PI()*G128),"")</f>
        <v/>
      </c>
      <c r="I128">
        <f>IF(B128,IF(D128=0,H128,Rho*I127+SQRT(1-Rho^2)*H128),"")</f>
        <v/>
      </c>
      <c r="J128">
        <f>IF(B128,IF(Dist="Normal",DistA+DistB*I128,DistA+(DistB-DistA)*NORMSDIST(I128)),"")</f>
        <v/>
      </c>
      <c r="K128">
        <f>IF(B128,INDEX(MineScale,C128),"")</f>
        <v/>
      </c>
      <c r="L128">
        <f>IF(B128,INDEX(Dow,1,WEEKDAY(E128,2)),"")</f>
        <v/>
      </c>
      <c r="M128">
        <f>IF(B128,(1+Trend)^D128,"")</f>
        <v/>
      </c>
      <c r="N128">
        <f>IF(B128,EXP(SUMPRODUCT(LN(1+(EvEff-1)*INDEX(Affected,0,C128)*EXP(-((E128-EvCenter)^2)/(2*EvSigma^2))))),"")</f>
        <v/>
      </c>
      <c r="O128">
        <f>IF(B128,ROUND(MAX(0,J128*K128*L128*M128*N128),2),"")</f>
        <v/>
      </c>
    </row>
    <row r="129">
      <c r="A129" t="n">
        <v>128</v>
      </c>
      <c r="B129">
        <f>A129&lt;=MineCount*Days</f>
        <v/>
      </c>
      <c r="C129">
        <f>IF(B129,INT((A129-1)/Days)+1,"")</f>
        <v/>
      </c>
      <c r="D129">
        <f>IF(B129,MOD(A129-1,Days),"")</f>
        <v/>
      </c>
      <c r="E129" s="16">
        <f>IF(B129,StartDate+D129,"")</f>
        <v/>
      </c>
      <c r="F129">
        <f>IF(B129,MAX(MOD(SIN(Seed*0.1373+C129*12.9898+D129*78.233)*43758.5453,1),1E-9),"")</f>
        <v/>
      </c>
      <c r="G129">
        <f>IF(B129,MOD(SIN(Seed*0.5917+C129*39.3468+D129*11.135)*24634.6345,1),"")</f>
        <v/>
      </c>
      <c r="H129">
        <f>IF(B129,SQRT(-2*LN(F129))*COS(2*PI()*G129),"")</f>
        <v/>
      </c>
      <c r="I129">
        <f>IF(B129,IF(D129=0,H129,Rho*I128+SQRT(1-Rho^2)*H129),"")</f>
        <v/>
      </c>
      <c r="J129">
        <f>IF(B129,IF(Dist="Normal",DistA+DistB*I129,DistA+(DistB-DistA)*NORMSDIST(I129)),"")</f>
        <v/>
      </c>
      <c r="K129">
        <f>IF(B129,INDEX(MineScale,C129),"")</f>
        <v/>
      </c>
      <c r="L129">
        <f>IF(B129,INDEX(Dow,1,WEEKDAY(E129,2)),"")</f>
        <v/>
      </c>
      <c r="M129">
        <f>IF(B129,(1+Trend)^D129,"")</f>
        <v/>
      </c>
      <c r="N129">
        <f>IF(B129,EXP(SUMPRODUCT(LN(1+(EvEff-1)*INDEX(Affected,0,C129)*EXP(-((E129-EvCenter)^2)/(2*EvSigma^2))))),"")</f>
        <v/>
      </c>
      <c r="O129">
        <f>IF(B129,ROUND(MAX(0,J129*K129*L129*M129*N129),2),"")</f>
        <v/>
      </c>
    </row>
    <row r="130">
      <c r="A130" t="n">
        <v>129</v>
      </c>
      <c r="B130">
        <f>A130&lt;=MineCount*Days</f>
        <v/>
      </c>
      <c r="C130">
        <f>IF(B130,INT((A130-1)/Days)+1,"")</f>
        <v/>
      </c>
      <c r="D130">
        <f>IF(B130,MOD(A130-1,Days),"")</f>
        <v/>
      </c>
      <c r="E130" s="16">
        <f>IF(B130,StartDate+D130,"")</f>
        <v/>
      </c>
      <c r="F130">
        <f>IF(B130,MAX(MOD(SIN(Seed*0.1373+C130*12.9898+D130*78.233)*43758.5453,1),1E-9),"")</f>
        <v/>
      </c>
      <c r="G130">
        <f>IF(B130,MOD(SIN(Seed*0.5917+C130*39.3468+D130*11.135)*24634.6345,1),"")</f>
        <v/>
      </c>
      <c r="H130">
        <f>IF(B130,SQRT(-2*LN(F130))*COS(2*PI()*G130),"")</f>
        <v/>
      </c>
      <c r="I130">
        <f>IF(B130,IF(D130=0,H130,Rho*I129+SQRT(1-Rho^2)*H130),"")</f>
        <v/>
      </c>
      <c r="J130">
        <f>IF(B130,IF(Dist="Normal",DistA+DistB*I130,DistA+(DistB-DistA)*NORMSDIST(I130)),"")</f>
        <v/>
      </c>
      <c r="K130">
        <f>IF(B130,INDEX(MineScale,C130),"")</f>
        <v/>
      </c>
      <c r="L130">
        <f>IF(B130,INDEX(Dow,1,WEEKDAY(E130,2)),"")</f>
        <v/>
      </c>
      <c r="M130">
        <f>IF(B130,(1+Trend)^D130,"")</f>
        <v/>
      </c>
      <c r="N130">
        <f>IF(B130,EXP(SUMPRODUCT(LN(1+(EvEff-1)*INDEX(Affected,0,C130)*EXP(-((E130-EvCenter)^2)/(2*EvSigma^2))))),"")</f>
        <v/>
      </c>
      <c r="O130">
        <f>IF(B130,ROUND(MAX(0,J130*K130*L130*M130*N130),2),"")</f>
        <v/>
      </c>
    </row>
    <row r="131">
      <c r="A131" t="n">
        <v>130</v>
      </c>
      <c r="B131">
        <f>A131&lt;=MineCount*Days</f>
        <v/>
      </c>
      <c r="C131">
        <f>IF(B131,INT((A131-1)/Days)+1,"")</f>
        <v/>
      </c>
      <c r="D131">
        <f>IF(B131,MOD(A131-1,Days),"")</f>
        <v/>
      </c>
      <c r="E131" s="16">
        <f>IF(B131,StartDate+D131,"")</f>
        <v/>
      </c>
      <c r="F131">
        <f>IF(B131,MAX(MOD(SIN(Seed*0.1373+C131*12.9898+D131*78.233)*43758.5453,1),1E-9),"")</f>
        <v/>
      </c>
      <c r="G131">
        <f>IF(B131,MOD(SIN(Seed*0.5917+C131*39.3468+D131*11.135)*24634.6345,1),"")</f>
        <v/>
      </c>
      <c r="H131">
        <f>IF(B131,SQRT(-2*LN(F131))*COS(2*PI()*G131),"")</f>
        <v/>
      </c>
      <c r="I131">
        <f>IF(B131,IF(D131=0,H131,Rho*I130+SQRT(1-Rho^2)*H131),"")</f>
        <v/>
      </c>
      <c r="J131">
        <f>IF(B131,IF(Dist="Normal",DistA+DistB*I131,DistA+(DistB-DistA)*NORMSDIST(I131)),"")</f>
        <v/>
      </c>
      <c r="K131">
        <f>IF(B131,INDEX(MineScale,C131),"")</f>
        <v/>
      </c>
      <c r="L131">
        <f>IF(B131,INDEX(Dow,1,WEEKDAY(E131,2)),"")</f>
        <v/>
      </c>
      <c r="M131">
        <f>IF(B131,(1+Trend)^D131,"")</f>
        <v/>
      </c>
      <c r="N131">
        <f>IF(B131,EXP(SUMPRODUCT(LN(1+(EvEff-1)*INDEX(Affected,0,C131)*EXP(-((E131-EvCenter)^2)/(2*EvSigma^2))))),"")</f>
        <v/>
      </c>
      <c r="O131">
        <f>IF(B131,ROUND(MAX(0,J131*K131*L131*M131*N131),2),"")</f>
        <v/>
      </c>
    </row>
    <row r="132">
      <c r="A132" t="n">
        <v>131</v>
      </c>
      <c r="B132">
        <f>A132&lt;=MineCount*Days</f>
        <v/>
      </c>
      <c r="C132">
        <f>IF(B132,INT((A132-1)/Days)+1,"")</f>
        <v/>
      </c>
      <c r="D132">
        <f>IF(B132,MOD(A132-1,Days),"")</f>
        <v/>
      </c>
      <c r="E132" s="16">
        <f>IF(B132,StartDate+D132,"")</f>
        <v/>
      </c>
      <c r="F132">
        <f>IF(B132,MAX(MOD(SIN(Seed*0.1373+C132*12.9898+D132*78.233)*43758.5453,1),1E-9),"")</f>
        <v/>
      </c>
      <c r="G132">
        <f>IF(B132,MOD(SIN(Seed*0.5917+C132*39.3468+D132*11.135)*24634.6345,1),"")</f>
        <v/>
      </c>
      <c r="H132">
        <f>IF(B132,SQRT(-2*LN(F132))*COS(2*PI()*G132),"")</f>
        <v/>
      </c>
      <c r="I132">
        <f>IF(B132,IF(D132=0,H132,Rho*I131+SQRT(1-Rho^2)*H132),"")</f>
        <v/>
      </c>
      <c r="J132">
        <f>IF(B132,IF(Dist="Normal",DistA+DistB*I132,DistA+(DistB-DistA)*NORMSDIST(I132)),"")</f>
        <v/>
      </c>
      <c r="K132">
        <f>IF(B132,INDEX(MineScale,C132),"")</f>
        <v/>
      </c>
      <c r="L132">
        <f>IF(B132,INDEX(Dow,1,WEEKDAY(E132,2)),"")</f>
        <v/>
      </c>
      <c r="M132">
        <f>IF(B132,(1+Trend)^D132,"")</f>
        <v/>
      </c>
      <c r="N132">
        <f>IF(B132,EXP(SUMPRODUCT(LN(1+(EvEff-1)*INDEX(Affected,0,C132)*EXP(-((E132-EvCenter)^2)/(2*EvSigma^2))))),"")</f>
        <v/>
      </c>
      <c r="O132">
        <f>IF(B132,ROUND(MAX(0,J132*K132*L132*M132*N132),2),"")</f>
        <v/>
      </c>
    </row>
    <row r="133">
      <c r="A133" t="n">
        <v>132</v>
      </c>
      <c r="B133">
        <f>A133&lt;=MineCount*Days</f>
        <v/>
      </c>
      <c r="C133">
        <f>IF(B133,INT((A133-1)/Days)+1,"")</f>
        <v/>
      </c>
      <c r="D133">
        <f>IF(B133,MOD(A133-1,Days),"")</f>
        <v/>
      </c>
      <c r="E133" s="16">
        <f>IF(B133,StartDate+D133,"")</f>
        <v/>
      </c>
      <c r="F133">
        <f>IF(B133,MAX(MOD(SIN(Seed*0.1373+C133*12.9898+D133*78.233)*43758.5453,1),1E-9),"")</f>
        <v/>
      </c>
      <c r="G133">
        <f>IF(B133,MOD(SIN(Seed*0.5917+C133*39.3468+D133*11.135)*24634.6345,1),"")</f>
        <v/>
      </c>
      <c r="H133">
        <f>IF(B133,SQRT(-2*LN(F133))*COS(2*PI()*G133),"")</f>
        <v/>
      </c>
      <c r="I133">
        <f>IF(B133,IF(D133=0,H133,Rho*I132+SQRT(1-Rho^2)*H133),"")</f>
        <v/>
      </c>
      <c r="J133">
        <f>IF(B133,IF(Dist="Normal",DistA+DistB*I133,DistA+(DistB-DistA)*NORMSDIST(I133)),"")</f>
        <v/>
      </c>
      <c r="K133">
        <f>IF(B133,INDEX(MineScale,C133),"")</f>
        <v/>
      </c>
      <c r="L133">
        <f>IF(B133,INDEX(Dow,1,WEEKDAY(E133,2)),"")</f>
        <v/>
      </c>
      <c r="M133">
        <f>IF(B133,(1+Trend)^D133,"")</f>
        <v/>
      </c>
      <c r="N133">
        <f>IF(B133,EXP(SUMPRODUCT(LN(1+(EvEff-1)*INDEX(Affected,0,C133)*EXP(-((E133-EvCenter)^2)/(2*EvSigma^2))))),"")</f>
        <v/>
      </c>
      <c r="O133">
        <f>IF(B133,ROUND(MAX(0,J133*K133*L133*M133*N133),2),"")</f>
        <v/>
      </c>
    </row>
    <row r="134">
      <c r="A134" t="n">
        <v>133</v>
      </c>
      <c r="B134">
        <f>A134&lt;=MineCount*Days</f>
        <v/>
      </c>
      <c r="C134">
        <f>IF(B134,INT((A134-1)/Days)+1,"")</f>
        <v/>
      </c>
      <c r="D134">
        <f>IF(B134,MOD(A134-1,Days),"")</f>
        <v/>
      </c>
      <c r="E134" s="16">
        <f>IF(B134,StartDate+D134,"")</f>
        <v/>
      </c>
      <c r="F134">
        <f>IF(B134,MAX(MOD(SIN(Seed*0.1373+C134*12.9898+D134*78.233)*43758.5453,1),1E-9),"")</f>
        <v/>
      </c>
      <c r="G134">
        <f>IF(B134,MOD(SIN(Seed*0.5917+C134*39.3468+D134*11.135)*24634.6345,1),"")</f>
        <v/>
      </c>
      <c r="H134">
        <f>IF(B134,SQRT(-2*LN(F134))*COS(2*PI()*G134),"")</f>
        <v/>
      </c>
      <c r="I134">
        <f>IF(B134,IF(D134=0,H134,Rho*I133+SQRT(1-Rho^2)*H134),"")</f>
        <v/>
      </c>
      <c r="J134">
        <f>IF(B134,IF(Dist="Normal",DistA+DistB*I134,DistA+(DistB-DistA)*NORMSDIST(I134)),"")</f>
        <v/>
      </c>
      <c r="K134">
        <f>IF(B134,INDEX(MineScale,C134),"")</f>
        <v/>
      </c>
      <c r="L134">
        <f>IF(B134,INDEX(Dow,1,WEEKDAY(E134,2)),"")</f>
        <v/>
      </c>
      <c r="M134">
        <f>IF(B134,(1+Trend)^D134,"")</f>
        <v/>
      </c>
      <c r="N134">
        <f>IF(B134,EXP(SUMPRODUCT(LN(1+(EvEff-1)*INDEX(Affected,0,C134)*EXP(-((E134-EvCenter)^2)/(2*EvSigma^2))))),"")</f>
        <v/>
      </c>
      <c r="O134">
        <f>IF(B134,ROUND(MAX(0,J134*K134*L134*M134*N134),2),"")</f>
        <v/>
      </c>
    </row>
    <row r="135">
      <c r="A135" t="n">
        <v>134</v>
      </c>
      <c r="B135">
        <f>A135&lt;=MineCount*Days</f>
        <v/>
      </c>
      <c r="C135">
        <f>IF(B135,INT((A135-1)/Days)+1,"")</f>
        <v/>
      </c>
      <c r="D135">
        <f>IF(B135,MOD(A135-1,Days),"")</f>
        <v/>
      </c>
      <c r="E135" s="16">
        <f>IF(B135,StartDate+D135,"")</f>
        <v/>
      </c>
      <c r="F135">
        <f>IF(B135,MAX(MOD(SIN(Seed*0.1373+C135*12.9898+D135*78.233)*43758.5453,1),1E-9),"")</f>
        <v/>
      </c>
      <c r="G135">
        <f>IF(B135,MOD(SIN(Seed*0.5917+C135*39.3468+D135*11.135)*24634.6345,1),"")</f>
        <v/>
      </c>
      <c r="H135">
        <f>IF(B135,SQRT(-2*LN(F135))*COS(2*PI()*G135),"")</f>
        <v/>
      </c>
      <c r="I135">
        <f>IF(B135,IF(D135=0,H135,Rho*I134+SQRT(1-Rho^2)*H135),"")</f>
        <v/>
      </c>
      <c r="J135">
        <f>IF(B135,IF(Dist="Normal",DistA+DistB*I135,DistA+(DistB-DistA)*NORMSDIST(I135)),"")</f>
        <v/>
      </c>
      <c r="K135">
        <f>IF(B135,INDEX(MineScale,C135),"")</f>
        <v/>
      </c>
      <c r="L135">
        <f>IF(B135,INDEX(Dow,1,WEEKDAY(E135,2)),"")</f>
        <v/>
      </c>
      <c r="M135">
        <f>IF(B135,(1+Trend)^D135,"")</f>
        <v/>
      </c>
      <c r="N135">
        <f>IF(B135,EXP(SUMPRODUCT(LN(1+(EvEff-1)*INDEX(Affected,0,C135)*EXP(-((E135-EvCenter)^2)/(2*EvSigma^2))))),"")</f>
        <v/>
      </c>
      <c r="O135">
        <f>IF(B135,ROUND(MAX(0,J135*K135*L135*M135*N135),2),"")</f>
        <v/>
      </c>
    </row>
    <row r="136">
      <c r="A136" t="n">
        <v>135</v>
      </c>
      <c r="B136">
        <f>A136&lt;=MineCount*Days</f>
        <v/>
      </c>
      <c r="C136">
        <f>IF(B136,INT((A136-1)/Days)+1,"")</f>
        <v/>
      </c>
      <c r="D136">
        <f>IF(B136,MOD(A136-1,Days),"")</f>
        <v/>
      </c>
      <c r="E136" s="16">
        <f>IF(B136,StartDate+D136,"")</f>
        <v/>
      </c>
      <c r="F136">
        <f>IF(B136,MAX(MOD(SIN(Seed*0.1373+C136*12.9898+D136*78.233)*43758.5453,1),1E-9),"")</f>
        <v/>
      </c>
      <c r="G136">
        <f>IF(B136,MOD(SIN(Seed*0.5917+C136*39.3468+D136*11.135)*24634.6345,1),"")</f>
        <v/>
      </c>
      <c r="H136">
        <f>IF(B136,SQRT(-2*LN(F136))*COS(2*PI()*G136),"")</f>
        <v/>
      </c>
      <c r="I136">
        <f>IF(B136,IF(D136=0,H136,Rho*I135+SQRT(1-Rho^2)*H136),"")</f>
        <v/>
      </c>
      <c r="J136">
        <f>IF(B136,IF(Dist="Normal",DistA+DistB*I136,DistA+(DistB-DistA)*NORMSDIST(I136)),"")</f>
        <v/>
      </c>
      <c r="K136">
        <f>IF(B136,INDEX(MineScale,C136),"")</f>
        <v/>
      </c>
      <c r="L136">
        <f>IF(B136,INDEX(Dow,1,WEEKDAY(E136,2)),"")</f>
        <v/>
      </c>
      <c r="M136">
        <f>IF(B136,(1+Trend)^D136,"")</f>
        <v/>
      </c>
      <c r="N136">
        <f>IF(B136,EXP(SUMPRODUCT(LN(1+(EvEff-1)*INDEX(Affected,0,C136)*EXP(-((E136-EvCenter)^2)/(2*EvSigma^2))))),"")</f>
        <v/>
      </c>
      <c r="O136">
        <f>IF(B136,ROUND(MAX(0,J136*K136*L136*M136*N136),2),"")</f>
        <v/>
      </c>
    </row>
    <row r="137">
      <c r="A137" t="n">
        <v>136</v>
      </c>
      <c r="B137">
        <f>A137&lt;=MineCount*Days</f>
        <v/>
      </c>
      <c r="C137">
        <f>IF(B137,INT((A137-1)/Days)+1,"")</f>
        <v/>
      </c>
      <c r="D137">
        <f>IF(B137,MOD(A137-1,Days),"")</f>
        <v/>
      </c>
      <c r="E137" s="16">
        <f>IF(B137,StartDate+D137,"")</f>
        <v/>
      </c>
      <c r="F137">
        <f>IF(B137,MAX(MOD(SIN(Seed*0.1373+C137*12.9898+D137*78.233)*43758.5453,1),1E-9),"")</f>
        <v/>
      </c>
      <c r="G137">
        <f>IF(B137,MOD(SIN(Seed*0.5917+C137*39.3468+D137*11.135)*24634.6345,1),"")</f>
        <v/>
      </c>
      <c r="H137">
        <f>IF(B137,SQRT(-2*LN(F137))*COS(2*PI()*G137),"")</f>
        <v/>
      </c>
      <c r="I137">
        <f>IF(B137,IF(D137=0,H137,Rho*I136+SQRT(1-Rho^2)*H137),"")</f>
        <v/>
      </c>
      <c r="J137">
        <f>IF(B137,IF(Dist="Normal",DistA+DistB*I137,DistA+(DistB-DistA)*NORMSDIST(I137)),"")</f>
        <v/>
      </c>
      <c r="K137">
        <f>IF(B137,INDEX(MineScale,C137),"")</f>
        <v/>
      </c>
      <c r="L137">
        <f>IF(B137,INDEX(Dow,1,WEEKDAY(E137,2)),"")</f>
        <v/>
      </c>
      <c r="M137">
        <f>IF(B137,(1+Trend)^D137,"")</f>
        <v/>
      </c>
      <c r="N137">
        <f>IF(B137,EXP(SUMPRODUCT(LN(1+(EvEff-1)*INDEX(Affected,0,C137)*EXP(-((E137-EvCenter)^2)/(2*EvSigma^2))))),"")</f>
        <v/>
      </c>
      <c r="O137">
        <f>IF(B137,ROUND(MAX(0,J137*K137*L137*M137*N137),2),"")</f>
        <v/>
      </c>
    </row>
    <row r="138">
      <c r="A138" t="n">
        <v>137</v>
      </c>
      <c r="B138">
        <f>A138&lt;=MineCount*Days</f>
        <v/>
      </c>
      <c r="C138">
        <f>IF(B138,INT((A138-1)/Days)+1,"")</f>
        <v/>
      </c>
      <c r="D138">
        <f>IF(B138,MOD(A138-1,Days),"")</f>
        <v/>
      </c>
      <c r="E138" s="16">
        <f>IF(B138,StartDate+D138,"")</f>
        <v/>
      </c>
      <c r="F138">
        <f>IF(B138,MAX(MOD(SIN(Seed*0.1373+C138*12.9898+D138*78.233)*43758.5453,1),1E-9),"")</f>
        <v/>
      </c>
      <c r="G138">
        <f>IF(B138,MOD(SIN(Seed*0.5917+C138*39.3468+D138*11.135)*24634.6345,1),"")</f>
        <v/>
      </c>
      <c r="H138">
        <f>IF(B138,SQRT(-2*LN(F138))*COS(2*PI()*G138),"")</f>
        <v/>
      </c>
      <c r="I138">
        <f>IF(B138,IF(D138=0,H138,Rho*I137+SQRT(1-Rho^2)*H138),"")</f>
        <v/>
      </c>
      <c r="J138">
        <f>IF(B138,IF(Dist="Normal",DistA+DistB*I138,DistA+(DistB-DistA)*NORMSDIST(I138)),"")</f>
        <v/>
      </c>
      <c r="K138">
        <f>IF(B138,INDEX(MineScale,C138),"")</f>
        <v/>
      </c>
      <c r="L138">
        <f>IF(B138,INDEX(Dow,1,WEEKDAY(E138,2)),"")</f>
        <v/>
      </c>
      <c r="M138">
        <f>IF(B138,(1+Trend)^D138,"")</f>
        <v/>
      </c>
      <c r="N138">
        <f>IF(B138,EXP(SUMPRODUCT(LN(1+(EvEff-1)*INDEX(Affected,0,C138)*EXP(-((E138-EvCenter)^2)/(2*EvSigma^2))))),"")</f>
        <v/>
      </c>
      <c r="O138">
        <f>IF(B138,ROUND(MAX(0,J138*K138*L138*M138*N138),2),"")</f>
        <v/>
      </c>
    </row>
    <row r="139">
      <c r="A139" t="n">
        <v>138</v>
      </c>
      <c r="B139">
        <f>A139&lt;=MineCount*Days</f>
        <v/>
      </c>
      <c r="C139">
        <f>IF(B139,INT((A139-1)/Days)+1,"")</f>
        <v/>
      </c>
      <c r="D139">
        <f>IF(B139,MOD(A139-1,Days),"")</f>
        <v/>
      </c>
      <c r="E139" s="16">
        <f>IF(B139,StartDate+D139,"")</f>
        <v/>
      </c>
      <c r="F139">
        <f>IF(B139,MAX(MOD(SIN(Seed*0.1373+C139*12.9898+D139*78.233)*43758.5453,1),1E-9),"")</f>
        <v/>
      </c>
      <c r="G139">
        <f>IF(B139,MOD(SIN(Seed*0.5917+C139*39.3468+D139*11.135)*24634.6345,1),"")</f>
        <v/>
      </c>
      <c r="H139">
        <f>IF(B139,SQRT(-2*LN(F139))*COS(2*PI()*G139),"")</f>
        <v/>
      </c>
      <c r="I139">
        <f>IF(B139,IF(D139=0,H139,Rho*I138+SQRT(1-Rho^2)*H139),"")</f>
        <v/>
      </c>
      <c r="J139">
        <f>IF(B139,IF(Dist="Normal",DistA+DistB*I139,DistA+(DistB-DistA)*NORMSDIST(I139)),"")</f>
        <v/>
      </c>
      <c r="K139">
        <f>IF(B139,INDEX(MineScale,C139),"")</f>
        <v/>
      </c>
      <c r="L139">
        <f>IF(B139,INDEX(Dow,1,WEEKDAY(E139,2)),"")</f>
        <v/>
      </c>
      <c r="M139">
        <f>IF(B139,(1+Trend)^D139,"")</f>
        <v/>
      </c>
      <c r="N139">
        <f>IF(B139,EXP(SUMPRODUCT(LN(1+(EvEff-1)*INDEX(Affected,0,C139)*EXP(-((E139-EvCenter)^2)/(2*EvSigma^2))))),"")</f>
        <v/>
      </c>
      <c r="O139">
        <f>IF(B139,ROUND(MAX(0,J139*K139*L139*M139*N139),2),"")</f>
        <v/>
      </c>
    </row>
    <row r="140">
      <c r="A140" t="n">
        <v>139</v>
      </c>
      <c r="B140">
        <f>A140&lt;=MineCount*Days</f>
        <v/>
      </c>
      <c r="C140">
        <f>IF(B140,INT((A140-1)/Days)+1,"")</f>
        <v/>
      </c>
      <c r="D140">
        <f>IF(B140,MOD(A140-1,Days),"")</f>
        <v/>
      </c>
      <c r="E140" s="16">
        <f>IF(B140,StartDate+D140,"")</f>
        <v/>
      </c>
      <c r="F140">
        <f>IF(B140,MAX(MOD(SIN(Seed*0.1373+C140*12.9898+D140*78.233)*43758.5453,1),1E-9),"")</f>
        <v/>
      </c>
      <c r="G140">
        <f>IF(B140,MOD(SIN(Seed*0.5917+C140*39.3468+D140*11.135)*24634.6345,1),"")</f>
        <v/>
      </c>
      <c r="H140">
        <f>IF(B140,SQRT(-2*LN(F140))*COS(2*PI()*G140),"")</f>
        <v/>
      </c>
      <c r="I140">
        <f>IF(B140,IF(D140=0,H140,Rho*I139+SQRT(1-Rho^2)*H140),"")</f>
        <v/>
      </c>
      <c r="J140">
        <f>IF(B140,IF(Dist="Normal",DistA+DistB*I140,DistA+(DistB-DistA)*NORMSDIST(I140)),"")</f>
        <v/>
      </c>
      <c r="K140">
        <f>IF(B140,INDEX(MineScale,C140),"")</f>
        <v/>
      </c>
      <c r="L140">
        <f>IF(B140,INDEX(Dow,1,WEEKDAY(E140,2)),"")</f>
        <v/>
      </c>
      <c r="M140">
        <f>IF(B140,(1+Trend)^D140,"")</f>
        <v/>
      </c>
      <c r="N140">
        <f>IF(B140,EXP(SUMPRODUCT(LN(1+(EvEff-1)*INDEX(Affected,0,C140)*EXP(-((E140-EvCenter)^2)/(2*EvSigma^2))))),"")</f>
        <v/>
      </c>
      <c r="O140">
        <f>IF(B140,ROUND(MAX(0,J140*K140*L140*M140*N140),2),"")</f>
        <v/>
      </c>
    </row>
    <row r="141">
      <c r="A141" t="n">
        <v>140</v>
      </c>
      <c r="B141">
        <f>A141&lt;=MineCount*Days</f>
        <v/>
      </c>
      <c r="C141">
        <f>IF(B141,INT((A141-1)/Days)+1,"")</f>
        <v/>
      </c>
      <c r="D141">
        <f>IF(B141,MOD(A141-1,Days),"")</f>
        <v/>
      </c>
      <c r="E141" s="16">
        <f>IF(B141,StartDate+D141,"")</f>
        <v/>
      </c>
      <c r="F141">
        <f>IF(B141,MAX(MOD(SIN(Seed*0.1373+C141*12.9898+D141*78.233)*43758.5453,1),1E-9),"")</f>
        <v/>
      </c>
      <c r="G141">
        <f>IF(B141,MOD(SIN(Seed*0.5917+C141*39.3468+D141*11.135)*24634.6345,1),"")</f>
        <v/>
      </c>
      <c r="H141">
        <f>IF(B141,SQRT(-2*LN(F141))*COS(2*PI()*G141),"")</f>
        <v/>
      </c>
      <c r="I141">
        <f>IF(B141,IF(D141=0,H141,Rho*I140+SQRT(1-Rho^2)*H141),"")</f>
        <v/>
      </c>
      <c r="J141">
        <f>IF(B141,IF(Dist="Normal",DistA+DistB*I141,DistA+(DistB-DistA)*NORMSDIST(I141)),"")</f>
        <v/>
      </c>
      <c r="K141">
        <f>IF(B141,INDEX(MineScale,C141),"")</f>
        <v/>
      </c>
      <c r="L141">
        <f>IF(B141,INDEX(Dow,1,WEEKDAY(E141,2)),"")</f>
        <v/>
      </c>
      <c r="M141">
        <f>IF(B141,(1+Trend)^D141,"")</f>
        <v/>
      </c>
      <c r="N141">
        <f>IF(B141,EXP(SUMPRODUCT(LN(1+(EvEff-1)*INDEX(Affected,0,C141)*EXP(-((E141-EvCenter)^2)/(2*EvSigma^2))))),"")</f>
        <v/>
      </c>
      <c r="O141">
        <f>IF(B141,ROUND(MAX(0,J141*K141*L141*M141*N141),2),"")</f>
        <v/>
      </c>
    </row>
    <row r="142">
      <c r="A142" t="n">
        <v>141</v>
      </c>
      <c r="B142">
        <f>A142&lt;=MineCount*Days</f>
        <v/>
      </c>
      <c r="C142">
        <f>IF(B142,INT((A142-1)/Days)+1,"")</f>
        <v/>
      </c>
      <c r="D142">
        <f>IF(B142,MOD(A142-1,Days),"")</f>
        <v/>
      </c>
      <c r="E142" s="16">
        <f>IF(B142,StartDate+D142,"")</f>
        <v/>
      </c>
      <c r="F142">
        <f>IF(B142,MAX(MOD(SIN(Seed*0.1373+C142*12.9898+D142*78.233)*43758.5453,1),1E-9),"")</f>
        <v/>
      </c>
      <c r="G142">
        <f>IF(B142,MOD(SIN(Seed*0.5917+C142*39.3468+D142*11.135)*24634.6345,1),"")</f>
        <v/>
      </c>
      <c r="H142">
        <f>IF(B142,SQRT(-2*LN(F142))*COS(2*PI()*G142),"")</f>
        <v/>
      </c>
      <c r="I142">
        <f>IF(B142,IF(D142=0,H142,Rho*I141+SQRT(1-Rho^2)*H142),"")</f>
        <v/>
      </c>
      <c r="J142">
        <f>IF(B142,IF(Dist="Normal",DistA+DistB*I142,DistA+(DistB-DistA)*NORMSDIST(I142)),"")</f>
        <v/>
      </c>
      <c r="K142">
        <f>IF(B142,INDEX(MineScale,C142),"")</f>
        <v/>
      </c>
      <c r="L142">
        <f>IF(B142,INDEX(Dow,1,WEEKDAY(E142,2)),"")</f>
        <v/>
      </c>
      <c r="M142">
        <f>IF(B142,(1+Trend)^D142,"")</f>
        <v/>
      </c>
      <c r="N142">
        <f>IF(B142,EXP(SUMPRODUCT(LN(1+(EvEff-1)*INDEX(Affected,0,C142)*EXP(-((E142-EvCenter)^2)/(2*EvSigma^2))))),"")</f>
        <v/>
      </c>
      <c r="O142">
        <f>IF(B142,ROUND(MAX(0,J142*K142*L142*M142*N142),2),"")</f>
        <v/>
      </c>
    </row>
    <row r="143">
      <c r="A143" t="n">
        <v>142</v>
      </c>
      <c r="B143">
        <f>A143&lt;=MineCount*Days</f>
        <v/>
      </c>
      <c r="C143">
        <f>IF(B143,INT((A143-1)/Days)+1,"")</f>
        <v/>
      </c>
      <c r="D143">
        <f>IF(B143,MOD(A143-1,Days),"")</f>
        <v/>
      </c>
      <c r="E143" s="16">
        <f>IF(B143,StartDate+D143,"")</f>
        <v/>
      </c>
      <c r="F143">
        <f>IF(B143,MAX(MOD(SIN(Seed*0.1373+C143*12.9898+D143*78.233)*43758.5453,1),1E-9),"")</f>
        <v/>
      </c>
      <c r="G143">
        <f>IF(B143,MOD(SIN(Seed*0.5917+C143*39.3468+D143*11.135)*24634.6345,1),"")</f>
        <v/>
      </c>
      <c r="H143">
        <f>IF(B143,SQRT(-2*LN(F143))*COS(2*PI()*G143),"")</f>
        <v/>
      </c>
      <c r="I143">
        <f>IF(B143,IF(D143=0,H143,Rho*I142+SQRT(1-Rho^2)*H143),"")</f>
        <v/>
      </c>
      <c r="J143">
        <f>IF(B143,IF(Dist="Normal",DistA+DistB*I143,DistA+(DistB-DistA)*NORMSDIST(I143)),"")</f>
        <v/>
      </c>
      <c r="K143">
        <f>IF(B143,INDEX(MineScale,C143),"")</f>
        <v/>
      </c>
      <c r="L143">
        <f>IF(B143,INDEX(Dow,1,WEEKDAY(E143,2)),"")</f>
        <v/>
      </c>
      <c r="M143">
        <f>IF(B143,(1+Trend)^D143,"")</f>
        <v/>
      </c>
      <c r="N143">
        <f>IF(B143,EXP(SUMPRODUCT(LN(1+(EvEff-1)*INDEX(Affected,0,C143)*EXP(-((E143-EvCenter)^2)/(2*EvSigma^2))))),"")</f>
        <v/>
      </c>
      <c r="O143">
        <f>IF(B143,ROUND(MAX(0,J143*K143*L143*M143*N143),2),"")</f>
        <v/>
      </c>
    </row>
    <row r="144">
      <c r="A144" t="n">
        <v>143</v>
      </c>
      <c r="B144">
        <f>A144&lt;=MineCount*Days</f>
        <v/>
      </c>
      <c r="C144">
        <f>IF(B144,INT((A144-1)/Days)+1,"")</f>
        <v/>
      </c>
      <c r="D144">
        <f>IF(B144,MOD(A144-1,Days),"")</f>
        <v/>
      </c>
      <c r="E144" s="16">
        <f>IF(B144,StartDate+D144,"")</f>
        <v/>
      </c>
      <c r="F144">
        <f>IF(B144,MAX(MOD(SIN(Seed*0.1373+C144*12.9898+D144*78.233)*43758.5453,1),1E-9),"")</f>
        <v/>
      </c>
      <c r="G144">
        <f>IF(B144,MOD(SIN(Seed*0.5917+C144*39.3468+D144*11.135)*24634.6345,1),"")</f>
        <v/>
      </c>
      <c r="H144">
        <f>IF(B144,SQRT(-2*LN(F144))*COS(2*PI()*G144),"")</f>
        <v/>
      </c>
      <c r="I144">
        <f>IF(B144,IF(D144=0,H144,Rho*I143+SQRT(1-Rho^2)*H144),"")</f>
        <v/>
      </c>
      <c r="J144">
        <f>IF(B144,IF(Dist="Normal",DistA+DistB*I144,DistA+(DistB-DistA)*NORMSDIST(I144)),"")</f>
        <v/>
      </c>
      <c r="K144">
        <f>IF(B144,INDEX(MineScale,C144),"")</f>
        <v/>
      </c>
      <c r="L144">
        <f>IF(B144,INDEX(Dow,1,WEEKDAY(E144,2)),"")</f>
        <v/>
      </c>
      <c r="M144">
        <f>IF(B144,(1+Trend)^D144,"")</f>
        <v/>
      </c>
      <c r="N144">
        <f>IF(B144,EXP(SUMPRODUCT(LN(1+(EvEff-1)*INDEX(Affected,0,C144)*EXP(-((E144-EvCenter)^2)/(2*EvSigma^2))))),"")</f>
        <v/>
      </c>
      <c r="O144">
        <f>IF(B144,ROUND(MAX(0,J144*K144*L144*M144*N144),2),"")</f>
        <v/>
      </c>
    </row>
    <row r="145">
      <c r="A145" t="n">
        <v>144</v>
      </c>
      <c r="B145">
        <f>A145&lt;=MineCount*Days</f>
        <v/>
      </c>
      <c r="C145">
        <f>IF(B145,INT((A145-1)/Days)+1,"")</f>
        <v/>
      </c>
      <c r="D145">
        <f>IF(B145,MOD(A145-1,Days),"")</f>
        <v/>
      </c>
      <c r="E145" s="16">
        <f>IF(B145,StartDate+D145,"")</f>
        <v/>
      </c>
      <c r="F145">
        <f>IF(B145,MAX(MOD(SIN(Seed*0.1373+C145*12.9898+D145*78.233)*43758.5453,1),1E-9),"")</f>
        <v/>
      </c>
      <c r="G145">
        <f>IF(B145,MOD(SIN(Seed*0.5917+C145*39.3468+D145*11.135)*24634.6345,1),"")</f>
        <v/>
      </c>
      <c r="H145">
        <f>IF(B145,SQRT(-2*LN(F145))*COS(2*PI()*G145),"")</f>
        <v/>
      </c>
      <c r="I145">
        <f>IF(B145,IF(D145=0,H145,Rho*I144+SQRT(1-Rho^2)*H145),"")</f>
        <v/>
      </c>
      <c r="J145">
        <f>IF(B145,IF(Dist="Normal",DistA+DistB*I145,DistA+(DistB-DistA)*NORMSDIST(I145)),"")</f>
        <v/>
      </c>
      <c r="K145">
        <f>IF(B145,INDEX(MineScale,C145),"")</f>
        <v/>
      </c>
      <c r="L145">
        <f>IF(B145,INDEX(Dow,1,WEEKDAY(E145,2)),"")</f>
        <v/>
      </c>
      <c r="M145">
        <f>IF(B145,(1+Trend)^D145,"")</f>
        <v/>
      </c>
      <c r="N145">
        <f>IF(B145,EXP(SUMPRODUCT(LN(1+(EvEff-1)*INDEX(Affected,0,C145)*EXP(-((E145-EvCenter)^2)/(2*EvSigma^2))))),"")</f>
        <v/>
      </c>
      <c r="O145">
        <f>IF(B145,ROUND(MAX(0,J145*K145*L145*M145*N145),2),"")</f>
        <v/>
      </c>
    </row>
    <row r="146">
      <c r="A146" t="n">
        <v>145</v>
      </c>
      <c r="B146">
        <f>A146&lt;=MineCount*Days</f>
        <v/>
      </c>
      <c r="C146">
        <f>IF(B146,INT((A146-1)/Days)+1,"")</f>
        <v/>
      </c>
      <c r="D146">
        <f>IF(B146,MOD(A146-1,Days),"")</f>
        <v/>
      </c>
      <c r="E146" s="16">
        <f>IF(B146,StartDate+D146,"")</f>
        <v/>
      </c>
      <c r="F146">
        <f>IF(B146,MAX(MOD(SIN(Seed*0.1373+C146*12.9898+D146*78.233)*43758.5453,1),1E-9),"")</f>
        <v/>
      </c>
      <c r="G146">
        <f>IF(B146,MOD(SIN(Seed*0.5917+C146*39.3468+D146*11.135)*24634.6345,1),"")</f>
        <v/>
      </c>
      <c r="H146">
        <f>IF(B146,SQRT(-2*LN(F146))*COS(2*PI()*G146),"")</f>
        <v/>
      </c>
      <c r="I146">
        <f>IF(B146,IF(D146=0,H146,Rho*I145+SQRT(1-Rho^2)*H146),"")</f>
        <v/>
      </c>
      <c r="J146">
        <f>IF(B146,IF(Dist="Normal",DistA+DistB*I146,DistA+(DistB-DistA)*NORMSDIST(I146)),"")</f>
        <v/>
      </c>
      <c r="K146">
        <f>IF(B146,INDEX(MineScale,C146),"")</f>
        <v/>
      </c>
      <c r="L146">
        <f>IF(B146,INDEX(Dow,1,WEEKDAY(E146,2)),"")</f>
        <v/>
      </c>
      <c r="M146">
        <f>IF(B146,(1+Trend)^D146,"")</f>
        <v/>
      </c>
      <c r="N146">
        <f>IF(B146,EXP(SUMPRODUCT(LN(1+(EvEff-1)*INDEX(Affected,0,C146)*EXP(-((E146-EvCenter)^2)/(2*EvSigma^2))))),"")</f>
        <v/>
      </c>
      <c r="O146">
        <f>IF(B146,ROUND(MAX(0,J146*K146*L146*M146*N146),2),"")</f>
        <v/>
      </c>
    </row>
    <row r="147">
      <c r="A147" t="n">
        <v>146</v>
      </c>
      <c r="B147">
        <f>A147&lt;=MineCount*Days</f>
        <v/>
      </c>
      <c r="C147">
        <f>IF(B147,INT((A147-1)/Days)+1,"")</f>
        <v/>
      </c>
      <c r="D147">
        <f>IF(B147,MOD(A147-1,Days),"")</f>
        <v/>
      </c>
      <c r="E147" s="16">
        <f>IF(B147,StartDate+D147,"")</f>
        <v/>
      </c>
      <c r="F147">
        <f>IF(B147,MAX(MOD(SIN(Seed*0.1373+C147*12.9898+D147*78.233)*43758.5453,1),1E-9),"")</f>
        <v/>
      </c>
      <c r="G147">
        <f>IF(B147,MOD(SIN(Seed*0.5917+C147*39.3468+D147*11.135)*24634.6345,1),"")</f>
        <v/>
      </c>
      <c r="H147">
        <f>IF(B147,SQRT(-2*LN(F147))*COS(2*PI()*G147),"")</f>
        <v/>
      </c>
      <c r="I147">
        <f>IF(B147,IF(D147=0,H147,Rho*I146+SQRT(1-Rho^2)*H147),"")</f>
        <v/>
      </c>
      <c r="J147">
        <f>IF(B147,IF(Dist="Normal",DistA+DistB*I147,DistA+(DistB-DistA)*NORMSDIST(I147)),"")</f>
        <v/>
      </c>
      <c r="K147">
        <f>IF(B147,INDEX(MineScale,C147),"")</f>
        <v/>
      </c>
      <c r="L147">
        <f>IF(B147,INDEX(Dow,1,WEEKDAY(E147,2)),"")</f>
        <v/>
      </c>
      <c r="M147">
        <f>IF(B147,(1+Trend)^D147,"")</f>
        <v/>
      </c>
      <c r="N147">
        <f>IF(B147,EXP(SUMPRODUCT(LN(1+(EvEff-1)*INDEX(Affected,0,C147)*EXP(-((E147-EvCenter)^2)/(2*EvSigma^2))))),"")</f>
        <v/>
      </c>
      <c r="O147">
        <f>IF(B147,ROUND(MAX(0,J147*K147*L147*M147*N147),2),"")</f>
        <v/>
      </c>
    </row>
    <row r="148">
      <c r="A148" t="n">
        <v>147</v>
      </c>
      <c r="B148">
        <f>A148&lt;=MineCount*Days</f>
        <v/>
      </c>
      <c r="C148">
        <f>IF(B148,INT((A148-1)/Days)+1,"")</f>
        <v/>
      </c>
      <c r="D148">
        <f>IF(B148,MOD(A148-1,Days),"")</f>
        <v/>
      </c>
      <c r="E148" s="16">
        <f>IF(B148,StartDate+D148,"")</f>
        <v/>
      </c>
      <c r="F148">
        <f>IF(B148,MAX(MOD(SIN(Seed*0.1373+C148*12.9898+D148*78.233)*43758.5453,1),1E-9),"")</f>
        <v/>
      </c>
      <c r="G148">
        <f>IF(B148,MOD(SIN(Seed*0.5917+C148*39.3468+D148*11.135)*24634.6345,1),"")</f>
        <v/>
      </c>
      <c r="H148">
        <f>IF(B148,SQRT(-2*LN(F148))*COS(2*PI()*G148),"")</f>
        <v/>
      </c>
      <c r="I148">
        <f>IF(B148,IF(D148=0,H148,Rho*I147+SQRT(1-Rho^2)*H148),"")</f>
        <v/>
      </c>
      <c r="J148">
        <f>IF(B148,IF(Dist="Normal",DistA+DistB*I148,DistA+(DistB-DistA)*NORMSDIST(I148)),"")</f>
        <v/>
      </c>
      <c r="K148">
        <f>IF(B148,INDEX(MineScale,C148),"")</f>
        <v/>
      </c>
      <c r="L148">
        <f>IF(B148,INDEX(Dow,1,WEEKDAY(E148,2)),"")</f>
        <v/>
      </c>
      <c r="M148">
        <f>IF(B148,(1+Trend)^D148,"")</f>
        <v/>
      </c>
      <c r="N148">
        <f>IF(B148,EXP(SUMPRODUCT(LN(1+(EvEff-1)*INDEX(Affected,0,C148)*EXP(-((E148-EvCenter)^2)/(2*EvSigma^2))))),"")</f>
        <v/>
      </c>
      <c r="O148">
        <f>IF(B148,ROUND(MAX(0,J148*K148*L148*M148*N148),2),"")</f>
        <v/>
      </c>
    </row>
    <row r="149">
      <c r="A149" t="n">
        <v>148</v>
      </c>
      <c r="B149">
        <f>A149&lt;=MineCount*Days</f>
        <v/>
      </c>
      <c r="C149">
        <f>IF(B149,INT((A149-1)/Days)+1,"")</f>
        <v/>
      </c>
      <c r="D149">
        <f>IF(B149,MOD(A149-1,Days),"")</f>
        <v/>
      </c>
      <c r="E149" s="16">
        <f>IF(B149,StartDate+D149,"")</f>
        <v/>
      </c>
      <c r="F149">
        <f>IF(B149,MAX(MOD(SIN(Seed*0.1373+C149*12.9898+D149*78.233)*43758.5453,1),1E-9),"")</f>
        <v/>
      </c>
      <c r="G149">
        <f>IF(B149,MOD(SIN(Seed*0.5917+C149*39.3468+D149*11.135)*24634.6345,1),"")</f>
        <v/>
      </c>
      <c r="H149">
        <f>IF(B149,SQRT(-2*LN(F149))*COS(2*PI()*G149),"")</f>
        <v/>
      </c>
      <c r="I149">
        <f>IF(B149,IF(D149=0,H149,Rho*I148+SQRT(1-Rho^2)*H149),"")</f>
        <v/>
      </c>
      <c r="J149">
        <f>IF(B149,IF(Dist="Normal",DistA+DistB*I149,DistA+(DistB-DistA)*NORMSDIST(I149)),"")</f>
        <v/>
      </c>
      <c r="K149">
        <f>IF(B149,INDEX(MineScale,C149),"")</f>
        <v/>
      </c>
      <c r="L149">
        <f>IF(B149,INDEX(Dow,1,WEEKDAY(E149,2)),"")</f>
        <v/>
      </c>
      <c r="M149">
        <f>IF(B149,(1+Trend)^D149,"")</f>
        <v/>
      </c>
      <c r="N149">
        <f>IF(B149,EXP(SUMPRODUCT(LN(1+(EvEff-1)*INDEX(Affected,0,C149)*EXP(-((E149-EvCenter)^2)/(2*EvSigma^2))))),"")</f>
        <v/>
      </c>
      <c r="O149">
        <f>IF(B149,ROUND(MAX(0,J149*K149*L149*M149*N149),2),"")</f>
        <v/>
      </c>
    </row>
    <row r="150">
      <c r="A150" t="n">
        <v>149</v>
      </c>
      <c r="B150">
        <f>A150&lt;=MineCount*Days</f>
        <v/>
      </c>
      <c r="C150">
        <f>IF(B150,INT((A150-1)/Days)+1,"")</f>
        <v/>
      </c>
      <c r="D150">
        <f>IF(B150,MOD(A150-1,Days),"")</f>
        <v/>
      </c>
      <c r="E150" s="16">
        <f>IF(B150,StartDate+D150,"")</f>
        <v/>
      </c>
      <c r="F150">
        <f>IF(B150,MAX(MOD(SIN(Seed*0.1373+C150*12.9898+D150*78.233)*43758.5453,1),1E-9),"")</f>
        <v/>
      </c>
      <c r="G150">
        <f>IF(B150,MOD(SIN(Seed*0.5917+C150*39.3468+D150*11.135)*24634.6345,1),"")</f>
        <v/>
      </c>
      <c r="H150">
        <f>IF(B150,SQRT(-2*LN(F150))*COS(2*PI()*G150),"")</f>
        <v/>
      </c>
      <c r="I150">
        <f>IF(B150,IF(D150=0,H150,Rho*I149+SQRT(1-Rho^2)*H150),"")</f>
        <v/>
      </c>
      <c r="J150">
        <f>IF(B150,IF(Dist="Normal",DistA+DistB*I150,DistA+(DistB-DistA)*NORMSDIST(I150)),"")</f>
        <v/>
      </c>
      <c r="K150">
        <f>IF(B150,INDEX(MineScale,C150),"")</f>
        <v/>
      </c>
      <c r="L150">
        <f>IF(B150,INDEX(Dow,1,WEEKDAY(E150,2)),"")</f>
        <v/>
      </c>
      <c r="M150">
        <f>IF(B150,(1+Trend)^D150,"")</f>
        <v/>
      </c>
      <c r="N150">
        <f>IF(B150,EXP(SUMPRODUCT(LN(1+(EvEff-1)*INDEX(Affected,0,C150)*EXP(-((E150-EvCenter)^2)/(2*EvSigma^2))))),"")</f>
        <v/>
      </c>
      <c r="O150">
        <f>IF(B150,ROUND(MAX(0,J150*K150*L150*M150*N150),2),"")</f>
        <v/>
      </c>
    </row>
    <row r="151">
      <c r="A151" t="n">
        <v>150</v>
      </c>
      <c r="B151">
        <f>A151&lt;=MineCount*Days</f>
        <v/>
      </c>
      <c r="C151">
        <f>IF(B151,INT((A151-1)/Days)+1,"")</f>
        <v/>
      </c>
      <c r="D151">
        <f>IF(B151,MOD(A151-1,Days),"")</f>
        <v/>
      </c>
      <c r="E151" s="16">
        <f>IF(B151,StartDate+D151,"")</f>
        <v/>
      </c>
      <c r="F151">
        <f>IF(B151,MAX(MOD(SIN(Seed*0.1373+C151*12.9898+D151*78.233)*43758.5453,1),1E-9),"")</f>
        <v/>
      </c>
      <c r="G151">
        <f>IF(B151,MOD(SIN(Seed*0.5917+C151*39.3468+D151*11.135)*24634.6345,1),"")</f>
        <v/>
      </c>
      <c r="H151">
        <f>IF(B151,SQRT(-2*LN(F151))*COS(2*PI()*G151),"")</f>
        <v/>
      </c>
      <c r="I151">
        <f>IF(B151,IF(D151=0,H151,Rho*I150+SQRT(1-Rho^2)*H151),"")</f>
        <v/>
      </c>
      <c r="J151">
        <f>IF(B151,IF(Dist="Normal",DistA+DistB*I151,DistA+(DistB-DistA)*NORMSDIST(I151)),"")</f>
        <v/>
      </c>
      <c r="K151">
        <f>IF(B151,INDEX(MineScale,C151),"")</f>
        <v/>
      </c>
      <c r="L151">
        <f>IF(B151,INDEX(Dow,1,WEEKDAY(E151,2)),"")</f>
        <v/>
      </c>
      <c r="M151">
        <f>IF(B151,(1+Trend)^D151,"")</f>
        <v/>
      </c>
      <c r="N151">
        <f>IF(B151,EXP(SUMPRODUCT(LN(1+(EvEff-1)*INDEX(Affected,0,C151)*EXP(-((E151-EvCenter)^2)/(2*EvSigma^2))))),"")</f>
        <v/>
      </c>
      <c r="O151">
        <f>IF(B151,ROUND(MAX(0,J151*K151*L151*M151*N151),2),"")</f>
        <v/>
      </c>
    </row>
    <row r="152">
      <c r="A152" t="n">
        <v>151</v>
      </c>
      <c r="B152">
        <f>A152&lt;=MineCount*Days</f>
        <v/>
      </c>
      <c r="C152">
        <f>IF(B152,INT((A152-1)/Days)+1,"")</f>
        <v/>
      </c>
      <c r="D152">
        <f>IF(B152,MOD(A152-1,Days),"")</f>
        <v/>
      </c>
      <c r="E152" s="16">
        <f>IF(B152,StartDate+D152,"")</f>
        <v/>
      </c>
      <c r="F152">
        <f>IF(B152,MAX(MOD(SIN(Seed*0.1373+C152*12.9898+D152*78.233)*43758.5453,1),1E-9),"")</f>
        <v/>
      </c>
      <c r="G152">
        <f>IF(B152,MOD(SIN(Seed*0.5917+C152*39.3468+D152*11.135)*24634.6345,1),"")</f>
        <v/>
      </c>
      <c r="H152">
        <f>IF(B152,SQRT(-2*LN(F152))*COS(2*PI()*G152),"")</f>
        <v/>
      </c>
      <c r="I152">
        <f>IF(B152,IF(D152=0,H152,Rho*I151+SQRT(1-Rho^2)*H152),"")</f>
        <v/>
      </c>
      <c r="J152">
        <f>IF(B152,IF(Dist="Normal",DistA+DistB*I152,DistA+(DistB-DistA)*NORMSDIST(I152)),"")</f>
        <v/>
      </c>
      <c r="K152">
        <f>IF(B152,INDEX(MineScale,C152),"")</f>
        <v/>
      </c>
      <c r="L152">
        <f>IF(B152,INDEX(Dow,1,WEEKDAY(E152,2)),"")</f>
        <v/>
      </c>
      <c r="M152">
        <f>IF(B152,(1+Trend)^D152,"")</f>
        <v/>
      </c>
      <c r="N152">
        <f>IF(B152,EXP(SUMPRODUCT(LN(1+(EvEff-1)*INDEX(Affected,0,C152)*EXP(-((E152-EvCenter)^2)/(2*EvSigma^2))))),"")</f>
        <v/>
      </c>
      <c r="O152">
        <f>IF(B152,ROUND(MAX(0,J152*K152*L152*M152*N152),2),"")</f>
        <v/>
      </c>
    </row>
    <row r="153">
      <c r="A153" t="n">
        <v>152</v>
      </c>
      <c r="B153">
        <f>A153&lt;=MineCount*Days</f>
        <v/>
      </c>
      <c r="C153">
        <f>IF(B153,INT((A153-1)/Days)+1,"")</f>
        <v/>
      </c>
      <c r="D153">
        <f>IF(B153,MOD(A153-1,Days),"")</f>
        <v/>
      </c>
      <c r="E153" s="16">
        <f>IF(B153,StartDate+D153,"")</f>
        <v/>
      </c>
      <c r="F153">
        <f>IF(B153,MAX(MOD(SIN(Seed*0.1373+C153*12.9898+D153*78.233)*43758.5453,1),1E-9),"")</f>
        <v/>
      </c>
      <c r="G153">
        <f>IF(B153,MOD(SIN(Seed*0.5917+C153*39.3468+D153*11.135)*24634.6345,1),"")</f>
        <v/>
      </c>
      <c r="H153">
        <f>IF(B153,SQRT(-2*LN(F153))*COS(2*PI()*G153),"")</f>
        <v/>
      </c>
      <c r="I153">
        <f>IF(B153,IF(D153=0,H153,Rho*I152+SQRT(1-Rho^2)*H153),"")</f>
        <v/>
      </c>
      <c r="J153">
        <f>IF(B153,IF(Dist="Normal",DistA+DistB*I153,DistA+(DistB-DistA)*NORMSDIST(I153)),"")</f>
        <v/>
      </c>
      <c r="K153">
        <f>IF(B153,INDEX(MineScale,C153),"")</f>
        <v/>
      </c>
      <c r="L153">
        <f>IF(B153,INDEX(Dow,1,WEEKDAY(E153,2)),"")</f>
        <v/>
      </c>
      <c r="M153">
        <f>IF(B153,(1+Trend)^D153,"")</f>
        <v/>
      </c>
      <c r="N153">
        <f>IF(B153,EXP(SUMPRODUCT(LN(1+(EvEff-1)*INDEX(Affected,0,C153)*EXP(-((E153-EvCenter)^2)/(2*EvSigma^2))))),"")</f>
        <v/>
      </c>
      <c r="O153">
        <f>IF(B153,ROUND(MAX(0,J153*K153*L153*M153*N153),2),"")</f>
        <v/>
      </c>
    </row>
    <row r="154">
      <c r="A154" t="n">
        <v>153</v>
      </c>
      <c r="B154">
        <f>A154&lt;=MineCount*Days</f>
        <v/>
      </c>
      <c r="C154">
        <f>IF(B154,INT((A154-1)/Days)+1,"")</f>
        <v/>
      </c>
      <c r="D154">
        <f>IF(B154,MOD(A154-1,Days),"")</f>
        <v/>
      </c>
      <c r="E154" s="16">
        <f>IF(B154,StartDate+D154,"")</f>
        <v/>
      </c>
      <c r="F154">
        <f>IF(B154,MAX(MOD(SIN(Seed*0.1373+C154*12.9898+D154*78.233)*43758.5453,1),1E-9),"")</f>
        <v/>
      </c>
      <c r="G154">
        <f>IF(B154,MOD(SIN(Seed*0.5917+C154*39.3468+D154*11.135)*24634.6345,1),"")</f>
        <v/>
      </c>
      <c r="H154">
        <f>IF(B154,SQRT(-2*LN(F154))*COS(2*PI()*G154),"")</f>
        <v/>
      </c>
      <c r="I154">
        <f>IF(B154,IF(D154=0,H154,Rho*I153+SQRT(1-Rho^2)*H154),"")</f>
        <v/>
      </c>
      <c r="J154">
        <f>IF(B154,IF(Dist="Normal",DistA+DistB*I154,DistA+(DistB-DistA)*NORMSDIST(I154)),"")</f>
        <v/>
      </c>
      <c r="K154">
        <f>IF(B154,INDEX(MineScale,C154),"")</f>
        <v/>
      </c>
      <c r="L154">
        <f>IF(B154,INDEX(Dow,1,WEEKDAY(E154,2)),"")</f>
        <v/>
      </c>
      <c r="M154">
        <f>IF(B154,(1+Trend)^D154,"")</f>
        <v/>
      </c>
      <c r="N154">
        <f>IF(B154,EXP(SUMPRODUCT(LN(1+(EvEff-1)*INDEX(Affected,0,C154)*EXP(-((E154-EvCenter)^2)/(2*EvSigma^2))))),"")</f>
        <v/>
      </c>
      <c r="O154">
        <f>IF(B154,ROUND(MAX(0,J154*K154*L154*M154*N154),2),"")</f>
        <v/>
      </c>
    </row>
    <row r="155">
      <c r="A155" t="n">
        <v>154</v>
      </c>
      <c r="B155">
        <f>A155&lt;=MineCount*Days</f>
        <v/>
      </c>
      <c r="C155">
        <f>IF(B155,INT((A155-1)/Days)+1,"")</f>
        <v/>
      </c>
      <c r="D155">
        <f>IF(B155,MOD(A155-1,Days),"")</f>
        <v/>
      </c>
      <c r="E155" s="16">
        <f>IF(B155,StartDate+D155,"")</f>
        <v/>
      </c>
      <c r="F155">
        <f>IF(B155,MAX(MOD(SIN(Seed*0.1373+C155*12.9898+D155*78.233)*43758.5453,1),1E-9),"")</f>
        <v/>
      </c>
      <c r="G155">
        <f>IF(B155,MOD(SIN(Seed*0.5917+C155*39.3468+D155*11.135)*24634.6345,1),"")</f>
        <v/>
      </c>
      <c r="H155">
        <f>IF(B155,SQRT(-2*LN(F155))*COS(2*PI()*G155),"")</f>
        <v/>
      </c>
      <c r="I155">
        <f>IF(B155,IF(D155=0,H155,Rho*I154+SQRT(1-Rho^2)*H155),"")</f>
        <v/>
      </c>
      <c r="J155">
        <f>IF(B155,IF(Dist="Normal",DistA+DistB*I155,DistA+(DistB-DistA)*NORMSDIST(I155)),"")</f>
        <v/>
      </c>
      <c r="K155">
        <f>IF(B155,INDEX(MineScale,C155),"")</f>
        <v/>
      </c>
      <c r="L155">
        <f>IF(B155,INDEX(Dow,1,WEEKDAY(E155,2)),"")</f>
        <v/>
      </c>
      <c r="M155">
        <f>IF(B155,(1+Trend)^D155,"")</f>
        <v/>
      </c>
      <c r="N155">
        <f>IF(B155,EXP(SUMPRODUCT(LN(1+(EvEff-1)*INDEX(Affected,0,C155)*EXP(-((E155-EvCenter)^2)/(2*EvSigma^2))))),"")</f>
        <v/>
      </c>
      <c r="O155">
        <f>IF(B155,ROUND(MAX(0,J155*K155*L155*M155*N155),2),"")</f>
        <v/>
      </c>
    </row>
    <row r="156">
      <c r="A156" t="n">
        <v>155</v>
      </c>
      <c r="B156">
        <f>A156&lt;=MineCount*Days</f>
        <v/>
      </c>
      <c r="C156">
        <f>IF(B156,INT((A156-1)/Days)+1,"")</f>
        <v/>
      </c>
      <c r="D156">
        <f>IF(B156,MOD(A156-1,Days),"")</f>
        <v/>
      </c>
      <c r="E156" s="16">
        <f>IF(B156,StartDate+D156,"")</f>
        <v/>
      </c>
      <c r="F156">
        <f>IF(B156,MAX(MOD(SIN(Seed*0.1373+C156*12.9898+D156*78.233)*43758.5453,1),1E-9),"")</f>
        <v/>
      </c>
      <c r="G156">
        <f>IF(B156,MOD(SIN(Seed*0.5917+C156*39.3468+D156*11.135)*24634.6345,1),"")</f>
        <v/>
      </c>
      <c r="H156">
        <f>IF(B156,SQRT(-2*LN(F156))*COS(2*PI()*G156),"")</f>
        <v/>
      </c>
      <c r="I156">
        <f>IF(B156,IF(D156=0,H156,Rho*I155+SQRT(1-Rho^2)*H156),"")</f>
        <v/>
      </c>
      <c r="J156">
        <f>IF(B156,IF(Dist="Normal",DistA+DistB*I156,DistA+(DistB-DistA)*NORMSDIST(I156)),"")</f>
        <v/>
      </c>
      <c r="K156">
        <f>IF(B156,INDEX(MineScale,C156),"")</f>
        <v/>
      </c>
      <c r="L156">
        <f>IF(B156,INDEX(Dow,1,WEEKDAY(E156,2)),"")</f>
        <v/>
      </c>
      <c r="M156">
        <f>IF(B156,(1+Trend)^D156,"")</f>
        <v/>
      </c>
      <c r="N156">
        <f>IF(B156,EXP(SUMPRODUCT(LN(1+(EvEff-1)*INDEX(Affected,0,C156)*EXP(-((E156-EvCenter)^2)/(2*EvSigma^2))))),"")</f>
        <v/>
      </c>
      <c r="O156">
        <f>IF(B156,ROUND(MAX(0,J156*K156*L156*M156*N156),2),"")</f>
        <v/>
      </c>
    </row>
    <row r="157">
      <c r="A157" t="n">
        <v>156</v>
      </c>
      <c r="B157">
        <f>A157&lt;=MineCount*Days</f>
        <v/>
      </c>
      <c r="C157">
        <f>IF(B157,INT((A157-1)/Days)+1,"")</f>
        <v/>
      </c>
      <c r="D157">
        <f>IF(B157,MOD(A157-1,Days),"")</f>
        <v/>
      </c>
      <c r="E157" s="16">
        <f>IF(B157,StartDate+D157,"")</f>
        <v/>
      </c>
      <c r="F157">
        <f>IF(B157,MAX(MOD(SIN(Seed*0.1373+C157*12.9898+D157*78.233)*43758.5453,1),1E-9),"")</f>
        <v/>
      </c>
      <c r="G157">
        <f>IF(B157,MOD(SIN(Seed*0.5917+C157*39.3468+D157*11.135)*24634.6345,1),"")</f>
        <v/>
      </c>
      <c r="H157">
        <f>IF(B157,SQRT(-2*LN(F157))*COS(2*PI()*G157),"")</f>
        <v/>
      </c>
      <c r="I157">
        <f>IF(B157,IF(D157=0,H157,Rho*I156+SQRT(1-Rho^2)*H157),"")</f>
        <v/>
      </c>
      <c r="J157">
        <f>IF(B157,IF(Dist="Normal",DistA+DistB*I157,DistA+(DistB-DistA)*NORMSDIST(I157)),"")</f>
        <v/>
      </c>
      <c r="K157">
        <f>IF(B157,INDEX(MineScale,C157),"")</f>
        <v/>
      </c>
      <c r="L157">
        <f>IF(B157,INDEX(Dow,1,WEEKDAY(E157,2)),"")</f>
        <v/>
      </c>
      <c r="M157">
        <f>IF(B157,(1+Trend)^D157,"")</f>
        <v/>
      </c>
      <c r="N157">
        <f>IF(B157,EXP(SUMPRODUCT(LN(1+(EvEff-1)*INDEX(Affected,0,C157)*EXP(-((E157-EvCenter)^2)/(2*EvSigma^2))))),"")</f>
        <v/>
      </c>
      <c r="O157">
        <f>IF(B157,ROUND(MAX(0,J157*K157*L157*M157*N157),2),"")</f>
        <v/>
      </c>
    </row>
    <row r="158">
      <c r="A158" t="n">
        <v>157</v>
      </c>
      <c r="B158">
        <f>A158&lt;=MineCount*Days</f>
        <v/>
      </c>
      <c r="C158">
        <f>IF(B158,INT((A158-1)/Days)+1,"")</f>
        <v/>
      </c>
      <c r="D158">
        <f>IF(B158,MOD(A158-1,Days),"")</f>
        <v/>
      </c>
      <c r="E158" s="16">
        <f>IF(B158,StartDate+D158,"")</f>
        <v/>
      </c>
      <c r="F158">
        <f>IF(B158,MAX(MOD(SIN(Seed*0.1373+C158*12.9898+D158*78.233)*43758.5453,1),1E-9),"")</f>
        <v/>
      </c>
      <c r="G158">
        <f>IF(B158,MOD(SIN(Seed*0.5917+C158*39.3468+D158*11.135)*24634.6345,1),"")</f>
        <v/>
      </c>
      <c r="H158">
        <f>IF(B158,SQRT(-2*LN(F158))*COS(2*PI()*G158),"")</f>
        <v/>
      </c>
      <c r="I158">
        <f>IF(B158,IF(D158=0,H158,Rho*I157+SQRT(1-Rho^2)*H158),"")</f>
        <v/>
      </c>
      <c r="J158">
        <f>IF(B158,IF(Dist="Normal",DistA+DistB*I158,DistA+(DistB-DistA)*NORMSDIST(I158)),"")</f>
        <v/>
      </c>
      <c r="K158">
        <f>IF(B158,INDEX(MineScale,C158),"")</f>
        <v/>
      </c>
      <c r="L158">
        <f>IF(B158,INDEX(Dow,1,WEEKDAY(E158,2)),"")</f>
        <v/>
      </c>
      <c r="M158">
        <f>IF(B158,(1+Trend)^D158,"")</f>
        <v/>
      </c>
      <c r="N158">
        <f>IF(B158,EXP(SUMPRODUCT(LN(1+(EvEff-1)*INDEX(Affected,0,C158)*EXP(-((E158-EvCenter)^2)/(2*EvSigma^2))))),"")</f>
        <v/>
      </c>
      <c r="O158">
        <f>IF(B158,ROUND(MAX(0,J158*K158*L158*M158*N158),2),"")</f>
        <v/>
      </c>
    </row>
    <row r="159">
      <c r="A159" t="n">
        <v>158</v>
      </c>
      <c r="B159">
        <f>A159&lt;=MineCount*Days</f>
        <v/>
      </c>
      <c r="C159">
        <f>IF(B159,INT((A159-1)/Days)+1,"")</f>
        <v/>
      </c>
      <c r="D159">
        <f>IF(B159,MOD(A159-1,Days),"")</f>
        <v/>
      </c>
      <c r="E159" s="16">
        <f>IF(B159,StartDate+D159,"")</f>
        <v/>
      </c>
      <c r="F159">
        <f>IF(B159,MAX(MOD(SIN(Seed*0.1373+C159*12.9898+D159*78.233)*43758.5453,1),1E-9),"")</f>
        <v/>
      </c>
      <c r="G159">
        <f>IF(B159,MOD(SIN(Seed*0.5917+C159*39.3468+D159*11.135)*24634.6345,1),"")</f>
        <v/>
      </c>
      <c r="H159">
        <f>IF(B159,SQRT(-2*LN(F159))*COS(2*PI()*G159),"")</f>
        <v/>
      </c>
      <c r="I159">
        <f>IF(B159,IF(D159=0,H159,Rho*I158+SQRT(1-Rho^2)*H159),"")</f>
        <v/>
      </c>
      <c r="J159">
        <f>IF(B159,IF(Dist="Normal",DistA+DistB*I159,DistA+(DistB-DistA)*NORMSDIST(I159)),"")</f>
        <v/>
      </c>
      <c r="K159">
        <f>IF(B159,INDEX(MineScale,C159),"")</f>
        <v/>
      </c>
      <c r="L159">
        <f>IF(B159,INDEX(Dow,1,WEEKDAY(E159,2)),"")</f>
        <v/>
      </c>
      <c r="M159">
        <f>IF(B159,(1+Trend)^D159,"")</f>
        <v/>
      </c>
      <c r="N159">
        <f>IF(B159,EXP(SUMPRODUCT(LN(1+(EvEff-1)*INDEX(Affected,0,C159)*EXP(-((E159-EvCenter)^2)/(2*EvSigma^2))))),"")</f>
        <v/>
      </c>
      <c r="O159">
        <f>IF(B159,ROUND(MAX(0,J159*K159*L159*M159*N159),2),"")</f>
        <v/>
      </c>
    </row>
    <row r="160">
      <c r="A160" t="n">
        <v>159</v>
      </c>
      <c r="B160">
        <f>A160&lt;=MineCount*Days</f>
        <v/>
      </c>
      <c r="C160">
        <f>IF(B160,INT((A160-1)/Days)+1,"")</f>
        <v/>
      </c>
      <c r="D160">
        <f>IF(B160,MOD(A160-1,Days),"")</f>
        <v/>
      </c>
      <c r="E160" s="16">
        <f>IF(B160,StartDate+D160,"")</f>
        <v/>
      </c>
      <c r="F160">
        <f>IF(B160,MAX(MOD(SIN(Seed*0.1373+C160*12.9898+D160*78.233)*43758.5453,1),1E-9),"")</f>
        <v/>
      </c>
      <c r="G160">
        <f>IF(B160,MOD(SIN(Seed*0.5917+C160*39.3468+D160*11.135)*24634.6345,1),"")</f>
        <v/>
      </c>
      <c r="H160">
        <f>IF(B160,SQRT(-2*LN(F160))*COS(2*PI()*G160),"")</f>
        <v/>
      </c>
      <c r="I160">
        <f>IF(B160,IF(D160=0,H160,Rho*I159+SQRT(1-Rho^2)*H160),"")</f>
        <v/>
      </c>
      <c r="J160">
        <f>IF(B160,IF(Dist="Normal",DistA+DistB*I160,DistA+(DistB-DistA)*NORMSDIST(I160)),"")</f>
        <v/>
      </c>
      <c r="K160">
        <f>IF(B160,INDEX(MineScale,C160),"")</f>
        <v/>
      </c>
      <c r="L160">
        <f>IF(B160,INDEX(Dow,1,WEEKDAY(E160,2)),"")</f>
        <v/>
      </c>
      <c r="M160">
        <f>IF(B160,(1+Trend)^D160,"")</f>
        <v/>
      </c>
      <c r="N160">
        <f>IF(B160,EXP(SUMPRODUCT(LN(1+(EvEff-1)*INDEX(Affected,0,C160)*EXP(-((E160-EvCenter)^2)/(2*EvSigma^2))))),"")</f>
        <v/>
      </c>
      <c r="O160">
        <f>IF(B160,ROUND(MAX(0,J160*K160*L160*M160*N160),2),"")</f>
        <v/>
      </c>
    </row>
    <row r="161">
      <c r="A161" t="n">
        <v>160</v>
      </c>
      <c r="B161">
        <f>A161&lt;=MineCount*Days</f>
        <v/>
      </c>
      <c r="C161">
        <f>IF(B161,INT((A161-1)/Days)+1,"")</f>
        <v/>
      </c>
      <c r="D161">
        <f>IF(B161,MOD(A161-1,Days),"")</f>
        <v/>
      </c>
      <c r="E161" s="16">
        <f>IF(B161,StartDate+D161,"")</f>
        <v/>
      </c>
      <c r="F161">
        <f>IF(B161,MAX(MOD(SIN(Seed*0.1373+C161*12.9898+D161*78.233)*43758.5453,1),1E-9),"")</f>
        <v/>
      </c>
      <c r="G161">
        <f>IF(B161,MOD(SIN(Seed*0.5917+C161*39.3468+D161*11.135)*24634.6345,1),"")</f>
        <v/>
      </c>
      <c r="H161">
        <f>IF(B161,SQRT(-2*LN(F161))*COS(2*PI()*G161),"")</f>
        <v/>
      </c>
      <c r="I161">
        <f>IF(B161,IF(D161=0,H161,Rho*I160+SQRT(1-Rho^2)*H161),"")</f>
        <v/>
      </c>
      <c r="J161">
        <f>IF(B161,IF(Dist="Normal",DistA+DistB*I161,DistA+(DistB-DistA)*NORMSDIST(I161)),"")</f>
        <v/>
      </c>
      <c r="K161">
        <f>IF(B161,INDEX(MineScale,C161),"")</f>
        <v/>
      </c>
      <c r="L161">
        <f>IF(B161,INDEX(Dow,1,WEEKDAY(E161,2)),"")</f>
        <v/>
      </c>
      <c r="M161">
        <f>IF(B161,(1+Trend)^D161,"")</f>
        <v/>
      </c>
      <c r="N161">
        <f>IF(B161,EXP(SUMPRODUCT(LN(1+(EvEff-1)*INDEX(Affected,0,C161)*EXP(-((E161-EvCenter)^2)/(2*EvSigma^2))))),"")</f>
        <v/>
      </c>
      <c r="O161">
        <f>IF(B161,ROUND(MAX(0,J161*K161*L161*M161*N161),2),"")</f>
        <v/>
      </c>
    </row>
    <row r="162">
      <c r="A162" t="n">
        <v>161</v>
      </c>
      <c r="B162">
        <f>A162&lt;=MineCount*Days</f>
        <v/>
      </c>
      <c r="C162">
        <f>IF(B162,INT((A162-1)/Days)+1,"")</f>
        <v/>
      </c>
      <c r="D162">
        <f>IF(B162,MOD(A162-1,Days),"")</f>
        <v/>
      </c>
      <c r="E162" s="16">
        <f>IF(B162,StartDate+D162,"")</f>
        <v/>
      </c>
      <c r="F162">
        <f>IF(B162,MAX(MOD(SIN(Seed*0.1373+C162*12.9898+D162*78.233)*43758.5453,1),1E-9),"")</f>
        <v/>
      </c>
      <c r="G162">
        <f>IF(B162,MOD(SIN(Seed*0.5917+C162*39.3468+D162*11.135)*24634.6345,1),"")</f>
        <v/>
      </c>
      <c r="H162">
        <f>IF(B162,SQRT(-2*LN(F162))*COS(2*PI()*G162),"")</f>
        <v/>
      </c>
      <c r="I162">
        <f>IF(B162,IF(D162=0,H162,Rho*I161+SQRT(1-Rho^2)*H162),"")</f>
        <v/>
      </c>
      <c r="J162">
        <f>IF(B162,IF(Dist="Normal",DistA+DistB*I162,DistA+(DistB-DistA)*NORMSDIST(I162)),"")</f>
        <v/>
      </c>
      <c r="K162">
        <f>IF(B162,INDEX(MineScale,C162),"")</f>
        <v/>
      </c>
      <c r="L162">
        <f>IF(B162,INDEX(Dow,1,WEEKDAY(E162,2)),"")</f>
        <v/>
      </c>
      <c r="M162">
        <f>IF(B162,(1+Trend)^D162,"")</f>
        <v/>
      </c>
      <c r="N162">
        <f>IF(B162,EXP(SUMPRODUCT(LN(1+(EvEff-1)*INDEX(Affected,0,C162)*EXP(-((E162-EvCenter)^2)/(2*EvSigma^2))))),"")</f>
        <v/>
      </c>
      <c r="O162">
        <f>IF(B162,ROUND(MAX(0,J162*K162*L162*M162*N162),2),"")</f>
        <v/>
      </c>
    </row>
    <row r="163">
      <c r="A163" t="n">
        <v>162</v>
      </c>
      <c r="B163">
        <f>A163&lt;=MineCount*Days</f>
        <v/>
      </c>
      <c r="C163">
        <f>IF(B163,INT((A163-1)/Days)+1,"")</f>
        <v/>
      </c>
      <c r="D163">
        <f>IF(B163,MOD(A163-1,Days),"")</f>
        <v/>
      </c>
      <c r="E163" s="16">
        <f>IF(B163,StartDate+D163,"")</f>
        <v/>
      </c>
      <c r="F163">
        <f>IF(B163,MAX(MOD(SIN(Seed*0.1373+C163*12.9898+D163*78.233)*43758.5453,1),1E-9),"")</f>
        <v/>
      </c>
      <c r="G163">
        <f>IF(B163,MOD(SIN(Seed*0.5917+C163*39.3468+D163*11.135)*24634.6345,1),"")</f>
        <v/>
      </c>
      <c r="H163">
        <f>IF(B163,SQRT(-2*LN(F163))*COS(2*PI()*G163),"")</f>
        <v/>
      </c>
      <c r="I163">
        <f>IF(B163,IF(D163=0,H163,Rho*I162+SQRT(1-Rho^2)*H163),"")</f>
        <v/>
      </c>
      <c r="J163">
        <f>IF(B163,IF(Dist="Normal",DistA+DistB*I163,DistA+(DistB-DistA)*NORMSDIST(I163)),"")</f>
        <v/>
      </c>
      <c r="K163">
        <f>IF(B163,INDEX(MineScale,C163),"")</f>
        <v/>
      </c>
      <c r="L163">
        <f>IF(B163,INDEX(Dow,1,WEEKDAY(E163,2)),"")</f>
        <v/>
      </c>
      <c r="M163">
        <f>IF(B163,(1+Trend)^D163,"")</f>
        <v/>
      </c>
      <c r="N163">
        <f>IF(B163,EXP(SUMPRODUCT(LN(1+(EvEff-1)*INDEX(Affected,0,C163)*EXP(-((E163-EvCenter)^2)/(2*EvSigma^2))))),"")</f>
        <v/>
      </c>
      <c r="O163">
        <f>IF(B163,ROUND(MAX(0,J163*K163*L163*M163*N163),2),"")</f>
        <v/>
      </c>
    </row>
    <row r="164">
      <c r="A164" t="n">
        <v>163</v>
      </c>
      <c r="B164">
        <f>A164&lt;=MineCount*Days</f>
        <v/>
      </c>
      <c r="C164">
        <f>IF(B164,INT((A164-1)/Days)+1,"")</f>
        <v/>
      </c>
      <c r="D164">
        <f>IF(B164,MOD(A164-1,Days),"")</f>
        <v/>
      </c>
      <c r="E164" s="16">
        <f>IF(B164,StartDate+D164,"")</f>
        <v/>
      </c>
      <c r="F164">
        <f>IF(B164,MAX(MOD(SIN(Seed*0.1373+C164*12.9898+D164*78.233)*43758.5453,1),1E-9),"")</f>
        <v/>
      </c>
      <c r="G164">
        <f>IF(B164,MOD(SIN(Seed*0.5917+C164*39.3468+D164*11.135)*24634.6345,1),"")</f>
        <v/>
      </c>
      <c r="H164">
        <f>IF(B164,SQRT(-2*LN(F164))*COS(2*PI()*G164),"")</f>
        <v/>
      </c>
      <c r="I164">
        <f>IF(B164,IF(D164=0,H164,Rho*I163+SQRT(1-Rho^2)*H164),"")</f>
        <v/>
      </c>
      <c r="J164">
        <f>IF(B164,IF(Dist="Normal",DistA+DistB*I164,DistA+(DistB-DistA)*NORMSDIST(I164)),"")</f>
        <v/>
      </c>
      <c r="K164">
        <f>IF(B164,INDEX(MineScale,C164),"")</f>
        <v/>
      </c>
      <c r="L164">
        <f>IF(B164,INDEX(Dow,1,WEEKDAY(E164,2)),"")</f>
        <v/>
      </c>
      <c r="M164">
        <f>IF(B164,(1+Trend)^D164,"")</f>
        <v/>
      </c>
      <c r="N164">
        <f>IF(B164,EXP(SUMPRODUCT(LN(1+(EvEff-1)*INDEX(Affected,0,C164)*EXP(-((E164-EvCenter)^2)/(2*EvSigma^2))))),"")</f>
        <v/>
      </c>
      <c r="O164">
        <f>IF(B164,ROUND(MAX(0,J164*K164*L164*M164*N164),2),"")</f>
        <v/>
      </c>
    </row>
    <row r="165">
      <c r="A165" t="n">
        <v>164</v>
      </c>
      <c r="B165">
        <f>A165&lt;=MineCount*Days</f>
        <v/>
      </c>
      <c r="C165">
        <f>IF(B165,INT((A165-1)/Days)+1,"")</f>
        <v/>
      </c>
      <c r="D165">
        <f>IF(B165,MOD(A165-1,Days),"")</f>
        <v/>
      </c>
      <c r="E165" s="16">
        <f>IF(B165,StartDate+D165,"")</f>
        <v/>
      </c>
      <c r="F165">
        <f>IF(B165,MAX(MOD(SIN(Seed*0.1373+C165*12.9898+D165*78.233)*43758.5453,1),1E-9),"")</f>
        <v/>
      </c>
      <c r="G165">
        <f>IF(B165,MOD(SIN(Seed*0.5917+C165*39.3468+D165*11.135)*24634.6345,1),"")</f>
        <v/>
      </c>
      <c r="H165">
        <f>IF(B165,SQRT(-2*LN(F165))*COS(2*PI()*G165),"")</f>
        <v/>
      </c>
      <c r="I165">
        <f>IF(B165,IF(D165=0,H165,Rho*I164+SQRT(1-Rho^2)*H165),"")</f>
        <v/>
      </c>
      <c r="J165">
        <f>IF(B165,IF(Dist="Normal",DistA+DistB*I165,DistA+(DistB-DistA)*NORMSDIST(I165)),"")</f>
        <v/>
      </c>
      <c r="K165">
        <f>IF(B165,INDEX(MineScale,C165),"")</f>
        <v/>
      </c>
      <c r="L165">
        <f>IF(B165,INDEX(Dow,1,WEEKDAY(E165,2)),"")</f>
        <v/>
      </c>
      <c r="M165">
        <f>IF(B165,(1+Trend)^D165,"")</f>
        <v/>
      </c>
      <c r="N165">
        <f>IF(B165,EXP(SUMPRODUCT(LN(1+(EvEff-1)*INDEX(Affected,0,C165)*EXP(-((E165-EvCenter)^2)/(2*EvSigma^2))))),"")</f>
        <v/>
      </c>
      <c r="O165">
        <f>IF(B165,ROUND(MAX(0,J165*K165*L165*M165*N165),2),"")</f>
        <v/>
      </c>
    </row>
    <row r="166">
      <c r="A166" t="n">
        <v>165</v>
      </c>
      <c r="B166">
        <f>A166&lt;=MineCount*Days</f>
        <v/>
      </c>
      <c r="C166">
        <f>IF(B166,INT((A166-1)/Days)+1,"")</f>
        <v/>
      </c>
      <c r="D166">
        <f>IF(B166,MOD(A166-1,Days),"")</f>
        <v/>
      </c>
      <c r="E166" s="16">
        <f>IF(B166,StartDate+D166,"")</f>
        <v/>
      </c>
      <c r="F166">
        <f>IF(B166,MAX(MOD(SIN(Seed*0.1373+C166*12.9898+D166*78.233)*43758.5453,1),1E-9),"")</f>
        <v/>
      </c>
      <c r="G166">
        <f>IF(B166,MOD(SIN(Seed*0.5917+C166*39.3468+D166*11.135)*24634.6345,1),"")</f>
        <v/>
      </c>
      <c r="H166">
        <f>IF(B166,SQRT(-2*LN(F166))*COS(2*PI()*G166),"")</f>
        <v/>
      </c>
      <c r="I166">
        <f>IF(B166,IF(D166=0,H166,Rho*I165+SQRT(1-Rho^2)*H166),"")</f>
        <v/>
      </c>
      <c r="J166">
        <f>IF(B166,IF(Dist="Normal",DistA+DistB*I166,DistA+(DistB-DistA)*NORMSDIST(I166)),"")</f>
        <v/>
      </c>
      <c r="K166">
        <f>IF(B166,INDEX(MineScale,C166),"")</f>
        <v/>
      </c>
      <c r="L166">
        <f>IF(B166,INDEX(Dow,1,WEEKDAY(E166,2)),"")</f>
        <v/>
      </c>
      <c r="M166">
        <f>IF(B166,(1+Trend)^D166,"")</f>
        <v/>
      </c>
      <c r="N166">
        <f>IF(B166,EXP(SUMPRODUCT(LN(1+(EvEff-1)*INDEX(Affected,0,C166)*EXP(-((E166-EvCenter)^2)/(2*EvSigma^2))))),"")</f>
        <v/>
      </c>
      <c r="O166">
        <f>IF(B166,ROUND(MAX(0,J166*K166*L166*M166*N166),2),"")</f>
        <v/>
      </c>
    </row>
    <row r="167">
      <c r="A167" t="n">
        <v>166</v>
      </c>
      <c r="B167">
        <f>A167&lt;=MineCount*Days</f>
        <v/>
      </c>
      <c r="C167">
        <f>IF(B167,INT((A167-1)/Days)+1,"")</f>
        <v/>
      </c>
      <c r="D167">
        <f>IF(B167,MOD(A167-1,Days),"")</f>
        <v/>
      </c>
      <c r="E167" s="16">
        <f>IF(B167,StartDate+D167,"")</f>
        <v/>
      </c>
      <c r="F167">
        <f>IF(B167,MAX(MOD(SIN(Seed*0.1373+C167*12.9898+D167*78.233)*43758.5453,1),1E-9),"")</f>
        <v/>
      </c>
      <c r="G167">
        <f>IF(B167,MOD(SIN(Seed*0.5917+C167*39.3468+D167*11.135)*24634.6345,1),"")</f>
        <v/>
      </c>
      <c r="H167">
        <f>IF(B167,SQRT(-2*LN(F167))*COS(2*PI()*G167),"")</f>
        <v/>
      </c>
      <c r="I167">
        <f>IF(B167,IF(D167=0,H167,Rho*I166+SQRT(1-Rho^2)*H167),"")</f>
        <v/>
      </c>
      <c r="J167">
        <f>IF(B167,IF(Dist="Normal",DistA+DistB*I167,DistA+(DistB-DistA)*NORMSDIST(I167)),"")</f>
        <v/>
      </c>
      <c r="K167">
        <f>IF(B167,INDEX(MineScale,C167),"")</f>
        <v/>
      </c>
      <c r="L167">
        <f>IF(B167,INDEX(Dow,1,WEEKDAY(E167,2)),"")</f>
        <v/>
      </c>
      <c r="M167">
        <f>IF(B167,(1+Trend)^D167,"")</f>
        <v/>
      </c>
      <c r="N167">
        <f>IF(B167,EXP(SUMPRODUCT(LN(1+(EvEff-1)*INDEX(Affected,0,C167)*EXP(-((E167-EvCenter)^2)/(2*EvSigma^2))))),"")</f>
        <v/>
      </c>
      <c r="O167">
        <f>IF(B167,ROUND(MAX(0,J167*K167*L167*M167*N167),2),"")</f>
        <v/>
      </c>
    </row>
    <row r="168">
      <c r="A168" t="n">
        <v>167</v>
      </c>
      <c r="B168">
        <f>A168&lt;=MineCount*Days</f>
        <v/>
      </c>
      <c r="C168">
        <f>IF(B168,INT((A168-1)/Days)+1,"")</f>
        <v/>
      </c>
      <c r="D168">
        <f>IF(B168,MOD(A168-1,Days),"")</f>
        <v/>
      </c>
      <c r="E168" s="16">
        <f>IF(B168,StartDate+D168,"")</f>
        <v/>
      </c>
      <c r="F168">
        <f>IF(B168,MAX(MOD(SIN(Seed*0.1373+C168*12.9898+D168*78.233)*43758.5453,1),1E-9),"")</f>
        <v/>
      </c>
      <c r="G168">
        <f>IF(B168,MOD(SIN(Seed*0.5917+C168*39.3468+D168*11.135)*24634.6345,1),"")</f>
        <v/>
      </c>
      <c r="H168">
        <f>IF(B168,SQRT(-2*LN(F168))*COS(2*PI()*G168),"")</f>
        <v/>
      </c>
      <c r="I168">
        <f>IF(B168,IF(D168=0,H168,Rho*I167+SQRT(1-Rho^2)*H168),"")</f>
        <v/>
      </c>
      <c r="J168">
        <f>IF(B168,IF(Dist="Normal",DistA+DistB*I168,DistA+(DistB-DistA)*NORMSDIST(I168)),"")</f>
        <v/>
      </c>
      <c r="K168">
        <f>IF(B168,INDEX(MineScale,C168),"")</f>
        <v/>
      </c>
      <c r="L168">
        <f>IF(B168,INDEX(Dow,1,WEEKDAY(E168,2)),"")</f>
        <v/>
      </c>
      <c r="M168">
        <f>IF(B168,(1+Trend)^D168,"")</f>
        <v/>
      </c>
      <c r="N168">
        <f>IF(B168,EXP(SUMPRODUCT(LN(1+(EvEff-1)*INDEX(Affected,0,C168)*EXP(-((E168-EvCenter)^2)/(2*EvSigma^2))))),"")</f>
        <v/>
      </c>
      <c r="O168">
        <f>IF(B168,ROUND(MAX(0,J168*K168*L168*M168*N168),2),"")</f>
        <v/>
      </c>
    </row>
    <row r="169">
      <c r="A169" t="n">
        <v>168</v>
      </c>
      <c r="B169">
        <f>A169&lt;=MineCount*Days</f>
        <v/>
      </c>
      <c r="C169">
        <f>IF(B169,INT((A169-1)/Days)+1,"")</f>
        <v/>
      </c>
      <c r="D169">
        <f>IF(B169,MOD(A169-1,Days),"")</f>
        <v/>
      </c>
      <c r="E169" s="16">
        <f>IF(B169,StartDate+D169,"")</f>
        <v/>
      </c>
      <c r="F169">
        <f>IF(B169,MAX(MOD(SIN(Seed*0.1373+C169*12.9898+D169*78.233)*43758.5453,1),1E-9),"")</f>
        <v/>
      </c>
      <c r="G169">
        <f>IF(B169,MOD(SIN(Seed*0.5917+C169*39.3468+D169*11.135)*24634.6345,1),"")</f>
        <v/>
      </c>
      <c r="H169">
        <f>IF(B169,SQRT(-2*LN(F169))*COS(2*PI()*G169),"")</f>
        <v/>
      </c>
      <c r="I169">
        <f>IF(B169,IF(D169=0,H169,Rho*I168+SQRT(1-Rho^2)*H169),"")</f>
        <v/>
      </c>
      <c r="J169">
        <f>IF(B169,IF(Dist="Normal",DistA+DistB*I169,DistA+(DistB-DistA)*NORMSDIST(I169)),"")</f>
        <v/>
      </c>
      <c r="K169">
        <f>IF(B169,INDEX(MineScale,C169),"")</f>
        <v/>
      </c>
      <c r="L169">
        <f>IF(B169,INDEX(Dow,1,WEEKDAY(E169,2)),"")</f>
        <v/>
      </c>
      <c r="M169">
        <f>IF(B169,(1+Trend)^D169,"")</f>
        <v/>
      </c>
      <c r="N169">
        <f>IF(B169,EXP(SUMPRODUCT(LN(1+(EvEff-1)*INDEX(Affected,0,C169)*EXP(-((E169-EvCenter)^2)/(2*EvSigma^2))))),"")</f>
        <v/>
      </c>
      <c r="O169">
        <f>IF(B169,ROUND(MAX(0,J169*K169*L169*M169*N169),2),"")</f>
        <v/>
      </c>
    </row>
    <row r="170">
      <c r="A170" t="n">
        <v>169</v>
      </c>
      <c r="B170">
        <f>A170&lt;=MineCount*Days</f>
        <v/>
      </c>
      <c r="C170">
        <f>IF(B170,INT((A170-1)/Days)+1,"")</f>
        <v/>
      </c>
      <c r="D170">
        <f>IF(B170,MOD(A170-1,Days),"")</f>
        <v/>
      </c>
      <c r="E170" s="16">
        <f>IF(B170,StartDate+D170,"")</f>
        <v/>
      </c>
      <c r="F170">
        <f>IF(B170,MAX(MOD(SIN(Seed*0.1373+C170*12.9898+D170*78.233)*43758.5453,1),1E-9),"")</f>
        <v/>
      </c>
      <c r="G170">
        <f>IF(B170,MOD(SIN(Seed*0.5917+C170*39.3468+D170*11.135)*24634.6345,1),"")</f>
        <v/>
      </c>
      <c r="H170">
        <f>IF(B170,SQRT(-2*LN(F170))*COS(2*PI()*G170),"")</f>
        <v/>
      </c>
      <c r="I170">
        <f>IF(B170,IF(D170=0,H170,Rho*I169+SQRT(1-Rho^2)*H170),"")</f>
        <v/>
      </c>
      <c r="J170">
        <f>IF(B170,IF(Dist="Normal",DistA+DistB*I170,DistA+(DistB-DistA)*NORMSDIST(I170)),"")</f>
        <v/>
      </c>
      <c r="K170">
        <f>IF(B170,INDEX(MineScale,C170),"")</f>
        <v/>
      </c>
      <c r="L170">
        <f>IF(B170,INDEX(Dow,1,WEEKDAY(E170,2)),"")</f>
        <v/>
      </c>
      <c r="M170">
        <f>IF(B170,(1+Trend)^D170,"")</f>
        <v/>
      </c>
      <c r="N170">
        <f>IF(B170,EXP(SUMPRODUCT(LN(1+(EvEff-1)*INDEX(Affected,0,C170)*EXP(-((E170-EvCenter)^2)/(2*EvSigma^2))))),"")</f>
        <v/>
      </c>
      <c r="O170">
        <f>IF(B170,ROUND(MAX(0,J170*K170*L170*M170*N170),2),"")</f>
        <v/>
      </c>
    </row>
    <row r="171">
      <c r="A171" t="n">
        <v>170</v>
      </c>
      <c r="B171">
        <f>A171&lt;=MineCount*Days</f>
        <v/>
      </c>
      <c r="C171">
        <f>IF(B171,INT((A171-1)/Days)+1,"")</f>
        <v/>
      </c>
      <c r="D171">
        <f>IF(B171,MOD(A171-1,Days),"")</f>
        <v/>
      </c>
      <c r="E171" s="16">
        <f>IF(B171,StartDate+D171,"")</f>
        <v/>
      </c>
      <c r="F171">
        <f>IF(B171,MAX(MOD(SIN(Seed*0.1373+C171*12.9898+D171*78.233)*43758.5453,1),1E-9),"")</f>
        <v/>
      </c>
      <c r="G171">
        <f>IF(B171,MOD(SIN(Seed*0.5917+C171*39.3468+D171*11.135)*24634.6345,1),"")</f>
        <v/>
      </c>
      <c r="H171">
        <f>IF(B171,SQRT(-2*LN(F171))*COS(2*PI()*G171),"")</f>
        <v/>
      </c>
      <c r="I171">
        <f>IF(B171,IF(D171=0,H171,Rho*I170+SQRT(1-Rho^2)*H171),"")</f>
        <v/>
      </c>
      <c r="J171">
        <f>IF(B171,IF(Dist="Normal",DistA+DistB*I171,DistA+(DistB-DistA)*NORMSDIST(I171)),"")</f>
        <v/>
      </c>
      <c r="K171">
        <f>IF(B171,INDEX(MineScale,C171),"")</f>
        <v/>
      </c>
      <c r="L171">
        <f>IF(B171,INDEX(Dow,1,WEEKDAY(E171,2)),"")</f>
        <v/>
      </c>
      <c r="M171">
        <f>IF(B171,(1+Trend)^D171,"")</f>
        <v/>
      </c>
      <c r="N171">
        <f>IF(B171,EXP(SUMPRODUCT(LN(1+(EvEff-1)*INDEX(Affected,0,C171)*EXP(-((E171-EvCenter)^2)/(2*EvSigma^2))))),"")</f>
        <v/>
      </c>
      <c r="O171">
        <f>IF(B171,ROUND(MAX(0,J171*K171*L171*M171*N171),2),"")</f>
        <v/>
      </c>
    </row>
    <row r="172">
      <c r="A172" t="n">
        <v>171</v>
      </c>
      <c r="B172">
        <f>A172&lt;=MineCount*Days</f>
        <v/>
      </c>
      <c r="C172">
        <f>IF(B172,INT((A172-1)/Days)+1,"")</f>
        <v/>
      </c>
      <c r="D172">
        <f>IF(B172,MOD(A172-1,Days),"")</f>
        <v/>
      </c>
      <c r="E172" s="16">
        <f>IF(B172,StartDate+D172,"")</f>
        <v/>
      </c>
      <c r="F172">
        <f>IF(B172,MAX(MOD(SIN(Seed*0.1373+C172*12.9898+D172*78.233)*43758.5453,1),1E-9),"")</f>
        <v/>
      </c>
      <c r="G172">
        <f>IF(B172,MOD(SIN(Seed*0.5917+C172*39.3468+D172*11.135)*24634.6345,1),"")</f>
        <v/>
      </c>
      <c r="H172">
        <f>IF(B172,SQRT(-2*LN(F172))*COS(2*PI()*G172),"")</f>
        <v/>
      </c>
      <c r="I172">
        <f>IF(B172,IF(D172=0,H172,Rho*I171+SQRT(1-Rho^2)*H172),"")</f>
        <v/>
      </c>
      <c r="J172">
        <f>IF(B172,IF(Dist="Normal",DistA+DistB*I172,DistA+(DistB-DistA)*NORMSDIST(I172)),"")</f>
        <v/>
      </c>
      <c r="K172">
        <f>IF(B172,INDEX(MineScale,C172),"")</f>
        <v/>
      </c>
      <c r="L172">
        <f>IF(B172,INDEX(Dow,1,WEEKDAY(E172,2)),"")</f>
        <v/>
      </c>
      <c r="M172">
        <f>IF(B172,(1+Trend)^D172,"")</f>
        <v/>
      </c>
      <c r="N172">
        <f>IF(B172,EXP(SUMPRODUCT(LN(1+(EvEff-1)*INDEX(Affected,0,C172)*EXP(-((E172-EvCenter)^2)/(2*EvSigma^2))))),"")</f>
        <v/>
      </c>
      <c r="O172">
        <f>IF(B172,ROUND(MAX(0,J172*K172*L172*M172*N172),2),"")</f>
        <v/>
      </c>
    </row>
    <row r="173">
      <c r="A173" t="n">
        <v>172</v>
      </c>
      <c r="B173">
        <f>A173&lt;=MineCount*Days</f>
        <v/>
      </c>
      <c r="C173">
        <f>IF(B173,INT((A173-1)/Days)+1,"")</f>
        <v/>
      </c>
      <c r="D173">
        <f>IF(B173,MOD(A173-1,Days),"")</f>
        <v/>
      </c>
      <c r="E173" s="16">
        <f>IF(B173,StartDate+D173,"")</f>
        <v/>
      </c>
      <c r="F173">
        <f>IF(B173,MAX(MOD(SIN(Seed*0.1373+C173*12.9898+D173*78.233)*43758.5453,1),1E-9),"")</f>
        <v/>
      </c>
      <c r="G173">
        <f>IF(B173,MOD(SIN(Seed*0.5917+C173*39.3468+D173*11.135)*24634.6345,1),"")</f>
        <v/>
      </c>
      <c r="H173">
        <f>IF(B173,SQRT(-2*LN(F173))*COS(2*PI()*G173),"")</f>
        <v/>
      </c>
      <c r="I173">
        <f>IF(B173,IF(D173=0,H173,Rho*I172+SQRT(1-Rho^2)*H173),"")</f>
        <v/>
      </c>
      <c r="J173">
        <f>IF(B173,IF(Dist="Normal",DistA+DistB*I173,DistA+(DistB-DistA)*NORMSDIST(I173)),"")</f>
        <v/>
      </c>
      <c r="K173">
        <f>IF(B173,INDEX(MineScale,C173),"")</f>
        <v/>
      </c>
      <c r="L173">
        <f>IF(B173,INDEX(Dow,1,WEEKDAY(E173,2)),"")</f>
        <v/>
      </c>
      <c r="M173">
        <f>IF(B173,(1+Trend)^D173,"")</f>
        <v/>
      </c>
      <c r="N173">
        <f>IF(B173,EXP(SUMPRODUCT(LN(1+(EvEff-1)*INDEX(Affected,0,C173)*EXP(-((E173-EvCenter)^2)/(2*EvSigma^2))))),"")</f>
        <v/>
      </c>
      <c r="O173">
        <f>IF(B173,ROUND(MAX(0,J173*K173*L173*M173*N173),2),"")</f>
        <v/>
      </c>
    </row>
    <row r="174">
      <c r="A174" t="n">
        <v>173</v>
      </c>
      <c r="B174">
        <f>A174&lt;=MineCount*Days</f>
        <v/>
      </c>
      <c r="C174">
        <f>IF(B174,INT((A174-1)/Days)+1,"")</f>
        <v/>
      </c>
      <c r="D174">
        <f>IF(B174,MOD(A174-1,Days),"")</f>
        <v/>
      </c>
      <c r="E174" s="16">
        <f>IF(B174,StartDate+D174,"")</f>
        <v/>
      </c>
      <c r="F174">
        <f>IF(B174,MAX(MOD(SIN(Seed*0.1373+C174*12.9898+D174*78.233)*43758.5453,1),1E-9),"")</f>
        <v/>
      </c>
      <c r="G174">
        <f>IF(B174,MOD(SIN(Seed*0.5917+C174*39.3468+D174*11.135)*24634.6345,1),"")</f>
        <v/>
      </c>
      <c r="H174">
        <f>IF(B174,SQRT(-2*LN(F174))*COS(2*PI()*G174),"")</f>
        <v/>
      </c>
      <c r="I174">
        <f>IF(B174,IF(D174=0,H174,Rho*I173+SQRT(1-Rho^2)*H174),"")</f>
        <v/>
      </c>
      <c r="J174">
        <f>IF(B174,IF(Dist="Normal",DistA+DistB*I174,DistA+(DistB-DistA)*NORMSDIST(I174)),"")</f>
        <v/>
      </c>
      <c r="K174">
        <f>IF(B174,INDEX(MineScale,C174),"")</f>
        <v/>
      </c>
      <c r="L174">
        <f>IF(B174,INDEX(Dow,1,WEEKDAY(E174,2)),"")</f>
        <v/>
      </c>
      <c r="M174">
        <f>IF(B174,(1+Trend)^D174,"")</f>
        <v/>
      </c>
      <c r="N174">
        <f>IF(B174,EXP(SUMPRODUCT(LN(1+(EvEff-1)*INDEX(Affected,0,C174)*EXP(-((E174-EvCenter)^2)/(2*EvSigma^2))))),"")</f>
        <v/>
      </c>
      <c r="O174">
        <f>IF(B174,ROUND(MAX(0,J174*K174*L174*M174*N174),2),"")</f>
        <v/>
      </c>
    </row>
    <row r="175">
      <c r="A175" t="n">
        <v>174</v>
      </c>
      <c r="B175">
        <f>A175&lt;=MineCount*Days</f>
        <v/>
      </c>
      <c r="C175">
        <f>IF(B175,INT((A175-1)/Days)+1,"")</f>
        <v/>
      </c>
      <c r="D175">
        <f>IF(B175,MOD(A175-1,Days),"")</f>
        <v/>
      </c>
      <c r="E175" s="16">
        <f>IF(B175,StartDate+D175,"")</f>
        <v/>
      </c>
      <c r="F175">
        <f>IF(B175,MAX(MOD(SIN(Seed*0.1373+C175*12.9898+D175*78.233)*43758.5453,1),1E-9),"")</f>
        <v/>
      </c>
      <c r="G175">
        <f>IF(B175,MOD(SIN(Seed*0.5917+C175*39.3468+D175*11.135)*24634.6345,1),"")</f>
        <v/>
      </c>
      <c r="H175">
        <f>IF(B175,SQRT(-2*LN(F175))*COS(2*PI()*G175),"")</f>
        <v/>
      </c>
      <c r="I175">
        <f>IF(B175,IF(D175=0,H175,Rho*I174+SQRT(1-Rho^2)*H175),"")</f>
        <v/>
      </c>
      <c r="J175">
        <f>IF(B175,IF(Dist="Normal",DistA+DistB*I175,DistA+(DistB-DistA)*NORMSDIST(I175)),"")</f>
        <v/>
      </c>
      <c r="K175">
        <f>IF(B175,INDEX(MineScale,C175),"")</f>
        <v/>
      </c>
      <c r="L175">
        <f>IF(B175,INDEX(Dow,1,WEEKDAY(E175,2)),"")</f>
        <v/>
      </c>
      <c r="M175">
        <f>IF(B175,(1+Trend)^D175,"")</f>
        <v/>
      </c>
      <c r="N175">
        <f>IF(B175,EXP(SUMPRODUCT(LN(1+(EvEff-1)*INDEX(Affected,0,C175)*EXP(-((E175-EvCenter)^2)/(2*EvSigma^2))))),"")</f>
        <v/>
      </c>
      <c r="O175">
        <f>IF(B175,ROUND(MAX(0,J175*K175*L175*M175*N175),2),"")</f>
        <v/>
      </c>
    </row>
    <row r="176">
      <c r="A176" t="n">
        <v>175</v>
      </c>
      <c r="B176">
        <f>A176&lt;=MineCount*Days</f>
        <v/>
      </c>
      <c r="C176">
        <f>IF(B176,INT((A176-1)/Days)+1,"")</f>
        <v/>
      </c>
      <c r="D176">
        <f>IF(B176,MOD(A176-1,Days),"")</f>
        <v/>
      </c>
      <c r="E176" s="16">
        <f>IF(B176,StartDate+D176,"")</f>
        <v/>
      </c>
      <c r="F176">
        <f>IF(B176,MAX(MOD(SIN(Seed*0.1373+C176*12.9898+D176*78.233)*43758.5453,1),1E-9),"")</f>
        <v/>
      </c>
      <c r="G176">
        <f>IF(B176,MOD(SIN(Seed*0.5917+C176*39.3468+D176*11.135)*24634.6345,1),"")</f>
        <v/>
      </c>
      <c r="H176">
        <f>IF(B176,SQRT(-2*LN(F176))*COS(2*PI()*G176),"")</f>
        <v/>
      </c>
      <c r="I176">
        <f>IF(B176,IF(D176=0,H176,Rho*I175+SQRT(1-Rho^2)*H176),"")</f>
        <v/>
      </c>
      <c r="J176">
        <f>IF(B176,IF(Dist="Normal",DistA+DistB*I176,DistA+(DistB-DistA)*NORMSDIST(I176)),"")</f>
        <v/>
      </c>
      <c r="K176">
        <f>IF(B176,INDEX(MineScale,C176),"")</f>
        <v/>
      </c>
      <c r="L176">
        <f>IF(B176,INDEX(Dow,1,WEEKDAY(E176,2)),"")</f>
        <v/>
      </c>
      <c r="M176">
        <f>IF(B176,(1+Trend)^D176,"")</f>
        <v/>
      </c>
      <c r="N176">
        <f>IF(B176,EXP(SUMPRODUCT(LN(1+(EvEff-1)*INDEX(Affected,0,C176)*EXP(-((E176-EvCenter)^2)/(2*EvSigma^2))))),"")</f>
        <v/>
      </c>
      <c r="O176">
        <f>IF(B176,ROUND(MAX(0,J176*K176*L176*M176*N176),2),"")</f>
        <v/>
      </c>
    </row>
    <row r="177">
      <c r="A177" t="n">
        <v>176</v>
      </c>
      <c r="B177">
        <f>A177&lt;=MineCount*Days</f>
        <v/>
      </c>
      <c r="C177">
        <f>IF(B177,INT((A177-1)/Days)+1,"")</f>
        <v/>
      </c>
      <c r="D177">
        <f>IF(B177,MOD(A177-1,Days),"")</f>
        <v/>
      </c>
      <c r="E177" s="16">
        <f>IF(B177,StartDate+D177,"")</f>
        <v/>
      </c>
      <c r="F177">
        <f>IF(B177,MAX(MOD(SIN(Seed*0.1373+C177*12.9898+D177*78.233)*43758.5453,1),1E-9),"")</f>
        <v/>
      </c>
      <c r="G177">
        <f>IF(B177,MOD(SIN(Seed*0.5917+C177*39.3468+D177*11.135)*24634.6345,1),"")</f>
        <v/>
      </c>
      <c r="H177">
        <f>IF(B177,SQRT(-2*LN(F177))*COS(2*PI()*G177),"")</f>
        <v/>
      </c>
      <c r="I177">
        <f>IF(B177,IF(D177=0,H177,Rho*I176+SQRT(1-Rho^2)*H177),"")</f>
        <v/>
      </c>
      <c r="J177">
        <f>IF(B177,IF(Dist="Normal",DistA+DistB*I177,DistA+(DistB-DistA)*NORMSDIST(I177)),"")</f>
        <v/>
      </c>
      <c r="K177">
        <f>IF(B177,INDEX(MineScale,C177),"")</f>
        <v/>
      </c>
      <c r="L177">
        <f>IF(B177,INDEX(Dow,1,WEEKDAY(E177,2)),"")</f>
        <v/>
      </c>
      <c r="M177">
        <f>IF(B177,(1+Trend)^D177,"")</f>
        <v/>
      </c>
      <c r="N177">
        <f>IF(B177,EXP(SUMPRODUCT(LN(1+(EvEff-1)*INDEX(Affected,0,C177)*EXP(-((E177-EvCenter)^2)/(2*EvSigma^2))))),"")</f>
        <v/>
      </c>
      <c r="O177">
        <f>IF(B177,ROUND(MAX(0,J177*K177*L177*M177*N177),2),"")</f>
        <v/>
      </c>
    </row>
    <row r="178">
      <c r="A178" t="n">
        <v>177</v>
      </c>
      <c r="B178">
        <f>A178&lt;=MineCount*Days</f>
        <v/>
      </c>
      <c r="C178">
        <f>IF(B178,INT((A178-1)/Days)+1,"")</f>
        <v/>
      </c>
      <c r="D178">
        <f>IF(B178,MOD(A178-1,Days),"")</f>
        <v/>
      </c>
      <c r="E178" s="16">
        <f>IF(B178,StartDate+D178,"")</f>
        <v/>
      </c>
      <c r="F178">
        <f>IF(B178,MAX(MOD(SIN(Seed*0.1373+C178*12.9898+D178*78.233)*43758.5453,1),1E-9),"")</f>
        <v/>
      </c>
      <c r="G178">
        <f>IF(B178,MOD(SIN(Seed*0.5917+C178*39.3468+D178*11.135)*24634.6345,1),"")</f>
        <v/>
      </c>
      <c r="H178">
        <f>IF(B178,SQRT(-2*LN(F178))*COS(2*PI()*G178),"")</f>
        <v/>
      </c>
      <c r="I178">
        <f>IF(B178,IF(D178=0,H178,Rho*I177+SQRT(1-Rho^2)*H178),"")</f>
        <v/>
      </c>
      <c r="J178">
        <f>IF(B178,IF(Dist="Normal",DistA+DistB*I178,DistA+(DistB-DistA)*NORMSDIST(I178)),"")</f>
        <v/>
      </c>
      <c r="K178">
        <f>IF(B178,INDEX(MineScale,C178),"")</f>
        <v/>
      </c>
      <c r="L178">
        <f>IF(B178,INDEX(Dow,1,WEEKDAY(E178,2)),"")</f>
        <v/>
      </c>
      <c r="M178">
        <f>IF(B178,(1+Trend)^D178,"")</f>
        <v/>
      </c>
      <c r="N178">
        <f>IF(B178,EXP(SUMPRODUCT(LN(1+(EvEff-1)*INDEX(Affected,0,C178)*EXP(-((E178-EvCenter)^2)/(2*EvSigma^2))))),"")</f>
        <v/>
      </c>
      <c r="O178">
        <f>IF(B178,ROUND(MAX(0,J178*K178*L178*M178*N178),2),"")</f>
        <v/>
      </c>
    </row>
    <row r="179">
      <c r="A179" t="n">
        <v>178</v>
      </c>
      <c r="B179">
        <f>A179&lt;=MineCount*Days</f>
        <v/>
      </c>
      <c r="C179">
        <f>IF(B179,INT((A179-1)/Days)+1,"")</f>
        <v/>
      </c>
      <c r="D179">
        <f>IF(B179,MOD(A179-1,Days),"")</f>
        <v/>
      </c>
      <c r="E179" s="16">
        <f>IF(B179,StartDate+D179,"")</f>
        <v/>
      </c>
      <c r="F179">
        <f>IF(B179,MAX(MOD(SIN(Seed*0.1373+C179*12.9898+D179*78.233)*43758.5453,1),1E-9),"")</f>
        <v/>
      </c>
      <c r="G179">
        <f>IF(B179,MOD(SIN(Seed*0.5917+C179*39.3468+D179*11.135)*24634.6345,1),"")</f>
        <v/>
      </c>
      <c r="H179">
        <f>IF(B179,SQRT(-2*LN(F179))*COS(2*PI()*G179),"")</f>
        <v/>
      </c>
      <c r="I179">
        <f>IF(B179,IF(D179=0,H179,Rho*I178+SQRT(1-Rho^2)*H179),"")</f>
        <v/>
      </c>
      <c r="J179">
        <f>IF(B179,IF(Dist="Normal",DistA+DistB*I179,DistA+(DistB-DistA)*NORMSDIST(I179)),"")</f>
        <v/>
      </c>
      <c r="K179">
        <f>IF(B179,INDEX(MineScale,C179),"")</f>
        <v/>
      </c>
      <c r="L179">
        <f>IF(B179,INDEX(Dow,1,WEEKDAY(E179,2)),"")</f>
        <v/>
      </c>
      <c r="M179">
        <f>IF(B179,(1+Trend)^D179,"")</f>
        <v/>
      </c>
      <c r="N179">
        <f>IF(B179,EXP(SUMPRODUCT(LN(1+(EvEff-1)*INDEX(Affected,0,C179)*EXP(-((E179-EvCenter)^2)/(2*EvSigma^2))))),"")</f>
        <v/>
      </c>
      <c r="O179">
        <f>IF(B179,ROUND(MAX(0,J179*K179*L179*M179*N179),2),"")</f>
        <v/>
      </c>
    </row>
    <row r="180">
      <c r="A180" t="n">
        <v>179</v>
      </c>
      <c r="B180">
        <f>A180&lt;=MineCount*Days</f>
        <v/>
      </c>
      <c r="C180">
        <f>IF(B180,INT((A180-1)/Days)+1,"")</f>
        <v/>
      </c>
      <c r="D180">
        <f>IF(B180,MOD(A180-1,Days),"")</f>
        <v/>
      </c>
      <c r="E180" s="16">
        <f>IF(B180,StartDate+D180,"")</f>
        <v/>
      </c>
      <c r="F180">
        <f>IF(B180,MAX(MOD(SIN(Seed*0.1373+C180*12.9898+D180*78.233)*43758.5453,1),1E-9),"")</f>
        <v/>
      </c>
      <c r="G180">
        <f>IF(B180,MOD(SIN(Seed*0.5917+C180*39.3468+D180*11.135)*24634.6345,1),"")</f>
        <v/>
      </c>
      <c r="H180">
        <f>IF(B180,SQRT(-2*LN(F180))*COS(2*PI()*G180),"")</f>
        <v/>
      </c>
      <c r="I180">
        <f>IF(B180,IF(D180=0,H180,Rho*I179+SQRT(1-Rho^2)*H180),"")</f>
        <v/>
      </c>
      <c r="J180">
        <f>IF(B180,IF(Dist="Normal",DistA+DistB*I180,DistA+(DistB-DistA)*NORMSDIST(I180)),"")</f>
        <v/>
      </c>
      <c r="K180">
        <f>IF(B180,INDEX(MineScale,C180),"")</f>
        <v/>
      </c>
      <c r="L180">
        <f>IF(B180,INDEX(Dow,1,WEEKDAY(E180,2)),"")</f>
        <v/>
      </c>
      <c r="M180">
        <f>IF(B180,(1+Trend)^D180,"")</f>
        <v/>
      </c>
      <c r="N180">
        <f>IF(B180,EXP(SUMPRODUCT(LN(1+(EvEff-1)*INDEX(Affected,0,C180)*EXP(-((E180-EvCenter)^2)/(2*EvSigma^2))))),"")</f>
        <v/>
      </c>
      <c r="O180">
        <f>IF(B180,ROUND(MAX(0,J180*K180*L180*M180*N180),2),"")</f>
        <v/>
      </c>
    </row>
    <row r="181">
      <c r="A181" t="n">
        <v>180</v>
      </c>
      <c r="B181">
        <f>A181&lt;=MineCount*Days</f>
        <v/>
      </c>
      <c r="C181">
        <f>IF(B181,INT((A181-1)/Days)+1,"")</f>
        <v/>
      </c>
      <c r="D181">
        <f>IF(B181,MOD(A181-1,Days),"")</f>
        <v/>
      </c>
      <c r="E181" s="16">
        <f>IF(B181,StartDate+D181,"")</f>
        <v/>
      </c>
      <c r="F181">
        <f>IF(B181,MAX(MOD(SIN(Seed*0.1373+C181*12.9898+D181*78.233)*43758.5453,1),1E-9),"")</f>
        <v/>
      </c>
      <c r="G181">
        <f>IF(B181,MOD(SIN(Seed*0.5917+C181*39.3468+D181*11.135)*24634.6345,1),"")</f>
        <v/>
      </c>
      <c r="H181">
        <f>IF(B181,SQRT(-2*LN(F181))*COS(2*PI()*G181),"")</f>
        <v/>
      </c>
      <c r="I181">
        <f>IF(B181,IF(D181=0,H181,Rho*I180+SQRT(1-Rho^2)*H181),"")</f>
        <v/>
      </c>
      <c r="J181">
        <f>IF(B181,IF(Dist="Normal",DistA+DistB*I181,DistA+(DistB-DistA)*NORMSDIST(I181)),"")</f>
        <v/>
      </c>
      <c r="K181">
        <f>IF(B181,INDEX(MineScale,C181),"")</f>
        <v/>
      </c>
      <c r="L181">
        <f>IF(B181,INDEX(Dow,1,WEEKDAY(E181,2)),"")</f>
        <v/>
      </c>
      <c r="M181">
        <f>IF(B181,(1+Trend)^D181,"")</f>
        <v/>
      </c>
      <c r="N181">
        <f>IF(B181,EXP(SUMPRODUCT(LN(1+(EvEff-1)*INDEX(Affected,0,C181)*EXP(-((E181-EvCenter)^2)/(2*EvSigma^2))))),"")</f>
        <v/>
      </c>
      <c r="O181">
        <f>IF(B181,ROUND(MAX(0,J181*K181*L181*M181*N181),2),"")</f>
        <v/>
      </c>
    </row>
    <row r="182">
      <c r="A182" t="n">
        <v>181</v>
      </c>
      <c r="B182">
        <f>A182&lt;=MineCount*Days</f>
        <v/>
      </c>
      <c r="C182">
        <f>IF(B182,INT((A182-1)/Days)+1,"")</f>
        <v/>
      </c>
      <c r="D182">
        <f>IF(B182,MOD(A182-1,Days),"")</f>
        <v/>
      </c>
      <c r="E182" s="16">
        <f>IF(B182,StartDate+D182,"")</f>
        <v/>
      </c>
      <c r="F182">
        <f>IF(B182,MAX(MOD(SIN(Seed*0.1373+C182*12.9898+D182*78.233)*43758.5453,1),1E-9),"")</f>
        <v/>
      </c>
      <c r="G182">
        <f>IF(B182,MOD(SIN(Seed*0.5917+C182*39.3468+D182*11.135)*24634.6345,1),"")</f>
        <v/>
      </c>
      <c r="H182">
        <f>IF(B182,SQRT(-2*LN(F182))*COS(2*PI()*G182),"")</f>
        <v/>
      </c>
      <c r="I182">
        <f>IF(B182,IF(D182=0,H182,Rho*I181+SQRT(1-Rho^2)*H182),"")</f>
        <v/>
      </c>
      <c r="J182">
        <f>IF(B182,IF(Dist="Normal",DistA+DistB*I182,DistA+(DistB-DistA)*NORMSDIST(I182)),"")</f>
        <v/>
      </c>
      <c r="K182">
        <f>IF(B182,INDEX(MineScale,C182),"")</f>
        <v/>
      </c>
      <c r="L182">
        <f>IF(B182,INDEX(Dow,1,WEEKDAY(E182,2)),"")</f>
        <v/>
      </c>
      <c r="M182">
        <f>IF(B182,(1+Trend)^D182,"")</f>
        <v/>
      </c>
      <c r="N182">
        <f>IF(B182,EXP(SUMPRODUCT(LN(1+(EvEff-1)*INDEX(Affected,0,C182)*EXP(-((E182-EvCenter)^2)/(2*EvSigma^2))))),"")</f>
        <v/>
      </c>
      <c r="O182">
        <f>IF(B182,ROUND(MAX(0,J182*K182*L182*M182*N182),2),"")</f>
        <v/>
      </c>
    </row>
    <row r="183">
      <c r="A183" t="n">
        <v>182</v>
      </c>
      <c r="B183">
        <f>A183&lt;=MineCount*Days</f>
        <v/>
      </c>
      <c r="C183">
        <f>IF(B183,INT((A183-1)/Days)+1,"")</f>
        <v/>
      </c>
      <c r="D183">
        <f>IF(B183,MOD(A183-1,Days),"")</f>
        <v/>
      </c>
      <c r="E183" s="16">
        <f>IF(B183,StartDate+D183,"")</f>
        <v/>
      </c>
      <c r="F183">
        <f>IF(B183,MAX(MOD(SIN(Seed*0.1373+C183*12.9898+D183*78.233)*43758.5453,1),1E-9),"")</f>
        <v/>
      </c>
      <c r="G183">
        <f>IF(B183,MOD(SIN(Seed*0.5917+C183*39.3468+D183*11.135)*24634.6345,1),"")</f>
        <v/>
      </c>
      <c r="H183">
        <f>IF(B183,SQRT(-2*LN(F183))*COS(2*PI()*G183),"")</f>
        <v/>
      </c>
      <c r="I183">
        <f>IF(B183,IF(D183=0,H183,Rho*I182+SQRT(1-Rho^2)*H183),"")</f>
        <v/>
      </c>
      <c r="J183">
        <f>IF(B183,IF(Dist="Normal",DistA+DistB*I183,DistA+(DistB-DistA)*NORMSDIST(I183)),"")</f>
        <v/>
      </c>
      <c r="K183">
        <f>IF(B183,INDEX(MineScale,C183),"")</f>
        <v/>
      </c>
      <c r="L183">
        <f>IF(B183,INDEX(Dow,1,WEEKDAY(E183,2)),"")</f>
        <v/>
      </c>
      <c r="M183">
        <f>IF(B183,(1+Trend)^D183,"")</f>
        <v/>
      </c>
      <c r="N183">
        <f>IF(B183,EXP(SUMPRODUCT(LN(1+(EvEff-1)*INDEX(Affected,0,C183)*EXP(-((E183-EvCenter)^2)/(2*EvSigma^2))))),"")</f>
        <v/>
      </c>
      <c r="O183">
        <f>IF(B183,ROUND(MAX(0,J183*K183*L183*M183*N183),2),"")</f>
        <v/>
      </c>
    </row>
    <row r="184">
      <c r="A184" t="n">
        <v>183</v>
      </c>
      <c r="B184">
        <f>A184&lt;=MineCount*Days</f>
        <v/>
      </c>
      <c r="C184">
        <f>IF(B184,INT((A184-1)/Days)+1,"")</f>
        <v/>
      </c>
      <c r="D184">
        <f>IF(B184,MOD(A184-1,Days),"")</f>
        <v/>
      </c>
      <c r="E184" s="16">
        <f>IF(B184,StartDate+D184,"")</f>
        <v/>
      </c>
      <c r="F184">
        <f>IF(B184,MAX(MOD(SIN(Seed*0.1373+C184*12.9898+D184*78.233)*43758.5453,1),1E-9),"")</f>
        <v/>
      </c>
      <c r="G184">
        <f>IF(B184,MOD(SIN(Seed*0.5917+C184*39.3468+D184*11.135)*24634.6345,1),"")</f>
        <v/>
      </c>
      <c r="H184">
        <f>IF(B184,SQRT(-2*LN(F184))*COS(2*PI()*G184),"")</f>
        <v/>
      </c>
      <c r="I184">
        <f>IF(B184,IF(D184=0,H184,Rho*I183+SQRT(1-Rho^2)*H184),"")</f>
        <v/>
      </c>
      <c r="J184">
        <f>IF(B184,IF(Dist="Normal",DistA+DistB*I184,DistA+(DistB-DistA)*NORMSDIST(I184)),"")</f>
        <v/>
      </c>
      <c r="K184">
        <f>IF(B184,INDEX(MineScale,C184),"")</f>
        <v/>
      </c>
      <c r="L184">
        <f>IF(B184,INDEX(Dow,1,WEEKDAY(E184,2)),"")</f>
        <v/>
      </c>
      <c r="M184">
        <f>IF(B184,(1+Trend)^D184,"")</f>
        <v/>
      </c>
      <c r="N184">
        <f>IF(B184,EXP(SUMPRODUCT(LN(1+(EvEff-1)*INDEX(Affected,0,C184)*EXP(-((E184-EvCenter)^2)/(2*EvSigma^2))))),"")</f>
        <v/>
      </c>
      <c r="O184">
        <f>IF(B184,ROUND(MAX(0,J184*K184*L184*M184*N184),2),"")</f>
        <v/>
      </c>
    </row>
    <row r="185">
      <c r="A185" t="n">
        <v>184</v>
      </c>
      <c r="B185">
        <f>A185&lt;=MineCount*Days</f>
        <v/>
      </c>
      <c r="C185">
        <f>IF(B185,INT((A185-1)/Days)+1,"")</f>
        <v/>
      </c>
      <c r="D185">
        <f>IF(B185,MOD(A185-1,Days),"")</f>
        <v/>
      </c>
      <c r="E185" s="16">
        <f>IF(B185,StartDate+D185,"")</f>
        <v/>
      </c>
      <c r="F185">
        <f>IF(B185,MAX(MOD(SIN(Seed*0.1373+C185*12.9898+D185*78.233)*43758.5453,1),1E-9),"")</f>
        <v/>
      </c>
      <c r="G185">
        <f>IF(B185,MOD(SIN(Seed*0.5917+C185*39.3468+D185*11.135)*24634.6345,1),"")</f>
        <v/>
      </c>
      <c r="H185">
        <f>IF(B185,SQRT(-2*LN(F185))*COS(2*PI()*G185),"")</f>
        <v/>
      </c>
      <c r="I185">
        <f>IF(B185,IF(D185=0,H185,Rho*I184+SQRT(1-Rho^2)*H185),"")</f>
        <v/>
      </c>
      <c r="J185">
        <f>IF(B185,IF(Dist="Normal",DistA+DistB*I185,DistA+(DistB-DistA)*NORMSDIST(I185)),"")</f>
        <v/>
      </c>
      <c r="K185">
        <f>IF(B185,INDEX(MineScale,C185),"")</f>
        <v/>
      </c>
      <c r="L185">
        <f>IF(B185,INDEX(Dow,1,WEEKDAY(E185,2)),"")</f>
        <v/>
      </c>
      <c r="M185">
        <f>IF(B185,(1+Trend)^D185,"")</f>
        <v/>
      </c>
      <c r="N185">
        <f>IF(B185,EXP(SUMPRODUCT(LN(1+(EvEff-1)*INDEX(Affected,0,C185)*EXP(-((E185-EvCenter)^2)/(2*EvSigma^2))))),"")</f>
        <v/>
      </c>
      <c r="O185">
        <f>IF(B185,ROUND(MAX(0,J185*K185*L185*M185*N185),2),"")</f>
        <v/>
      </c>
    </row>
    <row r="186">
      <c r="A186" t="n">
        <v>185</v>
      </c>
      <c r="B186">
        <f>A186&lt;=MineCount*Days</f>
        <v/>
      </c>
      <c r="C186">
        <f>IF(B186,INT((A186-1)/Days)+1,"")</f>
        <v/>
      </c>
      <c r="D186">
        <f>IF(B186,MOD(A186-1,Days),"")</f>
        <v/>
      </c>
      <c r="E186" s="16">
        <f>IF(B186,StartDate+D186,"")</f>
        <v/>
      </c>
      <c r="F186">
        <f>IF(B186,MAX(MOD(SIN(Seed*0.1373+C186*12.9898+D186*78.233)*43758.5453,1),1E-9),"")</f>
        <v/>
      </c>
      <c r="G186">
        <f>IF(B186,MOD(SIN(Seed*0.5917+C186*39.3468+D186*11.135)*24634.6345,1),"")</f>
        <v/>
      </c>
      <c r="H186">
        <f>IF(B186,SQRT(-2*LN(F186))*COS(2*PI()*G186),"")</f>
        <v/>
      </c>
      <c r="I186">
        <f>IF(B186,IF(D186=0,H186,Rho*I185+SQRT(1-Rho^2)*H186),"")</f>
        <v/>
      </c>
      <c r="J186">
        <f>IF(B186,IF(Dist="Normal",DistA+DistB*I186,DistA+(DistB-DistA)*NORMSDIST(I186)),"")</f>
        <v/>
      </c>
      <c r="K186">
        <f>IF(B186,INDEX(MineScale,C186),"")</f>
        <v/>
      </c>
      <c r="L186">
        <f>IF(B186,INDEX(Dow,1,WEEKDAY(E186,2)),"")</f>
        <v/>
      </c>
      <c r="M186">
        <f>IF(B186,(1+Trend)^D186,"")</f>
        <v/>
      </c>
      <c r="N186">
        <f>IF(B186,EXP(SUMPRODUCT(LN(1+(EvEff-1)*INDEX(Affected,0,C186)*EXP(-((E186-EvCenter)^2)/(2*EvSigma^2))))),"")</f>
        <v/>
      </c>
      <c r="O186">
        <f>IF(B186,ROUND(MAX(0,J186*K186*L186*M186*N186),2),"")</f>
        <v/>
      </c>
    </row>
    <row r="187">
      <c r="A187" t="n">
        <v>186</v>
      </c>
      <c r="B187">
        <f>A187&lt;=MineCount*Days</f>
        <v/>
      </c>
      <c r="C187">
        <f>IF(B187,INT((A187-1)/Days)+1,"")</f>
        <v/>
      </c>
      <c r="D187">
        <f>IF(B187,MOD(A187-1,Days),"")</f>
        <v/>
      </c>
      <c r="E187" s="16">
        <f>IF(B187,StartDate+D187,"")</f>
        <v/>
      </c>
      <c r="F187">
        <f>IF(B187,MAX(MOD(SIN(Seed*0.1373+C187*12.9898+D187*78.233)*43758.5453,1),1E-9),"")</f>
        <v/>
      </c>
      <c r="G187">
        <f>IF(B187,MOD(SIN(Seed*0.5917+C187*39.3468+D187*11.135)*24634.6345,1),"")</f>
        <v/>
      </c>
      <c r="H187">
        <f>IF(B187,SQRT(-2*LN(F187))*COS(2*PI()*G187),"")</f>
        <v/>
      </c>
      <c r="I187">
        <f>IF(B187,IF(D187=0,H187,Rho*I186+SQRT(1-Rho^2)*H187),"")</f>
        <v/>
      </c>
      <c r="J187">
        <f>IF(B187,IF(Dist="Normal",DistA+DistB*I187,DistA+(DistB-DistA)*NORMSDIST(I187)),"")</f>
        <v/>
      </c>
      <c r="K187">
        <f>IF(B187,INDEX(MineScale,C187),"")</f>
        <v/>
      </c>
      <c r="L187">
        <f>IF(B187,INDEX(Dow,1,WEEKDAY(E187,2)),"")</f>
        <v/>
      </c>
      <c r="M187">
        <f>IF(B187,(1+Trend)^D187,"")</f>
        <v/>
      </c>
      <c r="N187">
        <f>IF(B187,EXP(SUMPRODUCT(LN(1+(EvEff-1)*INDEX(Affected,0,C187)*EXP(-((E187-EvCenter)^2)/(2*EvSigma^2))))),"")</f>
        <v/>
      </c>
      <c r="O187">
        <f>IF(B187,ROUND(MAX(0,J187*K187*L187*M187*N187),2),"")</f>
        <v/>
      </c>
    </row>
    <row r="188">
      <c r="A188" t="n">
        <v>187</v>
      </c>
      <c r="B188">
        <f>A188&lt;=MineCount*Days</f>
        <v/>
      </c>
      <c r="C188">
        <f>IF(B188,INT((A188-1)/Days)+1,"")</f>
        <v/>
      </c>
      <c r="D188">
        <f>IF(B188,MOD(A188-1,Days),"")</f>
        <v/>
      </c>
      <c r="E188" s="16">
        <f>IF(B188,StartDate+D188,"")</f>
        <v/>
      </c>
      <c r="F188">
        <f>IF(B188,MAX(MOD(SIN(Seed*0.1373+C188*12.9898+D188*78.233)*43758.5453,1),1E-9),"")</f>
        <v/>
      </c>
      <c r="G188">
        <f>IF(B188,MOD(SIN(Seed*0.5917+C188*39.3468+D188*11.135)*24634.6345,1),"")</f>
        <v/>
      </c>
      <c r="H188">
        <f>IF(B188,SQRT(-2*LN(F188))*COS(2*PI()*G188),"")</f>
        <v/>
      </c>
      <c r="I188">
        <f>IF(B188,IF(D188=0,H188,Rho*I187+SQRT(1-Rho^2)*H188),"")</f>
        <v/>
      </c>
      <c r="J188">
        <f>IF(B188,IF(Dist="Normal",DistA+DistB*I188,DistA+(DistB-DistA)*NORMSDIST(I188)),"")</f>
        <v/>
      </c>
      <c r="K188">
        <f>IF(B188,INDEX(MineScale,C188),"")</f>
        <v/>
      </c>
      <c r="L188">
        <f>IF(B188,INDEX(Dow,1,WEEKDAY(E188,2)),"")</f>
        <v/>
      </c>
      <c r="M188">
        <f>IF(B188,(1+Trend)^D188,"")</f>
        <v/>
      </c>
      <c r="N188">
        <f>IF(B188,EXP(SUMPRODUCT(LN(1+(EvEff-1)*INDEX(Affected,0,C188)*EXP(-((E188-EvCenter)^2)/(2*EvSigma^2))))),"")</f>
        <v/>
      </c>
      <c r="O188">
        <f>IF(B188,ROUND(MAX(0,J188*K188*L188*M188*N188),2),"")</f>
        <v/>
      </c>
    </row>
    <row r="189">
      <c r="A189" t="n">
        <v>188</v>
      </c>
      <c r="B189">
        <f>A189&lt;=MineCount*Days</f>
        <v/>
      </c>
      <c r="C189">
        <f>IF(B189,INT((A189-1)/Days)+1,"")</f>
        <v/>
      </c>
      <c r="D189">
        <f>IF(B189,MOD(A189-1,Days),"")</f>
        <v/>
      </c>
      <c r="E189" s="16">
        <f>IF(B189,StartDate+D189,"")</f>
        <v/>
      </c>
      <c r="F189">
        <f>IF(B189,MAX(MOD(SIN(Seed*0.1373+C189*12.9898+D189*78.233)*43758.5453,1),1E-9),"")</f>
        <v/>
      </c>
      <c r="G189">
        <f>IF(B189,MOD(SIN(Seed*0.5917+C189*39.3468+D189*11.135)*24634.6345,1),"")</f>
        <v/>
      </c>
      <c r="H189">
        <f>IF(B189,SQRT(-2*LN(F189))*COS(2*PI()*G189),"")</f>
        <v/>
      </c>
      <c r="I189">
        <f>IF(B189,IF(D189=0,H189,Rho*I188+SQRT(1-Rho^2)*H189),"")</f>
        <v/>
      </c>
      <c r="J189">
        <f>IF(B189,IF(Dist="Normal",DistA+DistB*I189,DistA+(DistB-DistA)*NORMSDIST(I189)),"")</f>
        <v/>
      </c>
      <c r="K189">
        <f>IF(B189,INDEX(MineScale,C189),"")</f>
        <v/>
      </c>
      <c r="L189">
        <f>IF(B189,INDEX(Dow,1,WEEKDAY(E189,2)),"")</f>
        <v/>
      </c>
      <c r="M189">
        <f>IF(B189,(1+Trend)^D189,"")</f>
        <v/>
      </c>
      <c r="N189">
        <f>IF(B189,EXP(SUMPRODUCT(LN(1+(EvEff-1)*INDEX(Affected,0,C189)*EXP(-((E189-EvCenter)^2)/(2*EvSigma^2))))),"")</f>
        <v/>
      </c>
      <c r="O189">
        <f>IF(B189,ROUND(MAX(0,J189*K189*L189*M189*N189),2),"")</f>
        <v/>
      </c>
    </row>
    <row r="190">
      <c r="A190" t="n">
        <v>189</v>
      </c>
      <c r="B190">
        <f>A190&lt;=MineCount*Days</f>
        <v/>
      </c>
      <c r="C190">
        <f>IF(B190,INT((A190-1)/Days)+1,"")</f>
        <v/>
      </c>
      <c r="D190">
        <f>IF(B190,MOD(A190-1,Days),"")</f>
        <v/>
      </c>
      <c r="E190" s="16">
        <f>IF(B190,StartDate+D190,"")</f>
        <v/>
      </c>
      <c r="F190">
        <f>IF(B190,MAX(MOD(SIN(Seed*0.1373+C190*12.9898+D190*78.233)*43758.5453,1),1E-9),"")</f>
        <v/>
      </c>
      <c r="G190">
        <f>IF(B190,MOD(SIN(Seed*0.5917+C190*39.3468+D190*11.135)*24634.6345,1),"")</f>
        <v/>
      </c>
      <c r="H190">
        <f>IF(B190,SQRT(-2*LN(F190))*COS(2*PI()*G190),"")</f>
        <v/>
      </c>
      <c r="I190">
        <f>IF(B190,IF(D190=0,H190,Rho*I189+SQRT(1-Rho^2)*H190),"")</f>
        <v/>
      </c>
      <c r="J190">
        <f>IF(B190,IF(Dist="Normal",DistA+DistB*I190,DistA+(DistB-DistA)*NORMSDIST(I190)),"")</f>
        <v/>
      </c>
      <c r="K190">
        <f>IF(B190,INDEX(MineScale,C190),"")</f>
        <v/>
      </c>
      <c r="L190">
        <f>IF(B190,INDEX(Dow,1,WEEKDAY(E190,2)),"")</f>
        <v/>
      </c>
      <c r="M190">
        <f>IF(B190,(1+Trend)^D190,"")</f>
        <v/>
      </c>
      <c r="N190">
        <f>IF(B190,EXP(SUMPRODUCT(LN(1+(EvEff-1)*INDEX(Affected,0,C190)*EXP(-((E190-EvCenter)^2)/(2*EvSigma^2))))),"")</f>
        <v/>
      </c>
      <c r="O190">
        <f>IF(B190,ROUND(MAX(0,J190*K190*L190*M190*N190),2),"")</f>
        <v/>
      </c>
    </row>
    <row r="191">
      <c r="A191" t="n">
        <v>190</v>
      </c>
      <c r="B191">
        <f>A191&lt;=MineCount*Days</f>
        <v/>
      </c>
      <c r="C191">
        <f>IF(B191,INT((A191-1)/Days)+1,"")</f>
        <v/>
      </c>
      <c r="D191">
        <f>IF(B191,MOD(A191-1,Days),"")</f>
        <v/>
      </c>
      <c r="E191" s="16">
        <f>IF(B191,StartDate+D191,"")</f>
        <v/>
      </c>
      <c r="F191">
        <f>IF(B191,MAX(MOD(SIN(Seed*0.1373+C191*12.9898+D191*78.233)*43758.5453,1),1E-9),"")</f>
        <v/>
      </c>
      <c r="G191">
        <f>IF(B191,MOD(SIN(Seed*0.5917+C191*39.3468+D191*11.135)*24634.6345,1),"")</f>
        <v/>
      </c>
      <c r="H191">
        <f>IF(B191,SQRT(-2*LN(F191))*COS(2*PI()*G191),"")</f>
        <v/>
      </c>
      <c r="I191">
        <f>IF(B191,IF(D191=0,H191,Rho*I190+SQRT(1-Rho^2)*H191),"")</f>
        <v/>
      </c>
      <c r="J191">
        <f>IF(B191,IF(Dist="Normal",DistA+DistB*I191,DistA+(DistB-DistA)*NORMSDIST(I191)),"")</f>
        <v/>
      </c>
      <c r="K191">
        <f>IF(B191,INDEX(MineScale,C191),"")</f>
        <v/>
      </c>
      <c r="L191">
        <f>IF(B191,INDEX(Dow,1,WEEKDAY(E191,2)),"")</f>
        <v/>
      </c>
      <c r="M191">
        <f>IF(B191,(1+Trend)^D191,"")</f>
        <v/>
      </c>
      <c r="N191">
        <f>IF(B191,EXP(SUMPRODUCT(LN(1+(EvEff-1)*INDEX(Affected,0,C191)*EXP(-((E191-EvCenter)^2)/(2*EvSigma^2))))),"")</f>
        <v/>
      </c>
      <c r="O191">
        <f>IF(B191,ROUND(MAX(0,J191*K191*L191*M191*N191),2),"")</f>
        <v/>
      </c>
    </row>
    <row r="192">
      <c r="A192" t="n">
        <v>191</v>
      </c>
      <c r="B192">
        <f>A192&lt;=MineCount*Days</f>
        <v/>
      </c>
      <c r="C192">
        <f>IF(B192,INT((A192-1)/Days)+1,"")</f>
        <v/>
      </c>
      <c r="D192">
        <f>IF(B192,MOD(A192-1,Days),"")</f>
        <v/>
      </c>
      <c r="E192" s="16">
        <f>IF(B192,StartDate+D192,"")</f>
        <v/>
      </c>
      <c r="F192">
        <f>IF(B192,MAX(MOD(SIN(Seed*0.1373+C192*12.9898+D192*78.233)*43758.5453,1),1E-9),"")</f>
        <v/>
      </c>
      <c r="G192">
        <f>IF(B192,MOD(SIN(Seed*0.5917+C192*39.3468+D192*11.135)*24634.6345,1),"")</f>
        <v/>
      </c>
      <c r="H192">
        <f>IF(B192,SQRT(-2*LN(F192))*COS(2*PI()*G192),"")</f>
        <v/>
      </c>
      <c r="I192">
        <f>IF(B192,IF(D192=0,H192,Rho*I191+SQRT(1-Rho^2)*H192),"")</f>
        <v/>
      </c>
      <c r="J192">
        <f>IF(B192,IF(Dist="Normal",DistA+DistB*I192,DistA+(DistB-DistA)*NORMSDIST(I192)),"")</f>
        <v/>
      </c>
      <c r="K192">
        <f>IF(B192,INDEX(MineScale,C192),"")</f>
        <v/>
      </c>
      <c r="L192">
        <f>IF(B192,INDEX(Dow,1,WEEKDAY(E192,2)),"")</f>
        <v/>
      </c>
      <c r="M192">
        <f>IF(B192,(1+Trend)^D192,"")</f>
        <v/>
      </c>
      <c r="N192">
        <f>IF(B192,EXP(SUMPRODUCT(LN(1+(EvEff-1)*INDEX(Affected,0,C192)*EXP(-((E192-EvCenter)^2)/(2*EvSigma^2))))),"")</f>
        <v/>
      </c>
      <c r="O192">
        <f>IF(B192,ROUND(MAX(0,J192*K192*L192*M192*N192),2),"")</f>
        <v/>
      </c>
    </row>
    <row r="193">
      <c r="A193" t="n">
        <v>192</v>
      </c>
      <c r="B193">
        <f>A193&lt;=MineCount*Days</f>
        <v/>
      </c>
      <c r="C193">
        <f>IF(B193,INT((A193-1)/Days)+1,"")</f>
        <v/>
      </c>
      <c r="D193">
        <f>IF(B193,MOD(A193-1,Days),"")</f>
        <v/>
      </c>
      <c r="E193" s="16">
        <f>IF(B193,StartDate+D193,"")</f>
        <v/>
      </c>
      <c r="F193">
        <f>IF(B193,MAX(MOD(SIN(Seed*0.1373+C193*12.9898+D193*78.233)*43758.5453,1),1E-9),"")</f>
        <v/>
      </c>
      <c r="G193">
        <f>IF(B193,MOD(SIN(Seed*0.5917+C193*39.3468+D193*11.135)*24634.6345,1),"")</f>
        <v/>
      </c>
      <c r="H193">
        <f>IF(B193,SQRT(-2*LN(F193))*COS(2*PI()*G193),"")</f>
        <v/>
      </c>
      <c r="I193">
        <f>IF(B193,IF(D193=0,H193,Rho*I192+SQRT(1-Rho^2)*H193),"")</f>
        <v/>
      </c>
      <c r="J193">
        <f>IF(B193,IF(Dist="Normal",DistA+DistB*I193,DistA+(DistB-DistA)*NORMSDIST(I193)),"")</f>
        <v/>
      </c>
      <c r="K193">
        <f>IF(B193,INDEX(MineScale,C193),"")</f>
        <v/>
      </c>
      <c r="L193">
        <f>IF(B193,INDEX(Dow,1,WEEKDAY(E193,2)),"")</f>
        <v/>
      </c>
      <c r="M193">
        <f>IF(B193,(1+Trend)^D193,"")</f>
        <v/>
      </c>
      <c r="N193">
        <f>IF(B193,EXP(SUMPRODUCT(LN(1+(EvEff-1)*INDEX(Affected,0,C193)*EXP(-((E193-EvCenter)^2)/(2*EvSigma^2))))),"")</f>
        <v/>
      </c>
      <c r="O193">
        <f>IF(B193,ROUND(MAX(0,J193*K193*L193*M193*N193),2),"")</f>
        <v/>
      </c>
    </row>
    <row r="194">
      <c r="A194" t="n">
        <v>193</v>
      </c>
      <c r="B194">
        <f>A194&lt;=MineCount*Days</f>
        <v/>
      </c>
      <c r="C194">
        <f>IF(B194,INT((A194-1)/Days)+1,"")</f>
        <v/>
      </c>
      <c r="D194">
        <f>IF(B194,MOD(A194-1,Days),"")</f>
        <v/>
      </c>
      <c r="E194" s="16">
        <f>IF(B194,StartDate+D194,"")</f>
        <v/>
      </c>
      <c r="F194">
        <f>IF(B194,MAX(MOD(SIN(Seed*0.1373+C194*12.9898+D194*78.233)*43758.5453,1),1E-9),"")</f>
        <v/>
      </c>
      <c r="G194">
        <f>IF(B194,MOD(SIN(Seed*0.5917+C194*39.3468+D194*11.135)*24634.6345,1),"")</f>
        <v/>
      </c>
      <c r="H194">
        <f>IF(B194,SQRT(-2*LN(F194))*COS(2*PI()*G194),"")</f>
        <v/>
      </c>
      <c r="I194">
        <f>IF(B194,IF(D194=0,H194,Rho*I193+SQRT(1-Rho^2)*H194),"")</f>
        <v/>
      </c>
      <c r="J194">
        <f>IF(B194,IF(Dist="Normal",DistA+DistB*I194,DistA+(DistB-DistA)*NORMSDIST(I194)),"")</f>
        <v/>
      </c>
      <c r="K194">
        <f>IF(B194,INDEX(MineScale,C194),"")</f>
        <v/>
      </c>
      <c r="L194">
        <f>IF(B194,INDEX(Dow,1,WEEKDAY(E194,2)),"")</f>
        <v/>
      </c>
      <c r="M194">
        <f>IF(B194,(1+Trend)^D194,"")</f>
        <v/>
      </c>
      <c r="N194">
        <f>IF(B194,EXP(SUMPRODUCT(LN(1+(EvEff-1)*INDEX(Affected,0,C194)*EXP(-((E194-EvCenter)^2)/(2*EvSigma^2))))),"")</f>
        <v/>
      </c>
      <c r="O194">
        <f>IF(B194,ROUND(MAX(0,J194*K194*L194*M194*N194),2),"")</f>
        <v/>
      </c>
    </row>
    <row r="195">
      <c r="A195" t="n">
        <v>194</v>
      </c>
      <c r="B195">
        <f>A195&lt;=MineCount*Days</f>
        <v/>
      </c>
      <c r="C195">
        <f>IF(B195,INT((A195-1)/Days)+1,"")</f>
        <v/>
      </c>
      <c r="D195">
        <f>IF(B195,MOD(A195-1,Days),"")</f>
        <v/>
      </c>
      <c r="E195" s="16">
        <f>IF(B195,StartDate+D195,"")</f>
        <v/>
      </c>
      <c r="F195">
        <f>IF(B195,MAX(MOD(SIN(Seed*0.1373+C195*12.9898+D195*78.233)*43758.5453,1),1E-9),"")</f>
        <v/>
      </c>
      <c r="G195">
        <f>IF(B195,MOD(SIN(Seed*0.5917+C195*39.3468+D195*11.135)*24634.6345,1),"")</f>
        <v/>
      </c>
      <c r="H195">
        <f>IF(B195,SQRT(-2*LN(F195))*COS(2*PI()*G195),"")</f>
        <v/>
      </c>
      <c r="I195">
        <f>IF(B195,IF(D195=0,H195,Rho*I194+SQRT(1-Rho^2)*H195),"")</f>
        <v/>
      </c>
      <c r="J195">
        <f>IF(B195,IF(Dist="Normal",DistA+DistB*I195,DistA+(DistB-DistA)*NORMSDIST(I195)),"")</f>
        <v/>
      </c>
      <c r="K195">
        <f>IF(B195,INDEX(MineScale,C195),"")</f>
        <v/>
      </c>
      <c r="L195">
        <f>IF(B195,INDEX(Dow,1,WEEKDAY(E195,2)),"")</f>
        <v/>
      </c>
      <c r="M195">
        <f>IF(B195,(1+Trend)^D195,"")</f>
        <v/>
      </c>
      <c r="N195">
        <f>IF(B195,EXP(SUMPRODUCT(LN(1+(EvEff-1)*INDEX(Affected,0,C195)*EXP(-((E195-EvCenter)^2)/(2*EvSigma^2))))),"")</f>
        <v/>
      </c>
      <c r="O195">
        <f>IF(B195,ROUND(MAX(0,J195*K195*L195*M195*N195),2),"")</f>
        <v/>
      </c>
    </row>
    <row r="196">
      <c r="A196" t="n">
        <v>195</v>
      </c>
      <c r="B196">
        <f>A196&lt;=MineCount*Days</f>
        <v/>
      </c>
      <c r="C196">
        <f>IF(B196,INT((A196-1)/Days)+1,"")</f>
        <v/>
      </c>
      <c r="D196">
        <f>IF(B196,MOD(A196-1,Days),"")</f>
        <v/>
      </c>
      <c r="E196" s="16">
        <f>IF(B196,StartDate+D196,"")</f>
        <v/>
      </c>
      <c r="F196">
        <f>IF(B196,MAX(MOD(SIN(Seed*0.1373+C196*12.9898+D196*78.233)*43758.5453,1),1E-9),"")</f>
        <v/>
      </c>
      <c r="G196">
        <f>IF(B196,MOD(SIN(Seed*0.5917+C196*39.3468+D196*11.135)*24634.6345,1),"")</f>
        <v/>
      </c>
      <c r="H196">
        <f>IF(B196,SQRT(-2*LN(F196))*COS(2*PI()*G196),"")</f>
        <v/>
      </c>
      <c r="I196">
        <f>IF(B196,IF(D196=0,H196,Rho*I195+SQRT(1-Rho^2)*H196),"")</f>
        <v/>
      </c>
      <c r="J196">
        <f>IF(B196,IF(Dist="Normal",DistA+DistB*I196,DistA+(DistB-DistA)*NORMSDIST(I196)),"")</f>
        <v/>
      </c>
      <c r="K196">
        <f>IF(B196,INDEX(MineScale,C196),"")</f>
        <v/>
      </c>
      <c r="L196">
        <f>IF(B196,INDEX(Dow,1,WEEKDAY(E196,2)),"")</f>
        <v/>
      </c>
      <c r="M196">
        <f>IF(B196,(1+Trend)^D196,"")</f>
        <v/>
      </c>
      <c r="N196">
        <f>IF(B196,EXP(SUMPRODUCT(LN(1+(EvEff-1)*INDEX(Affected,0,C196)*EXP(-((E196-EvCenter)^2)/(2*EvSigma^2))))),"")</f>
        <v/>
      </c>
      <c r="O196">
        <f>IF(B196,ROUND(MAX(0,J196*K196*L196*M196*N196),2),"")</f>
        <v/>
      </c>
    </row>
    <row r="197">
      <c r="A197" t="n">
        <v>196</v>
      </c>
      <c r="B197">
        <f>A197&lt;=MineCount*Days</f>
        <v/>
      </c>
      <c r="C197">
        <f>IF(B197,INT((A197-1)/Days)+1,"")</f>
        <v/>
      </c>
      <c r="D197">
        <f>IF(B197,MOD(A197-1,Days),"")</f>
        <v/>
      </c>
      <c r="E197" s="16">
        <f>IF(B197,StartDate+D197,"")</f>
        <v/>
      </c>
      <c r="F197">
        <f>IF(B197,MAX(MOD(SIN(Seed*0.1373+C197*12.9898+D197*78.233)*43758.5453,1),1E-9),"")</f>
        <v/>
      </c>
      <c r="G197">
        <f>IF(B197,MOD(SIN(Seed*0.5917+C197*39.3468+D197*11.135)*24634.6345,1),"")</f>
        <v/>
      </c>
      <c r="H197">
        <f>IF(B197,SQRT(-2*LN(F197))*COS(2*PI()*G197),"")</f>
        <v/>
      </c>
      <c r="I197">
        <f>IF(B197,IF(D197=0,H197,Rho*I196+SQRT(1-Rho^2)*H197),"")</f>
        <v/>
      </c>
      <c r="J197">
        <f>IF(B197,IF(Dist="Normal",DistA+DistB*I197,DistA+(DistB-DistA)*NORMSDIST(I197)),"")</f>
        <v/>
      </c>
      <c r="K197">
        <f>IF(B197,INDEX(MineScale,C197),"")</f>
        <v/>
      </c>
      <c r="L197">
        <f>IF(B197,INDEX(Dow,1,WEEKDAY(E197,2)),"")</f>
        <v/>
      </c>
      <c r="M197">
        <f>IF(B197,(1+Trend)^D197,"")</f>
        <v/>
      </c>
      <c r="N197">
        <f>IF(B197,EXP(SUMPRODUCT(LN(1+(EvEff-1)*INDEX(Affected,0,C197)*EXP(-((E197-EvCenter)^2)/(2*EvSigma^2))))),"")</f>
        <v/>
      </c>
      <c r="O197">
        <f>IF(B197,ROUND(MAX(0,J197*K197*L197*M197*N197),2),"")</f>
        <v/>
      </c>
    </row>
    <row r="198">
      <c r="A198" t="n">
        <v>197</v>
      </c>
      <c r="B198">
        <f>A198&lt;=MineCount*Days</f>
        <v/>
      </c>
      <c r="C198">
        <f>IF(B198,INT((A198-1)/Days)+1,"")</f>
        <v/>
      </c>
      <c r="D198">
        <f>IF(B198,MOD(A198-1,Days),"")</f>
        <v/>
      </c>
      <c r="E198" s="16">
        <f>IF(B198,StartDate+D198,"")</f>
        <v/>
      </c>
      <c r="F198">
        <f>IF(B198,MAX(MOD(SIN(Seed*0.1373+C198*12.9898+D198*78.233)*43758.5453,1),1E-9),"")</f>
        <v/>
      </c>
      <c r="G198">
        <f>IF(B198,MOD(SIN(Seed*0.5917+C198*39.3468+D198*11.135)*24634.6345,1),"")</f>
        <v/>
      </c>
      <c r="H198">
        <f>IF(B198,SQRT(-2*LN(F198))*COS(2*PI()*G198),"")</f>
        <v/>
      </c>
      <c r="I198">
        <f>IF(B198,IF(D198=0,H198,Rho*I197+SQRT(1-Rho^2)*H198),"")</f>
        <v/>
      </c>
      <c r="J198">
        <f>IF(B198,IF(Dist="Normal",DistA+DistB*I198,DistA+(DistB-DistA)*NORMSDIST(I198)),"")</f>
        <v/>
      </c>
      <c r="K198">
        <f>IF(B198,INDEX(MineScale,C198),"")</f>
        <v/>
      </c>
      <c r="L198">
        <f>IF(B198,INDEX(Dow,1,WEEKDAY(E198,2)),"")</f>
        <v/>
      </c>
      <c r="M198">
        <f>IF(B198,(1+Trend)^D198,"")</f>
        <v/>
      </c>
      <c r="N198">
        <f>IF(B198,EXP(SUMPRODUCT(LN(1+(EvEff-1)*INDEX(Affected,0,C198)*EXP(-((E198-EvCenter)^2)/(2*EvSigma^2))))),"")</f>
        <v/>
      </c>
      <c r="O198">
        <f>IF(B198,ROUND(MAX(0,J198*K198*L198*M198*N198),2),"")</f>
        <v/>
      </c>
    </row>
    <row r="199">
      <c r="A199" t="n">
        <v>198</v>
      </c>
      <c r="B199">
        <f>A199&lt;=MineCount*Days</f>
        <v/>
      </c>
      <c r="C199">
        <f>IF(B199,INT((A199-1)/Days)+1,"")</f>
        <v/>
      </c>
      <c r="D199">
        <f>IF(B199,MOD(A199-1,Days),"")</f>
        <v/>
      </c>
      <c r="E199" s="16">
        <f>IF(B199,StartDate+D199,"")</f>
        <v/>
      </c>
      <c r="F199">
        <f>IF(B199,MAX(MOD(SIN(Seed*0.1373+C199*12.9898+D199*78.233)*43758.5453,1),1E-9),"")</f>
        <v/>
      </c>
      <c r="G199">
        <f>IF(B199,MOD(SIN(Seed*0.5917+C199*39.3468+D199*11.135)*24634.6345,1),"")</f>
        <v/>
      </c>
      <c r="H199">
        <f>IF(B199,SQRT(-2*LN(F199))*COS(2*PI()*G199),"")</f>
        <v/>
      </c>
      <c r="I199">
        <f>IF(B199,IF(D199=0,H199,Rho*I198+SQRT(1-Rho^2)*H199),"")</f>
        <v/>
      </c>
      <c r="J199">
        <f>IF(B199,IF(Dist="Normal",DistA+DistB*I199,DistA+(DistB-DistA)*NORMSDIST(I199)),"")</f>
        <v/>
      </c>
      <c r="K199">
        <f>IF(B199,INDEX(MineScale,C199),"")</f>
        <v/>
      </c>
      <c r="L199">
        <f>IF(B199,INDEX(Dow,1,WEEKDAY(E199,2)),"")</f>
        <v/>
      </c>
      <c r="M199">
        <f>IF(B199,(1+Trend)^D199,"")</f>
        <v/>
      </c>
      <c r="N199">
        <f>IF(B199,EXP(SUMPRODUCT(LN(1+(EvEff-1)*INDEX(Affected,0,C199)*EXP(-((E199-EvCenter)^2)/(2*EvSigma^2))))),"")</f>
        <v/>
      </c>
      <c r="O199">
        <f>IF(B199,ROUND(MAX(0,J199*K199*L199*M199*N199),2),"")</f>
        <v/>
      </c>
    </row>
    <row r="200">
      <c r="A200" t="n">
        <v>199</v>
      </c>
      <c r="B200">
        <f>A200&lt;=MineCount*Days</f>
        <v/>
      </c>
      <c r="C200">
        <f>IF(B200,INT((A200-1)/Days)+1,"")</f>
        <v/>
      </c>
      <c r="D200">
        <f>IF(B200,MOD(A200-1,Days),"")</f>
        <v/>
      </c>
      <c r="E200" s="16">
        <f>IF(B200,StartDate+D200,"")</f>
        <v/>
      </c>
      <c r="F200">
        <f>IF(B200,MAX(MOD(SIN(Seed*0.1373+C200*12.9898+D200*78.233)*43758.5453,1),1E-9),"")</f>
        <v/>
      </c>
      <c r="G200">
        <f>IF(B200,MOD(SIN(Seed*0.5917+C200*39.3468+D200*11.135)*24634.6345,1),"")</f>
        <v/>
      </c>
      <c r="H200">
        <f>IF(B200,SQRT(-2*LN(F200))*COS(2*PI()*G200),"")</f>
        <v/>
      </c>
      <c r="I200">
        <f>IF(B200,IF(D200=0,H200,Rho*I199+SQRT(1-Rho^2)*H200),"")</f>
        <v/>
      </c>
      <c r="J200">
        <f>IF(B200,IF(Dist="Normal",DistA+DistB*I200,DistA+(DistB-DistA)*NORMSDIST(I200)),"")</f>
        <v/>
      </c>
      <c r="K200">
        <f>IF(B200,INDEX(MineScale,C200),"")</f>
        <v/>
      </c>
      <c r="L200">
        <f>IF(B200,INDEX(Dow,1,WEEKDAY(E200,2)),"")</f>
        <v/>
      </c>
      <c r="M200">
        <f>IF(B200,(1+Trend)^D200,"")</f>
        <v/>
      </c>
      <c r="N200">
        <f>IF(B200,EXP(SUMPRODUCT(LN(1+(EvEff-1)*INDEX(Affected,0,C200)*EXP(-((E200-EvCenter)^2)/(2*EvSigma^2))))),"")</f>
        <v/>
      </c>
      <c r="O200">
        <f>IF(B200,ROUND(MAX(0,J200*K200*L200*M200*N200),2),"")</f>
        <v/>
      </c>
    </row>
    <row r="201">
      <c r="A201" t="n">
        <v>200</v>
      </c>
      <c r="B201">
        <f>A201&lt;=MineCount*Days</f>
        <v/>
      </c>
      <c r="C201">
        <f>IF(B201,INT((A201-1)/Days)+1,"")</f>
        <v/>
      </c>
      <c r="D201">
        <f>IF(B201,MOD(A201-1,Days),"")</f>
        <v/>
      </c>
      <c r="E201" s="16">
        <f>IF(B201,StartDate+D201,"")</f>
        <v/>
      </c>
      <c r="F201">
        <f>IF(B201,MAX(MOD(SIN(Seed*0.1373+C201*12.9898+D201*78.233)*43758.5453,1),1E-9),"")</f>
        <v/>
      </c>
      <c r="G201">
        <f>IF(B201,MOD(SIN(Seed*0.5917+C201*39.3468+D201*11.135)*24634.6345,1),"")</f>
        <v/>
      </c>
      <c r="H201">
        <f>IF(B201,SQRT(-2*LN(F201))*COS(2*PI()*G201),"")</f>
        <v/>
      </c>
      <c r="I201">
        <f>IF(B201,IF(D201=0,H201,Rho*I200+SQRT(1-Rho^2)*H201),"")</f>
        <v/>
      </c>
      <c r="J201">
        <f>IF(B201,IF(Dist="Normal",DistA+DistB*I201,DistA+(DistB-DistA)*NORMSDIST(I201)),"")</f>
        <v/>
      </c>
      <c r="K201">
        <f>IF(B201,INDEX(MineScale,C201),"")</f>
        <v/>
      </c>
      <c r="L201">
        <f>IF(B201,INDEX(Dow,1,WEEKDAY(E201,2)),"")</f>
        <v/>
      </c>
      <c r="M201">
        <f>IF(B201,(1+Trend)^D201,"")</f>
        <v/>
      </c>
      <c r="N201">
        <f>IF(B201,EXP(SUMPRODUCT(LN(1+(EvEff-1)*INDEX(Affected,0,C201)*EXP(-((E201-EvCenter)^2)/(2*EvSigma^2))))),"")</f>
        <v/>
      </c>
      <c r="O201">
        <f>IF(B201,ROUND(MAX(0,J201*K201*L201*M201*N201),2),"")</f>
        <v/>
      </c>
    </row>
    <row r="202">
      <c r="A202" t="n">
        <v>201</v>
      </c>
      <c r="B202">
        <f>A202&lt;=MineCount*Days</f>
        <v/>
      </c>
      <c r="C202">
        <f>IF(B202,INT((A202-1)/Days)+1,"")</f>
        <v/>
      </c>
      <c r="D202">
        <f>IF(B202,MOD(A202-1,Days),"")</f>
        <v/>
      </c>
      <c r="E202" s="16">
        <f>IF(B202,StartDate+D202,"")</f>
        <v/>
      </c>
      <c r="F202">
        <f>IF(B202,MAX(MOD(SIN(Seed*0.1373+C202*12.9898+D202*78.233)*43758.5453,1),1E-9),"")</f>
        <v/>
      </c>
      <c r="G202">
        <f>IF(B202,MOD(SIN(Seed*0.5917+C202*39.3468+D202*11.135)*24634.6345,1),"")</f>
        <v/>
      </c>
      <c r="H202">
        <f>IF(B202,SQRT(-2*LN(F202))*COS(2*PI()*G202),"")</f>
        <v/>
      </c>
      <c r="I202">
        <f>IF(B202,IF(D202=0,H202,Rho*I201+SQRT(1-Rho^2)*H202),"")</f>
        <v/>
      </c>
      <c r="J202">
        <f>IF(B202,IF(Dist="Normal",DistA+DistB*I202,DistA+(DistB-DistA)*NORMSDIST(I202)),"")</f>
        <v/>
      </c>
      <c r="K202">
        <f>IF(B202,INDEX(MineScale,C202),"")</f>
        <v/>
      </c>
      <c r="L202">
        <f>IF(B202,INDEX(Dow,1,WEEKDAY(E202,2)),"")</f>
        <v/>
      </c>
      <c r="M202">
        <f>IF(B202,(1+Trend)^D202,"")</f>
        <v/>
      </c>
      <c r="N202">
        <f>IF(B202,EXP(SUMPRODUCT(LN(1+(EvEff-1)*INDEX(Affected,0,C202)*EXP(-((E202-EvCenter)^2)/(2*EvSigma^2))))),"")</f>
        <v/>
      </c>
      <c r="O202">
        <f>IF(B202,ROUND(MAX(0,J202*K202*L202*M202*N202),2),"")</f>
        <v/>
      </c>
    </row>
    <row r="203">
      <c r="A203" t="n">
        <v>202</v>
      </c>
      <c r="B203">
        <f>A203&lt;=MineCount*Days</f>
        <v/>
      </c>
      <c r="C203">
        <f>IF(B203,INT((A203-1)/Days)+1,"")</f>
        <v/>
      </c>
      <c r="D203">
        <f>IF(B203,MOD(A203-1,Days),"")</f>
        <v/>
      </c>
      <c r="E203" s="16">
        <f>IF(B203,StartDate+D203,"")</f>
        <v/>
      </c>
      <c r="F203">
        <f>IF(B203,MAX(MOD(SIN(Seed*0.1373+C203*12.9898+D203*78.233)*43758.5453,1),1E-9),"")</f>
        <v/>
      </c>
      <c r="G203">
        <f>IF(B203,MOD(SIN(Seed*0.5917+C203*39.3468+D203*11.135)*24634.6345,1),"")</f>
        <v/>
      </c>
      <c r="H203">
        <f>IF(B203,SQRT(-2*LN(F203))*COS(2*PI()*G203),"")</f>
        <v/>
      </c>
      <c r="I203">
        <f>IF(B203,IF(D203=0,H203,Rho*I202+SQRT(1-Rho^2)*H203),"")</f>
        <v/>
      </c>
      <c r="J203">
        <f>IF(B203,IF(Dist="Normal",DistA+DistB*I203,DistA+(DistB-DistA)*NORMSDIST(I203)),"")</f>
        <v/>
      </c>
      <c r="K203">
        <f>IF(B203,INDEX(MineScale,C203),"")</f>
        <v/>
      </c>
      <c r="L203">
        <f>IF(B203,INDEX(Dow,1,WEEKDAY(E203,2)),"")</f>
        <v/>
      </c>
      <c r="M203">
        <f>IF(B203,(1+Trend)^D203,"")</f>
        <v/>
      </c>
      <c r="N203">
        <f>IF(B203,EXP(SUMPRODUCT(LN(1+(EvEff-1)*INDEX(Affected,0,C203)*EXP(-((E203-EvCenter)^2)/(2*EvSigma^2))))),"")</f>
        <v/>
      </c>
      <c r="O203">
        <f>IF(B203,ROUND(MAX(0,J203*K203*L203*M203*N203),2),"")</f>
        <v/>
      </c>
    </row>
    <row r="204">
      <c r="A204" t="n">
        <v>203</v>
      </c>
      <c r="B204">
        <f>A204&lt;=MineCount*Days</f>
        <v/>
      </c>
      <c r="C204">
        <f>IF(B204,INT((A204-1)/Days)+1,"")</f>
        <v/>
      </c>
      <c r="D204">
        <f>IF(B204,MOD(A204-1,Days),"")</f>
        <v/>
      </c>
      <c r="E204" s="16">
        <f>IF(B204,StartDate+D204,"")</f>
        <v/>
      </c>
      <c r="F204">
        <f>IF(B204,MAX(MOD(SIN(Seed*0.1373+C204*12.9898+D204*78.233)*43758.5453,1),1E-9),"")</f>
        <v/>
      </c>
      <c r="G204">
        <f>IF(B204,MOD(SIN(Seed*0.5917+C204*39.3468+D204*11.135)*24634.6345,1),"")</f>
        <v/>
      </c>
      <c r="H204">
        <f>IF(B204,SQRT(-2*LN(F204))*COS(2*PI()*G204),"")</f>
        <v/>
      </c>
      <c r="I204">
        <f>IF(B204,IF(D204=0,H204,Rho*I203+SQRT(1-Rho^2)*H204),"")</f>
        <v/>
      </c>
      <c r="J204">
        <f>IF(B204,IF(Dist="Normal",DistA+DistB*I204,DistA+(DistB-DistA)*NORMSDIST(I204)),"")</f>
        <v/>
      </c>
      <c r="K204">
        <f>IF(B204,INDEX(MineScale,C204),"")</f>
        <v/>
      </c>
      <c r="L204">
        <f>IF(B204,INDEX(Dow,1,WEEKDAY(E204,2)),"")</f>
        <v/>
      </c>
      <c r="M204">
        <f>IF(B204,(1+Trend)^D204,"")</f>
        <v/>
      </c>
      <c r="N204">
        <f>IF(B204,EXP(SUMPRODUCT(LN(1+(EvEff-1)*INDEX(Affected,0,C204)*EXP(-((E204-EvCenter)^2)/(2*EvSigma^2))))),"")</f>
        <v/>
      </c>
      <c r="O204">
        <f>IF(B204,ROUND(MAX(0,J204*K204*L204*M204*N204),2),"")</f>
        <v/>
      </c>
    </row>
    <row r="205">
      <c r="A205" t="n">
        <v>204</v>
      </c>
      <c r="B205">
        <f>A205&lt;=MineCount*Days</f>
        <v/>
      </c>
      <c r="C205">
        <f>IF(B205,INT((A205-1)/Days)+1,"")</f>
        <v/>
      </c>
      <c r="D205">
        <f>IF(B205,MOD(A205-1,Days),"")</f>
        <v/>
      </c>
      <c r="E205" s="16">
        <f>IF(B205,StartDate+D205,"")</f>
        <v/>
      </c>
      <c r="F205">
        <f>IF(B205,MAX(MOD(SIN(Seed*0.1373+C205*12.9898+D205*78.233)*43758.5453,1),1E-9),"")</f>
        <v/>
      </c>
      <c r="G205">
        <f>IF(B205,MOD(SIN(Seed*0.5917+C205*39.3468+D205*11.135)*24634.6345,1),"")</f>
        <v/>
      </c>
      <c r="H205">
        <f>IF(B205,SQRT(-2*LN(F205))*COS(2*PI()*G205),"")</f>
        <v/>
      </c>
      <c r="I205">
        <f>IF(B205,IF(D205=0,H205,Rho*I204+SQRT(1-Rho^2)*H205),"")</f>
        <v/>
      </c>
      <c r="J205">
        <f>IF(B205,IF(Dist="Normal",DistA+DistB*I205,DistA+(DistB-DistA)*NORMSDIST(I205)),"")</f>
        <v/>
      </c>
      <c r="K205">
        <f>IF(B205,INDEX(MineScale,C205),"")</f>
        <v/>
      </c>
      <c r="L205">
        <f>IF(B205,INDEX(Dow,1,WEEKDAY(E205,2)),"")</f>
        <v/>
      </c>
      <c r="M205">
        <f>IF(B205,(1+Trend)^D205,"")</f>
        <v/>
      </c>
      <c r="N205">
        <f>IF(B205,EXP(SUMPRODUCT(LN(1+(EvEff-1)*INDEX(Affected,0,C205)*EXP(-((E205-EvCenter)^2)/(2*EvSigma^2))))),"")</f>
        <v/>
      </c>
      <c r="O205">
        <f>IF(B205,ROUND(MAX(0,J205*K205*L205*M205*N205),2),"")</f>
        <v/>
      </c>
    </row>
    <row r="206">
      <c r="A206" t="n">
        <v>205</v>
      </c>
      <c r="B206">
        <f>A206&lt;=MineCount*Days</f>
        <v/>
      </c>
      <c r="C206">
        <f>IF(B206,INT((A206-1)/Days)+1,"")</f>
        <v/>
      </c>
      <c r="D206">
        <f>IF(B206,MOD(A206-1,Days),"")</f>
        <v/>
      </c>
      <c r="E206" s="16">
        <f>IF(B206,StartDate+D206,"")</f>
        <v/>
      </c>
      <c r="F206">
        <f>IF(B206,MAX(MOD(SIN(Seed*0.1373+C206*12.9898+D206*78.233)*43758.5453,1),1E-9),"")</f>
        <v/>
      </c>
      <c r="G206">
        <f>IF(B206,MOD(SIN(Seed*0.5917+C206*39.3468+D206*11.135)*24634.6345,1),"")</f>
        <v/>
      </c>
      <c r="H206">
        <f>IF(B206,SQRT(-2*LN(F206))*COS(2*PI()*G206),"")</f>
        <v/>
      </c>
      <c r="I206">
        <f>IF(B206,IF(D206=0,H206,Rho*I205+SQRT(1-Rho^2)*H206),"")</f>
        <v/>
      </c>
      <c r="J206">
        <f>IF(B206,IF(Dist="Normal",DistA+DistB*I206,DistA+(DistB-DistA)*NORMSDIST(I206)),"")</f>
        <v/>
      </c>
      <c r="K206">
        <f>IF(B206,INDEX(MineScale,C206),"")</f>
        <v/>
      </c>
      <c r="L206">
        <f>IF(B206,INDEX(Dow,1,WEEKDAY(E206,2)),"")</f>
        <v/>
      </c>
      <c r="M206">
        <f>IF(B206,(1+Trend)^D206,"")</f>
        <v/>
      </c>
      <c r="N206">
        <f>IF(B206,EXP(SUMPRODUCT(LN(1+(EvEff-1)*INDEX(Affected,0,C206)*EXP(-((E206-EvCenter)^2)/(2*EvSigma^2))))),"")</f>
        <v/>
      </c>
      <c r="O206">
        <f>IF(B206,ROUND(MAX(0,J206*K206*L206*M206*N206),2),"")</f>
        <v/>
      </c>
    </row>
    <row r="207">
      <c r="A207" t="n">
        <v>206</v>
      </c>
      <c r="B207">
        <f>A207&lt;=MineCount*Days</f>
        <v/>
      </c>
      <c r="C207">
        <f>IF(B207,INT((A207-1)/Days)+1,"")</f>
        <v/>
      </c>
      <c r="D207">
        <f>IF(B207,MOD(A207-1,Days),"")</f>
        <v/>
      </c>
      <c r="E207" s="16">
        <f>IF(B207,StartDate+D207,"")</f>
        <v/>
      </c>
      <c r="F207">
        <f>IF(B207,MAX(MOD(SIN(Seed*0.1373+C207*12.9898+D207*78.233)*43758.5453,1),1E-9),"")</f>
        <v/>
      </c>
      <c r="G207">
        <f>IF(B207,MOD(SIN(Seed*0.5917+C207*39.3468+D207*11.135)*24634.6345,1),"")</f>
        <v/>
      </c>
      <c r="H207">
        <f>IF(B207,SQRT(-2*LN(F207))*COS(2*PI()*G207),"")</f>
        <v/>
      </c>
      <c r="I207">
        <f>IF(B207,IF(D207=0,H207,Rho*I206+SQRT(1-Rho^2)*H207),"")</f>
        <v/>
      </c>
      <c r="J207">
        <f>IF(B207,IF(Dist="Normal",DistA+DistB*I207,DistA+(DistB-DistA)*NORMSDIST(I207)),"")</f>
        <v/>
      </c>
      <c r="K207">
        <f>IF(B207,INDEX(MineScale,C207),"")</f>
        <v/>
      </c>
      <c r="L207">
        <f>IF(B207,INDEX(Dow,1,WEEKDAY(E207,2)),"")</f>
        <v/>
      </c>
      <c r="M207">
        <f>IF(B207,(1+Trend)^D207,"")</f>
        <v/>
      </c>
      <c r="N207">
        <f>IF(B207,EXP(SUMPRODUCT(LN(1+(EvEff-1)*INDEX(Affected,0,C207)*EXP(-((E207-EvCenter)^2)/(2*EvSigma^2))))),"")</f>
        <v/>
      </c>
      <c r="O207">
        <f>IF(B207,ROUND(MAX(0,J207*K207*L207*M207*N207),2),"")</f>
        <v/>
      </c>
    </row>
    <row r="208">
      <c r="A208" t="n">
        <v>207</v>
      </c>
      <c r="B208">
        <f>A208&lt;=MineCount*Days</f>
        <v/>
      </c>
      <c r="C208">
        <f>IF(B208,INT((A208-1)/Days)+1,"")</f>
        <v/>
      </c>
      <c r="D208">
        <f>IF(B208,MOD(A208-1,Days),"")</f>
        <v/>
      </c>
      <c r="E208" s="16">
        <f>IF(B208,StartDate+D208,"")</f>
        <v/>
      </c>
      <c r="F208">
        <f>IF(B208,MAX(MOD(SIN(Seed*0.1373+C208*12.9898+D208*78.233)*43758.5453,1),1E-9),"")</f>
        <v/>
      </c>
      <c r="G208">
        <f>IF(B208,MOD(SIN(Seed*0.5917+C208*39.3468+D208*11.135)*24634.6345,1),"")</f>
        <v/>
      </c>
      <c r="H208">
        <f>IF(B208,SQRT(-2*LN(F208))*COS(2*PI()*G208),"")</f>
        <v/>
      </c>
      <c r="I208">
        <f>IF(B208,IF(D208=0,H208,Rho*I207+SQRT(1-Rho^2)*H208),"")</f>
        <v/>
      </c>
      <c r="J208">
        <f>IF(B208,IF(Dist="Normal",DistA+DistB*I208,DistA+(DistB-DistA)*NORMSDIST(I208)),"")</f>
        <v/>
      </c>
      <c r="K208">
        <f>IF(B208,INDEX(MineScale,C208),"")</f>
        <v/>
      </c>
      <c r="L208">
        <f>IF(B208,INDEX(Dow,1,WEEKDAY(E208,2)),"")</f>
        <v/>
      </c>
      <c r="M208">
        <f>IF(B208,(1+Trend)^D208,"")</f>
        <v/>
      </c>
      <c r="N208">
        <f>IF(B208,EXP(SUMPRODUCT(LN(1+(EvEff-1)*INDEX(Affected,0,C208)*EXP(-((E208-EvCenter)^2)/(2*EvSigma^2))))),"")</f>
        <v/>
      </c>
      <c r="O208">
        <f>IF(B208,ROUND(MAX(0,J208*K208*L208*M208*N208),2),"")</f>
        <v/>
      </c>
    </row>
    <row r="209">
      <c r="A209" t="n">
        <v>208</v>
      </c>
      <c r="B209">
        <f>A209&lt;=MineCount*Days</f>
        <v/>
      </c>
      <c r="C209">
        <f>IF(B209,INT((A209-1)/Days)+1,"")</f>
        <v/>
      </c>
      <c r="D209">
        <f>IF(B209,MOD(A209-1,Days),"")</f>
        <v/>
      </c>
      <c r="E209" s="16">
        <f>IF(B209,StartDate+D209,"")</f>
        <v/>
      </c>
      <c r="F209">
        <f>IF(B209,MAX(MOD(SIN(Seed*0.1373+C209*12.9898+D209*78.233)*43758.5453,1),1E-9),"")</f>
        <v/>
      </c>
      <c r="G209">
        <f>IF(B209,MOD(SIN(Seed*0.5917+C209*39.3468+D209*11.135)*24634.6345,1),"")</f>
        <v/>
      </c>
      <c r="H209">
        <f>IF(B209,SQRT(-2*LN(F209))*COS(2*PI()*G209),"")</f>
        <v/>
      </c>
      <c r="I209">
        <f>IF(B209,IF(D209=0,H209,Rho*I208+SQRT(1-Rho^2)*H209),"")</f>
        <v/>
      </c>
      <c r="J209">
        <f>IF(B209,IF(Dist="Normal",DistA+DistB*I209,DistA+(DistB-DistA)*NORMSDIST(I209)),"")</f>
        <v/>
      </c>
      <c r="K209">
        <f>IF(B209,INDEX(MineScale,C209),"")</f>
        <v/>
      </c>
      <c r="L209">
        <f>IF(B209,INDEX(Dow,1,WEEKDAY(E209,2)),"")</f>
        <v/>
      </c>
      <c r="M209">
        <f>IF(B209,(1+Trend)^D209,"")</f>
        <v/>
      </c>
      <c r="N209">
        <f>IF(B209,EXP(SUMPRODUCT(LN(1+(EvEff-1)*INDEX(Affected,0,C209)*EXP(-((E209-EvCenter)^2)/(2*EvSigma^2))))),"")</f>
        <v/>
      </c>
      <c r="O209">
        <f>IF(B209,ROUND(MAX(0,J209*K209*L209*M209*N209),2),"")</f>
        <v/>
      </c>
    </row>
    <row r="210">
      <c r="A210" t="n">
        <v>209</v>
      </c>
      <c r="B210">
        <f>A210&lt;=MineCount*Days</f>
        <v/>
      </c>
      <c r="C210">
        <f>IF(B210,INT((A210-1)/Days)+1,"")</f>
        <v/>
      </c>
      <c r="D210">
        <f>IF(B210,MOD(A210-1,Days),"")</f>
        <v/>
      </c>
      <c r="E210" s="16">
        <f>IF(B210,StartDate+D210,"")</f>
        <v/>
      </c>
      <c r="F210">
        <f>IF(B210,MAX(MOD(SIN(Seed*0.1373+C210*12.9898+D210*78.233)*43758.5453,1),1E-9),"")</f>
        <v/>
      </c>
      <c r="G210">
        <f>IF(B210,MOD(SIN(Seed*0.5917+C210*39.3468+D210*11.135)*24634.6345,1),"")</f>
        <v/>
      </c>
      <c r="H210">
        <f>IF(B210,SQRT(-2*LN(F210))*COS(2*PI()*G210),"")</f>
        <v/>
      </c>
      <c r="I210">
        <f>IF(B210,IF(D210=0,H210,Rho*I209+SQRT(1-Rho^2)*H210),"")</f>
        <v/>
      </c>
      <c r="J210">
        <f>IF(B210,IF(Dist="Normal",DistA+DistB*I210,DistA+(DistB-DistA)*NORMSDIST(I210)),"")</f>
        <v/>
      </c>
      <c r="K210">
        <f>IF(B210,INDEX(MineScale,C210),"")</f>
        <v/>
      </c>
      <c r="L210">
        <f>IF(B210,INDEX(Dow,1,WEEKDAY(E210,2)),"")</f>
        <v/>
      </c>
      <c r="M210">
        <f>IF(B210,(1+Trend)^D210,"")</f>
        <v/>
      </c>
      <c r="N210">
        <f>IF(B210,EXP(SUMPRODUCT(LN(1+(EvEff-1)*INDEX(Affected,0,C210)*EXP(-((E210-EvCenter)^2)/(2*EvSigma^2))))),"")</f>
        <v/>
      </c>
      <c r="O210">
        <f>IF(B210,ROUND(MAX(0,J210*K210*L210*M210*N210),2),"")</f>
        <v/>
      </c>
    </row>
    <row r="211">
      <c r="A211" t="n">
        <v>210</v>
      </c>
      <c r="B211">
        <f>A211&lt;=MineCount*Days</f>
        <v/>
      </c>
      <c r="C211">
        <f>IF(B211,INT((A211-1)/Days)+1,"")</f>
        <v/>
      </c>
      <c r="D211">
        <f>IF(B211,MOD(A211-1,Days),"")</f>
        <v/>
      </c>
      <c r="E211" s="16">
        <f>IF(B211,StartDate+D211,"")</f>
        <v/>
      </c>
      <c r="F211">
        <f>IF(B211,MAX(MOD(SIN(Seed*0.1373+C211*12.9898+D211*78.233)*43758.5453,1),1E-9),"")</f>
        <v/>
      </c>
      <c r="G211">
        <f>IF(B211,MOD(SIN(Seed*0.5917+C211*39.3468+D211*11.135)*24634.6345,1),"")</f>
        <v/>
      </c>
      <c r="H211">
        <f>IF(B211,SQRT(-2*LN(F211))*COS(2*PI()*G211),"")</f>
        <v/>
      </c>
      <c r="I211">
        <f>IF(B211,IF(D211=0,H211,Rho*I210+SQRT(1-Rho^2)*H211),"")</f>
        <v/>
      </c>
      <c r="J211">
        <f>IF(B211,IF(Dist="Normal",DistA+DistB*I211,DistA+(DistB-DistA)*NORMSDIST(I211)),"")</f>
        <v/>
      </c>
      <c r="K211">
        <f>IF(B211,INDEX(MineScale,C211),"")</f>
        <v/>
      </c>
      <c r="L211">
        <f>IF(B211,INDEX(Dow,1,WEEKDAY(E211,2)),"")</f>
        <v/>
      </c>
      <c r="M211">
        <f>IF(B211,(1+Trend)^D211,"")</f>
        <v/>
      </c>
      <c r="N211">
        <f>IF(B211,EXP(SUMPRODUCT(LN(1+(EvEff-1)*INDEX(Affected,0,C211)*EXP(-((E211-EvCenter)^2)/(2*EvSigma^2))))),"")</f>
        <v/>
      </c>
      <c r="O211">
        <f>IF(B211,ROUND(MAX(0,J211*K211*L211*M211*N211),2),"")</f>
        <v/>
      </c>
    </row>
    <row r="212">
      <c r="A212" t="n">
        <v>211</v>
      </c>
      <c r="B212">
        <f>A212&lt;=MineCount*Days</f>
        <v/>
      </c>
      <c r="C212">
        <f>IF(B212,INT((A212-1)/Days)+1,"")</f>
        <v/>
      </c>
      <c r="D212">
        <f>IF(B212,MOD(A212-1,Days),"")</f>
        <v/>
      </c>
      <c r="E212" s="16">
        <f>IF(B212,StartDate+D212,"")</f>
        <v/>
      </c>
      <c r="F212">
        <f>IF(B212,MAX(MOD(SIN(Seed*0.1373+C212*12.9898+D212*78.233)*43758.5453,1),1E-9),"")</f>
        <v/>
      </c>
      <c r="G212">
        <f>IF(B212,MOD(SIN(Seed*0.5917+C212*39.3468+D212*11.135)*24634.6345,1),"")</f>
        <v/>
      </c>
      <c r="H212">
        <f>IF(B212,SQRT(-2*LN(F212))*COS(2*PI()*G212),"")</f>
        <v/>
      </c>
      <c r="I212">
        <f>IF(B212,IF(D212=0,H212,Rho*I211+SQRT(1-Rho^2)*H212),"")</f>
        <v/>
      </c>
      <c r="J212">
        <f>IF(B212,IF(Dist="Normal",DistA+DistB*I212,DistA+(DistB-DistA)*NORMSDIST(I212)),"")</f>
        <v/>
      </c>
      <c r="K212">
        <f>IF(B212,INDEX(MineScale,C212),"")</f>
        <v/>
      </c>
      <c r="L212">
        <f>IF(B212,INDEX(Dow,1,WEEKDAY(E212,2)),"")</f>
        <v/>
      </c>
      <c r="M212">
        <f>IF(B212,(1+Trend)^D212,"")</f>
        <v/>
      </c>
      <c r="N212">
        <f>IF(B212,EXP(SUMPRODUCT(LN(1+(EvEff-1)*INDEX(Affected,0,C212)*EXP(-((E212-EvCenter)^2)/(2*EvSigma^2))))),"")</f>
        <v/>
      </c>
      <c r="O212">
        <f>IF(B212,ROUND(MAX(0,J212*K212*L212*M212*N212),2),"")</f>
        <v/>
      </c>
    </row>
    <row r="213">
      <c r="A213" t="n">
        <v>212</v>
      </c>
      <c r="B213">
        <f>A213&lt;=MineCount*Days</f>
        <v/>
      </c>
      <c r="C213">
        <f>IF(B213,INT((A213-1)/Days)+1,"")</f>
        <v/>
      </c>
      <c r="D213">
        <f>IF(B213,MOD(A213-1,Days),"")</f>
        <v/>
      </c>
      <c r="E213" s="16">
        <f>IF(B213,StartDate+D213,"")</f>
        <v/>
      </c>
      <c r="F213">
        <f>IF(B213,MAX(MOD(SIN(Seed*0.1373+C213*12.9898+D213*78.233)*43758.5453,1),1E-9),"")</f>
        <v/>
      </c>
      <c r="G213">
        <f>IF(B213,MOD(SIN(Seed*0.5917+C213*39.3468+D213*11.135)*24634.6345,1),"")</f>
        <v/>
      </c>
      <c r="H213">
        <f>IF(B213,SQRT(-2*LN(F213))*COS(2*PI()*G213),"")</f>
        <v/>
      </c>
      <c r="I213">
        <f>IF(B213,IF(D213=0,H213,Rho*I212+SQRT(1-Rho^2)*H213),"")</f>
        <v/>
      </c>
      <c r="J213">
        <f>IF(B213,IF(Dist="Normal",DistA+DistB*I213,DistA+(DistB-DistA)*NORMSDIST(I213)),"")</f>
        <v/>
      </c>
      <c r="K213">
        <f>IF(B213,INDEX(MineScale,C213),"")</f>
        <v/>
      </c>
      <c r="L213">
        <f>IF(B213,INDEX(Dow,1,WEEKDAY(E213,2)),"")</f>
        <v/>
      </c>
      <c r="M213">
        <f>IF(B213,(1+Trend)^D213,"")</f>
        <v/>
      </c>
      <c r="N213">
        <f>IF(B213,EXP(SUMPRODUCT(LN(1+(EvEff-1)*INDEX(Affected,0,C213)*EXP(-((E213-EvCenter)^2)/(2*EvSigma^2))))),"")</f>
        <v/>
      </c>
      <c r="O213">
        <f>IF(B213,ROUND(MAX(0,J213*K213*L213*M213*N213),2),"")</f>
        <v/>
      </c>
    </row>
    <row r="214">
      <c r="A214" t="n">
        <v>213</v>
      </c>
      <c r="B214">
        <f>A214&lt;=MineCount*Days</f>
        <v/>
      </c>
      <c r="C214">
        <f>IF(B214,INT((A214-1)/Days)+1,"")</f>
        <v/>
      </c>
      <c r="D214">
        <f>IF(B214,MOD(A214-1,Days),"")</f>
        <v/>
      </c>
      <c r="E214" s="16">
        <f>IF(B214,StartDate+D214,"")</f>
        <v/>
      </c>
      <c r="F214">
        <f>IF(B214,MAX(MOD(SIN(Seed*0.1373+C214*12.9898+D214*78.233)*43758.5453,1),1E-9),"")</f>
        <v/>
      </c>
      <c r="G214">
        <f>IF(B214,MOD(SIN(Seed*0.5917+C214*39.3468+D214*11.135)*24634.6345,1),"")</f>
        <v/>
      </c>
      <c r="H214">
        <f>IF(B214,SQRT(-2*LN(F214))*COS(2*PI()*G214),"")</f>
        <v/>
      </c>
      <c r="I214">
        <f>IF(B214,IF(D214=0,H214,Rho*I213+SQRT(1-Rho^2)*H214),"")</f>
        <v/>
      </c>
      <c r="J214">
        <f>IF(B214,IF(Dist="Normal",DistA+DistB*I214,DistA+(DistB-DistA)*NORMSDIST(I214)),"")</f>
        <v/>
      </c>
      <c r="K214">
        <f>IF(B214,INDEX(MineScale,C214),"")</f>
        <v/>
      </c>
      <c r="L214">
        <f>IF(B214,INDEX(Dow,1,WEEKDAY(E214,2)),"")</f>
        <v/>
      </c>
      <c r="M214">
        <f>IF(B214,(1+Trend)^D214,"")</f>
        <v/>
      </c>
      <c r="N214">
        <f>IF(B214,EXP(SUMPRODUCT(LN(1+(EvEff-1)*INDEX(Affected,0,C214)*EXP(-((E214-EvCenter)^2)/(2*EvSigma^2))))),"")</f>
        <v/>
      </c>
      <c r="O214">
        <f>IF(B214,ROUND(MAX(0,J214*K214*L214*M214*N214),2),"")</f>
        <v/>
      </c>
    </row>
    <row r="215">
      <c r="A215" t="n">
        <v>214</v>
      </c>
      <c r="B215">
        <f>A215&lt;=MineCount*Days</f>
        <v/>
      </c>
      <c r="C215">
        <f>IF(B215,INT((A215-1)/Days)+1,"")</f>
        <v/>
      </c>
      <c r="D215">
        <f>IF(B215,MOD(A215-1,Days),"")</f>
        <v/>
      </c>
      <c r="E215" s="16">
        <f>IF(B215,StartDate+D215,"")</f>
        <v/>
      </c>
      <c r="F215">
        <f>IF(B215,MAX(MOD(SIN(Seed*0.1373+C215*12.9898+D215*78.233)*43758.5453,1),1E-9),"")</f>
        <v/>
      </c>
      <c r="G215">
        <f>IF(B215,MOD(SIN(Seed*0.5917+C215*39.3468+D215*11.135)*24634.6345,1),"")</f>
        <v/>
      </c>
      <c r="H215">
        <f>IF(B215,SQRT(-2*LN(F215))*COS(2*PI()*G215),"")</f>
        <v/>
      </c>
      <c r="I215">
        <f>IF(B215,IF(D215=0,H215,Rho*I214+SQRT(1-Rho^2)*H215),"")</f>
        <v/>
      </c>
      <c r="J215">
        <f>IF(B215,IF(Dist="Normal",DistA+DistB*I215,DistA+(DistB-DistA)*NORMSDIST(I215)),"")</f>
        <v/>
      </c>
      <c r="K215">
        <f>IF(B215,INDEX(MineScale,C215),"")</f>
        <v/>
      </c>
      <c r="L215">
        <f>IF(B215,INDEX(Dow,1,WEEKDAY(E215,2)),"")</f>
        <v/>
      </c>
      <c r="M215">
        <f>IF(B215,(1+Trend)^D215,"")</f>
        <v/>
      </c>
      <c r="N215">
        <f>IF(B215,EXP(SUMPRODUCT(LN(1+(EvEff-1)*INDEX(Affected,0,C215)*EXP(-((E215-EvCenter)^2)/(2*EvSigma^2))))),"")</f>
        <v/>
      </c>
      <c r="O215">
        <f>IF(B215,ROUND(MAX(0,J215*K215*L215*M215*N215),2),"")</f>
        <v/>
      </c>
    </row>
    <row r="216">
      <c r="A216" t="n">
        <v>215</v>
      </c>
      <c r="B216">
        <f>A216&lt;=MineCount*Days</f>
        <v/>
      </c>
      <c r="C216">
        <f>IF(B216,INT((A216-1)/Days)+1,"")</f>
        <v/>
      </c>
      <c r="D216">
        <f>IF(B216,MOD(A216-1,Days),"")</f>
        <v/>
      </c>
      <c r="E216" s="16">
        <f>IF(B216,StartDate+D216,"")</f>
        <v/>
      </c>
      <c r="F216">
        <f>IF(B216,MAX(MOD(SIN(Seed*0.1373+C216*12.9898+D216*78.233)*43758.5453,1),1E-9),"")</f>
        <v/>
      </c>
      <c r="G216">
        <f>IF(B216,MOD(SIN(Seed*0.5917+C216*39.3468+D216*11.135)*24634.6345,1),"")</f>
        <v/>
      </c>
      <c r="H216">
        <f>IF(B216,SQRT(-2*LN(F216))*COS(2*PI()*G216),"")</f>
        <v/>
      </c>
      <c r="I216">
        <f>IF(B216,IF(D216=0,H216,Rho*I215+SQRT(1-Rho^2)*H216),"")</f>
        <v/>
      </c>
      <c r="J216">
        <f>IF(B216,IF(Dist="Normal",DistA+DistB*I216,DistA+(DistB-DistA)*NORMSDIST(I216)),"")</f>
        <v/>
      </c>
      <c r="K216">
        <f>IF(B216,INDEX(MineScale,C216),"")</f>
        <v/>
      </c>
      <c r="L216">
        <f>IF(B216,INDEX(Dow,1,WEEKDAY(E216,2)),"")</f>
        <v/>
      </c>
      <c r="M216">
        <f>IF(B216,(1+Trend)^D216,"")</f>
        <v/>
      </c>
      <c r="N216">
        <f>IF(B216,EXP(SUMPRODUCT(LN(1+(EvEff-1)*INDEX(Affected,0,C216)*EXP(-((E216-EvCenter)^2)/(2*EvSigma^2))))),"")</f>
        <v/>
      </c>
      <c r="O216">
        <f>IF(B216,ROUND(MAX(0,J216*K216*L216*M216*N216),2),"")</f>
        <v/>
      </c>
    </row>
    <row r="217">
      <c r="A217" t="n">
        <v>216</v>
      </c>
      <c r="B217">
        <f>A217&lt;=MineCount*Days</f>
        <v/>
      </c>
      <c r="C217">
        <f>IF(B217,INT((A217-1)/Days)+1,"")</f>
        <v/>
      </c>
      <c r="D217">
        <f>IF(B217,MOD(A217-1,Days),"")</f>
        <v/>
      </c>
      <c r="E217" s="16">
        <f>IF(B217,StartDate+D217,"")</f>
        <v/>
      </c>
      <c r="F217">
        <f>IF(B217,MAX(MOD(SIN(Seed*0.1373+C217*12.9898+D217*78.233)*43758.5453,1),1E-9),"")</f>
        <v/>
      </c>
      <c r="G217">
        <f>IF(B217,MOD(SIN(Seed*0.5917+C217*39.3468+D217*11.135)*24634.6345,1),"")</f>
        <v/>
      </c>
      <c r="H217">
        <f>IF(B217,SQRT(-2*LN(F217))*COS(2*PI()*G217),"")</f>
        <v/>
      </c>
      <c r="I217">
        <f>IF(B217,IF(D217=0,H217,Rho*I216+SQRT(1-Rho^2)*H217),"")</f>
        <v/>
      </c>
      <c r="J217">
        <f>IF(B217,IF(Dist="Normal",DistA+DistB*I217,DistA+(DistB-DistA)*NORMSDIST(I217)),"")</f>
        <v/>
      </c>
      <c r="K217">
        <f>IF(B217,INDEX(MineScale,C217),"")</f>
        <v/>
      </c>
      <c r="L217">
        <f>IF(B217,INDEX(Dow,1,WEEKDAY(E217,2)),"")</f>
        <v/>
      </c>
      <c r="M217">
        <f>IF(B217,(1+Trend)^D217,"")</f>
        <v/>
      </c>
      <c r="N217">
        <f>IF(B217,EXP(SUMPRODUCT(LN(1+(EvEff-1)*INDEX(Affected,0,C217)*EXP(-((E217-EvCenter)^2)/(2*EvSigma^2))))),"")</f>
        <v/>
      </c>
      <c r="O217">
        <f>IF(B217,ROUND(MAX(0,J217*K217*L217*M217*N217),2),"")</f>
        <v/>
      </c>
    </row>
    <row r="218">
      <c r="A218" t="n">
        <v>217</v>
      </c>
      <c r="B218">
        <f>A218&lt;=MineCount*Days</f>
        <v/>
      </c>
      <c r="C218">
        <f>IF(B218,INT((A218-1)/Days)+1,"")</f>
        <v/>
      </c>
      <c r="D218">
        <f>IF(B218,MOD(A218-1,Days),"")</f>
        <v/>
      </c>
      <c r="E218" s="16">
        <f>IF(B218,StartDate+D218,"")</f>
        <v/>
      </c>
      <c r="F218">
        <f>IF(B218,MAX(MOD(SIN(Seed*0.1373+C218*12.9898+D218*78.233)*43758.5453,1),1E-9),"")</f>
        <v/>
      </c>
      <c r="G218">
        <f>IF(B218,MOD(SIN(Seed*0.5917+C218*39.3468+D218*11.135)*24634.6345,1),"")</f>
        <v/>
      </c>
      <c r="H218">
        <f>IF(B218,SQRT(-2*LN(F218))*COS(2*PI()*G218),"")</f>
        <v/>
      </c>
      <c r="I218">
        <f>IF(B218,IF(D218=0,H218,Rho*I217+SQRT(1-Rho^2)*H218),"")</f>
        <v/>
      </c>
      <c r="J218">
        <f>IF(B218,IF(Dist="Normal",DistA+DistB*I218,DistA+(DistB-DistA)*NORMSDIST(I218)),"")</f>
        <v/>
      </c>
      <c r="K218">
        <f>IF(B218,INDEX(MineScale,C218),"")</f>
        <v/>
      </c>
      <c r="L218">
        <f>IF(B218,INDEX(Dow,1,WEEKDAY(E218,2)),"")</f>
        <v/>
      </c>
      <c r="M218">
        <f>IF(B218,(1+Trend)^D218,"")</f>
        <v/>
      </c>
      <c r="N218">
        <f>IF(B218,EXP(SUMPRODUCT(LN(1+(EvEff-1)*INDEX(Affected,0,C218)*EXP(-((E218-EvCenter)^2)/(2*EvSigma^2))))),"")</f>
        <v/>
      </c>
      <c r="O218">
        <f>IF(B218,ROUND(MAX(0,J218*K218*L218*M218*N218),2),"")</f>
        <v/>
      </c>
    </row>
    <row r="219">
      <c r="A219" t="n">
        <v>218</v>
      </c>
      <c r="B219">
        <f>A219&lt;=MineCount*Days</f>
        <v/>
      </c>
      <c r="C219">
        <f>IF(B219,INT((A219-1)/Days)+1,"")</f>
        <v/>
      </c>
      <c r="D219">
        <f>IF(B219,MOD(A219-1,Days),"")</f>
        <v/>
      </c>
      <c r="E219" s="16">
        <f>IF(B219,StartDate+D219,"")</f>
        <v/>
      </c>
      <c r="F219">
        <f>IF(B219,MAX(MOD(SIN(Seed*0.1373+C219*12.9898+D219*78.233)*43758.5453,1),1E-9),"")</f>
        <v/>
      </c>
      <c r="G219">
        <f>IF(B219,MOD(SIN(Seed*0.5917+C219*39.3468+D219*11.135)*24634.6345,1),"")</f>
        <v/>
      </c>
      <c r="H219">
        <f>IF(B219,SQRT(-2*LN(F219))*COS(2*PI()*G219),"")</f>
        <v/>
      </c>
      <c r="I219">
        <f>IF(B219,IF(D219=0,H219,Rho*I218+SQRT(1-Rho^2)*H219),"")</f>
        <v/>
      </c>
      <c r="J219">
        <f>IF(B219,IF(Dist="Normal",DistA+DistB*I219,DistA+(DistB-DistA)*NORMSDIST(I219)),"")</f>
        <v/>
      </c>
      <c r="K219">
        <f>IF(B219,INDEX(MineScale,C219),"")</f>
        <v/>
      </c>
      <c r="L219">
        <f>IF(B219,INDEX(Dow,1,WEEKDAY(E219,2)),"")</f>
        <v/>
      </c>
      <c r="M219">
        <f>IF(B219,(1+Trend)^D219,"")</f>
        <v/>
      </c>
      <c r="N219">
        <f>IF(B219,EXP(SUMPRODUCT(LN(1+(EvEff-1)*INDEX(Affected,0,C219)*EXP(-((E219-EvCenter)^2)/(2*EvSigma^2))))),"")</f>
        <v/>
      </c>
      <c r="O219">
        <f>IF(B219,ROUND(MAX(0,J219*K219*L219*M219*N219),2),"")</f>
        <v/>
      </c>
    </row>
    <row r="220">
      <c r="A220" t="n">
        <v>219</v>
      </c>
      <c r="B220">
        <f>A220&lt;=MineCount*Days</f>
        <v/>
      </c>
      <c r="C220">
        <f>IF(B220,INT((A220-1)/Days)+1,"")</f>
        <v/>
      </c>
      <c r="D220">
        <f>IF(B220,MOD(A220-1,Days),"")</f>
        <v/>
      </c>
      <c r="E220" s="16">
        <f>IF(B220,StartDate+D220,"")</f>
        <v/>
      </c>
      <c r="F220">
        <f>IF(B220,MAX(MOD(SIN(Seed*0.1373+C220*12.9898+D220*78.233)*43758.5453,1),1E-9),"")</f>
        <v/>
      </c>
      <c r="G220">
        <f>IF(B220,MOD(SIN(Seed*0.5917+C220*39.3468+D220*11.135)*24634.6345,1),"")</f>
        <v/>
      </c>
      <c r="H220">
        <f>IF(B220,SQRT(-2*LN(F220))*COS(2*PI()*G220),"")</f>
        <v/>
      </c>
      <c r="I220">
        <f>IF(B220,IF(D220=0,H220,Rho*I219+SQRT(1-Rho^2)*H220),"")</f>
        <v/>
      </c>
      <c r="J220">
        <f>IF(B220,IF(Dist="Normal",DistA+DistB*I220,DistA+(DistB-DistA)*NORMSDIST(I220)),"")</f>
        <v/>
      </c>
      <c r="K220">
        <f>IF(B220,INDEX(MineScale,C220),"")</f>
        <v/>
      </c>
      <c r="L220">
        <f>IF(B220,INDEX(Dow,1,WEEKDAY(E220,2)),"")</f>
        <v/>
      </c>
      <c r="M220">
        <f>IF(B220,(1+Trend)^D220,"")</f>
        <v/>
      </c>
      <c r="N220">
        <f>IF(B220,EXP(SUMPRODUCT(LN(1+(EvEff-1)*INDEX(Affected,0,C220)*EXP(-((E220-EvCenter)^2)/(2*EvSigma^2))))),"")</f>
        <v/>
      </c>
      <c r="O220">
        <f>IF(B220,ROUND(MAX(0,J220*K220*L220*M220*N220),2),"")</f>
        <v/>
      </c>
    </row>
    <row r="221">
      <c r="A221" t="n">
        <v>220</v>
      </c>
      <c r="B221">
        <f>A221&lt;=MineCount*Days</f>
        <v/>
      </c>
      <c r="C221">
        <f>IF(B221,INT((A221-1)/Days)+1,"")</f>
        <v/>
      </c>
      <c r="D221">
        <f>IF(B221,MOD(A221-1,Days),"")</f>
        <v/>
      </c>
      <c r="E221" s="16">
        <f>IF(B221,StartDate+D221,"")</f>
        <v/>
      </c>
      <c r="F221">
        <f>IF(B221,MAX(MOD(SIN(Seed*0.1373+C221*12.9898+D221*78.233)*43758.5453,1),1E-9),"")</f>
        <v/>
      </c>
      <c r="G221">
        <f>IF(B221,MOD(SIN(Seed*0.5917+C221*39.3468+D221*11.135)*24634.6345,1),"")</f>
        <v/>
      </c>
      <c r="H221">
        <f>IF(B221,SQRT(-2*LN(F221))*COS(2*PI()*G221),"")</f>
        <v/>
      </c>
      <c r="I221">
        <f>IF(B221,IF(D221=0,H221,Rho*I220+SQRT(1-Rho^2)*H221),"")</f>
        <v/>
      </c>
      <c r="J221">
        <f>IF(B221,IF(Dist="Normal",DistA+DistB*I221,DistA+(DistB-DistA)*NORMSDIST(I221)),"")</f>
        <v/>
      </c>
      <c r="K221">
        <f>IF(B221,INDEX(MineScale,C221),"")</f>
        <v/>
      </c>
      <c r="L221">
        <f>IF(B221,INDEX(Dow,1,WEEKDAY(E221,2)),"")</f>
        <v/>
      </c>
      <c r="M221">
        <f>IF(B221,(1+Trend)^D221,"")</f>
        <v/>
      </c>
      <c r="N221">
        <f>IF(B221,EXP(SUMPRODUCT(LN(1+(EvEff-1)*INDEX(Affected,0,C221)*EXP(-((E221-EvCenter)^2)/(2*EvSigma^2))))),"")</f>
        <v/>
      </c>
      <c r="O221">
        <f>IF(B221,ROUND(MAX(0,J221*K221*L221*M221*N221),2),"")</f>
        <v/>
      </c>
    </row>
    <row r="222">
      <c r="A222" t="n">
        <v>221</v>
      </c>
      <c r="B222">
        <f>A222&lt;=MineCount*Days</f>
        <v/>
      </c>
      <c r="C222">
        <f>IF(B222,INT((A222-1)/Days)+1,"")</f>
        <v/>
      </c>
      <c r="D222">
        <f>IF(B222,MOD(A222-1,Days),"")</f>
        <v/>
      </c>
      <c r="E222" s="16">
        <f>IF(B222,StartDate+D222,"")</f>
        <v/>
      </c>
      <c r="F222">
        <f>IF(B222,MAX(MOD(SIN(Seed*0.1373+C222*12.9898+D222*78.233)*43758.5453,1),1E-9),"")</f>
        <v/>
      </c>
      <c r="G222">
        <f>IF(B222,MOD(SIN(Seed*0.5917+C222*39.3468+D222*11.135)*24634.6345,1),"")</f>
        <v/>
      </c>
      <c r="H222">
        <f>IF(B222,SQRT(-2*LN(F222))*COS(2*PI()*G222),"")</f>
        <v/>
      </c>
      <c r="I222">
        <f>IF(B222,IF(D222=0,H222,Rho*I221+SQRT(1-Rho^2)*H222),"")</f>
        <v/>
      </c>
      <c r="J222">
        <f>IF(B222,IF(Dist="Normal",DistA+DistB*I222,DistA+(DistB-DistA)*NORMSDIST(I222)),"")</f>
        <v/>
      </c>
      <c r="K222">
        <f>IF(B222,INDEX(MineScale,C222),"")</f>
        <v/>
      </c>
      <c r="L222">
        <f>IF(B222,INDEX(Dow,1,WEEKDAY(E222,2)),"")</f>
        <v/>
      </c>
      <c r="M222">
        <f>IF(B222,(1+Trend)^D222,"")</f>
        <v/>
      </c>
      <c r="N222">
        <f>IF(B222,EXP(SUMPRODUCT(LN(1+(EvEff-1)*INDEX(Affected,0,C222)*EXP(-((E222-EvCenter)^2)/(2*EvSigma^2))))),"")</f>
        <v/>
      </c>
      <c r="O222">
        <f>IF(B222,ROUND(MAX(0,J222*K222*L222*M222*N222),2),"")</f>
        <v/>
      </c>
    </row>
    <row r="223">
      <c r="A223" t="n">
        <v>222</v>
      </c>
      <c r="B223">
        <f>A223&lt;=MineCount*Days</f>
        <v/>
      </c>
      <c r="C223">
        <f>IF(B223,INT((A223-1)/Days)+1,"")</f>
        <v/>
      </c>
      <c r="D223">
        <f>IF(B223,MOD(A223-1,Days),"")</f>
        <v/>
      </c>
      <c r="E223" s="16">
        <f>IF(B223,StartDate+D223,"")</f>
        <v/>
      </c>
      <c r="F223">
        <f>IF(B223,MAX(MOD(SIN(Seed*0.1373+C223*12.9898+D223*78.233)*43758.5453,1),1E-9),"")</f>
        <v/>
      </c>
      <c r="G223">
        <f>IF(B223,MOD(SIN(Seed*0.5917+C223*39.3468+D223*11.135)*24634.6345,1),"")</f>
        <v/>
      </c>
      <c r="H223">
        <f>IF(B223,SQRT(-2*LN(F223))*COS(2*PI()*G223),"")</f>
        <v/>
      </c>
      <c r="I223">
        <f>IF(B223,IF(D223=0,H223,Rho*I222+SQRT(1-Rho^2)*H223),"")</f>
        <v/>
      </c>
      <c r="J223">
        <f>IF(B223,IF(Dist="Normal",DistA+DistB*I223,DistA+(DistB-DistA)*NORMSDIST(I223)),"")</f>
        <v/>
      </c>
      <c r="K223">
        <f>IF(B223,INDEX(MineScale,C223),"")</f>
        <v/>
      </c>
      <c r="L223">
        <f>IF(B223,INDEX(Dow,1,WEEKDAY(E223,2)),"")</f>
        <v/>
      </c>
      <c r="M223">
        <f>IF(B223,(1+Trend)^D223,"")</f>
        <v/>
      </c>
      <c r="N223">
        <f>IF(B223,EXP(SUMPRODUCT(LN(1+(EvEff-1)*INDEX(Affected,0,C223)*EXP(-((E223-EvCenter)^2)/(2*EvSigma^2))))),"")</f>
        <v/>
      </c>
      <c r="O223">
        <f>IF(B223,ROUND(MAX(0,J223*K223*L223*M223*N223),2),"")</f>
        <v/>
      </c>
    </row>
    <row r="224">
      <c r="A224" t="n">
        <v>223</v>
      </c>
      <c r="B224">
        <f>A224&lt;=MineCount*Days</f>
        <v/>
      </c>
      <c r="C224">
        <f>IF(B224,INT((A224-1)/Days)+1,"")</f>
        <v/>
      </c>
      <c r="D224">
        <f>IF(B224,MOD(A224-1,Days),"")</f>
        <v/>
      </c>
      <c r="E224" s="16">
        <f>IF(B224,StartDate+D224,"")</f>
        <v/>
      </c>
      <c r="F224">
        <f>IF(B224,MAX(MOD(SIN(Seed*0.1373+C224*12.9898+D224*78.233)*43758.5453,1),1E-9),"")</f>
        <v/>
      </c>
      <c r="G224">
        <f>IF(B224,MOD(SIN(Seed*0.5917+C224*39.3468+D224*11.135)*24634.6345,1),"")</f>
        <v/>
      </c>
      <c r="H224">
        <f>IF(B224,SQRT(-2*LN(F224))*COS(2*PI()*G224),"")</f>
        <v/>
      </c>
      <c r="I224">
        <f>IF(B224,IF(D224=0,H224,Rho*I223+SQRT(1-Rho^2)*H224),"")</f>
        <v/>
      </c>
      <c r="J224">
        <f>IF(B224,IF(Dist="Normal",DistA+DistB*I224,DistA+(DistB-DistA)*NORMSDIST(I224)),"")</f>
        <v/>
      </c>
      <c r="K224">
        <f>IF(B224,INDEX(MineScale,C224),"")</f>
        <v/>
      </c>
      <c r="L224">
        <f>IF(B224,INDEX(Dow,1,WEEKDAY(E224,2)),"")</f>
        <v/>
      </c>
      <c r="M224">
        <f>IF(B224,(1+Trend)^D224,"")</f>
        <v/>
      </c>
      <c r="N224">
        <f>IF(B224,EXP(SUMPRODUCT(LN(1+(EvEff-1)*INDEX(Affected,0,C224)*EXP(-((E224-EvCenter)^2)/(2*EvSigma^2))))),"")</f>
        <v/>
      </c>
      <c r="O224">
        <f>IF(B224,ROUND(MAX(0,J224*K224*L224*M224*N224),2),"")</f>
        <v/>
      </c>
    </row>
    <row r="225">
      <c r="A225" t="n">
        <v>224</v>
      </c>
      <c r="B225">
        <f>A225&lt;=MineCount*Days</f>
        <v/>
      </c>
      <c r="C225">
        <f>IF(B225,INT((A225-1)/Days)+1,"")</f>
        <v/>
      </c>
      <c r="D225">
        <f>IF(B225,MOD(A225-1,Days),"")</f>
        <v/>
      </c>
      <c r="E225" s="16">
        <f>IF(B225,StartDate+D225,"")</f>
        <v/>
      </c>
      <c r="F225">
        <f>IF(B225,MAX(MOD(SIN(Seed*0.1373+C225*12.9898+D225*78.233)*43758.5453,1),1E-9),"")</f>
        <v/>
      </c>
      <c r="G225">
        <f>IF(B225,MOD(SIN(Seed*0.5917+C225*39.3468+D225*11.135)*24634.6345,1),"")</f>
        <v/>
      </c>
      <c r="H225">
        <f>IF(B225,SQRT(-2*LN(F225))*COS(2*PI()*G225),"")</f>
        <v/>
      </c>
      <c r="I225">
        <f>IF(B225,IF(D225=0,H225,Rho*I224+SQRT(1-Rho^2)*H225),"")</f>
        <v/>
      </c>
      <c r="J225">
        <f>IF(B225,IF(Dist="Normal",DistA+DistB*I225,DistA+(DistB-DistA)*NORMSDIST(I225)),"")</f>
        <v/>
      </c>
      <c r="K225">
        <f>IF(B225,INDEX(MineScale,C225),"")</f>
        <v/>
      </c>
      <c r="L225">
        <f>IF(B225,INDEX(Dow,1,WEEKDAY(E225,2)),"")</f>
        <v/>
      </c>
      <c r="M225">
        <f>IF(B225,(1+Trend)^D225,"")</f>
        <v/>
      </c>
      <c r="N225">
        <f>IF(B225,EXP(SUMPRODUCT(LN(1+(EvEff-1)*INDEX(Affected,0,C225)*EXP(-((E225-EvCenter)^2)/(2*EvSigma^2))))),"")</f>
        <v/>
      </c>
      <c r="O225">
        <f>IF(B225,ROUND(MAX(0,J225*K225*L225*M225*N225),2),"")</f>
        <v/>
      </c>
    </row>
    <row r="226">
      <c r="A226" t="n">
        <v>225</v>
      </c>
      <c r="B226">
        <f>A226&lt;=MineCount*Days</f>
        <v/>
      </c>
      <c r="C226">
        <f>IF(B226,INT((A226-1)/Days)+1,"")</f>
        <v/>
      </c>
      <c r="D226">
        <f>IF(B226,MOD(A226-1,Days),"")</f>
        <v/>
      </c>
      <c r="E226" s="16">
        <f>IF(B226,StartDate+D226,"")</f>
        <v/>
      </c>
      <c r="F226">
        <f>IF(B226,MAX(MOD(SIN(Seed*0.1373+C226*12.9898+D226*78.233)*43758.5453,1),1E-9),"")</f>
        <v/>
      </c>
      <c r="G226">
        <f>IF(B226,MOD(SIN(Seed*0.5917+C226*39.3468+D226*11.135)*24634.6345,1),"")</f>
        <v/>
      </c>
      <c r="H226">
        <f>IF(B226,SQRT(-2*LN(F226))*COS(2*PI()*G226),"")</f>
        <v/>
      </c>
      <c r="I226">
        <f>IF(B226,IF(D226=0,H226,Rho*I225+SQRT(1-Rho^2)*H226),"")</f>
        <v/>
      </c>
      <c r="J226">
        <f>IF(B226,IF(Dist="Normal",DistA+DistB*I226,DistA+(DistB-DistA)*NORMSDIST(I226)),"")</f>
        <v/>
      </c>
      <c r="K226">
        <f>IF(B226,INDEX(MineScale,C226),"")</f>
        <v/>
      </c>
      <c r="L226">
        <f>IF(B226,INDEX(Dow,1,WEEKDAY(E226,2)),"")</f>
        <v/>
      </c>
      <c r="M226">
        <f>IF(B226,(1+Trend)^D226,"")</f>
        <v/>
      </c>
      <c r="N226">
        <f>IF(B226,EXP(SUMPRODUCT(LN(1+(EvEff-1)*INDEX(Affected,0,C226)*EXP(-((E226-EvCenter)^2)/(2*EvSigma^2))))),"")</f>
        <v/>
      </c>
      <c r="O226">
        <f>IF(B226,ROUND(MAX(0,J226*K226*L226*M226*N226),2),"")</f>
        <v/>
      </c>
    </row>
    <row r="227">
      <c r="A227" t="n">
        <v>226</v>
      </c>
      <c r="B227">
        <f>A227&lt;=MineCount*Days</f>
        <v/>
      </c>
      <c r="C227">
        <f>IF(B227,INT((A227-1)/Days)+1,"")</f>
        <v/>
      </c>
      <c r="D227">
        <f>IF(B227,MOD(A227-1,Days),"")</f>
        <v/>
      </c>
      <c r="E227" s="16">
        <f>IF(B227,StartDate+D227,"")</f>
        <v/>
      </c>
      <c r="F227">
        <f>IF(B227,MAX(MOD(SIN(Seed*0.1373+C227*12.9898+D227*78.233)*43758.5453,1),1E-9),"")</f>
        <v/>
      </c>
      <c r="G227">
        <f>IF(B227,MOD(SIN(Seed*0.5917+C227*39.3468+D227*11.135)*24634.6345,1),"")</f>
        <v/>
      </c>
      <c r="H227">
        <f>IF(B227,SQRT(-2*LN(F227))*COS(2*PI()*G227),"")</f>
        <v/>
      </c>
      <c r="I227">
        <f>IF(B227,IF(D227=0,H227,Rho*I226+SQRT(1-Rho^2)*H227),"")</f>
        <v/>
      </c>
      <c r="J227">
        <f>IF(B227,IF(Dist="Normal",DistA+DistB*I227,DistA+(DistB-DistA)*NORMSDIST(I227)),"")</f>
        <v/>
      </c>
      <c r="K227">
        <f>IF(B227,INDEX(MineScale,C227),"")</f>
        <v/>
      </c>
      <c r="L227">
        <f>IF(B227,INDEX(Dow,1,WEEKDAY(E227,2)),"")</f>
        <v/>
      </c>
      <c r="M227">
        <f>IF(B227,(1+Trend)^D227,"")</f>
        <v/>
      </c>
      <c r="N227">
        <f>IF(B227,EXP(SUMPRODUCT(LN(1+(EvEff-1)*INDEX(Affected,0,C227)*EXP(-((E227-EvCenter)^2)/(2*EvSigma^2))))),"")</f>
        <v/>
      </c>
      <c r="O227">
        <f>IF(B227,ROUND(MAX(0,J227*K227*L227*M227*N227),2),"")</f>
        <v/>
      </c>
    </row>
    <row r="228">
      <c r="A228" t="n">
        <v>227</v>
      </c>
      <c r="B228">
        <f>A228&lt;=MineCount*Days</f>
        <v/>
      </c>
      <c r="C228">
        <f>IF(B228,INT((A228-1)/Days)+1,"")</f>
        <v/>
      </c>
      <c r="D228">
        <f>IF(B228,MOD(A228-1,Days),"")</f>
        <v/>
      </c>
      <c r="E228" s="16">
        <f>IF(B228,StartDate+D228,"")</f>
        <v/>
      </c>
      <c r="F228">
        <f>IF(B228,MAX(MOD(SIN(Seed*0.1373+C228*12.9898+D228*78.233)*43758.5453,1),1E-9),"")</f>
        <v/>
      </c>
      <c r="G228">
        <f>IF(B228,MOD(SIN(Seed*0.5917+C228*39.3468+D228*11.135)*24634.6345,1),"")</f>
        <v/>
      </c>
      <c r="H228">
        <f>IF(B228,SQRT(-2*LN(F228))*COS(2*PI()*G228),"")</f>
        <v/>
      </c>
      <c r="I228">
        <f>IF(B228,IF(D228=0,H228,Rho*I227+SQRT(1-Rho^2)*H228),"")</f>
        <v/>
      </c>
      <c r="J228">
        <f>IF(B228,IF(Dist="Normal",DistA+DistB*I228,DistA+(DistB-DistA)*NORMSDIST(I228)),"")</f>
        <v/>
      </c>
      <c r="K228">
        <f>IF(B228,INDEX(MineScale,C228),"")</f>
        <v/>
      </c>
      <c r="L228">
        <f>IF(B228,INDEX(Dow,1,WEEKDAY(E228,2)),"")</f>
        <v/>
      </c>
      <c r="M228">
        <f>IF(B228,(1+Trend)^D228,"")</f>
        <v/>
      </c>
      <c r="N228">
        <f>IF(B228,EXP(SUMPRODUCT(LN(1+(EvEff-1)*INDEX(Affected,0,C228)*EXP(-((E228-EvCenter)^2)/(2*EvSigma^2))))),"")</f>
        <v/>
      </c>
      <c r="O228">
        <f>IF(B228,ROUND(MAX(0,J228*K228*L228*M228*N228),2),"")</f>
        <v/>
      </c>
    </row>
    <row r="229">
      <c r="A229" t="n">
        <v>228</v>
      </c>
      <c r="B229">
        <f>A229&lt;=MineCount*Days</f>
        <v/>
      </c>
      <c r="C229">
        <f>IF(B229,INT((A229-1)/Days)+1,"")</f>
        <v/>
      </c>
      <c r="D229">
        <f>IF(B229,MOD(A229-1,Days),"")</f>
        <v/>
      </c>
      <c r="E229" s="16">
        <f>IF(B229,StartDate+D229,"")</f>
        <v/>
      </c>
      <c r="F229">
        <f>IF(B229,MAX(MOD(SIN(Seed*0.1373+C229*12.9898+D229*78.233)*43758.5453,1),1E-9),"")</f>
        <v/>
      </c>
      <c r="G229">
        <f>IF(B229,MOD(SIN(Seed*0.5917+C229*39.3468+D229*11.135)*24634.6345,1),"")</f>
        <v/>
      </c>
      <c r="H229">
        <f>IF(B229,SQRT(-2*LN(F229))*COS(2*PI()*G229),"")</f>
        <v/>
      </c>
      <c r="I229">
        <f>IF(B229,IF(D229=0,H229,Rho*I228+SQRT(1-Rho^2)*H229),"")</f>
        <v/>
      </c>
      <c r="J229">
        <f>IF(B229,IF(Dist="Normal",DistA+DistB*I229,DistA+(DistB-DistA)*NORMSDIST(I229)),"")</f>
        <v/>
      </c>
      <c r="K229">
        <f>IF(B229,INDEX(MineScale,C229),"")</f>
        <v/>
      </c>
      <c r="L229">
        <f>IF(B229,INDEX(Dow,1,WEEKDAY(E229,2)),"")</f>
        <v/>
      </c>
      <c r="M229">
        <f>IF(B229,(1+Trend)^D229,"")</f>
        <v/>
      </c>
      <c r="N229">
        <f>IF(B229,EXP(SUMPRODUCT(LN(1+(EvEff-1)*INDEX(Affected,0,C229)*EXP(-((E229-EvCenter)^2)/(2*EvSigma^2))))),"")</f>
        <v/>
      </c>
      <c r="O229">
        <f>IF(B229,ROUND(MAX(0,J229*K229*L229*M229*N229),2),"")</f>
        <v/>
      </c>
    </row>
    <row r="230">
      <c r="A230" t="n">
        <v>229</v>
      </c>
      <c r="B230">
        <f>A230&lt;=MineCount*Days</f>
        <v/>
      </c>
      <c r="C230">
        <f>IF(B230,INT((A230-1)/Days)+1,"")</f>
        <v/>
      </c>
      <c r="D230">
        <f>IF(B230,MOD(A230-1,Days),"")</f>
        <v/>
      </c>
      <c r="E230" s="16">
        <f>IF(B230,StartDate+D230,"")</f>
        <v/>
      </c>
      <c r="F230">
        <f>IF(B230,MAX(MOD(SIN(Seed*0.1373+C230*12.9898+D230*78.233)*43758.5453,1),1E-9),"")</f>
        <v/>
      </c>
      <c r="G230">
        <f>IF(B230,MOD(SIN(Seed*0.5917+C230*39.3468+D230*11.135)*24634.6345,1),"")</f>
        <v/>
      </c>
      <c r="H230">
        <f>IF(B230,SQRT(-2*LN(F230))*COS(2*PI()*G230),"")</f>
        <v/>
      </c>
      <c r="I230">
        <f>IF(B230,IF(D230=0,H230,Rho*I229+SQRT(1-Rho^2)*H230),"")</f>
        <v/>
      </c>
      <c r="J230">
        <f>IF(B230,IF(Dist="Normal",DistA+DistB*I230,DistA+(DistB-DistA)*NORMSDIST(I230)),"")</f>
        <v/>
      </c>
      <c r="K230">
        <f>IF(B230,INDEX(MineScale,C230),"")</f>
        <v/>
      </c>
      <c r="L230">
        <f>IF(B230,INDEX(Dow,1,WEEKDAY(E230,2)),"")</f>
        <v/>
      </c>
      <c r="M230">
        <f>IF(B230,(1+Trend)^D230,"")</f>
        <v/>
      </c>
      <c r="N230">
        <f>IF(B230,EXP(SUMPRODUCT(LN(1+(EvEff-1)*INDEX(Affected,0,C230)*EXP(-((E230-EvCenter)^2)/(2*EvSigma^2))))),"")</f>
        <v/>
      </c>
      <c r="O230">
        <f>IF(B230,ROUND(MAX(0,J230*K230*L230*M230*N230),2),"")</f>
        <v/>
      </c>
    </row>
    <row r="231">
      <c r="A231" t="n">
        <v>230</v>
      </c>
      <c r="B231">
        <f>A231&lt;=MineCount*Days</f>
        <v/>
      </c>
      <c r="C231">
        <f>IF(B231,INT((A231-1)/Days)+1,"")</f>
        <v/>
      </c>
      <c r="D231">
        <f>IF(B231,MOD(A231-1,Days),"")</f>
        <v/>
      </c>
      <c r="E231" s="16">
        <f>IF(B231,StartDate+D231,"")</f>
        <v/>
      </c>
      <c r="F231">
        <f>IF(B231,MAX(MOD(SIN(Seed*0.1373+C231*12.9898+D231*78.233)*43758.5453,1),1E-9),"")</f>
        <v/>
      </c>
      <c r="G231">
        <f>IF(B231,MOD(SIN(Seed*0.5917+C231*39.3468+D231*11.135)*24634.6345,1),"")</f>
        <v/>
      </c>
      <c r="H231">
        <f>IF(B231,SQRT(-2*LN(F231))*COS(2*PI()*G231),"")</f>
        <v/>
      </c>
      <c r="I231">
        <f>IF(B231,IF(D231=0,H231,Rho*I230+SQRT(1-Rho^2)*H231),"")</f>
        <v/>
      </c>
      <c r="J231">
        <f>IF(B231,IF(Dist="Normal",DistA+DistB*I231,DistA+(DistB-DistA)*NORMSDIST(I231)),"")</f>
        <v/>
      </c>
      <c r="K231">
        <f>IF(B231,INDEX(MineScale,C231),"")</f>
        <v/>
      </c>
      <c r="L231">
        <f>IF(B231,INDEX(Dow,1,WEEKDAY(E231,2)),"")</f>
        <v/>
      </c>
      <c r="M231">
        <f>IF(B231,(1+Trend)^D231,"")</f>
        <v/>
      </c>
      <c r="N231">
        <f>IF(B231,EXP(SUMPRODUCT(LN(1+(EvEff-1)*INDEX(Affected,0,C231)*EXP(-((E231-EvCenter)^2)/(2*EvSigma^2))))),"")</f>
        <v/>
      </c>
      <c r="O231">
        <f>IF(B231,ROUND(MAX(0,J231*K231*L231*M231*N231),2),"")</f>
        <v/>
      </c>
    </row>
    <row r="232">
      <c r="A232" t="n">
        <v>231</v>
      </c>
      <c r="B232">
        <f>A232&lt;=MineCount*Days</f>
        <v/>
      </c>
      <c r="C232">
        <f>IF(B232,INT((A232-1)/Days)+1,"")</f>
        <v/>
      </c>
      <c r="D232">
        <f>IF(B232,MOD(A232-1,Days),"")</f>
        <v/>
      </c>
      <c r="E232" s="16">
        <f>IF(B232,StartDate+D232,"")</f>
        <v/>
      </c>
      <c r="F232">
        <f>IF(B232,MAX(MOD(SIN(Seed*0.1373+C232*12.9898+D232*78.233)*43758.5453,1),1E-9),"")</f>
        <v/>
      </c>
      <c r="G232">
        <f>IF(B232,MOD(SIN(Seed*0.5917+C232*39.3468+D232*11.135)*24634.6345,1),"")</f>
        <v/>
      </c>
      <c r="H232">
        <f>IF(B232,SQRT(-2*LN(F232))*COS(2*PI()*G232),"")</f>
        <v/>
      </c>
      <c r="I232">
        <f>IF(B232,IF(D232=0,H232,Rho*I231+SQRT(1-Rho^2)*H232),"")</f>
        <v/>
      </c>
      <c r="J232">
        <f>IF(B232,IF(Dist="Normal",DistA+DistB*I232,DistA+(DistB-DistA)*NORMSDIST(I232)),"")</f>
        <v/>
      </c>
      <c r="K232">
        <f>IF(B232,INDEX(MineScale,C232),"")</f>
        <v/>
      </c>
      <c r="L232">
        <f>IF(B232,INDEX(Dow,1,WEEKDAY(E232,2)),"")</f>
        <v/>
      </c>
      <c r="M232">
        <f>IF(B232,(1+Trend)^D232,"")</f>
        <v/>
      </c>
      <c r="N232">
        <f>IF(B232,EXP(SUMPRODUCT(LN(1+(EvEff-1)*INDEX(Affected,0,C232)*EXP(-((E232-EvCenter)^2)/(2*EvSigma^2))))),"")</f>
        <v/>
      </c>
      <c r="O232">
        <f>IF(B232,ROUND(MAX(0,J232*K232*L232*M232*N232),2),"")</f>
        <v/>
      </c>
    </row>
    <row r="233">
      <c r="A233" t="n">
        <v>232</v>
      </c>
      <c r="B233">
        <f>A233&lt;=MineCount*Days</f>
        <v/>
      </c>
      <c r="C233">
        <f>IF(B233,INT((A233-1)/Days)+1,"")</f>
        <v/>
      </c>
      <c r="D233">
        <f>IF(B233,MOD(A233-1,Days),"")</f>
        <v/>
      </c>
      <c r="E233" s="16">
        <f>IF(B233,StartDate+D233,"")</f>
        <v/>
      </c>
      <c r="F233">
        <f>IF(B233,MAX(MOD(SIN(Seed*0.1373+C233*12.9898+D233*78.233)*43758.5453,1),1E-9),"")</f>
        <v/>
      </c>
      <c r="G233">
        <f>IF(B233,MOD(SIN(Seed*0.5917+C233*39.3468+D233*11.135)*24634.6345,1),"")</f>
        <v/>
      </c>
      <c r="H233">
        <f>IF(B233,SQRT(-2*LN(F233))*COS(2*PI()*G233),"")</f>
        <v/>
      </c>
      <c r="I233">
        <f>IF(B233,IF(D233=0,H233,Rho*I232+SQRT(1-Rho^2)*H233),"")</f>
        <v/>
      </c>
      <c r="J233">
        <f>IF(B233,IF(Dist="Normal",DistA+DistB*I233,DistA+(DistB-DistA)*NORMSDIST(I233)),"")</f>
        <v/>
      </c>
      <c r="K233">
        <f>IF(B233,INDEX(MineScale,C233),"")</f>
        <v/>
      </c>
      <c r="L233">
        <f>IF(B233,INDEX(Dow,1,WEEKDAY(E233,2)),"")</f>
        <v/>
      </c>
      <c r="M233">
        <f>IF(B233,(1+Trend)^D233,"")</f>
        <v/>
      </c>
      <c r="N233">
        <f>IF(B233,EXP(SUMPRODUCT(LN(1+(EvEff-1)*INDEX(Affected,0,C233)*EXP(-((E233-EvCenter)^2)/(2*EvSigma^2))))),"")</f>
        <v/>
      </c>
      <c r="O233">
        <f>IF(B233,ROUND(MAX(0,J233*K233*L233*M233*N233),2),"")</f>
        <v/>
      </c>
    </row>
    <row r="234">
      <c r="A234" t="n">
        <v>233</v>
      </c>
      <c r="B234">
        <f>A234&lt;=MineCount*Days</f>
        <v/>
      </c>
      <c r="C234">
        <f>IF(B234,INT((A234-1)/Days)+1,"")</f>
        <v/>
      </c>
      <c r="D234">
        <f>IF(B234,MOD(A234-1,Days),"")</f>
        <v/>
      </c>
      <c r="E234" s="16">
        <f>IF(B234,StartDate+D234,"")</f>
        <v/>
      </c>
      <c r="F234">
        <f>IF(B234,MAX(MOD(SIN(Seed*0.1373+C234*12.9898+D234*78.233)*43758.5453,1),1E-9),"")</f>
        <v/>
      </c>
      <c r="G234">
        <f>IF(B234,MOD(SIN(Seed*0.5917+C234*39.3468+D234*11.135)*24634.6345,1),"")</f>
        <v/>
      </c>
      <c r="H234">
        <f>IF(B234,SQRT(-2*LN(F234))*COS(2*PI()*G234),"")</f>
        <v/>
      </c>
      <c r="I234">
        <f>IF(B234,IF(D234=0,H234,Rho*I233+SQRT(1-Rho^2)*H234),"")</f>
        <v/>
      </c>
      <c r="J234">
        <f>IF(B234,IF(Dist="Normal",DistA+DistB*I234,DistA+(DistB-DistA)*NORMSDIST(I234)),"")</f>
        <v/>
      </c>
      <c r="K234">
        <f>IF(B234,INDEX(MineScale,C234),"")</f>
        <v/>
      </c>
      <c r="L234">
        <f>IF(B234,INDEX(Dow,1,WEEKDAY(E234,2)),"")</f>
        <v/>
      </c>
      <c r="M234">
        <f>IF(B234,(1+Trend)^D234,"")</f>
        <v/>
      </c>
      <c r="N234">
        <f>IF(B234,EXP(SUMPRODUCT(LN(1+(EvEff-1)*INDEX(Affected,0,C234)*EXP(-((E234-EvCenter)^2)/(2*EvSigma^2))))),"")</f>
        <v/>
      </c>
      <c r="O234">
        <f>IF(B234,ROUND(MAX(0,J234*K234*L234*M234*N234),2),"")</f>
        <v/>
      </c>
    </row>
    <row r="235">
      <c r="A235" t="n">
        <v>234</v>
      </c>
      <c r="B235">
        <f>A235&lt;=MineCount*Days</f>
        <v/>
      </c>
      <c r="C235">
        <f>IF(B235,INT((A235-1)/Days)+1,"")</f>
        <v/>
      </c>
      <c r="D235">
        <f>IF(B235,MOD(A235-1,Days),"")</f>
        <v/>
      </c>
      <c r="E235" s="16">
        <f>IF(B235,StartDate+D235,"")</f>
        <v/>
      </c>
      <c r="F235">
        <f>IF(B235,MAX(MOD(SIN(Seed*0.1373+C235*12.9898+D235*78.233)*43758.5453,1),1E-9),"")</f>
        <v/>
      </c>
      <c r="G235">
        <f>IF(B235,MOD(SIN(Seed*0.5917+C235*39.3468+D235*11.135)*24634.6345,1),"")</f>
        <v/>
      </c>
      <c r="H235">
        <f>IF(B235,SQRT(-2*LN(F235))*COS(2*PI()*G235),"")</f>
        <v/>
      </c>
      <c r="I235">
        <f>IF(B235,IF(D235=0,H235,Rho*I234+SQRT(1-Rho^2)*H235),"")</f>
        <v/>
      </c>
      <c r="J235">
        <f>IF(B235,IF(Dist="Normal",DistA+DistB*I235,DistA+(DistB-DistA)*NORMSDIST(I235)),"")</f>
        <v/>
      </c>
      <c r="K235">
        <f>IF(B235,INDEX(MineScale,C235),"")</f>
        <v/>
      </c>
      <c r="L235">
        <f>IF(B235,INDEX(Dow,1,WEEKDAY(E235,2)),"")</f>
        <v/>
      </c>
      <c r="M235">
        <f>IF(B235,(1+Trend)^D235,"")</f>
        <v/>
      </c>
      <c r="N235">
        <f>IF(B235,EXP(SUMPRODUCT(LN(1+(EvEff-1)*INDEX(Affected,0,C235)*EXP(-((E235-EvCenter)^2)/(2*EvSigma^2))))),"")</f>
        <v/>
      </c>
      <c r="O235">
        <f>IF(B235,ROUND(MAX(0,J235*K235*L235*M235*N235),2),"")</f>
        <v/>
      </c>
    </row>
    <row r="236">
      <c r="A236" t="n">
        <v>235</v>
      </c>
      <c r="B236">
        <f>A236&lt;=MineCount*Days</f>
        <v/>
      </c>
      <c r="C236">
        <f>IF(B236,INT((A236-1)/Days)+1,"")</f>
        <v/>
      </c>
      <c r="D236">
        <f>IF(B236,MOD(A236-1,Days),"")</f>
        <v/>
      </c>
      <c r="E236" s="16">
        <f>IF(B236,StartDate+D236,"")</f>
        <v/>
      </c>
      <c r="F236">
        <f>IF(B236,MAX(MOD(SIN(Seed*0.1373+C236*12.9898+D236*78.233)*43758.5453,1),1E-9),"")</f>
        <v/>
      </c>
      <c r="G236">
        <f>IF(B236,MOD(SIN(Seed*0.5917+C236*39.3468+D236*11.135)*24634.6345,1),"")</f>
        <v/>
      </c>
      <c r="H236">
        <f>IF(B236,SQRT(-2*LN(F236))*COS(2*PI()*G236),"")</f>
        <v/>
      </c>
      <c r="I236">
        <f>IF(B236,IF(D236=0,H236,Rho*I235+SQRT(1-Rho^2)*H236),"")</f>
        <v/>
      </c>
      <c r="J236">
        <f>IF(B236,IF(Dist="Normal",DistA+DistB*I236,DistA+(DistB-DistA)*NORMSDIST(I236)),"")</f>
        <v/>
      </c>
      <c r="K236">
        <f>IF(B236,INDEX(MineScale,C236),"")</f>
        <v/>
      </c>
      <c r="L236">
        <f>IF(B236,INDEX(Dow,1,WEEKDAY(E236,2)),"")</f>
        <v/>
      </c>
      <c r="M236">
        <f>IF(B236,(1+Trend)^D236,"")</f>
        <v/>
      </c>
      <c r="N236">
        <f>IF(B236,EXP(SUMPRODUCT(LN(1+(EvEff-1)*INDEX(Affected,0,C236)*EXP(-((E236-EvCenter)^2)/(2*EvSigma^2))))),"")</f>
        <v/>
      </c>
      <c r="O236">
        <f>IF(B236,ROUND(MAX(0,J236*K236*L236*M236*N236),2),"")</f>
        <v/>
      </c>
    </row>
    <row r="237">
      <c r="A237" t="n">
        <v>236</v>
      </c>
      <c r="B237">
        <f>A237&lt;=MineCount*Days</f>
        <v/>
      </c>
      <c r="C237">
        <f>IF(B237,INT((A237-1)/Days)+1,"")</f>
        <v/>
      </c>
      <c r="D237">
        <f>IF(B237,MOD(A237-1,Days),"")</f>
        <v/>
      </c>
      <c r="E237" s="16">
        <f>IF(B237,StartDate+D237,"")</f>
        <v/>
      </c>
      <c r="F237">
        <f>IF(B237,MAX(MOD(SIN(Seed*0.1373+C237*12.9898+D237*78.233)*43758.5453,1),1E-9),"")</f>
        <v/>
      </c>
      <c r="G237">
        <f>IF(B237,MOD(SIN(Seed*0.5917+C237*39.3468+D237*11.135)*24634.6345,1),"")</f>
        <v/>
      </c>
      <c r="H237">
        <f>IF(B237,SQRT(-2*LN(F237))*COS(2*PI()*G237),"")</f>
        <v/>
      </c>
      <c r="I237">
        <f>IF(B237,IF(D237=0,H237,Rho*I236+SQRT(1-Rho^2)*H237),"")</f>
        <v/>
      </c>
      <c r="J237">
        <f>IF(B237,IF(Dist="Normal",DistA+DistB*I237,DistA+(DistB-DistA)*NORMSDIST(I237)),"")</f>
        <v/>
      </c>
      <c r="K237">
        <f>IF(B237,INDEX(MineScale,C237),"")</f>
        <v/>
      </c>
      <c r="L237">
        <f>IF(B237,INDEX(Dow,1,WEEKDAY(E237,2)),"")</f>
        <v/>
      </c>
      <c r="M237">
        <f>IF(B237,(1+Trend)^D237,"")</f>
        <v/>
      </c>
      <c r="N237">
        <f>IF(B237,EXP(SUMPRODUCT(LN(1+(EvEff-1)*INDEX(Affected,0,C237)*EXP(-((E237-EvCenter)^2)/(2*EvSigma^2))))),"")</f>
        <v/>
      </c>
      <c r="O237">
        <f>IF(B237,ROUND(MAX(0,J237*K237*L237*M237*N237),2),"")</f>
        <v/>
      </c>
    </row>
    <row r="238">
      <c r="A238" t="n">
        <v>237</v>
      </c>
      <c r="B238">
        <f>A238&lt;=MineCount*Days</f>
        <v/>
      </c>
      <c r="C238">
        <f>IF(B238,INT((A238-1)/Days)+1,"")</f>
        <v/>
      </c>
      <c r="D238">
        <f>IF(B238,MOD(A238-1,Days),"")</f>
        <v/>
      </c>
      <c r="E238" s="16">
        <f>IF(B238,StartDate+D238,"")</f>
        <v/>
      </c>
      <c r="F238">
        <f>IF(B238,MAX(MOD(SIN(Seed*0.1373+C238*12.9898+D238*78.233)*43758.5453,1),1E-9),"")</f>
        <v/>
      </c>
      <c r="G238">
        <f>IF(B238,MOD(SIN(Seed*0.5917+C238*39.3468+D238*11.135)*24634.6345,1),"")</f>
        <v/>
      </c>
      <c r="H238">
        <f>IF(B238,SQRT(-2*LN(F238))*COS(2*PI()*G238),"")</f>
        <v/>
      </c>
      <c r="I238">
        <f>IF(B238,IF(D238=0,H238,Rho*I237+SQRT(1-Rho^2)*H238),"")</f>
        <v/>
      </c>
      <c r="J238">
        <f>IF(B238,IF(Dist="Normal",DistA+DistB*I238,DistA+(DistB-DistA)*NORMSDIST(I238)),"")</f>
        <v/>
      </c>
      <c r="K238">
        <f>IF(B238,INDEX(MineScale,C238),"")</f>
        <v/>
      </c>
      <c r="L238">
        <f>IF(B238,INDEX(Dow,1,WEEKDAY(E238,2)),"")</f>
        <v/>
      </c>
      <c r="M238">
        <f>IF(B238,(1+Trend)^D238,"")</f>
        <v/>
      </c>
      <c r="N238">
        <f>IF(B238,EXP(SUMPRODUCT(LN(1+(EvEff-1)*INDEX(Affected,0,C238)*EXP(-((E238-EvCenter)^2)/(2*EvSigma^2))))),"")</f>
        <v/>
      </c>
      <c r="O238">
        <f>IF(B238,ROUND(MAX(0,J238*K238*L238*M238*N238),2),"")</f>
        <v/>
      </c>
    </row>
    <row r="239">
      <c r="A239" t="n">
        <v>238</v>
      </c>
      <c r="B239">
        <f>A239&lt;=MineCount*Days</f>
        <v/>
      </c>
      <c r="C239">
        <f>IF(B239,INT((A239-1)/Days)+1,"")</f>
        <v/>
      </c>
      <c r="D239">
        <f>IF(B239,MOD(A239-1,Days),"")</f>
        <v/>
      </c>
      <c r="E239" s="16">
        <f>IF(B239,StartDate+D239,"")</f>
        <v/>
      </c>
      <c r="F239">
        <f>IF(B239,MAX(MOD(SIN(Seed*0.1373+C239*12.9898+D239*78.233)*43758.5453,1),1E-9),"")</f>
        <v/>
      </c>
      <c r="G239">
        <f>IF(B239,MOD(SIN(Seed*0.5917+C239*39.3468+D239*11.135)*24634.6345,1),"")</f>
        <v/>
      </c>
      <c r="H239">
        <f>IF(B239,SQRT(-2*LN(F239))*COS(2*PI()*G239),"")</f>
        <v/>
      </c>
      <c r="I239">
        <f>IF(B239,IF(D239=0,H239,Rho*I238+SQRT(1-Rho^2)*H239),"")</f>
        <v/>
      </c>
      <c r="J239">
        <f>IF(B239,IF(Dist="Normal",DistA+DistB*I239,DistA+(DistB-DistA)*NORMSDIST(I239)),"")</f>
        <v/>
      </c>
      <c r="K239">
        <f>IF(B239,INDEX(MineScale,C239),"")</f>
        <v/>
      </c>
      <c r="L239">
        <f>IF(B239,INDEX(Dow,1,WEEKDAY(E239,2)),"")</f>
        <v/>
      </c>
      <c r="M239">
        <f>IF(B239,(1+Trend)^D239,"")</f>
        <v/>
      </c>
      <c r="N239">
        <f>IF(B239,EXP(SUMPRODUCT(LN(1+(EvEff-1)*INDEX(Affected,0,C239)*EXP(-((E239-EvCenter)^2)/(2*EvSigma^2))))),"")</f>
        <v/>
      </c>
      <c r="O239">
        <f>IF(B239,ROUND(MAX(0,J239*K239*L239*M239*N239),2),"")</f>
        <v/>
      </c>
    </row>
    <row r="240">
      <c r="A240" t="n">
        <v>239</v>
      </c>
      <c r="B240">
        <f>A240&lt;=MineCount*Days</f>
        <v/>
      </c>
      <c r="C240">
        <f>IF(B240,INT((A240-1)/Days)+1,"")</f>
        <v/>
      </c>
      <c r="D240">
        <f>IF(B240,MOD(A240-1,Days),"")</f>
        <v/>
      </c>
      <c r="E240" s="16">
        <f>IF(B240,StartDate+D240,"")</f>
        <v/>
      </c>
      <c r="F240">
        <f>IF(B240,MAX(MOD(SIN(Seed*0.1373+C240*12.9898+D240*78.233)*43758.5453,1),1E-9),"")</f>
        <v/>
      </c>
      <c r="G240">
        <f>IF(B240,MOD(SIN(Seed*0.5917+C240*39.3468+D240*11.135)*24634.6345,1),"")</f>
        <v/>
      </c>
      <c r="H240">
        <f>IF(B240,SQRT(-2*LN(F240))*COS(2*PI()*G240),"")</f>
        <v/>
      </c>
      <c r="I240">
        <f>IF(B240,IF(D240=0,H240,Rho*I239+SQRT(1-Rho^2)*H240),"")</f>
        <v/>
      </c>
      <c r="J240">
        <f>IF(B240,IF(Dist="Normal",DistA+DistB*I240,DistA+(DistB-DistA)*NORMSDIST(I240)),"")</f>
        <v/>
      </c>
      <c r="K240">
        <f>IF(B240,INDEX(MineScale,C240),"")</f>
        <v/>
      </c>
      <c r="L240">
        <f>IF(B240,INDEX(Dow,1,WEEKDAY(E240,2)),"")</f>
        <v/>
      </c>
      <c r="M240">
        <f>IF(B240,(1+Trend)^D240,"")</f>
        <v/>
      </c>
      <c r="N240">
        <f>IF(B240,EXP(SUMPRODUCT(LN(1+(EvEff-1)*INDEX(Affected,0,C240)*EXP(-((E240-EvCenter)^2)/(2*EvSigma^2))))),"")</f>
        <v/>
      </c>
      <c r="O240">
        <f>IF(B240,ROUND(MAX(0,J240*K240*L240*M240*N240),2),"")</f>
        <v/>
      </c>
    </row>
    <row r="241">
      <c r="A241" t="n">
        <v>240</v>
      </c>
      <c r="B241">
        <f>A241&lt;=MineCount*Days</f>
        <v/>
      </c>
      <c r="C241">
        <f>IF(B241,INT((A241-1)/Days)+1,"")</f>
        <v/>
      </c>
      <c r="D241">
        <f>IF(B241,MOD(A241-1,Days),"")</f>
        <v/>
      </c>
      <c r="E241" s="16">
        <f>IF(B241,StartDate+D241,"")</f>
        <v/>
      </c>
      <c r="F241">
        <f>IF(B241,MAX(MOD(SIN(Seed*0.1373+C241*12.9898+D241*78.233)*43758.5453,1),1E-9),"")</f>
        <v/>
      </c>
      <c r="G241">
        <f>IF(B241,MOD(SIN(Seed*0.5917+C241*39.3468+D241*11.135)*24634.6345,1),"")</f>
        <v/>
      </c>
      <c r="H241">
        <f>IF(B241,SQRT(-2*LN(F241))*COS(2*PI()*G241),"")</f>
        <v/>
      </c>
      <c r="I241">
        <f>IF(B241,IF(D241=0,H241,Rho*I240+SQRT(1-Rho^2)*H241),"")</f>
        <v/>
      </c>
      <c r="J241">
        <f>IF(B241,IF(Dist="Normal",DistA+DistB*I241,DistA+(DistB-DistA)*NORMSDIST(I241)),"")</f>
        <v/>
      </c>
      <c r="K241">
        <f>IF(B241,INDEX(MineScale,C241),"")</f>
        <v/>
      </c>
      <c r="L241">
        <f>IF(B241,INDEX(Dow,1,WEEKDAY(E241,2)),"")</f>
        <v/>
      </c>
      <c r="M241">
        <f>IF(B241,(1+Trend)^D241,"")</f>
        <v/>
      </c>
      <c r="N241">
        <f>IF(B241,EXP(SUMPRODUCT(LN(1+(EvEff-1)*INDEX(Affected,0,C241)*EXP(-((E241-EvCenter)^2)/(2*EvSigma^2))))),"")</f>
        <v/>
      </c>
      <c r="O241">
        <f>IF(B241,ROUND(MAX(0,J241*K241*L241*M241*N241),2),"")</f>
        <v/>
      </c>
    </row>
    <row r="242">
      <c r="A242" t="n">
        <v>241</v>
      </c>
      <c r="B242">
        <f>A242&lt;=MineCount*Days</f>
        <v/>
      </c>
      <c r="C242">
        <f>IF(B242,INT((A242-1)/Days)+1,"")</f>
        <v/>
      </c>
      <c r="D242">
        <f>IF(B242,MOD(A242-1,Days),"")</f>
        <v/>
      </c>
      <c r="E242" s="16">
        <f>IF(B242,StartDate+D242,"")</f>
        <v/>
      </c>
      <c r="F242">
        <f>IF(B242,MAX(MOD(SIN(Seed*0.1373+C242*12.9898+D242*78.233)*43758.5453,1),1E-9),"")</f>
        <v/>
      </c>
      <c r="G242">
        <f>IF(B242,MOD(SIN(Seed*0.5917+C242*39.3468+D242*11.135)*24634.6345,1),"")</f>
        <v/>
      </c>
      <c r="H242">
        <f>IF(B242,SQRT(-2*LN(F242))*COS(2*PI()*G242),"")</f>
        <v/>
      </c>
      <c r="I242">
        <f>IF(B242,IF(D242=0,H242,Rho*I241+SQRT(1-Rho^2)*H242),"")</f>
        <v/>
      </c>
      <c r="J242">
        <f>IF(B242,IF(Dist="Normal",DistA+DistB*I242,DistA+(DistB-DistA)*NORMSDIST(I242)),"")</f>
        <v/>
      </c>
      <c r="K242">
        <f>IF(B242,INDEX(MineScale,C242),"")</f>
        <v/>
      </c>
      <c r="L242">
        <f>IF(B242,INDEX(Dow,1,WEEKDAY(E242,2)),"")</f>
        <v/>
      </c>
      <c r="M242">
        <f>IF(B242,(1+Trend)^D242,"")</f>
        <v/>
      </c>
      <c r="N242">
        <f>IF(B242,EXP(SUMPRODUCT(LN(1+(EvEff-1)*INDEX(Affected,0,C242)*EXP(-((E242-EvCenter)^2)/(2*EvSigma^2))))),"")</f>
        <v/>
      </c>
      <c r="O242">
        <f>IF(B242,ROUND(MAX(0,J242*K242*L242*M242*N242),2),"")</f>
        <v/>
      </c>
    </row>
    <row r="243">
      <c r="A243" t="n">
        <v>242</v>
      </c>
      <c r="B243">
        <f>A243&lt;=MineCount*Days</f>
        <v/>
      </c>
      <c r="C243">
        <f>IF(B243,INT((A243-1)/Days)+1,"")</f>
        <v/>
      </c>
      <c r="D243">
        <f>IF(B243,MOD(A243-1,Days),"")</f>
        <v/>
      </c>
      <c r="E243" s="16">
        <f>IF(B243,StartDate+D243,"")</f>
        <v/>
      </c>
      <c r="F243">
        <f>IF(B243,MAX(MOD(SIN(Seed*0.1373+C243*12.9898+D243*78.233)*43758.5453,1),1E-9),"")</f>
        <v/>
      </c>
      <c r="G243">
        <f>IF(B243,MOD(SIN(Seed*0.5917+C243*39.3468+D243*11.135)*24634.6345,1),"")</f>
        <v/>
      </c>
      <c r="H243">
        <f>IF(B243,SQRT(-2*LN(F243))*COS(2*PI()*G243),"")</f>
        <v/>
      </c>
      <c r="I243">
        <f>IF(B243,IF(D243=0,H243,Rho*I242+SQRT(1-Rho^2)*H243),"")</f>
        <v/>
      </c>
      <c r="J243">
        <f>IF(B243,IF(Dist="Normal",DistA+DistB*I243,DistA+(DistB-DistA)*NORMSDIST(I243)),"")</f>
        <v/>
      </c>
      <c r="K243">
        <f>IF(B243,INDEX(MineScale,C243),"")</f>
        <v/>
      </c>
      <c r="L243">
        <f>IF(B243,INDEX(Dow,1,WEEKDAY(E243,2)),"")</f>
        <v/>
      </c>
      <c r="M243">
        <f>IF(B243,(1+Trend)^D243,"")</f>
        <v/>
      </c>
      <c r="N243">
        <f>IF(B243,EXP(SUMPRODUCT(LN(1+(EvEff-1)*INDEX(Affected,0,C243)*EXP(-((E243-EvCenter)^2)/(2*EvSigma^2))))),"")</f>
        <v/>
      </c>
      <c r="O243">
        <f>IF(B243,ROUND(MAX(0,J243*K243*L243*M243*N243),2),"")</f>
        <v/>
      </c>
    </row>
    <row r="244">
      <c r="A244" t="n">
        <v>243</v>
      </c>
      <c r="B244">
        <f>A244&lt;=MineCount*Days</f>
        <v/>
      </c>
      <c r="C244">
        <f>IF(B244,INT((A244-1)/Days)+1,"")</f>
        <v/>
      </c>
      <c r="D244">
        <f>IF(B244,MOD(A244-1,Days),"")</f>
        <v/>
      </c>
      <c r="E244" s="16">
        <f>IF(B244,StartDate+D244,"")</f>
        <v/>
      </c>
      <c r="F244">
        <f>IF(B244,MAX(MOD(SIN(Seed*0.1373+C244*12.9898+D244*78.233)*43758.5453,1),1E-9),"")</f>
        <v/>
      </c>
      <c r="G244">
        <f>IF(B244,MOD(SIN(Seed*0.5917+C244*39.3468+D244*11.135)*24634.6345,1),"")</f>
        <v/>
      </c>
      <c r="H244">
        <f>IF(B244,SQRT(-2*LN(F244))*COS(2*PI()*G244),"")</f>
        <v/>
      </c>
      <c r="I244">
        <f>IF(B244,IF(D244=0,H244,Rho*I243+SQRT(1-Rho^2)*H244),"")</f>
        <v/>
      </c>
      <c r="J244">
        <f>IF(B244,IF(Dist="Normal",DistA+DistB*I244,DistA+(DistB-DistA)*NORMSDIST(I244)),"")</f>
        <v/>
      </c>
      <c r="K244">
        <f>IF(B244,INDEX(MineScale,C244),"")</f>
        <v/>
      </c>
      <c r="L244">
        <f>IF(B244,INDEX(Dow,1,WEEKDAY(E244,2)),"")</f>
        <v/>
      </c>
      <c r="M244">
        <f>IF(B244,(1+Trend)^D244,"")</f>
        <v/>
      </c>
      <c r="N244">
        <f>IF(B244,EXP(SUMPRODUCT(LN(1+(EvEff-1)*INDEX(Affected,0,C244)*EXP(-((E244-EvCenter)^2)/(2*EvSigma^2))))),"")</f>
        <v/>
      </c>
      <c r="O244">
        <f>IF(B244,ROUND(MAX(0,J244*K244*L244*M244*N244),2),"")</f>
        <v/>
      </c>
    </row>
    <row r="245">
      <c r="A245" t="n">
        <v>244</v>
      </c>
      <c r="B245">
        <f>A245&lt;=MineCount*Days</f>
        <v/>
      </c>
      <c r="C245">
        <f>IF(B245,INT((A245-1)/Days)+1,"")</f>
        <v/>
      </c>
      <c r="D245">
        <f>IF(B245,MOD(A245-1,Days),"")</f>
        <v/>
      </c>
      <c r="E245" s="16">
        <f>IF(B245,StartDate+D245,"")</f>
        <v/>
      </c>
      <c r="F245">
        <f>IF(B245,MAX(MOD(SIN(Seed*0.1373+C245*12.9898+D245*78.233)*43758.5453,1),1E-9),"")</f>
        <v/>
      </c>
      <c r="G245">
        <f>IF(B245,MOD(SIN(Seed*0.5917+C245*39.3468+D245*11.135)*24634.6345,1),"")</f>
        <v/>
      </c>
      <c r="H245">
        <f>IF(B245,SQRT(-2*LN(F245))*COS(2*PI()*G245),"")</f>
        <v/>
      </c>
      <c r="I245">
        <f>IF(B245,IF(D245=0,H245,Rho*I244+SQRT(1-Rho^2)*H245),"")</f>
        <v/>
      </c>
      <c r="J245">
        <f>IF(B245,IF(Dist="Normal",DistA+DistB*I245,DistA+(DistB-DistA)*NORMSDIST(I245)),"")</f>
        <v/>
      </c>
      <c r="K245">
        <f>IF(B245,INDEX(MineScale,C245),"")</f>
        <v/>
      </c>
      <c r="L245">
        <f>IF(B245,INDEX(Dow,1,WEEKDAY(E245,2)),"")</f>
        <v/>
      </c>
      <c r="M245">
        <f>IF(B245,(1+Trend)^D245,"")</f>
        <v/>
      </c>
      <c r="N245">
        <f>IF(B245,EXP(SUMPRODUCT(LN(1+(EvEff-1)*INDEX(Affected,0,C245)*EXP(-((E245-EvCenter)^2)/(2*EvSigma^2))))),"")</f>
        <v/>
      </c>
      <c r="O245">
        <f>IF(B245,ROUND(MAX(0,J245*K245*L245*M245*N245),2),"")</f>
        <v/>
      </c>
    </row>
    <row r="246">
      <c r="A246" t="n">
        <v>245</v>
      </c>
      <c r="B246">
        <f>A246&lt;=MineCount*Days</f>
        <v/>
      </c>
      <c r="C246">
        <f>IF(B246,INT((A246-1)/Days)+1,"")</f>
        <v/>
      </c>
      <c r="D246">
        <f>IF(B246,MOD(A246-1,Days),"")</f>
        <v/>
      </c>
      <c r="E246" s="16">
        <f>IF(B246,StartDate+D246,"")</f>
        <v/>
      </c>
      <c r="F246">
        <f>IF(B246,MAX(MOD(SIN(Seed*0.1373+C246*12.9898+D246*78.233)*43758.5453,1),1E-9),"")</f>
        <v/>
      </c>
      <c r="G246">
        <f>IF(B246,MOD(SIN(Seed*0.5917+C246*39.3468+D246*11.135)*24634.6345,1),"")</f>
        <v/>
      </c>
      <c r="H246">
        <f>IF(B246,SQRT(-2*LN(F246))*COS(2*PI()*G246),"")</f>
        <v/>
      </c>
      <c r="I246">
        <f>IF(B246,IF(D246=0,H246,Rho*I245+SQRT(1-Rho^2)*H246),"")</f>
        <v/>
      </c>
      <c r="J246">
        <f>IF(B246,IF(Dist="Normal",DistA+DistB*I246,DistA+(DistB-DistA)*NORMSDIST(I246)),"")</f>
        <v/>
      </c>
      <c r="K246">
        <f>IF(B246,INDEX(MineScale,C246),"")</f>
        <v/>
      </c>
      <c r="L246">
        <f>IF(B246,INDEX(Dow,1,WEEKDAY(E246,2)),"")</f>
        <v/>
      </c>
      <c r="M246">
        <f>IF(B246,(1+Trend)^D246,"")</f>
        <v/>
      </c>
      <c r="N246">
        <f>IF(B246,EXP(SUMPRODUCT(LN(1+(EvEff-1)*INDEX(Affected,0,C246)*EXP(-((E246-EvCenter)^2)/(2*EvSigma^2))))),"")</f>
        <v/>
      </c>
      <c r="O246">
        <f>IF(B246,ROUND(MAX(0,J246*K246*L246*M246*N246),2),"")</f>
        <v/>
      </c>
    </row>
    <row r="247">
      <c r="A247" t="n">
        <v>246</v>
      </c>
      <c r="B247">
        <f>A247&lt;=MineCount*Days</f>
        <v/>
      </c>
      <c r="C247">
        <f>IF(B247,INT((A247-1)/Days)+1,"")</f>
        <v/>
      </c>
      <c r="D247">
        <f>IF(B247,MOD(A247-1,Days),"")</f>
        <v/>
      </c>
      <c r="E247" s="16">
        <f>IF(B247,StartDate+D247,"")</f>
        <v/>
      </c>
      <c r="F247">
        <f>IF(B247,MAX(MOD(SIN(Seed*0.1373+C247*12.9898+D247*78.233)*43758.5453,1),1E-9),"")</f>
        <v/>
      </c>
      <c r="G247">
        <f>IF(B247,MOD(SIN(Seed*0.5917+C247*39.3468+D247*11.135)*24634.6345,1),"")</f>
        <v/>
      </c>
      <c r="H247">
        <f>IF(B247,SQRT(-2*LN(F247))*COS(2*PI()*G247),"")</f>
        <v/>
      </c>
      <c r="I247">
        <f>IF(B247,IF(D247=0,H247,Rho*I246+SQRT(1-Rho^2)*H247),"")</f>
        <v/>
      </c>
      <c r="J247">
        <f>IF(B247,IF(Dist="Normal",DistA+DistB*I247,DistA+(DistB-DistA)*NORMSDIST(I247)),"")</f>
        <v/>
      </c>
      <c r="K247">
        <f>IF(B247,INDEX(MineScale,C247),"")</f>
        <v/>
      </c>
      <c r="L247">
        <f>IF(B247,INDEX(Dow,1,WEEKDAY(E247,2)),"")</f>
        <v/>
      </c>
      <c r="M247">
        <f>IF(B247,(1+Trend)^D247,"")</f>
        <v/>
      </c>
      <c r="N247">
        <f>IF(B247,EXP(SUMPRODUCT(LN(1+(EvEff-1)*INDEX(Affected,0,C247)*EXP(-((E247-EvCenter)^2)/(2*EvSigma^2))))),"")</f>
        <v/>
      </c>
      <c r="O247">
        <f>IF(B247,ROUND(MAX(0,J247*K247*L247*M247*N247),2),"")</f>
        <v/>
      </c>
    </row>
    <row r="248">
      <c r="A248" t="n">
        <v>247</v>
      </c>
      <c r="B248">
        <f>A248&lt;=MineCount*Days</f>
        <v/>
      </c>
      <c r="C248">
        <f>IF(B248,INT((A248-1)/Days)+1,"")</f>
        <v/>
      </c>
      <c r="D248">
        <f>IF(B248,MOD(A248-1,Days),"")</f>
        <v/>
      </c>
      <c r="E248" s="16">
        <f>IF(B248,StartDate+D248,"")</f>
        <v/>
      </c>
      <c r="F248">
        <f>IF(B248,MAX(MOD(SIN(Seed*0.1373+C248*12.9898+D248*78.233)*43758.5453,1),1E-9),"")</f>
        <v/>
      </c>
      <c r="G248">
        <f>IF(B248,MOD(SIN(Seed*0.5917+C248*39.3468+D248*11.135)*24634.6345,1),"")</f>
        <v/>
      </c>
      <c r="H248">
        <f>IF(B248,SQRT(-2*LN(F248))*COS(2*PI()*G248),"")</f>
        <v/>
      </c>
      <c r="I248">
        <f>IF(B248,IF(D248=0,H248,Rho*I247+SQRT(1-Rho^2)*H248),"")</f>
        <v/>
      </c>
      <c r="J248">
        <f>IF(B248,IF(Dist="Normal",DistA+DistB*I248,DistA+(DistB-DistA)*NORMSDIST(I248)),"")</f>
        <v/>
      </c>
      <c r="K248">
        <f>IF(B248,INDEX(MineScale,C248),"")</f>
        <v/>
      </c>
      <c r="L248">
        <f>IF(B248,INDEX(Dow,1,WEEKDAY(E248,2)),"")</f>
        <v/>
      </c>
      <c r="M248">
        <f>IF(B248,(1+Trend)^D248,"")</f>
        <v/>
      </c>
      <c r="N248">
        <f>IF(B248,EXP(SUMPRODUCT(LN(1+(EvEff-1)*INDEX(Affected,0,C248)*EXP(-((E248-EvCenter)^2)/(2*EvSigma^2))))),"")</f>
        <v/>
      </c>
      <c r="O248">
        <f>IF(B248,ROUND(MAX(0,J248*K248*L248*M248*N248),2),"")</f>
        <v/>
      </c>
    </row>
    <row r="249">
      <c r="A249" t="n">
        <v>248</v>
      </c>
      <c r="B249">
        <f>A249&lt;=MineCount*Days</f>
        <v/>
      </c>
      <c r="C249">
        <f>IF(B249,INT((A249-1)/Days)+1,"")</f>
        <v/>
      </c>
      <c r="D249">
        <f>IF(B249,MOD(A249-1,Days),"")</f>
        <v/>
      </c>
      <c r="E249" s="16">
        <f>IF(B249,StartDate+D249,"")</f>
        <v/>
      </c>
      <c r="F249">
        <f>IF(B249,MAX(MOD(SIN(Seed*0.1373+C249*12.9898+D249*78.233)*43758.5453,1),1E-9),"")</f>
        <v/>
      </c>
      <c r="G249">
        <f>IF(B249,MOD(SIN(Seed*0.5917+C249*39.3468+D249*11.135)*24634.6345,1),"")</f>
        <v/>
      </c>
      <c r="H249">
        <f>IF(B249,SQRT(-2*LN(F249))*COS(2*PI()*G249),"")</f>
        <v/>
      </c>
      <c r="I249">
        <f>IF(B249,IF(D249=0,H249,Rho*I248+SQRT(1-Rho^2)*H249),"")</f>
        <v/>
      </c>
      <c r="J249">
        <f>IF(B249,IF(Dist="Normal",DistA+DistB*I249,DistA+(DistB-DistA)*NORMSDIST(I249)),"")</f>
        <v/>
      </c>
      <c r="K249">
        <f>IF(B249,INDEX(MineScale,C249),"")</f>
        <v/>
      </c>
      <c r="L249">
        <f>IF(B249,INDEX(Dow,1,WEEKDAY(E249,2)),"")</f>
        <v/>
      </c>
      <c r="M249">
        <f>IF(B249,(1+Trend)^D249,"")</f>
        <v/>
      </c>
      <c r="N249">
        <f>IF(B249,EXP(SUMPRODUCT(LN(1+(EvEff-1)*INDEX(Affected,0,C249)*EXP(-((E249-EvCenter)^2)/(2*EvSigma^2))))),"")</f>
        <v/>
      </c>
      <c r="O249">
        <f>IF(B249,ROUND(MAX(0,J249*K249*L249*M249*N249),2),"")</f>
        <v/>
      </c>
    </row>
    <row r="250">
      <c r="A250" t="n">
        <v>249</v>
      </c>
      <c r="B250">
        <f>A250&lt;=MineCount*Days</f>
        <v/>
      </c>
      <c r="C250">
        <f>IF(B250,INT((A250-1)/Days)+1,"")</f>
        <v/>
      </c>
      <c r="D250">
        <f>IF(B250,MOD(A250-1,Days),"")</f>
        <v/>
      </c>
      <c r="E250" s="16">
        <f>IF(B250,StartDate+D250,"")</f>
        <v/>
      </c>
      <c r="F250">
        <f>IF(B250,MAX(MOD(SIN(Seed*0.1373+C250*12.9898+D250*78.233)*43758.5453,1),1E-9),"")</f>
        <v/>
      </c>
      <c r="G250">
        <f>IF(B250,MOD(SIN(Seed*0.5917+C250*39.3468+D250*11.135)*24634.6345,1),"")</f>
        <v/>
      </c>
      <c r="H250">
        <f>IF(B250,SQRT(-2*LN(F250))*COS(2*PI()*G250),"")</f>
        <v/>
      </c>
      <c r="I250">
        <f>IF(B250,IF(D250=0,H250,Rho*I249+SQRT(1-Rho^2)*H250),"")</f>
        <v/>
      </c>
      <c r="J250">
        <f>IF(B250,IF(Dist="Normal",DistA+DistB*I250,DistA+(DistB-DistA)*NORMSDIST(I250)),"")</f>
        <v/>
      </c>
      <c r="K250">
        <f>IF(B250,INDEX(MineScale,C250),"")</f>
        <v/>
      </c>
      <c r="L250">
        <f>IF(B250,INDEX(Dow,1,WEEKDAY(E250,2)),"")</f>
        <v/>
      </c>
      <c r="M250">
        <f>IF(B250,(1+Trend)^D250,"")</f>
        <v/>
      </c>
      <c r="N250">
        <f>IF(B250,EXP(SUMPRODUCT(LN(1+(EvEff-1)*INDEX(Affected,0,C250)*EXP(-((E250-EvCenter)^2)/(2*EvSigma^2))))),"")</f>
        <v/>
      </c>
      <c r="O250">
        <f>IF(B250,ROUND(MAX(0,J250*K250*L250*M250*N250),2),"")</f>
        <v/>
      </c>
    </row>
    <row r="251">
      <c r="A251" t="n">
        <v>250</v>
      </c>
      <c r="B251">
        <f>A251&lt;=MineCount*Days</f>
        <v/>
      </c>
      <c r="C251">
        <f>IF(B251,INT((A251-1)/Days)+1,"")</f>
        <v/>
      </c>
      <c r="D251">
        <f>IF(B251,MOD(A251-1,Days),"")</f>
        <v/>
      </c>
      <c r="E251" s="16">
        <f>IF(B251,StartDate+D251,"")</f>
        <v/>
      </c>
      <c r="F251">
        <f>IF(B251,MAX(MOD(SIN(Seed*0.1373+C251*12.9898+D251*78.233)*43758.5453,1),1E-9),"")</f>
        <v/>
      </c>
      <c r="G251">
        <f>IF(B251,MOD(SIN(Seed*0.5917+C251*39.3468+D251*11.135)*24634.6345,1),"")</f>
        <v/>
      </c>
      <c r="H251">
        <f>IF(B251,SQRT(-2*LN(F251))*COS(2*PI()*G251),"")</f>
        <v/>
      </c>
      <c r="I251">
        <f>IF(B251,IF(D251=0,H251,Rho*I250+SQRT(1-Rho^2)*H251),"")</f>
        <v/>
      </c>
      <c r="J251">
        <f>IF(B251,IF(Dist="Normal",DistA+DistB*I251,DistA+(DistB-DistA)*NORMSDIST(I251)),"")</f>
        <v/>
      </c>
      <c r="K251">
        <f>IF(B251,INDEX(MineScale,C251),"")</f>
        <v/>
      </c>
      <c r="L251">
        <f>IF(B251,INDEX(Dow,1,WEEKDAY(E251,2)),"")</f>
        <v/>
      </c>
      <c r="M251">
        <f>IF(B251,(1+Trend)^D251,"")</f>
        <v/>
      </c>
      <c r="N251">
        <f>IF(B251,EXP(SUMPRODUCT(LN(1+(EvEff-1)*INDEX(Affected,0,C251)*EXP(-((E251-EvCenter)^2)/(2*EvSigma^2))))),"")</f>
        <v/>
      </c>
      <c r="O251">
        <f>IF(B251,ROUND(MAX(0,J251*K251*L251*M251*N251),2),"")</f>
        <v/>
      </c>
    </row>
    <row r="252">
      <c r="A252" t="n">
        <v>251</v>
      </c>
      <c r="B252">
        <f>A252&lt;=MineCount*Days</f>
        <v/>
      </c>
      <c r="C252">
        <f>IF(B252,INT((A252-1)/Days)+1,"")</f>
        <v/>
      </c>
      <c r="D252">
        <f>IF(B252,MOD(A252-1,Days),"")</f>
        <v/>
      </c>
      <c r="E252" s="16">
        <f>IF(B252,StartDate+D252,"")</f>
        <v/>
      </c>
      <c r="F252">
        <f>IF(B252,MAX(MOD(SIN(Seed*0.1373+C252*12.9898+D252*78.233)*43758.5453,1),1E-9),"")</f>
        <v/>
      </c>
      <c r="G252">
        <f>IF(B252,MOD(SIN(Seed*0.5917+C252*39.3468+D252*11.135)*24634.6345,1),"")</f>
        <v/>
      </c>
      <c r="H252">
        <f>IF(B252,SQRT(-2*LN(F252))*COS(2*PI()*G252),"")</f>
        <v/>
      </c>
      <c r="I252">
        <f>IF(B252,IF(D252=0,H252,Rho*I251+SQRT(1-Rho^2)*H252),"")</f>
        <v/>
      </c>
      <c r="J252">
        <f>IF(B252,IF(Dist="Normal",DistA+DistB*I252,DistA+(DistB-DistA)*NORMSDIST(I252)),"")</f>
        <v/>
      </c>
      <c r="K252">
        <f>IF(B252,INDEX(MineScale,C252),"")</f>
        <v/>
      </c>
      <c r="L252">
        <f>IF(B252,INDEX(Dow,1,WEEKDAY(E252,2)),"")</f>
        <v/>
      </c>
      <c r="M252">
        <f>IF(B252,(1+Trend)^D252,"")</f>
        <v/>
      </c>
      <c r="N252">
        <f>IF(B252,EXP(SUMPRODUCT(LN(1+(EvEff-1)*INDEX(Affected,0,C252)*EXP(-((E252-EvCenter)^2)/(2*EvSigma^2))))),"")</f>
        <v/>
      </c>
      <c r="O252">
        <f>IF(B252,ROUND(MAX(0,J252*K252*L252*M252*N252),2),"")</f>
        <v/>
      </c>
    </row>
    <row r="253">
      <c r="A253" t="n">
        <v>252</v>
      </c>
      <c r="B253">
        <f>A253&lt;=MineCount*Days</f>
        <v/>
      </c>
      <c r="C253">
        <f>IF(B253,INT((A253-1)/Days)+1,"")</f>
        <v/>
      </c>
      <c r="D253">
        <f>IF(B253,MOD(A253-1,Days),"")</f>
        <v/>
      </c>
      <c r="E253" s="16">
        <f>IF(B253,StartDate+D253,"")</f>
        <v/>
      </c>
      <c r="F253">
        <f>IF(B253,MAX(MOD(SIN(Seed*0.1373+C253*12.9898+D253*78.233)*43758.5453,1),1E-9),"")</f>
        <v/>
      </c>
      <c r="G253">
        <f>IF(B253,MOD(SIN(Seed*0.5917+C253*39.3468+D253*11.135)*24634.6345,1),"")</f>
        <v/>
      </c>
      <c r="H253">
        <f>IF(B253,SQRT(-2*LN(F253))*COS(2*PI()*G253),"")</f>
        <v/>
      </c>
      <c r="I253">
        <f>IF(B253,IF(D253=0,H253,Rho*I252+SQRT(1-Rho^2)*H253),"")</f>
        <v/>
      </c>
      <c r="J253">
        <f>IF(B253,IF(Dist="Normal",DistA+DistB*I253,DistA+(DistB-DistA)*NORMSDIST(I253)),"")</f>
        <v/>
      </c>
      <c r="K253">
        <f>IF(B253,INDEX(MineScale,C253),"")</f>
        <v/>
      </c>
      <c r="L253">
        <f>IF(B253,INDEX(Dow,1,WEEKDAY(E253,2)),"")</f>
        <v/>
      </c>
      <c r="M253">
        <f>IF(B253,(1+Trend)^D253,"")</f>
        <v/>
      </c>
      <c r="N253">
        <f>IF(B253,EXP(SUMPRODUCT(LN(1+(EvEff-1)*INDEX(Affected,0,C253)*EXP(-((E253-EvCenter)^2)/(2*EvSigma^2))))),"")</f>
        <v/>
      </c>
      <c r="O253">
        <f>IF(B253,ROUND(MAX(0,J253*K253*L253*M253*N253),2),"")</f>
        <v/>
      </c>
    </row>
    <row r="254">
      <c r="A254" t="n">
        <v>253</v>
      </c>
      <c r="B254">
        <f>A254&lt;=MineCount*Days</f>
        <v/>
      </c>
      <c r="C254">
        <f>IF(B254,INT((A254-1)/Days)+1,"")</f>
        <v/>
      </c>
      <c r="D254">
        <f>IF(B254,MOD(A254-1,Days),"")</f>
        <v/>
      </c>
      <c r="E254" s="16">
        <f>IF(B254,StartDate+D254,"")</f>
        <v/>
      </c>
      <c r="F254">
        <f>IF(B254,MAX(MOD(SIN(Seed*0.1373+C254*12.9898+D254*78.233)*43758.5453,1),1E-9),"")</f>
        <v/>
      </c>
      <c r="G254">
        <f>IF(B254,MOD(SIN(Seed*0.5917+C254*39.3468+D254*11.135)*24634.6345,1),"")</f>
        <v/>
      </c>
      <c r="H254">
        <f>IF(B254,SQRT(-2*LN(F254))*COS(2*PI()*G254),"")</f>
        <v/>
      </c>
      <c r="I254">
        <f>IF(B254,IF(D254=0,H254,Rho*I253+SQRT(1-Rho^2)*H254),"")</f>
        <v/>
      </c>
      <c r="J254">
        <f>IF(B254,IF(Dist="Normal",DistA+DistB*I254,DistA+(DistB-DistA)*NORMSDIST(I254)),"")</f>
        <v/>
      </c>
      <c r="K254">
        <f>IF(B254,INDEX(MineScale,C254),"")</f>
        <v/>
      </c>
      <c r="L254">
        <f>IF(B254,INDEX(Dow,1,WEEKDAY(E254,2)),"")</f>
        <v/>
      </c>
      <c r="M254">
        <f>IF(B254,(1+Trend)^D254,"")</f>
        <v/>
      </c>
      <c r="N254">
        <f>IF(B254,EXP(SUMPRODUCT(LN(1+(EvEff-1)*INDEX(Affected,0,C254)*EXP(-((E254-EvCenter)^2)/(2*EvSigma^2))))),"")</f>
        <v/>
      </c>
      <c r="O254">
        <f>IF(B254,ROUND(MAX(0,J254*K254*L254*M254*N254),2),"")</f>
        <v/>
      </c>
    </row>
    <row r="255">
      <c r="A255" t="n">
        <v>254</v>
      </c>
      <c r="B255">
        <f>A255&lt;=MineCount*Days</f>
        <v/>
      </c>
      <c r="C255">
        <f>IF(B255,INT((A255-1)/Days)+1,"")</f>
        <v/>
      </c>
      <c r="D255">
        <f>IF(B255,MOD(A255-1,Days),"")</f>
        <v/>
      </c>
      <c r="E255" s="16">
        <f>IF(B255,StartDate+D255,"")</f>
        <v/>
      </c>
      <c r="F255">
        <f>IF(B255,MAX(MOD(SIN(Seed*0.1373+C255*12.9898+D255*78.233)*43758.5453,1),1E-9),"")</f>
        <v/>
      </c>
      <c r="G255">
        <f>IF(B255,MOD(SIN(Seed*0.5917+C255*39.3468+D255*11.135)*24634.6345,1),"")</f>
        <v/>
      </c>
      <c r="H255">
        <f>IF(B255,SQRT(-2*LN(F255))*COS(2*PI()*G255),"")</f>
        <v/>
      </c>
      <c r="I255">
        <f>IF(B255,IF(D255=0,H255,Rho*I254+SQRT(1-Rho^2)*H255),"")</f>
        <v/>
      </c>
      <c r="J255">
        <f>IF(B255,IF(Dist="Normal",DistA+DistB*I255,DistA+(DistB-DistA)*NORMSDIST(I255)),"")</f>
        <v/>
      </c>
      <c r="K255">
        <f>IF(B255,INDEX(MineScale,C255),"")</f>
        <v/>
      </c>
      <c r="L255">
        <f>IF(B255,INDEX(Dow,1,WEEKDAY(E255,2)),"")</f>
        <v/>
      </c>
      <c r="M255">
        <f>IF(B255,(1+Trend)^D255,"")</f>
        <v/>
      </c>
      <c r="N255">
        <f>IF(B255,EXP(SUMPRODUCT(LN(1+(EvEff-1)*INDEX(Affected,0,C255)*EXP(-((E255-EvCenter)^2)/(2*EvSigma^2))))),"")</f>
        <v/>
      </c>
      <c r="O255">
        <f>IF(B255,ROUND(MAX(0,J255*K255*L255*M255*N255),2),"")</f>
        <v/>
      </c>
    </row>
    <row r="256">
      <c r="A256" t="n">
        <v>255</v>
      </c>
      <c r="B256">
        <f>A256&lt;=MineCount*Days</f>
        <v/>
      </c>
      <c r="C256">
        <f>IF(B256,INT((A256-1)/Days)+1,"")</f>
        <v/>
      </c>
      <c r="D256">
        <f>IF(B256,MOD(A256-1,Days),"")</f>
        <v/>
      </c>
      <c r="E256" s="16">
        <f>IF(B256,StartDate+D256,"")</f>
        <v/>
      </c>
      <c r="F256">
        <f>IF(B256,MAX(MOD(SIN(Seed*0.1373+C256*12.9898+D256*78.233)*43758.5453,1),1E-9),"")</f>
        <v/>
      </c>
      <c r="G256">
        <f>IF(B256,MOD(SIN(Seed*0.5917+C256*39.3468+D256*11.135)*24634.6345,1),"")</f>
        <v/>
      </c>
      <c r="H256">
        <f>IF(B256,SQRT(-2*LN(F256))*COS(2*PI()*G256),"")</f>
        <v/>
      </c>
      <c r="I256">
        <f>IF(B256,IF(D256=0,H256,Rho*I255+SQRT(1-Rho^2)*H256),"")</f>
        <v/>
      </c>
      <c r="J256">
        <f>IF(B256,IF(Dist="Normal",DistA+DistB*I256,DistA+(DistB-DistA)*NORMSDIST(I256)),"")</f>
        <v/>
      </c>
      <c r="K256">
        <f>IF(B256,INDEX(MineScale,C256),"")</f>
        <v/>
      </c>
      <c r="L256">
        <f>IF(B256,INDEX(Dow,1,WEEKDAY(E256,2)),"")</f>
        <v/>
      </c>
      <c r="M256">
        <f>IF(B256,(1+Trend)^D256,"")</f>
        <v/>
      </c>
      <c r="N256">
        <f>IF(B256,EXP(SUMPRODUCT(LN(1+(EvEff-1)*INDEX(Affected,0,C256)*EXP(-((E256-EvCenter)^2)/(2*EvSigma^2))))),"")</f>
        <v/>
      </c>
      <c r="O256">
        <f>IF(B256,ROUND(MAX(0,J256*K256*L256*M256*N256),2),"")</f>
        <v/>
      </c>
    </row>
    <row r="257">
      <c r="A257" t="n">
        <v>256</v>
      </c>
      <c r="B257">
        <f>A257&lt;=MineCount*Days</f>
        <v/>
      </c>
      <c r="C257">
        <f>IF(B257,INT((A257-1)/Days)+1,"")</f>
        <v/>
      </c>
      <c r="D257">
        <f>IF(B257,MOD(A257-1,Days),"")</f>
        <v/>
      </c>
      <c r="E257" s="16">
        <f>IF(B257,StartDate+D257,"")</f>
        <v/>
      </c>
      <c r="F257">
        <f>IF(B257,MAX(MOD(SIN(Seed*0.1373+C257*12.9898+D257*78.233)*43758.5453,1),1E-9),"")</f>
        <v/>
      </c>
      <c r="G257">
        <f>IF(B257,MOD(SIN(Seed*0.5917+C257*39.3468+D257*11.135)*24634.6345,1),"")</f>
        <v/>
      </c>
      <c r="H257">
        <f>IF(B257,SQRT(-2*LN(F257))*COS(2*PI()*G257),"")</f>
        <v/>
      </c>
      <c r="I257">
        <f>IF(B257,IF(D257=0,H257,Rho*I256+SQRT(1-Rho^2)*H257),"")</f>
        <v/>
      </c>
      <c r="J257">
        <f>IF(B257,IF(Dist="Normal",DistA+DistB*I257,DistA+(DistB-DistA)*NORMSDIST(I257)),"")</f>
        <v/>
      </c>
      <c r="K257">
        <f>IF(B257,INDEX(MineScale,C257),"")</f>
        <v/>
      </c>
      <c r="L257">
        <f>IF(B257,INDEX(Dow,1,WEEKDAY(E257,2)),"")</f>
        <v/>
      </c>
      <c r="M257">
        <f>IF(B257,(1+Trend)^D257,"")</f>
        <v/>
      </c>
      <c r="N257">
        <f>IF(B257,EXP(SUMPRODUCT(LN(1+(EvEff-1)*INDEX(Affected,0,C257)*EXP(-((E257-EvCenter)^2)/(2*EvSigma^2))))),"")</f>
        <v/>
      </c>
      <c r="O257">
        <f>IF(B257,ROUND(MAX(0,J257*K257*L257*M257*N257),2),"")</f>
        <v/>
      </c>
    </row>
    <row r="258">
      <c r="A258" t="n">
        <v>257</v>
      </c>
      <c r="B258">
        <f>A258&lt;=MineCount*Days</f>
        <v/>
      </c>
      <c r="C258">
        <f>IF(B258,INT((A258-1)/Days)+1,"")</f>
        <v/>
      </c>
      <c r="D258">
        <f>IF(B258,MOD(A258-1,Days),"")</f>
        <v/>
      </c>
      <c r="E258" s="16">
        <f>IF(B258,StartDate+D258,"")</f>
        <v/>
      </c>
      <c r="F258">
        <f>IF(B258,MAX(MOD(SIN(Seed*0.1373+C258*12.9898+D258*78.233)*43758.5453,1),1E-9),"")</f>
        <v/>
      </c>
      <c r="G258">
        <f>IF(B258,MOD(SIN(Seed*0.5917+C258*39.3468+D258*11.135)*24634.6345,1),"")</f>
        <v/>
      </c>
      <c r="H258">
        <f>IF(B258,SQRT(-2*LN(F258))*COS(2*PI()*G258),"")</f>
        <v/>
      </c>
      <c r="I258">
        <f>IF(B258,IF(D258=0,H258,Rho*I257+SQRT(1-Rho^2)*H258),"")</f>
        <v/>
      </c>
      <c r="J258">
        <f>IF(B258,IF(Dist="Normal",DistA+DistB*I258,DistA+(DistB-DistA)*NORMSDIST(I258)),"")</f>
        <v/>
      </c>
      <c r="K258">
        <f>IF(B258,INDEX(MineScale,C258),"")</f>
        <v/>
      </c>
      <c r="L258">
        <f>IF(B258,INDEX(Dow,1,WEEKDAY(E258,2)),"")</f>
        <v/>
      </c>
      <c r="M258">
        <f>IF(B258,(1+Trend)^D258,"")</f>
        <v/>
      </c>
      <c r="N258">
        <f>IF(B258,EXP(SUMPRODUCT(LN(1+(EvEff-1)*INDEX(Affected,0,C258)*EXP(-((E258-EvCenter)^2)/(2*EvSigma^2))))),"")</f>
        <v/>
      </c>
      <c r="O258">
        <f>IF(B258,ROUND(MAX(0,J258*K258*L258*M258*N258),2),"")</f>
        <v/>
      </c>
    </row>
    <row r="259">
      <c r="A259" t="n">
        <v>258</v>
      </c>
      <c r="B259">
        <f>A259&lt;=MineCount*Days</f>
        <v/>
      </c>
      <c r="C259">
        <f>IF(B259,INT((A259-1)/Days)+1,"")</f>
        <v/>
      </c>
      <c r="D259">
        <f>IF(B259,MOD(A259-1,Days),"")</f>
        <v/>
      </c>
      <c r="E259" s="16">
        <f>IF(B259,StartDate+D259,"")</f>
        <v/>
      </c>
      <c r="F259">
        <f>IF(B259,MAX(MOD(SIN(Seed*0.1373+C259*12.9898+D259*78.233)*43758.5453,1),1E-9),"")</f>
        <v/>
      </c>
      <c r="G259">
        <f>IF(B259,MOD(SIN(Seed*0.5917+C259*39.3468+D259*11.135)*24634.6345,1),"")</f>
        <v/>
      </c>
      <c r="H259">
        <f>IF(B259,SQRT(-2*LN(F259))*COS(2*PI()*G259),"")</f>
        <v/>
      </c>
      <c r="I259">
        <f>IF(B259,IF(D259=0,H259,Rho*I258+SQRT(1-Rho^2)*H259),"")</f>
        <v/>
      </c>
      <c r="J259">
        <f>IF(B259,IF(Dist="Normal",DistA+DistB*I259,DistA+(DistB-DistA)*NORMSDIST(I259)),"")</f>
        <v/>
      </c>
      <c r="K259">
        <f>IF(B259,INDEX(MineScale,C259),"")</f>
        <v/>
      </c>
      <c r="L259">
        <f>IF(B259,INDEX(Dow,1,WEEKDAY(E259,2)),"")</f>
        <v/>
      </c>
      <c r="M259">
        <f>IF(B259,(1+Trend)^D259,"")</f>
        <v/>
      </c>
      <c r="N259">
        <f>IF(B259,EXP(SUMPRODUCT(LN(1+(EvEff-1)*INDEX(Affected,0,C259)*EXP(-((E259-EvCenter)^2)/(2*EvSigma^2))))),"")</f>
        <v/>
      </c>
      <c r="O259">
        <f>IF(B259,ROUND(MAX(0,J259*K259*L259*M259*N259),2),"")</f>
        <v/>
      </c>
    </row>
    <row r="260">
      <c r="A260" t="n">
        <v>259</v>
      </c>
      <c r="B260">
        <f>A260&lt;=MineCount*Days</f>
        <v/>
      </c>
      <c r="C260">
        <f>IF(B260,INT((A260-1)/Days)+1,"")</f>
        <v/>
      </c>
      <c r="D260">
        <f>IF(B260,MOD(A260-1,Days),"")</f>
        <v/>
      </c>
      <c r="E260" s="16">
        <f>IF(B260,StartDate+D260,"")</f>
        <v/>
      </c>
      <c r="F260">
        <f>IF(B260,MAX(MOD(SIN(Seed*0.1373+C260*12.9898+D260*78.233)*43758.5453,1),1E-9),"")</f>
        <v/>
      </c>
      <c r="G260">
        <f>IF(B260,MOD(SIN(Seed*0.5917+C260*39.3468+D260*11.135)*24634.6345,1),"")</f>
        <v/>
      </c>
      <c r="H260">
        <f>IF(B260,SQRT(-2*LN(F260))*COS(2*PI()*G260),"")</f>
        <v/>
      </c>
      <c r="I260">
        <f>IF(B260,IF(D260=0,H260,Rho*I259+SQRT(1-Rho^2)*H260),"")</f>
        <v/>
      </c>
      <c r="J260">
        <f>IF(B260,IF(Dist="Normal",DistA+DistB*I260,DistA+(DistB-DistA)*NORMSDIST(I260)),"")</f>
        <v/>
      </c>
      <c r="K260">
        <f>IF(B260,INDEX(MineScale,C260),"")</f>
        <v/>
      </c>
      <c r="L260">
        <f>IF(B260,INDEX(Dow,1,WEEKDAY(E260,2)),"")</f>
        <v/>
      </c>
      <c r="M260">
        <f>IF(B260,(1+Trend)^D260,"")</f>
        <v/>
      </c>
      <c r="N260">
        <f>IF(B260,EXP(SUMPRODUCT(LN(1+(EvEff-1)*INDEX(Affected,0,C260)*EXP(-((E260-EvCenter)^2)/(2*EvSigma^2))))),"")</f>
        <v/>
      </c>
      <c r="O260">
        <f>IF(B260,ROUND(MAX(0,J260*K260*L260*M260*N260),2),"")</f>
        <v/>
      </c>
    </row>
    <row r="261">
      <c r="A261" t="n">
        <v>260</v>
      </c>
      <c r="B261">
        <f>A261&lt;=MineCount*Days</f>
        <v/>
      </c>
      <c r="C261">
        <f>IF(B261,INT((A261-1)/Days)+1,"")</f>
        <v/>
      </c>
      <c r="D261">
        <f>IF(B261,MOD(A261-1,Days),"")</f>
        <v/>
      </c>
      <c r="E261" s="16">
        <f>IF(B261,StartDate+D261,"")</f>
        <v/>
      </c>
      <c r="F261">
        <f>IF(B261,MAX(MOD(SIN(Seed*0.1373+C261*12.9898+D261*78.233)*43758.5453,1),1E-9),"")</f>
        <v/>
      </c>
      <c r="G261">
        <f>IF(B261,MOD(SIN(Seed*0.5917+C261*39.3468+D261*11.135)*24634.6345,1),"")</f>
        <v/>
      </c>
      <c r="H261">
        <f>IF(B261,SQRT(-2*LN(F261))*COS(2*PI()*G261),"")</f>
        <v/>
      </c>
      <c r="I261">
        <f>IF(B261,IF(D261=0,H261,Rho*I260+SQRT(1-Rho^2)*H261),"")</f>
        <v/>
      </c>
      <c r="J261">
        <f>IF(B261,IF(Dist="Normal",DistA+DistB*I261,DistA+(DistB-DistA)*NORMSDIST(I261)),"")</f>
        <v/>
      </c>
      <c r="K261">
        <f>IF(B261,INDEX(MineScale,C261),"")</f>
        <v/>
      </c>
      <c r="L261">
        <f>IF(B261,INDEX(Dow,1,WEEKDAY(E261,2)),"")</f>
        <v/>
      </c>
      <c r="M261">
        <f>IF(B261,(1+Trend)^D261,"")</f>
        <v/>
      </c>
      <c r="N261">
        <f>IF(B261,EXP(SUMPRODUCT(LN(1+(EvEff-1)*INDEX(Affected,0,C261)*EXP(-((E261-EvCenter)^2)/(2*EvSigma^2))))),"")</f>
        <v/>
      </c>
      <c r="O261">
        <f>IF(B261,ROUND(MAX(0,J261*K261*L261*M261*N261),2),"")</f>
        <v/>
      </c>
    </row>
    <row r="262">
      <c r="A262" t="n">
        <v>261</v>
      </c>
      <c r="B262">
        <f>A262&lt;=MineCount*Days</f>
        <v/>
      </c>
      <c r="C262">
        <f>IF(B262,INT((A262-1)/Days)+1,"")</f>
        <v/>
      </c>
      <c r="D262">
        <f>IF(B262,MOD(A262-1,Days),"")</f>
        <v/>
      </c>
      <c r="E262" s="16">
        <f>IF(B262,StartDate+D262,"")</f>
        <v/>
      </c>
      <c r="F262">
        <f>IF(B262,MAX(MOD(SIN(Seed*0.1373+C262*12.9898+D262*78.233)*43758.5453,1),1E-9),"")</f>
        <v/>
      </c>
      <c r="G262">
        <f>IF(B262,MOD(SIN(Seed*0.5917+C262*39.3468+D262*11.135)*24634.6345,1),"")</f>
        <v/>
      </c>
      <c r="H262">
        <f>IF(B262,SQRT(-2*LN(F262))*COS(2*PI()*G262),"")</f>
        <v/>
      </c>
      <c r="I262">
        <f>IF(B262,IF(D262=0,H262,Rho*I261+SQRT(1-Rho^2)*H262),"")</f>
        <v/>
      </c>
      <c r="J262">
        <f>IF(B262,IF(Dist="Normal",DistA+DistB*I262,DistA+(DistB-DistA)*NORMSDIST(I262)),"")</f>
        <v/>
      </c>
      <c r="K262">
        <f>IF(B262,INDEX(MineScale,C262),"")</f>
        <v/>
      </c>
      <c r="L262">
        <f>IF(B262,INDEX(Dow,1,WEEKDAY(E262,2)),"")</f>
        <v/>
      </c>
      <c r="M262">
        <f>IF(B262,(1+Trend)^D262,"")</f>
        <v/>
      </c>
      <c r="N262">
        <f>IF(B262,EXP(SUMPRODUCT(LN(1+(EvEff-1)*INDEX(Affected,0,C262)*EXP(-((E262-EvCenter)^2)/(2*EvSigma^2))))),"")</f>
        <v/>
      </c>
      <c r="O262">
        <f>IF(B262,ROUND(MAX(0,J262*K262*L262*M262*N262),2),"")</f>
        <v/>
      </c>
    </row>
    <row r="263">
      <c r="A263" t="n">
        <v>262</v>
      </c>
      <c r="B263">
        <f>A263&lt;=MineCount*Days</f>
        <v/>
      </c>
      <c r="C263">
        <f>IF(B263,INT((A263-1)/Days)+1,"")</f>
        <v/>
      </c>
      <c r="D263">
        <f>IF(B263,MOD(A263-1,Days),"")</f>
        <v/>
      </c>
      <c r="E263" s="16">
        <f>IF(B263,StartDate+D263,"")</f>
        <v/>
      </c>
      <c r="F263">
        <f>IF(B263,MAX(MOD(SIN(Seed*0.1373+C263*12.9898+D263*78.233)*43758.5453,1),1E-9),"")</f>
        <v/>
      </c>
      <c r="G263">
        <f>IF(B263,MOD(SIN(Seed*0.5917+C263*39.3468+D263*11.135)*24634.6345,1),"")</f>
        <v/>
      </c>
      <c r="H263">
        <f>IF(B263,SQRT(-2*LN(F263))*COS(2*PI()*G263),"")</f>
        <v/>
      </c>
      <c r="I263">
        <f>IF(B263,IF(D263=0,H263,Rho*I262+SQRT(1-Rho^2)*H263),"")</f>
        <v/>
      </c>
      <c r="J263">
        <f>IF(B263,IF(Dist="Normal",DistA+DistB*I263,DistA+(DistB-DistA)*NORMSDIST(I263)),"")</f>
        <v/>
      </c>
      <c r="K263">
        <f>IF(B263,INDEX(MineScale,C263),"")</f>
        <v/>
      </c>
      <c r="L263">
        <f>IF(B263,INDEX(Dow,1,WEEKDAY(E263,2)),"")</f>
        <v/>
      </c>
      <c r="M263">
        <f>IF(B263,(1+Trend)^D263,"")</f>
        <v/>
      </c>
      <c r="N263">
        <f>IF(B263,EXP(SUMPRODUCT(LN(1+(EvEff-1)*INDEX(Affected,0,C263)*EXP(-((E263-EvCenter)^2)/(2*EvSigma^2))))),"")</f>
        <v/>
      </c>
      <c r="O263">
        <f>IF(B263,ROUND(MAX(0,J263*K263*L263*M263*N263),2),"")</f>
        <v/>
      </c>
    </row>
    <row r="264">
      <c r="A264" t="n">
        <v>263</v>
      </c>
      <c r="B264">
        <f>A264&lt;=MineCount*Days</f>
        <v/>
      </c>
      <c r="C264">
        <f>IF(B264,INT((A264-1)/Days)+1,"")</f>
        <v/>
      </c>
      <c r="D264">
        <f>IF(B264,MOD(A264-1,Days),"")</f>
        <v/>
      </c>
      <c r="E264" s="16">
        <f>IF(B264,StartDate+D264,"")</f>
        <v/>
      </c>
      <c r="F264">
        <f>IF(B264,MAX(MOD(SIN(Seed*0.1373+C264*12.9898+D264*78.233)*43758.5453,1),1E-9),"")</f>
        <v/>
      </c>
      <c r="G264">
        <f>IF(B264,MOD(SIN(Seed*0.5917+C264*39.3468+D264*11.135)*24634.6345,1),"")</f>
        <v/>
      </c>
      <c r="H264">
        <f>IF(B264,SQRT(-2*LN(F264))*COS(2*PI()*G264),"")</f>
        <v/>
      </c>
      <c r="I264">
        <f>IF(B264,IF(D264=0,H264,Rho*I263+SQRT(1-Rho^2)*H264),"")</f>
        <v/>
      </c>
      <c r="J264">
        <f>IF(B264,IF(Dist="Normal",DistA+DistB*I264,DistA+(DistB-DistA)*NORMSDIST(I264)),"")</f>
        <v/>
      </c>
      <c r="K264">
        <f>IF(B264,INDEX(MineScale,C264),"")</f>
        <v/>
      </c>
      <c r="L264">
        <f>IF(B264,INDEX(Dow,1,WEEKDAY(E264,2)),"")</f>
        <v/>
      </c>
      <c r="M264">
        <f>IF(B264,(1+Trend)^D264,"")</f>
        <v/>
      </c>
      <c r="N264">
        <f>IF(B264,EXP(SUMPRODUCT(LN(1+(EvEff-1)*INDEX(Affected,0,C264)*EXP(-((E264-EvCenter)^2)/(2*EvSigma^2))))),"")</f>
        <v/>
      </c>
      <c r="O264">
        <f>IF(B264,ROUND(MAX(0,J264*K264*L264*M264*N264),2),"")</f>
        <v/>
      </c>
    </row>
    <row r="265">
      <c r="A265" t="n">
        <v>264</v>
      </c>
      <c r="B265">
        <f>A265&lt;=MineCount*Days</f>
        <v/>
      </c>
      <c r="C265">
        <f>IF(B265,INT((A265-1)/Days)+1,"")</f>
        <v/>
      </c>
      <c r="D265">
        <f>IF(B265,MOD(A265-1,Days),"")</f>
        <v/>
      </c>
      <c r="E265" s="16">
        <f>IF(B265,StartDate+D265,"")</f>
        <v/>
      </c>
      <c r="F265">
        <f>IF(B265,MAX(MOD(SIN(Seed*0.1373+C265*12.9898+D265*78.233)*43758.5453,1),1E-9),"")</f>
        <v/>
      </c>
      <c r="G265">
        <f>IF(B265,MOD(SIN(Seed*0.5917+C265*39.3468+D265*11.135)*24634.6345,1),"")</f>
        <v/>
      </c>
      <c r="H265">
        <f>IF(B265,SQRT(-2*LN(F265))*COS(2*PI()*G265),"")</f>
        <v/>
      </c>
      <c r="I265">
        <f>IF(B265,IF(D265=0,H265,Rho*I264+SQRT(1-Rho^2)*H265),"")</f>
        <v/>
      </c>
      <c r="J265">
        <f>IF(B265,IF(Dist="Normal",DistA+DistB*I265,DistA+(DistB-DistA)*NORMSDIST(I265)),"")</f>
        <v/>
      </c>
      <c r="K265">
        <f>IF(B265,INDEX(MineScale,C265),"")</f>
        <v/>
      </c>
      <c r="L265">
        <f>IF(B265,INDEX(Dow,1,WEEKDAY(E265,2)),"")</f>
        <v/>
      </c>
      <c r="M265">
        <f>IF(B265,(1+Trend)^D265,"")</f>
        <v/>
      </c>
      <c r="N265">
        <f>IF(B265,EXP(SUMPRODUCT(LN(1+(EvEff-1)*INDEX(Affected,0,C265)*EXP(-((E265-EvCenter)^2)/(2*EvSigma^2))))),"")</f>
        <v/>
      </c>
      <c r="O265">
        <f>IF(B265,ROUND(MAX(0,J265*K265*L265*M265*N265),2),"")</f>
        <v/>
      </c>
    </row>
    <row r="266">
      <c r="A266" t="n">
        <v>265</v>
      </c>
      <c r="B266">
        <f>A266&lt;=MineCount*Days</f>
        <v/>
      </c>
      <c r="C266">
        <f>IF(B266,INT((A266-1)/Days)+1,"")</f>
        <v/>
      </c>
      <c r="D266">
        <f>IF(B266,MOD(A266-1,Days),"")</f>
        <v/>
      </c>
      <c r="E266" s="16">
        <f>IF(B266,StartDate+D266,"")</f>
        <v/>
      </c>
      <c r="F266">
        <f>IF(B266,MAX(MOD(SIN(Seed*0.1373+C266*12.9898+D266*78.233)*43758.5453,1),1E-9),"")</f>
        <v/>
      </c>
      <c r="G266">
        <f>IF(B266,MOD(SIN(Seed*0.5917+C266*39.3468+D266*11.135)*24634.6345,1),"")</f>
        <v/>
      </c>
      <c r="H266">
        <f>IF(B266,SQRT(-2*LN(F266))*COS(2*PI()*G266),"")</f>
        <v/>
      </c>
      <c r="I266">
        <f>IF(B266,IF(D266=0,H266,Rho*I265+SQRT(1-Rho^2)*H266),"")</f>
        <v/>
      </c>
      <c r="J266">
        <f>IF(B266,IF(Dist="Normal",DistA+DistB*I266,DistA+(DistB-DistA)*NORMSDIST(I266)),"")</f>
        <v/>
      </c>
      <c r="K266">
        <f>IF(B266,INDEX(MineScale,C266),"")</f>
        <v/>
      </c>
      <c r="L266">
        <f>IF(B266,INDEX(Dow,1,WEEKDAY(E266,2)),"")</f>
        <v/>
      </c>
      <c r="M266">
        <f>IF(B266,(1+Trend)^D266,"")</f>
        <v/>
      </c>
      <c r="N266">
        <f>IF(B266,EXP(SUMPRODUCT(LN(1+(EvEff-1)*INDEX(Affected,0,C266)*EXP(-((E266-EvCenter)^2)/(2*EvSigma^2))))),"")</f>
        <v/>
      </c>
      <c r="O266">
        <f>IF(B266,ROUND(MAX(0,J266*K266*L266*M266*N266),2),"")</f>
        <v/>
      </c>
    </row>
    <row r="267">
      <c r="A267" t="n">
        <v>266</v>
      </c>
      <c r="B267">
        <f>A267&lt;=MineCount*Days</f>
        <v/>
      </c>
      <c r="C267">
        <f>IF(B267,INT((A267-1)/Days)+1,"")</f>
        <v/>
      </c>
      <c r="D267">
        <f>IF(B267,MOD(A267-1,Days),"")</f>
        <v/>
      </c>
      <c r="E267" s="16">
        <f>IF(B267,StartDate+D267,"")</f>
        <v/>
      </c>
      <c r="F267">
        <f>IF(B267,MAX(MOD(SIN(Seed*0.1373+C267*12.9898+D267*78.233)*43758.5453,1),1E-9),"")</f>
        <v/>
      </c>
      <c r="G267">
        <f>IF(B267,MOD(SIN(Seed*0.5917+C267*39.3468+D267*11.135)*24634.6345,1),"")</f>
        <v/>
      </c>
      <c r="H267">
        <f>IF(B267,SQRT(-2*LN(F267))*COS(2*PI()*G267),"")</f>
        <v/>
      </c>
      <c r="I267">
        <f>IF(B267,IF(D267=0,H267,Rho*I266+SQRT(1-Rho^2)*H267),"")</f>
        <v/>
      </c>
      <c r="J267">
        <f>IF(B267,IF(Dist="Normal",DistA+DistB*I267,DistA+(DistB-DistA)*NORMSDIST(I267)),"")</f>
        <v/>
      </c>
      <c r="K267">
        <f>IF(B267,INDEX(MineScale,C267),"")</f>
        <v/>
      </c>
      <c r="L267">
        <f>IF(B267,INDEX(Dow,1,WEEKDAY(E267,2)),"")</f>
        <v/>
      </c>
      <c r="M267">
        <f>IF(B267,(1+Trend)^D267,"")</f>
        <v/>
      </c>
      <c r="N267">
        <f>IF(B267,EXP(SUMPRODUCT(LN(1+(EvEff-1)*INDEX(Affected,0,C267)*EXP(-((E267-EvCenter)^2)/(2*EvSigma^2))))),"")</f>
        <v/>
      </c>
      <c r="O267">
        <f>IF(B267,ROUND(MAX(0,J267*K267*L267*M267*N267),2),"")</f>
        <v/>
      </c>
    </row>
    <row r="268">
      <c r="A268" t="n">
        <v>267</v>
      </c>
      <c r="B268">
        <f>A268&lt;=MineCount*Days</f>
        <v/>
      </c>
      <c r="C268">
        <f>IF(B268,INT((A268-1)/Days)+1,"")</f>
        <v/>
      </c>
      <c r="D268">
        <f>IF(B268,MOD(A268-1,Days),"")</f>
        <v/>
      </c>
      <c r="E268" s="16">
        <f>IF(B268,StartDate+D268,"")</f>
        <v/>
      </c>
      <c r="F268">
        <f>IF(B268,MAX(MOD(SIN(Seed*0.1373+C268*12.9898+D268*78.233)*43758.5453,1),1E-9),"")</f>
        <v/>
      </c>
      <c r="G268">
        <f>IF(B268,MOD(SIN(Seed*0.5917+C268*39.3468+D268*11.135)*24634.6345,1),"")</f>
        <v/>
      </c>
      <c r="H268">
        <f>IF(B268,SQRT(-2*LN(F268))*COS(2*PI()*G268),"")</f>
        <v/>
      </c>
      <c r="I268">
        <f>IF(B268,IF(D268=0,H268,Rho*I267+SQRT(1-Rho^2)*H268),"")</f>
        <v/>
      </c>
      <c r="J268">
        <f>IF(B268,IF(Dist="Normal",DistA+DistB*I268,DistA+(DistB-DistA)*NORMSDIST(I268)),"")</f>
        <v/>
      </c>
      <c r="K268">
        <f>IF(B268,INDEX(MineScale,C268),"")</f>
        <v/>
      </c>
      <c r="L268">
        <f>IF(B268,INDEX(Dow,1,WEEKDAY(E268,2)),"")</f>
        <v/>
      </c>
      <c r="M268">
        <f>IF(B268,(1+Trend)^D268,"")</f>
        <v/>
      </c>
      <c r="N268">
        <f>IF(B268,EXP(SUMPRODUCT(LN(1+(EvEff-1)*INDEX(Affected,0,C268)*EXP(-((E268-EvCenter)^2)/(2*EvSigma^2))))),"")</f>
        <v/>
      </c>
      <c r="O268">
        <f>IF(B268,ROUND(MAX(0,J268*K268*L268*M268*N268),2),"")</f>
        <v/>
      </c>
    </row>
    <row r="269">
      <c r="A269" t="n">
        <v>268</v>
      </c>
      <c r="B269">
        <f>A269&lt;=MineCount*Days</f>
        <v/>
      </c>
      <c r="C269">
        <f>IF(B269,INT((A269-1)/Days)+1,"")</f>
        <v/>
      </c>
      <c r="D269">
        <f>IF(B269,MOD(A269-1,Days),"")</f>
        <v/>
      </c>
      <c r="E269" s="16">
        <f>IF(B269,StartDate+D269,"")</f>
        <v/>
      </c>
      <c r="F269">
        <f>IF(B269,MAX(MOD(SIN(Seed*0.1373+C269*12.9898+D269*78.233)*43758.5453,1),1E-9),"")</f>
        <v/>
      </c>
      <c r="G269">
        <f>IF(B269,MOD(SIN(Seed*0.5917+C269*39.3468+D269*11.135)*24634.6345,1),"")</f>
        <v/>
      </c>
      <c r="H269">
        <f>IF(B269,SQRT(-2*LN(F269))*COS(2*PI()*G269),"")</f>
        <v/>
      </c>
      <c r="I269">
        <f>IF(B269,IF(D269=0,H269,Rho*I268+SQRT(1-Rho^2)*H269),"")</f>
        <v/>
      </c>
      <c r="J269">
        <f>IF(B269,IF(Dist="Normal",DistA+DistB*I269,DistA+(DistB-DistA)*NORMSDIST(I269)),"")</f>
        <v/>
      </c>
      <c r="K269">
        <f>IF(B269,INDEX(MineScale,C269),"")</f>
        <v/>
      </c>
      <c r="L269">
        <f>IF(B269,INDEX(Dow,1,WEEKDAY(E269,2)),"")</f>
        <v/>
      </c>
      <c r="M269">
        <f>IF(B269,(1+Trend)^D269,"")</f>
        <v/>
      </c>
      <c r="N269">
        <f>IF(B269,EXP(SUMPRODUCT(LN(1+(EvEff-1)*INDEX(Affected,0,C269)*EXP(-((E269-EvCenter)^2)/(2*EvSigma^2))))),"")</f>
        <v/>
      </c>
      <c r="O269">
        <f>IF(B269,ROUND(MAX(0,J269*K269*L269*M269*N269),2),"")</f>
        <v/>
      </c>
    </row>
    <row r="270">
      <c r="A270" t="n">
        <v>269</v>
      </c>
      <c r="B270">
        <f>A270&lt;=MineCount*Days</f>
        <v/>
      </c>
      <c r="C270">
        <f>IF(B270,INT((A270-1)/Days)+1,"")</f>
        <v/>
      </c>
      <c r="D270">
        <f>IF(B270,MOD(A270-1,Days),"")</f>
        <v/>
      </c>
      <c r="E270" s="16">
        <f>IF(B270,StartDate+D270,"")</f>
        <v/>
      </c>
      <c r="F270">
        <f>IF(B270,MAX(MOD(SIN(Seed*0.1373+C270*12.9898+D270*78.233)*43758.5453,1),1E-9),"")</f>
        <v/>
      </c>
      <c r="G270">
        <f>IF(B270,MOD(SIN(Seed*0.5917+C270*39.3468+D270*11.135)*24634.6345,1),"")</f>
        <v/>
      </c>
      <c r="H270">
        <f>IF(B270,SQRT(-2*LN(F270))*COS(2*PI()*G270),"")</f>
        <v/>
      </c>
      <c r="I270">
        <f>IF(B270,IF(D270=0,H270,Rho*I269+SQRT(1-Rho^2)*H270),"")</f>
        <v/>
      </c>
      <c r="J270">
        <f>IF(B270,IF(Dist="Normal",DistA+DistB*I270,DistA+(DistB-DistA)*NORMSDIST(I270)),"")</f>
        <v/>
      </c>
      <c r="K270">
        <f>IF(B270,INDEX(MineScale,C270),"")</f>
        <v/>
      </c>
      <c r="L270">
        <f>IF(B270,INDEX(Dow,1,WEEKDAY(E270,2)),"")</f>
        <v/>
      </c>
      <c r="M270">
        <f>IF(B270,(1+Trend)^D270,"")</f>
        <v/>
      </c>
      <c r="N270">
        <f>IF(B270,EXP(SUMPRODUCT(LN(1+(EvEff-1)*INDEX(Affected,0,C270)*EXP(-((E270-EvCenter)^2)/(2*EvSigma^2))))),"")</f>
        <v/>
      </c>
      <c r="O270">
        <f>IF(B270,ROUND(MAX(0,J270*K270*L270*M270*N270),2),"")</f>
        <v/>
      </c>
    </row>
    <row r="271">
      <c r="A271" t="n">
        <v>270</v>
      </c>
      <c r="B271">
        <f>A271&lt;=MineCount*Days</f>
        <v/>
      </c>
      <c r="C271">
        <f>IF(B271,INT((A271-1)/Days)+1,"")</f>
        <v/>
      </c>
      <c r="D271">
        <f>IF(B271,MOD(A271-1,Days),"")</f>
        <v/>
      </c>
      <c r="E271" s="16">
        <f>IF(B271,StartDate+D271,"")</f>
        <v/>
      </c>
      <c r="F271">
        <f>IF(B271,MAX(MOD(SIN(Seed*0.1373+C271*12.9898+D271*78.233)*43758.5453,1),1E-9),"")</f>
        <v/>
      </c>
      <c r="G271">
        <f>IF(B271,MOD(SIN(Seed*0.5917+C271*39.3468+D271*11.135)*24634.6345,1),"")</f>
        <v/>
      </c>
      <c r="H271">
        <f>IF(B271,SQRT(-2*LN(F271))*COS(2*PI()*G271),"")</f>
        <v/>
      </c>
      <c r="I271">
        <f>IF(B271,IF(D271=0,H271,Rho*I270+SQRT(1-Rho^2)*H271),"")</f>
        <v/>
      </c>
      <c r="J271">
        <f>IF(B271,IF(Dist="Normal",DistA+DistB*I271,DistA+(DistB-DistA)*NORMSDIST(I271)),"")</f>
        <v/>
      </c>
      <c r="K271">
        <f>IF(B271,INDEX(MineScale,C271),"")</f>
        <v/>
      </c>
      <c r="L271">
        <f>IF(B271,INDEX(Dow,1,WEEKDAY(E271,2)),"")</f>
        <v/>
      </c>
      <c r="M271">
        <f>IF(B271,(1+Trend)^D271,"")</f>
        <v/>
      </c>
      <c r="N271">
        <f>IF(B271,EXP(SUMPRODUCT(LN(1+(EvEff-1)*INDEX(Affected,0,C271)*EXP(-((E271-EvCenter)^2)/(2*EvSigma^2))))),"")</f>
        <v/>
      </c>
      <c r="O271">
        <f>IF(B271,ROUND(MAX(0,J271*K271*L271*M271*N271),2),"")</f>
        <v/>
      </c>
    </row>
    <row r="272">
      <c r="A272" t="n">
        <v>271</v>
      </c>
      <c r="B272">
        <f>A272&lt;=MineCount*Days</f>
        <v/>
      </c>
      <c r="C272">
        <f>IF(B272,INT((A272-1)/Days)+1,"")</f>
        <v/>
      </c>
      <c r="D272">
        <f>IF(B272,MOD(A272-1,Days),"")</f>
        <v/>
      </c>
      <c r="E272" s="16">
        <f>IF(B272,StartDate+D272,"")</f>
        <v/>
      </c>
      <c r="F272">
        <f>IF(B272,MAX(MOD(SIN(Seed*0.1373+C272*12.9898+D272*78.233)*43758.5453,1),1E-9),"")</f>
        <v/>
      </c>
      <c r="G272">
        <f>IF(B272,MOD(SIN(Seed*0.5917+C272*39.3468+D272*11.135)*24634.6345,1),"")</f>
        <v/>
      </c>
      <c r="H272">
        <f>IF(B272,SQRT(-2*LN(F272))*COS(2*PI()*G272),"")</f>
        <v/>
      </c>
      <c r="I272">
        <f>IF(B272,IF(D272=0,H272,Rho*I271+SQRT(1-Rho^2)*H272),"")</f>
        <v/>
      </c>
      <c r="J272">
        <f>IF(B272,IF(Dist="Normal",DistA+DistB*I272,DistA+(DistB-DistA)*NORMSDIST(I272)),"")</f>
        <v/>
      </c>
      <c r="K272">
        <f>IF(B272,INDEX(MineScale,C272),"")</f>
        <v/>
      </c>
      <c r="L272">
        <f>IF(B272,INDEX(Dow,1,WEEKDAY(E272,2)),"")</f>
        <v/>
      </c>
      <c r="M272">
        <f>IF(B272,(1+Trend)^D272,"")</f>
        <v/>
      </c>
      <c r="N272">
        <f>IF(B272,EXP(SUMPRODUCT(LN(1+(EvEff-1)*INDEX(Affected,0,C272)*EXP(-((E272-EvCenter)^2)/(2*EvSigma^2))))),"")</f>
        <v/>
      </c>
      <c r="O272">
        <f>IF(B272,ROUND(MAX(0,J272*K272*L272*M272*N272),2),"")</f>
        <v/>
      </c>
    </row>
    <row r="273">
      <c r="A273" t="n">
        <v>272</v>
      </c>
      <c r="B273">
        <f>A273&lt;=MineCount*Days</f>
        <v/>
      </c>
      <c r="C273">
        <f>IF(B273,INT((A273-1)/Days)+1,"")</f>
        <v/>
      </c>
      <c r="D273">
        <f>IF(B273,MOD(A273-1,Days),"")</f>
        <v/>
      </c>
      <c r="E273" s="16">
        <f>IF(B273,StartDate+D273,"")</f>
        <v/>
      </c>
      <c r="F273">
        <f>IF(B273,MAX(MOD(SIN(Seed*0.1373+C273*12.9898+D273*78.233)*43758.5453,1),1E-9),"")</f>
        <v/>
      </c>
      <c r="G273">
        <f>IF(B273,MOD(SIN(Seed*0.5917+C273*39.3468+D273*11.135)*24634.6345,1),"")</f>
        <v/>
      </c>
      <c r="H273">
        <f>IF(B273,SQRT(-2*LN(F273))*COS(2*PI()*G273),"")</f>
        <v/>
      </c>
      <c r="I273">
        <f>IF(B273,IF(D273=0,H273,Rho*I272+SQRT(1-Rho^2)*H273),"")</f>
        <v/>
      </c>
      <c r="J273">
        <f>IF(B273,IF(Dist="Normal",DistA+DistB*I273,DistA+(DistB-DistA)*NORMSDIST(I273)),"")</f>
        <v/>
      </c>
      <c r="K273">
        <f>IF(B273,INDEX(MineScale,C273),"")</f>
        <v/>
      </c>
      <c r="L273">
        <f>IF(B273,INDEX(Dow,1,WEEKDAY(E273,2)),"")</f>
        <v/>
      </c>
      <c r="M273">
        <f>IF(B273,(1+Trend)^D273,"")</f>
        <v/>
      </c>
      <c r="N273">
        <f>IF(B273,EXP(SUMPRODUCT(LN(1+(EvEff-1)*INDEX(Affected,0,C273)*EXP(-((E273-EvCenter)^2)/(2*EvSigma^2))))),"")</f>
        <v/>
      </c>
      <c r="O273">
        <f>IF(B273,ROUND(MAX(0,J273*K273*L273*M273*N273),2),"")</f>
        <v/>
      </c>
    </row>
    <row r="274">
      <c r="A274" t="n">
        <v>273</v>
      </c>
      <c r="B274">
        <f>A274&lt;=MineCount*Days</f>
        <v/>
      </c>
      <c r="C274">
        <f>IF(B274,INT((A274-1)/Days)+1,"")</f>
        <v/>
      </c>
      <c r="D274">
        <f>IF(B274,MOD(A274-1,Days),"")</f>
        <v/>
      </c>
      <c r="E274" s="16">
        <f>IF(B274,StartDate+D274,"")</f>
        <v/>
      </c>
      <c r="F274">
        <f>IF(B274,MAX(MOD(SIN(Seed*0.1373+C274*12.9898+D274*78.233)*43758.5453,1),1E-9),"")</f>
        <v/>
      </c>
      <c r="G274">
        <f>IF(B274,MOD(SIN(Seed*0.5917+C274*39.3468+D274*11.135)*24634.6345,1),"")</f>
        <v/>
      </c>
      <c r="H274">
        <f>IF(B274,SQRT(-2*LN(F274))*COS(2*PI()*G274),"")</f>
        <v/>
      </c>
      <c r="I274">
        <f>IF(B274,IF(D274=0,H274,Rho*I273+SQRT(1-Rho^2)*H274),"")</f>
        <v/>
      </c>
      <c r="J274">
        <f>IF(B274,IF(Dist="Normal",DistA+DistB*I274,DistA+(DistB-DistA)*NORMSDIST(I274)),"")</f>
        <v/>
      </c>
      <c r="K274">
        <f>IF(B274,INDEX(MineScale,C274),"")</f>
        <v/>
      </c>
      <c r="L274">
        <f>IF(B274,INDEX(Dow,1,WEEKDAY(E274,2)),"")</f>
        <v/>
      </c>
      <c r="M274">
        <f>IF(B274,(1+Trend)^D274,"")</f>
        <v/>
      </c>
      <c r="N274">
        <f>IF(B274,EXP(SUMPRODUCT(LN(1+(EvEff-1)*INDEX(Affected,0,C274)*EXP(-((E274-EvCenter)^2)/(2*EvSigma^2))))),"")</f>
        <v/>
      </c>
      <c r="O274">
        <f>IF(B274,ROUND(MAX(0,J274*K274*L274*M274*N274),2),"")</f>
        <v/>
      </c>
    </row>
    <row r="275">
      <c r="A275" t="n">
        <v>274</v>
      </c>
      <c r="B275">
        <f>A275&lt;=MineCount*Days</f>
        <v/>
      </c>
      <c r="C275">
        <f>IF(B275,INT((A275-1)/Days)+1,"")</f>
        <v/>
      </c>
      <c r="D275">
        <f>IF(B275,MOD(A275-1,Days),"")</f>
        <v/>
      </c>
      <c r="E275" s="16">
        <f>IF(B275,StartDate+D275,"")</f>
        <v/>
      </c>
      <c r="F275">
        <f>IF(B275,MAX(MOD(SIN(Seed*0.1373+C275*12.9898+D275*78.233)*43758.5453,1),1E-9),"")</f>
        <v/>
      </c>
      <c r="G275">
        <f>IF(B275,MOD(SIN(Seed*0.5917+C275*39.3468+D275*11.135)*24634.6345,1),"")</f>
        <v/>
      </c>
      <c r="H275">
        <f>IF(B275,SQRT(-2*LN(F275))*COS(2*PI()*G275),"")</f>
        <v/>
      </c>
      <c r="I275">
        <f>IF(B275,IF(D275=0,H275,Rho*I274+SQRT(1-Rho^2)*H275),"")</f>
        <v/>
      </c>
      <c r="J275">
        <f>IF(B275,IF(Dist="Normal",DistA+DistB*I275,DistA+(DistB-DistA)*NORMSDIST(I275)),"")</f>
        <v/>
      </c>
      <c r="K275">
        <f>IF(B275,INDEX(MineScale,C275),"")</f>
        <v/>
      </c>
      <c r="L275">
        <f>IF(B275,INDEX(Dow,1,WEEKDAY(E275,2)),"")</f>
        <v/>
      </c>
      <c r="M275">
        <f>IF(B275,(1+Trend)^D275,"")</f>
        <v/>
      </c>
      <c r="N275">
        <f>IF(B275,EXP(SUMPRODUCT(LN(1+(EvEff-1)*INDEX(Affected,0,C275)*EXP(-((E275-EvCenter)^2)/(2*EvSigma^2))))),"")</f>
        <v/>
      </c>
      <c r="O275">
        <f>IF(B275,ROUND(MAX(0,J275*K275*L275*M275*N275),2),"")</f>
        <v/>
      </c>
    </row>
    <row r="276">
      <c r="A276" t="n">
        <v>275</v>
      </c>
      <c r="B276">
        <f>A276&lt;=MineCount*Days</f>
        <v/>
      </c>
      <c r="C276">
        <f>IF(B276,INT((A276-1)/Days)+1,"")</f>
        <v/>
      </c>
      <c r="D276">
        <f>IF(B276,MOD(A276-1,Days),"")</f>
        <v/>
      </c>
      <c r="E276" s="16">
        <f>IF(B276,StartDate+D276,"")</f>
        <v/>
      </c>
      <c r="F276">
        <f>IF(B276,MAX(MOD(SIN(Seed*0.1373+C276*12.9898+D276*78.233)*43758.5453,1),1E-9),"")</f>
        <v/>
      </c>
      <c r="G276">
        <f>IF(B276,MOD(SIN(Seed*0.5917+C276*39.3468+D276*11.135)*24634.6345,1),"")</f>
        <v/>
      </c>
      <c r="H276">
        <f>IF(B276,SQRT(-2*LN(F276))*COS(2*PI()*G276),"")</f>
        <v/>
      </c>
      <c r="I276">
        <f>IF(B276,IF(D276=0,H276,Rho*I275+SQRT(1-Rho^2)*H276),"")</f>
        <v/>
      </c>
      <c r="J276">
        <f>IF(B276,IF(Dist="Normal",DistA+DistB*I276,DistA+(DistB-DistA)*NORMSDIST(I276)),"")</f>
        <v/>
      </c>
      <c r="K276">
        <f>IF(B276,INDEX(MineScale,C276),"")</f>
        <v/>
      </c>
      <c r="L276">
        <f>IF(B276,INDEX(Dow,1,WEEKDAY(E276,2)),"")</f>
        <v/>
      </c>
      <c r="M276">
        <f>IF(B276,(1+Trend)^D276,"")</f>
        <v/>
      </c>
      <c r="N276">
        <f>IF(B276,EXP(SUMPRODUCT(LN(1+(EvEff-1)*INDEX(Affected,0,C276)*EXP(-((E276-EvCenter)^2)/(2*EvSigma^2))))),"")</f>
        <v/>
      </c>
      <c r="O276">
        <f>IF(B276,ROUND(MAX(0,J276*K276*L276*M276*N276),2),"")</f>
        <v/>
      </c>
    </row>
    <row r="277">
      <c r="A277" t="n">
        <v>276</v>
      </c>
      <c r="B277">
        <f>A277&lt;=MineCount*Days</f>
        <v/>
      </c>
      <c r="C277">
        <f>IF(B277,INT((A277-1)/Days)+1,"")</f>
        <v/>
      </c>
      <c r="D277">
        <f>IF(B277,MOD(A277-1,Days),"")</f>
        <v/>
      </c>
      <c r="E277" s="16">
        <f>IF(B277,StartDate+D277,"")</f>
        <v/>
      </c>
      <c r="F277">
        <f>IF(B277,MAX(MOD(SIN(Seed*0.1373+C277*12.9898+D277*78.233)*43758.5453,1),1E-9),"")</f>
        <v/>
      </c>
      <c r="G277">
        <f>IF(B277,MOD(SIN(Seed*0.5917+C277*39.3468+D277*11.135)*24634.6345,1),"")</f>
        <v/>
      </c>
      <c r="H277">
        <f>IF(B277,SQRT(-2*LN(F277))*COS(2*PI()*G277),"")</f>
        <v/>
      </c>
      <c r="I277">
        <f>IF(B277,IF(D277=0,H277,Rho*I276+SQRT(1-Rho^2)*H277),"")</f>
        <v/>
      </c>
      <c r="J277">
        <f>IF(B277,IF(Dist="Normal",DistA+DistB*I277,DistA+(DistB-DistA)*NORMSDIST(I277)),"")</f>
        <v/>
      </c>
      <c r="K277">
        <f>IF(B277,INDEX(MineScale,C277),"")</f>
        <v/>
      </c>
      <c r="L277">
        <f>IF(B277,INDEX(Dow,1,WEEKDAY(E277,2)),"")</f>
        <v/>
      </c>
      <c r="M277">
        <f>IF(B277,(1+Trend)^D277,"")</f>
        <v/>
      </c>
      <c r="N277">
        <f>IF(B277,EXP(SUMPRODUCT(LN(1+(EvEff-1)*INDEX(Affected,0,C277)*EXP(-((E277-EvCenter)^2)/(2*EvSigma^2))))),"")</f>
        <v/>
      </c>
      <c r="O277">
        <f>IF(B277,ROUND(MAX(0,J277*K277*L277*M277*N277),2),"")</f>
        <v/>
      </c>
    </row>
    <row r="278">
      <c r="A278" t="n">
        <v>277</v>
      </c>
      <c r="B278">
        <f>A278&lt;=MineCount*Days</f>
        <v/>
      </c>
      <c r="C278">
        <f>IF(B278,INT((A278-1)/Days)+1,"")</f>
        <v/>
      </c>
      <c r="D278">
        <f>IF(B278,MOD(A278-1,Days),"")</f>
        <v/>
      </c>
      <c r="E278" s="16">
        <f>IF(B278,StartDate+D278,"")</f>
        <v/>
      </c>
      <c r="F278">
        <f>IF(B278,MAX(MOD(SIN(Seed*0.1373+C278*12.9898+D278*78.233)*43758.5453,1),1E-9),"")</f>
        <v/>
      </c>
      <c r="G278">
        <f>IF(B278,MOD(SIN(Seed*0.5917+C278*39.3468+D278*11.135)*24634.6345,1),"")</f>
        <v/>
      </c>
      <c r="H278">
        <f>IF(B278,SQRT(-2*LN(F278))*COS(2*PI()*G278),"")</f>
        <v/>
      </c>
      <c r="I278">
        <f>IF(B278,IF(D278=0,H278,Rho*I277+SQRT(1-Rho^2)*H278),"")</f>
        <v/>
      </c>
      <c r="J278">
        <f>IF(B278,IF(Dist="Normal",DistA+DistB*I278,DistA+(DistB-DistA)*NORMSDIST(I278)),"")</f>
        <v/>
      </c>
      <c r="K278">
        <f>IF(B278,INDEX(MineScale,C278),"")</f>
        <v/>
      </c>
      <c r="L278">
        <f>IF(B278,INDEX(Dow,1,WEEKDAY(E278,2)),"")</f>
        <v/>
      </c>
      <c r="M278">
        <f>IF(B278,(1+Trend)^D278,"")</f>
        <v/>
      </c>
      <c r="N278">
        <f>IF(B278,EXP(SUMPRODUCT(LN(1+(EvEff-1)*INDEX(Affected,0,C278)*EXP(-((E278-EvCenter)^2)/(2*EvSigma^2))))),"")</f>
        <v/>
      </c>
      <c r="O278">
        <f>IF(B278,ROUND(MAX(0,J278*K278*L278*M278*N278),2),"")</f>
        <v/>
      </c>
    </row>
    <row r="279">
      <c r="A279" t="n">
        <v>278</v>
      </c>
      <c r="B279">
        <f>A279&lt;=MineCount*Days</f>
        <v/>
      </c>
      <c r="C279">
        <f>IF(B279,INT((A279-1)/Days)+1,"")</f>
        <v/>
      </c>
      <c r="D279">
        <f>IF(B279,MOD(A279-1,Days),"")</f>
        <v/>
      </c>
      <c r="E279" s="16">
        <f>IF(B279,StartDate+D279,"")</f>
        <v/>
      </c>
      <c r="F279">
        <f>IF(B279,MAX(MOD(SIN(Seed*0.1373+C279*12.9898+D279*78.233)*43758.5453,1),1E-9),"")</f>
        <v/>
      </c>
      <c r="G279">
        <f>IF(B279,MOD(SIN(Seed*0.5917+C279*39.3468+D279*11.135)*24634.6345,1),"")</f>
        <v/>
      </c>
      <c r="H279">
        <f>IF(B279,SQRT(-2*LN(F279))*COS(2*PI()*G279),"")</f>
        <v/>
      </c>
      <c r="I279">
        <f>IF(B279,IF(D279=0,H279,Rho*I278+SQRT(1-Rho^2)*H279),"")</f>
        <v/>
      </c>
      <c r="J279">
        <f>IF(B279,IF(Dist="Normal",DistA+DistB*I279,DistA+(DistB-DistA)*NORMSDIST(I279)),"")</f>
        <v/>
      </c>
      <c r="K279">
        <f>IF(B279,INDEX(MineScale,C279),"")</f>
        <v/>
      </c>
      <c r="L279">
        <f>IF(B279,INDEX(Dow,1,WEEKDAY(E279,2)),"")</f>
        <v/>
      </c>
      <c r="M279">
        <f>IF(B279,(1+Trend)^D279,"")</f>
        <v/>
      </c>
      <c r="N279">
        <f>IF(B279,EXP(SUMPRODUCT(LN(1+(EvEff-1)*INDEX(Affected,0,C279)*EXP(-((E279-EvCenter)^2)/(2*EvSigma^2))))),"")</f>
        <v/>
      </c>
      <c r="O279">
        <f>IF(B279,ROUND(MAX(0,J279*K279*L279*M279*N279),2),"")</f>
        <v/>
      </c>
    </row>
    <row r="280">
      <c r="A280" t="n">
        <v>279</v>
      </c>
      <c r="B280">
        <f>A280&lt;=MineCount*Days</f>
        <v/>
      </c>
      <c r="C280">
        <f>IF(B280,INT((A280-1)/Days)+1,"")</f>
        <v/>
      </c>
      <c r="D280">
        <f>IF(B280,MOD(A280-1,Days),"")</f>
        <v/>
      </c>
      <c r="E280" s="16">
        <f>IF(B280,StartDate+D280,"")</f>
        <v/>
      </c>
      <c r="F280">
        <f>IF(B280,MAX(MOD(SIN(Seed*0.1373+C280*12.9898+D280*78.233)*43758.5453,1),1E-9),"")</f>
        <v/>
      </c>
      <c r="G280">
        <f>IF(B280,MOD(SIN(Seed*0.5917+C280*39.3468+D280*11.135)*24634.6345,1),"")</f>
        <v/>
      </c>
      <c r="H280">
        <f>IF(B280,SQRT(-2*LN(F280))*COS(2*PI()*G280),"")</f>
        <v/>
      </c>
      <c r="I280">
        <f>IF(B280,IF(D280=0,H280,Rho*I279+SQRT(1-Rho^2)*H280),"")</f>
        <v/>
      </c>
      <c r="J280">
        <f>IF(B280,IF(Dist="Normal",DistA+DistB*I280,DistA+(DistB-DistA)*NORMSDIST(I280)),"")</f>
        <v/>
      </c>
      <c r="K280">
        <f>IF(B280,INDEX(MineScale,C280),"")</f>
        <v/>
      </c>
      <c r="L280">
        <f>IF(B280,INDEX(Dow,1,WEEKDAY(E280,2)),"")</f>
        <v/>
      </c>
      <c r="M280">
        <f>IF(B280,(1+Trend)^D280,"")</f>
        <v/>
      </c>
      <c r="N280">
        <f>IF(B280,EXP(SUMPRODUCT(LN(1+(EvEff-1)*INDEX(Affected,0,C280)*EXP(-((E280-EvCenter)^2)/(2*EvSigma^2))))),"")</f>
        <v/>
      </c>
      <c r="O280">
        <f>IF(B280,ROUND(MAX(0,J280*K280*L280*M280*N280),2),"")</f>
        <v/>
      </c>
    </row>
    <row r="281">
      <c r="A281" t="n">
        <v>280</v>
      </c>
      <c r="B281">
        <f>A281&lt;=MineCount*Days</f>
        <v/>
      </c>
      <c r="C281">
        <f>IF(B281,INT((A281-1)/Days)+1,"")</f>
        <v/>
      </c>
      <c r="D281">
        <f>IF(B281,MOD(A281-1,Days),"")</f>
        <v/>
      </c>
      <c r="E281" s="16">
        <f>IF(B281,StartDate+D281,"")</f>
        <v/>
      </c>
      <c r="F281">
        <f>IF(B281,MAX(MOD(SIN(Seed*0.1373+C281*12.9898+D281*78.233)*43758.5453,1),1E-9),"")</f>
        <v/>
      </c>
      <c r="G281">
        <f>IF(B281,MOD(SIN(Seed*0.5917+C281*39.3468+D281*11.135)*24634.6345,1),"")</f>
        <v/>
      </c>
      <c r="H281">
        <f>IF(B281,SQRT(-2*LN(F281))*COS(2*PI()*G281),"")</f>
        <v/>
      </c>
      <c r="I281">
        <f>IF(B281,IF(D281=0,H281,Rho*I280+SQRT(1-Rho^2)*H281),"")</f>
        <v/>
      </c>
      <c r="J281">
        <f>IF(B281,IF(Dist="Normal",DistA+DistB*I281,DistA+(DistB-DistA)*NORMSDIST(I281)),"")</f>
        <v/>
      </c>
      <c r="K281">
        <f>IF(B281,INDEX(MineScale,C281),"")</f>
        <v/>
      </c>
      <c r="L281">
        <f>IF(B281,INDEX(Dow,1,WEEKDAY(E281,2)),"")</f>
        <v/>
      </c>
      <c r="M281">
        <f>IF(B281,(1+Trend)^D281,"")</f>
        <v/>
      </c>
      <c r="N281">
        <f>IF(B281,EXP(SUMPRODUCT(LN(1+(EvEff-1)*INDEX(Affected,0,C281)*EXP(-((E281-EvCenter)^2)/(2*EvSigma^2))))),"")</f>
        <v/>
      </c>
      <c r="O281">
        <f>IF(B281,ROUND(MAX(0,J281*K281*L281*M281*N281),2),"")</f>
        <v/>
      </c>
    </row>
    <row r="282">
      <c r="A282" t="n">
        <v>281</v>
      </c>
      <c r="B282">
        <f>A282&lt;=MineCount*Days</f>
        <v/>
      </c>
      <c r="C282">
        <f>IF(B282,INT((A282-1)/Days)+1,"")</f>
        <v/>
      </c>
      <c r="D282">
        <f>IF(B282,MOD(A282-1,Days),"")</f>
        <v/>
      </c>
      <c r="E282" s="16">
        <f>IF(B282,StartDate+D282,"")</f>
        <v/>
      </c>
      <c r="F282">
        <f>IF(B282,MAX(MOD(SIN(Seed*0.1373+C282*12.9898+D282*78.233)*43758.5453,1),1E-9),"")</f>
        <v/>
      </c>
      <c r="G282">
        <f>IF(B282,MOD(SIN(Seed*0.5917+C282*39.3468+D282*11.135)*24634.6345,1),"")</f>
        <v/>
      </c>
      <c r="H282">
        <f>IF(B282,SQRT(-2*LN(F282))*COS(2*PI()*G282),"")</f>
        <v/>
      </c>
      <c r="I282">
        <f>IF(B282,IF(D282=0,H282,Rho*I281+SQRT(1-Rho^2)*H282),"")</f>
        <v/>
      </c>
      <c r="J282">
        <f>IF(B282,IF(Dist="Normal",DistA+DistB*I282,DistA+(DistB-DistA)*NORMSDIST(I282)),"")</f>
        <v/>
      </c>
      <c r="K282">
        <f>IF(B282,INDEX(MineScale,C282),"")</f>
        <v/>
      </c>
      <c r="L282">
        <f>IF(B282,INDEX(Dow,1,WEEKDAY(E282,2)),"")</f>
        <v/>
      </c>
      <c r="M282">
        <f>IF(B282,(1+Trend)^D282,"")</f>
        <v/>
      </c>
      <c r="N282">
        <f>IF(B282,EXP(SUMPRODUCT(LN(1+(EvEff-1)*INDEX(Affected,0,C282)*EXP(-((E282-EvCenter)^2)/(2*EvSigma^2))))),"")</f>
        <v/>
      </c>
      <c r="O282">
        <f>IF(B282,ROUND(MAX(0,J282*K282*L282*M282*N282),2),"")</f>
        <v/>
      </c>
    </row>
    <row r="283">
      <c r="A283" t="n">
        <v>282</v>
      </c>
      <c r="B283">
        <f>A283&lt;=MineCount*Days</f>
        <v/>
      </c>
      <c r="C283">
        <f>IF(B283,INT((A283-1)/Days)+1,"")</f>
        <v/>
      </c>
      <c r="D283">
        <f>IF(B283,MOD(A283-1,Days),"")</f>
        <v/>
      </c>
      <c r="E283" s="16">
        <f>IF(B283,StartDate+D283,"")</f>
        <v/>
      </c>
      <c r="F283">
        <f>IF(B283,MAX(MOD(SIN(Seed*0.1373+C283*12.9898+D283*78.233)*43758.5453,1),1E-9),"")</f>
        <v/>
      </c>
      <c r="G283">
        <f>IF(B283,MOD(SIN(Seed*0.5917+C283*39.3468+D283*11.135)*24634.6345,1),"")</f>
        <v/>
      </c>
      <c r="H283">
        <f>IF(B283,SQRT(-2*LN(F283))*COS(2*PI()*G283),"")</f>
        <v/>
      </c>
      <c r="I283">
        <f>IF(B283,IF(D283=0,H283,Rho*I282+SQRT(1-Rho^2)*H283),"")</f>
        <v/>
      </c>
      <c r="J283">
        <f>IF(B283,IF(Dist="Normal",DistA+DistB*I283,DistA+(DistB-DistA)*NORMSDIST(I283)),"")</f>
        <v/>
      </c>
      <c r="K283">
        <f>IF(B283,INDEX(MineScale,C283),"")</f>
        <v/>
      </c>
      <c r="L283">
        <f>IF(B283,INDEX(Dow,1,WEEKDAY(E283,2)),"")</f>
        <v/>
      </c>
      <c r="M283">
        <f>IF(B283,(1+Trend)^D283,"")</f>
        <v/>
      </c>
      <c r="N283">
        <f>IF(B283,EXP(SUMPRODUCT(LN(1+(EvEff-1)*INDEX(Affected,0,C283)*EXP(-((E283-EvCenter)^2)/(2*EvSigma^2))))),"")</f>
        <v/>
      </c>
      <c r="O283">
        <f>IF(B283,ROUND(MAX(0,J283*K283*L283*M283*N283),2),"")</f>
        <v/>
      </c>
    </row>
    <row r="284">
      <c r="A284" t="n">
        <v>283</v>
      </c>
      <c r="B284">
        <f>A284&lt;=MineCount*Days</f>
        <v/>
      </c>
      <c r="C284">
        <f>IF(B284,INT((A284-1)/Days)+1,"")</f>
        <v/>
      </c>
      <c r="D284">
        <f>IF(B284,MOD(A284-1,Days),"")</f>
        <v/>
      </c>
      <c r="E284" s="16">
        <f>IF(B284,StartDate+D284,"")</f>
        <v/>
      </c>
      <c r="F284">
        <f>IF(B284,MAX(MOD(SIN(Seed*0.1373+C284*12.9898+D284*78.233)*43758.5453,1),1E-9),"")</f>
        <v/>
      </c>
      <c r="G284">
        <f>IF(B284,MOD(SIN(Seed*0.5917+C284*39.3468+D284*11.135)*24634.6345,1),"")</f>
        <v/>
      </c>
      <c r="H284">
        <f>IF(B284,SQRT(-2*LN(F284))*COS(2*PI()*G284),"")</f>
        <v/>
      </c>
      <c r="I284">
        <f>IF(B284,IF(D284=0,H284,Rho*I283+SQRT(1-Rho^2)*H284),"")</f>
        <v/>
      </c>
      <c r="J284">
        <f>IF(B284,IF(Dist="Normal",DistA+DistB*I284,DistA+(DistB-DistA)*NORMSDIST(I284)),"")</f>
        <v/>
      </c>
      <c r="K284">
        <f>IF(B284,INDEX(MineScale,C284),"")</f>
        <v/>
      </c>
      <c r="L284">
        <f>IF(B284,INDEX(Dow,1,WEEKDAY(E284,2)),"")</f>
        <v/>
      </c>
      <c r="M284">
        <f>IF(B284,(1+Trend)^D284,"")</f>
        <v/>
      </c>
      <c r="N284">
        <f>IF(B284,EXP(SUMPRODUCT(LN(1+(EvEff-1)*INDEX(Affected,0,C284)*EXP(-((E284-EvCenter)^2)/(2*EvSigma^2))))),"")</f>
        <v/>
      </c>
      <c r="O284">
        <f>IF(B284,ROUND(MAX(0,J284*K284*L284*M284*N284),2),"")</f>
        <v/>
      </c>
    </row>
    <row r="285">
      <c r="A285" t="n">
        <v>284</v>
      </c>
      <c r="B285">
        <f>A285&lt;=MineCount*Days</f>
        <v/>
      </c>
      <c r="C285">
        <f>IF(B285,INT((A285-1)/Days)+1,"")</f>
        <v/>
      </c>
      <c r="D285">
        <f>IF(B285,MOD(A285-1,Days),"")</f>
        <v/>
      </c>
      <c r="E285" s="16">
        <f>IF(B285,StartDate+D285,"")</f>
        <v/>
      </c>
      <c r="F285">
        <f>IF(B285,MAX(MOD(SIN(Seed*0.1373+C285*12.9898+D285*78.233)*43758.5453,1),1E-9),"")</f>
        <v/>
      </c>
      <c r="G285">
        <f>IF(B285,MOD(SIN(Seed*0.5917+C285*39.3468+D285*11.135)*24634.6345,1),"")</f>
        <v/>
      </c>
      <c r="H285">
        <f>IF(B285,SQRT(-2*LN(F285))*COS(2*PI()*G285),"")</f>
        <v/>
      </c>
      <c r="I285">
        <f>IF(B285,IF(D285=0,H285,Rho*I284+SQRT(1-Rho^2)*H285),"")</f>
        <v/>
      </c>
      <c r="J285">
        <f>IF(B285,IF(Dist="Normal",DistA+DistB*I285,DistA+(DistB-DistA)*NORMSDIST(I285)),"")</f>
        <v/>
      </c>
      <c r="K285">
        <f>IF(B285,INDEX(MineScale,C285),"")</f>
        <v/>
      </c>
      <c r="L285">
        <f>IF(B285,INDEX(Dow,1,WEEKDAY(E285,2)),"")</f>
        <v/>
      </c>
      <c r="M285">
        <f>IF(B285,(1+Trend)^D285,"")</f>
        <v/>
      </c>
      <c r="N285">
        <f>IF(B285,EXP(SUMPRODUCT(LN(1+(EvEff-1)*INDEX(Affected,0,C285)*EXP(-((E285-EvCenter)^2)/(2*EvSigma^2))))),"")</f>
        <v/>
      </c>
      <c r="O285">
        <f>IF(B285,ROUND(MAX(0,J285*K285*L285*M285*N285),2),"")</f>
        <v/>
      </c>
    </row>
    <row r="286">
      <c r="A286" t="n">
        <v>285</v>
      </c>
      <c r="B286">
        <f>A286&lt;=MineCount*Days</f>
        <v/>
      </c>
      <c r="C286">
        <f>IF(B286,INT((A286-1)/Days)+1,"")</f>
        <v/>
      </c>
      <c r="D286">
        <f>IF(B286,MOD(A286-1,Days),"")</f>
        <v/>
      </c>
      <c r="E286" s="16">
        <f>IF(B286,StartDate+D286,"")</f>
        <v/>
      </c>
      <c r="F286">
        <f>IF(B286,MAX(MOD(SIN(Seed*0.1373+C286*12.9898+D286*78.233)*43758.5453,1),1E-9),"")</f>
        <v/>
      </c>
      <c r="G286">
        <f>IF(B286,MOD(SIN(Seed*0.5917+C286*39.3468+D286*11.135)*24634.6345,1),"")</f>
        <v/>
      </c>
      <c r="H286">
        <f>IF(B286,SQRT(-2*LN(F286))*COS(2*PI()*G286),"")</f>
        <v/>
      </c>
      <c r="I286">
        <f>IF(B286,IF(D286=0,H286,Rho*I285+SQRT(1-Rho^2)*H286),"")</f>
        <v/>
      </c>
      <c r="J286">
        <f>IF(B286,IF(Dist="Normal",DistA+DistB*I286,DistA+(DistB-DistA)*NORMSDIST(I286)),"")</f>
        <v/>
      </c>
      <c r="K286">
        <f>IF(B286,INDEX(MineScale,C286),"")</f>
        <v/>
      </c>
      <c r="L286">
        <f>IF(B286,INDEX(Dow,1,WEEKDAY(E286,2)),"")</f>
        <v/>
      </c>
      <c r="M286">
        <f>IF(B286,(1+Trend)^D286,"")</f>
        <v/>
      </c>
      <c r="N286">
        <f>IF(B286,EXP(SUMPRODUCT(LN(1+(EvEff-1)*INDEX(Affected,0,C286)*EXP(-((E286-EvCenter)^2)/(2*EvSigma^2))))),"")</f>
        <v/>
      </c>
      <c r="O286">
        <f>IF(B286,ROUND(MAX(0,J286*K286*L286*M286*N286),2),"")</f>
        <v/>
      </c>
    </row>
    <row r="287">
      <c r="A287" t="n">
        <v>286</v>
      </c>
      <c r="B287">
        <f>A287&lt;=MineCount*Days</f>
        <v/>
      </c>
      <c r="C287">
        <f>IF(B287,INT((A287-1)/Days)+1,"")</f>
        <v/>
      </c>
      <c r="D287">
        <f>IF(B287,MOD(A287-1,Days),"")</f>
        <v/>
      </c>
      <c r="E287" s="16">
        <f>IF(B287,StartDate+D287,"")</f>
        <v/>
      </c>
      <c r="F287">
        <f>IF(B287,MAX(MOD(SIN(Seed*0.1373+C287*12.9898+D287*78.233)*43758.5453,1),1E-9),"")</f>
        <v/>
      </c>
      <c r="G287">
        <f>IF(B287,MOD(SIN(Seed*0.5917+C287*39.3468+D287*11.135)*24634.6345,1),"")</f>
        <v/>
      </c>
      <c r="H287">
        <f>IF(B287,SQRT(-2*LN(F287))*COS(2*PI()*G287),"")</f>
        <v/>
      </c>
      <c r="I287">
        <f>IF(B287,IF(D287=0,H287,Rho*I286+SQRT(1-Rho^2)*H287),"")</f>
        <v/>
      </c>
      <c r="J287">
        <f>IF(B287,IF(Dist="Normal",DistA+DistB*I287,DistA+(DistB-DistA)*NORMSDIST(I287)),"")</f>
        <v/>
      </c>
      <c r="K287">
        <f>IF(B287,INDEX(MineScale,C287),"")</f>
        <v/>
      </c>
      <c r="L287">
        <f>IF(B287,INDEX(Dow,1,WEEKDAY(E287,2)),"")</f>
        <v/>
      </c>
      <c r="M287">
        <f>IF(B287,(1+Trend)^D287,"")</f>
        <v/>
      </c>
      <c r="N287">
        <f>IF(B287,EXP(SUMPRODUCT(LN(1+(EvEff-1)*INDEX(Affected,0,C287)*EXP(-((E287-EvCenter)^2)/(2*EvSigma^2))))),"")</f>
        <v/>
      </c>
      <c r="O287">
        <f>IF(B287,ROUND(MAX(0,J287*K287*L287*M287*N287),2),"")</f>
        <v/>
      </c>
    </row>
    <row r="288">
      <c r="A288" t="n">
        <v>287</v>
      </c>
      <c r="B288">
        <f>A288&lt;=MineCount*Days</f>
        <v/>
      </c>
      <c r="C288">
        <f>IF(B288,INT((A288-1)/Days)+1,"")</f>
        <v/>
      </c>
      <c r="D288">
        <f>IF(B288,MOD(A288-1,Days),"")</f>
        <v/>
      </c>
      <c r="E288" s="16">
        <f>IF(B288,StartDate+D288,"")</f>
        <v/>
      </c>
      <c r="F288">
        <f>IF(B288,MAX(MOD(SIN(Seed*0.1373+C288*12.9898+D288*78.233)*43758.5453,1),1E-9),"")</f>
        <v/>
      </c>
      <c r="G288">
        <f>IF(B288,MOD(SIN(Seed*0.5917+C288*39.3468+D288*11.135)*24634.6345,1),"")</f>
        <v/>
      </c>
      <c r="H288">
        <f>IF(B288,SQRT(-2*LN(F288))*COS(2*PI()*G288),"")</f>
        <v/>
      </c>
      <c r="I288">
        <f>IF(B288,IF(D288=0,H288,Rho*I287+SQRT(1-Rho^2)*H288),"")</f>
        <v/>
      </c>
      <c r="J288">
        <f>IF(B288,IF(Dist="Normal",DistA+DistB*I288,DistA+(DistB-DistA)*NORMSDIST(I288)),"")</f>
        <v/>
      </c>
      <c r="K288">
        <f>IF(B288,INDEX(MineScale,C288),"")</f>
        <v/>
      </c>
      <c r="L288">
        <f>IF(B288,INDEX(Dow,1,WEEKDAY(E288,2)),"")</f>
        <v/>
      </c>
      <c r="M288">
        <f>IF(B288,(1+Trend)^D288,"")</f>
        <v/>
      </c>
      <c r="N288">
        <f>IF(B288,EXP(SUMPRODUCT(LN(1+(EvEff-1)*INDEX(Affected,0,C288)*EXP(-((E288-EvCenter)^2)/(2*EvSigma^2))))),"")</f>
        <v/>
      </c>
      <c r="O288">
        <f>IF(B288,ROUND(MAX(0,J288*K288*L288*M288*N288),2),"")</f>
        <v/>
      </c>
    </row>
    <row r="289">
      <c r="A289" t="n">
        <v>288</v>
      </c>
      <c r="B289">
        <f>A289&lt;=MineCount*Days</f>
        <v/>
      </c>
      <c r="C289">
        <f>IF(B289,INT((A289-1)/Days)+1,"")</f>
        <v/>
      </c>
      <c r="D289">
        <f>IF(B289,MOD(A289-1,Days),"")</f>
        <v/>
      </c>
      <c r="E289" s="16">
        <f>IF(B289,StartDate+D289,"")</f>
        <v/>
      </c>
      <c r="F289">
        <f>IF(B289,MAX(MOD(SIN(Seed*0.1373+C289*12.9898+D289*78.233)*43758.5453,1),1E-9),"")</f>
        <v/>
      </c>
      <c r="G289">
        <f>IF(B289,MOD(SIN(Seed*0.5917+C289*39.3468+D289*11.135)*24634.6345,1),"")</f>
        <v/>
      </c>
      <c r="H289">
        <f>IF(B289,SQRT(-2*LN(F289))*COS(2*PI()*G289),"")</f>
        <v/>
      </c>
      <c r="I289">
        <f>IF(B289,IF(D289=0,H289,Rho*I288+SQRT(1-Rho^2)*H289),"")</f>
        <v/>
      </c>
      <c r="J289">
        <f>IF(B289,IF(Dist="Normal",DistA+DistB*I289,DistA+(DistB-DistA)*NORMSDIST(I289)),"")</f>
        <v/>
      </c>
      <c r="K289">
        <f>IF(B289,INDEX(MineScale,C289),"")</f>
        <v/>
      </c>
      <c r="L289">
        <f>IF(B289,INDEX(Dow,1,WEEKDAY(E289,2)),"")</f>
        <v/>
      </c>
      <c r="M289">
        <f>IF(B289,(1+Trend)^D289,"")</f>
        <v/>
      </c>
      <c r="N289">
        <f>IF(B289,EXP(SUMPRODUCT(LN(1+(EvEff-1)*INDEX(Affected,0,C289)*EXP(-((E289-EvCenter)^2)/(2*EvSigma^2))))),"")</f>
        <v/>
      </c>
      <c r="O289">
        <f>IF(B289,ROUND(MAX(0,J289*K289*L289*M289*N289),2),"")</f>
        <v/>
      </c>
    </row>
    <row r="290">
      <c r="A290" t="n">
        <v>289</v>
      </c>
      <c r="B290">
        <f>A290&lt;=MineCount*Days</f>
        <v/>
      </c>
      <c r="C290">
        <f>IF(B290,INT((A290-1)/Days)+1,"")</f>
        <v/>
      </c>
      <c r="D290">
        <f>IF(B290,MOD(A290-1,Days),"")</f>
        <v/>
      </c>
      <c r="E290" s="16">
        <f>IF(B290,StartDate+D290,"")</f>
        <v/>
      </c>
      <c r="F290">
        <f>IF(B290,MAX(MOD(SIN(Seed*0.1373+C290*12.9898+D290*78.233)*43758.5453,1),1E-9),"")</f>
        <v/>
      </c>
      <c r="G290">
        <f>IF(B290,MOD(SIN(Seed*0.5917+C290*39.3468+D290*11.135)*24634.6345,1),"")</f>
        <v/>
      </c>
      <c r="H290">
        <f>IF(B290,SQRT(-2*LN(F290))*COS(2*PI()*G290),"")</f>
        <v/>
      </c>
      <c r="I290">
        <f>IF(B290,IF(D290=0,H290,Rho*I289+SQRT(1-Rho^2)*H290),"")</f>
        <v/>
      </c>
      <c r="J290">
        <f>IF(B290,IF(Dist="Normal",DistA+DistB*I290,DistA+(DistB-DistA)*NORMSDIST(I290)),"")</f>
        <v/>
      </c>
      <c r="K290">
        <f>IF(B290,INDEX(MineScale,C290),"")</f>
        <v/>
      </c>
      <c r="L290">
        <f>IF(B290,INDEX(Dow,1,WEEKDAY(E290,2)),"")</f>
        <v/>
      </c>
      <c r="M290">
        <f>IF(B290,(1+Trend)^D290,"")</f>
        <v/>
      </c>
      <c r="N290">
        <f>IF(B290,EXP(SUMPRODUCT(LN(1+(EvEff-1)*INDEX(Affected,0,C290)*EXP(-((E290-EvCenter)^2)/(2*EvSigma^2))))),"")</f>
        <v/>
      </c>
      <c r="O290">
        <f>IF(B290,ROUND(MAX(0,J290*K290*L290*M290*N290),2),"")</f>
        <v/>
      </c>
    </row>
    <row r="291">
      <c r="A291" t="n">
        <v>290</v>
      </c>
      <c r="B291">
        <f>A291&lt;=MineCount*Days</f>
        <v/>
      </c>
      <c r="C291">
        <f>IF(B291,INT((A291-1)/Days)+1,"")</f>
        <v/>
      </c>
      <c r="D291">
        <f>IF(B291,MOD(A291-1,Days),"")</f>
        <v/>
      </c>
      <c r="E291" s="16">
        <f>IF(B291,StartDate+D291,"")</f>
        <v/>
      </c>
      <c r="F291">
        <f>IF(B291,MAX(MOD(SIN(Seed*0.1373+C291*12.9898+D291*78.233)*43758.5453,1),1E-9),"")</f>
        <v/>
      </c>
      <c r="G291">
        <f>IF(B291,MOD(SIN(Seed*0.5917+C291*39.3468+D291*11.135)*24634.6345,1),"")</f>
        <v/>
      </c>
      <c r="H291">
        <f>IF(B291,SQRT(-2*LN(F291))*COS(2*PI()*G291),"")</f>
        <v/>
      </c>
      <c r="I291">
        <f>IF(B291,IF(D291=0,H291,Rho*I290+SQRT(1-Rho^2)*H291),"")</f>
        <v/>
      </c>
      <c r="J291">
        <f>IF(B291,IF(Dist="Normal",DistA+DistB*I291,DistA+(DistB-DistA)*NORMSDIST(I291)),"")</f>
        <v/>
      </c>
      <c r="K291">
        <f>IF(B291,INDEX(MineScale,C291),"")</f>
        <v/>
      </c>
      <c r="L291">
        <f>IF(B291,INDEX(Dow,1,WEEKDAY(E291,2)),"")</f>
        <v/>
      </c>
      <c r="M291">
        <f>IF(B291,(1+Trend)^D291,"")</f>
        <v/>
      </c>
      <c r="N291">
        <f>IF(B291,EXP(SUMPRODUCT(LN(1+(EvEff-1)*INDEX(Affected,0,C291)*EXP(-((E291-EvCenter)^2)/(2*EvSigma^2))))),"")</f>
        <v/>
      </c>
      <c r="O291">
        <f>IF(B291,ROUND(MAX(0,J291*K291*L291*M291*N291),2),"")</f>
        <v/>
      </c>
    </row>
    <row r="292">
      <c r="A292" t="n">
        <v>291</v>
      </c>
      <c r="B292">
        <f>A292&lt;=MineCount*Days</f>
        <v/>
      </c>
      <c r="C292">
        <f>IF(B292,INT((A292-1)/Days)+1,"")</f>
        <v/>
      </c>
      <c r="D292">
        <f>IF(B292,MOD(A292-1,Days),"")</f>
        <v/>
      </c>
      <c r="E292" s="16">
        <f>IF(B292,StartDate+D292,"")</f>
        <v/>
      </c>
      <c r="F292">
        <f>IF(B292,MAX(MOD(SIN(Seed*0.1373+C292*12.9898+D292*78.233)*43758.5453,1),1E-9),"")</f>
        <v/>
      </c>
      <c r="G292">
        <f>IF(B292,MOD(SIN(Seed*0.5917+C292*39.3468+D292*11.135)*24634.6345,1),"")</f>
        <v/>
      </c>
      <c r="H292">
        <f>IF(B292,SQRT(-2*LN(F292))*COS(2*PI()*G292),"")</f>
        <v/>
      </c>
      <c r="I292">
        <f>IF(B292,IF(D292=0,H292,Rho*I291+SQRT(1-Rho^2)*H292),"")</f>
        <v/>
      </c>
      <c r="J292">
        <f>IF(B292,IF(Dist="Normal",DistA+DistB*I292,DistA+(DistB-DistA)*NORMSDIST(I292)),"")</f>
        <v/>
      </c>
      <c r="K292">
        <f>IF(B292,INDEX(MineScale,C292),"")</f>
        <v/>
      </c>
      <c r="L292">
        <f>IF(B292,INDEX(Dow,1,WEEKDAY(E292,2)),"")</f>
        <v/>
      </c>
      <c r="M292">
        <f>IF(B292,(1+Trend)^D292,"")</f>
        <v/>
      </c>
      <c r="N292">
        <f>IF(B292,EXP(SUMPRODUCT(LN(1+(EvEff-1)*INDEX(Affected,0,C292)*EXP(-((E292-EvCenter)^2)/(2*EvSigma^2))))),"")</f>
        <v/>
      </c>
      <c r="O292">
        <f>IF(B292,ROUND(MAX(0,J292*K292*L292*M292*N292),2),"")</f>
        <v/>
      </c>
    </row>
    <row r="293">
      <c r="A293" t="n">
        <v>292</v>
      </c>
      <c r="B293">
        <f>A293&lt;=MineCount*Days</f>
        <v/>
      </c>
      <c r="C293">
        <f>IF(B293,INT((A293-1)/Days)+1,"")</f>
        <v/>
      </c>
      <c r="D293">
        <f>IF(B293,MOD(A293-1,Days),"")</f>
        <v/>
      </c>
      <c r="E293" s="16">
        <f>IF(B293,StartDate+D293,"")</f>
        <v/>
      </c>
      <c r="F293">
        <f>IF(B293,MAX(MOD(SIN(Seed*0.1373+C293*12.9898+D293*78.233)*43758.5453,1),1E-9),"")</f>
        <v/>
      </c>
      <c r="G293">
        <f>IF(B293,MOD(SIN(Seed*0.5917+C293*39.3468+D293*11.135)*24634.6345,1),"")</f>
        <v/>
      </c>
      <c r="H293">
        <f>IF(B293,SQRT(-2*LN(F293))*COS(2*PI()*G293),"")</f>
        <v/>
      </c>
      <c r="I293">
        <f>IF(B293,IF(D293=0,H293,Rho*I292+SQRT(1-Rho^2)*H293),"")</f>
        <v/>
      </c>
      <c r="J293">
        <f>IF(B293,IF(Dist="Normal",DistA+DistB*I293,DistA+(DistB-DistA)*NORMSDIST(I293)),"")</f>
        <v/>
      </c>
      <c r="K293">
        <f>IF(B293,INDEX(MineScale,C293),"")</f>
        <v/>
      </c>
      <c r="L293">
        <f>IF(B293,INDEX(Dow,1,WEEKDAY(E293,2)),"")</f>
        <v/>
      </c>
      <c r="M293">
        <f>IF(B293,(1+Trend)^D293,"")</f>
        <v/>
      </c>
      <c r="N293">
        <f>IF(B293,EXP(SUMPRODUCT(LN(1+(EvEff-1)*INDEX(Affected,0,C293)*EXP(-((E293-EvCenter)^2)/(2*EvSigma^2))))),"")</f>
        <v/>
      </c>
      <c r="O293">
        <f>IF(B293,ROUND(MAX(0,J293*K293*L293*M293*N293),2),"")</f>
        <v/>
      </c>
    </row>
    <row r="294">
      <c r="A294" t="n">
        <v>293</v>
      </c>
      <c r="B294">
        <f>A294&lt;=MineCount*Days</f>
        <v/>
      </c>
      <c r="C294">
        <f>IF(B294,INT((A294-1)/Days)+1,"")</f>
        <v/>
      </c>
      <c r="D294">
        <f>IF(B294,MOD(A294-1,Days),"")</f>
        <v/>
      </c>
      <c r="E294" s="16">
        <f>IF(B294,StartDate+D294,"")</f>
        <v/>
      </c>
      <c r="F294">
        <f>IF(B294,MAX(MOD(SIN(Seed*0.1373+C294*12.9898+D294*78.233)*43758.5453,1),1E-9),"")</f>
        <v/>
      </c>
      <c r="G294">
        <f>IF(B294,MOD(SIN(Seed*0.5917+C294*39.3468+D294*11.135)*24634.6345,1),"")</f>
        <v/>
      </c>
      <c r="H294">
        <f>IF(B294,SQRT(-2*LN(F294))*COS(2*PI()*G294),"")</f>
        <v/>
      </c>
      <c r="I294">
        <f>IF(B294,IF(D294=0,H294,Rho*I293+SQRT(1-Rho^2)*H294),"")</f>
        <v/>
      </c>
      <c r="J294">
        <f>IF(B294,IF(Dist="Normal",DistA+DistB*I294,DistA+(DistB-DistA)*NORMSDIST(I294)),"")</f>
        <v/>
      </c>
      <c r="K294">
        <f>IF(B294,INDEX(MineScale,C294),"")</f>
        <v/>
      </c>
      <c r="L294">
        <f>IF(B294,INDEX(Dow,1,WEEKDAY(E294,2)),"")</f>
        <v/>
      </c>
      <c r="M294">
        <f>IF(B294,(1+Trend)^D294,"")</f>
        <v/>
      </c>
      <c r="N294">
        <f>IF(B294,EXP(SUMPRODUCT(LN(1+(EvEff-1)*INDEX(Affected,0,C294)*EXP(-((E294-EvCenter)^2)/(2*EvSigma^2))))),"")</f>
        <v/>
      </c>
      <c r="O294">
        <f>IF(B294,ROUND(MAX(0,J294*K294*L294*M294*N294),2),"")</f>
        <v/>
      </c>
    </row>
    <row r="295">
      <c r="A295" t="n">
        <v>294</v>
      </c>
      <c r="B295">
        <f>A295&lt;=MineCount*Days</f>
        <v/>
      </c>
      <c r="C295">
        <f>IF(B295,INT((A295-1)/Days)+1,"")</f>
        <v/>
      </c>
      <c r="D295">
        <f>IF(B295,MOD(A295-1,Days),"")</f>
        <v/>
      </c>
      <c r="E295" s="16">
        <f>IF(B295,StartDate+D295,"")</f>
        <v/>
      </c>
      <c r="F295">
        <f>IF(B295,MAX(MOD(SIN(Seed*0.1373+C295*12.9898+D295*78.233)*43758.5453,1),1E-9),"")</f>
        <v/>
      </c>
      <c r="G295">
        <f>IF(B295,MOD(SIN(Seed*0.5917+C295*39.3468+D295*11.135)*24634.6345,1),"")</f>
        <v/>
      </c>
      <c r="H295">
        <f>IF(B295,SQRT(-2*LN(F295))*COS(2*PI()*G295),"")</f>
        <v/>
      </c>
      <c r="I295">
        <f>IF(B295,IF(D295=0,H295,Rho*I294+SQRT(1-Rho^2)*H295),"")</f>
        <v/>
      </c>
      <c r="J295">
        <f>IF(B295,IF(Dist="Normal",DistA+DistB*I295,DistA+(DistB-DistA)*NORMSDIST(I295)),"")</f>
        <v/>
      </c>
      <c r="K295">
        <f>IF(B295,INDEX(MineScale,C295),"")</f>
        <v/>
      </c>
      <c r="L295">
        <f>IF(B295,INDEX(Dow,1,WEEKDAY(E295,2)),"")</f>
        <v/>
      </c>
      <c r="M295">
        <f>IF(B295,(1+Trend)^D295,"")</f>
        <v/>
      </c>
      <c r="N295">
        <f>IF(B295,EXP(SUMPRODUCT(LN(1+(EvEff-1)*INDEX(Affected,0,C295)*EXP(-((E295-EvCenter)^2)/(2*EvSigma^2))))),"")</f>
        <v/>
      </c>
      <c r="O295">
        <f>IF(B295,ROUND(MAX(0,J295*K295*L295*M295*N295),2),"")</f>
        <v/>
      </c>
    </row>
    <row r="296">
      <c r="A296" t="n">
        <v>295</v>
      </c>
      <c r="B296">
        <f>A296&lt;=MineCount*Days</f>
        <v/>
      </c>
      <c r="C296">
        <f>IF(B296,INT((A296-1)/Days)+1,"")</f>
        <v/>
      </c>
      <c r="D296">
        <f>IF(B296,MOD(A296-1,Days),"")</f>
        <v/>
      </c>
      <c r="E296" s="16">
        <f>IF(B296,StartDate+D296,"")</f>
        <v/>
      </c>
      <c r="F296">
        <f>IF(B296,MAX(MOD(SIN(Seed*0.1373+C296*12.9898+D296*78.233)*43758.5453,1),1E-9),"")</f>
        <v/>
      </c>
      <c r="G296">
        <f>IF(B296,MOD(SIN(Seed*0.5917+C296*39.3468+D296*11.135)*24634.6345,1),"")</f>
        <v/>
      </c>
      <c r="H296">
        <f>IF(B296,SQRT(-2*LN(F296))*COS(2*PI()*G296),"")</f>
        <v/>
      </c>
      <c r="I296">
        <f>IF(B296,IF(D296=0,H296,Rho*I295+SQRT(1-Rho^2)*H296),"")</f>
        <v/>
      </c>
      <c r="J296">
        <f>IF(B296,IF(Dist="Normal",DistA+DistB*I296,DistA+(DistB-DistA)*NORMSDIST(I296)),"")</f>
        <v/>
      </c>
      <c r="K296">
        <f>IF(B296,INDEX(MineScale,C296),"")</f>
        <v/>
      </c>
      <c r="L296">
        <f>IF(B296,INDEX(Dow,1,WEEKDAY(E296,2)),"")</f>
        <v/>
      </c>
      <c r="M296">
        <f>IF(B296,(1+Trend)^D296,"")</f>
        <v/>
      </c>
      <c r="N296">
        <f>IF(B296,EXP(SUMPRODUCT(LN(1+(EvEff-1)*INDEX(Affected,0,C296)*EXP(-((E296-EvCenter)^2)/(2*EvSigma^2))))),"")</f>
        <v/>
      </c>
      <c r="O296">
        <f>IF(B296,ROUND(MAX(0,J296*K296*L296*M296*N296),2),"")</f>
        <v/>
      </c>
    </row>
    <row r="297">
      <c r="A297" t="n">
        <v>296</v>
      </c>
      <c r="B297">
        <f>A297&lt;=MineCount*Days</f>
        <v/>
      </c>
      <c r="C297">
        <f>IF(B297,INT((A297-1)/Days)+1,"")</f>
        <v/>
      </c>
      <c r="D297">
        <f>IF(B297,MOD(A297-1,Days),"")</f>
        <v/>
      </c>
      <c r="E297" s="16">
        <f>IF(B297,StartDate+D297,"")</f>
        <v/>
      </c>
      <c r="F297">
        <f>IF(B297,MAX(MOD(SIN(Seed*0.1373+C297*12.9898+D297*78.233)*43758.5453,1),1E-9),"")</f>
        <v/>
      </c>
      <c r="G297">
        <f>IF(B297,MOD(SIN(Seed*0.5917+C297*39.3468+D297*11.135)*24634.6345,1),"")</f>
        <v/>
      </c>
      <c r="H297">
        <f>IF(B297,SQRT(-2*LN(F297))*COS(2*PI()*G297),"")</f>
        <v/>
      </c>
      <c r="I297">
        <f>IF(B297,IF(D297=0,H297,Rho*I296+SQRT(1-Rho^2)*H297),"")</f>
        <v/>
      </c>
      <c r="J297">
        <f>IF(B297,IF(Dist="Normal",DistA+DistB*I297,DistA+(DistB-DistA)*NORMSDIST(I297)),"")</f>
        <v/>
      </c>
      <c r="K297">
        <f>IF(B297,INDEX(MineScale,C297),"")</f>
        <v/>
      </c>
      <c r="L297">
        <f>IF(B297,INDEX(Dow,1,WEEKDAY(E297,2)),"")</f>
        <v/>
      </c>
      <c r="M297">
        <f>IF(B297,(1+Trend)^D297,"")</f>
        <v/>
      </c>
      <c r="N297">
        <f>IF(B297,EXP(SUMPRODUCT(LN(1+(EvEff-1)*INDEX(Affected,0,C297)*EXP(-((E297-EvCenter)^2)/(2*EvSigma^2))))),"")</f>
        <v/>
      </c>
      <c r="O297">
        <f>IF(B297,ROUND(MAX(0,J297*K297*L297*M297*N297),2),"")</f>
        <v/>
      </c>
    </row>
    <row r="298">
      <c r="A298" t="n">
        <v>297</v>
      </c>
      <c r="B298">
        <f>A298&lt;=MineCount*Days</f>
        <v/>
      </c>
      <c r="C298">
        <f>IF(B298,INT((A298-1)/Days)+1,"")</f>
        <v/>
      </c>
      <c r="D298">
        <f>IF(B298,MOD(A298-1,Days),"")</f>
        <v/>
      </c>
      <c r="E298" s="16">
        <f>IF(B298,StartDate+D298,"")</f>
        <v/>
      </c>
      <c r="F298">
        <f>IF(B298,MAX(MOD(SIN(Seed*0.1373+C298*12.9898+D298*78.233)*43758.5453,1),1E-9),"")</f>
        <v/>
      </c>
      <c r="G298">
        <f>IF(B298,MOD(SIN(Seed*0.5917+C298*39.3468+D298*11.135)*24634.6345,1),"")</f>
        <v/>
      </c>
      <c r="H298">
        <f>IF(B298,SQRT(-2*LN(F298))*COS(2*PI()*G298),"")</f>
        <v/>
      </c>
      <c r="I298">
        <f>IF(B298,IF(D298=0,H298,Rho*I297+SQRT(1-Rho^2)*H298),"")</f>
        <v/>
      </c>
      <c r="J298">
        <f>IF(B298,IF(Dist="Normal",DistA+DistB*I298,DistA+(DistB-DistA)*NORMSDIST(I298)),"")</f>
        <v/>
      </c>
      <c r="K298">
        <f>IF(B298,INDEX(MineScale,C298),"")</f>
        <v/>
      </c>
      <c r="L298">
        <f>IF(B298,INDEX(Dow,1,WEEKDAY(E298,2)),"")</f>
        <v/>
      </c>
      <c r="M298">
        <f>IF(B298,(1+Trend)^D298,"")</f>
        <v/>
      </c>
      <c r="N298">
        <f>IF(B298,EXP(SUMPRODUCT(LN(1+(EvEff-1)*INDEX(Affected,0,C298)*EXP(-((E298-EvCenter)^2)/(2*EvSigma^2))))),"")</f>
        <v/>
      </c>
      <c r="O298">
        <f>IF(B298,ROUND(MAX(0,J298*K298*L298*M298*N298),2),"")</f>
        <v/>
      </c>
    </row>
    <row r="299">
      <c r="A299" t="n">
        <v>298</v>
      </c>
      <c r="B299">
        <f>A299&lt;=MineCount*Days</f>
        <v/>
      </c>
      <c r="C299">
        <f>IF(B299,INT((A299-1)/Days)+1,"")</f>
        <v/>
      </c>
      <c r="D299">
        <f>IF(B299,MOD(A299-1,Days),"")</f>
        <v/>
      </c>
      <c r="E299" s="16">
        <f>IF(B299,StartDate+D299,"")</f>
        <v/>
      </c>
      <c r="F299">
        <f>IF(B299,MAX(MOD(SIN(Seed*0.1373+C299*12.9898+D299*78.233)*43758.5453,1),1E-9),"")</f>
        <v/>
      </c>
      <c r="G299">
        <f>IF(B299,MOD(SIN(Seed*0.5917+C299*39.3468+D299*11.135)*24634.6345,1),"")</f>
        <v/>
      </c>
      <c r="H299">
        <f>IF(B299,SQRT(-2*LN(F299))*COS(2*PI()*G299),"")</f>
        <v/>
      </c>
      <c r="I299">
        <f>IF(B299,IF(D299=0,H299,Rho*I298+SQRT(1-Rho^2)*H299),"")</f>
        <v/>
      </c>
      <c r="J299">
        <f>IF(B299,IF(Dist="Normal",DistA+DistB*I299,DistA+(DistB-DistA)*NORMSDIST(I299)),"")</f>
        <v/>
      </c>
      <c r="K299">
        <f>IF(B299,INDEX(MineScale,C299),"")</f>
        <v/>
      </c>
      <c r="L299">
        <f>IF(B299,INDEX(Dow,1,WEEKDAY(E299,2)),"")</f>
        <v/>
      </c>
      <c r="M299">
        <f>IF(B299,(1+Trend)^D299,"")</f>
        <v/>
      </c>
      <c r="N299">
        <f>IF(B299,EXP(SUMPRODUCT(LN(1+(EvEff-1)*INDEX(Affected,0,C299)*EXP(-((E299-EvCenter)^2)/(2*EvSigma^2))))),"")</f>
        <v/>
      </c>
      <c r="O299">
        <f>IF(B299,ROUND(MAX(0,J299*K299*L299*M299*N299),2),"")</f>
        <v/>
      </c>
    </row>
    <row r="300">
      <c r="A300" t="n">
        <v>299</v>
      </c>
      <c r="B300">
        <f>A300&lt;=MineCount*Days</f>
        <v/>
      </c>
      <c r="C300">
        <f>IF(B300,INT((A300-1)/Days)+1,"")</f>
        <v/>
      </c>
      <c r="D300">
        <f>IF(B300,MOD(A300-1,Days),"")</f>
        <v/>
      </c>
      <c r="E300" s="16">
        <f>IF(B300,StartDate+D300,"")</f>
        <v/>
      </c>
      <c r="F300">
        <f>IF(B300,MAX(MOD(SIN(Seed*0.1373+C300*12.9898+D300*78.233)*43758.5453,1),1E-9),"")</f>
        <v/>
      </c>
      <c r="G300">
        <f>IF(B300,MOD(SIN(Seed*0.5917+C300*39.3468+D300*11.135)*24634.6345,1),"")</f>
        <v/>
      </c>
      <c r="H300">
        <f>IF(B300,SQRT(-2*LN(F300))*COS(2*PI()*G300),"")</f>
        <v/>
      </c>
      <c r="I300">
        <f>IF(B300,IF(D300=0,H300,Rho*I299+SQRT(1-Rho^2)*H300),"")</f>
        <v/>
      </c>
      <c r="J300">
        <f>IF(B300,IF(Dist="Normal",DistA+DistB*I300,DistA+(DistB-DistA)*NORMSDIST(I300)),"")</f>
        <v/>
      </c>
      <c r="K300">
        <f>IF(B300,INDEX(MineScale,C300),"")</f>
        <v/>
      </c>
      <c r="L300">
        <f>IF(B300,INDEX(Dow,1,WEEKDAY(E300,2)),"")</f>
        <v/>
      </c>
      <c r="M300">
        <f>IF(B300,(1+Trend)^D300,"")</f>
        <v/>
      </c>
      <c r="N300">
        <f>IF(B300,EXP(SUMPRODUCT(LN(1+(EvEff-1)*INDEX(Affected,0,C300)*EXP(-((E300-EvCenter)^2)/(2*EvSigma^2))))),"")</f>
        <v/>
      </c>
      <c r="O300">
        <f>IF(B300,ROUND(MAX(0,J300*K300*L300*M300*N300),2),"")</f>
        <v/>
      </c>
    </row>
    <row r="301">
      <c r="A301" t="n">
        <v>300</v>
      </c>
      <c r="B301">
        <f>A301&lt;=MineCount*Days</f>
        <v/>
      </c>
      <c r="C301">
        <f>IF(B301,INT((A301-1)/Days)+1,"")</f>
        <v/>
      </c>
      <c r="D301">
        <f>IF(B301,MOD(A301-1,Days),"")</f>
        <v/>
      </c>
      <c r="E301" s="16">
        <f>IF(B301,StartDate+D301,"")</f>
        <v/>
      </c>
      <c r="F301">
        <f>IF(B301,MAX(MOD(SIN(Seed*0.1373+C301*12.9898+D301*78.233)*43758.5453,1),1E-9),"")</f>
        <v/>
      </c>
      <c r="G301">
        <f>IF(B301,MOD(SIN(Seed*0.5917+C301*39.3468+D301*11.135)*24634.6345,1),"")</f>
        <v/>
      </c>
      <c r="H301">
        <f>IF(B301,SQRT(-2*LN(F301))*COS(2*PI()*G301),"")</f>
        <v/>
      </c>
      <c r="I301">
        <f>IF(B301,IF(D301=0,H301,Rho*I300+SQRT(1-Rho^2)*H301),"")</f>
        <v/>
      </c>
      <c r="J301">
        <f>IF(B301,IF(Dist="Normal",DistA+DistB*I301,DistA+(DistB-DistA)*NORMSDIST(I301)),"")</f>
        <v/>
      </c>
      <c r="K301">
        <f>IF(B301,INDEX(MineScale,C301),"")</f>
        <v/>
      </c>
      <c r="L301">
        <f>IF(B301,INDEX(Dow,1,WEEKDAY(E301,2)),"")</f>
        <v/>
      </c>
      <c r="M301">
        <f>IF(B301,(1+Trend)^D301,"")</f>
        <v/>
      </c>
      <c r="N301">
        <f>IF(B301,EXP(SUMPRODUCT(LN(1+(EvEff-1)*INDEX(Affected,0,C301)*EXP(-((E301-EvCenter)^2)/(2*EvSigma^2))))),"")</f>
        <v/>
      </c>
      <c r="O301">
        <f>IF(B301,ROUND(MAX(0,J301*K301*L301*M301*N301),2),"")</f>
        <v/>
      </c>
    </row>
    <row r="302">
      <c r="A302" t="n">
        <v>301</v>
      </c>
      <c r="B302">
        <f>A302&lt;=MineCount*Days</f>
        <v/>
      </c>
      <c r="C302">
        <f>IF(B302,INT((A302-1)/Days)+1,"")</f>
        <v/>
      </c>
      <c r="D302">
        <f>IF(B302,MOD(A302-1,Days),"")</f>
        <v/>
      </c>
      <c r="E302" s="16">
        <f>IF(B302,StartDate+D302,"")</f>
        <v/>
      </c>
      <c r="F302">
        <f>IF(B302,MAX(MOD(SIN(Seed*0.1373+C302*12.9898+D302*78.233)*43758.5453,1),1E-9),"")</f>
        <v/>
      </c>
      <c r="G302">
        <f>IF(B302,MOD(SIN(Seed*0.5917+C302*39.3468+D302*11.135)*24634.6345,1),"")</f>
        <v/>
      </c>
      <c r="H302">
        <f>IF(B302,SQRT(-2*LN(F302))*COS(2*PI()*G302),"")</f>
        <v/>
      </c>
      <c r="I302">
        <f>IF(B302,IF(D302=0,H302,Rho*I301+SQRT(1-Rho^2)*H302),"")</f>
        <v/>
      </c>
      <c r="J302">
        <f>IF(B302,IF(Dist="Normal",DistA+DistB*I302,DistA+(DistB-DistA)*NORMSDIST(I302)),"")</f>
        <v/>
      </c>
      <c r="K302">
        <f>IF(B302,INDEX(MineScale,C302),"")</f>
        <v/>
      </c>
      <c r="L302">
        <f>IF(B302,INDEX(Dow,1,WEEKDAY(E302,2)),"")</f>
        <v/>
      </c>
      <c r="M302">
        <f>IF(B302,(1+Trend)^D302,"")</f>
        <v/>
      </c>
      <c r="N302">
        <f>IF(B302,EXP(SUMPRODUCT(LN(1+(EvEff-1)*INDEX(Affected,0,C302)*EXP(-((E302-EvCenter)^2)/(2*EvSigma^2))))),"")</f>
        <v/>
      </c>
      <c r="O302">
        <f>IF(B302,ROUND(MAX(0,J302*K302*L302*M302*N302),2),"")</f>
        <v/>
      </c>
    </row>
    <row r="303">
      <c r="A303" t="n">
        <v>302</v>
      </c>
      <c r="B303">
        <f>A303&lt;=MineCount*Days</f>
        <v/>
      </c>
      <c r="C303">
        <f>IF(B303,INT((A303-1)/Days)+1,"")</f>
        <v/>
      </c>
      <c r="D303">
        <f>IF(B303,MOD(A303-1,Days),"")</f>
        <v/>
      </c>
      <c r="E303" s="16">
        <f>IF(B303,StartDate+D303,"")</f>
        <v/>
      </c>
      <c r="F303">
        <f>IF(B303,MAX(MOD(SIN(Seed*0.1373+C303*12.9898+D303*78.233)*43758.5453,1),1E-9),"")</f>
        <v/>
      </c>
      <c r="G303">
        <f>IF(B303,MOD(SIN(Seed*0.5917+C303*39.3468+D303*11.135)*24634.6345,1),"")</f>
        <v/>
      </c>
      <c r="H303">
        <f>IF(B303,SQRT(-2*LN(F303))*COS(2*PI()*G303),"")</f>
        <v/>
      </c>
      <c r="I303">
        <f>IF(B303,IF(D303=0,H303,Rho*I302+SQRT(1-Rho^2)*H303),"")</f>
        <v/>
      </c>
      <c r="J303">
        <f>IF(B303,IF(Dist="Normal",DistA+DistB*I303,DistA+(DistB-DistA)*NORMSDIST(I303)),"")</f>
        <v/>
      </c>
      <c r="K303">
        <f>IF(B303,INDEX(MineScale,C303),"")</f>
        <v/>
      </c>
      <c r="L303">
        <f>IF(B303,INDEX(Dow,1,WEEKDAY(E303,2)),"")</f>
        <v/>
      </c>
      <c r="M303">
        <f>IF(B303,(1+Trend)^D303,"")</f>
        <v/>
      </c>
      <c r="N303">
        <f>IF(B303,EXP(SUMPRODUCT(LN(1+(EvEff-1)*INDEX(Affected,0,C303)*EXP(-((E303-EvCenter)^2)/(2*EvSigma^2))))),"")</f>
        <v/>
      </c>
      <c r="O303">
        <f>IF(B303,ROUND(MAX(0,J303*K303*L303*M303*N303),2),"")</f>
        <v/>
      </c>
    </row>
    <row r="304">
      <c r="A304" t="n">
        <v>303</v>
      </c>
      <c r="B304">
        <f>A304&lt;=MineCount*Days</f>
        <v/>
      </c>
      <c r="C304">
        <f>IF(B304,INT((A304-1)/Days)+1,"")</f>
        <v/>
      </c>
      <c r="D304">
        <f>IF(B304,MOD(A304-1,Days),"")</f>
        <v/>
      </c>
      <c r="E304" s="16">
        <f>IF(B304,StartDate+D304,"")</f>
        <v/>
      </c>
      <c r="F304">
        <f>IF(B304,MAX(MOD(SIN(Seed*0.1373+C304*12.9898+D304*78.233)*43758.5453,1),1E-9),"")</f>
        <v/>
      </c>
      <c r="G304">
        <f>IF(B304,MOD(SIN(Seed*0.5917+C304*39.3468+D304*11.135)*24634.6345,1),"")</f>
        <v/>
      </c>
      <c r="H304">
        <f>IF(B304,SQRT(-2*LN(F304))*COS(2*PI()*G304),"")</f>
        <v/>
      </c>
      <c r="I304">
        <f>IF(B304,IF(D304=0,H304,Rho*I303+SQRT(1-Rho^2)*H304),"")</f>
        <v/>
      </c>
      <c r="J304">
        <f>IF(B304,IF(Dist="Normal",DistA+DistB*I304,DistA+(DistB-DistA)*NORMSDIST(I304)),"")</f>
        <v/>
      </c>
      <c r="K304">
        <f>IF(B304,INDEX(MineScale,C304),"")</f>
        <v/>
      </c>
      <c r="L304">
        <f>IF(B304,INDEX(Dow,1,WEEKDAY(E304,2)),"")</f>
        <v/>
      </c>
      <c r="M304">
        <f>IF(B304,(1+Trend)^D304,"")</f>
        <v/>
      </c>
      <c r="N304">
        <f>IF(B304,EXP(SUMPRODUCT(LN(1+(EvEff-1)*INDEX(Affected,0,C304)*EXP(-((E304-EvCenter)^2)/(2*EvSigma^2))))),"")</f>
        <v/>
      </c>
      <c r="O304">
        <f>IF(B304,ROUND(MAX(0,J304*K304*L304*M304*N304),2),"")</f>
        <v/>
      </c>
    </row>
    <row r="305">
      <c r="A305" t="n">
        <v>304</v>
      </c>
      <c r="B305">
        <f>A305&lt;=MineCount*Days</f>
        <v/>
      </c>
      <c r="C305">
        <f>IF(B305,INT((A305-1)/Days)+1,"")</f>
        <v/>
      </c>
      <c r="D305">
        <f>IF(B305,MOD(A305-1,Days),"")</f>
        <v/>
      </c>
      <c r="E305" s="16">
        <f>IF(B305,StartDate+D305,"")</f>
        <v/>
      </c>
      <c r="F305">
        <f>IF(B305,MAX(MOD(SIN(Seed*0.1373+C305*12.9898+D305*78.233)*43758.5453,1),1E-9),"")</f>
        <v/>
      </c>
      <c r="G305">
        <f>IF(B305,MOD(SIN(Seed*0.5917+C305*39.3468+D305*11.135)*24634.6345,1),"")</f>
        <v/>
      </c>
      <c r="H305">
        <f>IF(B305,SQRT(-2*LN(F305))*COS(2*PI()*G305),"")</f>
        <v/>
      </c>
      <c r="I305">
        <f>IF(B305,IF(D305=0,H305,Rho*I304+SQRT(1-Rho^2)*H305),"")</f>
        <v/>
      </c>
      <c r="J305">
        <f>IF(B305,IF(Dist="Normal",DistA+DistB*I305,DistA+(DistB-DistA)*NORMSDIST(I305)),"")</f>
        <v/>
      </c>
      <c r="K305">
        <f>IF(B305,INDEX(MineScale,C305),"")</f>
        <v/>
      </c>
      <c r="L305">
        <f>IF(B305,INDEX(Dow,1,WEEKDAY(E305,2)),"")</f>
        <v/>
      </c>
      <c r="M305">
        <f>IF(B305,(1+Trend)^D305,"")</f>
        <v/>
      </c>
      <c r="N305">
        <f>IF(B305,EXP(SUMPRODUCT(LN(1+(EvEff-1)*INDEX(Affected,0,C305)*EXP(-((E305-EvCenter)^2)/(2*EvSigma^2))))),"")</f>
        <v/>
      </c>
      <c r="O305">
        <f>IF(B305,ROUND(MAX(0,J305*K305*L305*M305*N305),2),"")</f>
        <v/>
      </c>
    </row>
    <row r="306">
      <c r="A306" t="n">
        <v>305</v>
      </c>
      <c r="B306">
        <f>A306&lt;=MineCount*Days</f>
        <v/>
      </c>
      <c r="C306">
        <f>IF(B306,INT((A306-1)/Days)+1,"")</f>
        <v/>
      </c>
      <c r="D306">
        <f>IF(B306,MOD(A306-1,Days),"")</f>
        <v/>
      </c>
      <c r="E306" s="16">
        <f>IF(B306,StartDate+D306,"")</f>
        <v/>
      </c>
      <c r="F306">
        <f>IF(B306,MAX(MOD(SIN(Seed*0.1373+C306*12.9898+D306*78.233)*43758.5453,1),1E-9),"")</f>
        <v/>
      </c>
      <c r="G306">
        <f>IF(B306,MOD(SIN(Seed*0.5917+C306*39.3468+D306*11.135)*24634.6345,1),"")</f>
        <v/>
      </c>
      <c r="H306">
        <f>IF(B306,SQRT(-2*LN(F306))*COS(2*PI()*G306),"")</f>
        <v/>
      </c>
      <c r="I306">
        <f>IF(B306,IF(D306=0,H306,Rho*I305+SQRT(1-Rho^2)*H306),"")</f>
        <v/>
      </c>
      <c r="J306">
        <f>IF(B306,IF(Dist="Normal",DistA+DistB*I306,DistA+(DistB-DistA)*NORMSDIST(I306)),"")</f>
        <v/>
      </c>
      <c r="K306">
        <f>IF(B306,INDEX(MineScale,C306),"")</f>
        <v/>
      </c>
      <c r="L306">
        <f>IF(B306,INDEX(Dow,1,WEEKDAY(E306,2)),"")</f>
        <v/>
      </c>
      <c r="M306">
        <f>IF(B306,(1+Trend)^D306,"")</f>
        <v/>
      </c>
      <c r="N306">
        <f>IF(B306,EXP(SUMPRODUCT(LN(1+(EvEff-1)*INDEX(Affected,0,C306)*EXP(-((E306-EvCenter)^2)/(2*EvSigma^2))))),"")</f>
        <v/>
      </c>
      <c r="O306">
        <f>IF(B306,ROUND(MAX(0,J306*K306*L306*M306*N306),2),"")</f>
        <v/>
      </c>
    </row>
    <row r="307">
      <c r="A307" t="n">
        <v>306</v>
      </c>
      <c r="B307">
        <f>A307&lt;=MineCount*Days</f>
        <v/>
      </c>
      <c r="C307">
        <f>IF(B307,INT((A307-1)/Days)+1,"")</f>
        <v/>
      </c>
      <c r="D307">
        <f>IF(B307,MOD(A307-1,Days),"")</f>
        <v/>
      </c>
      <c r="E307" s="16">
        <f>IF(B307,StartDate+D307,"")</f>
        <v/>
      </c>
      <c r="F307">
        <f>IF(B307,MAX(MOD(SIN(Seed*0.1373+C307*12.9898+D307*78.233)*43758.5453,1),1E-9),"")</f>
        <v/>
      </c>
      <c r="G307">
        <f>IF(B307,MOD(SIN(Seed*0.5917+C307*39.3468+D307*11.135)*24634.6345,1),"")</f>
        <v/>
      </c>
      <c r="H307">
        <f>IF(B307,SQRT(-2*LN(F307))*COS(2*PI()*G307),"")</f>
        <v/>
      </c>
      <c r="I307">
        <f>IF(B307,IF(D307=0,H307,Rho*I306+SQRT(1-Rho^2)*H307),"")</f>
        <v/>
      </c>
      <c r="J307">
        <f>IF(B307,IF(Dist="Normal",DistA+DistB*I307,DistA+(DistB-DistA)*NORMSDIST(I307)),"")</f>
        <v/>
      </c>
      <c r="K307">
        <f>IF(B307,INDEX(MineScale,C307),"")</f>
        <v/>
      </c>
      <c r="L307">
        <f>IF(B307,INDEX(Dow,1,WEEKDAY(E307,2)),"")</f>
        <v/>
      </c>
      <c r="M307">
        <f>IF(B307,(1+Trend)^D307,"")</f>
        <v/>
      </c>
      <c r="N307">
        <f>IF(B307,EXP(SUMPRODUCT(LN(1+(EvEff-1)*INDEX(Affected,0,C307)*EXP(-((E307-EvCenter)^2)/(2*EvSigma^2))))),"")</f>
        <v/>
      </c>
      <c r="O307">
        <f>IF(B307,ROUND(MAX(0,J307*K307*L307*M307*N307),2),"")</f>
        <v/>
      </c>
    </row>
    <row r="308">
      <c r="A308" t="n">
        <v>307</v>
      </c>
      <c r="B308">
        <f>A308&lt;=MineCount*Days</f>
        <v/>
      </c>
      <c r="C308">
        <f>IF(B308,INT((A308-1)/Days)+1,"")</f>
        <v/>
      </c>
      <c r="D308">
        <f>IF(B308,MOD(A308-1,Days),"")</f>
        <v/>
      </c>
      <c r="E308" s="16">
        <f>IF(B308,StartDate+D308,"")</f>
        <v/>
      </c>
      <c r="F308">
        <f>IF(B308,MAX(MOD(SIN(Seed*0.1373+C308*12.9898+D308*78.233)*43758.5453,1),1E-9),"")</f>
        <v/>
      </c>
      <c r="G308">
        <f>IF(B308,MOD(SIN(Seed*0.5917+C308*39.3468+D308*11.135)*24634.6345,1),"")</f>
        <v/>
      </c>
      <c r="H308">
        <f>IF(B308,SQRT(-2*LN(F308))*COS(2*PI()*G308),"")</f>
        <v/>
      </c>
      <c r="I308">
        <f>IF(B308,IF(D308=0,H308,Rho*I307+SQRT(1-Rho^2)*H308),"")</f>
        <v/>
      </c>
      <c r="J308">
        <f>IF(B308,IF(Dist="Normal",DistA+DistB*I308,DistA+(DistB-DistA)*NORMSDIST(I308)),"")</f>
        <v/>
      </c>
      <c r="K308">
        <f>IF(B308,INDEX(MineScale,C308),"")</f>
        <v/>
      </c>
      <c r="L308">
        <f>IF(B308,INDEX(Dow,1,WEEKDAY(E308,2)),"")</f>
        <v/>
      </c>
      <c r="M308">
        <f>IF(B308,(1+Trend)^D308,"")</f>
        <v/>
      </c>
      <c r="N308">
        <f>IF(B308,EXP(SUMPRODUCT(LN(1+(EvEff-1)*INDEX(Affected,0,C308)*EXP(-((E308-EvCenter)^2)/(2*EvSigma^2))))),"")</f>
        <v/>
      </c>
      <c r="O308">
        <f>IF(B308,ROUND(MAX(0,J308*K308*L308*M308*N308),2),"")</f>
        <v/>
      </c>
    </row>
    <row r="309">
      <c r="A309" t="n">
        <v>308</v>
      </c>
      <c r="B309">
        <f>A309&lt;=MineCount*Days</f>
        <v/>
      </c>
      <c r="C309">
        <f>IF(B309,INT((A309-1)/Days)+1,"")</f>
        <v/>
      </c>
      <c r="D309">
        <f>IF(B309,MOD(A309-1,Days),"")</f>
        <v/>
      </c>
      <c r="E309" s="16">
        <f>IF(B309,StartDate+D309,"")</f>
        <v/>
      </c>
      <c r="F309">
        <f>IF(B309,MAX(MOD(SIN(Seed*0.1373+C309*12.9898+D309*78.233)*43758.5453,1),1E-9),"")</f>
        <v/>
      </c>
      <c r="G309">
        <f>IF(B309,MOD(SIN(Seed*0.5917+C309*39.3468+D309*11.135)*24634.6345,1),"")</f>
        <v/>
      </c>
      <c r="H309">
        <f>IF(B309,SQRT(-2*LN(F309))*COS(2*PI()*G309),"")</f>
        <v/>
      </c>
      <c r="I309">
        <f>IF(B309,IF(D309=0,H309,Rho*I308+SQRT(1-Rho^2)*H309),"")</f>
        <v/>
      </c>
      <c r="J309">
        <f>IF(B309,IF(Dist="Normal",DistA+DistB*I309,DistA+(DistB-DistA)*NORMSDIST(I309)),"")</f>
        <v/>
      </c>
      <c r="K309">
        <f>IF(B309,INDEX(MineScale,C309),"")</f>
        <v/>
      </c>
      <c r="L309">
        <f>IF(B309,INDEX(Dow,1,WEEKDAY(E309,2)),"")</f>
        <v/>
      </c>
      <c r="M309">
        <f>IF(B309,(1+Trend)^D309,"")</f>
        <v/>
      </c>
      <c r="N309">
        <f>IF(B309,EXP(SUMPRODUCT(LN(1+(EvEff-1)*INDEX(Affected,0,C309)*EXP(-((E309-EvCenter)^2)/(2*EvSigma^2))))),"")</f>
        <v/>
      </c>
      <c r="O309">
        <f>IF(B309,ROUND(MAX(0,J309*K309*L309*M309*N309),2),"")</f>
        <v/>
      </c>
    </row>
    <row r="310">
      <c r="A310" t="n">
        <v>309</v>
      </c>
      <c r="B310">
        <f>A310&lt;=MineCount*Days</f>
        <v/>
      </c>
      <c r="C310">
        <f>IF(B310,INT((A310-1)/Days)+1,"")</f>
        <v/>
      </c>
      <c r="D310">
        <f>IF(B310,MOD(A310-1,Days),"")</f>
        <v/>
      </c>
      <c r="E310" s="16">
        <f>IF(B310,StartDate+D310,"")</f>
        <v/>
      </c>
      <c r="F310">
        <f>IF(B310,MAX(MOD(SIN(Seed*0.1373+C310*12.9898+D310*78.233)*43758.5453,1),1E-9),"")</f>
        <v/>
      </c>
      <c r="G310">
        <f>IF(B310,MOD(SIN(Seed*0.5917+C310*39.3468+D310*11.135)*24634.6345,1),"")</f>
        <v/>
      </c>
      <c r="H310">
        <f>IF(B310,SQRT(-2*LN(F310))*COS(2*PI()*G310),"")</f>
        <v/>
      </c>
      <c r="I310">
        <f>IF(B310,IF(D310=0,H310,Rho*I309+SQRT(1-Rho^2)*H310),"")</f>
        <v/>
      </c>
      <c r="J310">
        <f>IF(B310,IF(Dist="Normal",DistA+DistB*I310,DistA+(DistB-DistA)*NORMSDIST(I310)),"")</f>
        <v/>
      </c>
      <c r="K310">
        <f>IF(B310,INDEX(MineScale,C310),"")</f>
        <v/>
      </c>
      <c r="L310">
        <f>IF(B310,INDEX(Dow,1,WEEKDAY(E310,2)),"")</f>
        <v/>
      </c>
      <c r="M310">
        <f>IF(B310,(1+Trend)^D310,"")</f>
        <v/>
      </c>
      <c r="N310">
        <f>IF(B310,EXP(SUMPRODUCT(LN(1+(EvEff-1)*INDEX(Affected,0,C310)*EXP(-((E310-EvCenter)^2)/(2*EvSigma^2))))),"")</f>
        <v/>
      </c>
      <c r="O310">
        <f>IF(B310,ROUND(MAX(0,J310*K310*L310*M310*N310),2),"")</f>
        <v/>
      </c>
    </row>
    <row r="311">
      <c r="A311" t="n">
        <v>310</v>
      </c>
      <c r="B311">
        <f>A311&lt;=MineCount*Days</f>
        <v/>
      </c>
      <c r="C311">
        <f>IF(B311,INT((A311-1)/Days)+1,"")</f>
        <v/>
      </c>
      <c r="D311">
        <f>IF(B311,MOD(A311-1,Days),"")</f>
        <v/>
      </c>
      <c r="E311" s="16">
        <f>IF(B311,StartDate+D311,"")</f>
        <v/>
      </c>
      <c r="F311">
        <f>IF(B311,MAX(MOD(SIN(Seed*0.1373+C311*12.9898+D311*78.233)*43758.5453,1),1E-9),"")</f>
        <v/>
      </c>
      <c r="G311">
        <f>IF(B311,MOD(SIN(Seed*0.5917+C311*39.3468+D311*11.135)*24634.6345,1),"")</f>
        <v/>
      </c>
      <c r="H311">
        <f>IF(B311,SQRT(-2*LN(F311))*COS(2*PI()*G311),"")</f>
        <v/>
      </c>
      <c r="I311">
        <f>IF(B311,IF(D311=0,H311,Rho*I310+SQRT(1-Rho^2)*H311),"")</f>
        <v/>
      </c>
      <c r="J311">
        <f>IF(B311,IF(Dist="Normal",DistA+DistB*I311,DistA+(DistB-DistA)*NORMSDIST(I311)),"")</f>
        <v/>
      </c>
      <c r="K311">
        <f>IF(B311,INDEX(MineScale,C311),"")</f>
        <v/>
      </c>
      <c r="L311">
        <f>IF(B311,INDEX(Dow,1,WEEKDAY(E311,2)),"")</f>
        <v/>
      </c>
      <c r="M311">
        <f>IF(B311,(1+Trend)^D311,"")</f>
        <v/>
      </c>
      <c r="N311">
        <f>IF(B311,EXP(SUMPRODUCT(LN(1+(EvEff-1)*INDEX(Affected,0,C311)*EXP(-((E311-EvCenter)^2)/(2*EvSigma^2))))),"")</f>
        <v/>
      </c>
      <c r="O311">
        <f>IF(B311,ROUND(MAX(0,J311*K311*L311*M311*N311),2),"")</f>
        <v/>
      </c>
    </row>
    <row r="312">
      <c r="A312" t="n">
        <v>311</v>
      </c>
      <c r="B312">
        <f>A312&lt;=MineCount*Days</f>
        <v/>
      </c>
      <c r="C312">
        <f>IF(B312,INT((A312-1)/Days)+1,"")</f>
        <v/>
      </c>
      <c r="D312">
        <f>IF(B312,MOD(A312-1,Days),"")</f>
        <v/>
      </c>
      <c r="E312" s="16">
        <f>IF(B312,StartDate+D312,"")</f>
        <v/>
      </c>
      <c r="F312">
        <f>IF(B312,MAX(MOD(SIN(Seed*0.1373+C312*12.9898+D312*78.233)*43758.5453,1),1E-9),"")</f>
        <v/>
      </c>
      <c r="G312">
        <f>IF(B312,MOD(SIN(Seed*0.5917+C312*39.3468+D312*11.135)*24634.6345,1),"")</f>
        <v/>
      </c>
      <c r="H312">
        <f>IF(B312,SQRT(-2*LN(F312))*COS(2*PI()*G312),"")</f>
        <v/>
      </c>
      <c r="I312">
        <f>IF(B312,IF(D312=0,H312,Rho*I311+SQRT(1-Rho^2)*H312),"")</f>
        <v/>
      </c>
      <c r="J312">
        <f>IF(B312,IF(Dist="Normal",DistA+DistB*I312,DistA+(DistB-DistA)*NORMSDIST(I312)),"")</f>
        <v/>
      </c>
      <c r="K312">
        <f>IF(B312,INDEX(MineScale,C312),"")</f>
        <v/>
      </c>
      <c r="L312">
        <f>IF(B312,INDEX(Dow,1,WEEKDAY(E312,2)),"")</f>
        <v/>
      </c>
      <c r="M312">
        <f>IF(B312,(1+Trend)^D312,"")</f>
        <v/>
      </c>
      <c r="N312">
        <f>IF(B312,EXP(SUMPRODUCT(LN(1+(EvEff-1)*INDEX(Affected,0,C312)*EXP(-((E312-EvCenter)^2)/(2*EvSigma^2))))),"")</f>
        <v/>
      </c>
      <c r="O312">
        <f>IF(B312,ROUND(MAX(0,J312*K312*L312*M312*N312),2),"")</f>
        <v/>
      </c>
    </row>
    <row r="313">
      <c r="A313" t="n">
        <v>312</v>
      </c>
      <c r="B313">
        <f>A313&lt;=MineCount*Days</f>
        <v/>
      </c>
      <c r="C313">
        <f>IF(B313,INT((A313-1)/Days)+1,"")</f>
        <v/>
      </c>
      <c r="D313">
        <f>IF(B313,MOD(A313-1,Days),"")</f>
        <v/>
      </c>
      <c r="E313" s="16">
        <f>IF(B313,StartDate+D313,"")</f>
        <v/>
      </c>
      <c r="F313">
        <f>IF(B313,MAX(MOD(SIN(Seed*0.1373+C313*12.9898+D313*78.233)*43758.5453,1),1E-9),"")</f>
        <v/>
      </c>
      <c r="G313">
        <f>IF(B313,MOD(SIN(Seed*0.5917+C313*39.3468+D313*11.135)*24634.6345,1),"")</f>
        <v/>
      </c>
      <c r="H313">
        <f>IF(B313,SQRT(-2*LN(F313))*COS(2*PI()*G313),"")</f>
        <v/>
      </c>
      <c r="I313">
        <f>IF(B313,IF(D313=0,H313,Rho*I312+SQRT(1-Rho^2)*H313),"")</f>
        <v/>
      </c>
      <c r="J313">
        <f>IF(B313,IF(Dist="Normal",DistA+DistB*I313,DistA+(DistB-DistA)*NORMSDIST(I313)),"")</f>
        <v/>
      </c>
      <c r="K313">
        <f>IF(B313,INDEX(MineScale,C313),"")</f>
        <v/>
      </c>
      <c r="L313">
        <f>IF(B313,INDEX(Dow,1,WEEKDAY(E313,2)),"")</f>
        <v/>
      </c>
      <c r="M313">
        <f>IF(B313,(1+Trend)^D313,"")</f>
        <v/>
      </c>
      <c r="N313">
        <f>IF(B313,EXP(SUMPRODUCT(LN(1+(EvEff-1)*INDEX(Affected,0,C313)*EXP(-((E313-EvCenter)^2)/(2*EvSigma^2))))),"")</f>
        <v/>
      </c>
      <c r="O313">
        <f>IF(B313,ROUND(MAX(0,J313*K313*L313*M313*N313),2),"")</f>
        <v/>
      </c>
    </row>
    <row r="314">
      <c r="A314" t="n">
        <v>313</v>
      </c>
      <c r="B314">
        <f>A314&lt;=MineCount*Days</f>
        <v/>
      </c>
      <c r="C314">
        <f>IF(B314,INT((A314-1)/Days)+1,"")</f>
        <v/>
      </c>
      <c r="D314">
        <f>IF(B314,MOD(A314-1,Days),"")</f>
        <v/>
      </c>
      <c r="E314" s="16">
        <f>IF(B314,StartDate+D314,"")</f>
        <v/>
      </c>
      <c r="F314">
        <f>IF(B314,MAX(MOD(SIN(Seed*0.1373+C314*12.9898+D314*78.233)*43758.5453,1),1E-9),"")</f>
        <v/>
      </c>
      <c r="G314">
        <f>IF(B314,MOD(SIN(Seed*0.5917+C314*39.3468+D314*11.135)*24634.6345,1),"")</f>
        <v/>
      </c>
      <c r="H314">
        <f>IF(B314,SQRT(-2*LN(F314))*COS(2*PI()*G314),"")</f>
        <v/>
      </c>
      <c r="I314">
        <f>IF(B314,IF(D314=0,H314,Rho*I313+SQRT(1-Rho^2)*H314),"")</f>
        <v/>
      </c>
      <c r="J314">
        <f>IF(B314,IF(Dist="Normal",DistA+DistB*I314,DistA+(DistB-DistA)*NORMSDIST(I314)),"")</f>
        <v/>
      </c>
      <c r="K314">
        <f>IF(B314,INDEX(MineScale,C314),"")</f>
        <v/>
      </c>
      <c r="L314">
        <f>IF(B314,INDEX(Dow,1,WEEKDAY(E314,2)),"")</f>
        <v/>
      </c>
      <c r="M314">
        <f>IF(B314,(1+Trend)^D314,"")</f>
        <v/>
      </c>
      <c r="N314">
        <f>IF(B314,EXP(SUMPRODUCT(LN(1+(EvEff-1)*INDEX(Affected,0,C314)*EXP(-((E314-EvCenter)^2)/(2*EvSigma^2))))),"")</f>
        <v/>
      </c>
      <c r="O314">
        <f>IF(B314,ROUND(MAX(0,J314*K314*L314*M314*N314),2),"")</f>
        <v/>
      </c>
    </row>
    <row r="315">
      <c r="A315" t="n">
        <v>314</v>
      </c>
      <c r="B315">
        <f>A315&lt;=MineCount*Days</f>
        <v/>
      </c>
      <c r="C315">
        <f>IF(B315,INT((A315-1)/Days)+1,"")</f>
        <v/>
      </c>
      <c r="D315">
        <f>IF(B315,MOD(A315-1,Days),"")</f>
        <v/>
      </c>
      <c r="E315" s="16">
        <f>IF(B315,StartDate+D315,"")</f>
        <v/>
      </c>
      <c r="F315">
        <f>IF(B315,MAX(MOD(SIN(Seed*0.1373+C315*12.9898+D315*78.233)*43758.5453,1),1E-9),"")</f>
        <v/>
      </c>
      <c r="G315">
        <f>IF(B315,MOD(SIN(Seed*0.5917+C315*39.3468+D315*11.135)*24634.6345,1),"")</f>
        <v/>
      </c>
      <c r="H315">
        <f>IF(B315,SQRT(-2*LN(F315))*COS(2*PI()*G315),"")</f>
        <v/>
      </c>
      <c r="I315">
        <f>IF(B315,IF(D315=0,H315,Rho*I314+SQRT(1-Rho^2)*H315),"")</f>
        <v/>
      </c>
      <c r="J315">
        <f>IF(B315,IF(Dist="Normal",DistA+DistB*I315,DistA+(DistB-DistA)*NORMSDIST(I315)),"")</f>
        <v/>
      </c>
      <c r="K315">
        <f>IF(B315,INDEX(MineScale,C315),"")</f>
        <v/>
      </c>
      <c r="L315">
        <f>IF(B315,INDEX(Dow,1,WEEKDAY(E315,2)),"")</f>
        <v/>
      </c>
      <c r="M315">
        <f>IF(B315,(1+Trend)^D315,"")</f>
        <v/>
      </c>
      <c r="N315">
        <f>IF(B315,EXP(SUMPRODUCT(LN(1+(EvEff-1)*INDEX(Affected,0,C315)*EXP(-((E315-EvCenter)^2)/(2*EvSigma^2))))),"")</f>
        <v/>
      </c>
      <c r="O315">
        <f>IF(B315,ROUND(MAX(0,J315*K315*L315*M315*N315),2),"")</f>
        <v/>
      </c>
    </row>
    <row r="316">
      <c r="A316" t="n">
        <v>315</v>
      </c>
      <c r="B316">
        <f>A316&lt;=MineCount*Days</f>
        <v/>
      </c>
      <c r="C316">
        <f>IF(B316,INT((A316-1)/Days)+1,"")</f>
        <v/>
      </c>
      <c r="D316">
        <f>IF(B316,MOD(A316-1,Days),"")</f>
        <v/>
      </c>
      <c r="E316" s="16">
        <f>IF(B316,StartDate+D316,"")</f>
        <v/>
      </c>
      <c r="F316">
        <f>IF(B316,MAX(MOD(SIN(Seed*0.1373+C316*12.9898+D316*78.233)*43758.5453,1),1E-9),"")</f>
        <v/>
      </c>
      <c r="G316">
        <f>IF(B316,MOD(SIN(Seed*0.5917+C316*39.3468+D316*11.135)*24634.6345,1),"")</f>
        <v/>
      </c>
      <c r="H316">
        <f>IF(B316,SQRT(-2*LN(F316))*COS(2*PI()*G316),"")</f>
        <v/>
      </c>
      <c r="I316">
        <f>IF(B316,IF(D316=0,H316,Rho*I315+SQRT(1-Rho^2)*H316),"")</f>
        <v/>
      </c>
      <c r="J316">
        <f>IF(B316,IF(Dist="Normal",DistA+DistB*I316,DistA+(DistB-DistA)*NORMSDIST(I316)),"")</f>
        <v/>
      </c>
      <c r="K316">
        <f>IF(B316,INDEX(MineScale,C316),"")</f>
        <v/>
      </c>
      <c r="L316">
        <f>IF(B316,INDEX(Dow,1,WEEKDAY(E316,2)),"")</f>
        <v/>
      </c>
      <c r="M316">
        <f>IF(B316,(1+Trend)^D316,"")</f>
        <v/>
      </c>
      <c r="N316">
        <f>IF(B316,EXP(SUMPRODUCT(LN(1+(EvEff-1)*INDEX(Affected,0,C316)*EXP(-((E316-EvCenter)^2)/(2*EvSigma^2))))),"")</f>
        <v/>
      </c>
      <c r="O316">
        <f>IF(B316,ROUND(MAX(0,J316*K316*L316*M316*N316),2),"")</f>
        <v/>
      </c>
    </row>
    <row r="317">
      <c r="A317" t="n">
        <v>316</v>
      </c>
      <c r="B317">
        <f>A317&lt;=MineCount*Days</f>
        <v/>
      </c>
      <c r="C317">
        <f>IF(B317,INT((A317-1)/Days)+1,"")</f>
        <v/>
      </c>
      <c r="D317">
        <f>IF(B317,MOD(A317-1,Days),"")</f>
        <v/>
      </c>
      <c r="E317" s="16">
        <f>IF(B317,StartDate+D317,"")</f>
        <v/>
      </c>
      <c r="F317">
        <f>IF(B317,MAX(MOD(SIN(Seed*0.1373+C317*12.9898+D317*78.233)*43758.5453,1),1E-9),"")</f>
        <v/>
      </c>
      <c r="G317">
        <f>IF(B317,MOD(SIN(Seed*0.5917+C317*39.3468+D317*11.135)*24634.6345,1),"")</f>
        <v/>
      </c>
      <c r="H317">
        <f>IF(B317,SQRT(-2*LN(F317))*COS(2*PI()*G317),"")</f>
        <v/>
      </c>
      <c r="I317">
        <f>IF(B317,IF(D317=0,H317,Rho*I316+SQRT(1-Rho^2)*H317),"")</f>
        <v/>
      </c>
      <c r="J317">
        <f>IF(B317,IF(Dist="Normal",DistA+DistB*I317,DistA+(DistB-DistA)*NORMSDIST(I317)),"")</f>
        <v/>
      </c>
      <c r="K317">
        <f>IF(B317,INDEX(MineScale,C317),"")</f>
        <v/>
      </c>
      <c r="L317">
        <f>IF(B317,INDEX(Dow,1,WEEKDAY(E317,2)),"")</f>
        <v/>
      </c>
      <c r="M317">
        <f>IF(B317,(1+Trend)^D317,"")</f>
        <v/>
      </c>
      <c r="N317">
        <f>IF(B317,EXP(SUMPRODUCT(LN(1+(EvEff-1)*INDEX(Affected,0,C317)*EXP(-((E317-EvCenter)^2)/(2*EvSigma^2))))),"")</f>
        <v/>
      </c>
      <c r="O317">
        <f>IF(B317,ROUND(MAX(0,J317*K317*L317*M317*N317),2),"")</f>
        <v/>
      </c>
    </row>
    <row r="318">
      <c r="A318" t="n">
        <v>317</v>
      </c>
      <c r="B318">
        <f>A318&lt;=MineCount*Days</f>
        <v/>
      </c>
      <c r="C318">
        <f>IF(B318,INT((A318-1)/Days)+1,"")</f>
        <v/>
      </c>
      <c r="D318">
        <f>IF(B318,MOD(A318-1,Days),"")</f>
        <v/>
      </c>
      <c r="E318" s="16">
        <f>IF(B318,StartDate+D318,"")</f>
        <v/>
      </c>
      <c r="F318">
        <f>IF(B318,MAX(MOD(SIN(Seed*0.1373+C318*12.9898+D318*78.233)*43758.5453,1),1E-9),"")</f>
        <v/>
      </c>
      <c r="G318">
        <f>IF(B318,MOD(SIN(Seed*0.5917+C318*39.3468+D318*11.135)*24634.6345,1),"")</f>
        <v/>
      </c>
      <c r="H318">
        <f>IF(B318,SQRT(-2*LN(F318))*COS(2*PI()*G318),"")</f>
        <v/>
      </c>
      <c r="I318">
        <f>IF(B318,IF(D318=0,H318,Rho*I317+SQRT(1-Rho^2)*H318),"")</f>
        <v/>
      </c>
      <c r="J318">
        <f>IF(B318,IF(Dist="Normal",DistA+DistB*I318,DistA+(DistB-DistA)*NORMSDIST(I318)),"")</f>
        <v/>
      </c>
      <c r="K318">
        <f>IF(B318,INDEX(MineScale,C318),"")</f>
        <v/>
      </c>
      <c r="L318">
        <f>IF(B318,INDEX(Dow,1,WEEKDAY(E318,2)),"")</f>
        <v/>
      </c>
      <c r="M318">
        <f>IF(B318,(1+Trend)^D318,"")</f>
        <v/>
      </c>
      <c r="N318">
        <f>IF(B318,EXP(SUMPRODUCT(LN(1+(EvEff-1)*INDEX(Affected,0,C318)*EXP(-((E318-EvCenter)^2)/(2*EvSigma^2))))),"")</f>
        <v/>
      </c>
      <c r="O318">
        <f>IF(B318,ROUND(MAX(0,J318*K318*L318*M318*N318),2),"")</f>
        <v/>
      </c>
    </row>
    <row r="319">
      <c r="A319" t="n">
        <v>318</v>
      </c>
      <c r="B319">
        <f>A319&lt;=MineCount*Days</f>
        <v/>
      </c>
      <c r="C319">
        <f>IF(B319,INT((A319-1)/Days)+1,"")</f>
        <v/>
      </c>
      <c r="D319">
        <f>IF(B319,MOD(A319-1,Days),"")</f>
        <v/>
      </c>
      <c r="E319" s="16">
        <f>IF(B319,StartDate+D319,"")</f>
        <v/>
      </c>
      <c r="F319">
        <f>IF(B319,MAX(MOD(SIN(Seed*0.1373+C319*12.9898+D319*78.233)*43758.5453,1),1E-9),"")</f>
        <v/>
      </c>
      <c r="G319">
        <f>IF(B319,MOD(SIN(Seed*0.5917+C319*39.3468+D319*11.135)*24634.6345,1),"")</f>
        <v/>
      </c>
      <c r="H319">
        <f>IF(B319,SQRT(-2*LN(F319))*COS(2*PI()*G319),"")</f>
        <v/>
      </c>
      <c r="I319">
        <f>IF(B319,IF(D319=0,H319,Rho*I318+SQRT(1-Rho^2)*H319),"")</f>
        <v/>
      </c>
      <c r="J319">
        <f>IF(B319,IF(Dist="Normal",DistA+DistB*I319,DistA+(DistB-DistA)*NORMSDIST(I319)),"")</f>
        <v/>
      </c>
      <c r="K319">
        <f>IF(B319,INDEX(MineScale,C319),"")</f>
        <v/>
      </c>
      <c r="L319">
        <f>IF(B319,INDEX(Dow,1,WEEKDAY(E319,2)),"")</f>
        <v/>
      </c>
      <c r="M319">
        <f>IF(B319,(1+Trend)^D319,"")</f>
        <v/>
      </c>
      <c r="N319">
        <f>IF(B319,EXP(SUMPRODUCT(LN(1+(EvEff-1)*INDEX(Affected,0,C319)*EXP(-((E319-EvCenter)^2)/(2*EvSigma^2))))),"")</f>
        <v/>
      </c>
      <c r="O319">
        <f>IF(B319,ROUND(MAX(0,J319*K319*L319*M319*N319),2),"")</f>
        <v/>
      </c>
    </row>
    <row r="320">
      <c r="A320" t="n">
        <v>319</v>
      </c>
      <c r="B320">
        <f>A320&lt;=MineCount*Days</f>
        <v/>
      </c>
      <c r="C320">
        <f>IF(B320,INT((A320-1)/Days)+1,"")</f>
        <v/>
      </c>
      <c r="D320">
        <f>IF(B320,MOD(A320-1,Days),"")</f>
        <v/>
      </c>
      <c r="E320" s="16">
        <f>IF(B320,StartDate+D320,"")</f>
        <v/>
      </c>
      <c r="F320">
        <f>IF(B320,MAX(MOD(SIN(Seed*0.1373+C320*12.9898+D320*78.233)*43758.5453,1),1E-9),"")</f>
        <v/>
      </c>
      <c r="G320">
        <f>IF(B320,MOD(SIN(Seed*0.5917+C320*39.3468+D320*11.135)*24634.6345,1),"")</f>
        <v/>
      </c>
      <c r="H320">
        <f>IF(B320,SQRT(-2*LN(F320))*COS(2*PI()*G320),"")</f>
        <v/>
      </c>
      <c r="I320">
        <f>IF(B320,IF(D320=0,H320,Rho*I319+SQRT(1-Rho^2)*H320),"")</f>
        <v/>
      </c>
      <c r="J320">
        <f>IF(B320,IF(Dist="Normal",DistA+DistB*I320,DistA+(DistB-DistA)*NORMSDIST(I320)),"")</f>
        <v/>
      </c>
      <c r="K320">
        <f>IF(B320,INDEX(MineScale,C320),"")</f>
        <v/>
      </c>
      <c r="L320">
        <f>IF(B320,INDEX(Dow,1,WEEKDAY(E320,2)),"")</f>
        <v/>
      </c>
      <c r="M320">
        <f>IF(B320,(1+Trend)^D320,"")</f>
        <v/>
      </c>
      <c r="N320">
        <f>IF(B320,EXP(SUMPRODUCT(LN(1+(EvEff-1)*INDEX(Affected,0,C320)*EXP(-((E320-EvCenter)^2)/(2*EvSigma^2))))),"")</f>
        <v/>
      </c>
      <c r="O320">
        <f>IF(B320,ROUND(MAX(0,J320*K320*L320*M320*N320),2),"")</f>
        <v/>
      </c>
    </row>
    <row r="321">
      <c r="A321" t="n">
        <v>320</v>
      </c>
      <c r="B321">
        <f>A321&lt;=MineCount*Days</f>
        <v/>
      </c>
      <c r="C321">
        <f>IF(B321,INT((A321-1)/Days)+1,"")</f>
        <v/>
      </c>
      <c r="D321">
        <f>IF(B321,MOD(A321-1,Days),"")</f>
        <v/>
      </c>
      <c r="E321" s="16">
        <f>IF(B321,StartDate+D321,"")</f>
        <v/>
      </c>
      <c r="F321">
        <f>IF(B321,MAX(MOD(SIN(Seed*0.1373+C321*12.9898+D321*78.233)*43758.5453,1),1E-9),"")</f>
        <v/>
      </c>
      <c r="G321">
        <f>IF(B321,MOD(SIN(Seed*0.5917+C321*39.3468+D321*11.135)*24634.6345,1),"")</f>
        <v/>
      </c>
      <c r="H321">
        <f>IF(B321,SQRT(-2*LN(F321))*COS(2*PI()*G321),"")</f>
        <v/>
      </c>
      <c r="I321">
        <f>IF(B321,IF(D321=0,H321,Rho*I320+SQRT(1-Rho^2)*H321),"")</f>
        <v/>
      </c>
      <c r="J321">
        <f>IF(B321,IF(Dist="Normal",DistA+DistB*I321,DistA+(DistB-DistA)*NORMSDIST(I321)),"")</f>
        <v/>
      </c>
      <c r="K321">
        <f>IF(B321,INDEX(MineScale,C321),"")</f>
        <v/>
      </c>
      <c r="L321">
        <f>IF(B321,INDEX(Dow,1,WEEKDAY(E321,2)),"")</f>
        <v/>
      </c>
      <c r="M321">
        <f>IF(B321,(1+Trend)^D321,"")</f>
        <v/>
      </c>
      <c r="N321">
        <f>IF(B321,EXP(SUMPRODUCT(LN(1+(EvEff-1)*INDEX(Affected,0,C321)*EXP(-((E321-EvCenter)^2)/(2*EvSigma^2))))),"")</f>
        <v/>
      </c>
      <c r="O321">
        <f>IF(B321,ROUND(MAX(0,J321*K321*L321*M321*N321),2),"")</f>
        <v/>
      </c>
    </row>
    <row r="322">
      <c r="A322" t="n">
        <v>321</v>
      </c>
      <c r="B322">
        <f>A322&lt;=MineCount*Days</f>
        <v/>
      </c>
      <c r="C322">
        <f>IF(B322,INT((A322-1)/Days)+1,"")</f>
        <v/>
      </c>
      <c r="D322">
        <f>IF(B322,MOD(A322-1,Days),"")</f>
        <v/>
      </c>
      <c r="E322" s="16">
        <f>IF(B322,StartDate+D322,"")</f>
        <v/>
      </c>
      <c r="F322">
        <f>IF(B322,MAX(MOD(SIN(Seed*0.1373+C322*12.9898+D322*78.233)*43758.5453,1),1E-9),"")</f>
        <v/>
      </c>
      <c r="G322">
        <f>IF(B322,MOD(SIN(Seed*0.5917+C322*39.3468+D322*11.135)*24634.6345,1),"")</f>
        <v/>
      </c>
      <c r="H322">
        <f>IF(B322,SQRT(-2*LN(F322))*COS(2*PI()*G322),"")</f>
        <v/>
      </c>
      <c r="I322">
        <f>IF(B322,IF(D322=0,H322,Rho*I321+SQRT(1-Rho^2)*H322),"")</f>
        <v/>
      </c>
      <c r="J322">
        <f>IF(B322,IF(Dist="Normal",DistA+DistB*I322,DistA+(DistB-DistA)*NORMSDIST(I322)),"")</f>
        <v/>
      </c>
      <c r="K322">
        <f>IF(B322,INDEX(MineScale,C322),"")</f>
        <v/>
      </c>
      <c r="L322">
        <f>IF(B322,INDEX(Dow,1,WEEKDAY(E322,2)),"")</f>
        <v/>
      </c>
      <c r="M322">
        <f>IF(B322,(1+Trend)^D322,"")</f>
        <v/>
      </c>
      <c r="N322">
        <f>IF(B322,EXP(SUMPRODUCT(LN(1+(EvEff-1)*INDEX(Affected,0,C322)*EXP(-((E322-EvCenter)^2)/(2*EvSigma^2))))),"")</f>
        <v/>
      </c>
      <c r="O322">
        <f>IF(B322,ROUND(MAX(0,J322*K322*L322*M322*N322),2),"")</f>
        <v/>
      </c>
    </row>
    <row r="323">
      <c r="A323" t="n">
        <v>322</v>
      </c>
      <c r="B323">
        <f>A323&lt;=MineCount*Days</f>
        <v/>
      </c>
      <c r="C323">
        <f>IF(B323,INT((A323-1)/Days)+1,"")</f>
        <v/>
      </c>
      <c r="D323">
        <f>IF(B323,MOD(A323-1,Days),"")</f>
        <v/>
      </c>
      <c r="E323" s="16">
        <f>IF(B323,StartDate+D323,"")</f>
        <v/>
      </c>
      <c r="F323">
        <f>IF(B323,MAX(MOD(SIN(Seed*0.1373+C323*12.9898+D323*78.233)*43758.5453,1),1E-9),"")</f>
        <v/>
      </c>
      <c r="G323">
        <f>IF(B323,MOD(SIN(Seed*0.5917+C323*39.3468+D323*11.135)*24634.6345,1),"")</f>
        <v/>
      </c>
      <c r="H323">
        <f>IF(B323,SQRT(-2*LN(F323))*COS(2*PI()*G323),"")</f>
        <v/>
      </c>
      <c r="I323">
        <f>IF(B323,IF(D323=0,H323,Rho*I322+SQRT(1-Rho^2)*H323),"")</f>
        <v/>
      </c>
      <c r="J323">
        <f>IF(B323,IF(Dist="Normal",DistA+DistB*I323,DistA+(DistB-DistA)*NORMSDIST(I323)),"")</f>
        <v/>
      </c>
      <c r="K323">
        <f>IF(B323,INDEX(MineScale,C323),"")</f>
        <v/>
      </c>
      <c r="L323">
        <f>IF(B323,INDEX(Dow,1,WEEKDAY(E323,2)),"")</f>
        <v/>
      </c>
      <c r="M323">
        <f>IF(B323,(1+Trend)^D323,"")</f>
        <v/>
      </c>
      <c r="N323">
        <f>IF(B323,EXP(SUMPRODUCT(LN(1+(EvEff-1)*INDEX(Affected,0,C323)*EXP(-((E323-EvCenter)^2)/(2*EvSigma^2))))),"")</f>
        <v/>
      </c>
      <c r="O323">
        <f>IF(B323,ROUND(MAX(0,J323*K323*L323*M323*N323),2),"")</f>
        <v/>
      </c>
    </row>
    <row r="324">
      <c r="A324" t="n">
        <v>323</v>
      </c>
      <c r="B324">
        <f>A324&lt;=MineCount*Days</f>
        <v/>
      </c>
      <c r="C324">
        <f>IF(B324,INT((A324-1)/Days)+1,"")</f>
        <v/>
      </c>
      <c r="D324">
        <f>IF(B324,MOD(A324-1,Days),"")</f>
        <v/>
      </c>
      <c r="E324" s="16">
        <f>IF(B324,StartDate+D324,"")</f>
        <v/>
      </c>
      <c r="F324">
        <f>IF(B324,MAX(MOD(SIN(Seed*0.1373+C324*12.9898+D324*78.233)*43758.5453,1),1E-9),"")</f>
        <v/>
      </c>
      <c r="G324">
        <f>IF(B324,MOD(SIN(Seed*0.5917+C324*39.3468+D324*11.135)*24634.6345,1),"")</f>
        <v/>
      </c>
      <c r="H324">
        <f>IF(B324,SQRT(-2*LN(F324))*COS(2*PI()*G324),"")</f>
        <v/>
      </c>
      <c r="I324">
        <f>IF(B324,IF(D324=0,H324,Rho*I323+SQRT(1-Rho^2)*H324),"")</f>
        <v/>
      </c>
      <c r="J324">
        <f>IF(B324,IF(Dist="Normal",DistA+DistB*I324,DistA+(DistB-DistA)*NORMSDIST(I324)),"")</f>
        <v/>
      </c>
      <c r="K324">
        <f>IF(B324,INDEX(MineScale,C324),"")</f>
        <v/>
      </c>
      <c r="L324">
        <f>IF(B324,INDEX(Dow,1,WEEKDAY(E324,2)),"")</f>
        <v/>
      </c>
      <c r="M324">
        <f>IF(B324,(1+Trend)^D324,"")</f>
        <v/>
      </c>
      <c r="N324">
        <f>IF(B324,EXP(SUMPRODUCT(LN(1+(EvEff-1)*INDEX(Affected,0,C324)*EXP(-((E324-EvCenter)^2)/(2*EvSigma^2))))),"")</f>
        <v/>
      </c>
      <c r="O324">
        <f>IF(B324,ROUND(MAX(0,J324*K324*L324*M324*N324),2),"")</f>
        <v/>
      </c>
    </row>
    <row r="325">
      <c r="A325" t="n">
        <v>324</v>
      </c>
      <c r="B325">
        <f>A325&lt;=MineCount*Days</f>
        <v/>
      </c>
      <c r="C325">
        <f>IF(B325,INT((A325-1)/Days)+1,"")</f>
        <v/>
      </c>
      <c r="D325">
        <f>IF(B325,MOD(A325-1,Days),"")</f>
        <v/>
      </c>
      <c r="E325" s="16">
        <f>IF(B325,StartDate+D325,"")</f>
        <v/>
      </c>
      <c r="F325">
        <f>IF(B325,MAX(MOD(SIN(Seed*0.1373+C325*12.9898+D325*78.233)*43758.5453,1),1E-9),"")</f>
        <v/>
      </c>
      <c r="G325">
        <f>IF(B325,MOD(SIN(Seed*0.5917+C325*39.3468+D325*11.135)*24634.6345,1),"")</f>
        <v/>
      </c>
      <c r="H325">
        <f>IF(B325,SQRT(-2*LN(F325))*COS(2*PI()*G325),"")</f>
        <v/>
      </c>
      <c r="I325">
        <f>IF(B325,IF(D325=0,H325,Rho*I324+SQRT(1-Rho^2)*H325),"")</f>
        <v/>
      </c>
      <c r="J325">
        <f>IF(B325,IF(Dist="Normal",DistA+DistB*I325,DistA+(DistB-DistA)*NORMSDIST(I325)),"")</f>
        <v/>
      </c>
      <c r="K325">
        <f>IF(B325,INDEX(MineScale,C325),"")</f>
        <v/>
      </c>
      <c r="L325">
        <f>IF(B325,INDEX(Dow,1,WEEKDAY(E325,2)),"")</f>
        <v/>
      </c>
      <c r="M325">
        <f>IF(B325,(1+Trend)^D325,"")</f>
        <v/>
      </c>
      <c r="N325">
        <f>IF(B325,EXP(SUMPRODUCT(LN(1+(EvEff-1)*INDEX(Affected,0,C325)*EXP(-((E325-EvCenter)^2)/(2*EvSigma^2))))),"")</f>
        <v/>
      </c>
      <c r="O325">
        <f>IF(B325,ROUND(MAX(0,J325*K325*L325*M325*N325),2),"")</f>
        <v/>
      </c>
    </row>
    <row r="326">
      <c r="A326" t="n">
        <v>325</v>
      </c>
      <c r="B326">
        <f>A326&lt;=MineCount*Days</f>
        <v/>
      </c>
      <c r="C326">
        <f>IF(B326,INT((A326-1)/Days)+1,"")</f>
        <v/>
      </c>
      <c r="D326">
        <f>IF(B326,MOD(A326-1,Days),"")</f>
        <v/>
      </c>
      <c r="E326" s="16">
        <f>IF(B326,StartDate+D326,"")</f>
        <v/>
      </c>
      <c r="F326">
        <f>IF(B326,MAX(MOD(SIN(Seed*0.1373+C326*12.9898+D326*78.233)*43758.5453,1),1E-9),"")</f>
        <v/>
      </c>
      <c r="G326">
        <f>IF(B326,MOD(SIN(Seed*0.5917+C326*39.3468+D326*11.135)*24634.6345,1),"")</f>
        <v/>
      </c>
      <c r="H326">
        <f>IF(B326,SQRT(-2*LN(F326))*COS(2*PI()*G326),"")</f>
        <v/>
      </c>
      <c r="I326">
        <f>IF(B326,IF(D326=0,H326,Rho*I325+SQRT(1-Rho^2)*H326),"")</f>
        <v/>
      </c>
      <c r="J326">
        <f>IF(B326,IF(Dist="Normal",DistA+DistB*I326,DistA+(DistB-DistA)*NORMSDIST(I326)),"")</f>
        <v/>
      </c>
      <c r="K326">
        <f>IF(B326,INDEX(MineScale,C326),"")</f>
        <v/>
      </c>
      <c r="L326">
        <f>IF(B326,INDEX(Dow,1,WEEKDAY(E326,2)),"")</f>
        <v/>
      </c>
      <c r="M326">
        <f>IF(B326,(1+Trend)^D326,"")</f>
        <v/>
      </c>
      <c r="N326">
        <f>IF(B326,EXP(SUMPRODUCT(LN(1+(EvEff-1)*INDEX(Affected,0,C326)*EXP(-((E326-EvCenter)^2)/(2*EvSigma^2))))),"")</f>
        <v/>
      </c>
      <c r="O326">
        <f>IF(B326,ROUND(MAX(0,J326*K326*L326*M326*N326),2),"")</f>
        <v/>
      </c>
    </row>
    <row r="327">
      <c r="A327" t="n">
        <v>326</v>
      </c>
      <c r="B327">
        <f>A327&lt;=MineCount*Days</f>
        <v/>
      </c>
      <c r="C327">
        <f>IF(B327,INT((A327-1)/Days)+1,"")</f>
        <v/>
      </c>
      <c r="D327">
        <f>IF(B327,MOD(A327-1,Days),"")</f>
        <v/>
      </c>
      <c r="E327" s="16">
        <f>IF(B327,StartDate+D327,"")</f>
        <v/>
      </c>
      <c r="F327">
        <f>IF(B327,MAX(MOD(SIN(Seed*0.1373+C327*12.9898+D327*78.233)*43758.5453,1),1E-9),"")</f>
        <v/>
      </c>
      <c r="G327">
        <f>IF(B327,MOD(SIN(Seed*0.5917+C327*39.3468+D327*11.135)*24634.6345,1),"")</f>
        <v/>
      </c>
      <c r="H327">
        <f>IF(B327,SQRT(-2*LN(F327))*COS(2*PI()*G327),"")</f>
        <v/>
      </c>
      <c r="I327">
        <f>IF(B327,IF(D327=0,H327,Rho*I326+SQRT(1-Rho^2)*H327),"")</f>
        <v/>
      </c>
      <c r="J327">
        <f>IF(B327,IF(Dist="Normal",DistA+DistB*I327,DistA+(DistB-DistA)*NORMSDIST(I327)),"")</f>
        <v/>
      </c>
      <c r="K327">
        <f>IF(B327,INDEX(MineScale,C327),"")</f>
        <v/>
      </c>
      <c r="L327">
        <f>IF(B327,INDEX(Dow,1,WEEKDAY(E327,2)),"")</f>
        <v/>
      </c>
      <c r="M327">
        <f>IF(B327,(1+Trend)^D327,"")</f>
        <v/>
      </c>
      <c r="N327">
        <f>IF(B327,EXP(SUMPRODUCT(LN(1+(EvEff-1)*INDEX(Affected,0,C327)*EXP(-((E327-EvCenter)^2)/(2*EvSigma^2))))),"")</f>
        <v/>
      </c>
      <c r="O327">
        <f>IF(B327,ROUND(MAX(0,J327*K327*L327*M327*N327),2),"")</f>
        <v/>
      </c>
    </row>
    <row r="328">
      <c r="A328" t="n">
        <v>327</v>
      </c>
      <c r="B328">
        <f>A328&lt;=MineCount*Days</f>
        <v/>
      </c>
      <c r="C328">
        <f>IF(B328,INT((A328-1)/Days)+1,"")</f>
        <v/>
      </c>
      <c r="D328">
        <f>IF(B328,MOD(A328-1,Days),"")</f>
        <v/>
      </c>
      <c r="E328" s="16">
        <f>IF(B328,StartDate+D328,"")</f>
        <v/>
      </c>
      <c r="F328">
        <f>IF(B328,MAX(MOD(SIN(Seed*0.1373+C328*12.9898+D328*78.233)*43758.5453,1),1E-9),"")</f>
        <v/>
      </c>
      <c r="G328">
        <f>IF(B328,MOD(SIN(Seed*0.5917+C328*39.3468+D328*11.135)*24634.6345,1),"")</f>
        <v/>
      </c>
      <c r="H328">
        <f>IF(B328,SQRT(-2*LN(F328))*COS(2*PI()*G328),"")</f>
        <v/>
      </c>
      <c r="I328">
        <f>IF(B328,IF(D328=0,H328,Rho*I327+SQRT(1-Rho^2)*H328),"")</f>
        <v/>
      </c>
      <c r="J328">
        <f>IF(B328,IF(Dist="Normal",DistA+DistB*I328,DistA+(DistB-DistA)*NORMSDIST(I328)),"")</f>
        <v/>
      </c>
      <c r="K328">
        <f>IF(B328,INDEX(MineScale,C328),"")</f>
        <v/>
      </c>
      <c r="L328">
        <f>IF(B328,INDEX(Dow,1,WEEKDAY(E328,2)),"")</f>
        <v/>
      </c>
      <c r="M328">
        <f>IF(B328,(1+Trend)^D328,"")</f>
        <v/>
      </c>
      <c r="N328">
        <f>IF(B328,EXP(SUMPRODUCT(LN(1+(EvEff-1)*INDEX(Affected,0,C328)*EXP(-((E328-EvCenter)^2)/(2*EvSigma^2))))),"")</f>
        <v/>
      </c>
      <c r="O328">
        <f>IF(B328,ROUND(MAX(0,J328*K328*L328*M328*N328),2),"")</f>
        <v/>
      </c>
    </row>
    <row r="329">
      <c r="A329" t="n">
        <v>328</v>
      </c>
      <c r="B329">
        <f>A329&lt;=MineCount*Days</f>
        <v/>
      </c>
      <c r="C329">
        <f>IF(B329,INT((A329-1)/Days)+1,"")</f>
        <v/>
      </c>
      <c r="D329">
        <f>IF(B329,MOD(A329-1,Days),"")</f>
        <v/>
      </c>
      <c r="E329" s="16">
        <f>IF(B329,StartDate+D329,"")</f>
        <v/>
      </c>
      <c r="F329">
        <f>IF(B329,MAX(MOD(SIN(Seed*0.1373+C329*12.9898+D329*78.233)*43758.5453,1),1E-9),"")</f>
        <v/>
      </c>
      <c r="G329">
        <f>IF(B329,MOD(SIN(Seed*0.5917+C329*39.3468+D329*11.135)*24634.6345,1),"")</f>
        <v/>
      </c>
      <c r="H329">
        <f>IF(B329,SQRT(-2*LN(F329))*COS(2*PI()*G329),"")</f>
        <v/>
      </c>
      <c r="I329">
        <f>IF(B329,IF(D329=0,H329,Rho*I328+SQRT(1-Rho^2)*H329),"")</f>
        <v/>
      </c>
      <c r="J329">
        <f>IF(B329,IF(Dist="Normal",DistA+DistB*I329,DistA+(DistB-DistA)*NORMSDIST(I329)),"")</f>
        <v/>
      </c>
      <c r="K329">
        <f>IF(B329,INDEX(MineScale,C329),"")</f>
        <v/>
      </c>
      <c r="L329">
        <f>IF(B329,INDEX(Dow,1,WEEKDAY(E329,2)),"")</f>
        <v/>
      </c>
      <c r="M329">
        <f>IF(B329,(1+Trend)^D329,"")</f>
        <v/>
      </c>
      <c r="N329">
        <f>IF(B329,EXP(SUMPRODUCT(LN(1+(EvEff-1)*INDEX(Affected,0,C329)*EXP(-((E329-EvCenter)^2)/(2*EvSigma^2))))),"")</f>
        <v/>
      </c>
      <c r="O329">
        <f>IF(B329,ROUND(MAX(0,J329*K329*L329*M329*N329),2),"")</f>
        <v/>
      </c>
    </row>
    <row r="330">
      <c r="A330" t="n">
        <v>329</v>
      </c>
      <c r="B330">
        <f>A330&lt;=MineCount*Days</f>
        <v/>
      </c>
      <c r="C330">
        <f>IF(B330,INT((A330-1)/Days)+1,"")</f>
        <v/>
      </c>
      <c r="D330">
        <f>IF(B330,MOD(A330-1,Days),"")</f>
        <v/>
      </c>
      <c r="E330" s="16">
        <f>IF(B330,StartDate+D330,"")</f>
        <v/>
      </c>
      <c r="F330">
        <f>IF(B330,MAX(MOD(SIN(Seed*0.1373+C330*12.9898+D330*78.233)*43758.5453,1),1E-9),"")</f>
        <v/>
      </c>
      <c r="G330">
        <f>IF(B330,MOD(SIN(Seed*0.5917+C330*39.3468+D330*11.135)*24634.6345,1),"")</f>
        <v/>
      </c>
      <c r="H330">
        <f>IF(B330,SQRT(-2*LN(F330))*COS(2*PI()*G330),"")</f>
        <v/>
      </c>
      <c r="I330">
        <f>IF(B330,IF(D330=0,H330,Rho*I329+SQRT(1-Rho^2)*H330),"")</f>
        <v/>
      </c>
      <c r="J330">
        <f>IF(B330,IF(Dist="Normal",DistA+DistB*I330,DistA+(DistB-DistA)*NORMSDIST(I330)),"")</f>
        <v/>
      </c>
      <c r="K330">
        <f>IF(B330,INDEX(MineScale,C330),"")</f>
        <v/>
      </c>
      <c r="L330">
        <f>IF(B330,INDEX(Dow,1,WEEKDAY(E330,2)),"")</f>
        <v/>
      </c>
      <c r="M330">
        <f>IF(B330,(1+Trend)^D330,"")</f>
        <v/>
      </c>
      <c r="N330">
        <f>IF(B330,EXP(SUMPRODUCT(LN(1+(EvEff-1)*INDEX(Affected,0,C330)*EXP(-((E330-EvCenter)^2)/(2*EvSigma^2))))),"")</f>
        <v/>
      </c>
      <c r="O330">
        <f>IF(B330,ROUND(MAX(0,J330*K330*L330*M330*N330),2),"")</f>
        <v/>
      </c>
    </row>
    <row r="331">
      <c r="A331" t="n">
        <v>330</v>
      </c>
      <c r="B331">
        <f>A331&lt;=MineCount*Days</f>
        <v/>
      </c>
      <c r="C331">
        <f>IF(B331,INT((A331-1)/Days)+1,"")</f>
        <v/>
      </c>
      <c r="D331">
        <f>IF(B331,MOD(A331-1,Days),"")</f>
        <v/>
      </c>
      <c r="E331" s="16">
        <f>IF(B331,StartDate+D331,"")</f>
        <v/>
      </c>
      <c r="F331">
        <f>IF(B331,MAX(MOD(SIN(Seed*0.1373+C331*12.9898+D331*78.233)*43758.5453,1),1E-9),"")</f>
        <v/>
      </c>
      <c r="G331">
        <f>IF(B331,MOD(SIN(Seed*0.5917+C331*39.3468+D331*11.135)*24634.6345,1),"")</f>
        <v/>
      </c>
      <c r="H331">
        <f>IF(B331,SQRT(-2*LN(F331))*COS(2*PI()*G331),"")</f>
        <v/>
      </c>
      <c r="I331">
        <f>IF(B331,IF(D331=0,H331,Rho*I330+SQRT(1-Rho^2)*H331),"")</f>
        <v/>
      </c>
      <c r="J331">
        <f>IF(B331,IF(Dist="Normal",DistA+DistB*I331,DistA+(DistB-DistA)*NORMSDIST(I331)),"")</f>
        <v/>
      </c>
      <c r="K331">
        <f>IF(B331,INDEX(MineScale,C331),"")</f>
        <v/>
      </c>
      <c r="L331">
        <f>IF(B331,INDEX(Dow,1,WEEKDAY(E331,2)),"")</f>
        <v/>
      </c>
      <c r="M331">
        <f>IF(B331,(1+Trend)^D331,"")</f>
        <v/>
      </c>
      <c r="N331">
        <f>IF(B331,EXP(SUMPRODUCT(LN(1+(EvEff-1)*INDEX(Affected,0,C331)*EXP(-((E331-EvCenter)^2)/(2*EvSigma^2))))),"")</f>
        <v/>
      </c>
      <c r="O331">
        <f>IF(B331,ROUND(MAX(0,J331*K331*L331*M331*N331),2),"")</f>
        <v/>
      </c>
    </row>
    <row r="332">
      <c r="A332" t="n">
        <v>331</v>
      </c>
      <c r="B332">
        <f>A332&lt;=MineCount*Days</f>
        <v/>
      </c>
      <c r="C332">
        <f>IF(B332,INT((A332-1)/Days)+1,"")</f>
        <v/>
      </c>
      <c r="D332">
        <f>IF(B332,MOD(A332-1,Days),"")</f>
        <v/>
      </c>
      <c r="E332" s="16">
        <f>IF(B332,StartDate+D332,"")</f>
        <v/>
      </c>
      <c r="F332">
        <f>IF(B332,MAX(MOD(SIN(Seed*0.1373+C332*12.9898+D332*78.233)*43758.5453,1),1E-9),"")</f>
        <v/>
      </c>
      <c r="G332">
        <f>IF(B332,MOD(SIN(Seed*0.5917+C332*39.3468+D332*11.135)*24634.6345,1),"")</f>
        <v/>
      </c>
      <c r="H332">
        <f>IF(B332,SQRT(-2*LN(F332))*COS(2*PI()*G332),"")</f>
        <v/>
      </c>
      <c r="I332">
        <f>IF(B332,IF(D332=0,H332,Rho*I331+SQRT(1-Rho^2)*H332),"")</f>
        <v/>
      </c>
      <c r="J332">
        <f>IF(B332,IF(Dist="Normal",DistA+DistB*I332,DistA+(DistB-DistA)*NORMSDIST(I332)),"")</f>
        <v/>
      </c>
      <c r="K332">
        <f>IF(B332,INDEX(MineScale,C332),"")</f>
        <v/>
      </c>
      <c r="L332">
        <f>IF(B332,INDEX(Dow,1,WEEKDAY(E332,2)),"")</f>
        <v/>
      </c>
      <c r="M332">
        <f>IF(B332,(1+Trend)^D332,"")</f>
        <v/>
      </c>
      <c r="N332">
        <f>IF(B332,EXP(SUMPRODUCT(LN(1+(EvEff-1)*INDEX(Affected,0,C332)*EXP(-((E332-EvCenter)^2)/(2*EvSigma^2))))),"")</f>
        <v/>
      </c>
      <c r="O332">
        <f>IF(B332,ROUND(MAX(0,J332*K332*L332*M332*N332),2),"")</f>
        <v/>
      </c>
    </row>
    <row r="333">
      <c r="A333" t="n">
        <v>332</v>
      </c>
      <c r="B333">
        <f>A333&lt;=MineCount*Days</f>
        <v/>
      </c>
      <c r="C333">
        <f>IF(B333,INT((A333-1)/Days)+1,"")</f>
        <v/>
      </c>
      <c r="D333">
        <f>IF(B333,MOD(A333-1,Days),"")</f>
        <v/>
      </c>
      <c r="E333" s="16">
        <f>IF(B333,StartDate+D333,"")</f>
        <v/>
      </c>
      <c r="F333">
        <f>IF(B333,MAX(MOD(SIN(Seed*0.1373+C333*12.9898+D333*78.233)*43758.5453,1),1E-9),"")</f>
        <v/>
      </c>
      <c r="G333">
        <f>IF(B333,MOD(SIN(Seed*0.5917+C333*39.3468+D333*11.135)*24634.6345,1),"")</f>
        <v/>
      </c>
      <c r="H333">
        <f>IF(B333,SQRT(-2*LN(F333))*COS(2*PI()*G333),"")</f>
        <v/>
      </c>
      <c r="I333">
        <f>IF(B333,IF(D333=0,H333,Rho*I332+SQRT(1-Rho^2)*H333),"")</f>
        <v/>
      </c>
      <c r="J333">
        <f>IF(B333,IF(Dist="Normal",DistA+DistB*I333,DistA+(DistB-DistA)*NORMSDIST(I333)),"")</f>
        <v/>
      </c>
      <c r="K333">
        <f>IF(B333,INDEX(MineScale,C333),"")</f>
        <v/>
      </c>
      <c r="L333">
        <f>IF(B333,INDEX(Dow,1,WEEKDAY(E333,2)),"")</f>
        <v/>
      </c>
      <c r="M333">
        <f>IF(B333,(1+Trend)^D333,"")</f>
        <v/>
      </c>
      <c r="N333">
        <f>IF(B333,EXP(SUMPRODUCT(LN(1+(EvEff-1)*INDEX(Affected,0,C333)*EXP(-((E333-EvCenter)^2)/(2*EvSigma^2))))),"")</f>
        <v/>
      </c>
      <c r="O333">
        <f>IF(B333,ROUND(MAX(0,J333*K333*L333*M333*N333),2),"")</f>
        <v/>
      </c>
    </row>
    <row r="334">
      <c r="A334" t="n">
        <v>333</v>
      </c>
      <c r="B334">
        <f>A334&lt;=MineCount*Days</f>
        <v/>
      </c>
      <c r="C334">
        <f>IF(B334,INT((A334-1)/Days)+1,"")</f>
        <v/>
      </c>
      <c r="D334">
        <f>IF(B334,MOD(A334-1,Days),"")</f>
        <v/>
      </c>
      <c r="E334" s="16">
        <f>IF(B334,StartDate+D334,"")</f>
        <v/>
      </c>
      <c r="F334">
        <f>IF(B334,MAX(MOD(SIN(Seed*0.1373+C334*12.9898+D334*78.233)*43758.5453,1),1E-9),"")</f>
        <v/>
      </c>
      <c r="G334">
        <f>IF(B334,MOD(SIN(Seed*0.5917+C334*39.3468+D334*11.135)*24634.6345,1),"")</f>
        <v/>
      </c>
      <c r="H334">
        <f>IF(B334,SQRT(-2*LN(F334))*COS(2*PI()*G334),"")</f>
        <v/>
      </c>
      <c r="I334">
        <f>IF(B334,IF(D334=0,H334,Rho*I333+SQRT(1-Rho^2)*H334),"")</f>
        <v/>
      </c>
      <c r="J334">
        <f>IF(B334,IF(Dist="Normal",DistA+DistB*I334,DistA+(DistB-DistA)*NORMSDIST(I334)),"")</f>
        <v/>
      </c>
      <c r="K334">
        <f>IF(B334,INDEX(MineScale,C334),"")</f>
        <v/>
      </c>
      <c r="L334">
        <f>IF(B334,INDEX(Dow,1,WEEKDAY(E334,2)),"")</f>
        <v/>
      </c>
      <c r="M334">
        <f>IF(B334,(1+Trend)^D334,"")</f>
        <v/>
      </c>
      <c r="N334">
        <f>IF(B334,EXP(SUMPRODUCT(LN(1+(EvEff-1)*INDEX(Affected,0,C334)*EXP(-((E334-EvCenter)^2)/(2*EvSigma^2))))),"")</f>
        <v/>
      </c>
      <c r="O334">
        <f>IF(B334,ROUND(MAX(0,J334*K334*L334*M334*N334),2),"")</f>
        <v/>
      </c>
    </row>
    <row r="335">
      <c r="A335" t="n">
        <v>334</v>
      </c>
      <c r="B335">
        <f>A335&lt;=MineCount*Days</f>
        <v/>
      </c>
      <c r="C335">
        <f>IF(B335,INT((A335-1)/Days)+1,"")</f>
        <v/>
      </c>
      <c r="D335">
        <f>IF(B335,MOD(A335-1,Days),"")</f>
        <v/>
      </c>
      <c r="E335" s="16">
        <f>IF(B335,StartDate+D335,"")</f>
        <v/>
      </c>
      <c r="F335">
        <f>IF(B335,MAX(MOD(SIN(Seed*0.1373+C335*12.9898+D335*78.233)*43758.5453,1),1E-9),"")</f>
        <v/>
      </c>
      <c r="G335">
        <f>IF(B335,MOD(SIN(Seed*0.5917+C335*39.3468+D335*11.135)*24634.6345,1),"")</f>
        <v/>
      </c>
      <c r="H335">
        <f>IF(B335,SQRT(-2*LN(F335))*COS(2*PI()*G335),"")</f>
        <v/>
      </c>
      <c r="I335">
        <f>IF(B335,IF(D335=0,H335,Rho*I334+SQRT(1-Rho^2)*H335),"")</f>
        <v/>
      </c>
      <c r="J335">
        <f>IF(B335,IF(Dist="Normal",DistA+DistB*I335,DistA+(DistB-DistA)*NORMSDIST(I335)),"")</f>
        <v/>
      </c>
      <c r="K335">
        <f>IF(B335,INDEX(MineScale,C335),"")</f>
        <v/>
      </c>
      <c r="L335">
        <f>IF(B335,INDEX(Dow,1,WEEKDAY(E335,2)),"")</f>
        <v/>
      </c>
      <c r="M335">
        <f>IF(B335,(1+Trend)^D335,"")</f>
        <v/>
      </c>
      <c r="N335">
        <f>IF(B335,EXP(SUMPRODUCT(LN(1+(EvEff-1)*INDEX(Affected,0,C335)*EXP(-((E335-EvCenter)^2)/(2*EvSigma^2))))),"")</f>
        <v/>
      </c>
      <c r="O335">
        <f>IF(B335,ROUND(MAX(0,J335*K335*L335*M335*N335),2),"")</f>
        <v/>
      </c>
    </row>
    <row r="336">
      <c r="A336" t="n">
        <v>335</v>
      </c>
      <c r="B336">
        <f>A336&lt;=MineCount*Days</f>
        <v/>
      </c>
      <c r="C336">
        <f>IF(B336,INT((A336-1)/Days)+1,"")</f>
        <v/>
      </c>
      <c r="D336">
        <f>IF(B336,MOD(A336-1,Days),"")</f>
        <v/>
      </c>
      <c r="E336" s="16">
        <f>IF(B336,StartDate+D336,"")</f>
        <v/>
      </c>
      <c r="F336">
        <f>IF(B336,MAX(MOD(SIN(Seed*0.1373+C336*12.9898+D336*78.233)*43758.5453,1),1E-9),"")</f>
        <v/>
      </c>
      <c r="G336">
        <f>IF(B336,MOD(SIN(Seed*0.5917+C336*39.3468+D336*11.135)*24634.6345,1),"")</f>
        <v/>
      </c>
      <c r="H336">
        <f>IF(B336,SQRT(-2*LN(F336))*COS(2*PI()*G336),"")</f>
        <v/>
      </c>
      <c r="I336">
        <f>IF(B336,IF(D336=0,H336,Rho*I335+SQRT(1-Rho^2)*H336),"")</f>
        <v/>
      </c>
      <c r="J336">
        <f>IF(B336,IF(Dist="Normal",DistA+DistB*I336,DistA+(DistB-DistA)*NORMSDIST(I336)),"")</f>
        <v/>
      </c>
      <c r="K336">
        <f>IF(B336,INDEX(MineScale,C336),"")</f>
        <v/>
      </c>
      <c r="L336">
        <f>IF(B336,INDEX(Dow,1,WEEKDAY(E336,2)),"")</f>
        <v/>
      </c>
      <c r="M336">
        <f>IF(B336,(1+Trend)^D336,"")</f>
        <v/>
      </c>
      <c r="N336">
        <f>IF(B336,EXP(SUMPRODUCT(LN(1+(EvEff-1)*INDEX(Affected,0,C336)*EXP(-((E336-EvCenter)^2)/(2*EvSigma^2))))),"")</f>
        <v/>
      </c>
      <c r="O336">
        <f>IF(B336,ROUND(MAX(0,J336*K336*L336*M336*N336),2),"")</f>
        <v/>
      </c>
    </row>
    <row r="337">
      <c r="A337" t="n">
        <v>336</v>
      </c>
      <c r="B337">
        <f>A337&lt;=MineCount*Days</f>
        <v/>
      </c>
      <c r="C337">
        <f>IF(B337,INT((A337-1)/Days)+1,"")</f>
        <v/>
      </c>
      <c r="D337">
        <f>IF(B337,MOD(A337-1,Days),"")</f>
        <v/>
      </c>
      <c r="E337" s="16">
        <f>IF(B337,StartDate+D337,"")</f>
        <v/>
      </c>
      <c r="F337">
        <f>IF(B337,MAX(MOD(SIN(Seed*0.1373+C337*12.9898+D337*78.233)*43758.5453,1),1E-9),"")</f>
        <v/>
      </c>
      <c r="G337">
        <f>IF(B337,MOD(SIN(Seed*0.5917+C337*39.3468+D337*11.135)*24634.6345,1),"")</f>
        <v/>
      </c>
      <c r="H337">
        <f>IF(B337,SQRT(-2*LN(F337))*COS(2*PI()*G337),"")</f>
        <v/>
      </c>
      <c r="I337">
        <f>IF(B337,IF(D337=0,H337,Rho*I336+SQRT(1-Rho^2)*H337),"")</f>
        <v/>
      </c>
      <c r="J337">
        <f>IF(B337,IF(Dist="Normal",DistA+DistB*I337,DistA+(DistB-DistA)*NORMSDIST(I337)),"")</f>
        <v/>
      </c>
      <c r="K337">
        <f>IF(B337,INDEX(MineScale,C337),"")</f>
        <v/>
      </c>
      <c r="L337">
        <f>IF(B337,INDEX(Dow,1,WEEKDAY(E337,2)),"")</f>
        <v/>
      </c>
      <c r="M337">
        <f>IF(B337,(1+Trend)^D337,"")</f>
        <v/>
      </c>
      <c r="N337">
        <f>IF(B337,EXP(SUMPRODUCT(LN(1+(EvEff-1)*INDEX(Affected,0,C337)*EXP(-((E337-EvCenter)^2)/(2*EvSigma^2))))),"")</f>
        <v/>
      </c>
      <c r="O337">
        <f>IF(B337,ROUND(MAX(0,J337*K337*L337*M337*N337),2),"")</f>
        <v/>
      </c>
    </row>
    <row r="338">
      <c r="A338" t="n">
        <v>337</v>
      </c>
      <c r="B338">
        <f>A338&lt;=MineCount*Days</f>
        <v/>
      </c>
      <c r="C338">
        <f>IF(B338,INT((A338-1)/Days)+1,"")</f>
        <v/>
      </c>
      <c r="D338">
        <f>IF(B338,MOD(A338-1,Days),"")</f>
        <v/>
      </c>
      <c r="E338" s="16">
        <f>IF(B338,StartDate+D338,"")</f>
        <v/>
      </c>
      <c r="F338">
        <f>IF(B338,MAX(MOD(SIN(Seed*0.1373+C338*12.9898+D338*78.233)*43758.5453,1),1E-9),"")</f>
        <v/>
      </c>
      <c r="G338">
        <f>IF(B338,MOD(SIN(Seed*0.5917+C338*39.3468+D338*11.135)*24634.6345,1),"")</f>
        <v/>
      </c>
      <c r="H338">
        <f>IF(B338,SQRT(-2*LN(F338))*COS(2*PI()*G338),"")</f>
        <v/>
      </c>
      <c r="I338">
        <f>IF(B338,IF(D338=0,H338,Rho*I337+SQRT(1-Rho^2)*H338),"")</f>
        <v/>
      </c>
      <c r="J338">
        <f>IF(B338,IF(Dist="Normal",DistA+DistB*I338,DistA+(DistB-DistA)*NORMSDIST(I338)),"")</f>
        <v/>
      </c>
      <c r="K338">
        <f>IF(B338,INDEX(MineScale,C338),"")</f>
        <v/>
      </c>
      <c r="L338">
        <f>IF(B338,INDEX(Dow,1,WEEKDAY(E338,2)),"")</f>
        <v/>
      </c>
      <c r="M338">
        <f>IF(B338,(1+Trend)^D338,"")</f>
        <v/>
      </c>
      <c r="N338">
        <f>IF(B338,EXP(SUMPRODUCT(LN(1+(EvEff-1)*INDEX(Affected,0,C338)*EXP(-((E338-EvCenter)^2)/(2*EvSigma^2))))),"")</f>
        <v/>
      </c>
      <c r="O338">
        <f>IF(B338,ROUND(MAX(0,J338*K338*L338*M338*N338),2),"")</f>
        <v/>
      </c>
    </row>
    <row r="339">
      <c r="A339" t="n">
        <v>338</v>
      </c>
      <c r="B339">
        <f>A339&lt;=MineCount*Days</f>
        <v/>
      </c>
      <c r="C339">
        <f>IF(B339,INT((A339-1)/Days)+1,"")</f>
        <v/>
      </c>
      <c r="D339">
        <f>IF(B339,MOD(A339-1,Days),"")</f>
        <v/>
      </c>
      <c r="E339" s="16">
        <f>IF(B339,StartDate+D339,"")</f>
        <v/>
      </c>
      <c r="F339">
        <f>IF(B339,MAX(MOD(SIN(Seed*0.1373+C339*12.9898+D339*78.233)*43758.5453,1),1E-9),"")</f>
        <v/>
      </c>
      <c r="G339">
        <f>IF(B339,MOD(SIN(Seed*0.5917+C339*39.3468+D339*11.135)*24634.6345,1),"")</f>
        <v/>
      </c>
      <c r="H339">
        <f>IF(B339,SQRT(-2*LN(F339))*COS(2*PI()*G339),"")</f>
        <v/>
      </c>
      <c r="I339">
        <f>IF(B339,IF(D339=0,H339,Rho*I338+SQRT(1-Rho^2)*H339),"")</f>
        <v/>
      </c>
      <c r="J339">
        <f>IF(B339,IF(Dist="Normal",DistA+DistB*I339,DistA+(DistB-DistA)*NORMSDIST(I339)),"")</f>
        <v/>
      </c>
      <c r="K339">
        <f>IF(B339,INDEX(MineScale,C339),"")</f>
        <v/>
      </c>
      <c r="L339">
        <f>IF(B339,INDEX(Dow,1,WEEKDAY(E339,2)),"")</f>
        <v/>
      </c>
      <c r="M339">
        <f>IF(B339,(1+Trend)^D339,"")</f>
        <v/>
      </c>
      <c r="N339">
        <f>IF(B339,EXP(SUMPRODUCT(LN(1+(EvEff-1)*INDEX(Affected,0,C339)*EXP(-((E339-EvCenter)^2)/(2*EvSigma^2))))),"")</f>
        <v/>
      </c>
      <c r="O339">
        <f>IF(B339,ROUND(MAX(0,J339*K339*L339*M339*N339),2),"")</f>
        <v/>
      </c>
    </row>
    <row r="340">
      <c r="A340" t="n">
        <v>339</v>
      </c>
      <c r="B340">
        <f>A340&lt;=MineCount*Days</f>
        <v/>
      </c>
      <c r="C340">
        <f>IF(B340,INT((A340-1)/Days)+1,"")</f>
        <v/>
      </c>
      <c r="D340">
        <f>IF(B340,MOD(A340-1,Days),"")</f>
        <v/>
      </c>
      <c r="E340" s="16">
        <f>IF(B340,StartDate+D340,"")</f>
        <v/>
      </c>
      <c r="F340">
        <f>IF(B340,MAX(MOD(SIN(Seed*0.1373+C340*12.9898+D340*78.233)*43758.5453,1),1E-9),"")</f>
        <v/>
      </c>
      <c r="G340">
        <f>IF(B340,MOD(SIN(Seed*0.5917+C340*39.3468+D340*11.135)*24634.6345,1),"")</f>
        <v/>
      </c>
      <c r="H340">
        <f>IF(B340,SQRT(-2*LN(F340))*COS(2*PI()*G340),"")</f>
        <v/>
      </c>
      <c r="I340">
        <f>IF(B340,IF(D340=0,H340,Rho*I339+SQRT(1-Rho^2)*H340),"")</f>
        <v/>
      </c>
      <c r="J340">
        <f>IF(B340,IF(Dist="Normal",DistA+DistB*I340,DistA+(DistB-DistA)*NORMSDIST(I340)),"")</f>
        <v/>
      </c>
      <c r="K340">
        <f>IF(B340,INDEX(MineScale,C340),"")</f>
        <v/>
      </c>
      <c r="L340">
        <f>IF(B340,INDEX(Dow,1,WEEKDAY(E340,2)),"")</f>
        <v/>
      </c>
      <c r="M340">
        <f>IF(B340,(1+Trend)^D340,"")</f>
        <v/>
      </c>
      <c r="N340">
        <f>IF(B340,EXP(SUMPRODUCT(LN(1+(EvEff-1)*INDEX(Affected,0,C340)*EXP(-((E340-EvCenter)^2)/(2*EvSigma^2))))),"")</f>
        <v/>
      </c>
      <c r="O340">
        <f>IF(B340,ROUND(MAX(0,J340*K340*L340*M340*N340),2),"")</f>
        <v/>
      </c>
    </row>
    <row r="341">
      <c r="A341" t="n">
        <v>340</v>
      </c>
      <c r="B341">
        <f>A341&lt;=MineCount*Days</f>
        <v/>
      </c>
      <c r="C341">
        <f>IF(B341,INT((A341-1)/Days)+1,"")</f>
        <v/>
      </c>
      <c r="D341">
        <f>IF(B341,MOD(A341-1,Days),"")</f>
        <v/>
      </c>
      <c r="E341" s="16">
        <f>IF(B341,StartDate+D341,"")</f>
        <v/>
      </c>
      <c r="F341">
        <f>IF(B341,MAX(MOD(SIN(Seed*0.1373+C341*12.9898+D341*78.233)*43758.5453,1),1E-9),"")</f>
        <v/>
      </c>
      <c r="G341">
        <f>IF(B341,MOD(SIN(Seed*0.5917+C341*39.3468+D341*11.135)*24634.6345,1),"")</f>
        <v/>
      </c>
      <c r="H341">
        <f>IF(B341,SQRT(-2*LN(F341))*COS(2*PI()*G341),"")</f>
        <v/>
      </c>
      <c r="I341">
        <f>IF(B341,IF(D341=0,H341,Rho*I340+SQRT(1-Rho^2)*H341),"")</f>
        <v/>
      </c>
      <c r="J341">
        <f>IF(B341,IF(Dist="Normal",DistA+DistB*I341,DistA+(DistB-DistA)*NORMSDIST(I341)),"")</f>
        <v/>
      </c>
      <c r="K341">
        <f>IF(B341,INDEX(MineScale,C341),"")</f>
        <v/>
      </c>
      <c r="L341">
        <f>IF(B341,INDEX(Dow,1,WEEKDAY(E341,2)),"")</f>
        <v/>
      </c>
      <c r="M341">
        <f>IF(B341,(1+Trend)^D341,"")</f>
        <v/>
      </c>
      <c r="N341">
        <f>IF(B341,EXP(SUMPRODUCT(LN(1+(EvEff-1)*INDEX(Affected,0,C341)*EXP(-((E341-EvCenter)^2)/(2*EvSigma^2))))),"")</f>
        <v/>
      </c>
      <c r="O341">
        <f>IF(B341,ROUND(MAX(0,J341*K341*L341*M341*N341),2),"")</f>
        <v/>
      </c>
    </row>
    <row r="342">
      <c r="A342" t="n">
        <v>341</v>
      </c>
      <c r="B342">
        <f>A342&lt;=MineCount*Days</f>
        <v/>
      </c>
      <c r="C342">
        <f>IF(B342,INT((A342-1)/Days)+1,"")</f>
        <v/>
      </c>
      <c r="D342">
        <f>IF(B342,MOD(A342-1,Days),"")</f>
        <v/>
      </c>
      <c r="E342" s="16">
        <f>IF(B342,StartDate+D342,"")</f>
        <v/>
      </c>
      <c r="F342">
        <f>IF(B342,MAX(MOD(SIN(Seed*0.1373+C342*12.9898+D342*78.233)*43758.5453,1),1E-9),"")</f>
        <v/>
      </c>
      <c r="G342">
        <f>IF(B342,MOD(SIN(Seed*0.5917+C342*39.3468+D342*11.135)*24634.6345,1),"")</f>
        <v/>
      </c>
      <c r="H342">
        <f>IF(B342,SQRT(-2*LN(F342))*COS(2*PI()*G342),"")</f>
        <v/>
      </c>
      <c r="I342">
        <f>IF(B342,IF(D342=0,H342,Rho*I341+SQRT(1-Rho^2)*H342),"")</f>
        <v/>
      </c>
      <c r="J342">
        <f>IF(B342,IF(Dist="Normal",DistA+DistB*I342,DistA+(DistB-DistA)*NORMSDIST(I342)),"")</f>
        <v/>
      </c>
      <c r="K342">
        <f>IF(B342,INDEX(MineScale,C342),"")</f>
        <v/>
      </c>
      <c r="L342">
        <f>IF(B342,INDEX(Dow,1,WEEKDAY(E342,2)),"")</f>
        <v/>
      </c>
      <c r="M342">
        <f>IF(B342,(1+Trend)^D342,"")</f>
        <v/>
      </c>
      <c r="N342">
        <f>IF(B342,EXP(SUMPRODUCT(LN(1+(EvEff-1)*INDEX(Affected,0,C342)*EXP(-((E342-EvCenter)^2)/(2*EvSigma^2))))),"")</f>
        <v/>
      </c>
      <c r="O342">
        <f>IF(B342,ROUND(MAX(0,J342*K342*L342*M342*N342),2),"")</f>
        <v/>
      </c>
    </row>
    <row r="343">
      <c r="A343" t="n">
        <v>342</v>
      </c>
      <c r="B343">
        <f>A343&lt;=MineCount*Days</f>
        <v/>
      </c>
      <c r="C343">
        <f>IF(B343,INT((A343-1)/Days)+1,"")</f>
        <v/>
      </c>
      <c r="D343">
        <f>IF(B343,MOD(A343-1,Days),"")</f>
        <v/>
      </c>
      <c r="E343" s="16">
        <f>IF(B343,StartDate+D343,"")</f>
        <v/>
      </c>
      <c r="F343">
        <f>IF(B343,MAX(MOD(SIN(Seed*0.1373+C343*12.9898+D343*78.233)*43758.5453,1),1E-9),"")</f>
        <v/>
      </c>
      <c r="G343">
        <f>IF(B343,MOD(SIN(Seed*0.5917+C343*39.3468+D343*11.135)*24634.6345,1),"")</f>
        <v/>
      </c>
      <c r="H343">
        <f>IF(B343,SQRT(-2*LN(F343))*COS(2*PI()*G343),"")</f>
        <v/>
      </c>
      <c r="I343">
        <f>IF(B343,IF(D343=0,H343,Rho*I342+SQRT(1-Rho^2)*H343),"")</f>
        <v/>
      </c>
      <c r="J343">
        <f>IF(B343,IF(Dist="Normal",DistA+DistB*I343,DistA+(DistB-DistA)*NORMSDIST(I343)),"")</f>
        <v/>
      </c>
      <c r="K343">
        <f>IF(B343,INDEX(MineScale,C343),"")</f>
        <v/>
      </c>
      <c r="L343">
        <f>IF(B343,INDEX(Dow,1,WEEKDAY(E343,2)),"")</f>
        <v/>
      </c>
      <c r="M343">
        <f>IF(B343,(1+Trend)^D343,"")</f>
        <v/>
      </c>
      <c r="N343">
        <f>IF(B343,EXP(SUMPRODUCT(LN(1+(EvEff-1)*INDEX(Affected,0,C343)*EXP(-((E343-EvCenter)^2)/(2*EvSigma^2))))),"")</f>
        <v/>
      </c>
      <c r="O343">
        <f>IF(B343,ROUND(MAX(0,J343*K343*L343*M343*N343),2),"")</f>
        <v/>
      </c>
    </row>
    <row r="344">
      <c r="A344" t="n">
        <v>343</v>
      </c>
      <c r="B344">
        <f>A344&lt;=MineCount*Days</f>
        <v/>
      </c>
      <c r="C344">
        <f>IF(B344,INT((A344-1)/Days)+1,"")</f>
        <v/>
      </c>
      <c r="D344">
        <f>IF(B344,MOD(A344-1,Days),"")</f>
        <v/>
      </c>
      <c r="E344" s="16">
        <f>IF(B344,StartDate+D344,"")</f>
        <v/>
      </c>
      <c r="F344">
        <f>IF(B344,MAX(MOD(SIN(Seed*0.1373+C344*12.9898+D344*78.233)*43758.5453,1),1E-9),"")</f>
        <v/>
      </c>
      <c r="G344">
        <f>IF(B344,MOD(SIN(Seed*0.5917+C344*39.3468+D344*11.135)*24634.6345,1),"")</f>
        <v/>
      </c>
      <c r="H344">
        <f>IF(B344,SQRT(-2*LN(F344))*COS(2*PI()*G344),"")</f>
        <v/>
      </c>
      <c r="I344">
        <f>IF(B344,IF(D344=0,H344,Rho*I343+SQRT(1-Rho^2)*H344),"")</f>
        <v/>
      </c>
      <c r="J344">
        <f>IF(B344,IF(Dist="Normal",DistA+DistB*I344,DistA+(DistB-DistA)*NORMSDIST(I344)),"")</f>
        <v/>
      </c>
      <c r="K344">
        <f>IF(B344,INDEX(MineScale,C344),"")</f>
        <v/>
      </c>
      <c r="L344">
        <f>IF(B344,INDEX(Dow,1,WEEKDAY(E344,2)),"")</f>
        <v/>
      </c>
      <c r="M344">
        <f>IF(B344,(1+Trend)^D344,"")</f>
        <v/>
      </c>
      <c r="N344">
        <f>IF(B344,EXP(SUMPRODUCT(LN(1+(EvEff-1)*INDEX(Affected,0,C344)*EXP(-((E344-EvCenter)^2)/(2*EvSigma^2))))),"")</f>
        <v/>
      </c>
      <c r="O344">
        <f>IF(B344,ROUND(MAX(0,J344*K344*L344*M344*N344),2),"")</f>
        <v/>
      </c>
    </row>
    <row r="345">
      <c r="A345" t="n">
        <v>344</v>
      </c>
      <c r="B345">
        <f>A345&lt;=MineCount*Days</f>
        <v/>
      </c>
      <c r="C345">
        <f>IF(B345,INT((A345-1)/Days)+1,"")</f>
        <v/>
      </c>
      <c r="D345">
        <f>IF(B345,MOD(A345-1,Days),"")</f>
        <v/>
      </c>
      <c r="E345" s="16">
        <f>IF(B345,StartDate+D345,"")</f>
        <v/>
      </c>
      <c r="F345">
        <f>IF(B345,MAX(MOD(SIN(Seed*0.1373+C345*12.9898+D345*78.233)*43758.5453,1),1E-9),"")</f>
        <v/>
      </c>
      <c r="G345">
        <f>IF(B345,MOD(SIN(Seed*0.5917+C345*39.3468+D345*11.135)*24634.6345,1),"")</f>
        <v/>
      </c>
      <c r="H345">
        <f>IF(B345,SQRT(-2*LN(F345))*COS(2*PI()*G345),"")</f>
        <v/>
      </c>
      <c r="I345">
        <f>IF(B345,IF(D345=0,H345,Rho*I344+SQRT(1-Rho^2)*H345),"")</f>
        <v/>
      </c>
      <c r="J345">
        <f>IF(B345,IF(Dist="Normal",DistA+DistB*I345,DistA+(DistB-DistA)*NORMSDIST(I345)),"")</f>
        <v/>
      </c>
      <c r="K345">
        <f>IF(B345,INDEX(MineScale,C345),"")</f>
        <v/>
      </c>
      <c r="L345">
        <f>IF(B345,INDEX(Dow,1,WEEKDAY(E345,2)),"")</f>
        <v/>
      </c>
      <c r="M345">
        <f>IF(B345,(1+Trend)^D345,"")</f>
        <v/>
      </c>
      <c r="N345">
        <f>IF(B345,EXP(SUMPRODUCT(LN(1+(EvEff-1)*INDEX(Affected,0,C345)*EXP(-((E345-EvCenter)^2)/(2*EvSigma^2))))),"")</f>
        <v/>
      </c>
      <c r="O345">
        <f>IF(B345,ROUND(MAX(0,J345*K345*L345*M345*N345),2),"")</f>
        <v/>
      </c>
    </row>
    <row r="346">
      <c r="A346" t="n">
        <v>345</v>
      </c>
      <c r="B346">
        <f>A346&lt;=MineCount*Days</f>
        <v/>
      </c>
      <c r="C346">
        <f>IF(B346,INT((A346-1)/Days)+1,"")</f>
        <v/>
      </c>
      <c r="D346">
        <f>IF(B346,MOD(A346-1,Days),"")</f>
        <v/>
      </c>
      <c r="E346" s="16">
        <f>IF(B346,StartDate+D346,"")</f>
        <v/>
      </c>
      <c r="F346">
        <f>IF(B346,MAX(MOD(SIN(Seed*0.1373+C346*12.9898+D346*78.233)*43758.5453,1),1E-9),"")</f>
        <v/>
      </c>
      <c r="G346">
        <f>IF(B346,MOD(SIN(Seed*0.5917+C346*39.3468+D346*11.135)*24634.6345,1),"")</f>
        <v/>
      </c>
      <c r="H346">
        <f>IF(B346,SQRT(-2*LN(F346))*COS(2*PI()*G346),"")</f>
        <v/>
      </c>
      <c r="I346">
        <f>IF(B346,IF(D346=0,H346,Rho*I345+SQRT(1-Rho^2)*H346),"")</f>
        <v/>
      </c>
      <c r="J346">
        <f>IF(B346,IF(Dist="Normal",DistA+DistB*I346,DistA+(DistB-DistA)*NORMSDIST(I346)),"")</f>
        <v/>
      </c>
      <c r="K346">
        <f>IF(B346,INDEX(MineScale,C346),"")</f>
        <v/>
      </c>
      <c r="L346">
        <f>IF(B346,INDEX(Dow,1,WEEKDAY(E346,2)),"")</f>
        <v/>
      </c>
      <c r="M346">
        <f>IF(B346,(1+Trend)^D346,"")</f>
        <v/>
      </c>
      <c r="N346">
        <f>IF(B346,EXP(SUMPRODUCT(LN(1+(EvEff-1)*INDEX(Affected,0,C346)*EXP(-((E346-EvCenter)^2)/(2*EvSigma^2))))),"")</f>
        <v/>
      </c>
      <c r="O346">
        <f>IF(B346,ROUND(MAX(0,J346*K346*L346*M346*N346),2),"")</f>
        <v/>
      </c>
    </row>
    <row r="347">
      <c r="A347" t="n">
        <v>346</v>
      </c>
      <c r="B347">
        <f>A347&lt;=MineCount*Days</f>
        <v/>
      </c>
      <c r="C347">
        <f>IF(B347,INT((A347-1)/Days)+1,"")</f>
        <v/>
      </c>
      <c r="D347">
        <f>IF(B347,MOD(A347-1,Days),"")</f>
        <v/>
      </c>
      <c r="E347" s="16">
        <f>IF(B347,StartDate+D347,"")</f>
        <v/>
      </c>
      <c r="F347">
        <f>IF(B347,MAX(MOD(SIN(Seed*0.1373+C347*12.9898+D347*78.233)*43758.5453,1),1E-9),"")</f>
        <v/>
      </c>
      <c r="G347">
        <f>IF(B347,MOD(SIN(Seed*0.5917+C347*39.3468+D347*11.135)*24634.6345,1),"")</f>
        <v/>
      </c>
      <c r="H347">
        <f>IF(B347,SQRT(-2*LN(F347))*COS(2*PI()*G347),"")</f>
        <v/>
      </c>
      <c r="I347">
        <f>IF(B347,IF(D347=0,H347,Rho*I346+SQRT(1-Rho^2)*H347),"")</f>
        <v/>
      </c>
      <c r="J347">
        <f>IF(B347,IF(Dist="Normal",DistA+DistB*I347,DistA+(DistB-DistA)*NORMSDIST(I347)),"")</f>
        <v/>
      </c>
      <c r="K347">
        <f>IF(B347,INDEX(MineScale,C347),"")</f>
        <v/>
      </c>
      <c r="L347">
        <f>IF(B347,INDEX(Dow,1,WEEKDAY(E347,2)),"")</f>
        <v/>
      </c>
      <c r="M347">
        <f>IF(B347,(1+Trend)^D347,"")</f>
        <v/>
      </c>
      <c r="N347">
        <f>IF(B347,EXP(SUMPRODUCT(LN(1+(EvEff-1)*INDEX(Affected,0,C347)*EXP(-((E347-EvCenter)^2)/(2*EvSigma^2))))),"")</f>
        <v/>
      </c>
      <c r="O347">
        <f>IF(B347,ROUND(MAX(0,J347*K347*L347*M347*N347),2),"")</f>
        <v/>
      </c>
    </row>
    <row r="348">
      <c r="A348" t="n">
        <v>347</v>
      </c>
      <c r="B348">
        <f>A348&lt;=MineCount*Days</f>
        <v/>
      </c>
      <c r="C348">
        <f>IF(B348,INT((A348-1)/Days)+1,"")</f>
        <v/>
      </c>
      <c r="D348">
        <f>IF(B348,MOD(A348-1,Days),"")</f>
        <v/>
      </c>
      <c r="E348" s="16">
        <f>IF(B348,StartDate+D348,"")</f>
        <v/>
      </c>
      <c r="F348">
        <f>IF(B348,MAX(MOD(SIN(Seed*0.1373+C348*12.9898+D348*78.233)*43758.5453,1),1E-9),"")</f>
        <v/>
      </c>
      <c r="G348">
        <f>IF(B348,MOD(SIN(Seed*0.5917+C348*39.3468+D348*11.135)*24634.6345,1),"")</f>
        <v/>
      </c>
      <c r="H348">
        <f>IF(B348,SQRT(-2*LN(F348))*COS(2*PI()*G348),"")</f>
        <v/>
      </c>
      <c r="I348">
        <f>IF(B348,IF(D348=0,H348,Rho*I347+SQRT(1-Rho^2)*H348),"")</f>
        <v/>
      </c>
      <c r="J348">
        <f>IF(B348,IF(Dist="Normal",DistA+DistB*I348,DistA+(DistB-DistA)*NORMSDIST(I348)),"")</f>
        <v/>
      </c>
      <c r="K348">
        <f>IF(B348,INDEX(MineScale,C348),"")</f>
        <v/>
      </c>
      <c r="L348">
        <f>IF(B348,INDEX(Dow,1,WEEKDAY(E348,2)),"")</f>
        <v/>
      </c>
      <c r="M348">
        <f>IF(B348,(1+Trend)^D348,"")</f>
        <v/>
      </c>
      <c r="N348">
        <f>IF(B348,EXP(SUMPRODUCT(LN(1+(EvEff-1)*INDEX(Affected,0,C348)*EXP(-((E348-EvCenter)^2)/(2*EvSigma^2))))),"")</f>
        <v/>
      </c>
      <c r="O348">
        <f>IF(B348,ROUND(MAX(0,J348*K348*L348*M348*N348),2),"")</f>
        <v/>
      </c>
    </row>
    <row r="349">
      <c r="A349" t="n">
        <v>348</v>
      </c>
      <c r="B349">
        <f>A349&lt;=MineCount*Days</f>
        <v/>
      </c>
      <c r="C349">
        <f>IF(B349,INT((A349-1)/Days)+1,"")</f>
        <v/>
      </c>
      <c r="D349">
        <f>IF(B349,MOD(A349-1,Days),"")</f>
        <v/>
      </c>
      <c r="E349" s="16">
        <f>IF(B349,StartDate+D349,"")</f>
        <v/>
      </c>
      <c r="F349">
        <f>IF(B349,MAX(MOD(SIN(Seed*0.1373+C349*12.9898+D349*78.233)*43758.5453,1),1E-9),"")</f>
        <v/>
      </c>
      <c r="G349">
        <f>IF(B349,MOD(SIN(Seed*0.5917+C349*39.3468+D349*11.135)*24634.6345,1),"")</f>
        <v/>
      </c>
      <c r="H349">
        <f>IF(B349,SQRT(-2*LN(F349))*COS(2*PI()*G349),"")</f>
        <v/>
      </c>
      <c r="I349">
        <f>IF(B349,IF(D349=0,H349,Rho*I348+SQRT(1-Rho^2)*H349),"")</f>
        <v/>
      </c>
      <c r="J349">
        <f>IF(B349,IF(Dist="Normal",DistA+DistB*I349,DistA+(DistB-DistA)*NORMSDIST(I349)),"")</f>
        <v/>
      </c>
      <c r="K349">
        <f>IF(B349,INDEX(MineScale,C349),"")</f>
        <v/>
      </c>
      <c r="L349">
        <f>IF(B349,INDEX(Dow,1,WEEKDAY(E349,2)),"")</f>
        <v/>
      </c>
      <c r="M349">
        <f>IF(B349,(1+Trend)^D349,"")</f>
        <v/>
      </c>
      <c r="N349">
        <f>IF(B349,EXP(SUMPRODUCT(LN(1+(EvEff-1)*INDEX(Affected,0,C349)*EXP(-((E349-EvCenter)^2)/(2*EvSigma^2))))),"")</f>
        <v/>
      </c>
      <c r="O349">
        <f>IF(B349,ROUND(MAX(0,J349*K349*L349*M349*N349),2),"")</f>
        <v/>
      </c>
    </row>
    <row r="350">
      <c r="A350" t="n">
        <v>349</v>
      </c>
      <c r="B350">
        <f>A350&lt;=MineCount*Days</f>
        <v/>
      </c>
      <c r="C350">
        <f>IF(B350,INT((A350-1)/Days)+1,"")</f>
        <v/>
      </c>
      <c r="D350">
        <f>IF(B350,MOD(A350-1,Days),"")</f>
        <v/>
      </c>
      <c r="E350" s="16">
        <f>IF(B350,StartDate+D350,"")</f>
        <v/>
      </c>
      <c r="F350">
        <f>IF(B350,MAX(MOD(SIN(Seed*0.1373+C350*12.9898+D350*78.233)*43758.5453,1),1E-9),"")</f>
        <v/>
      </c>
      <c r="G350">
        <f>IF(B350,MOD(SIN(Seed*0.5917+C350*39.3468+D350*11.135)*24634.6345,1),"")</f>
        <v/>
      </c>
      <c r="H350">
        <f>IF(B350,SQRT(-2*LN(F350))*COS(2*PI()*G350),"")</f>
        <v/>
      </c>
      <c r="I350">
        <f>IF(B350,IF(D350=0,H350,Rho*I349+SQRT(1-Rho^2)*H350),"")</f>
        <v/>
      </c>
      <c r="J350">
        <f>IF(B350,IF(Dist="Normal",DistA+DistB*I350,DistA+(DistB-DistA)*NORMSDIST(I350)),"")</f>
        <v/>
      </c>
      <c r="K350">
        <f>IF(B350,INDEX(MineScale,C350),"")</f>
        <v/>
      </c>
      <c r="L350">
        <f>IF(B350,INDEX(Dow,1,WEEKDAY(E350,2)),"")</f>
        <v/>
      </c>
      <c r="M350">
        <f>IF(B350,(1+Trend)^D350,"")</f>
        <v/>
      </c>
      <c r="N350">
        <f>IF(B350,EXP(SUMPRODUCT(LN(1+(EvEff-1)*INDEX(Affected,0,C350)*EXP(-((E350-EvCenter)^2)/(2*EvSigma^2))))),"")</f>
        <v/>
      </c>
      <c r="O350">
        <f>IF(B350,ROUND(MAX(0,J350*K350*L350*M350*N350),2),"")</f>
        <v/>
      </c>
    </row>
    <row r="351">
      <c r="A351" t="n">
        <v>350</v>
      </c>
      <c r="B351">
        <f>A351&lt;=MineCount*Days</f>
        <v/>
      </c>
      <c r="C351">
        <f>IF(B351,INT((A351-1)/Days)+1,"")</f>
        <v/>
      </c>
      <c r="D351">
        <f>IF(B351,MOD(A351-1,Days),"")</f>
        <v/>
      </c>
      <c r="E351" s="16">
        <f>IF(B351,StartDate+D351,"")</f>
        <v/>
      </c>
      <c r="F351">
        <f>IF(B351,MAX(MOD(SIN(Seed*0.1373+C351*12.9898+D351*78.233)*43758.5453,1),1E-9),"")</f>
        <v/>
      </c>
      <c r="G351">
        <f>IF(B351,MOD(SIN(Seed*0.5917+C351*39.3468+D351*11.135)*24634.6345,1),"")</f>
        <v/>
      </c>
      <c r="H351">
        <f>IF(B351,SQRT(-2*LN(F351))*COS(2*PI()*G351),"")</f>
        <v/>
      </c>
      <c r="I351">
        <f>IF(B351,IF(D351=0,H351,Rho*I350+SQRT(1-Rho^2)*H351),"")</f>
        <v/>
      </c>
      <c r="J351">
        <f>IF(B351,IF(Dist="Normal",DistA+DistB*I351,DistA+(DistB-DistA)*NORMSDIST(I351)),"")</f>
        <v/>
      </c>
      <c r="K351">
        <f>IF(B351,INDEX(MineScale,C351),"")</f>
        <v/>
      </c>
      <c r="L351">
        <f>IF(B351,INDEX(Dow,1,WEEKDAY(E351,2)),"")</f>
        <v/>
      </c>
      <c r="M351">
        <f>IF(B351,(1+Trend)^D351,"")</f>
        <v/>
      </c>
      <c r="N351">
        <f>IF(B351,EXP(SUMPRODUCT(LN(1+(EvEff-1)*INDEX(Affected,0,C351)*EXP(-((E351-EvCenter)^2)/(2*EvSigma^2))))),"")</f>
        <v/>
      </c>
      <c r="O351">
        <f>IF(B351,ROUND(MAX(0,J351*K351*L351*M351*N351),2),"")</f>
        <v/>
      </c>
    </row>
    <row r="352">
      <c r="A352" t="n">
        <v>351</v>
      </c>
      <c r="B352">
        <f>A352&lt;=MineCount*Days</f>
        <v/>
      </c>
      <c r="C352">
        <f>IF(B352,INT((A352-1)/Days)+1,"")</f>
        <v/>
      </c>
      <c r="D352">
        <f>IF(B352,MOD(A352-1,Days),"")</f>
        <v/>
      </c>
      <c r="E352" s="16">
        <f>IF(B352,StartDate+D352,"")</f>
        <v/>
      </c>
      <c r="F352">
        <f>IF(B352,MAX(MOD(SIN(Seed*0.1373+C352*12.9898+D352*78.233)*43758.5453,1),1E-9),"")</f>
        <v/>
      </c>
      <c r="G352">
        <f>IF(B352,MOD(SIN(Seed*0.5917+C352*39.3468+D352*11.135)*24634.6345,1),"")</f>
        <v/>
      </c>
      <c r="H352">
        <f>IF(B352,SQRT(-2*LN(F352))*COS(2*PI()*G352),"")</f>
        <v/>
      </c>
      <c r="I352">
        <f>IF(B352,IF(D352=0,H352,Rho*I351+SQRT(1-Rho^2)*H352),"")</f>
        <v/>
      </c>
      <c r="J352">
        <f>IF(B352,IF(Dist="Normal",DistA+DistB*I352,DistA+(DistB-DistA)*NORMSDIST(I352)),"")</f>
        <v/>
      </c>
      <c r="K352">
        <f>IF(B352,INDEX(MineScale,C352),"")</f>
        <v/>
      </c>
      <c r="L352">
        <f>IF(B352,INDEX(Dow,1,WEEKDAY(E352,2)),"")</f>
        <v/>
      </c>
      <c r="M352">
        <f>IF(B352,(1+Trend)^D352,"")</f>
        <v/>
      </c>
      <c r="N352">
        <f>IF(B352,EXP(SUMPRODUCT(LN(1+(EvEff-1)*INDEX(Affected,0,C352)*EXP(-((E352-EvCenter)^2)/(2*EvSigma^2))))),"")</f>
        <v/>
      </c>
      <c r="O352">
        <f>IF(B352,ROUND(MAX(0,J352*K352*L352*M352*N352),2),"")</f>
        <v/>
      </c>
    </row>
    <row r="353">
      <c r="A353" t="n">
        <v>352</v>
      </c>
      <c r="B353">
        <f>A353&lt;=MineCount*Days</f>
        <v/>
      </c>
      <c r="C353">
        <f>IF(B353,INT((A353-1)/Days)+1,"")</f>
        <v/>
      </c>
      <c r="D353">
        <f>IF(B353,MOD(A353-1,Days),"")</f>
        <v/>
      </c>
      <c r="E353" s="16">
        <f>IF(B353,StartDate+D353,"")</f>
        <v/>
      </c>
      <c r="F353">
        <f>IF(B353,MAX(MOD(SIN(Seed*0.1373+C353*12.9898+D353*78.233)*43758.5453,1),1E-9),"")</f>
        <v/>
      </c>
      <c r="G353">
        <f>IF(B353,MOD(SIN(Seed*0.5917+C353*39.3468+D353*11.135)*24634.6345,1),"")</f>
        <v/>
      </c>
      <c r="H353">
        <f>IF(B353,SQRT(-2*LN(F353))*COS(2*PI()*G353),"")</f>
        <v/>
      </c>
      <c r="I353">
        <f>IF(B353,IF(D353=0,H353,Rho*I352+SQRT(1-Rho^2)*H353),"")</f>
        <v/>
      </c>
      <c r="J353">
        <f>IF(B353,IF(Dist="Normal",DistA+DistB*I353,DistA+(DistB-DistA)*NORMSDIST(I353)),"")</f>
        <v/>
      </c>
      <c r="K353">
        <f>IF(B353,INDEX(MineScale,C353),"")</f>
        <v/>
      </c>
      <c r="L353">
        <f>IF(B353,INDEX(Dow,1,WEEKDAY(E353,2)),"")</f>
        <v/>
      </c>
      <c r="M353">
        <f>IF(B353,(1+Trend)^D353,"")</f>
        <v/>
      </c>
      <c r="N353">
        <f>IF(B353,EXP(SUMPRODUCT(LN(1+(EvEff-1)*INDEX(Affected,0,C353)*EXP(-((E353-EvCenter)^2)/(2*EvSigma^2))))),"")</f>
        <v/>
      </c>
      <c r="O353">
        <f>IF(B353,ROUND(MAX(0,J353*K353*L353*M353*N353),2),"")</f>
        <v/>
      </c>
    </row>
    <row r="354">
      <c r="A354" t="n">
        <v>353</v>
      </c>
      <c r="B354">
        <f>A354&lt;=MineCount*Days</f>
        <v/>
      </c>
      <c r="C354">
        <f>IF(B354,INT((A354-1)/Days)+1,"")</f>
        <v/>
      </c>
      <c r="D354">
        <f>IF(B354,MOD(A354-1,Days),"")</f>
        <v/>
      </c>
      <c r="E354" s="16">
        <f>IF(B354,StartDate+D354,"")</f>
        <v/>
      </c>
      <c r="F354">
        <f>IF(B354,MAX(MOD(SIN(Seed*0.1373+C354*12.9898+D354*78.233)*43758.5453,1),1E-9),"")</f>
        <v/>
      </c>
      <c r="G354">
        <f>IF(B354,MOD(SIN(Seed*0.5917+C354*39.3468+D354*11.135)*24634.6345,1),"")</f>
        <v/>
      </c>
      <c r="H354">
        <f>IF(B354,SQRT(-2*LN(F354))*COS(2*PI()*G354),"")</f>
        <v/>
      </c>
      <c r="I354">
        <f>IF(B354,IF(D354=0,H354,Rho*I353+SQRT(1-Rho^2)*H354),"")</f>
        <v/>
      </c>
      <c r="J354">
        <f>IF(B354,IF(Dist="Normal",DistA+DistB*I354,DistA+(DistB-DistA)*NORMSDIST(I354)),"")</f>
        <v/>
      </c>
      <c r="K354">
        <f>IF(B354,INDEX(MineScale,C354),"")</f>
        <v/>
      </c>
      <c r="L354">
        <f>IF(B354,INDEX(Dow,1,WEEKDAY(E354,2)),"")</f>
        <v/>
      </c>
      <c r="M354">
        <f>IF(B354,(1+Trend)^D354,"")</f>
        <v/>
      </c>
      <c r="N354">
        <f>IF(B354,EXP(SUMPRODUCT(LN(1+(EvEff-1)*INDEX(Affected,0,C354)*EXP(-((E354-EvCenter)^2)/(2*EvSigma^2))))),"")</f>
        <v/>
      </c>
      <c r="O354">
        <f>IF(B354,ROUND(MAX(0,J354*K354*L354*M354*N354),2),"")</f>
        <v/>
      </c>
    </row>
    <row r="355">
      <c r="A355" t="n">
        <v>354</v>
      </c>
      <c r="B355">
        <f>A355&lt;=MineCount*Days</f>
        <v/>
      </c>
      <c r="C355">
        <f>IF(B355,INT((A355-1)/Days)+1,"")</f>
        <v/>
      </c>
      <c r="D355">
        <f>IF(B355,MOD(A355-1,Days),"")</f>
        <v/>
      </c>
      <c r="E355" s="16">
        <f>IF(B355,StartDate+D355,"")</f>
        <v/>
      </c>
      <c r="F355">
        <f>IF(B355,MAX(MOD(SIN(Seed*0.1373+C355*12.9898+D355*78.233)*43758.5453,1),1E-9),"")</f>
        <v/>
      </c>
      <c r="G355">
        <f>IF(B355,MOD(SIN(Seed*0.5917+C355*39.3468+D355*11.135)*24634.6345,1),"")</f>
        <v/>
      </c>
      <c r="H355">
        <f>IF(B355,SQRT(-2*LN(F355))*COS(2*PI()*G355),"")</f>
        <v/>
      </c>
      <c r="I355">
        <f>IF(B355,IF(D355=0,H355,Rho*I354+SQRT(1-Rho^2)*H355),"")</f>
        <v/>
      </c>
      <c r="J355">
        <f>IF(B355,IF(Dist="Normal",DistA+DistB*I355,DistA+(DistB-DistA)*NORMSDIST(I355)),"")</f>
        <v/>
      </c>
      <c r="K355">
        <f>IF(B355,INDEX(MineScale,C355),"")</f>
        <v/>
      </c>
      <c r="L355">
        <f>IF(B355,INDEX(Dow,1,WEEKDAY(E355,2)),"")</f>
        <v/>
      </c>
      <c r="M355">
        <f>IF(B355,(1+Trend)^D355,"")</f>
        <v/>
      </c>
      <c r="N355">
        <f>IF(B355,EXP(SUMPRODUCT(LN(1+(EvEff-1)*INDEX(Affected,0,C355)*EXP(-((E355-EvCenter)^2)/(2*EvSigma^2))))),"")</f>
        <v/>
      </c>
      <c r="O355">
        <f>IF(B355,ROUND(MAX(0,J355*K355*L355*M355*N355),2),"")</f>
        <v/>
      </c>
    </row>
    <row r="356">
      <c r="A356" t="n">
        <v>355</v>
      </c>
      <c r="B356">
        <f>A356&lt;=MineCount*Days</f>
        <v/>
      </c>
      <c r="C356">
        <f>IF(B356,INT((A356-1)/Days)+1,"")</f>
        <v/>
      </c>
      <c r="D356">
        <f>IF(B356,MOD(A356-1,Days),"")</f>
        <v/>
      </c>
      <c r="E356" s="16">
        <f>IF(B356,StartDate+D356,"")</f>
        <v/>
      </c>
      <c r="F356">
        <f>IF(B356,MAX(MOD(SIN(Seed*0.1373+C356*12.9898+D356*78.233)*43758.5453,1),1E-9),"")</f>
        <v/>
      </c>
      <c r="G356">
        <f>IF(B356,MOD(SIN(Seed*0.5917+C356*39.3468+D356*11.135)*24634.6345,1),"")</f>
        <v/>
      </c>
      <c r="H356">
        <f>IF(B356,SQRT(-2*LN(F356))*COS(2*PI()*G356),"")</f>
        <v/>
      </c>
      <c r="I356">
        <f>IF(B356,IF(D356=0,H356,Rho*I355+SQRT(1-Rho^2)*H356),"")</f>
        <v/>
      </c>
      <c r="J356">
        <f>IF(B356,IF(Dist="Normal",DistA+DistB*I356,DistA+(DistB-DistA)*NORMSDIST(I356)),"")</f>
        <v/>
      </c>
      <c r="K356">
        <f>IF(B356,INDEX(MineScale,C356),"")</f>
        <v/>
      </c>
      <c r="L356">
        <f>IF(B356,INDEX(Dow,1,WEEKDAY(E356,2)),"")</f>
        <v/>
      </c>
      <c r="M356">
        <f>IF(B356,(1+Trend)^D356,"")</f>
        <v/>
      </c>
      <c r="N356">
        <f>IF(B356,EXP(SUMPRODUCT(LN(1+(EvEff-1)*INDEX(Affected,0,C356)*EXP(-((E356-EvCenter)^2)/(2*EvSigma^2))))),"")</f>
        <v/>
      </c>
      <c r="O356">
        <f>IF(B356,ROUND(MAX(0,J356*K356*L356*M356*N356),2),"")</f>
        <v/>
      </c>
    </row>
    <row r="357">
      <c r="A357" t="n">
        <v>356</v>
      </c>
      <c r="B357">
        <f>A357&lt;=MineCount*Days</f>
        <v/>
      </c>
      <c r="C357">
        <f>IF(B357,INT((A357-1)/Days)+1,"")</f>
        <v/>
      </c>
      <c r="D357">
        <f>IF(B357,MOD(A357-1,Days),"")</f>
        <v/>
      </c>
      <c r="E357" s="16">
        <f>IF(B357,StartDate+D357,"")</f>
        <v/>
      </c>
      <c r="F357">
        <f>IF(B357,MAX(MOD(SIN(Seed*0.1373+C357*12.9898+D357*78.233)*43758.5453,1),1E-9),"")</f>
        <v/>
      </c>
      <c r="G357">
        <f>IF(B357,MOD(SIN(Seed*0.5917+C357*39.3468+D357*11.135)*24634.6345,1),"")</f>
        <v/>
      </c>
      <c r="H357">
        <f>IF(B357,SQRT(-2*LN(F357))*COS(2*PI()*G357),"")</f>
        <v/>
      </c>
      <c r="I357">
        <f>IF(B357,IF(D357=0,H357,Rho*I356+SQRT(1-Rho^2)*H357),"")</f>
        <v/>
      </c>
      <c r="J357">
        <f>IF(B357,IF(Dist="Normal",DistA+DistB*I357,DistA+(DistB-DistA)*NORMSDIST(I357)),"")</f>
        <v/>
      </c>
      <c r="K357">
        <f>IF(B357,INDEX(MineScale,C357),"")</f>
        <v/>
      </c>
      <c r="L357">
        <f>IF(B357,INDEX(Dow,1,WEEKDAY(E357,2)),"")</f>
        <v/>
      </c>
      <c r="M357">
        <f>IF(B357,(1+Trend)^D357,"")</f>
        <v/>
      </c>
      <c r="N357">
        <f>IF(B357,EXP(SUMPRODUCT(LN(1+(EvEff-1)*INDEX(Affected,0,C357)*EXP(-((E357-EvCenter)^2)/(2*EvSigma^2))))),"")</f>
        <v/>
      </c>
      <c r="O357">
        <f>IF(B357,ROUND(MAX(0,J357*K357*L357*M357*N357),2),"")</f>
        <v/>
      </c>
    </row>
    <row r="358">
      <c r="A358" t="n">
        <v>357</v>
      </c>
      <c r="B358">
        <f>A358&lt;=MineCount*Days</f>
        <v/>
      </c>
      <c r="C358">
        <f>IF(B358,INT((A358-1)/Days)+1,"")</f>
        <v/>
      </c>
      <c r="D358">
        <f>IF(B358,MOD(A358-1,Days),"")</f>
        <v/>
      </c>
      <c r="E358" s="16">
        <f>IF(B358,StartDate+D358,"")</f>
        <v/>
      </c>
      <c r="F358">
        <f>IF(B358,MAX(MOD(SIN(Seed*0.1373+C358*12.9898+D358*78.233)*43758.5453,1),1E-9),"")</f>
        <v/>
      </c>
      <c r="G358">
        <f>IF(B358,MOD(SIN(Seed*0.5917+C358*39.3468+D358*11.135)*24634.6345,1),"")</f>
        <v/>
      </c>
      <c r="H358">
        <f>IF(B358,SQRT(-2*LN(F358))*COS(2*PI()*G358),"")</f>
        <v/>
      </c>
      <c r="I358">
        <f>IF(B358,IF(D358=0,H358,Rho*I357+SQRT(1-Rho^2)*H358),"")</f>
        <v/>
      </c>
      <c r="J358">
        <f>IF(B358,IF(Dist="Normal",DistA+DistB*I358,DistA+(DistB-DistA)*NORMSDIST(I358)),"")</f>
        <v/>
      </c>
      <c r="K358">
        <f>IF(B358,INDEX(MineScale,C358),"")</f>
        <v/>
      </c>
      <c r="L358">
        <f>IF(B358,INDEX(Dow,1,WEEKDAY(E358,2)),"")</f>
        <v/>
      </c>
      <c r="M358">
        <f>IF(B358,(1+Trend)^D358,"")</f>
        <v/>
      </c>
      <c r="N358">
        <f>IF(B358,EXP(SUMPRODUCT(LN(1+(EvEff-1)*INDEX(Affected,0,C358)*EXP(-((E358-EvCenter)^2)/(2*EvSigma^2))))),"")</f>
        <v/>
      </c>
      <c r="O358">
        <f>IF(B358,ROUND(MAX(0,J358*K358*L358*M358*N358),2),"")</f>
        <v/>
      </c>
    </row>
    <row r="359">
      <c r="A359" t="n">
        <v>358</v>
      </c>
      <c r="B359">
        <f>A359&lt;=MineCount*Days</f>
        <v/>
      </c>
      <c r="C359">
        <f>IF(B359,INT((A359-1)/Days)+1,"")</f>
        <v/>
      </c>
      <c r="D359">
        <f>IF(B359,MOD(A359-1,Days),"")</f>
        <v/>
      </c>
      <c r="E359" s="16">
        <f>IF(B359,StartDate+D359,"")</f>
        <v/>
      </c>
      <c r="F359">
        <f>IF(B359,MAX(MOD(SIN(Seed*0.1373+C359*12.9898+D359*78.233)*43758.5453,1),1E-9),"")</f>
        <v/>
      </c>
      <c r="G359">
        <f>IF(B359,MOD(SIN(Seed*0.5917+C359*39.3468+D359*11.135)*24634.6345,1),"")</f>
        <v/>
      </c>
      <c r="H359">
        <f>IF(B359,SQRT(-2*LN(F359))*COS(2*PI()*G359),"")</f>
        <v/>
      </c>
      <c r="I359">
        <f>IF(B359,IF(D359=0,H359,Rho*I358+SQRT(1-Rho^2)*H359),"")</f>
        <v/>
      </c>
      <c r="J359">
        <f>IF(B359,IF(Dist="Normal",DistA+DistB*I359,DistA+(DistB-DistA)*NORMSDIST(I359)),"")</f>
        <v/>
      </c>
      <c r="K359">
        <f>IF(B359,INDEX(MineScale,C359),"")</f>
        <v/>
      </c>
      <c r="L359">
        <f>IF(B359,INDEX(Dow,1,WEEKDAY(E359,2)),"")</f>
        <v/>
      </c>
      <c r="M359">
        <f>IF(B359,(1+Trend)^D359,"")</f>
        <v/>
      </c>
      <c r="N359">
        <f>IF(B359,EXP(SUMPRODUCT(LN(1+(EvEff-1)*INDEX(Affected,0,C359)*EXP(-((E359-EvCenter)^2)/(2*EvSigma^2))))),"")</f>
        <v/>
      </c>
      <c r="O359">
        <f>IF(B359,ROUND(MAX(0,J359*K359*L359*M359*N359),2),"")</f>
        <v/>
      </c>
    </row>
    <row r="360">
      <c r="A360" t="n">
        <v>359</v>
      </c>
      <c r="B360">
        <f>A360&lt;=MineCount*Days</f>
        <v/>
      </c>
      <c r="C360">
        <f>IF(B360,INT((A360-1)/Days)+1,"")</f>
        <v/>
      </c>
      <c r="D360">
        <f>IF(B360,MOD(A360-1,Days),"")</f>
        <v/>
      </c>
      <c r="E360" s="16">
        <f>IF(B360,StartDate+D360,"")</f>
        <v/>
      </c>
      <c r="F360">
        <f>IF(B360,MAX(MOD(SIN(Seed*0.1373+C360*12.9898+D360*78.233)*43758.5453,1),1E-9),"")</f>
        <v/>
      </c>
      <c r="G360">
        <f>IF(B360,MOD(SIN(Seed*0.5917+C360*39.3468+D360*11.135)*24634.6345,1),"")</f>
        <v/>
      </c>
      <c r="H360">
        <f>IF(B360,SQRT(-2*LN(F360))*COS(2*PI()*G360),"")</f>
        <v/>
      </c>
      <c r="I360">
        <f>IF(B360,IF(D360=0,H360,Rho*I359+SQRT(1-Rho^2)*H360),"")</f>
        <v/>
      </c>
      <c r="J360">
        <f>IF(B360,IF(Dist="Normal",DistA+DistB*I360,DistA+(DistB-DistA)*NORMSDIST(I360)),"")</f>
        <v/>
      </c>
      <c r="K360">
        <f>IF(B360,INDEX(MineScale,C360),"")</f>
        <v/>
      </c>
      <c r="L360">
        <f>IF(B360,INDEX(Dow,1,WEEKDAY(E360,2)),"")</f>
        <v/>
      </c>
      <c r="M360">
        <f>IF(B360,(1+Trend)^D360,"")</f>
        <v/>
      </c>
      <c r="N360">
        <f>IF(B360,EXP(SUMPRODUCT(LN(1+(EvEff-1)*INDEX(Affected,0,C360)*EXP(-((E360-EvCenter)^2)/(2*EvSigma^2))))),"")</f>
        <v/>
      </c>
      <c r="O360">
        <f>IF(B360,ROUND(MAX(0,J360*K360*L360*M360*N360),2),"")</f>
        <v/>
      </c>
    </row>
    <row r="361">
      <c r="A361" t="n">
        <v>360</v>
      </c>
      <c r="B361">
        <f>A361&lt;=MineCount*Days</f>
        <v/>
      </c>
      <c r="C361">
        <f>IF(B361,INT((A361-1)/Days)+1,"")</f>
        <v/>
      </c>
      <c r="D361">
        <f>IF(B361,MOD(A361-1,Days),"")</f>
        <v/>
      </c>
      <c r="E361" s="16">
        <f>IF(B361,StartDate+D361,"")</f>
        <v/>
      </c>
      <c r="F361">
        <f>IF(B361,MAX(MOD(SIN(Seed*0.1373+C361*12.9898+D361*78.233)*43758.5453,1),1E-9),"")</f>
        <v/>
      </c>
      <c r="G361">
        <f>IF(B361,MOD(SIN(Seed*0.5917+C361*39.3468+D361*11.135)*24634.6345,1),"")</f>
        <v/>
      </c>
      <c r="H361">
        <f>IF(B361,SQRT(-2*LN(F361))*COS(2*PI()*G361),"")</f>
        <v/>
      </c>
      <c r="I361">
        <f>IF(B361,IF(D361=0,H361,Rho*I360+SQRT(1-Rho^2)*H361),"")</f>
        <v/>
      </c>
      <c r="J361">
        <f>IF(B361,IF(Dist="Normal",DistA+DistB*I361,DistA+(DistB-DistA)*NORMSDIST(I361)),"")</f>
        <v/>
      </c>
      <c r="K361">
        <f>IF(B361,INDEX(MineScale,C361),"")</f>
        <v/>
      </c>
      <c r="L361">
        <f>IF(B361,INDEX(Dow,1,WEEKDAY(E361,2)),"")</f>
        <v/>
      </c>
      <c r="M361">
        <f>IF(B361,(1+Trend)^D361,"")</f>
        <v/>
      </c>
      <c r="N361">
        <f>IF(B361,EXP(SUMPRODUCT(LN(1+(EvEff-1)*INDEX(Affected,0,C361)*EXP(-((E361-EvCenter)^2)/(2*EvSigma^2))))),"")</f>
        <v/>
      </c>
      <c r="O361">
        <f>IF(B361,ROUND(MAX(0,J361*K361*L361*M361*N361),2),"")</f>
        <v/>
      </c>
    </row>
    <row r="362">
      <c r="A362" t="n">
        <v>361</v>
      </c>
      <c r="B362">
        <f>A362&lt;=MineCount*Days</f>
        <v/>
      </c>
      <c r="C362">
        <f>IF(B362,INT((A362-1)/Days)+1,"")</f>
        <v/>
      </c>
      <c r="D362">
        <f>IF(B362,MOD(A362-1,Days),"")</f>
        <v/>
      </c>
      <c r="E362" s="16">
        <f>IF(B362,StartDate+D362,"")</f>
        <v/>
      </c>
      <c r="F362">
        <f>IF(B362,MAX(MOD(SIN(Seed*0.1373+C362*12.9898+D362*78.233)*43758.5453,1),1E-9),"")</f>
        <v/>
      </c>
      <c r="G362">
        <f>IF(B362,MOD(SIN(Seed*0.5917+C362*39.3468+D362*11.135)*24634.6345,1),"")</f>
        <v/>
      </c>
      <c r="H362">
        <f>IF(B362,SQRT(-2*LN(F362))*COS(2*PI()*G362),"")</f>
        <v/>
      </c>
      <c r="I362">
        <f>IF(B362,IF(D362=0,H362,Rho*I361+SQRT(1-Rho^2)*H362),"")</f>
        <v/>
      </c>
      <c r="J362">
        <f>IF(B362,IF(Dist="Normal",DistA+DistB*I362,DistA+(DistB-DistA)*NORMSDIST(I362)),"")</f>
        <v/>
      </c>
      <c r="K362">
        <f>IF(B362,INDEX(MineScale,C362),"")</f>
        <v/>
      </c>
      <c r="L362">
        <f>IF(B362,INDEX(Dow,1,WEEKDAY(E362,2)),"")</f>
        <v/>
      </c>
      <c r="M362">
        <f>IF(B362,(1+Trend)^D362,"")</f>
        <v/>
      </c>
      <c r="N362">
        <f>IF(B362,EXP(SUMPRODUCT(LN(1+(EvEff-1)*INDEX(Affected,0,C362)*EXP(-((E362-EvCenter)^2)/(2*EvSigma^2))))),"")</f>
        <v/>
      </c>
      <c r="O362">
        <f>IF(B362,ROUND(MAX(0,J362*K362*L362*M362*N362),2),"")</f>
        <v/>
      </c>
    </row>
    <row r="363">
      <c r="A363" t="n">
        <v>362</v>
      </c>
      <c r="B363">
        <f>A363&lt;=MineCount*Days</f>
        <v/>
      </c>
      <c r="C363">
        <f>IF(B363,INT((A363-1)/Days)+1,"")</f>
        <v/>
      </c>
      <c r="D363">
        <f>IF(B363,MOD(A363-1,Days),"")</f>
        <v/>
      </c>
      <c r="E363" s="16">
        <f>IF(B363,StartDate+D363,"")</f>
        <v/>
      </c>
      <c r="F363">
        <f>IF(B363,MAX(MOD(SIN(Seed*0.1373+C363*12.9898+D363*78.233)*43758.5453,1),1E-9),"")</f>
        <v/>
      </c>
      <c r="G363">
        <f>IF(B363,MOD(SIN(Seed*0.5917+C363*39.3468+D363*11.135)*24634.6345,1),"")</f>
        <v/>
      </c>
      <c r="H363">
        <f>IF(B363,SQRT(-2*LN(F363))*COS(2*PI()*G363),"")</f>
        <v/>
      </c>
      <c r="I363">
        <f>IF(B363,IF(D363=0,H363,Rho*I362+SQRT(1-Rho^2)*H363),"")</f>
        <v/>
      </c>
      <c r="J363">
        <f>IF(B363,IF(Dist="Normal",DistA+DistB*I363,DistA+(DistB-DistA)*NORMSDIST(I363)),"")</f>
        <v/>
      </c>
      <c r="K363">
        <f>IF(B363,INDEX(MineScale,C363),"")</f>
        <v/>
      </c>
      <c r="L363">
        <f>IF(B363,INDEX(Dow,1,WEEKDAY(E363,2)),"")</f>
        <v/>
      </c>
      <c r="M363">
        <f>IF(B363,(1+Trend)^D363,"")</f>
        <v/>
      </c>
      <c r="N363">
        <f>IF(B363,EXP(SUMPRODUCT(LN(1+(EvEff-1)*INDEX(Affected,0,C363)*EXP(-((E363-EvCenter)^2)/(2*EvSigma^2))))),"")</f>
        <v/>
      </c>
      <c r="O363">
        <f>IF(B363,ROUND(MAX(0,J363*K363*L363*M363*N363),2),"")</f>
        <v/>
      </c>
    </row>
    <row r="364">
      <c r="A364" t="n">
        <v>363</v>
      </c>
      <c r="B364">
        <f>A364&lt;=MineCount*Days</f>
        <v/>
      </c>
      <c r="C364">
        <f>IF(B364,INT((A364-1)/Days)+1,"")</f>
        <v/>
      </c>
      <c r="D364">
        <f>IF(B364,MOD(A364-1,Days),"")</f>
        <v/>
      </c>
      <c r="E364" s="16">
        <f>IF(B364,StartDate+D364,"")</f>
        <v/>
      </c>
      <c r="F364">
        <f>IF(B364,MAX(MOD(SIN(Seed*0.1373+C364*12.9898+D364*78.233)*43758.5453,1),1E-9),"")</f>
        <v/>
      </c>
      <c r="G364">
        <f>IF(B364,MOD(SIN(Seed*0.5917+C364*39.3468+D364*11.135)*24634.6345,1),"")</f>
        <v/>
      </c>
      <c r="H364">
        <f>IF(B364,SQRT(-2*LN(F364))*COS(2*PI()*G364),"")</f>
        <v/>
      </c>
      <c r="I364">
        <f>IF(B364,IF(D364=0,H364,Rho*I363+SQRT(1-Rho^2)*H364),"")</f>
        <v/>
      </c>
      <c r="J364">
        <f>IF(B364,IF(Dist="Normal",DistA+DistB*I364,DistA+(DistB-DistA)*NORMSDIST(I364)),"")</f>
        <v/>
      </c>
      <c r="K364">
        <f>IF(B364,INDEX(MineScale,C364),"")</f>
        <v/>
      </c>
      <c r="L364">
        <f>IF(B364,INDEX(Dow,1,WEEKDAY(E364,2)),"")</f>
        <v/>
      </c>
      <c r="M364">
        <f>IF(B364,(1+Trend)^D364,"")</f>
        <v/>
      </c>
      <c r="N364">
        <f>IF(B364,EXP(SUMPRODUCT(LN(1+(EvEff-1)*INDEX(Affected,0,C364)*EXP(-((E364-EvCenter)^2)/(2*EvSigma^2))))),"")</f>
        <v/>
      </c>
      <c r="O364">
        <f>IF(B364,ROUND(MAX(0,J364*K364*L364*M364*N364),2),"")</f>
        <v/>
      </c>
    </row>
    <row r="365">
      <c r="A365" t="n">
        <v>364</v>
      </c>
      <c r="B365">
        <f>A365&lt;=MineCount*Days</f>
        <v/>
      </c>
      <c r="C365">
        <f>IF(B365,INT((A365-1)/Days)+1,"")</f>
        <v/>
      </c>
      <c r="D365">
        <f>IF(B365,MOD(A365-1,Days),"")</f>
        <v/>
      </c>
      <c r="E365" s="16">
        <f>IF(B365,StartDate+D365,"")</f>
        <v/>
      </c>
      <c r="F365">
        <f>IF(B365,MAX(MOD(SIN(Seed*0.1373+C365*12.9898+D365*78.233)*43758.5453,1),1E-9),"")</f>
        <v/>
      </c>
      <c r="G365">
        <f>IF(B365,MOD(SIN(Seed*0.5917+C365*39.3468+D365*11.135)*24634.6345,1),"")</f>
        <v/>
      </c>
      <c r="H365">
        <f>IF(B365,SQRT(-2*LN(F365))*COS(2*PI()*G365),"")</f>
        <v/>
      </c>
      <c r="I365">
        <f>IF(B365,IF(D365=0,H365,Rho*I364+SQRT(1-Rho^2)*H365),"")</f>
        <v/>
      </c>
      <c r="J365">
        <f>IF(B365,IF(Dist="Normal",DistA+DistB*I365,DistA+(DistB-DistA)*NORMSDIST(I365)),"")</f>
        <v/>
      </c>
      <c r="K365">
        <f>IF(B365,INDEX(MineScale,C365),"")</f>
        <v/>
      </c>
      <c r="L365">
        <f>IF(B365,INDEX(Dow,1,WEEKDAY(E365,2)),"")</f>
        <v/>
      </c>
      <c r="M365">
        <f>IF(B365,(1+Trend)^D365,"")</f>
        <v/>
      </c>
      <c r="N365">
        <f>IF(B365,EXP(SUMPRODUCT(LN(1+(EvEff-1)*INDEX(Affected,0,C365)*EXP(-((E365-EvCenter)^2)/(2*EvSigma^2))))),"")</f>
        <v/>
      </c>
      <c r="O365">
        <f>IF(B365,ROUND(MAX(0,J365*K365*L365*M365*N365),2),"")</f>
        <v/>
      </c>
    </row>
    <row r="366">
      <c r="A366" t="n">
        <v>365</v>
      </c>
      <c r="B366">
        <f>A366&lt;=MineCount*Days</f>
        <v/>
      </c>
      <c r="C366">
        <f>IF(B366,INT((A366-1)/Days)+1,"")</f>
        <v/>
      </c>
      <c r="D366">
        <f>IF(B366,MOD(A366-1,Days),"")</f>
        <v/>
      </c>
      <c r="E366" s="16">
        <f>IF(B366,StartDate+D366,"")</f>
        <v/>
      </c>
      <c r="F366">
        <f>IF(B366,MAX(MOD(SIN(Seed*0.1373+C366*12.9898+D366*78.233)*43758.5453,1),1E-9),"")</f>
        <v/>
      </c>
      <c r="G366">
        <f>IF(B366,MOD(SIN(Seed*0.5917+C366*39.3468+D366*11.135)*24634.6345,1),"")</f>
        <v/>
      </c>
      <c r="H366">
        <f>IF(B366,SQRT(-2*LN(F366))*COS(2*PI()*G366),"")</f>
        <v/>
      </c>
      <c r="I366">
        <f>IF(B366,IF(D366=0,H366,Rho*I365+SQRT(1-Rho^2)*H366),"")</f>
        <v/>
      </c>
      <c r="J366">
        <f>IF(B366,IF(Dist="Normal",DistA+DistB*I366,DistA+(DistB-DistA)*NORMSDIST(I366)),"")</f>
        <v/>
      </c>
      <c r="K366">
        <f>IF(B366,INDEX(MineScale,C366),"")</f>
        <v/>
      </c>
      <c r="L366">
        <f>IF(B366,INDEX(Dow,1,WEEKDAY(E366,2)),"")</f>
        <v/>
      </c>
      <c r="M366">
        <f>IF(B366,(1+Trend)^D366,"")</f>
        <v/>
      </c>
      <c r="N366">
        <f>IF(B366,EXP(SUMPRODUCT(LN(1+(EvEff-1)*INDEX(Affected,0,C366)*EXP(-((E366-EvCenter)^2)/(2*EvSigma^2))))),"")</f>
        <v/>
      </c>
      <c r="O366">
        <f>IF(B366,ROUND(MAX(0,J366*K366*L366*M366*N366),2),"")</f>
        <v/>
      </c>
    </row>
    <row r="367">
      <c r="A367" t="n">
        <v>366</v>
      </c>
      <c r="B367">
        <f>A367&lt;=MineCount*Days</f>
        <v/>
      </c>
      <c r="C367">
        <f>IF(B367,INT((A367-1)/Days)+1,"")</f>
        <v/>
      </c>
      <c r="D367">
        <f>IF(B367,MOD(A367-1,Days),"")</f>
        <v/>
      </c>
      <c r="E367" s="16">
        <f>IF(B367,StartDate+D367,"")</f>
        <v/>
      </c>
      <c r="F367">
        <f>IF(B367,MAX(MOD(SIN(Seed*0.1373+C367*12.9898+D367*78.233)*43758.5453,1),1E-9),"")</f>
        <v/>
      </c>
      <c r="G367">
        <f>IF(B367,MOD(SIN(Seed*0.5917+C367*39.3468+D367*11.135)*24634.6345,1),"")</f>
        <v/>
      </c>
      <c r="H367">
        <f>IF(B367,SQRT(-2*LN(F367))*COS(2*PI()*G367),"")</f>
        <v/>
      </c>
      <c r="I367">
        <f>IF(B367,IF(D367=0,H367,Rho*I366+SQRT(1-Rho^2)*H367),"")</f>
        <v/>
      </c>
      <c r="J367">
        <f>IF(B367,IF(Dist="Normal",DistA+DistB*I367,DistA+(DistB-DistA)*NORMSDIST(I367)),"")</f>
        <v/>
      </c>
      <c r="K367">
        <f>IF(B367,INDEX(MineScale,C367),"")</f>
        <v/>
      </c>
      <c r="L367">
        <f>IF(B367,INDEX(Dow,1,WEEKDAY(E367,2)),"")</f>
        <v/>
      </c>
      <c r="M367">
        <f>IF(B367,(1+Trend)^D367,"")</f>
        <v/>
      </c>
      <c r="N367">
        <f>IF(B367,EXP(SUMPRODUCT(LN(1+(EvEff-1)*INDEX(Affected,0,C367)*EXP(-((E367-EvCenter)^2)/(2*EvSigma^2))))),"")</f>
        <v/>
      </c>
      <c r="O367">
        <f>IF(B367,ROUND(MAX(0,J367*K367*L367*M367*N367),2),"")</f>
        <v/>
      </c>
    </row>
    <row r="368">
      <c r="A368" t="n">
        <v>367</v>
      </c>
      <c r="B368">
        <f>A368&lt;=MineCount*Days</f>
        <v/>
      </c>
      <c r="C368">
        <f>IF(B368,INT((A368-1)/Days)+1,"")</f>
        <v/>
      </c>
      <c r="D368">
        <f>IF(B368,MOD(A368-1,Days),"")</f>
        <v/>
      </c>
      <c r="E368" s="16">
        <f>IF(B368,StartDate+D368,"")</f>
        <v/>
      </c>
      <c r="F368">
        <f>IF(B368,MAX(MOD(SIN(Seed*0.1373+C368*12.9898+D368*78.233)*43758.5453,1),1E-9),"")</f>
        <v/>
      </c>
      <c r="G368">
        <f>IF(B368,MOD(SIN(Seed*0.5917+C368*39.3468+D368*11.135)*24634.6345,1),"")</f>
        <v/>
      </c>
      <c r="H368">
        <f>IF(B368,SQRT(-2*LN(F368))*COS(2*PI()*G368),"")</f>
        <v/>
      </c>
      <c r="I368">
        <f>IF(B368,IF(D368=0,H368,Rho*I367+SQRT(1-Rho^2)*H368),"")</f>
        <v/>
      </c>
      <c r="J368">
        <f>IF(B368,IF(Dist="Normal",DistA+DistB*I368,DistA+(DistB-DistA)*NORMSDIST(I368)),"")</f>
        <v/>
      </c>
      <c r="K368">
        <f>IF(B368,INDEX(MineScale,C368),"")</f>
        <v/>
      </c>
      <c r="L368">
        <f>IF(B368,INDEX(Dow,1,WEEKDAY(E368,2)),"")</f>
        <v/>
      </c>
      <c r="M368">
        <f>IF(B368,(1+Trend)^D368,"")</f>
        <v/>
      </c>
      <c r="N368">
        <f>IF(B368,EXP(SUMPRODUCT(LN(1+(EvEff-1)*INDEX(Affected,0,C368)*EXP(-((E368-EvCenter)^2)/(2*EvSigma^2))))),"")</f>
        <v/>
      </c>
      <c r="O368">
        <f>IF(B368,ROUND(MAX(0,J368*K368*L368*M368*N368),2),"")</f>
        <v/>
      </c>
    </row>
    <row r="369">
      <c r="A369" t="n">
        <v>368</v>
      </c>
      <c r="B369">
        <f>A369&lt;=MineCount*Days</f>
        <v/>
      </c>
      <c r="C369">
        <f>IF(B369,INT((A369-1)/Days)+1,"")</f>
        <v/>
      </c>
      <c r="D369">
        <f>IF(B369,MOD(A369-1,Days),"")</f>
        <v/>
      </c>
      <c r="E369" s="16">
        <f>IF(B369,StartDate+D369,"")</f>
        <v/>
      </c>
      <c r="F369">
        <f>IF(B369,MAX(MOD(SIN(Seed*0.1373+C369*12.9898+D369*78.233)*43758.5453,1),1E-9),"")</f>
        <v/>
      </c>
      <c r="G369">
        <f>IF(B369,MOD(SIN(Seed*0.5917+C369*39.3468+D369*11.135)*24634.6345,1),"")</f>
        <v/>
      </c>
      <c r="H369">
        <f>IF(B369,SQRT(-2*LN(F369))*COS(2*PI()*G369),"")</f>
        <v/>
      </c>
      <c r="I369">
        <f>IF(B369,IF(D369=0,H369,Rho*I368+SQRT(1-Rho^2)*H369),"")</f>
        <v/>
      </c>
      <c r="J369">
        <f>IF(B369,IF(Dist="Normal",DistA+DistB*I369,DistA+(DistB-DistA)*NORMSDIST(I369)),"")</f>
        <v/>
      </c>
      <c r="K369">
        <f>IF(B369,INDEX(MineScale,C369),"")</f>
        <v/>
      </c>
      <c r="L369">
        <f>IF(B369,INDEX(Dow,1,WEEKDAY(E369,2)),"")</f>
        <v/>
      </c>
      <c r="M369">
        <f>IF(B369,(1+Trend)^D369,"")</f>
        <v/>
      </c>
      <c r="N369">
        <f>IF(B369,EXP(SUMPRODUCT(LN(1+(EvEff-1)*INDEX(Affected,0,C369)*EXP(-((E369-EvCenter)^2)/(2*EvSigma^2))))),"")</f>
        <v/>
      </c>
      <c r="O369">
        <f>IF(B369,ROUND(MAX(0,J369*K369*L369*M369*N369),2),"")</f>
        <v/>
      </c>
    </row>
    <row r="370">
      <c r="A370" t="n">
        <v>369</v>
      </c>
      <c r="B370">
        <f>A370&lt;=MineCount*Days</f>
        <v/>
      </c>
      <c r="C370">
        <f>IF(B370,INT((A370-1)/Days)+1,"")</f>
        <v/>
      </c>
      <c r="D370">
        <f>IF(B370,MOD(A370-1,Days),"")</f>
        <v/>
      </c>
      <c r="E370" s="16">
        <f>IF(B370,StartDate+D370,"")</f>
        <v/>
      </c>
      <c r="F370">
        <f>IF(B370,MAX(MOD(SIN(Seed*0.1373+C370*12.9898+D370*78.233)*43758.5453,1),1E-9),"")</f>
        <v/>
      </c>
      <c r="G370">
        <f>IF(B370,MOD(SIN(Seed*0.5917+C370*39.3468+D370*11.135)*24634.6345,1),"")</f>
        <v/>
      </c>
      <c r="H370">
        <f>IF(B370,SQRT(-2*LN(F370))*COS(2*PI()*G370),"")</f>
        <v/>
      </c>
      <c r="I370">
        <f>IF(B370,IF(D370=0,H370,Rho*I369+SQRT(1-Rho^2)*H370),"")</f>
        <v/>
      </c>
      <c r="J370">
        <f>IF(B370,IF(Dist="Normal",DistA+DistB*I370,DistA+(DistB-DistA)*NORMSDIST(I370)),"")</f>
        <v/>
      </c>
      <c r="K370">
        <f>IF(B370,INDEX(MineScale,C370),"")</f>
        <v/>
      </c>
      <c r="L370">
        <f>IF(B370,INDEX(Dow,1,WEEKDAY(E370,2)),"")</f>
        <v/>
      </c>
      <c r="M370">
        <f>IF(B370,(1+Trend)^D370,"")</f>
        <v/>
      </c>
      <c r="N370">
        <f>IF(B370,EXP(SUMPRODUCT(LN(1+(EvEff-1)*INDEX(Affected,0,C370)*EXP(-((E370-EvCenter)^2)/(2*EvSigma^2))))),"")</f>
        <v/>
      </c>
      <c r="O370">
        <f>IF(B370,ROUND(MAX(0,J370*K370*L370*M370*N370),2),"")</f>
        <v/>
      </c>
    </row>
    <row r="371">
      <c r="A371" t="n">
        <v>370</v>
      </c>
      <c r="B371">
        <f>A371&lt;=MineCount*Days</f>
        <v/>
      </c>
      <c r="C371">
        <f>IF(B371,INT((A371-1)/Days)+1,"")</f>
        <v/>
      </c>
      <c r="D371">
        <f>IF(B371,MOD(A371-1,Days),"")</f>
        <v/>
      </c>
      <c r="E371" s="16">
        <f>IF(B371,StartDate+D371,"")</f>
        <v/>
      </c>
      <c r="F371">
        <f>IF(B371,MAX(MOD(SIN(Seed*0.1373+C371*12.9898+D371*78.233)*43758.5453,1),1E-9),"")</f>
        <v/>
      </c>
      <c r="G371">
        <f>IF(B371,MOD(SIN(Seed*0.5917+C371*39.3468+D371*11.135)*24634.6345,1),"")</f>
        <v/>
      </c>
      <c r="H371">
        <f>IF(B371,SQRT(-2*LN(F371))*COS(2*PI()*G371),"")</f>
        <v/>
      </c>
      <c r="I371">
        <f>IF(B371,IF(D371=0,H371,Rho*I370+SQRT(1-Rho^2)*H371),"")</f>
        <v/>
      </c>
      <c r="J371">
        <f>IF(B371,IF(Dist="Normal",DistA+DistB*I371,DistA+(DistB-DistA)*NORMSDIST(I371)),"")</f>
        <v/>
      </c>
      <c r="K371">
        <f>IF(B371,INDEX(MineScale,C371),"")</f>
        <v/>
      </c>
      <c r="L371">
        <f>IF(B371,INDEX(Dow,1,WEEKDAY(E371,2)),"")</f>
        <v/>
      </c>
      <c r="M371">
        <f>IF(B371,(1+Trend)^D371,"")</f>
        <v/>
      </c>
      <c r="N371">
        <f>IF(B371,EXP(SUMPRODUCT(LN(1+(EvEff-1)*INDEX(Affected,0,C371)*EXP(-((E371-EvCenter)^2)/(2*EvSigma^2))))),"")</f>
        <v/>
      </c>
      <c r="O371">
        <f>IF(B371,ROUND(MAX(0,J371*K371*L371*M371*N371),2),"")</f>
        <v/>
      </c>
    </row>
    <row r="372">
      <c r="A372" t="n">
        <v>371</v>
      </c>
      <c r="B372">
        <f>A372&lt;=MineCount*Days</f>
        <v/>
      </c>
      <c r="C372">
        <f>IF(B372,INT((A372-1)/Days)+1,"")</f>
        <v/>
      </c>
      <c r="D372">
        <f>IF(B372,MOD(A372-1,Days),"")</f>
        <v/>
      </c>
      <c r="E372" s="16">
        <f>IF(B372,StartDate+D372,"")</f>
        <v/>
      </c>
      <c r="F372">
        <f>IF(B372,MAX(MOD(SIN(Seed*0.1373+C372*12.9898+D372*78.233)*43758.5453,1),1E-9),"")</f>
        <v/>
      </c>
      <c r="G372">
        <f>IF(B372,MOD(SIN(Seed*0.5917+C372*39.3468+D372*11.135)*24634.6345,1),"")</f>
        <v/>
      </c>
      <c r="H372">
        <f>IF(B372,SQRT(-2*LN(F372))*COS(2*PI()*G372),"")</f>
        <v/>
      </c>
      <c r="I372">
        <f>IF(B372,IF(D372=0,H372,Rho*I371+SQRT(1-Rho^2)*H372),"")</f>
        <v/>
      </c>
      <c r="J372">
        <f>IF(B372,IF(Dist="Normal",DistA+DistB*I372,DistA+(DistB-DistA)*NORMSDIST(I372)),"")</f>
        <v/>
      </c>
      <c r="K372">
        <f>IF(B372,INDEX(MineScale,C372),"")</f>
        <v/>
      </c>
      <c r="L372">
        <f>IF(B372,INDEX(Dow,1,WEEKDAY(E372,2)),"")</f>
        <v/>
      </c>
      <c r="M372">
        <f>IF(B372,(1+Trend)^D372,"")</f>
        <v/>
      </c>
      <c r="N372">
        <f>IF(B372,EXP(SUMPRODUCT(LN(1+(EvEff-1)*INDEX(Affected,0,C372)*EXP(-((E372-EvCenter)^2)/(2*EvSigma^2))))),"")</f>
        <v/>
      </c>
      <c r="O372">
        <f>IF(B372,ROUND(MAX(0,J372*K372*L372*M372*N372),2),"")</f>
        <v/>
      </c>
    </row>
    <row r="373">
      <c r="A373" t="n">
        <v>372</v>
      </c>
      <c r="B373">
        <f>A373&lt;=MineCount*Days</f>
        <v/>
      </c>
      <c r="C373">
        <f>IF(B373,INT((A373-1)/Days)+1,"")</f>
        <v/>
      </c>
      <c r="D373">
        <f>IF(B373,MOD(A373-1,Days),"")</f>
        <v/>
      </c>
      <c r="E373" s="16">
        <f>IF(B373,StartDate+D373,"")</f>
        <v/>
      </c>
      <c r="F373">
        <f>IF(B373,MAX(MOD(SIN(Seed*0.1373+C373*12.9898+D373*78.233)*43758.5453,1),1E-9),"")</f>
        <v/>
      </c>
      <c r="G373">
        <f>IF(B373,MOD(SIN(Seed*0.5917+C373*39.3468+D373*11.135)*24634.6345,1),"")</f>
        <v/>
      </c>
      <c r="H373">
        <f>IF(B373,SQRT(-2*LN(F373))*COS(2*PI()*G373),"")</f>
        <v/>
      </c>
      <c r="I373">
        <f>IF(B373,IF(D373=0,H373,Rho*I372+SQRT(1-Rho^2)*H373),"")</f>
        <v/>
      </c>
      <c r="J373">
        <f>IF(B373,IF(Dist="Normal",DistA+DistB*I373,DistA+(DistB-DistA)*NORMSDIST(I373)),"")</f>
        <v/>
      </c>
      <c r="K373">
        <f>IF(B373,INDEX(MineScale,C373),"")</f>
        <v/>
      </c>
      <c r="L373">
        <f>IF(B373,INDEX(Dow,1,WEEKDAY(E373,2)),"")</f>
        <v/>
      </c>
      <c r="M373">
        <f>IF(B373,(1+Trend)^D373,"")</f>
        <v/>
      </c>
      <c r="N373">
        <f>IF(B373,EXP(SUMPRODUCT(LN(1+(EvEff-1)*INDEX(Affected,0,C373)*EXP(-((E373-EvCenter)^2)/(2*EvSigma^2))))),"")</f>
        <v/>
      </c>
      <c r="O373">
        <f>IF(B373,ROUND(MAX(0,J373*K373*L373*M373*N373),2),"")</f>
        <v/>
      </c>
    </row>
    <row r="374">
      <c r="A374" t="n">
        <v>373</v>
      </c>
      <c r="B374">
        <f>A374&lt;=MineCount*Days</f>
        <v/>
      </c>
      <c r="C374">
        <f>IF(B374,INT((A374-1)/Days)+1,"")</f>
        <v/>
      </c>
      <c r="D374">
        <f>IF(B374,MOD(A374-1,Days),"")</f>
        <v/>
      </c>
      <c r="E374" s="16">
        <f>IF(B374,StartDate+D374,"")</f>
        <v/>
      </c>
      <c r="F374">
        <f>IF(B374,MAX(MOD(SIN(Seed*0.1373+C374*12.9898+D374*78.233)*43758.5453,1),1E-9),"")</f>
        <v/>
      </c>
      <c r="G374">
        <f>IF(B374,MOD(SIN(Seed*0.5917+C374*39.3468+D374*11.135)*24634.6345,1),"")</f>
        <v/>
      </c>
      <c r="H374">
        <f>IF(B374,SQRT(-2*LN(F374))*COS(2*PI()*G374),"")</f>
        <v/>
      </c>
      <c r="I374">
        <f>IF(B374,IF(D374=0,H374,Rho*I373+SQRT(1-Rho^2)*H374),"")</f>
        <v/>
      </c>
      <c r="J374">
        <f>IF(B374,IF(Dist="Normal",DistA+DistB*I374,DistA+(DistB-DistA)*NORMSDIST(I374)),"")</f>
        <v/>
      </c>
      <c r="K374">
        <f>IF(B374,INDEX(MineScale,C374),"")</f>
        <v/>
      </c>
      <c r="L374">
        <f>IF(B374,INDEX(Dow,1,WEEKDAY(E374,2)),"")</f>
        <v/>
      </c>
      <c r="M374">
        <f>IF(B374,(1+Trend)^D374,"")</f>
        <v/>
      </c>
      <c r="N374">
        <f>IF(B374,EXP(SUMPRODUCT(LN(1+(EvEff-1)*INDEX(Affected,0,C374)*EXP(-((E374-EvCenter)^2)/(2*EvSigma^2))))),"")</f>
        <v/>
      </c>
      <c r="O374">
        <f>IF(B374,ROUND(MAX(0,J374*K374*L374*M374*N374),2),"")</f>
        <v/>
      </c>
    </row>
    <row r="375">
      <c r="A375" t="n">
        <v>374</v>
      </c>
      <c r="B375">
        <f>A375&lt;=MineCount*Days</f>
        <v/>
      </c>
      <c r="C375">
        <f>IF(B375,INT((A375-1)/Days)+1,"")</f>
        <v/>
      </c>
      <c r="D375">
        <f>IF(B375,MOD(A375-1,Days),"")</f>
        <v/>
      </c>
      <c r="E375" s="16">
        <f>IF(B375,StartDate+D375,"")</f>
        <v/>
      </c>
      <c r="F375">
        <f>IF(B375,MAX(MOD(SIN(Seed*0.1373+C375*12.9898+D375*78.233)*43758.5453,1),1E-9),"")</f>
        <v/>
      </c>
      <c r="G375">
        <f>IF(B375,MOD(SIN(Seed*0.5917+C375*39.3468+D375*11.135)*24634.6345,1),"")</f>
        <v/>
      </c>
      <c r="H375">
        <f>IF(B375,SQRT(-2*LN(F375))*COS(2*PI()*G375),"")</f>
        <v/>
      </c>
      <c r="I375">
        <f>IF(B375,IF(D375=0,H375,Rho*I374+SQRT(1-Rho^2)*H375),"")</f>
        <v/>
      </c>
      <c r="J375">
        <f>IF(B375,IF(Dist="Normal",DistA+DistB*I375,DistA+(DistB-DistA)*NORMSDIST(I375)),"")</f>
        <v/>
      </c>
      <c r="K375">
        <f>IF(B375,INDEX(MineScale,C375),"")</f>
        <v/>
      </c>
      <c r="L375">
        <f>IF(B375,INDEX(Dow,1,WEEKDAY(E375,2)),"")</f>
        <v/>
      </c>
      <c r="M375">
        <f>IF(B375,(1+Trend)^D375,"")</f>
        <v/>
      </c>
      <c r="N375">
        <f>IF(B375,EXP(SUMPRODUCT(LN(1+(EvEff-1)*INDEX(Affected,0,C375)*EXP(-((E375-EvCenter)^2)/(2*EvSigma^2))))),"")</f>
        <v/>
      </c>
      <c r="O375">
        <f>IF(B375,ROUND(MAX(0,J375*K375*L375*M375*N375),2),"")</f>
        <v/>
      </c>
    </row>
    <row r="376">
      <c r="A376" t="n">
        <v>375</v>
      </c>
      <c r="B376">
        <f>A376&lt;=MineCount*Days</f>
        <v/>
      </c>
      <c r="C376">
        <f>IF(B376,INT((A376-1)/Days)+1,"")</f>
        <v/>
      </c>
      <c r="D376">
        <f>IF(B376,MOD(A376-1,Days),"")</f>
        <v/>
      </c>
      <c r="E376" s="16">
        <f>IF(B376,StartDate+D376,"")</f>
        <v/>
      </c>
      <c r="F376">
        <f>IF(B376,MAX(MOD(SIN(Seed*0.1373+C376*12.9898+D376*78.233)*43758.5453,1),1E-9),"")</f>
        <v/>
      </c>
      <c r="G376">
        <f>IF(B376,MOD(SIN(Seed*0.5917+C376*39.3468+D376*11.135)*24634.6345,1),"")</f>
        <v/>
      </c>
      <c r="H376">
        <f>IF(B376,SQRT(-2*LN(F376))*COS(2*PI()*G376),"")</f>
        <v/>
      </c>
      <c r="I376">
        <f>IF(B376,IF(D376=0,H376,Rho*I375+SQRT(1-Rho^2)*H376),"")</f>
        <v/>
      </c>
      <c r="J376">
        <f>IF(B376,IF(Dist="Normal",DistA+DistB*I376,DistA+(DistB-DistA)*NORMSDIST(I376)),"")</f>
        <v/>
      </c>
      <c r="K376">
        <f>IF(B376,INDEX(MineScale,C376),"")</f>
        <v/>
      </c>
      <c r="L376">
        <f>IF(B376,INDEX(Dow,1,WEEKDAY(E376,2)),"")</f>
        <v/>
      </c>
      <c r="M376">
        <f>IF(B376,(1+Trend)^D376,"")</f>
        <v/>
      </c>
      <c r="N376">
        <f>IF(B376,EXP(SUMPRODUCT(LN(1+(EvEff-1)*INDEX(Affected,0,C376)*EXP(-((E376-EvCenter)^2)/(2*EvSigma^2))))),"")</f>
        <v/>
      </c>
      <c r="O376">
        <f>IF(B376,ROUND(MAX(0,J376*K376*L376*M376*N376),2),"")</f>
        <v/>
      </c>
    </row>
    <row r="377">
      <c r="A377" t="n">
        <v>376</v>
      </c>
      <c r="B377">
        <f>A377&lt;=MineCount*Days</f>
        <v/>
      </c>
      <c r="C377">
        <f>IF(B377,INT((A377-1)/Days)+1,"")</f>
        <v/>
      </c>
      <c r="D377">
        <f>IF(B377,MOD(A377-1,Days),"")</f>
        <v/>
      </c>
      <c r="E377" s="16">
        <f>IF(B377,StartDate+D377,"")</f>
        <v/>
      </c>
      <c r="F377">
        <f>IF(B377,MAX(MOD(SIN(Seed*0.1373+C377*12.9898+D377*78.233)*43758.5453,1),1E-9),"")</f>
        <v/>
      </c>
      <c r="G377">
        <f>IF(B377,MOD(SIN(Seed*0.5917+C377*39.3468+D377*11.135)*24634.6345,1),"")</f>
        <v/>
      </c>
      <c r="H377">
        <f>IF(B377,SQRT(-2*LN(F377))*COS(2*PI()*G377),"")</f>
        <v/>
      </c>
      <c r="I377">
        <f>IF(B377,IF(D377=0,H377,Rho*I376+SQRT(1-Rho^2)*H377),"")</f>
        <v/>
      </c>
      <c r="J377">
        <f>IF(B377,IF(Dist="Normal",DistA+DistB*I377,DistA+(DistB-DistA)*NORMSDIST(I377)),"")</f>
        <v/>
      </c>
      <c r="K377">
        <f>IF(B377,INDEX(MineScale,C377),"")</f>
        <v/>
      </c>
      <c r="L377">
        <f>IF(B377,INDEX(Dow,1,WEEKDAY(E377,2)),"")</f>
        <v/>
      </c>
      <c r="M377">
        <f>IF(B377,(1+Trend)^D377,"")</f>
        <v/>
      </c>
      <c r="N377">
        <f>IF(B377,EXP(SUMPRODUCT(LN(1+(EvEff-1)*INDEX(Affected,0,C377)*EXP(-((E377-EvCenter)^2)/(2*EvSigma^2))))),"")</f>
        <v/>
      </c>
      <c r="O377">
        <f>IF(B377,ROUND(MAX(0,J377*K377*L377*M377*N377),2),"")</f>
        <v/>
      </c>
    </row>
    <row r="378">
      <c r="A378" t="n">
        <v>377</v>
      </c>
      <c r="B378">
        <f>A378&lt;=MineCount*Days</f>
        <v/>
      </c>
      <c r="C378">
        <f>IF(B378,INT((A378-1)/Days)+1,"")</f>
        <v/>
      </c>
      <c r="D378">
        <f>IF(B378,MOD(A378-1,Days),"")</f>
        <v/>
      </c>
      <c r="E378" s="16">
        <f>IF(B378,StartDate+D378,"")</f>
        <v/>
      </c>
      <c r="F378">
        <f>IF(B378,MAX(MOD(SIN(Seed*0.1373+C378*12.9898+D378*78.233)*43758.5453,1),1E-9),"")</f>
        <v/>
      </c>
      <c r="G378">
        <f>IF(B378,MOD(SIN(Seed*0.5917+C378*39.3468+D378*11.135)*24634.6345,1),"")</f>
        <v/>
      </c>
      <c r="H378">
        <f>IF(B378,SQRT(-2*LN(F378))*COS(2*PI()*G378),"")</f>
        <v/>
      </c>
      <c r="I378">
        <f>IF(B378,IF(D378=0,H378,Rho*I377+SQRT(1-Rho^2)*H378),"")</f>
        <v/>
      </c>
      <c r="J378">
        <f>IF(B378,IF(Dist="Normal",DistA+DistB*I378,DistA+(DistB-DistA)*NORMSDIST(I378)),"")</f>
        <v/>
      </c>
      <c r="K378">
        <f>IF(B378,INDEX(MineScale,C378),"")</f>
        <v/>
      </c>
      <c r="L378">
        <f>IF(B378,INDEX(Dow,1,WEEKDAY(E378,2)),"")</f>
        <v/>
      </c>
      <c r="M378">
        <f>IF(B378,(1+Trend)^D378,"")</f>
        <v/>
      </c>
      <c r="N378">
        <f>IF(B378,EXP(SUMPRODUCT(LN(1+(EvEff-1)*INDEX(Affected,0,C378)*EXP(-((E378-EvCenter)^2)/(2*EvSigma^2))))),"")</f>
        <v/>
      </c>
      <c r="O378">
        <f>IF(B378,ROUND(MAX(0,J378*K378*L378*M378*N378),2),"")</f>
        <v/>
      </c>
    </row>
    <row r="379">
      <c r="A379" t="n">
        <v>378</v>
      </c>
      <c r="B379">
        <f>A379&lt;=MineCount*Days</f>
        <v/>
      </c>
      <c r="C379">
        <f>IF(B379,INT((A379-1)/Days)+1,"")</f>
        <v/>
      </c>
      <c r="D379">
        <f>IF(B379,MOD(A379-1,Days),"")</f>
        <v/>
      </c>
      <c r="E379" s="16">
        <f>IF(B379,StartDate+D379,"")</f>
        <v/>
      </c>
      <c r="F379">
        <f>IF(B379,MAX(MOD(SIN(Seed*0.1373+C379*12.9898+D379*78.233)*43758.5453,1),1E-9),"")</f>
        <v/>
      </c>
      <c r="G379">
        <f>IF(B379,MOD(SIN(Seed*0.5917+C379*39.3468+D379*11.135)*24634.6345,1),"")</f>
        <v/>
      </c>
      <c r="H379">
        <f>IF(B379,SQRT(-2*LN(F379))*COS(2*PI()*G379),"")</f>
        <v/>
      </c>
      <c r="I379">
        <f>IF(B379,IF(D379=0,H379,Rho*I378+SQRT(1-Rho^2)*H379),"")</f>
        <v/>
      </c>
      <c r="J379">
        <f>IF(B379,IF(Dist="Normal",DistA+DistB*I379,DistA+(DistB-DistA)*NORMSDIST(I379)),"")</f>
        <v/>
      </c>
      <c r="K379">
        <f>IF(B379,INDEX(MineScale,C379),"")</f>
        <v/>
      </c>
      <c r="L379">
        <f>IF(B379,INDEX(Dow,1,WEEKDAY(E379,2)),"")</f>
        <v/>
      </c>
      <c r="M379">
        <f>IF(B379,(1+Trend)^D379,"")</f>
        <v/>
      </c>
      <c r="N379">
        <f>IF(B379,EXP(SUMPRODUCT(LN(1+(EvEff-1)*INDEX(Affected,0,C379)*EXP(-((E379-EvCenter)^2)/(2*EvSigma^2))))),"")</f>
        <v/>
      </c>
      <c r="O379">
        <f>IF(B379,ROUND(MAX(0,J379*K379*L379*M379*N379),2),"")</f>
        <v/>
      </c>
    </row>
    <row r="380">
      <c r="A380" t="n">
        <v>379</v>
      </c>
      <c r="B380">
        <f>A380&lt;=MineCount*Days</f>
        <v/>
      </c>
      <c r="C380">
        <f>IF(B380,INT((A380-1)/Days)+1,"")</f>
        <v/>
      </c>
      <c r="D380">
        <f>IF(B380,MOD(A380-1,Days),"")</f>
        <v/>
      </c>
      <c r="E380" s="16">
        <f>IF(B380,StartDate+D380,"")</f>
        <v/>
      </c>
      <c r="F380">
        <f>IF(B380,MAX(MOD(SIN(Seed*0.1373+C380*12.9898+D380*78.233)*43758.5453,1),1E-9),"")</f>
        <v/>
      </c>
      <c r="G380">
        <f>IF(B380,MOD(SIN(Seed*0.5917+C380*39.3468+D380*11.135)*24634.6345,1),"")</f>
        <v/>
      </c>
      <c r="H380">
        <f>IF(B380,SQRT(-2*LN(F380))*COS(2*PI()*G380),"")</f>
        <v/>
      </c>
      <c r="I380">
        <f>IF(B380,IF(D380=0,H380,Rho*I379+SQRT(1-Rho^2)*H380),"")</f>
        <v/>
      </c>
      <c r="J380">
        <f>IF(B380,IF(Dist="Normal",DistA+DistB*I380,DistA+(DistB-DistA)*NORMSDIST(I380)),"")</f>
        <v/>
      </c>
      <c r="K380">
        <f>IF(B380,INDEX(MineScale,C380),"")</f>
        <v/>
      </c>
      <c r="L380">
        <f>IF(B380,INDEX(Dow,1,WEEKDAY(E380,2)),"")</f>
        <v/>
      </c>
      <c r="M380">
        <f>IF(B380,(1+Trend)^D380,"")</f>
        <v/>
      </c>
      <c r="N380">
        <f>IF(B380,EXP(SUMPRODUCT(LN(1+(EvEff-1)*INDEX(Affected,0,C380)*EXP(-((E380-EvCenter)^2)/(2*EvSigma^2))))),"")</f>
        <v/>
      </c>
      <c r="O380">
        <f>IF(B380,ROUND(MAX(0,J380*K380*L380*M380*N380),2),"")</f>
        <v/>
      </c>
    </row>
    <row r="381">
      <c r="A381" t="n">
        <v>380</v>
      </c>
      <c r="B381">
        <f>A381&lt;=MineCount*Days</f>
        <v/>
      </c>
      <c r="C381">
        <f>IF(B381,INT((A381-1)/Days)+1,"")</f>
        <v/>
      </c>
      <c r="D381">
        <f>IF(B381,MOD(A381-1,Days),"")</f>
        <v/>
      </c>
      <c r="E381" s="16">
        <f>IF(B381,StartDate+D381,"")</f>
        <v/>
      </c>
      <c r="F381">
        <f>IF(B381,MAX(MOD(SIN(Seed*0.1373+C381*12.9898+D381*78.233)*43758.5453,1),1E-9),"")</f>
        <v/>
      </c>
      <c r="G381">
        <f>IF(B381,MOD(SIN(Seed*0.5917+C381*39.3468+D381*11.135)*24634.6345,1),"")</f>
        <v/>
      </c>
      <c r="H381">
        <f>IF(B381,SQRT(-2*LN(F381))*COS(2*PI()*G381),"")</f>
        <v/>
      </c>
      <c r="I381">
        <f>IF(B381,IF(D381=0,H381,Rho*I380+SQRT(1-Rho^2)*H381),"")</f>
        <v/>
      </c>
      <c r="J381">
        <f>IF(B381,IF(Dist="Normal",DistA+DistB*I381,DistA+(DistB-DistA)*NORMSDIST(I381)),"")</f>
        <v/>
      </c>
      <c r="K381">
        <f>IF(B381,INDEX(MineScale,C381),"")</f>
        <v/>
      </c>
      <c r="L381">
        <f>IF(B381,INDEX(Dow,1,WEEKDAY(E381,2)),"")</f>
        <v/>
      </c>
      <c r="M381">
        <f>IF(B381,(1+Trend)^D381,"")</f>
        <v/>
      </c>
      <c r="N381">
        <f>IF(B381,EXP(SUMPRODUCT(LN(1+(EvEff-1)*INDEX(Affected,0,C381)*EXP(-((E381-EvCenter)^2)/(2*EvSigma^2))))),"")</f>
        <v/>
      </c>
      <c r="O381">
        <f>IF(B381,ROUND(MAX(0,J381*K381*L381*M381*N381),2),"")</f>
        <v/>
      </c>
    </row>
    <row r="382">
      <c r="A382" t="n">
        <v>381</v>
      </c>
      <c r="B382">
        <f>A382&lt;=MineCount*Days</f>
        <v/>
      </c>
      <c r="C382">
        <f>IF(B382,INT((A382-1)/Days)+1,"")</f>
        <v/>
      </c>
      <c r="D382">
        <f>IF(B382,MOD(A382-1,Days),"")</f>
        <v/>
      </c>
      <c r="E382" s="16">
        <f>IF(B382,StartDate+D382,"")</f>
        <v/>
      </c>
      <c r="F382">
        <f>IF(B382,MAX(MOD(SIN(Seed*0.1373+C382*12.9898+D382*78.233)*43758.5453,1),1E-9),"")</f>
        <v/>
      </c>
      <c r="G382">
        <f>IF(B382,MOD(SIN(Seed*0.5917+C382*39.3468+D382*11.135)*24634.6345,1),"")</f>
        <v/>
      </c>
      <c r="H382">
        <f>IF(B382,SQRT(-2*LN(F382))*COS(2*PI()*G382),"")</f>
        <v/>
      </c>
      <c r="I382">
        <f>IF(B382,IF(D382=0,H382,Rho*I381+SQRT(1-Rho^2)*H382),"")</f>
        <v/>
      </c>
      <c r="J382">
        <f>IF(B382,IF(Dist="Normal",DistA+DistB*I382,DistA+(DistB-DistA)*NORMSDIST(I382)),"")</f>
        <v/>
      </c>
      <c r="K382">
        <f>IF(B382,INDEX(MineScale,C382),"")</f>
        <v/>
      </c>
      <c r="L382">
        <f>IF(B382,INDEX(Dow,1,WEEKDAY(E382,2)),"")</f>
        <v/>
      </c>
      <c r="M382">
        <f>IF(B382,(1+Trend)^D382,"")</f>
        <v/>
      </c>
      <c r="N382">
        <f>IF(B382,EXP(SUMPRODUCT(LN(1+(EvEff-1)*INDEX(Affected,0,C382)*EXP(-((E382-EvCenter)^2)/(2*EvSigma^2))))),"")</f>
        <v/>
      </c>
      <c r="O382">
        <f>IF(B382,ROUND(MAX(0,J382*K382*L382*M382*N382),2),"")</f>
        <v/>
      </c>
    </row>
    <row r="383">
      <c r="A383" t="n">
        <v>382</v>
      </c>
      <c r="B383">
        <f>A383&lt;=MineCount*Days</f>
        <v/>
      </c>
      <c r="C383">
        <f>IF(B383,INT((A383-1)/Days)+1,"")</f>
        <v/>
      </c>
      <c r="D383">
        <f>IF(B383,MOD(A383-1,Days),"")</f>
        <v/>
      </c>
      <c r="E383" s="16">
        <f>IF(B383,StartDate+D383,"")</f>
        <v/>
      </c>
      <c r="F383">
        <f>IF(B383,MAX(MOD(SIN(Seed*0.1373+C383*12.9898+D383*78.233)*43758.5453,1),1E-9),"")</f>
        <v/>
      </c>
      <c r="G383">
        <f>IF(B383,MOD(SIN(Seed*0.5917+C383*39.3468+D383*11.135)*24634.6345,1),"")</f>
        <v/>
      </c>
      <c r="H383">
        <f>IF(B383,SQRT(-2*LN(F383))*COS(2*PI()*G383),"")</f>
        <v/>
      </c>
      <c r="I383">
        <f>IF(B383,IF(D383=0,H383,Rho*I382+SQRT(1-Rho^2)*H383),"")</f>
        <v/>
      </c>
      <c r="J383">
        <f>IF(B383,IF(Dist="Normal",DistA+DistB*I383,DistA+(DistB-DistA)*NORMSDIST(I383)),"")</f>
        <v/>
      </c>
      <c r="K383">
        <f>IF(B383,INDEX(MineScale,C383),"")</f>
        <v/>
      </c>
      <c r="L383">
        <f>IF(B383,INDEX(Dow,1,WEEKDAY(E383,2)),"")</f>
        <v/>
      </c>
      <c r="M383">
        <f>IF(B383,(1+Trend)^D383,"")</f>
        <v/>
      </c>
      <c r="N383">
        <f>IF(B383,EXP(SUMPRODUCT(LN(1+(EvEff-1)*INDEX(Affected,0,C383)*EXP(-((E383-EvCenter)^2)/(2*EvSigma^2))))),"")</f>
        <v/>
      </c>
      <c r="O383">
        <f>IF(B383,ROUND(MAX(0,J383*K383*L383*M383*N383),2),"")</f>
        <v/>
      </c>
    </row>
    <row r="384">
      <c r="A384" t="n">
        <v>383</v>
      </c>
      <c r="B384">
        <f>A384&lt;=MineCount*Days</f>
        <v/>
      </c>
      <c r="C384">
        <f>IF(B384,INT((A384-1)/Days)+1,"")</f>
        <v/>
      </c>
      <c r="D384">
        <f>IF(B384,MOD(A384-1,Days),"")</f>
        <v/>
      </c>
      <c r="E384" s="16">
        <f>IF(B384,StartDate+D384,"")</f>
        <v/>
      </c>
      <c r="F384">
        <f>IF(B384,MAX(MOD(SIN(Seed*0.1373+C384*12.9898+D384*78.233)*43758.5453,1),1E-9),"")</f>
        <v/>
      </c>
      <c r="G384">
        <f>IF(B384,MOD(SIN(Seed*0.5917+C384*39.3468+D384*11.135)*24634.6345,1),"")</f>
        <v/>
      </c>
      <c r="H384">
        <f>IF(B384,SQRT(-2*LN(F384))*COS(2*PI()*G384),"")</f>
        <v/>
      </c>
      <c r="I384">
        <f>IF(B384,IF(D384=0,H384,Rho*I383+SQRT(1-Rho^2)*H384),"")</f>
        <v/>
      </c>
      <c r="J384">
        <f>IF(B384,IF(Dist="Normal",DistA+DistB*I384,DistA+(DistB-DistA)*NORMSDIST(I384)),"")</f>
        <v/>
      </c>
      <c r="K384">
        <f>IF(B384,INDEX(MineScale,C384),"")</f>
        <v/>
      </c>
      <c r="L384">
        <f>IF(B384,INDEX(Dow,1,WEEKDAY(E384,2)),"")</f>
        <v/>
      </c>
      <c r="M384">
        <f>IF(B384,(1+Trend)^D384,"")</f>
        <v/>
      </c>
      <c r="N384">
        <f>IF(B384,EXP(SUMPRODUCT(LN(1+(EvEff-1)*INDEX(Affected,0,C384)*EXP(-((E384-EvCenter)^2)/(2*EvSigma^2))))),"")</f>
        <v/>
      </c>
      <c r="O384">
        <f>IF(B384,ROUND(MAX(0,J384*K384*L384*M384*N384),2),"")</f>
        <v/>
      </c>
    </row>
    <row r="385">
      <c r="A385" t="n">
        <v>384</v>
      </c>
      <c r="B385">
        <f>A385&lt;=MineCount*Days</f>
        <v/>
      </c>
      <c r="C385">
        <f>IF(B385,INT((A385-1)/Days)+1,"")</f>
        <v/>
      </c>
      <c r="D385">
        <f>IF(B385,MOD(A385-1,Days),"")</f>
        <v/>
      </c>
      <c r="E385" s="16">
        <f>IF(B385,StartDate+D385,"")</f>
        <v/>
      </c>
      <c r="F385">
        <f>IF(B385,MAX(MOD(SIN(Seed*0.1373+C385*12.9898+D385*78.233)*43758.5453,1),1E-9),"")</f>
        <v/>
      </c>
      <c r="G385">
        <f>IF(B385,MOD(SIN(Seed*0.5917+C385*39.3468+D385*11.135)*24634.6345,1),"")</f>
        <v/>
      </c>
      <c r="H385">
        <f>IF(B385,SQRT(-2*LN(F385))*COS(2*PI()*G385),"")</f>
        <v/>
      </c>
      <c r="I385">
        <f>IF(B385,IF(D385=0,H385,Rho*I384+SQRT(1-Rho^2)*H385),"")</f>
        <v/>
      </c>
      <c r="J385">
        <f>IF(B385,IF(Dist="Normal",DistA+DistB*I385,DistA+(DistB-DistA)*NORMSDIST(I385)),"")</f>
        <v/>
      </c>
      <c r="K385">
        <f>IF(B385,INDEX(MineScale,C385),"")</f>
        <v/>
      </c>
      <c r="L385">
        <f>IF(B385,INDEX(Dow,1,WEEKDAY(E385,2)),"")</f>
        <v/>
      </c>
      <c r="M385">
        <f>IF(B385,(1+Trend)^D385,"")</f>
        <v/>
      </c>
      <c r="N385">
        <f>IF(B385,EXP(SUMPRODUCT(LN(1+(EvEff-1)*INDEX(Affected,0,C385)*EXP(-((E385-EvCenter)^2)/(2*EvSigma^2))))),"")</f>
        <v/>
      </c>
      <c r="O385">
        <f>IF(B385,ROUND(MAX(0,J385*K385*L385*M385*N385),2),"")</f>
        <v/>
      </c>
    </row>
    <row r="386">
      <c r="A386" t="n">
        <v>385</v>
      </c>
      <c r="B386">
        <f>A386&lt;=MineCount*Days</f>
        <v/>
      </c>
      <c r="C386">
        <f>IF(B386,INT((A386-1)/Days)+1,"")</f>
        <v/>
      </c>
      <c r="D386">
        <f>IF(B386,MOD(A386-1,Days),"")</f>
        <v/>
      </c>
      <c r="E386" s="16">
        <f>IF(B386,StartDate+D386,"")</f>
        <v/>
      </c>
      <c r="F386">
        <f>IF(B386,MAX(MOD(SIN(Seed*0.1373+C386*12.9898+D386*78.233)*43758.5453,1),1E-9),"")</f>
        <v/>
      </c>
      <c r="G386">
        <f>IF(B386,MOD(SIN(Seed*0.5917+C386*39.3468+D386*11.135)*24634.6345,1),"")</f>
        <v/>
      </c>
      <c r="H386">
        <f>IF(B386,SQRT(-2*LN(F386))*COS(2*PI()*G386),"")</f>
        <v/>
      </c>
      <c r="I386">
        <f>IF(B386,IF(D386=0,H386,Rho*I385+SQRT(1-Rho^2)*H386),"")</f>
        <v/>
      </c>
      <c r="J386">
        <f>IF(B386,IF(Dist="Normal",DistA+DistB*I386,DistA+(DistB-DistA)*NORMSDIST(I386)),"")</f>
        <v/>
      </c>
      <c r="K386">
        <f>IF(B386,INDEX(MineScale,C386),"")</f>
        <v/>
      </c>
      <c r="L386">
        <f>IF(B386,INDEX(Dow,1,WEEKDAY(E386,2)),"")</f>
        <v/>
      </c>
      <c r="M386">
        <f>IF(B386,(1+Trend)^D386,"")</f>
        <v/>
      </c>
      <c r="N386">
        <f>IF(B386,EXP(SUMPRODUCT(LN(1+(EvEff-1)*INDEX(Affected,0,C386)*EXP(-((E386-EvCenter)^2)/(2*EvSigma^2))))),"")</f>
        <v/>
      </c>
      <c r="O386">
        <f>IF(B386,ROUND(MAX(0,J386*K386*L386*M386*N386),2),"")</f>
        <v/>
      </c>
    </row>
    <row r="387">
      <c r="A387" t="n">
        <v>386</v>
      </c>
      <c r="B387">
        <f>A387&lt;=MineCount*Days</f>
        <v/>
      </c>
      <c r="C387">
        <f>IF(B387,INT((A387-1)/Days)+1,"")</f>
        <v/>
      </c>
      <c r="D387">
        <f>IF(B387,MOD(A387-1,Days),"")</f>
        <v/>
      </c>
      <c r="E387" s="16">
        <f>IF(B387,StartDate+D387,"")</f>
        <v/>
      </c>
      <c r="F387">
        <f>IF(B387,MAX(MOD(SIN(Seed*0.1373+C387*12.9898+D387*78.233)*43758.5453,1),1E-9),"")</f>
        <v/>
      </c>
      <c r="G387">
        <f>IF(B387,MOD(SIN(Seed*0.5917+C387*39.3468+D387*11.135)*24634.6345,1),"")</f>
        <v/>
      </c>
      <c r="H387">
        <f>IF(B387,SQRT(-2*LN(F387))*COS(2*PI()*G387),"")</f>
        <v/>
      </c>
      <c r="I387">
        <f>IF(B387,IF(D387=0,H387,Rho*I386+SQRT(1-Rho^2)*H387),"")</f>
        <v/>
      </c>
      <c r="J387">
        <f>IF(B387,IF(Dist="Normal",DistA+DistB*I387,DistA+(DistB-DistA)*NORMSDIST(I387)),"")</f>
        <v/>
      </c>
      <c r="K387">
        <f>IF(B387,INDEX(MineScale,C387),"")</f>
        <v/>
      </c>
      <c r="L387">
        <f>IF(B387,INDEX(Dow,1,WEEKDAY(E387,2)),"")</f>
        <v/>
      </c>
      <c r="M387">
        <f>IF(B387,(1+Trend)^D387,"")</f>
        <v/>
      </c>
      <c r="N387">
        <f>IF(B387,EXP(SUMPRODUCT(LN(1+(EvEff-1)*INDEX(Affected,0,C387)*EXP(-((E387-EvCenter)^2)/(2*EvSigma^2))))),"")</f>
        <v/>
      </c>
      <c r="O387">
        <f>IF(B387,ROUND(MAX(0,J387*K387*L387*M387*N387),2),"")</f>
        <v/>
      </c>
    </row>
    <row r="388">
      <c r="A388" t="n">
        <v>387</v>
      </c>
      <c r="B388">
        <f>A388&lt;=MineCount*Days</f>
        <v/>
      </c>
      <c r="C388">
        <f>IF(B388,INT((A388-1)/Days)+1,"")</f>
        <v/>
      </c>
      <c r="D388">
        <f>IF(B388,MOD(A388-1,Days),"")</f>
        <v/>
      </c>
      <c r="E388" s="16">
        <f>IF(B388,StartDate+D388,"")</f>
        <v/>
      </c>
      <c r="F388">
        <f>IF(B388,MAX(MOD(SIN(Seed*0.1373+C388*12.9898+D388*78.233)*43758.5453,1),1E-9),"")</f>
        <v/>
      </c>
      <c r="G388">
        <f>IF(B388,MOD(SIN(Seed*0.5917+C388*39.3468+D388*11.135)*24634.6345,1),"")</f>
        <v/>
      </c>
      <c r="H388">
        <f>IF(B388,SQRT(-2*LN(F388))*COS(2*PI()*G388),"")</f>
        <v/>
      </c>
      <c r="I388">
        <f>IF(B388,IF(D388=0,H388,Rho*I387+SQRT(1-Rho^2)*H388),"")</f>
        <v/>
      </c>
      <c r="J388">
        <f>IF(B388,IF(Dist="Normal",DistA+DistB*I388,DistA+(DistB-DistA)*NORMSDIST(I388)),"")</f>
        <v/>
      </c>
      <c r="K388">
        <f>IF(B388,INDEX(MineScale,C388),"")</f>
        <v/>
      </c>
      <c r="L388">
        <f>IF(B388,INDEX(Dow,1,WEEKDAY(E388,2)),"")</f>
        <v/>
      </c>
      <c r="M388">
        <f>IF(B388,(1+Trend)^D388,"")</f>
        <v/>
      </c>
      <c r="N388">
        <f>IF(B388,EXP(SUMPRODUCT(LN(1+(EvEff-1)*INDEX(Affected,0,C388)*EXP(-((E388-EvCenter)^2)/(2*EvSigma^2))))),"")</f>
        <v/>
      </c>
      <c r="O388">
        <f>IF(B388,ROUND(MAX(0,J388*K388*L388*M388*N388),2),"")</f>
        <v/>
      </c>
    </row>
    <row r="389">
      <c r="A389" t="n">
        <v>388</v>
      </c>
      <c r="B389">
        <f>A389&lt;=MineCount*Days</f>
        <v/>
      </c>
      <c r="C389">
        <f>IF(B389,INT((A389-1)/Days)+1,"")</f>
        <v/>
      </c>
      <c r="D389">
        <f>IF(B389,MOD(A389-1,Days),"")</f>
        <v/>
      </c>
      <c r="E389" s="16">
        <f>IF(B389,StartDate+D389,"")</f>
        <v/>
      </c>
      <c r="F389">
        <f>IF(B389,MAX(MOD(SIN(Seed*0.1373+C389*12.9898+D389*78.233)*43758.5453,1),1E-9),"")</f>
        <v/>
      </c>
      <c r="G389">
        <f>IF(B389,MOD(SIN(Seed*0.5917+C389*39.3468+D389*11.135)*24634.6345,1),"")</f>
        <v/>
      </c>
      <c r="H389">
        <f>IF(B389,SQRT(-2*LN(F389))*COS(2*PI()*G389),"")</f>
        <v/>
      </c>
      <c r="I389">
        <f>IF(B389,IF(D389=0,H389,Rho*I388+SQRT(1-Rho^2)*H389),"")</f>
        <v/>
      </c>
      <c r="J389">
        <f>IF(B389,IF(Dist="Normal",DistA+DistB*I389,DistA+(DistB-DistA)*NORMSDIST(I389)),"")</f>
        <v/>
      </c>
      <c r="K389">
        <f>IF(B389,INDEX(MineScale,C389),"")</f>
        <v/>
      </c>
      <c r="L389">
        <f>IF(B389,INDEX(Dow,1,WEEKDAY(E389,2)),"")</f>
        <v/>
      </c>
      <c r="M389">
        <f>IF(B389,(1+Trend)^D389,"")</f>
        <v/>
      </c>
      <c r="N389">
        <f>IF(B389,EXP(SUMPRODUCT(LN(1+(EvEff-1)*INDEX(Affected,0,C389)*EXP(-((E389-EvCenter)^2)/(2*EvSigma^2))))),"")</f>
        <v/>
      </c>
      <c r="O389">
        <f>IF(B389,ROUND(MAX(0,J389*K389*L389*M389*N389),2),"")</f>
        <v/>
      </c>
    </row>
    <row r="390">
      <c r="A390" t="n">
        <v>389</v>
      </c>
      <c r="B390">
        <f>A390&lt;=MineCount*Days</f>
        <v/>
      </c>
      <c r="C390">
        <f>IF(B390,INT((A390-1)/Days)+1,"")</f>
        <v/>
      </c>
      <c r="D390">
        <f>IF(B390,MOD(A390-1,Days),"")</f>
        <v/>
      </c>
      <c r="E390" s="16">
        <f>IF(B390,StartDate+D390,"")</f>
        <v/>
      </c>
      <c r="F390">
        <f>IF(B390,MAX(MOD(SIN(Seed*0.1373+C390*12.9898+D390*78.233)*43758.5453,1),1E-9),"")</f>
        <v/>
      </c>
      <c r="G390">
        <f>IF(B390,MOD(SIN(Seed*0.5917+C390*39.3468+D390*11.135)*24634.6345,1),"")</f>
        <v/>
      </c>
      <c r="H390">
        <f>IF(B390,SQRT(-2*LN(F390))*COS(2*PI()*G390),"")</f>
        <v/>
      </c>
      <c r="I390">
        <f>IF(B390,IF(D390=0,H390,Rho*I389+SQRT(1-Rho^2)*H390),"")</f>
        <v/>
      </c>
      <c r="J390">
        <f>IF(B390,IF(Dist="Normal",DistA+DistB*I390,DistA+(DistB-DistA)*NORMSDIST(I390)),"")</f>
        <v/>
      </c>
      <c r="K390">
        <f>IF(B390,INDEX(MineScale,C390),"")</f>
        <v/>
      </c>
      <c r="L390">
        <f>IF(B390,INDEX(Dow,1,WEEKDAY(E390,2)),"")</f>
        <v/>
      </c>
      <c r="M390">
        <f>IF(B390,(1+Trend)^D390,"")</f>
        <v/>
      </c>
      <c r="N390">
        <f>IF(B390,EXP(SUMPRODUCT(LN(1+(EvEff-1)*INDEX(Affected,0,C390)*EXP(-((E390-EvCenter)^2)/(2*EvSigma^2))))),"")</f>
        <v/>
      </c>
      <c r="O390">
        <f>IF(B390,ROUND(MAX(0,J390*K390*L390*M390*N390),2),"")</f>
        <v/>
      </c>
    </row>
    <row r="391">
      <c r="A391" t="n">
        <v>390</v>
      </c>
      <c r="B391">
        <f>A391&lt;=MineCount*Days</f>
        <v/>
      </c>
      <c r="C391">
        <f>IF(B391,INT((A391-1)/Days)+1,"")</f>
        <v/>
      </c>
      <c r="D391">
        <f>IF(B391,MOD(A391-1,Days),"")</f>
        <v/>
      </c>
      <c r="E391" s="16">
        <f>IF(B391,StartDate+D391,"")</f>
        <v/>
      </c>
      <c r="F391">
        <f>IF(B391,MAX(MOD(SIN(Seed*0.1373+C391*12.9898+D391*78.233)*43758.5453,1),1E-9),"")</f>
        <v/>
      </c>
      <c r="G391">
        <f>IF(B391,MOD(SIN(Seed*0.5917+C391*39.3468+D391*11.135)*24634.6345,1),"")</f>
        <v/>
      </c>
      <c r="H391">
        <f>IF(B391,SQRT(-2*LN(F391))*COS(2*PI()*G391),"")</f>
        <v/>
      </c>
      <c r="I391">
        <f>IF(B391,IF(D391=0,H391,Rho*I390+SQRT(1-Rho^2)*H391),"")</f>
        <v/>
      </c>
      <c r="J391">
        <f>IF(B391,IF(Dist="Normal",DistA+DistB*I391,DistA+(DistB-DistA)*NORMSDIST(I391)),"")</f>
        <v/>
      </c>
      <c r="K391">
        <f>IF(B391,INDEX(MineScale,C391),"")</f>
        <v/>
      </c>
      <c r="L391">
        <f>IF(B391,INDEX(Dow,1,WEEKDAY(E391,2)),"")</f>
        <v/>
      </c>
      <c r="M391">
        <f>IF(B391,(1+Trend)^D391,"")</f>
        <v/>
      </c>
      <c r="N391">
        <f>IF(B391,EXP(SUMPRODUCT(LN(1+(EvEff-1)*INDEX(Affected,0,C391)*EXP(-((E391-EvCenter)^2)/(2*EvSigma^2))))),"")</f>
        <v/>
      </c>
      <c r="O391">
        <f>IF(B391,ROUND(MAX(0,J391*K391*L391*M391*N391),2),"")</f>
        <v/>
      </c>
    </row>
    <row r="392">
      <c r="A392" t="n">
        <v>391</v>
      </c>
      <c r="B392">
        <f>A392&lt;=MineCount*Days</f>
        <v/>
      </c>
      <c r="C392">
        <f>IF(B392,INT((A392-1)/Days)+1,"")</f>
        <v/>
      </c>
      <c r="D392">
        <f>IF(B392,MOD(A392-1,Days),"")</f>
        <v/>
      </c>
      <c r="E392" s="16">
        <f>IF(B392,StartDate+D392,"")</f>
        <v/>
      </c>
      <c r="F392">
        <f>IF(B392,MAX(MOD(SIN(Seed*0.1373+C392*12.9898+D392*78.233)*43758.5453,1),1E-9),"")</f>
        <v/>
      </c>
      <c r="G392">
        <f>IF(B392,MOD(SIN(Seed*0.5917+C392*39.3468+D392*11.135)*24634.6345,1),"")</f>
        <v/>
      </c>
      <c r="H392">
        <f>IF(B392,SQRT(-2*LN(F392))*COS(2*PI()*G392),"")</f>
        <v/>
      </c>
      <c r="I392">
        <f>IF(B392,IF(D392=0,H392,Rho*I391+SQRT(1-Rho^2)*H392),"")</f>
        <v/>
      </c>
      <c r="J392">
        <f>IF(B392,IF(Dist="Normal",DistA+DistB*I392,DistA+(DistB-DistA)*NORMSDIST(I392)),"")</f>
        <v/>
      </c>
      <c r="K392">
        <f>IF(B392,INDEX(MineScale,C392),"")</f>
        <v/>
      </c>
      <c r="L392">
        <f>IF(B392,INDEX(Dow,1,WEEKDAY(E392,2)),"")</f>
        <v/>
      </c>
      <c r="M392">
        <f>IF(B392,(1+Trend)^D392,"")</f>
        <v/>
      </c>
      <c r="N392">
        <f>IF(B392,EXP(SUMPRODUCT(LN(1+(EvEff-1)*INDEX(Affected,0,C392)*EXP(-((E392-EvCenter)^2)/(2*EvSigma^2))))),"")</f>
        <v/>
      </c>
      <c r="O392">
        <f>IF(B392,ROUND(MAX(0,J392*K392*L392*M392*N392),2),"")</f>
        <v/>
      </c>
    </row>
    <row r="393">
      <c r="A393" t="n">
        <v>392</v>
      </c>
      <c r="B393">
        <f>A393&lt;=MineCount*Days</f>
        <v/>
      </c>
      <c r="C393">
        <f>IF(B393,INT((A393-1)/Days)+1,"")</f>
        <v/>
      </c>
      <c r="D393">
        <f>IF(B393,MOD(A393-1,Days),"")</f>
        <v/>
      </c>
      <c r="E393" s="16">
        <f>IF(B393,StartDate+D393,"")</f>
        <v/>
      </c>
      <c r="F393">
        <f>IF(B393,MAX(MOD(SIN(Seed*0.1373+C393*12.9898+D393*78.233)*43758.5453,1),1E-9),"")</f>
        <v/>
      </c>
      <c r="G393">
        <f>IF(B393,MOD(SIN(Seed*0.5917+C393*39.3468+D393*11.135)*24634.6345,1),"")</f>
        <v/>
      </c>
      <c r="H393">
        <f>IF(B393,SQRT(-2*LN(F393))*COS(2*PI()*G393),"")</f>
        <v/>
      </c>
      <c r="I393">
        <f>IF(B393,IF(D393=0,H393,Rho*I392+SQRT(1-Rho^2)*H393),"")</f>
        <v/>
      </c>
      <c r="J393">
        <f>IF(B393,IF(Dist="Normal",DistA+DistB*I393,DistA+(DistB-DistA)*NORMSDIST(I393)),"")</f>
        <v/>
      </c>
      <c r="K393">
        <f>IF(B393,INDEX(MineScale,C393),"")</f>
        <v/>
      </c>
      <c r="L393">
        <f>IF(B393,INDEX(Dow,1,WEEKDAY(E393,2)),"")</f>
        <v/>
      </c>
      <c r="M393">
        <f>IF(B393,(1+Trend)^D393,"")</f>
        <v/>
      </c>
      <c r="N393">
        <f>IF(B393,EXP(SUMPRODUCT(LN(1+(EvEff-1)*INDEX(Affected,0,C393)*EXP(-((E393-EvCenter)^2)/(2*EvSigma^2))))),"")</f>
        <v/>
      </c>
      <c r="O393">
        <f>IF(B393,ROUND(MAX(0,J393*K393*L393*M393*N393),2),"")</f>
        <v/>
      </c>
    </row>
    <row r="394">
      <c r="A394" t="n">
        <v>393</v>
      </c>
      <c r="B394">
        <f>A394&lt;=MineCount*Days</f>
        <v/>
      </c>
      <c r="C394">
        <f>IF(B394,INT((A394-1)/Days)+1,"")</f>
        <v/>
      </c>
      <c r="D394">
        <f>IF(B394,MOD(A394-1,Days),"")</f>
        <v/>
      </c>
      <c r="E394" s="16">
        <f>IF(B394,StartDate+D394,"")</f>
        <v/>
      </c>
      <c r="F394">
        <f>IF(B394,MAX(MOD(SIN(Seed*0.1373+C394*12.9898+D394*78.233)*43758.5453,1),1E-9),"")</f>
        <v/>
      </c>
      <c r="G394">
        <f>IF(B394,MOD(SIN(Seed*0.5917+C394*39.3468+D394*11.135)*24634.6345,1),"")</f>
        <v/>
      </c>
      <c r="H394">
        <f>IF(B394,SQRT(-2*LN(F394))*COS(2*PI()*G394),"")</f>
        <v/>
      </c>
      <c r="I394">
        <f>IF(B394,IF(D394=0,H394,Rho*I393+SQRT(1-Rho^2)*H394),"")</f>
        <v/>
      </c>
      <c r="J394">
        <f>IF(B394,IF(Dist="Normal",DistA+DistB*I394,DistA+(DistB-DistA)*NORMSDIST(I394)),"")</f>
        <v/>
      </c>
      <c r="K394">
        <f>IF(B394,INDEX(MineScale,C394),"")</f>
        <v/>
      </c>
      <c r="L394">
        <f>IF(B394,INDEX(Dow,1,WEEKDAY(E394,2)),"")</f>
        <v/>
      </c>
      <c r="M394">
        <f>IF(B394,(1+Trend)^D394,"")</f>
        <v/>
      </c>
      <c r="N394">
        <f>IF(B394,EXP(SUMPRODUCT(LN(1+(EvEff-1)*INDEX(Affected,0,C394)*EXP(-((E394-EvCenter)^2)/(2*EvSigma^2))))),"")</f>
        <v/>
      </c>
      <c r="O394">
        <f>IF(B394,ROUND(MAX(0,J394*K394*L394*M394*N394),2),"")</f>
        <v/>
      </c>
    </row>
    <row r="395">
      <c r="A395" t="n">
        <v>394</v>
      </c>
      <c r="B395">
        <f>A395&lt;=MineCount*Days</f>
        <v/>
      </c>
      <c r="C395">
        <f>IF(B395,INT((A395-1)/Days)+1,"")</f>
        <v/>
      </c>
      <c r="D395">
        <f>IF(B395,MOD(A395-1,Days),"")</f>
        <v/>
      </c>
      <c r="E395" s="16">
        <f>IF(B395,StartDate+D395,"")</f>
        <v/>
      </c>
      <c r="F395">
        <f>IF(B395,MAX(MOD(SIN(Seed*0.1373+C395*12.9898+D395*78.233)*43758.5453,1),1E-9),"")</f>
        <v/>
      </c>
      <c r="G395">
        <f>IF(B395,MOD(SIN(Seed*0.5917+C395*39.3468+D395*11.135)*24634.6345,1),"")</f>
        <v/>
      </c>
      <c r="H395">
        <f>IF(B395,SQRT(-2*LN(F395))*COS(2*PI()*G395),"")</f>
        <v/>
      </c>
      <c r="I395">
        <f>IF(B395,IF(D395=0,H395,Rho*I394+SQRT(1-Rho^2)*H395),"")</f>
        <v/>
      </c>
      <c r="J395">
        <f>IF(B395,IF(Dist="Normal",DistA+DistB*I395,DistA+(DistB-DistA)*NORMSDIST(I395)),"")</f>
        <v/>
      </c>
      <c r="K395">
        <f>IF(B395,INDEX(MineScale,C395),"")</f>
        <v/>
      </c>
      <c r="L395">
        <f>IF(B395,INDEX(Dow,1,WEEKDAY(E395,2)),"")</f>
        <v/>
      </c>
      <c r="M395">
        <f>IF(B395,(1+Trend)^D395,"")</f>
        <v/>
      </c>
      <c r="N395">
        <f>IF(B395,EXP(SUMPRODUCT(LN(1+(EvEff-1)*INDEX(Affected,0,C395)*EXP(-((E395-EvCenter)^2)/(2*EvSigma^2))))),"")</f>
        <v/>
      </c>
      <c r="O395">
        <f>IF(B395,ROUND(MAX(0,J395*K395*L395*M395*N395),2),"")</f>
        <v/>
      </c>
    </row>
    <row r="396">
      <c r="A396" t="n">
        <v>395</v>
      </c>
      <c r="B396">
        <f>A396&lt;=MineCount*Days</f>
        <v/>
      </c>
      <c r="C396">
        <f>IF(B396,INT((A396-1)/Days)+1,"")</f>
        <v/>
      </c>
      <c r="D396">
        <f>IF(B396,MOD(A396-1,Days),"")</f>
        <v/>
      </c>
      <c r="E396" s="16">
        <f>IF(B396,StartDate+D396,"")</f>
        <v/>
      </c>
      <c r="F396">
        <f>IF(B396,MAX(MOD(SIN(Seed*0.1373+C396*12.9898+D396*78.233)*43758.5453,1),1E-9),"")</f>
        <v/>
      </c>
      <c r="G396">
        <f>IF(B396,MOD(SIN(Seed*0.5917+C396*39.3468+D396*11.135)*24634.6345,1),"")</f>
        <v/>
      </c>
      <c r="H396">
        <f>IF(B396,SQRT(-2*LN(F396))*COS(2*PI()*G396),"")</f>
        <v/>
      </c>
      <c r="I396">
        <f>IF(B396,IF(D396=0,H396,Rho*I395+SQRT(1-Rho^2)*H396),"")</f>
        <v/>
      </c>
      <c r="J396">
        <f>IF(B396,IF(Dist="Normal",DistA+DistB*I396,DistA+(DistB-DistA)*NORMSDIST(I396)),"")</f>
        <v/>
      </c>
      <c r="K396">
        <f>IF(B396,INDEX(MineScale,C396),"")</f>
        <v/>
      </c>
      <c r="L396">
        <f>IF(B396,INDEX(Dow,1,WEEKDAY(E396,2)),"")</f>
        <v/>
      </c>
      <c r="M396">
        <f>IF(B396,(1+Trend)^D396,"")</f>
        <v/>
      </c>
      <c r="N396">
        <f>IF(B396,EXP(SUMPRODUCT(LN(1+(EvEff-1)*INDEX(Affected,0,C396)*EXP(-((E396-EvCenter)^2)/(2*EvSigma^2))))),"")</f>
        <v/>
      </c>
      <c r="O396">
        <f>IF(B396,ROUND(MAX(0,J396*K396*L396*M396*N396),2),"")</f>
        <v/>
      </c>
    </row>
    <row r="397">
      <c r="A397" t="n">
        <v>396</v>
      </c>
      <c r="B397">
        <f>A397&lt;=MineCount*Days</f>
        <v/>
      </c>
      <c r="C397">
        <f>IF(B397,INT((A397-1)/Days)+1,"")</f>
        <v/>
      </c>
      <c r="D397">
        <f>IF(B397,MOD(A397-1,Days),"")</f>
        <v/>
      </c>
      <c r="E397" s="16">
        <f>IF(B397,StartDate+D397,"")</f>
        <v/>
      </c>
      <c r="F397">
        <f>IF(B397,MAX(MOD(SIN(Seed*0.1373+C397*12.9898+D397*78.233)*43758.5453,1),1E-9),"")</f>
        <v/>
      </c>
      <c r="G397">
        <f>IF(B397,MOD(SIN(Seed*0.5917+C397*39.3468+D397*11.135)*24634.6345,1),"")</f>
        <v/>
      </c>
      <c r="H397">
        <f>IF(B397,SQRT(-2*LN(F397))*COS(2*PI()*G397),"")</f>
        <v/>
      </c>
      <c r="I397">
        <f>IF(B397,IF(D397=0,H397,Rho*I396+SQRT(1-Rho^2)*H397),"")</f>
        <v/>
      </c>
      <c r="J397">
        <f>IF(B397,IF(Dist="Normal",DistA+DistB*I397,DistA+(DistB-DistA)*NORMSDIST(I397)),"")</f>
        <v/>
      </c>
      <c r="K397">
        <f>IF(B397,INDEX(MineScale,C397),"")</f>
        <v/>
      </c>
      <c r="L397">
        <f>IF(B397,INDEX(Dow,1,WEEKDAY(E397,2)),"")</f>
        <v/>
      </c>
      <c r="M397">
        <f>IF(B397,(1+Trend)^D397,"")</f>
        <v/>
      </c>
      <c r="N397">
        <f>IF(B397,EXP(SUMPRODUCT(LN(1+(EvEff-1)*INDEX(Affected,0,C397)*EXP(-((E397-EvCenter)^2)/(2*EvSigma^2))))),"")</f>
        <v/>
      </c>
      <c r="O397">
        <f>IF(B397,ROUND(MAX(0,J397*K397*L397*M397*N397),2),"")</f>
        <v/>
      </c>
    </row>
    <row r="398">
      <c r="A398" t="n">
        <v>397</v>
      </c>
      <c r="B398">
        <f>A398&lt;=MineCount*Days</f>
        <v/>
      </c>
      <c r="C398">
        <f>IF(B398,INT((A398-1)/Days)+1,"")</f>
        <v/>
      </c>
      <c r="D398">
        <f>IF(B398,MOD(A398-1,Days),"")</f>
        <v/>
      </c>
      <c r="E398" s="16">
        <f>IF(B398,StartDate+D398,"")</f>
        <v/>
      </c>
      <c r="F398">
        <f>IF(B398,MAX(MOD(SIN(Seed*0.1373+C398*12.9898+D398*78.233)*43758.5453,1),1E-9),"")</f>
        <v/>
      </c>
      <c r="G398">
        <f>IF(B398,MOD(SIN(Seed*0.5917+C398*39.3468+D398*11.135)*24634.6345,1),"")</f>
        <v/>
      </c>
      <c r="H398">
        <f>IF(B398,SQRT(-2*LN(F398))*COS(2*PI()*G398),"")</f>
        <v/>
      </c>
      <c r="I398">
        <f>IF(B398,IF(D398=0,H398,Rho*I397+SQRT(1-Rho^2)*H398),"")</f>
        <v/>
      </c>
      <c r="J398">
        <f>IF(B398,IF(Dist="Normal",DistA+DistB*I398,DistA+(DistB-DistA)*NORMSDIST(I398)),"")</f>
        <v/>
      </c>
      <c r="K398">
        <f>IF(B398,INDEX(MineScale,C398),"")</f>
        <v/>
      </c>
      <c r="L398">
        <f>IF(B398,INDEX(Dow,1,WEEKDAY(E398,2)),"")</f>
        <v/>
      </c>
      <c r="M398">
        <f>IF(B398,(1+Trend)^D398,"")</f>
        <v/>
      </c>
      <c r="N398">
        <f>IF(B398,EXP(SUMPRODUCT(LN(1+(EvEff-1)*INDEX(Affected,0,C398)*EXP(-((E398-EvCenter)^2)/(2*EvSigma^2))))),"")</f>
        <v/>
      </c>
      <c r="O398">
        <f>IF(B398,ROUND(MAX(0,J398*K398*L398*M398*N398),2),"")</f>
        <v/>
      </c>
    </row>
    <row r="399">
      <c r="A399" t="n">
        <v>398</v>
      </c>
      <c r="B399">
        <f>A399&lt;=MineCount*Days</f>
        <v/>
      </c>
      <c r="C399">
        <f>IF(B399,INT((A399-1)/Days)+1,"")</f>
        <v/>
      </c>
      <c r="D399">
        <f>IF(B399,MOD(A399-1,Days),"")</f>
        <v/>
      </c>
      <c r="E399" s="16">
        <f>IF(B399,StartDate+D399,"")</f>
        <v/>
      </c>
      <c r="F399">
        <f>IF(B399,MAX(MOD(SIN(Seed*0.1373+C399*12.9898+D399*78.233)*43758.5453,1),1E-9),"")</f>
        <v/>
      </c>
      <c r="G399">
        <f>IF(B399,MOD(SIN(Seed*0.5917+C399*39.3468+D399*11.135)*24634.6345,1),"")</f>
        <v/>
      </c>
      <c r="H399">
        <f>IF(B399,SQRT(-2*LN(F399))*COS(2*PI()*G399),"")</f>
        <v/>
      </c>
      <c r="I399">
        <f>IF(B399,IF(D399=0,H399,Rho*I398+SQRT(1-Rho^2)*H399),"")</f>
        <v/>
      </c>
      <c r="J399">
        <f>IF(B399,IF(Dist="Normal",DistA+DistB*I399,DistA+(DistB-DistA)*NORMSDIST(I399)),"")</f>
        <v/>
      </c>
      <c r="K399">
        <f>IF(B399,INDEX(MineScale,C399),"")</f>
        <v/>
      </c>
      <c r="L399">
        <f>IF(B399,INDEX(Dow,1,WEEKDAY(E399,2)),"")</f>
        <v/>
      </c>
      <c r="M399">
        <f>IF(B399,(1+Trend)^D399,"")</f>
        <v/>
      </c>
      <c r="N399">
        <f>IF(B399,EXP(SUMPRODUCT(LN(1+(EvEff-1)*INDEX(Affected,0,C399)*EXP(-((E399-EvCenter)^2)/(2*EvSigma^2))))),"")</f>
        <v/>
      </c>
      <c r="O399">
        <f>IF(B399,ROUND(MAX(0,J399*K399*L399*M399*N399),2),"")</f>
        <v/>
      </c>
    </row>
    <row r="400">
      <c r="A400" t="n">
        <v>399</v>
      </c>
      <c r="B400">
        <f>A400&lt;=MineCount*Days</f>
        <v/>
      </c>
      <c r="C400">
        <f>IF(B400,INT((A400-1)/Days)+1,"")</f>
        <v/>
      </c>
      <c r="D400">
        <f>IF(B400,MOD(A400-1,Days),"")</f>
        <v/>
      </c>
      <c r="E400" s="16">
        <f>IF(B400,StartDate+D400,"")</f>
        <v/>
      </c>
      <c r="F400">
        <f>IF(B400,MAX(MOD(SIN(Seed*0.1373+C400*12.9898+D400*78.233)*43758.5453,1),1E-9),"")</f>
        <v/>
      </c>
      <c r="G400">
        <f>IF(B400,MOD(SIN(Seed*0.5917+C400*39.3468+D400*11.135)*24634.6345,1),"")</f>
        <v/>
      </c>
      <c r="H400">
        <f>IF(B400,SQRT(-2*LN(F400))*COS(2*PI()*G400),"")</f>
        <v/>
      </c>
      <c r="I400">
        <f>IF(B400,IF(D400=0,H400,Rho*I399+SQRT(1-Rho^2)*H400),"")</f>
        <v/>
      </c>
      <c r="J400">
        <f>IF(B400,IF(Dist="Normal",DistA+DistB*I400,DistA+(DistB-DistA)*NORMSDIST(I400)),"")</f>
        <v/>
      </c>
      <c r="K400">
        <f>IF(B400,INDEX(MineScale,C400),"")</f>
        <v/>
      </c>
      <c r="L400">
        <f>IF(B400,INDEX(Dow,1,WEEKDAY(E400,2)),"")</f>
        <v/>
      </c>
      <c r="M400">
        <f>IF(B400,(1+Trend)^D400,"")</f>
        <v/>
      </c>
      <c r="N400">
        <f>IF(B400,EXP(SUMPRODUCT(LN(1+(EvEff-1)*INDEX(Affected,0,C400)*EXP(-((E400-EvCenter)^2)/(2*EvSigma^2))))),"")</f>
        <v/>
      </c>
      <c r="O400">
        <f>IF(B400,ROUND(MAX(0,J400*K400*L400*M400*N400),2),"")</f>
        <v/>
      </c>
    </row>
    <row r="401">
      <c r="A401" t="n">
        <v>400</v>
      </c>
      <c r="B401">
        <f>A401&lt;=MineCount*Days</f>
        <v/>
      </c>
      <c r="C401">
        <f>IF(B401,INT((A401-1)/Days)+1,"")</f>
        <v/>
      </c>
      <c r="D401">
        <f>IF(B401,MOD(A401-1,Days),"")</f>
        <v/>
      </c>
      <c r="E401" s="16">
        <f>IF(B401,StartDate+D401,"")</f>
        <v/>
      </c>
      <c r="F401">
        <f>IF(B401,MAX(MOD(SIN(Seed*0.1373+C401*12.9898+D401*78.233)*43758.5453,1),1E-9),"")</f>
        <v/>
      </c>
      <c r="G401">
        <f>IF(B401,MOD(SIN(Seed*0.5917+C401*39.3468+D401*11.135)*24634.6345,1),"")</f>
        <v/>
      </c>
      <c r="H401">
        <f>IF(B401,SQRT(-2*LN(F401))*COS(2*PI()*G401),"")</f>
        <v/>
      </c>
      <c r="I401">
        <f>IF(B401,IF(D401=0,H401,Rho*I400+SQRT(1-Rho^2)*H401),"")</f>
        <v/>
      </c>
      <c r="J401">
        <f>IF(B401,IF(Dist="Normal",DistA+DistB*I401,DistA+(DistB-DistA)*NORMSDIST(I401)),"")</f>
        <v/>
      </c>
      <c r="K401">
        <f>IF(B401,INDEX(MineScale,C401),"")</f>
        <v/>
      </c>
      <c r="L401">
        <f>IF(B401,INDEX(Dow,1,WEEKDAY(E401,2)),"")</f>
        <v/>
      </c>
      <c r="M401">
        <f>IF(B401,(1+Trend)^D401,"")</f>
        <v/>
      </c>
      <c r="N401">
        <f>IF(B401,EXP(SUMPRODUCT(LN(1+(EvEff-1)*INDEX(Affected,0,C401)*EXP(-((E401-EvCenter)^2)/(2*EvSigma^2))))),"")</f>
        <v/>
      </c>
      <c r="O401">
        <f>IF(B401,ROUND(MAX(0,J401*K401*L401*M401*N401),2),"")</f>
        <v/>
      </c>
    </row>
    <row r="402">
      <c r="A402" t="n">
        <v>401</v>
      </c>
      <c r="B402">
        <f>A402&lt;=MineCount*Days</f>
        <v/>
      </c>
      <c r="C402">
        <f>IF(B402,INT((A402-1)/Days)+1,"")</f>
        <v/>
      </c>
      <c r="D402">
        <f>IF(B402,MOD(A402-1,Days),"")</f>
        <v/>
      </c>
      <c r="E402" s="16">
        <f>IF(B402,StartDate+D402,"")</f>
        <v/>
      </c>
      <c r="F402">
        <f>IF(B402,MAX(MOD(SIN(Seed*0.1373+C402*12.9898+D402*78.233)*43758.5453,1),1E-9),"")</f>
        <v/>
      </c>
      <c r="G402">
        <f>IF(B402,MOD(SIN(Seed*0.5917+C402*39.3468+D402*11.135)*24634.6345,1),"")</f>
        <v/>
      </c>
      <c r="H402">
        <f>IF(B402,SQRT(-2*LN(F402))*COS(2*PI()*G402),"")</f>
        <v/>
      </c>
      <c r="I402">
        <f>IF(B402,IF(D402=0,H402,Rho*I401+SQRT(1-Rho^2)*H402),"")</f>
        <v/>
      </c>
      <c r="J402">
        <f>IF(B402,IF(Dist="Normal",DistA+DistB*I402,DistA+(DistB-DistA)*NORMSDIST(I402)),"")</f>
        <v/>
      </c>
      <c r="K402">
        <f>IF(B402,INDEX(MineScale,C402),"")</f>
        <v/>
      </c>
      <c r="L402">
        <f>IF(B402,INDEX(Dow,1,WEEKDAY(E402,2)),"")</f>
        <v/>
      </c>
      <c r="M402">
        <f>IF(B402,(1+Trend)^D402,"")</f>
        <v/>
      </c>
      <c r="N402">
        <f>IF(B402,EXP(SUMPRODUCT(LN(1+(EvEff-1)*INDEX(Affected,0,C402)*EXP(-((E402-EvCenter)^2)/(2*EvSigma^2))))),"")</f>
        <v/>
      </c>
      <c r="O402">
        <f>IF(B402,ROUND(MAX(0,J402*K402*L402*M402*N402),2),"")</f>
        <v/>
      </c>
    </row>
    <row r="403">
      <c r="A403" t="n">
        <v>402</v>
      </c>
      <c r="B403">
        <f>A403&lt;=MineCount*Days</f>
        <v/>
      </c>
      <c r="C403">
        <f>IF(B403,INT((A403-1)/Days)+1,"")</f>
        <v/>
      </c>
      <c r="D403">
        <f>IF(B403,MOD(A403-1,Days),"")</f>
        <v/>
      </c>
      <c r="E403" s="16">
        <f>IF(B403,StartDate+D403,"")</f>
        <v/>
      </c>
      <c r="F403">
        <f>IF(B403,MAX(MOD(SIN(Seed*0.1373+C403*12.9898+D403*78.233)*43758.5453,1),1E-9),"")</f>
        <v/>
      </c>
      <c r="G403">
        <f>IF(B403,MOD(SIN(Seed*0.5917+C403*39.3468+D403*11.135)*24634.6345,1),"")</f>
        <v/>
      </c>
      <c r="H403">
        <f>IF(B403,SQRT(-2*LN(F403))*COS(2*PI()*G403),"")</f>
        <v/>
      </c>
      <c r="I403">
        <f>IF(B403,IF(D403=0,H403,Rho*I402+SQRT(1-Rho^2)*H403),"")</f>
        <v/>
      </c>
      <c r="J403">
        <f>IF(B403,IF(Dist="Normal",DistA+DistB*I403,DistA+(DistB-DistA)*NORMSDIST(I403)),"")</f>
        <v/>
      </c>
      <c r="K403">
        <f>IF(B403,INDEX(MineScale,C403),"")</f>
        <v/>
      </c>
      <c r="L403">
        <f>IF(B403,INDEX(Dow,1,WEEKDAY(E403,2)),"")</f>
        <v/>
      </c>
      <c r="M403">
        <f>IF(B403,(1+Trend)^D403,"")</f>
        <v/>
      </c>
      <c r="N403">
        <f>IF(B403,EXP(SUMPRODUCT(LN(1+(EvEff-1)*INDEX(Affected,0,C403)*EXP(-((E403-EvCenter)^2)/(2*EvSigma^2))))),"")</f>
        <v/>
      </c>
      <c r="O403">
        <f>IF(B403,ROUND(MAX(0,J403*K403*L403*M403*N403),2),"")</f>
        <v/>
      </c>
    </row>
    <row r="404">
      <c r="A404" t="n">
        <v>403</v>
      </c>
      <c r="B404">
        <f>A404&lt;=MineCount*Days</f>
        <v/>
      </c>
      <c r="C404">
        <f>IF(B404,INT((A404-1)/Days)+1,"")</f>
        <v/>
      </c>
      <c r="D404">
        <f>IF(B404,MOD(A404-1,Days),"")</f>
        <v/>
      </c>
      <c r="E404" s="16">
        <f>IF(B404,StartDate+D404,"")</f>
        <v/>
      </c>
      <c r="F404">
        <f>IF(B404,MAX(MOD(SIN(Seed*0.1373+C404*12.9898+D404*78.233)*43758.5453,1),1E-9),"")</f>
        <v/>
      </c>
      <c r="G404">
        <f>IF(B404,MOD(SIN(Seed*0.5917+C404*39.3468+D404*11.135)*24634.6345,1),"")</f>
        <v/>
      </c>
      <c r="H404">
        <f>IF(B404,SQRT(-2*LN(F404))*COS(2*PI()*G404),"")</f>
        <v/>
      </c>
      <c r="I404">
        <f>IF(B404,IF(D404=0,H404,Rho*I403+SQRT(1-Rho^2)*H404),"")</f>
        <v/>
      </c>
      <c r="J404">
        <f>IF(B404,IF(Dist="Normal",DistA+DistB*I404,DistA+(DistB-DistA)*NORMSDIST(I404)),"")</f>
        <v/>
      </c>
      <c r="K404">
        <f>IF(B404,INDEX(MineScale,C404),"")</f>
        <v/>
      </c>
      <c r="L404">
        <f>IF(B404,INDEX(Dow,1,WEEKDAY(E404,2)),"")</f>
        <v/>
      </c>
      <c r="M404">
        <f>IF(B404,(1+Trend)^D404,"")</f>
        <v/>
      </c>
      <c r="N404">
        <f>IF(B404,EXP(SUMPRODUCT(LN(1+(EvEff-1)*INDEX(Affected,0,C404)*EXP(-((E404-EvCenter)^2)/(2*EvSigma^2))))),"")</f>
        <v/>
      </c>
      <c r="O404">
        <f>IF(B404,ROUND(MAX(0,J404*K404*L404*M404*N404),2),"")</f>
        <v/>
      </c>
    </row>
    <row r="405">
      <c r="A405" t="n">
        <v>404</v>
      </c>
      <c r="B405">
        <f>A405&lt;=MineCount*Days</f>
        <v/>
      </c>
      <c r="C405">
        <f>IF(B405,INT((A405-1)/Days)+1,"")</f>
        <v/>
      </c>
      <c r="D405">
        <f>IF(B405,MOD(A405-1,Days),"")</f>
        <v/>
      </c>
      <c r="E405" s="16">
        <f>IF(B405,StartDate+D405,"")</f>
        <v/>
      </c>
      <c r="F405">
        <f>IF(B405,MAX(MOD(SIN(Seed*0.1373+C405*12.9898+D405*78.233)*43758.5453,1),1E-9),"")</f>
        <v/>
      </c>
      <c r="G405">
        <f>IF(B405,MOD(SIN(Seed*0.5917+C405*39.3468+D405*11.135)*24634.6345,1),"")</f>
        <v/>
      </c>
      <c r="H405">
        <f>IF(B405,SQRT(-2*LN(F405))*COS(2*PI()*G405),"")</f>
        <v/>
      </c>
      <c r="I405">
        <f>IF(B405,IF(D405=0,H405,Rho*I404+SQRT(1-Rho^2)*H405),"")</f>
        <v/>
      </c>
      <c r="J405">
        <f>IF(B405,IF(Dist="Normal",DistA+DistB*I405,DistA+(DistB-DistA)*NORMSDIST(I405)),"")</f>
        <v/>
      </c>
      <c r="K405">
        <f>IF(B405,INDEX(MineScale,C405),"")</f>
        <v/>
      </c>
      <c r="L405">
        <f>IF(B405,INDEX(Dow,1,WEEKDAY(E405,2)),"")</f>
        <v/>
      </c>
      <c r="M405">
        <f>IF(B405,(1+Trend)^D405,"")</f>
        <v/>
      </c>
      <c r="N405">
        <f>IF(B405,EXP(SUMPRODUCT(LN(1+(EvEff-1)*INDEX(Affected,0,C405)*EXP(-((E405-EvCenter)^2)/(2*EvSigma^2))))),"")</f>
        <v/>
      </c>
      <c r="O405">
        <f>IF(B405,ROUND(MAX(0,J405*K405*L405*M405*N405),2),"")</f>
        <v/>
      </c>
    </row>
    <row r="406">
      <c r="A406" t="n">
        <v>405</v>
      </c>
      <c r="B406">
        <f>A406&lt;=MineCount*Days</f>
        <v/>
      </c>
      <c r="C406">
        <f>IF(B406,INT((A406-1)/Days)+1,"")</f>
        <v/>
      </c>
      <c r="D406">
        <f>IF(B406,MOD(A406-1,Days),"")</f>
        <v/>
      </c>
      <c r="E406" s="16">
        <f>IF(B406,StartDate+D406,"")</f>
        <v/>
      </c>
      <c r="F406">
        <f>IF(B406,MAX(MOD(SIN(Seed*0.1373+C406*12.9898+D406*78.233)*43758.5453,1),1E-9),"")</f>
        <v/>
      </c>
      <c r="G406">
        <f>IF(B406,MOD(SIN(Seed*0.5917+C406*39.3468+D406*11.135)*24634.6345,1),"")</f>
        <v/>
      </c>
      <c r="H406">
        <f>IF(B406,SQRT(-2*LN(F406))*COS(2*PI()*G406),"")</f>
        <v/>
      </c>
      <c r="I406">
        <f>IF(B406,IF(D406=0,H406,Rho*I405+SQRT(1-Rho^2)*H406),"")</f>
        <v/>
      </c>
      <c r="J406">
        <f>IF(B406,IF(Dist="Normal",DistA+DistB*I406,DistA+(DistB-DistA)*NORMSDIST(I406)),"")</f>
        <v/>
      </c>
      <c r="K406">
        <f>IF(B406,INDEX(MineScale,C406),"")</f>
        <v/>
      </c>
      <c r="L406">
        <f>IF(B406,INDEX(Dow,1,WEEKDAY(E406,2)),"")</f>
        <v/>
      </c>
      <c r="M406">
        <f>IF(B406,(1+Trend)^D406,"")</f>
        <v/>
      </c>
      <c r="N406">
        <f>IF(B406,EXP(SUMPRODUCT(LN(1+(EvEff-1)*INDEX(Affected,0,C406)*EXP(-((E406-EvCenter)^2)/(2*EvSigma^2))))),"")</f>
        <v/>
      </c>
      <c r="O406">
        <f>IF(B406,ROUND(MAX(0,J406*K406*L406*M406*N406),2),"")</f>
        <v/>
      </c>
    </row>
    <row r="407">
      <c r="A407" t="n">
        <v>406</v>
      </c>
      <c r="B407">
        <f>A407&lt;=MineCount*Days</f>
        <v/>
      </c>
      <c r="C407">
        <f>IF(B407,INT((A407-1)/Days)+1,"")</f>
        <v/>
      </c>
      <c r="D407">
        <f>IF(B407,MOD(A407-1,Days),"")</f>
        <v/>
      </c>
      <c r="E407" s="16">
        <f>IF(B407,StartDate+D407,"")</f>
        <v/>
      </c>
      <c r="F407">
        <f>IF(B407,MAX(MOD(SIN(Seed*0.1373+C407*12.9898+D407*78.233)*43758.5453,1),1E-9),"")</f>
        <v/>
      </c>
      <c r="G407">
        <f>IF(B407,MOD(SIN(Seed*0.5917+C407*39.3468+D407*11.135)*24634.6345,1),"")</f>
        <v/>
      </c>
      <c r="H407">
        <f>IF(B407,SQRT(-2*LN(F407))*COS(2*PI()*G407),"")</f>
        <v/>
      </c>
      <c r="I407">
        <f>IF(B407,IF(D407=0,H407,Rho*I406+SQRT(1-Rho^2)*H407),"")</f>
        <v/>
      </c>
      <c r="J407">
        <f>IF(B407,IF(Dist="Normal",DistA+DistB*I407,DistA+(DistB-DistA)*NORMSDIST(I407)),"")</f>
        <v/>
      </c>
      <c r="K407">
        <f>IF(B407,INDEX(MineScale,C407),"")</f>
        <v/>
      </c>
      <c r="L407">
        <f>IF(B407,INDEX(Dow,1,WEEKDAY(E407,2)),"")</f>
        <v/>
      </c>
      <c r="M407">
        <f>IF(B407,(1+Trend)^D407,"")</f>
        <v/>
      </c>
      <c r="N407">
        <f>IF(B407,EXP(SUMPRODUCT(LN(1+(EvEff-1)*INDEX(Affected,0,C407)*EXP(-((E407-EvCenter)^2)/(2*EvSigma^2))))),"")</f>
        <v/>
      </c>
      <c r="O407">
        <f>IF(B407,ROUND(MAX(0,J407*K407*L407*M407*N407),2),"")</f>
        <v/>
      </c>
    </row>
    <row r="408">
      <c r="A408" t="n">
        <v>407</v>
      </c>
      <c r="B408">
        <f>A408&lt;=MineCount*Days</f>
        <v/>
      </c>
      <c r="C408">
        <f>IF(B408,INT((A408-1)/Days)+1,"")</f>
        <v/>
      </c>
      <c r="D408">
        <f>IF(B408,MOD(A408-1,Days),"")</f>
        <v/>
      </c>
      <c r="E408" s="16">
        <f>IF(B408,StartDate+D408,"")</f>
        <v/>
      </c>
      <c r="F408">
        <f>IF(B408,MAX(MOD(SIN(Seed*0.1373+C408*12.9898+D408*78.233)*43758.5453,1),1E-9),"")</f>
        <v/>
      </c>
      <c r="G408">
        <f>IF(B408,MOD(SIN(Seed*0.5917+C408*39.3468+D408*11.135)*24634.6345,1),"")</f>
        <v/>
      </c>
      <c r="H408">
        <f>IF(B408,SQRT(-2*LN(F408))*COS(2*PI()*G408),"")</f>
        <v/>
      </c>
      <c r="I408">
        <f>IF(B408,IF(D408=0,H408,Rho*I407+SQRT(1-Rho^2)*H408),"")</f>
        <v/>
      </c>
      <c r="J408">
        <f>IF(B408,IF(Dist="Normal",DistA+DistB*I408,DistA+(DistB-DistA)*NORMSDIST(I408)),"")</f>
        <v/>
      </c>
      <c r="K408">
        <f>IF(B408,INDEX(MineScale,C408),"")</f>
        <v/>
      </c>
      <c r="L408">
        <f>IF(B408,INDEX(Dow,1,WEEKDAY(E408,2)),"")</f>
        <v/>
      </c>
      <c r="M408">
        <f>IF(B408,(1+Trend)^D408,"")</f>
        <v/>
      </c>
      <c r="N408">
        <f>IF(B408,EXP(SUMPRODUCT(LN(1+(EvEff-1)*INDEX(Affected,0,C408)*EXP(-((E408-EvCenter)^2)/(2*EvSigma^2))))),"")</f>
        <v/>
      </c>
      <c r="O408">
        <f>IF(B408,ROUND(MAX(0,J408*K408*L408*M408*N408),2),"")</f>
        <v/>
      </c>
    </row>
    <row r="409">
      <c r="A409" t="n">
        <v>408</v>
      </c>
      <c r="B409">
        <f>A409&lt;=MineCount*Days</f>
        <v/>
      </c>
      <c r="C409">
        <f>IF(B409,INT((A409-1)/Days)+1,"")</f>
        <v/>
      </c>
      <c r="D409">
        <f>IF(B409,MOD(A409-1,Days),"")</f>
        <v/>
      </c>
      <c r="E409" s="16">
        <f>IF(B409,StartDate+D409,"")</f>
        <v/>
      </c>
      <c r="F409">
        <f>IF(B409,MAX(MOD(SIN(Seed*0.1373+C409*12.9898+D409*78.233)*43758.5453,1),1E-9),"")</f>
        <v/>
      </c>
      <c r="G409">
        <f>IF(B409,MOD(SIN(Seed*0.5917+C409*39.3468+D409*11.135)*24634.6345,1),"")</f>
        <v/>
      </c>
      <c r="H409">
        <f>IF(B409,SQRT(-2*LN(F409))*COS(2*PI()*G409),"")</f>
        <v/>
      </c>
      <c r="I409">
        <f>IF(B409,IF(D409=0,H409,Rho*I408+SQRT(1-Rho^2)*H409),"")</f>
        <v/>
      </c>
      <c r="J409">
        <f>IF(B409,IF(Dist="Normal",DistA+DistB*I409,DistA+(DistB-DistA)*NORMSDIST(I409)),"")</f>
        <v/>
      </c>
      <c r="K409">
        <f>IF(B409,INDEX(MineScale,C409),"")</f>
        <v/>
      </c>
      <c r="L409">
        <f>IF(B409,INDEX(Dow,1,WEEKDAY(E409,2)),"")</f>
        <v/>
      </c>
      <c r="M409">
        <f>IF(B409,(1+Trend)^D409,"")</f>
        <v/>
      </c>
      <c r="N409">
        <f>IF(B409,EXP(SUMPRODUCT(LN(1+(EvEff-1)*INDEX(Affected,0,C409)*EXP(-((E409-EvCenter)^2)/(2*EvSigma^2))))),"")</f>
        <v/>
      </c>
      <c r="O409">
        <f>IF(B409,ROUND(MAX(0,J409*K409*L409*M409*N409),2),"")</f>
        <v/>
      </c>
    </row>
    <row r="410">
      <c r="A410" t="n">
        <v>409</v>
      </c>
      <c r="B410">
        <f>A410&lt;=MineCount*Days</f>
        <v/>
      </c>
      <c r="C410">
        <f>IF(B410,INT((A410-1)/Days)+1,"")</f>
        <v/>
      </c>
      <c r="D410">
        <f>IF(B410,MOD(A410-1,Days),"")</f>
        <v/>
      </c>
      <c r="E410" s="16">
        <f>IF(B410,StartDate+D410,"")</f>
        <v/>
      </c>
      <c r="F410">
        <f>IF(B410,MAX(MOD(SIN(Seed*0.1373+C410*12.9898+D410*78.233)*43758.5453,1),1E-9),"")</f>
        <v/>
      </c>
      <c r="G410">
        <f>IF(B410,MOD(SIN(Seed*0.5917+C410*39.3468+D410*11.135)*24634.6345,1),"")</f>
        <v/>
      </c>
      <c r="H410">
        <f>IF(B410,SQRT(-2*LN(F410))*COS(2*PI()*G410),"")</f>
        <v/>
      </c>
      <c r="I410">
        <f>IF(B410,IF(D410=0,H410,Rho*I409+SQRT(1-Rho^2)*H410),"")</f>
        <v/>
      </c>
      <c r="J410">
        <f>IF(B410,IF(Dist="Normal",DistA+DistB*I410,DistA+(DistB-DistA)*NORMSDIST(I410)),"")</f>
        <v/>
      </c>
      <c r="K410">
        <f>IF(B410,INDEX(MineScale,C410),"")</f>
        <v/>
      </c>
      <c r="L410">
        <f>IF(B410,INDEX(Dow,1,WEEKDAY(E410,2)),"")</f>
        <v/>
      </c>
      <c r="M410">
        <f>IF(B410,(1+Trend)^D410,"")</f>
        <v/>
      </c>
      <c r="N410">
        <f>IF(B410,EXP(SUMPRODUCT(LN(1+(EvEff-1)*INDEX(Affected,0,C410)*EXP(-((E410-EvCenter)^2)/(2*EvSigma^2))))),"")</f>
        <v/>
      </c>
      <c r="O410">
        <f>IF(B410,ROUND(MAX(0,J410*K410*L410*M410*N410),2),"")</f>
        <v/>
      </c>
    </row>
    <row r="411">
      <c r="A411" t="n">
        <v>410</v>
      </c>
      <c r="B411">
        <f>A411&lt;=MineCount*Days</f>
        <v/>
      </c>
      <c r="C411">
        <f>IF(B411,INT((A411-1)/Days)+1,"")</f>
        <v/>
      </c>
      <c r="D411">
        <f>IF(B411,MOD(A411-1,Days),"")</f>
        <v/>
      </c>
      <c r="E411" s="16">
        <f>IF(B411,StartDate+D411,"")</f>
        <v/>
      </c>
      <c r="F411">
        <f>IF(B411,MAX(MOD(SIN(Seed*0.1373+C411*12.9898+D411*78.233)*43758.5453,1),1E-9),"")</f>
        <v/>
      </c>
      <c r="G411">
        <f>IF(B411,MOD(SIN(Seed*0.5917+C411*39.3468+D411*11.135)*24634.6345,1),"")</f>
        <v/>
      </c>
      <c r="H411">
        <f>IF(B411,SQRT(-2*LN(F411))*COS(2*PI()*G411),"")</f>
        <v/>
      </c>
      <c r="I411">
        <f>IF(B411,IF(D411=0,H411,Rho*I410+SQRT(1-Rho^2)*H411),"")</f>
        <v/>
      </c>
      <c r="J411">
        <f>IF(B411,IF(Dist="Normal",DistA+DistB*I411,DistA+(DistB-DistA)*NORMSDIST(I411)),"")</f>
        <v/>
      </c>
      <c r="K411">
        <f>IF(B411,INDEX(MineScale,C411),"")</f>
        <v/>
      </c>
      <c r="L411">
        <f>IF(B411,INDEX(Dow,1,WEEKDAY(E411,2)),"")</f>
        <v/>
      </c>
      <c r="M411">
        <f>IF(B411,(1+Trend)^D411,"")</f>
        <v/>
      </c>
      <c r="N411">
        <f>IF(B411,EXP(SUMPRODUCT(LN(1+(EvEff-1)*INDEX(Affected,0,C411)*EXP(-((E411-EvCenter)^2)/(2*EvSigma^2))))),"")</f>
        <v/>
      </c>
      <c r="O411">
        <f>IF(B411,ROUND(MAX(0,J411*K411*L411*M411*N411),2),"")</f>
        <v/>
      </c>
    </row>
    <row r="412">
      <c r="A412" t="n">
        <v>411</v>
      </c>
      <c r="B412">
        <f>A412&lt;=MineCount*Days</f>
        <v/>
      </c>
      <c r="C412">
        <f>IF(B412,INT((A412-1)/Days)+1,"")</f>
        <v/>
      </c>
      <c r="D412">
        <f>IF(B412,MOD(A412-1,Days),"")</f>
        <v/>
      </c>
      <c r="E412" s="16">
        <f>IF(B412,StartDate+D412,"")</f>
        <v/>
      </c>
      <c r="F412">
        <f>IF(B412,MAX(MOD(SIN(Seed*0.1373+C412*12.9898+D412*78.233)*43758.5453,1),1E-9),"")</f>
        <v/>
      </c>
      <c r="G412">
        <f>IF(B412,MOD(SIN(Seed*0.5917+C412*39.3468+D412*11.135)*24634.6345,1),"")</f>
        <v/>
      </c>
      <c r="H412">
        <f>IF(B412,SQRT(-2*LN(F412))*COS(2*PI()*G412),"")</f>
        <v/>
      </c>
      <c r="I412">
        <f>IF(B412,IF(D412=0,H412,Rho*I411+SQRT(1-Rho^2)*H412),"")</f>
        <v/>
      </c>
      <c r="J412">
        <f>IF(B412,IF(Dist="Normal",DistA+DistB*I412,DistA+(DistB-DistA)*NORMSDIST(I412)),"")</f>
        <v/>
      </c>
      <c r="K412">
        <f>IF(B412,INDEX(MineScale,C412),"")</f>
        <v/>
      </c>
      <c r="L412">
        <f>IF(B412,INDEX(Dow,1,WEEKDAY(E412,2)),"")</f>
        <v/>
      </c>
      <c r="M412">
        <f>IF(B412,(1+Trend)^D412,"")</f>
        <v/>
      </c>
      <c r="N412">
        <f>IF(B412,EXP(SUMPRODUCT(LN(1+(EvEff-1)*INDEX(Affected,0,C412)*EXP(-((E412-EvCenter)^2)/(2*EvSigma^2))))),"")</f>
        <v/>
      </c>
      <c r="O412">
        <f>IF(B412,ROUND(MAX(0,J412*K412*L412*M412*N412),2),"")</f>
        <v/>
      </c>
    </row>
    <row r="413">
      <c r="A413" t="n">
        <v>412</v>
      </c>
      <c r="B413">
        <f>A413&lt;=MineCount*Days</f>
        <v/>
      </c>
      <c r="C413">
        <f>IF(B413,INT((A413-1)/Days)+1,"")</f>
        <v/>
      </c>
      <c r="D413">
        <f>IF(B413,MOD(A413-1,Days),"")</f>
        <v/>
      </c>
      <c r="E413" s="16">
        <f>IF(B413,StartDate+D413,"")</f>
        <v/>
      </c>
      <c r="F413">
        <f>IF(B413,MAX(MOD(SIN(Seed*0.1373+C413*12.9898+D413*78.233)*43758.5453,1),1E-9),"")</f>
        <v/>
      </c>
      <c r="G413">
        <f>IF(B413,MOD(SIN(Seed*0.5917+C413*39.3468+D413*11.135)*24634.6345,1),"")</f>
        <v/>
      </c>
      <c r="H413">
        <f>IF(B413,SQRT(-2*LN(F413))*COS(2*PI()*G413),"")</f>
        <v/>
      </c>
      <c r="I413">
        <f>IF(B413,IF(D413=0,H413,Rho*I412+SQRT(1-Rho^2)*H413),"")</f>
        <v/>
      </c>
      <c r="J413">
        <f>IF(B413,IF(Dist="Normal",DistA+DistB*I413,DistA+(DistB-DistA)*NORMSDIST(I413)),"")</f>
        <v/>
      </c>
      <c r="K413">
        <f>IF(B413,INDEX(MineScale,C413),"")</f>
        <v/>
      </c>
      <c r="L413">
        <f>IF(B413,INDEX(Dow,1,WEEKDAY(E413,2)),"")</f>
        <v/>
      </c>
      <c r="M413">
        <f>IF(B413,(1+Trend)^D413,"")</f>
        <v/>
      </c>
      <c r="N413">
        <f>IF(B413,EXP(SUMPRODUCT(LN(1+(EvEff-1)*INDEX(Affected,0,C413)*EXP(-((E413-EvCenter)^2)/(2*EvSigma^2))))),"")</f>
        <v/>
      </c>
      <c r="O413">
        <f>IF(B413,ROUND(MAX(0,J413*K413*L413*M413*N413),2),"")</f>
        <v/>
      </c>
    </row>
    <row r="414">
      <c r="A414" t="n">
        <v>413</v>
      </c>
      <c r="B414">
        <f>A414&lt;=MineCount*Days</f>
        <v/>
      </c>
      <c r="C414">
        <f>IF(B414,INT((A414-1)/Days)+1,"")</f>
        <v/>
      </c>
      <c r="D414">
        <f>IF(B414,MOD(A414-1,Days),"")</f>
        <v/>
      </c>
      <c r="E414" s="16">
        <f>IF(B414,StartDate+D414,"")</f>
        <v/>
      </c>
      <c r="F414">
        <f>IF(B414,MAX(MOD(SIN(Seed*0.1373+C414*12.9898+D414*78.233)*43758.5453,1),1E-9),"")</f>
        <v/>
      </c>
      <c r="G414">
        <f>IF(B414,MOD(SIN(Seed*0.5917+C414*39.3468+D414*11.135)*24634.6345,1),"")</f>
        <v/>
      </c>
      <c r="H414">
        <f>IF(B414,SQRT(-2*LN(F414))*COS(2*PI()*G414),"")</f>
        <v/>
      </c>
      <c r="I414">
        <f>IF(B414,IF(D414=0,H414,Rho*I413+SQRT(1-Rho^2)*H414),"")</f>
        <v/>
      </c>
      <c r="J414">
        <f>IF(B414,IF(Dist="Normal",DistA+DistB*I414,DistA+(DistB-DistA)*NORMSDIST(I414)),"")</f>
        <v/>
      </c>
      <c r="K414">
        <f>IF(B414,INDEX(MineScale,C414),"")</f>
        <v/>
      </c>
      <c r="L414">
        <f>IF(B414,INDEX(Dow,1,WEEKDAY(E414,2)),"")</f>
        <v/>
      </c>
      <c r="M414">
        <f>IF(B414,(1+Trend)^D414,"")</f>
        <v/>
      </c>
      <c r="N414">
        <f>IF(B414,EXP(SUMPRODUCT(LN(1+(EvEff-1)*INDEX(Affected,0,C414)*EXP(-((E414-EvCenter)^2)/(2*EvSigma^2))))),"")</f>
        <v/>
      </c>
      <c r="O414">
        <f>IF(B414,ROUND(MAX(0,J414*K414*L414*M414*N414),2),"")</f>
        <v/>
      </c>
    </row>
    <row r="415">
      <c r="A415" t="n">
        <v>414</v>
      </c>
      <c r="B415">
        <f>A415&lt;=MineCount*Days</f>
        <v/>
      </c>
      <c r="C415">
        <f>IF(B415,INT((A415-1)/Days)+1,"")</f>
        <v/>
      </c>
      <c r="D415">
        <f>IF(B415,MOD(A415-1,Days),"")</f>
        <v/>
      </c>
      <c r="E415" s="16">
        <f>IF(B415,StartDate+D415,"")</f>
        <v/>
      </c>
      <c r="F415">
        <f>IF(B415,MAX(MOD(SIN(Seed*0.1373+C415*12.9898+D415*78.233)*43758.5453,1),1E-9),"")</f>
        <v/>
      </c>
      <c r="G415">
        <f>IF(B415,MOD(SIN(Seed*0.5917+C415*39.3468+D415*11.135)*24634.6345,1),"")</f>
        <v/>
      </c>
      <c r="H415">
        <f>IF(B415,SQRT(-2*LN(F415))*COS(2*PI()*G415),"")</f>
        <v/>
      </c>
      <c r="I415">
        <f>IF(B415,IF(D415=0,H415,Rho*I414+SQRT(1-Rho^2)*H415),"")</f>
        <v/>
      </c>
      <c r="J415">
        <f>IF(B415,IF(Dist="Normal",DistA+DistB*I415,DistA+(DistB-DistA)*NORMSDIST(I415)),"")</f>
        <v/>
      </c>
      <c r="K415">
        <f>IF(B415,INDEX(MineScale,C415),"")</f>
        <v/>
      </c>
      <c r="L415">
        <f>IF(B415,INDEX(Dow,1,WEEKDAY(E415,2)),"")</f>
        <v/>
      </c>
      <c r="M415">
        <f>IF(B415,(1+Trend)^D415,"")</f>
        <v/>
      </c>
      <c r="N415">
        <f>IF(B415,EXP(SUMPRODUCT(LN(1+(EvEff-1)*INDEX(Affected,0,C415)*EXP(-((E415-EvCenter)^2)/(2*EvSigma^2))))),"")</f>
        <v/>
      </c>
      <c r="O415">
        <f>IF(B415,ROUND(MAX(0,J415*K415*L415*M415*N415),2),"")</f>
        <v/>
      </c>
    </row>
    <row r="416">
      <c r="A416" t="n">
        <v>415</v>
      </c>
      <c r="B416">
        <f>A416&lt;=MineCount*Days</f>
        <v/>
      </c>
      <c r="C416">
        <f>IF(B416,INT((A416-1)/Days)+1,"")</f>
        <v/>
      </c>
      <c r="D416">
        <f>IF(B416,MOD(A416-1,Days),"")</f>
        <v/>
      </c>
      <c r="E416" s="16">
        <f>IF(B416,StartDate+D416,"")</f>
        <v/>
      </c>
      <c r="F416">
        <f>IF(B416,MAX(MOD(SIN(Seed*0.1373+C416*12.9898+D416*78.233)*43758.5453,1),1E-9),"")</f>
        <v/>
      </c>
      <c r="G416">
        <f>IF(B416,MOD(SIN(Seed*0.5917+C416*39.3468+D416*11.135)*24634.6345,1),"")</f>
        <v/>
      </c>
      <c r="H416">
        <f>IF(B416,SQRT(-2*LN(F416))*COS(2*PI()*G416),"")</f>
        <v/>
      </c>
      <c r="I416">
        <f>IF(B416,IF(D416=0,H416,Rho*I415+SQRT(1-Rho^2)*H416),"")</f>
        <v/>
      </c>
      <c r="J416">
        <f>IF(B416,IF(Dist="Normal",DistA+DistB*I416,DistA+(DistB-DistA)*NORMSDIST(I416)),"")</f>
        <v/>
      </c>
      <c r="K416">
        <f>IF(B416,INDEX(MineScale,C416),"")</f>
        <v/>
      </c>
      <c r="L416">
        <f>IF(B416,INDEX(Dow,1,WEEKDAY(E416,2)),"")</f>
        <v/>
      </c>
      <c r="M416">
        <f>IF(B416,(1+Trend)^D416,"")</f>
        <v/>
      </c>
      <c r="N416">
        <f>IF(B416,EXP(SUMPRODUCT(LN(1+(EvEff-1)*INDEX(Affected,0,C416)*EXP(-((E416-EvCenter)^2)/(2*EvSigma^2))))),"")</f>
        <v/>
      </c>
      <c r="O416">
        <f>IF(B416,ROUND(MAX(0,J416*K416*L416*M416*N416),2),"")</f>
        <v/>
      </c>
    </row>
    <row r="417">
      <c r="A417" t="n">
        <v>416</v>
      </c>
      <c r="B417">
        <f>A417&lt;=MineCount*Days</f>
        <v/>
      </c>
      <c r="C417">
        <f>IF(B417,INT((A417-1)/Days)+1,"")</f>
        <v/>
      </c>
      <c r="D417">
        <f>IF(B417,MOD(A417-1,Days),"")</f>
        <v/>
      </c>
      <c r="E417" s="16">
        <f>IF(B417,StartDate+D417,"")</f>
        <v/>
      </c>
      <c r="F417">
        <f>IF(B417,MAX(MOD(SIN(Seed*0.1373+C417*12.9898+D417*78.233)*43758.5453,1),1E-9),"")</f>
        <v/>
      </c>
      <c r="G417">
        <f>IF(B417,MOD(SIN(Seed*0.5917+C417*39.3468+D417*11.135)*24634.6345,1),"")</f>
        <v/>
      </c>
      <c r="H417">
        <f>IF(B417,SQRT(-2*LN(F417))*COS(2*PI()*G417),"")</f>
        <v/>
      </c>
      <c r="I417">
        <f>IF(B417,IF(D417=0,H417,Rho*I416+SQRT(1-Rho^2)*H417),"")</f>
        <v/>
      </c>
      <c r="J417">
        <f>IF(B417,IF(Dist="Normal",DistA+DistB*I417,DistA+(DistB-DistA)*NORMSDIST(I417)),"")</f>
        <v/>
      </c>
      <c r="K417">
        <f>IF(B417,INDEX(MineScale,C417),"")</f>
        <v/>
      </c>
      <c r="L417">
        <f>IF(B417,INDEX(Dow,1,WEEKDAY(E417,2)),"")</f>
        <v/>
      </c>
      <c r="M417">
        <f>IF(B417,(1+Trend)^D417,"")</f>
        <v/>
      </c>
      <c r="N417">
        <f>IF(B417,EXP(SUMPRODUCT(LN(1+(EvEff-1)*INDEX(Affected,0,C417)*EXP(-((E417-EvCenter)^2)/(2*EvSigma^2))))),"")</f>
        <v/>
      </c>
      <c r="O417">
        <f>IF(B417,ROUND(MAX(0,J417*K417*L417*M417*N417),2),"")</f>
        <v/>
      </c>
    </row>
    <row r="418">
      <c r="A418" t="n">
        <v>417</v>
      </c>
      <c r="B418">
        <f>A418&lt;=MineCount*Days</f>
        <v/>
      </c>
      <c r="C418">
        <f>IF(B418,INT((A418-1)/Days)+1,"")</f>
        <v/>
      </c>
      <c r="D418">
        <f>IF(B418,MOD(A418-1,Days),"")</f>
        <v/>
      </c>
      <c r="E418" s="16">
        <f>IF(B418,StartDate+D418,"")</f>
        <v/>
      </c>
      <c r="F418">
        <f>IF(B418,MAX(MOD(SIN(Seed*0.1373+C418*12.9898+D418*78.233)*43758.5453,1),1E-9),"")</f>
        <v/>
      </c>
      <c r="G418">
        <f>IF(B418,MOD(SIN(Seed*0.5917+C418*39.3468+D418*11.135)*24634.6345,1),"")</f>
        <v/>
      </c>
      <c r="H418">
        <f>IF(B418,SQRT(-2*LN(F418))*COS(2*PI()*G418),"")</f>
        <v/>
      </c>
      <c r="I418">
        <f>IF(B418,IF(D418=0,H418,Rho*I417+SQRT(1-Rho^2)*H418),"")</f>
        <v/>
      </c>
      <c r="J418">
        <f>IF(B418,IF(Dist="Normal",DistA+DistB*I418,DistA+(DistB-DistA)*NORMSDIST(I418)),"")</f>
        <v/>
      </c>
      <c r="K418">
        <f>IF(B418,INDEX(MineScale,C418),"")</f>
        <v/>
      </c>
      <c r="L418">
        <f>IF(B418,INDEX(Dow,1,WEEKDAY(E418,2)),"")</f>
        <v/>
      </c>
      <c r="M418">
        <f>IF(B418,(1+Trend)^D418,"")</f>
        <v/>
      </c>
      <c r="N418">
        <f>IF(B418,EXP(SUMPRODUCT(LN(1+(EvEff-1)*INDEX(Affected,0,C418)*EXP(-((E418-EvCenter)^2)/(2*EvSigma^2))))),"")</f>
        <v/>
      </c>
      <c r="O418">
        <f>IF(B418,ROUND(MAX(0,J418*K418*L418*M418*N418),2),"")</f>
        <v/>
      </c>
    </row>
    <row r="419">
      <c r="A419" t="n">
        <v>418</v>
      </c>
      <c r="B419">
        <f>A419&lt;=MineCount*Days</f>
        <v/>
      </c>
      <c r="C419">
        <f>IF(B419,INT((A419-1)/Days)+1,"")</f>
        <v/>
      </c>
      <c r="D419">
        <f>IF(B419,MOD(A419-1,Days),"")</f>
        <v/>
      </c>
      <c r="E419" s="16">
        <f>IF(B419,StartDate+D419,"")</f>
        <v/>
      </c>
      <c r="F419">
        <f>IF(B419,MAX(MOD(SIN(Seed*0.1373+C419*12.9898+D419*78.233)*43758.5453,1),1E-9),"")</f>
        <v/>
      </c>
      <c r="G419">
        <f>IF(B419,MOD(SIN(Seed*0.5917+C419*39.3468+D419*11.135)*24634.6345,1),"")</f>
        <v/>
      </c>
      <c r="H419">
        <f>IF(B419,SQRT(-2*LN(F419))*COS(2*PI()*G419),"")</f>
        <v/>
      </c>
      <c r="I419">
        <f>IF(B419,IF(D419=0,H419,Rho*I418+SQRT(1-Rho^2)*H419),"")</f>
        <v/>
      </c>
      <c r="J419">
        <f>IF(B419,IF(Dist="Normal",DistA+DistB*I419,DistA+(DistB-DistA)*NORMSDIST(I419)),"")</f>
        <v/>
      </c>
      <c r="K419">
        <f>IF(B419,INDEX(MineScale,C419),"")</f>
        <v/>
      </c>
      <c r="L419">
        <f>IF(B419,INDEX(Dow,1,WEEKDAY(E419,2)),"")</f>
        <v/>
      </c>
      <c r="M419">
        <f>IF(B419,(1+Trend)^D419,"")</f>
        <v/>
      </c>
      <c r="N419">
        <f>IF(B419,EXP(SUMPRODUCT(LN(1+(EvEff-1)*INDEX(Affected,0,C419)*EXP(-((E419-EvCenter)^2)/(2*EvSigma^2))))),"")</f>
        <v/>
      </c>
      <c r="O419">
        <f>IF(B419,ROUND(MAX(0,J419*K419*L419*M419*N419),2),"")</f>
        <v/>
      </c>
    </row>
    <row r="420">
      <c r="A420" t="n">
        <v>419</v>
      </c>
      <c r="B420">
        <f>A420&lt;=MineCount*Days</f>
        <v/>
      </c>
      <c r="C420">
        <f>IF(B420,INT((A420-1)/Days)+1,"")</f>
        <v/>
      </c>
      <c r="D420">
        <f>IF(B420,MOD(A420-1,Days),"")</f>
        <v/>
      </c>
      <c r="E420" s="16">
        <f>IF(B420,StartDate+D420,"")</f>
        <v/>
      </c>
      <c r="F420">
        <f>IF(B420,MAX(MOD(SIN(Seed*0.1373+C420*12.9898+D420*78.233)*43758.5453,1),1E-9),"")</f>
        <v/>
      </c>
      <c r="G420">
        <f>IF(B420,MOD(SIN(Seed*0.5917+C420*39.3468+D420*11.135)*24634.6345,1),"")</f>
        <v/>
      </c>
      <c r="H420">
        <f>IF(B420,SQRT(-2*LN(F420))*COS(2*PI()*G420),"")</f>
        <v/>
      </c>
      <c r="I420">
        <f>IF(B420,IF(D420=0,H420,Rho*I419+SQRT(1-Rho^2)*H420),"")</f>
        <v/>
      </c>
      <c r="J420">
        <f>IF(B420,IF(Dist="Normal",DistA+DistB*I420,DistA+(DistB-DistA)*NORMSDIST(I420)),"")</f>
        <v/>
      </c>
      <c r="K420">
        <f>IF(B420,INDEX(MineScale,C420),"")</f>
        <v/>
      </c>
      <c r="L420">
        <f>IF(B420,INDEX(Dow,1,WEEKDAY(E420,2)),"")</f>
        <v/>
      </c>
      <c r="M420">
        <f>IF(B420,(1+Trend)^D420,"")</f>
        <v/>
      </c>
      <c r="N420">
        <f>IF(B420,EXP(SUMPRODUCT(LN(1+(EvEff-1)*INDEX(Affected,0,C420)*EXP(-((E420-EvCenter)^2)/(2*EvSigma^2))))),"")</f>
        <v/>
      </c>
      <c r="O420">
        <f>IF(B420,ROUND(MAX(0,J420*K420*L420*M420*N420),2),"")</f>
        <v/>
      </c>
    </row>
    <row r="421">
      <c r="A421" t="n">
        <v>420</v>
      </c>
      <c r="B421">
        <f>A421&lt;=MineCount*Days</f>
        <v/>
      </c>
      <c r="C421">
        <f>IF(B421,INT((A421-1)/Days)+1,"")</f>
        <v/>
      </c>
      <c r="D421">
        <f>IF(B421,MOD(A421-1,Days),"")</f>
        <v/>
      </c>
      <c r="E421" s="16">
        <f>IF(B421,StartDate+D421,"")</f>
        <v/>
      </c>
      <c r="F421">
        <f>IF(B421,MAX(MOD(SIN(Seed*0.1373+C421*12.9898+D421*78.233)*43758.5453,1),1E-9),"")</f>
        <v/>
      </c>
      <c r="G421">
        <f>IF(B421,MOD(SIN(Seed*0.5917+C421*39.3468+D421*11.135)*24634.6345,1),"")</f>
        <v/>
      </c>
      <c r="H421">
        <f>IF(B421,SQRT(-2*LN(F421))*COS(2*PI()*G421),"")</f>
        <v/>
      </c>
      <c r="I421">
        <f>IF(B421,IF(D421=0,H421,Rho*I420+SQRT(1-Rho^2)*H421),"")</f>
        <v/>
      </c>
      <c r="J421">
        <f>IF(B421,IF(Dist="Normal",DistA+DistB*I421,DistA+(DistB-DistA)*NORMSDIST(I421)),"")</f>
        <v/>
      </c>
      <c r="K421">
        <f>IF(B421,INDEX(MineScale,C421),"")</f>
        <v/>
      </c>
      <c r="L421">
        <f>IF(B421,INDEX(Dow,1,WEEKDAY(E421,2)),"")</f>
        <v/>
      </c>
      <c r="M421">
        <f>IF(B421,(1+Trend)^D421,"")</f>
        <v/>
      </c>
      <c r="N421">
        <f>IF(B421,EXP(SUMPRODUCT(LN(1+(EvEff-1)*INDEX(Affected,0,C421)*EXP(-((E421-EvCenter)^2)/(2*EvSigma^2))))),"")</f>
        <v/>
      </c>
      <c r="O421">
        <f>IF(B421,ROUND(MAX(0,J421*K421*L421*M421*N421),2),"")</f>
        <v/>
      </c>
    </row>
    <row r="422">
      <c r="A422" t="n">
        <v>421</v>
      </c>
      <c r="B422">
        <f>A422&lt;=MineCount*Days</f>
        <v/>
      </c>
      <c r="C422">
        <f>IF(B422,INT((A422-1)/Days)+1,"")</f>
        <v/>
      </c>
      <c r="D422">
        <f>IF(B422,MOD(A422-1,Days),"")</f>
        <v/>
      </c>
      <c r="E422" s="16">
        <f>IF(B422,StartDate+D422,"")</f>
        <v/>
      </c>
      <c r="F422">
        <f>IF(B422,MAX(MOD(SIN(Seed*0.1373+C422*12.9898+D422*78.233)*43758.5453,1),1E-9),"")</f>
        <v/>
      </c>
      <c r="G422">
        <f>IF(B422,MOD(SIN(Seed*0.5917+C422*39.3468+D422*11.135)*24634.6345,1),"")</f>
        <v/>
      </c>
      <c r="H422">
        <f>IF(B422,SQRT(-2*LN(F422))*COS(2*PI()*G422),"")</f>
        <v/>
      </c>
      <c r="I422">
        <f>IF(B422,IF(D422=0,H422,Rho*I421+SQRT(1-Rho^2)*H422),"")</f>
        <v/>
      </c>
      <c r="J422">
        <f>IF(B422,IF(Dist="Normal",DistA+DistB*I422,DistA+(DistB-DistA)*NORMSDIST(I422)),"")</f>
        <v/>
      </c>
      <c r="K422">
        <f>IF(B422,INDEX(MineScale,C422),"")</f>
        <v/>
      </c>
      <c r="L422">
        <f>IF(B422,INDEX(Dow,1,WEEKDAY(E422,2)),"")</f>
        <v/>
      </c>
      <c r="M422">
        <f>IF(B422,(1+Trend)^D422,"")</f>
        <v/>
      </c>
      <c r="N422">
        <f>IF(B422,EXP(SUMPRODUCT(LN(1+(EvEff-1)*INDEX(Affected,0,C422)*EXP(-((E422-EvCenter)^2)/(2*EvSigma^2))))),"")</f>
        <v/>
      </c>
      <c r="O422">
        <f>IF(B422,ROUND(MAX(0,J422*K422*L422*M422*N422),2),"")</f>
        <v/>
      </c>
    </row>
    <row r="423">
      <c r="A423" t="n">
        <v>422</v>
      </c>
      <c r="B423">
        <f>A423&lt;=MineCount*Days</f>
        <v/>
      </c>
      <c r="C423">
        <f>IF(B423,INT((A423-1)/Days)+1,"")</f>
        <v/>
      </c>
      <c r="D423">
        <f>IF(B423,MOD(A423-1,Days),"")</f>
        <v/>
      </c>
      <c r="E423" s="16">
        <f>IF(B423,StartDate+D423,"")</f>
        <v/>
      </c>
      <c r="F423">
        <f>IF(B423,MAX(MOD(SIN(Seed*0.1373+C423*12.9898+D423*78.233)*43758.5453,1),1E-9),"")</f>
        <v/>
      </c>
      <c r="G423">
        <f>IF(B423,MOD(SIN(Seed*0.5917+C423*39.3468+D423*11.135)*24634.6345,1),"")</f>
        <v/>
      </c>
      <c r="H423">
        <f>IF(B423,SQRT(-2*LN(F423))*COS(2*PI()*G423),"")</f>
        <v/>
      </c>
      <c r="I423">
        <f>IF(B423,IF(D423=0,H423,Rho*I422+SQRT(1-Rho^2)*H423),"")</f>
        <v/>
      </c>
      <c r="J423">
        <f>IF(B423,IF(Dist="Normal",DistA+DistB*I423,DistA+(DistB-DistA)*NORMSDIST(I423)),"")</f>
        <v/>
      </c>
      <c r="K423">
        <f>IF(B423,INDEX(MineScale,C423),"")</f>
        <v/>
      </c>
      <c r="L423">
        <f>IF(B423,INDEX(Dow,1,WEEKDAY(E423,2)),"")</f>
        <v/>
      </c>
      <c r="M423">
        <f>IF(B423,(1+Trend)^D423,"")</f>
        <v/>
      </c>
      <c r="N423">
        <f>IF(B423,EXP(SUMPRODUCT(LN(1+(EvEff-1)*INDEX(Affected,0,C423)*EXP(-((E423-EvCenter)^2)/(2*EvSigma^2))))),"")</f>
        <v/>
      </c>
      <c r="O423">
        <f>IF(B423,ROUND(MAX(0,J423*K423*L423*M423*N423),2),"")</f>
        <v/>
      </c>
    </row>
    <row r="424">
      <c r="A424" t="n">
        <v>423</v>
      </c>
      <c r="B424">
        <f>A424&lt;=MineCount*Days</f>
        <v/>
      </c>
      <c r="C424">
        <f>IF(B424,INT((A424-1)/Days)+1,"")</f>
        <v/>
      </c>
      <c r="D424">
        <f>IF(B424,MOD(A424-1,Days),"")</f>
        <v/>
      </c>
      <c r="E424" s="16">
        <f>IF(B424,StartDate+D424,"")</f>
        <v/>
      </c>
      <c r="F424">
        <f>IF(B424,MAX(MOD(SIN(Seed*0.1373+C424*12.9898+D424*78.233)*43758.5453,1),1E-9),"")</f>
        <v/>
      </c>
      <c r="G424">
        <f>IF(B424,MOD(SIN(Seed*0.5917+C424*39.3468+D424*11.135)*24634.6345,1),"")</f>
        <v/>
      </c>
      <c r="H424">
        <f>IF(B424,SQRT(-2*LN(F424))*COS(2*PI()*G424),"")</f>
        <v/>
      </c>
      <c r="I424">
        <f>IF(B424,IF(D424=0,H424,Rho*I423+SQRT(1-Rho^2)*H424),"")</f>
        <v/>
      </c>
      <c r="J424">
        <f>IF(B424,IF(Dist="Normal",DistA+DistB*I424,DistA+(DistB-DistA)*NORMSDIST(I424)),"")</f>
        <v/>
      </c>
      <c r="K424">
        <f>IF(B424,INDEX(MineScale,C424),"")</f>
        <v/>
      </c>
      <c r="L424">
        <f>IF(B424,INDEX(Dow,1,WEEKDAY(E424,2)),"")</f>
        <v/>
      </c>
      <c r="M424">
        <f>IF(B424,(1+Trend)^D424,"")</f>
        <v/>
      </c>
      <c r="N424">
        <f>IF(B424,EXP(SUMPRODUCT(LN(1+(EvEff-1)*INDEX(Affected,0,C424)*EXP(-((E424-EvCenter)^2)/(2*EvSigma^2))))),"")</f>
        <v/>
      </c>
      <c r="O424">
        <f>IF(B424,ROUND(MAX(0,J424*K424*L424*M424*N424),2),"")</f>
        <v/>
      </c>
    </row>
    <row r="425">
      <c r="A425" t="n">
        <v>424</v>
      </c>
      <c r="B425">
        <f>A425&lt;=MineCount*Days</f>
        <v/>
      </c>
      <c r="C425">
        <f>IF(B425,INT((A425-1)/Days)+1,"")</f>
        <v/>
      </c>
      <c r="D425">
        <f>IF(B425,MOD(A425-1,Days),"")</f>
        <v/>
      </c>
      <c r="E425" s="16">
        <f>IF(B425,StartDate+D425,"")</f>
        <v/>
      </c>
      <c r="F425">
        <f>IF(B425,MAX(MOD(SIN(Seed*0.1373+C425*12.9898+D425*78.233)*43758.5453,1),1E-9),"")</f>
        <v/>
      </c>
      <c r="G425">
        <f>IF(B425,MOD(SIN(Seed*0.5917+C425*39.3468+D425*11.135)*24634.6345,1),"")</f>
        <v/>
      </c>
      <c r="H425">
        <f>IF(B425,SQRT(-2*LN(F425))*COS(2*PI()*G425),"")</f>
        <v/>
      </c>
      <c r="I425">
        <f>IF(B425,IF(D425=0,H425,Rho*I424+SQRT(1-Rho^2)*H425),"")</f>
        <v/>
      </c>
      <c r="J425">
        <f>IF(B425,IF(Dist="Normal",DistA+DistB*I425,DistA+(DistB-DistA)*NORMSDIST(I425)),"")</f>
        <v/>
      </c>
      <c r="K425">
        <f>IF(B425,INDEX(MineScale,C425),"")</f>
        <v/>
      </c>
      <c r="L425">
        <f>IF(B425,INDEX(Dow,1,WEEKDAY(E425,2)),"")</f>
        <v/>
      </c>
      <c r="M425">
        <f>IF(B425,(1+Trend)^D425,"")</f>
        <v/>
      </c>
      <c r="N425">
        <f>IF(B425,EXP(SUMPRODUCT(LN(1+(EvEff-1)*INDEX(Affected,0,C425)*EXP(-((E425-EvCenter)^2)/(2*EvSigma^2))))),"")</f>
        <v/>
      </c>
      <c r="O425">
        <f>IF(B425,ROUND(MAX(0,J425*K425*L425*M425*N425),2),"")</f>
        <v/>
      </c>
    </row>
    <row r="426">
      <c r="A426" t="n">
        <v>425</v>
      </c>
      <c r="B426">
        <f>A426&lt;=MineCount*Days</f>
        <v/>
      </c>
      <c r="C426">
        <f>IF(B426,INT((A426-1)/Days)+1,"")</f>
        <v/>
      </c>
      <c r="D426">
        <f>IF(B426,MOD(A426-1,Days),"")</f>
        <v/>
      </c>
      <c r="E426" s="16">
        <f>IF(B426,StartDate+D426,"")</f>
        <v/>
      </c>
      <c r="F426">
        <f>IF(B426,MAX(MOD(SIN(Seed*0.1373+C426*12.9898+D426*78.233)*43758.5453,1),1E-9),"")</f>
        <v/>
      </c>
      <c r="G426">
        <f>IF(B426,MOD(SIN(Seed*0.5917+C426*39.3468+D426*11.135)*24634.6345,1),"")</f>
        <v/>
      </c>
      <c r="H426">
        <f>IF(B426,SQRT(-2*LN(F426))*COS(2*PI()*G426),"")</f>
        <v/>
      </c>
      <c r="I426">
        <f>IF(B426,IF(D426=0,H426,Rho*I425+SQRT(1-Rho^2)*H426),"")</f>
        <v/>
      </c>
      <c r="J426">
        <f>IF(B426,IF(Dist="Normal",DistA+DistB*I426,DistA+(DistB-DistA)*NORMSDIST(I426)),"")</f>
        <v/>
      </c>
      <c r="K426">
        <f>IF(B426,INDEX(MineScale,C426),"")</f>
        <v/>
      </c>
      <c r="L426">
        <f>IF(B426,INDEX(Dow,1,WEEKDAY(E426,2)),"")</f>
        <v/>
      </c>
      <c r="M426">
        <f>IF(B426,(1+Trend)^D426,"")</f>
        <v/>
      </c>
      <c r="N426">
        <f>IF(B426,EXP(SUMPRODUCT(LN(1+(EvEff-1)*INDEX(Affected,0,C426)*EXP(-((E426-EvCenter)^2)/(2*EvSigma^2))))),"")</f>
        <v/>
      </c>
      <c r="O426">
        <f>IF(B426,ROUND(MAX(0,J426*K426*L426*M426*N426),2),"")</f>
        <v/>
      </c>
    </row>
    <row r="427">
      <c r="A427" t="n">
        <v>426</v>
      </c>
      <c r="B427">
        <f>A427&lt;=MineCount*Days</f>
        <v/>
      </c>
      <c r="C427">
        <f>IF(B427,INT((A427-1)/Days)+1,"")</f>
        <v/>
      </c>
      <c r="D427">
        <f>IF(B427,MOD(A427-1,Days),"")</f>
        <v/>
      </c>
      <c r="E427" s="16">
        <f>IF(B427,StartDate+D427,"")</f>
        <v/>
      </c>
      <c r="F427">
        <f>IF(B427,MAX(MOD(SIN(Seed*0.1373+C427*12.9898+D427*78.233)*43758.5453,1),1E-9),"")</f>
        <v/>
      </c>
      <c r="G427">
        <f>IF(B427,MOD(SIN(Seed*0.5917+C427*39.3468+D427*11.135)*24634.6345,1),"")</f>
        <v/>
      </c>
      <c r="H427">
        <f>IF(B427,SQRT(-2*LN(F427))*COS(2*PI()*G427),"")</f>
        <v/>
      </c>
      <c r="I427">
        <f>IF(B427,IF(D427=0,H427,Rho*I426+SQRT(1-Rho^2)*H427),"")</f>
        <v/>
      </c>
      <c r="J427">
        <f>IF(B427,IF(Dist="Normal",DistA+DistB*I427,DistA+(DistB-DistA)*NORMSDIST(I427)),"")</f>
        <v/>
      </c>
      <c r="K427">
        <f>IF(B427,INDEX(MineScale,C427),"")</f>
        <v/>
      </c>
      <c r="L427">
        <f>IF(B427,INDEX(Dow,1,WEEKDAY(E427,2)),"")</f>
        <v/>
      </c>
      <c r="M427">
        <f>IF(B427,(1+Trend)^D427,"")</f>
        <v/>
      </c>
      <c r="N427">
        <f>IF(B427,EXP(SUMPRODUCT(LN(1+(EvEff-1)*INDEX(Affected,0,C427)*EXP(-((E427-EvCenter)^2)/(2*EvSigma^2))))),"")</f>
        <v/>
      </c>
      <c r="O427">
        <f>IF(B427,ROUND(MAX(0,J427*K427*L427*M427*N427),2),"")</f>
        <v/>
      </c>
    </row>
    <row r="428">
      <c r="A428" t="n">
        <v>427</v>
      </c>
      <c r="B428">
        <f>A428&lt;=MineCount*Days</f>
        <v/>
      </c>
      <c r="C428">
        <f>IF(B428,INT((A428-1)/Days)+1,"")</f>
        <v/>
      </c>
      <c r="D428">
        <f>IF(B428,MOD(A428-1,Days),"")</f>
        <v/>
      </c>
      <c r="E428" s="16">
        <f>IF(B428,StartDate+D428,"")</f>
        <v/>
      </c>
      <c r="F428">
        <f>IF(B428,MAX(MOD(SIN(Seed*0.1373+C428*12.9898+D428*78.233)*43758.5453,1),1E-9),"")</f>
        <v/>
      </c>
      <c r="G428">
        <f>IF(B428,MOD(SIN(Seed*0.5917+C428*39.3468+D428*11.135)*24634.6345,1),"")</f>
        <v/>
      </c>
      <c r="H428">
        <f>IF(B428,SQRT(-2*LN(F428))*COS(2*PI()*G428),"")</f>
        <v/>
      </c>
      <c r="I428">
        <f>IF(B428,IF(D428=0,H428,Rho*I427+SQRT(1-Rho^2)*H428),"")</f>
        <v/>
      </c>
      <c r="J428">
        <f>IF(B428,IF(Dist="Normal",DistA+DistB*I428,DistA+(DistB-DistA)*NORMSDIST(I428)),"")</f>
        <v/>
      </c>
      <c r="K428">
        <f>IF(B428,INDEX(MineScale,C428),"")</f>
        <v/>
      </c>
      <c r="L428">
        <f>IF(B428,INDEX(Dow,1,WEEKDAY(E428,2)),"")</f>
        <v/>
      </c>
      <c r="M428">
        <f>IF(B428,(1+Trend)^D428,"")</f>
        <v/>
      </c>
      <c r="N428">
        <f>IF(B428,EXP(SUMPRODUCT(LN(1+(EvEff-1)*INDEX(Affected,0,C428)*EXP(-((E428-EvCenter)^2)/(2*EvSigma^2))))),"")</f>
        <v/>
      </c>
      <c r="O428">
        <f>IF(B428,ROUND(MAX(0,J428*K428*L428*M428*N428),2),"")</f>
        <v/>
      </c>
    </row>
    <row r="429">
      <c r="A429" t="n">
        <v>428</v>
      </c>
      <c r="B429">
        <f>A429&lt;=MineCount*Days</f>
        <v/>
      </c>
      <c r="C429">
        <f>IF(B429,INT((A429-1)/Days)+1,"")</f>
        <v/>
      </c>
      <c r="D429">
        <f>IF(B429,MOD(A429-1,Days),"")</f>
        <v/>
      </c>
      <c r="E429" s="16">
        <f>IF(B429,StartDate+D429,"")</f>
        <v/>
      </c>
      <c r="F429">
        <f>IF(B429,MAX(MOD(SIN(Seed*0.1373+C429*12.9898+D429*78.233)*43758.5453,1),1E-9),"")</f>
        <v/>
      </c>
      <c r="G429">
        <f>IF(B429,MOD(SIN(Seed*0.5917+C429*39.3468+D429*11.135)*24634.6345,1),"")</f>
        <v/>
      </c>
      <c r="H429">
        <f>IF(B429,SQRT(-2*LN(F429))*COS(2*PI()*G429),"")</f>
        <v/>
      </c>
      <c r="I429">
        <f>IF(B429,IF(D429=0,H429,Rho*I428+SQRT(1-Rho^2)*H429),"")</f>
        <v/>
      </c>
      <c r="J429">
        <f>IF(B429,IF(Dist="Normal",DistA+DistB*I429,DistA+(DistB-DistA)*NORMSDIST(I429)),"")</f>
        <v/>
      </c>
      <c r="K429">
        <f>IF(B429,INDEX(MineScale,C429),"")</f>
        <v/>
      </c>
      <c r="L429">
        <f>IF(B429,INDEX(Dow,1,WEEKDAY(E429,2)),"")</f>
        <v/>
      </c>
      <c r="M429">
        <f>IF(B429,(1+Trend)^D429,"")</f>
        <v/>
      </c>
      <c r="N429">
        <f>IF(B429,EXP(SUMPRODUCT(LN(1+(EvEff-1)*INDEX(Affected,0,C429)*EXP(-((E429-EvCenter)^2)/(2*EvSigma^2))))),"")</f>
        <v/>
      </c>
      <c r="O429">
        <f>IF(B429,ROUND(MAX(0,J429*K429*L429*M429*N429),2),"")</f>
        <v/>
      </c>
    </row>
    <row r="430">
      <c r="A430" t="n">
        <v>429</v>
      </c>
      <c r="B430">
        <f>A430&lt;=MineCount*Days</f>
        <v/>
      </c>
      <c r="C430">
        <f>IF(B430,INT((A430-1)/Days)+1,"")</f>
        <v/>
      </c>
      <c r="D430">
        <f>IF(B430,MOD(A430-1,Days),"")</f>
        <v/>
      </c>
      <c r="E430" s="16">
        <f>IF(B430,StartDate+D430,"")</f>
        <v/>
      </c>
      <c r="F430">
        <f>IF(B430,MAX(MOD(SIN(Seed*0.1373+C430*12.9898+D430*78.233)*43758.5453,1),1E-9),"")</f>
        <v/>
      </c>
      <c r="G430">
        <f>IF(B430,MOD(SIN(Seed*0.5917+C430*39.3468+D430*11.135)*24634.6345,1),"")</f>
        <v/>
      </c>
      <c r="H430">
        <f>IF(B430,SQRT(-2*LN(F430))*COS(2*PI()*G430),"")</f>
        <v/>
      </c>
      <c r="I430">
        <f>IF(B430,IF(D430=0,H430,Rho*I429+SQRT(1-Rho^2)*H430),"")</f>
        <v/>
      </c>
      <c r="J430">
        <f>IF(B430,IF(Dist="Normal",DistA+DistB*I430,DistA+(DistB-DistA)*NORMSDIST(I430)),"")</f>
        <v/>
      </c>
      <c r="K430">
        <f>IF(B430,INDEX(MineScale,C430),"")</f>
        <v/>
      </c>
      <c r="L430">
        <f>IF(B430,INDEX(Dow,1,WEEKDAY(E430,2)),"")</f>
        <v/>
      </c>
      <c r="M430">
        <f>IF(B430,(1+Trend)^D430,"")</f>
        <v/>
      </c>
      <c r="N430">
        <f>IF(B430,EXP(SUMPRODUCT(LN(1+(EvEff-1)*INDEX(Affected,0,C430)*EXP(-((E430-EvCenter)^2)/(2*EvSigma^2))))),"")</f>
        <v/>
      </c>
      <c r="O430">
        <f>IF(B430,ROUND(MAX(0,J430*K430*L430*M430*N430),2),"")</f>
        <v/>
      </c>
    </row>
    <row r="431">
      <c r="A431" t="n">
        <v>430</v>
      </c>
      <c r="B431">
        <f>A431&lt;=MineCount*Days</f>
        <v/>
      </c>
      <c r="C431">
        <f>IF(B431,INT((A431-1)/Days)+1,"")</f>
        <v/>
      </c>
      <c r="D431">
        <f>IF(B431,MOD(A431-1,Days),"")</f>
        <v/>
      </c>
      <c r="E431" s="16">
        <f>IF(B431,StartDate+D431,"")</f>
        <v/>
      </c>
      <c r="F431">
        <f>IF(B431,MAX(MOD(SIN(Seed*0.1373+C431*12.9898+D431*78.233)*43758.5453,1),1E-9),"")</f>
        <v/>
      </c>
      <c r="G431">
        <f>IF(B431,MOD(SIN(Seed*0.5917+C431*39.3468+D431*11.135)*24634.6345,1),"")</f>
        <v/>
      </c>
      <c r="H431">
        <f>IF(B431,SQRT(-2*LN(F431))*COS(2*PI()*G431),"")</f>
        <v/>
      </c>
      <c r="I431">
        <f>IF(B431,IF(D431=0,H431,Rho*I430+SQRT(1-Rho^2)*H431),"")</f>
        <v/>
      </c>
      <c r="J431">
        <f>IF(B431,IF(Dist="Normal",DistA+DistB*I431,DistA+(DistB-DistA)*NORMSDIST(I431)),"")</f>
        <v/>
      </c>
      <c r="K431">
        <f>IF(B431,INDEX(MineScale,C431),"")</f>
        <v/>
      </c>
      <c r="L431">
        <f>IF(B431,INDEX(Dow,1,WEEKDAY(E431,2)),"")</f>
        <v/>
      </c>
      <c r="M431">
        <f>IF(B431,(1+Trend)^D431,"")</f>
        <v/>
      </c>
      <c r="N431">
        <f>IF(B431,EXP(SUMPRODUCT(LN(1+(EvEff-1)*INDEX(Affected,0,C431)*EXP(-((E431-EvCenter)^2)/(2*EvSigma^2))))),"")</f>
        <v/>
      </c>
      <c r="O431">
        <f>IF(B431,ROUND(MAX(0,J431*K431*L431*M431*N431),2),"")</f>
        <v/>
      </c>
    </row>
    <row r="432">
      <c r="A432" t="n">
        <v>431</v>
      </c>
      <c r="B432">
        <f>A432&lt;=MineCount*Days</f>
        <v/>
      </c>
      <c r="C432">
        <f>IF(B432,INT((A432-1)/Days)+1,"")</f>
        <v/>
      </c>
      <c r="D432">
        <f>IF(B432,MOD(A432-1,Days),"")</f>
        <v/>
      </c>
      <c r="E432" s="16">
        <f>IF(B432,StartDate+D432,"")</f>
        <v/>
      </c>
      <c r="F432">
        <f>IF(B432,MAX(MOD(SIN(Seed*0.1373+C432*12.9898+D432*78.233)*43758.5453,1),1E-9),"")</f>
        <v/>
      </c>
      <c r="G432">
        <f>IF(B432,MOD(SIN(Seed*0.5917+C432*39.3468+D432*11.135)*24634.6345,1),"")</f>
        <v/>
      </c>
      <c r="H432">
        <f>IF(B432,SQRT(-2*LN(F432))*COS(2*PI()*G432),"")</f>
        <v/>
      </c>
      <c r="I432">
        <f>IF(B432,IF(D432=0,H432,Rho*I431+SQRT(1-Rho^2)*H432),"")</f>
        <v/>
      </c>
      <c r="J432">
        <f>IF(B432,IF(Dist="Normal",DistA+DistB*I432,DistA+(DistB-DistA)*NORMSDIST(I432)),"")</f>
        <v/>
      </c>
      <c r="K432">
        <f>IF(B432,INDEX(MineScale,C432),"")</f>
        <v/>
      </c>
      <c r="L432">
        <f>IF(B432,INDEX(Dow,1,WEEKDAY(E432,2)),"")</f>
        <v/>
      </c>
      <c r="M432">
        <f>IF(B432,(1+Trend)^D432,"")</f>
        <v/>
      </c>
      <c r="N432">
        <f>IF(B432,EXP(SUMPRODUCT(LN(1+(EvEff-1)*INDEX(Affected,0,C432)*EXP(-((E432-EvCenter)^2)/(2*EvSigma^2))))),"")</f>
        <v/>
      </c>
      <c r="O432">
        <f>IF(B432,ROUND(MAX(0,J432*K432*L432*M432*N432),2),"")</f>
        <v/>
      </c>
    </row>
    <row r="433">
      <c r="A433" t="n">
        <v>432</v>
      </c>
      <c r="B433">
        <f>A433&lt;=MineCount*Days</f>
        <v/>
      </c>
      <c r="C433">
        <f>IF(B433,INT((A433-1)/Days)+1,"")</f>
        <v/>
      </c>
      <c r="D433">
        <f>IF(B433,MOD(A433-1,Days),"")</f>
        <v/>
      </c>
      <c r="E433" s="16">
        <f>IF(B433,StartDate+D433,"")</f>
        <v/>
      </c>
      <c r="F433">
        <f>IF(B433,MAX(MOD(SIN(Seed*0.1373+C433*12.9898+D433*78.233)*43758.5453,1),1E-9),"")</f>
        <v/>
      </c>
      <c r="G433">
        <f>IF(B433,MOD(SIN(Seed*0.5917+C433*39.3468+D433*11.135)*24634.6345,1),"")</f>
        <v/>
      </c>
      <c r="H433">
        <f>IF(B433,SQRT(-2*LN(F433))*COS(2*PI()*G433),"")</f>
        <v/>
      </c>
      <c r="I433">
        <f>IF(B433,IF(D433=0,H433,Rho*I432+SQRT(1-Rho^2)*H433),"")</f>
        <v/>
      </c>
      <c r="J433">
        <f>IF(B433,IF(Dist="Normal",DistA+DistB*I433,DistA+(DistB-DistA)*NORMSDIST(I433)),"")</f>
        <v/>
      </c>
      <c r="K433">
        <f>IF(B433,INDEX(MineScale,C433),"")</f>
        <v/>
      </c>
      <c r="L433">
        <f>IF(B433,INDEX(Dow,1,WEEKDAY(E433,2)),"")</f>
        <v/>
      </c>
      <c r="M433">
        <f>IF(B433,(1+Trend)^D433,"")</f>
        <v/>
      </c>
      <c r="N433">
        <f>IF(B433,EXP(SUMPRODUCT(LN(1+(EvEff-1)*INDEX(Affected,0,C433)*EXP(-((E433-EvCenter)^2)/(2*EvSigma^2))))),"")</f>
        <v/>
      </c>
      <c r="O433">
        <f>IF(B433,ROUND(MAX(0,J433*K433*L433*M433*N433),2),"")</f>
        <v/>
      </c>
    </row>
    <row r="434">
      <c r="A434" t="n">
        <v>433</v>
      </c>
      <c r="B434">
        <f>A434&lt;=MineCount*Days</f>
        <v/>
      </c>
      <c r="C434">
        <f>IF(B434,INT((A434-1)/Days)+1,"")</f>
        <v/>
      </c>
      <c r="D434">
        <f>IF(B434,MOD(A434-1,Days),"")</f>
        <v/>
      </c>
      <c r="E434" s="16">
        <f>IF(B434,StartDate+D434,"")</f>
        <v/>
      </c>
      <c r="F434">
        <f>IF(B434,MAX(MOD(SIN(Seed*0.1373+C434*12.9898+D434*78.233)*43758.5453,1),1E-9),"")</f>
        <v/>
      </c>
      <c r="G434">
        <f>IF(B434,MOD(SIN(Seed*0.5917+C434*39.3468+D434*11.135)*24634.6345,1),"")</f>
        <v/>
      </c>
      <c r="H434">
        <f>IF(B434,SQRT(-2*LN(F434))*COS(2*PI()*G434),"")</f>
        <v/>
      </c>
      <c r="I434">
        <f>IF(B434,IF(D434=0,H434,Rho*I433+SQRT(1-Rho^2)*H434),"")</f>
        <v/>
      </c>
      <c r="J434">
        <f>IF(B434,IF(Dist="Normal",DistA+DistB*I434,DistA+(DistB-DistA)*NORMSDIST(I434)),"")</f>
        <v/>
      </c>
      <c r="K434">
        <f>IF(B434,INDEX(MineScale,C434),"")</f>
        <v/>
      </c>
      <c r="L434">
        <f>IF(B434,INDEX(Dow,1,WEEKDAY(E434,2)),"")</f>
        <v/>
      </c>
      <c r="M434">
        <f>IF(B434,(1+Trend)^D434,"")</f>
        <v/>
      </c>
      <c r="N434">
        <f>IF(B434,EXP(SUMPRODUCT(LN(1+(EvEff-1)*INDEX(Affected,0,C434)*EXP(-((E434-EvCenter)^2)/(2*EvSigma^2))))),"")</f>
        <v/>
      </c>
      <c r="O434">
        <f>IF(B434,ROUND(MAX(0,J434*K434*L434*M434*N434),2),"")</f>
        <v/>
      </c>
    </row>
    <row r="435">
      <c r="A435" t="n">
        <v>434</v>
      </c>
      <c r="B435">
        <f>A435&lt;=MineCount*Days</f>
        <v/>
      </c>
      <c r="C435">
        <f>IF(B435,INT((A435-1)/Days)+1,"")</f>
        <v/>
      </c>
      <c r="D435">
        <f>IF(B435,MOD(A435-1,Days),"")</f>
        <v/>
      </c>
      <c r="E435" s="16">
        <f>IF(B435,StartDate+D435,"")</f>
        <v/>
      </c>
      <c r="F435">
        <f>IF(B435,MAX(MOD(SIN(Seed*0.1373+C435*12.9898+D435*78.233)*43758.5453,1),1E-9),"")</f>
        <v/>
      </c>
      <c r="G435">
        <f>IF(B435,MOD(SIN(Seed*0.5917+C435*39.3468+D435*11.135)*24634.6345,1),"")</f>
        <v/>
      </c>
      <c r="H435">
        <f>IF(B435,SQRT(-2*LN(F435))*COS(2*PI()*G435),"")</f>
        <v/>
      </c>
      <c r="I435">
        <f>IF(B435,IF(D435=0,H435,Rho*I434+SQRT(1-Rho^2)*H435),"")</f>
        <v/>
      </c>
      <c r="J435">
        <f>IF(B435,IF(Dist="Normal",DistA+DistB*I435,DistA+(DistB-DistA)*NORMSDIST(I435)),"")</f>
        <v/>
      </c>
      <c r="K435">
        <f>IF(B435,INDEX(MineScale,C435),"")</f>
        <v/>
      </c>
      <c r="L435">
        <f>IF(B435,INDEX(Dow,1,WEEKDAY(E435,2)),"")</f>
        <v/>
      </c>
      <c r="M435">
        <f>IF(B435,(1+Trend)^D435,"")</f>
        <v/>
      </c>
      <c r="N435">
        <f>IF(B435,EXP(SUMPRODUCT(LN(1+(EvEff-1)*INDEX(Affected,0,C435)*EXP(-((E435-EvCenter)^2)/(2*EvSigma^2))))),"")</f>
        <v/>
      </c>
      <c r="O435">
        <f>IF(B435,ROUND(MAX(0,J435*K435*L435*M435*N435),2),"")</f>
        <v/>
      </c>
    </row>
    <row r="436">
      <c r="A436" t="n">
        <v>435</v>
      </c>
      <c r="B436">
        <f>A436&lt;=MineCount*Days</f>
        <v/>
      </c>
      <c r="C436">
        <f>IF(B436,INT((A436-1)/Days)+1,"")</f>
        <v/>
      </c>
      <c r="D436">
        <f>IF(B436,MOD(A436-1,Days),"")</f>
        <v/>
      </c>
      <c r="E436" s="16">
        <f>IF(B436,StartDate+D436,"")</f>
        <v/>
      </c>
      <c r="F436">
        <f>IF(B436,MAX(MOD(SIN(Seed*0.1373+C436*12.9898+D436*78.233)*43758.5453,1),1E-9),"")</f>
        <v/>
      </c>
      <c r="G436">
        <f>IF(B436,MOD(SIN(Seed*0.5917+C436*39.3468+D436*11.135)*24634.6345,1),"")</f>
        <v/>
      </c>
      <c r="H436">
        <f>IF(B436,SQRT(-2*LN(F436))*COS(2*PI()*G436),"")</f>
        <v/>
      </c>
      <c r="I436">
        <f>IF(B436,IF(D436=0,H436,Rho*I435+SQRT(1-Rho^2)*H436),"")</f>
        <v/>
      </c>
      <c r="J436">
        <f>IF(B436,IF(Dist="Normal",DistA+DistB*I436,DistA+(DistB-DistA)*NORMSDIST(I436)),"")</f>
        <v/>
      </c>
      <c r="K436">
        <f>IF(B436,INDEX(MineScale,C436),"")</f>
        <v/>
      </c>
      <c r="L436">
        <f>IF(B436,INDEX(Dow,1,WEEKDAY(E436,2)),"")</f>
        <v/>
      </c>
      <c r="M436">
        <f>IF(B436,(1+Trend)^D436,"")</f>
        <v/>
      </c>
      <c r="N436">
        <f>IF(B436,EXP(SUMPRODUCT(LN(1+(EvEff-1)*INDEX(Affected,0,C436)*EXP(-((E436-EvCenter)^2)/(2*EvSigma^2))))),"")</f>
        <v/>
      </c>
      <c r="O436">
        <f>IF(B436,ROUND(MAX(0,J436*K436*L436*M436*N436),2),"")</f>
        <v/>
      </c>
    </row>
    <row r="437">
      <c r="A437" t="n">
        <v>436</v>
      </c>
      <c r="B437">
        <f>A437&lt;=MineCount*Days</f>
        <v/>
      </c>
      <c r="C437">
        <f>IF(B437,INT((A437-1)/Days)+1,"")</f>
        <v/>
      </c>
      <c r="D437">
        <f>IF(B437,MOD(A437-1,Days),"")</f>
        <v/>
      </c>
      <c r="E437" s="16">
        <f>IF(B437,StartDate+D437,"")</f>
        <v/>
      </c>
      <c r="F437">
        <f>IF(B437,MAX(MOD(SIN(Seed*0.1373+C437*12.9898+D437*78.233)*43758.5453,1),1E-9),"")</f>
        <v/>
      </c>
      <c r="G437">
        <f>IF(B437,MOD(SIN(Seed*0.5917+C437*39.3468+D437*11.135)*24634.6345,1),"")</f>
        <v/>
      </c>
      <c r="H437">
        <f>IF(B437,SQRT(-2*LN(F437))*COS(2*PI()*G437),"")</f>
        <v/>
      </c>
      <c r="I437">
        <f>IF(B437,IF(D437=0,H437,Rho*I436+SQRT(1-Rho^2)*H437),"")</f>
        <v/>
      </c>
      <c r="J437">
        <f>IF(B437,IF(Dist="Normal",DistA+DistB*I437,DistA+(DistB-DistA)*NORMSDIST(I437)),"")</f>
        <v/>
      </c>
      <c r="K437">
        <f>IF(B437,INDEX(MineScale,C437),"")</f>
        <v/>
      </c>
      <c r="L437">
        <f>IF(B437,INDEX(Dow,1,WEEKDAY(E437,2)),"")</f>
        <v/>
      </c>
      <c r="M437">
        <f>IF(B437,(1+Trend)^D437,"")</f>
        <v/>
      </c>
      <c r="N437">
        <f>IF(B437,EXP(SUMPRODUCT(LN(1+(EvEff-1)*INDEX(Affected,0,C437)*EXP(-((E437-EvCenter)^2)/(2*EvSigma^2))))),"")</f>
        <v/>
      </c>
      <c r="O437">
        <f>IF(B437,ROUND(MAX(0,J437*K437*L437*M437*N437),2),"")</f>
        <v/>
      </c>
    </row>
    <row r="438">
      <c r="A438" t="n">
        <v>437</v>
      </c>
      <c r="B438">
        <f>A438&lt;=MineCount*Days</f>
        <v/>
      </c>
      <c r="C438">
        <f>IF(B438,INT((A438-1)/Days)+1,"")</f>
        <v/>
      </c>
      <c r="D438">
        <f>IF(B438,MOD(A438-1,Days),"")</f>
        <v/>
      </c>
      <c r="E438" s="16">
        <f>IF(B438,StartDate+D438,"")</f>
        <v/>
      </c>
      <c r="F438">
        <f>IF(B438,MAX(MOD(SIN(Seed*0.1373+C438*12.9898+D438*78.233)*43758.5453,1),1E-9),"")</f>
        <v/>
      </c>
      <c r="G438">
        <f>IF(B438,MOD(SIN(Seed*0.5917+C438*39.3468+D438*11.135)*24634.6345,1),"")</f>
        <v/>
      </c>
      <c r="H438">
        <f>IF(B438,SQRT(-2*LN(F438))*COS(2*PI()*G438),"")</f>
        <v/>
      </c>
      <c r="I438">
        <f>IF(B438,IF(D438=0,H438,Rho*I437+SQRT(1-Rho^2)*H438),"")</f>
        <v/>
      </c>
      <c r="J438">
        <f>IF(B438,IF(Dist="Normal",DistA+DistB*I438,DistA+(DistB-DistA)*NORMSDIST(I438)),"")</f>
        <v/>
      </c>
      <c r="K438">
        <f>IF(B438,INDEX(MineScale,C438),"")</f>
        <v/>
      </c>
      <c r="L438">
        <f>IF(B438,INDEX(Dow,1,WEEKDAY(E438,2)),"")</f>
        <v/>
      </c>
      <c r="M438">
        <f>IF(B438,(1+Trend)^D438,"")</f>
        <v/>
      </c>
      <c r="N438">
        <f>IF(B438,EXP(SUMPRODUCT(LN(1+(EvEff-1)*INDEX(Affected,0,C438)*EXP(-((E438-EvCenter)^2)/(2*EvSigma^2))))),"")</f>
        <v/>
      </c>
      <c r="O438">
        <f>IF(B438,ROUND(MAX(0,J438*K438*L438*M438*N438),2),"")</f>
        <v/>
      </c>
    </row>
    <row r="439">
      <c r="A439" t="n">
        <v>438</v>
      </c>
      <c r="B439">
        <f>A439&lt;=MineCount*Days</f>
        <v/>
      </c>
      <c r="C439">
        <f>IF(B439,INT((A439-1)/Days)+1,"")</f>
        <v/>
      </c>
      <c r="D439">
        <f>IF(B439,MOD(A439-1,Days),"")</f>
        <v/>
      </c>
      <c r="E439" s="16">
        <f>IF(B439,StartDate+D439,"")</f>
        <v/>
      </c>
      <c r="F439">
        <f>IF(B439,MAX(MOD(SIN(Seed*0.1373+C439*12.9898+D439*78.233)*43758.5453,1),1E-9),"")</f>
        <v/>
      </c>
      <c r="G439">
        <f>IF(B439,MOD(SIN(Seed*0.5917+C439*39.3468+D439*11.135)*24634.6345,1),"")</f>
        <v/>
      </c>
      <c r="H439">
        <f>IF(B439,SQRT(-2*LN(F439))*COS(2*PI()*G439),"")</f>
        <v/>
      </c>
      <c r="I439">
        <f>IF(B439,IF(D439=0,H439,Rho*I438+SQRT(1-Rho^2)*H439),"")</f>
        <v/>
      </c>
      <c r="J439">
        <f>IF(B439,IF(Dist="Normal",DistA+DistB*I439,DistA+(DistB-DistA)*NORMSDIST(I439)),"")</f>
        <v/>
      </c>
      <c r="K439">
        <f>IF(B439,INDEX(MineScale,C439),"")</f>
        <v/>
      </c>
      <c r="L439">
        <f>IF(B439,INDEX(Dow,1,WEEKDAY(E439,2)),"")</f>
        <v/>
      </c>
      <c r="M439">
        <f>IF(B439,(1+Trend)^D439,"")</f>
        <v/>
      </c>
      <c r="N439">
        <f>IF(B439,EXP(SUMPRODUCT(LN(1+(EvEff-1)*INDEX(Affected,0,C439)*EXP(-((E439-EvCenter)^2)/(2*EvSigma^2))))),"")</f>
        <v/>
      </c>
      <c r="O439">
        <f>IF(B439,ROUND(MAX(0,J439*K439*L439*M439*N439),2),"")</f>
        <v/>
      </c>
    </row>
    <row r="440">
      <c r="A440" t="n">
        <v>439</v>
      </c>
      <c r="B440">
        <f>A440&lt;=MineCount*Days</f>
        <v/>
      </c>
      <c r="C440">
        <f>IF(B440,INT((A440-1)/Days)+1,"")</f>
        <v/>
      </c>
      <c r="D440">
        <f>IF(B440,MOD(A440-1,Days),"")</f>
        <v/>
      </c>
      <c r="E440" s="16">
        <f>IF(B440,StartDate+D440,"")</f>
        <v/>
      </c>
      <c r="F440">
        <f>IF(B440,MAX(MOD(SIN(Seed*0.1373+C440*12.9898+D440*78.233)*43758.5453,1),1E-9),"")</f>
        <v/>
      </c>
      <c r="G440">
        <f>IF(B440,MOD(SIN(Seed*0.5917+C440*39.3468+D440*11.135)*24634.6345,1),"")</f>
        <v/>
      </c>
      <c r="H440">
        <f>IF(B440,SQRT(-2*LN(F440))*COS(2*PI()*G440),"")</f>
        <v/>
      </c>
      <c r="I440">
        <f>IF(B440,IF(D440=0,H440,Rho*I439+SQRT(1-Rho^2)*H440),"")</f>
        <v/>
      </c>
      <c r="J440">
        <f>IF(B440,IF(Dist="Normal",DistA+DistB*I440,DistA+(DistB-DistA)*NORMSDIST(I440)),"")</f>
        <v/>
      </c>
      <c r="K440">
        <f>IF(B440,INDEX(MineScale,C440),"")</f>
        <v/>
      </c>
      <c r="L440">
        <f>IF(B440,INDEX(Dow,1,WEEKDAY(E440,2)),"")</f>
        <v/>
      </c>
      <c r="M440">
        <f>IF(B440,(1+Trend)^D440,"")</f>
        <v/>
      </c>
      <c r="N440">
        <f>IF(B440,EXP(SUMPRODUCT(LN(1+(EvEff-1)*INDEX(Affected,0,C440)*EXP(-((E440-EvCenter)^2)/(2*EvSigma^2))))),"")</f>
        <v/>
      </c>
      <c r="O440">
        <f>IF(B440,ROUND(MAX(0,J440*K440*L440*M440*N440),2),"")</f>
        <v/>
      </c>
    </row>
    <row r="441">
      <c r="A441" t="n">
        <v>440</v>
      </c>
      <c r="B441">
        <f>A441&lt;=MineCount*Days</f>
        <v/>
      </c>
      <c r="C441">
        <f>IF(B441,INT((A441-1)/Days)+1,"")</f>
        <v/>
      </c>
      <c r="D441">
        <f>IF(B441,MOD(A441-1,Days),"")</f>
        <v/>
      </c>
      <c r="E441" s="16">
        <f>IF(B441,StartDate+D441,"")</f>
        <v/>
      </c>
      <c r="F441">
        <f>IF(B441,MAX(MOD(SIN(Seed*0.1373+C441*12.9898+D441*78.233)*43758.5453,1),1E-9),"")</f>
        <v/>
      </c>
      <c r="G441">
        <f>IF(B441,MOD(SIN(Seed*0.5917+C441*39.3468+D441*11.135)*24634.6345,1),"")</f>
        <v/>
      </c>
      <c r="H441">
        <f>IF(B441,SQRT(-2*LN(F441))*COS(2*PI()*G441),"")</f>
        <v/>
      </c>
      <c r="I441">
        <f>IF(B441,IF(D441=0,H441,Rho*I440+SQRT(1-Rho^2)*H441),"")</f>
        <v/>
      </c>
      <c r="J441">
        <f>IF(B441,IF(Dist="Normal",DistA+DistB*I441,DistA+(DistB-DistA)*NORMSDIST(I441)),"")</f>
        <v/>
      </c>
      <c r="K441">
        <f>IF(B441,INDEX(MineScale,C441),"")</f>
        <v/>
      </c>
      <c r="L441">
        <f>IF(B441,INDEX(Dow,1,WEEKDAY(E441,2)),"")</f>
        <v/>
      </c>
      <c r="M441">
        <f>IF(B441,(1+Trend)^D441,"")</f>
        <v/>
      </c>
      <c r="N441">
        <f>IF(B441,EXP(SUMPRODUCT(LN(1+(EvEff-1)*INDEX(Affected,0,C441)*EXP(-((E441-EvCenter)^2)/(2*EvSigma^2))))),"")</f>
        <v/>
      </c>
      <c r="O441">
        <f>IF(B441,ROUND(MAX(0,J441*K441*L441*M441*N441),2),"")</f>
        <v/>
      </c>
    </row>
    <row r="442">
      <c r="A442" t="n">
        <v>441</v>
      </c>
      <c r="B442">
        <f>A442&lt;=MineCount*Days</f>
        <v/>
      </c>
      <c r="C442">
        <f>IF(B442,INT((A442-1)/Days)+1,"")</f>
        <v/>
      </c>
      <c r="D442">
        <f>IF(B442,MOD(A442-1,Days),"")</f>
        <v/>
      </c>
      <c r="E442" s="16">
        <f>IF(B442,StartDate+D442,"")</f>
        <v/>
      </c>
      <c r="F442">
        <f>IF(B442,MAX(MOD(SIN(Seed*0.1373+C442*12.9898+D442*78.233)*43758.5453,1),1E-9),"")</f>
        <v/>
      </c>
      <c r="G442">
        <f>IF(B442,MOD(SIN(Seed*0.5917+C442*39.3468+D442*11.135)*24634.6345,1),"")</f>
        <v/>
      </c>
      <c r="H442">
        <f>IF(B442,SQRT(-2*LN(F442))*COS(2*PI()*G442),"")</f>
        <v/>
      </c>
      <c r="I442">
        <f>IF(B442,IF(D442=0,H442,Rho*I441+SQRT(1-Rho^2)*H442),"")</f>
        <v/>
      </c>
      <c r="J442">
        <f>IF(B442,IF(Dist="Normal",DistA+DistB*I442,DistA+(DistB-DistA)*NORMSDIST(I442)),"")</f>
        <v/>
      </c>
      <c r="K442">
        <f>IF(B442,INDEX(MineScale,C442),"")</f>
        <v/>
      </c>
      <c r="L442">
        <f>IF(B442,INDEX(Dow,1,WEEKDAY(E442,2)),"")</f>
        <v/>
      </c>
      <c r="M442">
        <f>IF(B442,(1+Trend)^D442,"")</f>
        <v/>
      </c>
      <c r="N442">
        <f>IF(B442,EXP(SUMPRODUCT(LN(1+(EvEff-1)*INDEX(Affected,0,C442)*EXP(-((E442-EvCenter)^2)/(2*EvSigma^2))))),"")</f>
        <v/>
      </c>
      <c r="O442">
        <f>IF(B442,ROUND(MAX(0,J442*K442*L442*M442*N442),2),"")</f>
        <v/>
      </c>
    </row>
    <row r="443">
      <c r="A443" t="n">
        <v>442</v>
      </c>
      <c r="B443">
        <f>A443&lt;=MineCount*Days</f>
        <v/>
      </c>
      <c r="C443">
        <f>IF(B443,INT((A443-1)/Days)+1,"")</f>
        <v/>
      </c>
      <c r="D443">
        <f>IF(B443,MOD(A443-1,Days),"")</f>
        <v/>
      </c>
      <c r="E443" s="16">
        <f>IF(B443,StartDate+D443,"")</f>
        <v/>
      </c>
      <c r="F443">
        <f>IF(B443,MAX(MOD(SIN(Seed*0.1373+C443*12.9898+D443*78.233)*43758.5453,1),1E-9),"")</f>
        <v/>
      </c>
      <c r="G443">
        <f>IF(B443,MOD(SIN(Seed*0.5917+C443*39.3468+D443*11.135)*24634.6345,1),"")</f>
        <v/>
      </c>
      <c r="H443">
        <f>IF(B443,SQRT(-2*LN(F443))*COS(2*PI()*G443),"")</f>
        <v/>
      </c>
      <c r="I443">
        <f>IF(B443,IF(D443=0,H443,Rho*I442+SQRT(1-Rho^2)*H443),"")</f>
        <v/>
      </c>
      <c r="J443">
        <f>IF(B443,IF(Dist="Normal",DistA+DistB*I443,DistA+(DistB-DistA)*NORMSDIST(I443)),"")</f>
        <v/>
      </c>
      <c r="K443">
        <f>IF(B443,INDEX(MineScale,C443),"")</f>
        <v/>
      </c>
      <c r="L443">
        <f>IF(B443,INDEX(Dow,1,WEEKDAY(E443,2)),"")</f>
        <v/>
      </c>
      <c r="M443">
        <f>IF(B443,(1+Trend)^D443,"")</f>
        <v/>
      </c>
      <c r="N443">
        <f>IF(B443,EXP(SUMPRODUCT(LN(1+(EvEff-1)*INDEX(Affected,0,C443)*EXP(-((E443-EvCenter)^2)/(2*EvSigma^2))))),"")</f>
        <v/>
      </c>
      <c r="O443">
        <f>IF(B443,ROUND(MAX(0,J443*K443*L443*M443*N443),2),"")</f>
        <v/>
      </c>
    </row>
    <row r="444">
      <c r="A444" t="n">
        <v>443</v>
      </c>
      <c r="B444">
        <f>A444&lt;=MineCount*Days</f>
        <v/>
      </c>
      <c r="C444">
        <f>IF(B444,INT((A444-1)/Days)+1,"")</f>
        <v/>
      </c>
      <c r="D444">
        <f>IF(B444,MOD(A444-1,Days),"")</f>
        <v/>
      </c>
      <c r="E444" s="16">
        <f>IF(B444,StartDate+D444,"")</f>
        <v/>
      </c>
      <c r="F444">
        <f>IF(B444,MAX(MOD(SIN(Seed*0.1373+C444*12.9898+D444*78.233)*43758.5453,1),1E-9),"")</f>
        <v/>
      </c>
      <c r="G444">
        <f>IF(B444,MOD(SIN(Seed*0.5917+C444*39.3468+D444*11.135)*24634.6345,1),"")</f>
        <v/>
      </c>
      <c r="H444">
        <f>IF(B444,SQRT(-2*LN(F444))*COS(2*PI()*G444),"")</f>
        <v/>
      </c>
      <c r="I444">
        <f>IF(B444,IF(D444=0,H444,Rho*I443+SQRT(1-Rho^2)*H444),"")</f>
        <v/>
      </c>
      <c r="J444">
        <f>IF(B444,IF(Dist="Normal",DistA+DistB*I444,DistA+(DistB-DistA)*NORMSDIST(I444)),"")</f>
        <v/>
      </c>
      <c r="K444">
        <f>IF(B444,INDEX(MineScale,C444),"")</f>
        <v/>
      </c>
      <c r="L444">
        <f>IF(B444,INDEX(Dow,1,WEEKDAY(E444,2)),"")</f>
        <v/>
      </c>
      <c r="M444">
        <f>IF(B444,(1+Trend)^D444,"")</f>
        <v/>
      </c>
      <c r="N444">
        <f>IF(B444,EXP(SUMPRODUCT(LN(1+(EvEff-1)*INDEX(Affected,0,C444)*EXP(-((E444-EvCenter)^2)/(2*EvSigma^2))))),"")</f>
        <v/>
      </c>
      <c r="O444">
        <f>IF(B444,ROUND(MAX(0,J444*K444*L444*M444*N444),2),"")</f>
        <v/>
      </c>
    </row>
    <row r="445">
      <c r="A445" t="n">
        <v>444</v>
      </c>
      <c r="B445">
        <f>A445&lt;=MineCount*Days</f>
        <v/>
      </c>
      <c r="C445">
        <f>IF(B445,INT((A445-1)/Days)+1,"")</f>
        <v/>
      </c>
      <c r="D445">
        <f>IF(B445,MOD(A445-1,Days),"")</f>
        <v/>
      </c>
      <c r="E445" s="16">
        <f>IF(B445,StartDate+D445,"")</f>
        <v/>
      </c>
      <c r="F445">
        <f>IF(B445,MAX(MOD(SIN(Seed*0.1373+C445*12.9898+D445*78.233)*43758.5453,1),1E-9),"")</f>
        <v/>
      </c>
      <c r="G445">
        <f>IF(B445,MOD(SIN(Seed*0.5917+C445*39.3468+D445*11.135)*24634.6345,1),"")</f>
        <v/>
      </c>
      <c r="H445">
        <f>IF(B445,SQRT(-2*LN(F445))*COS(2*PI()*G445),"")</f>
        <v/>
      </c>
      <c r="I445">
        <f>IF(B445,IF(D445=0,H445,Rho*I444+SQRT(1-Rho^2)*H445),"")</f>
        <v/>
      </c>
      <c r="J445">
        <f>IF(B445,IF(Dist="Normal",DistA+DistB*I445,DistA+(DistB-DistA)*NORMSDIST(I445)),"")</f>
        <v/>
      </c>
      <c r="K445">
        <f>IF(B445,INDEX(MineScale,C445),"")</f>
        <v/>
      </c>
      <c r="L445">
        <f>IF(B445,INDEX(Dow,1,WEEKDAY(E445,2)),"")</f>
        <v/>
      </c>
      <c r="M445">
        <f>IF(B445,(1+Trend)^D445,"")</f>
        <v/>
      </c>
      <c r="N445">
        <f>IF(B445,EXP(SUMPRODUCT(LN(1+(EvEff-1)*INDEX(Affected,0,C445)*EXP(-((E445-EvCenter)^2)/(2*EvSigma^2))))),"")</f>
        <v/>
      </c>
      <c r="O445">
        <f>IF(B445,ROUND(MAX(0,J445*K445*L445*M445*N445),2),"")</f>
        <v/>
      </c>
    </row>
    <row r="446">
      <c r="A446" t="n">
        <v>445</v>
      </c>
      <c r="B446">
        <f>A446&lt;=MineCount*Days</f>
        <v/>
      </c>
      <c r="C446">
        <f>IF(B446,INT((A446-1)/Days)+1,"")</f>
        <v/>
      </c>
      <c r="D446">
        <f>IF(B446,MOD(A446-1,Days),"")</f>
        <v/>
      </c>
      <c r="E446" s="16">
        <f>IF(B446,StartDate+D446,"")</f>
        <v/>
      </c>
      <c r="F446">
        <f>IF(B446,MAX(MOD(SIN(Seed*0.1373+C446*12.9898+D446*78.233)*43758.5453,1),1E-9),"")</f>
        <v/>
      </c>
      <c r="G446">
        <f>IF(B446,MOD(SIN(Seed*0.5917+C446*39.3468+D446*11.135)*24634.6345,1),"")</f>
        <v/>
      </c>
      <c r="H446">
        <f>IF(B446,SQRT(-2*LN(F446))*COS(2*PI()*G446),"")</f>
        <v/>
      </c>
      <c r="I446">
        <f>IF(B446,IF(D446=0,H446,Rho*I445+SQRT(1-Rho^2)*H446),"")</f>
        <v/>
      </c>
      <c r="J446">
        <f>IF(B446,IF(Dist="Normal",DistA+DistB*I446,DistA+(DistB-DistA)*NORMSDIST(I446)),"")</f>
        <v/>
      </c>
      <c r="K446">
        <f>IF(B446,INDEX(MineScale,C446),"")</f>
        <v/>
      </c>
      <c r="L446">
        <f>IF(B446,INDEX(Dow,1,WEEKDAY(E446,2)),"")</f>
        <v/>
      </c>
      <c r="M446">
        <f>IF(B446,(1+Trend)^D446,"")</f>
        <v/>
      </c>
      <c r="N446">
        <f>IF(B446,EXP(SUMPRODUCT(LN(1+(EvEff-1)*INDEX(Affected,0,C446)*EXP(-((E446-EvCenter)^2)/(2*EvSigma^2))))),"")</f>
        <v/>
      </c>
      <c r="O446">
        <f>IF(B446,ROUND(MAX(0,J446*K446*L446*M446*N446),2),"")</f>
        <v/>
      </c>
    </row>
    <row r="447">
      <c r="A447" t="n">
        <v>446</v>
      </c>
      <c r="B447">
        <f>A447&lt;=MineCount*Days</f>
        <v/>
      </c>
      <c r="C447">
        <f>IF(B447,INT((A447-1)/Days)+1,"")</f>
        <v/>
      </c>
      <c r="D447">
        <f>IF(B447,MOD(A447-1,Days),"")</f>
        <v/>
      </c>
      <c r="E447" s="16">
        <f>IF(B447,StartDate+D447,"")</f>
        <v/>
      </c>
      <c r="F447">
        <f>IF(B447,MAX(MOD(SIN(Seed*0.1373+C447*12.9898+D447*78.233)*43758.5453,1),1E-9),"")</f>
        <v/>
      </c>
      <c r="G447">
        <f>IF(B447,MOD(SIN(Seed*0.5917+C447*39.3468+D447*11.135)*24634.6345,1),"")</f>
        <v/>
      </c>
      <c r="H447">
        <f>IF(B447,SQRT(-2*LN(F447))*COS(2*PI()*G447),"")</f>
        <v/>
      </c>
      <c r="I447">
        <f>IF(B447,IF(D447=0,H447,Rho*I446+SQRT(1-Rho^2)*H447),"")</f>
        <v/>
      </c>
      <c r="J447">
        <f>IF(B447,IF(Dist="Normal",DistA+DistB*I447,DistA+(DistB-DistA)*NORMSDIST(I447)),"")</f>
        <v/>
      </c>
      <c r="K447">
        <f>IF(B447,INDEX(MineScale,C447),"")</f>
        <v/>
      </c>
      <c r="L447">
        <f>IF(B447,INDEX(Dow,1,WEEKDAY(E447,2)),"")</f>
        <v/>
      </c>
      <c r="M447">
        <f>IF(B447,(1+Trend)^D447,"")</f>
        <v/>
      </c>
      <c r="N447">
        <f>IF(B447,EXP(SUMPRODUCT(LN(1+(EvEff-1)*INDEX(Affected,0,C447)*EXP(-((E447-EvCenter)^2)/(2*EvSigma^2))))),"")</f>
        <v/>
      </c>
      <c r="O447">
        <f>IF(B447,ROUND(MAX(0,J447*K447*L447*M447*N447),2),"")</f>
        <v/>
      </c>
    </row>
    <row r="448">
      <c r="A448" t="n">
        <v>447</v>
      </c>
      <c r="B448">
        <f>A448&lt;=MineCount*Days</f>
        <v/>
      </c>
      <c r="C448">
        <f>IF(B448,INT((A448-1)/Days)+1,"")</f>
        <v/>
      </c>
      <c r="D448">
        <f>IF(B448,MOD(A448-1,Days),"")</f>
        <v/>
      </c>
      <c r="E448" s="16">
        <f>IF(B448,StartDate+D448,"")</f>
        <v/>
      </c>
      <c r="F448">
        <f>IF(B448,MAX(MOD(SIN(Seed*0.1373+C448*12.9898+D448*78.233)*43758.5453,1),1E-9),"")</f>
        <v/>
      </c>
      <c r="G448">
        <f>IF(B448,MOD(SIN(Seed*0.5917+C448*39.3468+D448*11.135)*24634.6345,1),"")</f>
        <v/>
      </c>
      <c r="H448">
        <f>IF(B448,SQRT(-2*LN(F448))*COS(2*PI()*G448),"")</f>
        <v/>
      </c>
      <c r="I448">
        <f>IF(B448,IF(D448=0,H448,Rho*I447+SQRT(1-Rho^2)*H448),"")</f>
        <v/>
      </c>
      <c r="J448">
        <f>IF(B448,IF(Dist="Normal",DistA+DistB*I448,DistA+(DistB-DistA)*NORMSDIST(I448)),"")</f>
        <v/>
      </c>
      <c r="K448">
        <f>IF(B448,INDEX(MineScale,C448),"")</f>
        <v/>
      </c>
      <c r="L448">
        <f>IF(B448,INDEX(Dow,1,WEEKDAY(E448,2)),"")</f>
        <v/>
      </c>
      <c r="M448">
        <f>IF(B448,(1+Trend)^D448,"")</f>
        <v/>
      </c>
      <c r="N448">
        <f>IF(B448,EXP(SUMPRODUCT(LN(1+(EvEff-1)*INDEX(Affected,0,C448)*EXP(-((E448-EvCenter)^2)/(2*EvSigma^2))))),"")</f>
        <v/>
      </c>
      <c r="O448">
        <f>IF(B448,ROUND(MAX(0,J448*K448*L448*M448*N448),2),"")</f>
        <v/>
      </c>
    </row>
    <row r="449">
      <c r="A449" t="n">
        <v>448</v>
      </c>
      <c r="B449">
        <f>A449&lt;=MineCount*Days</f>
        <v/>
      </c>
      <c r="C449">
        <f>IF(B449,INT((A449-1)/Days)+1,"")</f>
        <v/>
      </c>
      <c r="D449">
        <f>IF(B449,MOD(A449-1,Days),"")</f>
        <v/>
      </c>
      <c r="E449" s="16">
        <f>IF(B449,StartDate+D449,"")</f>
        <v/>
      </c>
      <c r="F449">
        <f>IF(B449,MAX(MOD(SIN(Seed*0.1373+C449*12.9898+D449*78.233)*43758.5453,1),1E-9),"")</f>
        <v/>
      </c>
      <c r="G449">
        <f>IF(B449,MOD(SIN(Seed*0.5917+C449*39.3468+D449*11.135)*24634.6345,1),"")</f>
        <v/>
      </c>
      <c r="H449">
        <f>IF(B449,SQRT(-2*LN(F449))*COS(2*PI()*G449),"")</f>
        <v/>
      </c>
      <c r="I449">
        <f>IF(B449,IF(D449=0,H449,Rho*I448+SQRT(1-Rho^2)*H449),"")</f>
        <v/>
      </c>
      <c r="J449">
        <f>IF(B449,IF(Dist="Normal",DistA+DistB*I449,DistA+(DistB-DistA)*NORMSDIST(I449)),"")</f>
        <v/>
      </c>
      <c r="K449">
        <f>IF(B449,INDEX(MineScale,C449),"")</f>
        <v/>
      </c>
      <c r="L449">
        <f>IF(B449,INDEX(Dow,1,WEEKDAY(E449,2)),"")</f>
        <v/>
      </c>
      <c r="M449">
        <f>IF(B449,(1+Trend)^D449,"")</f>
        <v/>
      </c>
      <c r="N449">
        <f>IF(B449,EXP(SUMPRODUCT(LN(1+(EvEff-1)*INDEX(Affected,0,C449)*EXP(-((E449-EvCenter)^2)/(2*EvSigma^2))))),"")</f>
        <v/>
      </c>
      <c r="O449">
        <f>IF(B449,ROUND(MAX(0,J449*K449*L449*M449*N449),2),"")</f>
        <v/>
      </c>
    </row>
    <row r="450">
      <c r="A450" t="n">
        <v>449</v>
      </c>
      <c r="B450">
        <f>A450&lt;=MineCount*Days</f>
        <v/>
      </c>
      <c r="C450">
        <f>IF(B450,INT((A450-1)/Days)+1,"")</f>
        <v/>
      </c>
      <c r="D450">
        <f>IF(B450,MOD(A450-1,Days),"")</f>
        <v/>
      </c>
      <c r="E450" s="16">
        <f>IF(B450,StartDate+D450,"")</f>
        <v/>
      </c>
      <c r="F450">
        <f>IF(B450,MAX(MOD(SIN(Seed*0.1373+C450*12.9898+D450*78.233)*43758.5453,1),1E-9),"")</f>
        <v/>
      </c>
      <c r="G450">
        <f>IF(B450,MOD(SIN(Seed*0.5917+C450*39.3468+D450*11.135)*24634.6345,1),"")</f>
        <v/>
      </c>
      <c r="H450">
        <f>IF(B450,SQRT(-2*LN(F450))*COS(2*PI()*G450),"")</f>
        <v/>
      </c>
      <c r="I450">
        <f>IF(B450,IF(D450=0,H450,Rho*I449+SQRT(1-Rho^2)*H450),"")</f>
        <v/>
      </c>
      <c r="J450">
        <f>IF(B450,IF(Dist="Normal",DistA+DistB*I450,DistA+(DistB-DistA)*NORMSDIST(I450)),"")</f>
        <v/>
      </c>
      <c r="K450">
        <f>IF(B450,INDEX(MineScale,C450),"")</f>
        <v/>
      </c>
      <c r="L450">
        <f>IF(B450,INDEX(Dow,1,WEEKDAY(E450,2)),"")</f>
        <v/>
      </c>
      <c r="M450">
        <f>IF(B450,(1+Trend)^D450,"")</f>
        <v/>
      </c>
      <c r="N450">
        <f>IF(B450,EXP(SUMPRODUCT(LN(1+(EvEff-1)*INDEX(Affected,0,C450)*EXP(-((E450-EvCenter)^2)/(2*EvSigma^2))))),"")</f>
        <v/>
      </c>
      <c r="O450">
        <f>IF(B450,ROUND(MAX(0,J450*K450*L450*M450*N450),2),"")</f>
        <v/>
      </c>
    </row>
    <row r="451">
      <c r="A451" t="n">
        <v>450</v>
      </c>
      <c r="B451">
        <f>A451&lt;=MineCount*Days</f>
        <v/>
      </c>
      <c r="C451">
        <f>IF(B451,INT((A451-1)/Days)+1,"")</f>
        <v/>
      </c>
      <c r="D451">
        <f>IF(B451,MOD(A451-1,Days),"")</f>
        <v/>
      </c>
      <c r="E451" s="16">
        <f>IF(B451,StartDate+D451,"")</f>
        <v/>
      </c>
      <c r="F451">
        <f>IF(B451,MAX(MOD(SIN(Seed*0.1373+C451*12.9898+D451*78.233)*43758.5453,1),1E-9),"")</f>
        <v/>
      </c>
      <c r="G451">
        <f>IF(B451,MOD(SIN(Seed*0.5917+C451*39.3468+D451*11.135)*24634.6345,1),"")</f>
        <v/>
      </c>
      <c r="H451">
        <f>IF(B451,SQRT(-2*LN(F451))*COS(2*PI()*G451),"")</f>
        <v/>
      </c>
      <c r="I451">
        <f>IF(B451,IF(D451=0,H451,Rho*I450+SQRT(1-Rho^2)*H451),"")</f>
        <v/>
      </c>
      <c r="J451">
        <f>IF(B451,IF(Dist="Normal",DistA+DistB*I451,DistA+(DistB-DistA)*NORMSDIST(I451)),"")</f>
        <v/>
      </c>
      <c r="K451">
        <f>IF(B451,INDEX(MineScale,C451),"")</f>
        <v/>
      </c>
      <c r="L451">
        <f>IF(B451,INDEX(Dow,1,WEEKDAY(E451,2)),"")</f>
        <v/>
      </c>
      <c r="M451">
        <f>IF(B451,(1+Trend)^D451,"")</f>
        <v/>
      </c>
      <c r="N451">
        <f>IF(B451,EXP(SUMPRODUCT(LN(1+(EvEff-1)*INDEX(Affected,0,C451)*EXP(-((E451-EvCenter)^2)/(2*EvSigma^2))))),"")</f>
        <v/>
      </c>
      <c r="O451">
        <f>IF(B451,ROUND(MAX(0,J451*K451*L451*M451*N451),2),"")</f>
        <v/>
      </c>
    </row>
    <row r="452">
      <c r="A452" t="n">
        <v>451</v>
      </c>
      <c r="B452">
        <f>A452&lt;=MineCount*Days</f>
        <v/>
      </c>
      <c r="C452">
        <f>IF(B452,INT((A452-1)/Days)+1,"")</f>
        <v/>
      </c>
      <c r="D452">
        <f>IF(B452,MOD(A452-1,Days),"")</f>
        <v/>
      </c>
      <c r="E452" s="16">
        <f>IF(B452,StartDate+D452,"")</f>
        <v/>
      </c>
      <c r="F452">
        <f>IF(B452,MAX(MOD(SIN(Seed*0.1373+C452*12.9898+D452*78.233)*43758.5453,1),1E-9),"")</f>
        <v/>
      </c>
      <c r="G452">
        <f>IF(B452,MOD(SIN(Seed*0.5917+C452*39.3468+D452*11.135)*24634.6345,1),"")</f>
        <v/>
      </c>
      <c r="H452">
        <f>IF(B452,SQRT(-2*LN(F452))*COS(2*PI()*G452),"")</f>
        <v/>
      </c>
      <c r="I452">
        <f>IF(B452,IF(D452=0,H452,Rho*I451+SQRT(1-Rho^2)*H452),"")</f>
        <v/>
      </c>
      <c r="J452">
        <f>IF(B452,IF(Dist="Normal",DistA+DistB*I452,DistA+(DistB-DistA)*NORMSDIST(I452)),"")</f>
        <v/>
      </c>
      <c r="K452">
        <f>IF(B452,INDEX(MineScale,C452),"")</f>
        <v/>
      </c>
      <c r="L452">
        <f>IF(B452,INDEX(Dow,1,WEEKDAY(E452,2)),"")</f>
        <v/>
      </c>
      <c r="M452">
        <f>IF(B452,(1+Trend)^D452,"")</f>
        <v/>
      </c>
      <c r="N452">
        <f>IF(B452,EXP(SUMPRODUCT(LN(1+(EvEff-1)*INDEX(Affected,0,C452)*EXP(-((E452-EvCenter)^2)/(2*EvSigma^2))))),"")</f>
        <v/>
      </c>
      <c r="O452">
        <f>IF(B452,ROUND(MAX(0,J452*K452*L452*M452*N452),2),"")</f>
        <v/>
      </c>
    </row>
    <row r="453">
      <c r="A453" t="n">
        <v>452</v>
      </c>
      <c r="B453">
        <f>A453&lt;=MineCount*Days</f>
        <v/>
      </c>
      <c r="C453">
        <f>IF(B453,INT((A453-1)/Days)+1,"")</f>
        <v/>
      </c>
      <c r="D453">
        <f>IF(B453,MOD(A453-1,Days),"")</f>
        <v/>
      </c>
      <c r="E453" s="16">
        <f>IF(B453,StartDate+D453,"")</f>
        <v/>
      </c>
      <c r="F453">
        <f>IF(B453,MAX(MOD(SIN(Seed*0.1373+C453*12.9898+D453*78.233)*43758.5453,1),1E-9),"")</f>
        <v/>
      </c>
      <c r="G453">
        <f>IF(B453,MOD(SIN(Seed*0.5917+C453*39.3468+D453*11.135)*24634.6345,1),"")</f>
        <v/>
      </c>
      <c r="H453">
        <f>IF(B453,SQRT(-2*LN(F453))*COS(2*PI()*G453),"")</f>
        <v/>
      </c>
      <c r="I453">
        <f>IF(B453,IF(D453=0,H453,Rho*I452+SQRT(1-Rho^2)*H453),"")</f>
        <v/>
      </c>
      <c r="J453">
        <f>IF(B453,IF(Dist="Normal",DistA+DistB*I453,DistA+(DistB-DistA)*NORMSDIST(I453)),"")</f>
        <v/>
      </c>
      <c r="K453">
        <f>IF(B453,INDEX(MineScale,C453),"")</f>
        <v/>
      </c>
      <c r="L453">
        <f>IF(B453,INDEX(Dow,1,WEEKDAY(E453,2)),"")</f>
        <v/>
      </c>
      <c r="M453">
        <f>IF(B453,(1+Trend)^D453,"")</f>
        <v/>
      </c>
      <c r="N453">
        <f>IF(B453,EXP(SUMPRODUCT(LN(1+(EvEff-1)*INDEX(Affected,0,C453)*EXP(-((E453-EvCenter)^2)/(2*EvSigma^2))))),"")</f>
        <v/>
      </c>
      <c r="O453">
        <f>IF(B453,ROUND(MAX(0,J453*K453*L453*M453*N453),2),"")</f>
        <v/>
      </c>
    </row>
    <row r="454">
      <c r="A454" t="n">
        <v>453</v>
      </c>
      <c r="B454">
        <f>A454&lt;=MineCount*Days</f>
        <v/>
      </c>
      <c r="C454">
        <f>IF(B454,INT((A454-1)/Days)+1,"")</f>
        <v/>
      </c>
      <c r="D454">
        <f>IF(B454,MOD(A454-1,Days),"")</f>
        <v/>
      </c>
      <c r="E454" s="16">
        <f>IF(B454,StartDate+D454,"")</f>
        <v/>
      </c>
      <c r="F454">
        <f>IF(B454,MAX(MOD(SIN(Seed*0.1373+C454*12.9898+D454*78.233)*43758.5453,1),1E-9),"")</f>
        <v/>
      </c>
      <c r="G454">
        <f>IF(B454,MOD(SIN(Seed*0.5917+C454*39.3468+D454*11.135)*24634.6345,1),"")</f>
        <v/>
      </c>
      <c r="H454">
        <f>IF(B454,SQRT(-2*LN(F454))*COS(2*PI()*G454),"")</f>
        <v/>
      </c>
      <c r="I454">
        <f>IF(B454,IF(D454=0,H454,Rho*I453+SQRT(1-Rho^2)*H454),"")</f>
        <v/>
      </c>
      <c r="J454">
        <f>IF(B454,IF(Dist="Normal",DistA+DistB*I454,DistA+(DistB-DistA)*NORMSDIST(I454)),"")</f>
        <v/>
      </c>
      <c r="K454">
        <f>IF(B454,INDEX(MineScale,C454),"")</f>
        <v/>
      </c>
      <c r="L454">
        <f>IF(B454,INDEX(Dow,1,WEEKDAY(E454,2)),"")</f>
        <v/>
      </c>
      <c r="M454">
        <f>IF(B454,(1+Trend)^D454,"")</f>
        <v/>
      </c>
      <c r="N454">
        <f>IF(B454,EXP(SUMPRODUCT(LN(1+(EvEff-1)*INDEX(Affected,0,C454)*EXP(-((E454-EvCenter)^2)/(2*EvSigma^2))))),"")</f>
        <v/>
      </c>
      <c r="O454">
        <f>IF(B454,ROUND(MAX(0,J454*K454*L454*M454*N454),2),"")</f>
        <v/>
      </c>
    </row>
    <row r="455">
      <c r="A455" t="n">
        <v>454</v>
      </c>
      <c r="B455">
        <f>A455&lt;=MineCount*Days</f>
        <v/>
      </c>
      <c r="C455">
        <f>IF(B455,INT((A455-1)/Days)+1,"")</f>
        <v/>
      </c>
      <c r="D455">
        <f>IF(B455,MOD(A455-1,Days),"")</f>
        <v/>
      </c>
      <c r="E455" s="16">
        <f>IF(B455,StartDate+D455,"")</f>
        <v/>
      </c>
      <c r="F455">
        <f>IF(B455,MAX(MOD(SIN(Seed*0.1373+C455*12.9898+D455*78.233)*43758.5453,1),1E-9),"")</f>
        <v/>
      </c>
      <c r="G455">
        <f>IF(B455,MOD(SIN(Seed*0.5917+C455*39.3468+D455*11.135)*24634.6345,1),"")</f>
        <v/>
      </c>
      <c r="H455">
        <f>IF(B455,SQRT(-2*LN(F455))*COS(2*PI()*G455),"")</f>
        <v/>
      </c>
      <c r="I455">
        <f>IF(B455,IF(D455=0,H455,Rho*I454+SQRT(1-Rho^2)*H455),"")</f>
        <v/>
      </c>
      <c r="J455">
        <f>IF(B455,IF(Dist="Normal",DistA+DistB*I455,DistA+(DistB-DistA)*NORMSDIST(I455)),"")</f>
        <v/>
      </c>
      <c r="K455">
        <f>IF(B455,INDEX(MineScale,C455),"")</f>
        <v/>
      </c>
      <c r="L455">
        <f>IF(B455,INDEX(Dow,1,WEEKDAY(E455,2)),"")</f>
        <v/>
      </c>
      <c r="M455">
        <f>IF(B455,(1+Trend)^D455,"")</f>
        <v/>
      </c>
      <c r="N455">
        <f>IF(B455,EXP(SUMPRODUCT(LN(1+(EvEff-1)*INDEX(Affected,0,C455)*EXP(-((E455-EvCenter)^2)/(2*EvSigma^2))))),"")</f>
        <v/>
      </c>
      <c r="O455">
        <f>IF(B455,ROUND(MAX(0,J455*K455*L455*M455*N455),2),"")</f>
        <v/>
      </c>
    </row>
    <row r="456">
      <c r="A456" t="n">
        <v>455</v>
      </c>
      <c r="B456">
        <f>A456&lt;=MineCount*Days</f>
        <v/>
      </c>
      <c r="C456">
        <f>IF(B456,INT((A456-1)/Days)+1,"")</f>
        <v/>
      </c>
      <c r="D456">
        <f>IF(B456,MOD(A456-1,Days),"")</f>
        <v/>
      </c>
      <c r="E456" s="16">
        <f>IF(B456,StartDate+D456,"")</f>
        <v/>
      </c>
      <c r="F456">
        <f>IF(B456,MAX(MOD(SIN(Seed*0.1373+C456*12.9898+D456*78.233)*43758.5453,1),1E-9),"")</f>
        <v/>
      </c>
      <c r="G456">
        <f>IF(B456,MOD(SIN(Seed*0.5917+C456*39.3468+D456*11.135)*24634.6345,1),"")</f>
        <v/>
      </c>
      <c r="H456">
        <f>IF(B456,SQRT(-2*LN(F456))*COS(2*PI()*G456),"")</f>
        <v/>
      </c>
      <c r="I456">
        <f>IF(B456,IF(D456=0,H456,Rho*I455+SQRT(1-Rho^2)*H456),"")</f>
        <v/>
      </c>
      <c r="J456">
        <f>IF(B456,IF(Dist="Normal",DistA+DistB*I456,DistA+(DistB-DistA)*NORMSDIST(I456)),"")</f>
        <v/>
      </c>
      <c r="K456">
        <f>IF(B456,INDEX(MineScale,C456),"")</f>
        <v/>
      </c>
      <c r="L456">
        <f>IF(B456,INDEX(Dow,1,WEEKDAY(E456,2)),"")</f>
        <v/>
      </c>
      <c r="M456">
        <f>IF(B456,(1+Trend)^D456,"")</f>
        <v/>
      </c>
      <c r="N456">
        <f>IF(B456,EXP(SUMPRODUCT(LN(1+(EvEff-1)*INDEX(Affected,0,C456)*EXP(-((E456-EvCenter)^2)/(2*EvSigma^2))))),"")</f>
        <v/>
      </c>
      <c r="O456">
        <f>IF(B456,ROUND(MAX(0,J456*K456*L456*M456*N456),2),"")</f>
        <v/>
      </c>
    </row>
    <row r="457">
      <c r="A457" t="n">
        <v>456</v>
      </c>
      <c r="B457">
        <f>A457&lt;=MineCount*Days</f>
        <v/>
      </c>
      <c r="C457">
        <f>IF(B457,INT((A457-1)/Days)+1,"")</f>
        <v/>
      </c>
      <c r="D457">
        <f>IF(B457,MOD(A457-1,Days),"")</f>
        <v/>
      </c>
      <c r="E457" s="16">
        <f>IF(B457,StartDate+D457,"")</f>
        <v/>
      </c>
      <c r="F457">
        <f>IF(B457,MAX(MOD(SIN(Seed*0.1373+C457*12.9898+D457*78.233)*43758.5453,1),1E-9),"")</f>
        <v/>
      </c>
      <c r="G457">
        <f>IF(B457,MOD(SIN(Seed*0.5917+C457*39.3468+D457*11.135)*24634.6345,1),"")</f>
        <v/>
      </c>
      <c r="H457">
        <f>IF(B457,SQRT(-2*LN(F457))*COS(2*PI()*G457),"")</f>
        <v/>
      </c>
      <c r="I457">
        <f>IF(B457,IF(D457=0,H457,Rho*I456+SQRT(1-Rho^2)*H457),"")</f>
        <v/>
      </c>
      <c r="J457">
        <f>IF(B457,IF(Dist="Normal",DistA+DistB*I457,DistA+(DistB-DistA)*NORMSDIST(I457)),"")</f>
        <v/>
      </c>
      <c r="K457">
        <f>IF(B457,INDEX(MineScale,C457),"")</f>
        <v/>
      </c>
      <c r="L457">
        <f>IF(B457,INDEX(Dow,1,WEEKDAY(E457,2)),"")</f>
        <v/>
      </c>
      <c r="M457">
        <f>IF(B457,(1+Trend)^D457,"")</f>
        <v/>
      </c>
      <c r="N457">
        <f>IF(B457,EXP(SUMPRODUCT(LN(1+(EvEff-1)*INDEX(Affected,0,C457)*EXP(-((E457-EvCenter)^2)/(2*EvSigma^2))))),"")</f>
        <v/>
      </c>
      <c r="O457">
        <f>IF(B457,ROUND(MAX(0,J457*K457*L457*M457*N457),2),"")</f>
        <v/>
      </c>
    </row>
    <row r="458">
      <c r="A458" t="n">
        <v>457</v>
      </c>
      <c r="B458">
        <f>A458&lt;=MineCount*Days</f>
        <v/>
      </c>
      <c r="C458">
        <f>IF(B458,INT((A458-1)/Days)+1,"")</f>
        <v/>
      </c>
      <c r="D458">
        <f>IF(B458,MOD(A458-1,Days),"")</f>
        <v/>
      </c>
      <c r="E458" s="16">
        <f>IF(B458,StartDate+D458,"")</f>
        <v/>
      </c>
      <c r="F458">
        <f>IF(B458,MAX(MOD(SIN(Seed*0.1373+C458*12.9898+D458*78.233)*43758.5453,1),1E-9),"")</f>
        <v/>
      </c>
      <c r="G458">
        <f>IF(B458,MOD(SIN(Seed*0.5917+C458*39.3468+D458*11.135)*24634.6345,1),"")</f>
        <v/>
      </c>
      <c r="H458">
        <f>IF(B458,SQRT(-2*LN(F458))*COS(2*PI()*G458),"")</f>
        <v/>
      </c>
      <c r="I458">
        <f>IF(B458,IF(D458=0,H458,Rho*I457+SQRT(1-Rho^2)*H458),"")</f>
        <v/>
      </c>
      <c r="J458">
        <f>IF(B458,IF(Dist="Normal",DistA+DistB*I458,DistA+(DistB-DistA)*NORMSDIST(I458)),"")</f>
        <v/>
      </c>
      <c r="K458">
        <f>IF(B458,INDEX(MineScale,C458),"")</f>
        <v/>
      </c>
      <c r="L458">
        <f>IF(B458,INDEX(Dow,1,WEEKDAY(E458,2)),"")</f>
        <v/>
      </c>
      <c r="M458">
        <f>IF(B458,(1+Trend)^D458,"")</f>
        <v/>
      </c>
      <c r="N458">
        <f>IF(B458,EXP(SUMPRODUCT(LN(1+(EvEff-1)*INDEX(Affected,0,C458)*EXP(-((E458-EvCenter)^2)/(2*EvSigma^2))))),"")</f>
        <v/>
      </c>
      <c r="O458">
        <f>IF(B458,ROUND(MAX(0,J458*K458*L458*M458*N458),2),"")</f>
        <v/>
      </c>
    </row>
    <row r="459">
      <c r="A459" t="n">
        <v>458</v>
      </c>
      <c r="B459">
        <f>A459&lt;=MineCount*Days</f>
        <v/>
      </c>
      <c r="C459">
        <f>IF(B459,INT((A459-1)/Days)+1,"")</f>
        <v/>
      </c>
      <c r="D459">
        <f>IF(B459,MOD(A459-1,Days),"")</f>
        <v/>
      </c>
      <c r="E459" s="16">
        <f>IF(B459,StartDate+D459,"")</f>
        <v/>
      </c>
      <c r="F459">
        <f>IF(B459,MAX(MOD(SIN(Seed*0.1373+C459*12.9898+D459*78.233)*43758.5453,1),1E-9),"")</f>
        <v/>
      </c>
      <c r="G459">
        <f>IF(B459,MOD(SIN(Seed*0.5917+C459*39.3468+D459*11.135)*24634.6345,1),"")</f>
        <v/>
      </c>
      <c r="H459">
        <f>IF(B459,SQRT(-2*LN(F459))*COS(2*PI()*G459),"")</f>
        <v/>
      </c>
      <c r="I459">
        <f>IF(B459,IF(D459=0,H459,Rho*I458+SQRT(1-Rho^2)*H459),"")</f>
        <v/>
      </c>
      <c r="J459">
        <f>IF(B459,IF(Dist="Normal",DistA+DistB*I459,DistA+(DistB-DistA)*NORMSDIST(I459)),"")</f>
        <v/>
      </c>
      <c r="K459">
        <f>IF(B459,INDEX(MineScale,C459),"")</f>
        <v/>
      </c>
      <c r="L459">
        <f>IF(B459,INDEX(Dow,1,WEEKDAY(E459,2)),"")</f>
        <v/>
      </c>
      <c r="M459">
        <f>IF(B459,(1+Trend)^D459,"")</f>
        <v/>
      </c>
      <c r="N459">
        <f>IF(B459,EXP(SUMPRODUCT(LN(1+(EvEff-1)*INDEX(Affected,0,C459)*EXP(-((E459-EvCenter)^2)/(2*EvSigma^2))))),"")</f>
        <v/>
      </c>
      <c r="O459">
        <f>IF(B459,ROUND(MAX(0,J459*K459*L459*M459*N459),2),"")</f>
        <v/>
      </c>
    </row>
    <row r="460">
      <c r="A460" t="n">
        <v>459</v>
      </c>
      <c r="B460">
        <f>A460&lt;=MineCount*Days</f>
        <v/>
      </c>
      <c r="C460">
        <f>IF(B460,INT((A460-1)/Days)+1,"")</f>
        <v/>
      </c>
      <c r="D460">
        <f>IF(B460,MOD(A460-1,Days),"")</f>
        <v/>
      </c>
      <c r="E460" s="16">
        <f>IF(B460,StartDate+D460,"")</f>
        <v/>
      </c>
      <c r="F460">
        <f>IF(B460,MAX(MOD(SIN(Seed*0.1373+C460*12.9898+D460*78.233)*43758.5453,1),1E-9),"")</f>
        <v/>
      </c>
      <c r="G460">
        <f>IF(B460,MOD(SIN(Seed*0.5917+C460*39.3468+D460*11.135)*24634.6345,1),"")</f>
        <v/>
      </c>
      <c r="H460">
        <f>IF(B460,SQRT(-2*LN(F460))*COS(2*PI()*G460),"")</f>
        <v/>
      </c>
      <c r="I460">
        <f>IF(B460,IF(D460=0,H460,Rho*I459+SQRT(1-Rho^2)*H460),"")</f>
        <v/>
      </c>
      <c r="J460">
        <f>IF(B460,IF(Dist="Normal",DistA+DistB*I460,DistA+(DistB-DistA)*NORMSDIST(I460)),"")</f>
        <v/>
      </c>
      <c r="K460">
        <f>IF(B460,INDEX(MineScale,C460),"")</f>
        <v/>
      </c>
      <c r="L460">
        <f>IF(B460,INDEX(Dow,1,WEEKDAY(E460,2)),"")</f>
        <v/>
      </c>
      <c r="M460">
        <f>IF(B460,(1+Trend)^D460,"")</f>
        <v/>
      </c>
      <c r="N460">
        <f>IF(B460,EXP(SUMPRODUCT(LN(1+(EvEff-1)*INDEX(Affected,0,C460)*EXP(-((E460-EvCenter)^2)/(2*EvSigma^2))))),"")</f>
        <v/>
      </c>
      <c r="O460">
        <f>IF(B460,ROUND(MAX(0,J460*K460*L460*M460*N460),2),"")</f>
        <v/>
      </c>
    </row>
    <row r="461">
      <c r="A461" t="n">
        <v>460</v>
      </c>
      <c r="B461">
        <f>A461&lt;=MineCount*Days</f>
        <v/>
      </c>
      <c r="C461">
        <f>IF(B461,INT((A461-1)/Days)+1,"")</f>
        <v/>
      </c>
      <c r="D461">
        <f>IF(B461,MOD(A461-1,Days),"")</f>
        <v/>
      </c>
      <c r="E461" s="16">
        <f>IF(B461,StartDate+D461,"")</f>
        <v/>
      </c>
      <c r="F461">
        <f>IF(B461,MAX(MOD(SIN(Seed*0.1373+C461*12.9898+D461*78.233)*43758.5453,1),1E-9),"")</f>
        <v/>
      </c>
      <c r="G461">
        <f>IF(B461,MOD(SIN(Seed*0.5917+C461*39.3468+D461*11.135)*24634.6345,1),"")</f>
        <v/>
      </c>
      <c r="H461">
        <f>IF(B461,SQRT(-2*LN(F461))*COS(2*PI()*G461),"")</f>
        <v/>
      </c>
      <c r="I461">
        <f>IF(B461,IF(D461=0,H461,Rho*I460+SQRT(1-Rho^2)*H461),"")</f>
        <v/>
      </c>
      <c r="J461">
        <f>IF(B461,IF(Dist="Normal",DistA+DistB*I461,DistA+(DistB-DistA)*NORMSDIST(I461)),"")</f>
        <v/>
      </c>
      <c r="K461">
        <f>IF(B461,INDEX(MineScale,C461),"")</f>
        <v/>
      </c>
      <c r="L461">
        <f>IF(B461,INDEX(Dow,1,WEEKDAY(E461,2)),"")</f>
        <v/>
      </c>
      <c r="M461">
        <f>IF(B461,(1+Trend)^D461,"")</f>
        <v/>
      </c>
      <c r="N461">
        <f>IF(B461,EXP(SUMPRODUCT(LN(1+(EvEff-1)*INDEX(Affected,0,C461)*EXP(-((E461-EvCenter)^2)/(2*EvSigma^2))))),"")</f>
        <v/>
      </c>
      <c r="O461">
        <f>IF(B461,ROUND(MAX(0,J461*K461*L461*M461*N461),2),"")</f>
        <v/>
      </c>
    </row>
    <row r="462">
      <c r="A462" t="n">
        <v>461</v>
      </c>
      <c r="B462">
        <f>A462&lt;=MineCount*Days</f>
        <v/>
      </c>
      <c r="C462">
        <f>IF(B462,INT((A462-1)/Days)+1,"")</f>
        <v/>
      </c>
      <c r="D462">
        <f>IF(B462,MOD(A462-1,Days),"")</f>
        <v/>
      </c>
      <c r="E462" s="16">
        <f>IF(B462,StartDate+D462,"")</f>
        <v/>
      </c>
      <c r="F462">
        <f>IF(B462,MAX(MOD(SIN(Seed*0.1373+C462*12.9898+D462*78.233)*43758.5453,1),1E-9),"")</f>
        <v/>
      </c>
      <c r="G462">
        <f>IF(B462,MOD(SIN(Seed*0.5917+C462*39.3468+D462*11.135)*24634.6345,1),"")</f>
        <v/>
      </c>
      <c r="H462">
        <f>IF(B462,SQRT(-2*LN(F462))*COS(2*PI()*G462),"")</f>
        <v/>
      </c>
      <c r="I462">
        <f>IF(B462,IF(D462=0,H462,Rho*I461+SQRT(1-Rho^2)*H462),"")</f>
        <v/>
      </c>
      <c r="J462">
        <f>IF(B462,IF(Dist="Normal",DistA+DistB*I462,DistA+(DistB-DistA)*NORMSDIST(I462)),"")</f>
        <v/>
      </c>
      <c r="K462">
        <f>IF(B462,INDEX(MineScale,C462),"")</f>
        <v/>
      </c>
      <c r="L462">
        <f>IF(B462,INDEX(Dow,1,WEEKDAY(E462,2)),"")</f>
        <v/>
      </c>
      <c r="M462">
        <f>IF(B462,(1+Trend)^D462,"")</f>
        <v/>
      </c>
      <c r="N462">
        <f>IF(B462,EXP(SUMPRODUCT(LN(1+(EvEff-1)*INDEX(Affected,0,C462)*EXP(-((E462-EvCenter)^2)/(2*EvSigma^2))))),"")</f>
        <v/>
      </c>
      <c r="O462">
        <f>IF(B462,ROUND(MAX(0,J462*K462*L462*M462*N462),2),"")</f>
        <v/>
      </c>
    </row>
    <row r="463">
      <c r="A463" t="n">
        <v>462</v>
      </c>
      <c r="B463">
        <f>A463&lt;=MineCount*Days</f>
        <v/>
      </c>
      <c r="C463">
        <f>IF(B463,INT((A463-1)/Days)+1,"")</f>
        <v/>
      </c>
      <c r="D463">
        <f>IF(B463,MOD(A463-1,Days),"")</f>
        <v/>
      </c>
      <c r="E463" s="16">
        <f>IF(B463,StartDate+D463,"")</f>
        <v/>
      </c>
      <c r="F463">
        <f>IF(B463,MAX(MOD(SIN(Seed*0.1373+C463*12.9898+D463*78.233)*43758.5453,1),1E-9),"")</f>
        <v/>
      </c>
      <c r="G463">
        <f>IF(B463,MOD(SIN(Seed*0.5917+C463*39.3468+D463*11.135)*24634.6345,1),"")</f>
        <v/>
      </c>
      <c r="H463">
        <f>IF(B463,SQRT(-2*LN(F463))*COS(2*PI()*G463),"")</f>
        <v/>
      </c>
      <c r="I463">
        <f>IF(B463,IF(D463=0,H463,Rho*I462+SQRT(1-Rho^2)*H463),"")</f>
        <v/>
      </c>
      <c r="J463">
        <f>IF(B463,IF(Dist="Normal",DistA+DistB*I463,DistA+(DistB-DistA)*NORMSDIST(I463)),"")</f>
        <v/>
      </c>
      <c r="K463">
        <f>IF(B463,INDEX(MineScale,C463),"")</f>
        <v/>
      </c>
      <c r="L463">
        <f>IF(B463,INDEX(Dow,1,WEEKDAY(E463,2)),"")</f>
        <v/>
      </c>
      <c r="M463">
        <f>IF(B463,(1+Trend)^D463,"")</f>
        <v/>
      </c>
      <c r="N463">
        <f>IF(B463,EXP(SUMPRODUCT(LN(1+(EvEff-1)*INDEX(Affected,0,C463)*EXP(-((E463-EvCenter)^2)/(2*EvSigma^2))))),"")</f>
        <v/>
      </c>
      <c r="O463">
        <f>IF(B463,ROUND(MAX(0,J463*K463*L463*M463*N463),2),"")</f>
        <v/>
      </c>
    </row>
    <row r="464">
      <c r="A464" t="n">
        <v>463</v>
      </c>
      <c r="B464">
        <f>A464&lt;=MineCount*Days</f>
        <v/>
      </c>
      <c r="C464">
        <f>IF(B464,INT((A464-1)/Days)+1,"")</f>
        <v/>
      </c>
      <c r="D464">
        <f>IF(B464,MOD(A464-1,Days),"")</f>
        <v/>
      </c>
      <c r="E464" s="16">
        <f>IF(B464,StartDate+D464,"")</f>
        <v/>
      </c>
      <c r="F464">
        <f>IF(B464,MAX(MOD(SIN(Seed*0.1373+C464*12.9898+D464*78.233)*43758.5453,1),1E-9),"")</f>
        <v/>
      </c>
      <c r="G464">
        <f>IF(B464,MOD(SIN(Seed*0.5917+C464*39.3468+D464*11.135)*24634.6345,1),"")</f>
        <v/>
      </c>
      <c r="H464">
        <f>IF(B464,SQRT(-2*LN(F464))*COS(2*PI()*G464),"")</f>
        <v/>
      </c>
      <c r="I464">
        <f>IF(B464,IF(D464=0,H464,Rho*I463+SQRT(1-Rho^2)*H464),"")</f>
        <v/>
      </c>
      <c r="J464">
        <f>IF(B464,IF(Dist="Normal",DistA+DistB*I464,DistA+(DistB-DistA)*NORMSDIST(I464)),"")</f>
        <v/>
      </c>
      <c r="K464">
        <f>IF(B464,INDEX(MineScale,C464),"")</f>
        <v/>
      </c>
      <c r="L464">
        <f>IF(B464,INDEX(Dow,1,WEEKDAY(E464,2)),"")</f>
        <v/>
      </c>
      <c r="M464">
        <f>IF(B464,(1+Trend)^D464,"")</f>
        <v/>
      </c>
      <c r="N464">
        <f>IF(B464,EXP(SUMPRODUCT(LN(1+(EvEff-1)*INDEX(Affected,0,C464)*EXP(-((E464-EvCenter)^2)/(2*EvSigma^2))))),"")</f>
        <v/>
      </c>
      <c r="O464">
        <f>IF(B464,ROUND(MAX(0,J464*K464*L464*M464*N464),2),"")</f>
        <v/>
      </c>
    </row>
    <row r="465">
      <c r="A465" t="n">
        <v>464</v>
      </c>
      <c r="B465">
        <f>A465&lt;=MineCount*Days</f>
        <v/>
      </c>
      <c r="C465">
        <f>IF(B465,INT((A465-1)/Days)+1,"")</f>
        <v/>
      </c>
      <c r="D465">
        <f>IF(B465,MOD(A465-1,Days),"")</f>
        <v/>
      </c>
      <c r="E465" s="16">
        <f>IF(B465,StartDate+D465,"")</f>
        <v/>
      </c>
      <c r="F465">
        <f>IF(B465,MAX(MOD(SIN(Seed*0.1373+C465*12.9898+D465*78.233)*43758.5453,1),1E-9),"")</f>
        <v/>
      </c>
      <c r="G465">
        <f>IF(B465,MOD(SIN(Seed*0.5917+C465*39.3468+D465*11.135)*24634.6345,1),"")</f>
        <v/>
      </c>
      <c r="H465">
        <f>IF(B465,SQRT(-2*LN(F465))*COS(2*PI()*G465),"")</f>
        <v/>
      </c>
      <c r="I465">
        <f>IF(B465,IF(D465=0,H465,Rho*I464+SQRT(1-Rho^2)*H465),"")</f>
        <v/>
      </c>
      <c r="J465">
        <f>IF(B465,IF(Dist="Normal",DistA+DistB*I465,DistA+(DistB-DistA)*NORMSDIST(I465)),"")</f>
        <v/>
      </c>
      <c r="K465">
        <f>IF(B465,INDEX(MineScale,C465),"")</f>
        <v/>
      </c>
      <c r="L465">
        <f>IF(B465,INDEX(Dow,1,WEEKDAY(E465,2)),"")</f>
        <v/>
      </c>
      <c r="M465">
        <f>IF(B465,(1+Trend)^D465,"")</f>
        <v/>
      </c>
      <c r="N465">
        <f>IF(B465,EXP(SUMPRODUCT(LN(1+(EvEff-1)*INDEX(Affected,0,C465)*EXP(-((E465-EvCenter)^2)/(2*EvSigma^2))))),"")</f>
        <v/>
      </c>
      <c r="O465">
        <f>IF(B465,ROUND(MAX(0,J465*K465*L465*M465*N465),2),"")</f>
        <v/>
      </c>
    </row>
    <row r="466">
      <c r="A466" t="n">
        <v>465</v>
      </c>
      <c r="B466">
        <f>A466&lt;=MineCount*Days</f>
        <v/>
      </c>
      <c r="C466">
        <f>IF(B466,INT((A466-1)/Days)+1,"")</f>
        <v/>
      </c>
      <c r="D466">
        <f>IF(B466,MOD(A466-1,Days),"")</f>
        <v/>
      </c>
      <c r="E466" s="16">
        <f>IF(B466,StartDate+D466,"")</f>
        <v/>
      </c>
      <c r="F466">
        <f>IF(B466,MAX(MOD(SIN(Seed*0.1373+C466*12.9898+D466*78.233)*43758.5453,1),1E-9),"")</f>
        <v/>
      </c>
      <c r="G466">
        <f>IF(B466,MOD(SIN(Seed*0.5917+C466*39.3468+D466*11.135)*24634.6345,1),"")</f>
        <v/>
      </c>
      <c r="H466">
        <f>IF(B466,SQRT(-2*LN(F466))*COS(2*PI()*G466),"")</f>
        <v/>
      </c>
      <c r="I466">
        <f>IF(B466,IF(D466=0,H466,Rho*I465+SQRT(1-Rho^2)*H466),"")</f>
        <v/>
      </c>
      <c r="J466">
        <f>IF(B466,IF(Dist="Normal",DistA+DistB*I466,DistA+(DistB-DistA)*NORMSDIST(I466)),"")</f>
        <v/>
      </c>
      <c r="K466">
        <f>IF(B466,INDEX(MineScale,C466),"")</f>
        <v/>
      </c>
      <c r="L466">
        <f>IF(B466,INDEX(Dow,1,WEEKDAY(E466,2)),"")</f>
        <v/>
      </c>
      <c r="M466">
        <f>IF(B466,(1+Trend)^D466,"")</f>
        <v/>
      </c>
      <c r="N466">
        <f>IF(B466,EXP(SUMPRODUCT(LN(1+(EvEff-1)*INDEX(Affected,0,C466)*EXP(-((E466-EvCenter)^2)/(2*EvSigma^2))))),"")</f>
        <v/>
      </c>
      <c r="O466">
        <f>IF(B466,ROUND(MAX(0,J466*K466*L466*M466*N466),2),"")</f>
        <v/>
      </c>
    </row>
    <row r="467">
      <c r="A467" t="n">
        <v>466</v>
      </c>
      <c r="B467">
        <f>A467&lt;=MineCount*Days</f>
        <v/>
      </c>
      <c r="C467">
        <f>IF(B467,INT((A467-1)/Days)+1,"")</f>
        <v/>
      </c>
      <c r="D467">
        <f>IF(B467,MOD(A467-1,Days),"")</f>
        <v/>
      </c>
      <c r="E467" s="16">
        <f>IF(B467,StartDate+D467,"")</f>
        <v/>
      </c>
      <c r="F467">
        <f>IF(B467,MAX(MOD(SIN(Seed*0.1373+C467*12.9898+D467*78.233)*43758.5453,1),1E-9),"")</f>
        <v/>
      </c>
      <c r="G467">
        <f>IF(B467,MOD(SIN(Seed*0.5917+C467*39.3468+D467*11.135)*24634.6345,1),"")</f>
        <v/>
      </c>
      <c r="H467">
        <f>IF(B467,SQRT(-2*LN(F467))*COS(2*PI()*G467),"")</f>
        <v/>
      </c>
      <c r="I467">
        <f>IF(B467,IF(D467=0,H467,Rho*I466+SQRT(1-Rho^2)*H467),"")</f>
        <v/>
      </c>
      <c r="J467">
        <f>IF(B467,IF(Dist="Normal",DistA+DistB*I467,DistA+(DistB-DistA)*NORMSDIST(I467)),"")</f>
        <v/>
      </c>
      <c r="K467">
        <f>IF(B467,INDEX(MineScale,C467),"")</f>
        <v/>
      </c>
      <c r="L467">
        <f>IF(B467,INDEX(Dow,1,WEEKDAY(E467,2)),"")</f>
        <v/>
      </c>
      <c r="M467">
        <f>IF(B467,(1+Trend)^D467,"")</f>
        <v/>
      </c>
      <c r="N467">
        <f>IF(B467,EXP(SUMPRODUCT(LN(1+(EvEff-1)*INDEX(Affected,0,C467)*EXP(-((E467-EvCenter)^2)/(2*EvSigma^2))))),"")</f>
        <v/>
      </c>
      <c r="O467">
        <f>IF(B467,ROUND(MAX(0,J467*K467*L467*M467*N467),2),"")</f>
        <v/>
      </c>
    </row>
    <row r="468">
      <c r="A468" t="n">
        <v>467</v>
      </c>
      <c r="B468">
        <f>A468&lt;=MineCount*Days</f>
        <v/>
      </c>
      <c r="C468">
        <f>IF(B468,INT((A468-1)/Days)+1,"")</f>
        <v/>
      </c>
      <c r="D468">
        <f>IF(B468,MOD(A468-1,Days),"")</f>
        <v/>
      </c>
      <c r="E468" s="16">
        <f>IF(B468,StartDate+D468,"")</f>
        <v/>
      </c>
      <c r="F468">
        <f>IF(B468,MAX(MOD(SIN(Seed*0.1373+C468*12.9898+D468*78.233)*43758.5453,1),1E-9),"")</f>
        <v/>
      </c>
      <c r="G468">
        <f>IF(B468,MOD(SIN(Seed*0.5917+C468*39.3468+D468*11.135)*24634.6345,1),"")</f>
        <v/>
      </c>
      <c r="H468">
        <f>IF(B468,SQRT(-2*LN(F468))*COS(2*PI()*G468),"")</f>
        <v/>
      </c>
      <c r="I468">
        <f>IF(B468,IF(D468=0,H468,Rho*I467+SQRT(1-Rho^2)*H468),"")</f>
        <v/>
      </c>
      <c r="J468">
        <f>IF(B468,IF(Dist="Normal",DistA+DistB*I468,DistA+(DistB-DistA)*NORMSDIST(I468)),"")</f>
        <v/>
      </c>
      <c r="K468">
        <f>IF(B468,INDEX(MineScale,C468),"")</f>
        <v/>
      </c>
      <c r="L468">
        <f>IF(B468,INDEX(Dow,1,WEEKDAY(E468,2)),"")</f>
        <v/>
      </c>
      <c r="M468">
        <f>IF(B468,(1+Trend)^D468,"")</f>
        <v/>
      </c>
      <c r="N468">
        <f>IF(B468,EXP(SUMPRODUCT(LN(1+(EvEff-1)*INDEX(Affected,0,C468)*EXP(-((E468-EvCenter)^2)/(2*EvSigma^2))))),"")</f>
        <v/>
      </c>
      <c r="O468">
        <f>IF(B468,ROUND(MAX(0,J468*K468*L468*M468*N468),2),"")</f>
        <v/>
      </c>
    </row>
    <row r="469">
      <c r="A469" t="n">
        <v>468</v>
      </c>
      <c r="B469">
        <f>A469&lt;=MineCount*Days</f>
        <v/>
      </c>
      <c r="C469">
        <f>IF(B469,INT((A469-1)/Days)+1,"")</f>
        <v/>
      </c>
      <c r="D469">
        <f>IF(B469,MOD(A469-1,Days),"")</f>
        <v/>
      </c>
      <c r="E469" s="16">
        <f>IF(B469,StartDate+D469,"")</f>
        <v/>
      </c>
      <c r="F469">
        <f>IF(B469,MAX(MOD(SIN(Seed*0.1373+C469*12.9898+D469*78.233)*43758.5453,1),1E-9),"")</f>
        <v/>
      </c>
      <c r="G469">
        <f>IF(B469,MOD(SIN(Seed*0.5917+C469*39.3468+D469*11.135)*24634.6345,1),"")</f>
        <v/>
      </c>
      <c r="H469">
        <f>IF(B469,SQRT(-2*LN(F469))*COS(2*PI()*G469),"")</f>
        <v/>
      </c>
      <c r="I469">
        <f>IF(B469,IF(D469=0,H469,Rho*I468+SQRT(1-Rho^2)*H469),"")</f>
        <v/>
      </c>
      <c r="J469">
        <f>IF(B469,IF(Dist="Normal",DistA+DistB*I469,DistA+(DistB-DistA)*NORMSDIST(I469)),"")</f>
        <v/>
      </c>
      <c r="K469">
        <f>IF(B469,INDEX(MineScale,C469),"")</f>
        <v/>
      </c>
      <c r="L469">
        <f>IF(B469,INDEX(Dow,1,WEEKDAY(E469,2)),"")</f>
        <v/>
      </c>
      <c r="M469">
        <f>IF(B469,(1+Trend)^D469,"")</f>
        <v/>
      </c>
      <c r="N469">
        <f>IF(B469,EXP(SUMPRODUCT(LN(1+(EvEff-1)*INDEX(Affected,0,C469)*EXP(-((E469-EvCenter)^2)/(2*EvSigma^2))))),"")</f>
        <v/>
      </c>
      <c r="O469">
        <f>IF(B469,ROUND(MAX(0,J469*K469*L469*M469*N469),2),"")</f>
        <v/>
      </c>
    </row>
    <row r="470">
      <c r="A470" t="n">
        <v>469</v>
      </c>
      <c r="B470">
        <f>A470&lt;=MineCount*Days</f>
        <v/>
      </c>
      <c r="C470">
        <f>IF(B470,INT((A470-1)/Days)+1,"")</f>
        <v/>
      </c>
      <c r="D470">
        <f>IF(B470,MOD(A470-1,Days),"")</f>
        <v/>
      </c>
      <c r="E470" s="16">
        <f>IF(B470,StartDate+D470,"")</f>
        <v/>
      </c>
      <c r="F470">
        <f>IF(B470,MAX(MOD(SIN(Seed*0.1373+C470*12.9898+D470*78.233)*43758.5453,1),1E-9),"")</f>
        <v/>
      </c>
      <c r="G470">
        <f>IF(B470,MOD(SIN(Seed*0.5917+C470*39.3468+D470*11.135)*24634.6345,1),"")</f>
        <v/>
      </c>
      <c r="H470">
        <f>IF(B470,SQRT(-2*LN(F470))*COS(2*PI()*G470),"")</f>
        <v/>
      </c>
      <c r="I470">
        <f>IF(B470,IF(D470=0,H470,Rho*I469+SQRT(1-Rho^2)*H470),"")</f>
        <v/>
      </c>
      <c r="J470">
        <f>IF(B470,IF(Dist="Normal",DistA+DistB*I470,DistA+(DistB-DistA)*NORMSDIST(I470)),"")</f>
        <v/>
      </c>
      <c r="K470">
        <f>IF(B470,INDEX(MineScale,C470),"")</f>
        <v/>
      </c>
      <c r="L470">
        <f>IF(B470,INDEX(Dow,1,WEEKDAY(E470,2)),"")</f>
        <v/>
      </c>
      <c r="M470">
        <f>IF(B470,(1+Trend)^D470,"")</f>
        <v/>
      </c>
      <c r="N470">
        <f>IF(B470,EXP(SUMPRODUCT(LN(1+(EvEff-1)*INDEX(Affected,0,C470)*EXP(-((E470-EvCenter)^2)/(2*EvSigma^2))))),"")</f>
        <v/>
      </c>
      <c r="O470">
        <f>IF(B470,ROUND(MAX(0,J470*K470*L470*M470*N470),2),"")</f>
        <v/>
      </c>
    </row>
    <row r="471">
      <c r="A471" t="n">
        <v>470</v>
      </c>
      <c r="B471">
        <f>A471&lt;=MineCount*Days</f>
        <v/>
      </c>
      <c r="C471">
        <f>IF(B471,INT((A471-1)/Days)+1,"")</f>
        <v/>
      </c>
      <c r="D471">
        <f>IF(B471,MOD(A471-1,Days),"")</f>
        <v/>
      </c>
      <c r="E471" s="16">
        <f>IF(B471,StartDate+D471,"")</f>
        <v/>
      </c>
      <c r="F471">
        <f>IF(B471,MAX(MOD(SIN(Seed*0.1373+C471*12.9898+D471*78.233)*43758.5453,1),1E-9),"")</f>
        <v/>
      </c>
      <c r="G471">
        <f>IF(B471,MOD(SIN(Seed*0.5917+C471*39.3468+D471*11.135)*24634.6345,1),"")</f>
        <v/>
      </c>
      <c r="H471">
        <f>IF(B471,SQRT(-2*LN(F471))*COS(2*PI()*G471),"")</f>
        <v/>
      </c>
      <c r="I471">
        <f>IF(B471,IF(D471=0,H471,Rho*I470+SQRT(1-Rho^2)*H471),"")</f>
        <v/>
      </c>
      <c r="J471">
        <f>IF(B471,IF(Dist="Normal",DistA+DistB*I471,DistA+(DistB-DistA)*NORMSDIST(I471)),"")</f>
        <v/>
      </c>
      <c r="K471">
        <f>IF(B471,INDEX(MineScale,C471),"")</f>
        <v/>
      </c>
      <c r="L471">
        <f>IF(B471,INDEX(Dow,1,WEEKDAY(E471,2)),"")</f>
        <v/>
      </c>
      <c r="M471">
        <f>IF(B471,(1+Trend)^D471,"")</f>
        <v/>
      </c>
      <c r="N471">
        <f>IF(B471,EXP(SUMPRODUCT(LN(1+(EvEff-1)*INDEX(Affected,0,C471)*EXP(-((E471-EvCenter)^2)/(2*EvSigma^2))))),"")</f>
        <v/>
      </c>
      <c r="O471">
        <f>IF(B471,ROUND(MAX(0,J471*K471*L471*M471*N471),2),"")</f>
        <v/>
      </c>
    </row>
    <row r="472">
      <c r="A472" t="n">
        <v>471</v>
      </c>
      <c r="B472">
        <f>A472&lt;=MineCount*Days</f>
        <v/>
      </c>
      <c r="C472">
        <f>IF(B472,INT((A472-1)/Days)+1,"")</f>
        <v/>
      </c>
      <c r="D472">
        <f>IF(B472,MOD(A472-1,Days),"")</f>
        <v/>
      </c>
      <c r="E472" s="16">
        <f>IF(B472,StartDate+D472,"")</f>
        <v/>
      </c>
      <c r="F472">
        <f>IF(B472,MAX(MOD(SIN(Seed*0.1373+C472*12.9898+D472*78.233)*43758.5453,1),1E-9),"")</f>
        <v/>
      </c>
      <c r="G472">
        <f>IF(B472,MOD(SIN(Seed*0.5917+C472*39.3468+D472*11.135)*24634.6345,1),"")</f>
        <v/>
      </c>
      <c r="H472">
        <f>IF(B472,SQRT(-2*LN(F472))*COS(2*PI()*G472),"")</f>
        <v/>
      </c>
      <c r="I472">
        <f>IF(B472,IF(D472=0,H472,Rho*I471+SQRT(1-Rho^2)*H472),"")</f>
        <v/>
      </c>
      <c r="J472">
        <f>IF(B472,IF(Dist="Normal",DistA+DistB*I472,DistA+(DistB-DistA)*NORMSDIST(I472)),"")</f>
        <v/>
      </c>
      <c r="K472">
        <f>IF(B472,INDEX(MineScale,C472),"")</f>
        <v/>
      </c>
      <c r="L472">
        <f>IF(B472,INDEX(Dow,1,WEEKDAY(E472,2)),"")</f>
        <v/>
      </c>
      <c r="M472">
        <f>IF(B472,(1+Trend)^D472,"")</f>
        <v/>
      </c>
      <c r="N472">
        <f>IF(B472,EXP(SUMPRODUCT(LN(1+(EvEff-1)*INDEX(Affected,0,C472)*EXP(-((E472-EvCenter)^2)/(2*EvSigma^2))))),"")</f>
        <v/>
      </c>
      <c r="O472">
        <f>IF(B472,ROUND(MAX(0,J472*K472*L472*M472*N472),2),"")</f>
        <v/>
      </c>
    </row>
    <row r="473">
      <c r="A473" t="n">
        <v>472</v>
      </c>
      <c r="B473">
        <f>A473&lt;=MineCount*Days</f>
        <v/>
      </c>
      <c r="C473">
        <f>IF(B473,INT((A473-1)/Days)+1,"")</f>
        <v/>
      </c>
      <c r="D473">
        <f>IF(B473,MOD(A473-1,Days),"")</f>
        <v/>
      </c>
      <c r="E473" s="16">
        <f>IF(B473,StartDate+D473,"")</f>
        <v/>
      </c>
      <c r="F473">
        <f>IF(B473,MAX(MOD(SIN(Seed*0.1373+C473*12.9898+D473*78.233)*43758.5453,1),1E-9),"")</f>
        <v/>
      </c>
      <c r="G473">
        <f>IF(B473,MOD(SIN(Seed*0.5917+C473*39.3468+D473*11.135)*24634.6345,1),"")</f>
        <v/>
      </c>
      <c r="H473">
        <f>IF(B473,SQRT(-2*LN(F473))*COS(2*PI()*G473),"")</f>
        <v/>
      </c>
      <c r="I473">
        <f>IF(B473,IF(D473=0,H473,Rho*I472+SQRT(1-Rho^2)*H473),"")</f>
        <v/>
      </c>
      <c r="J473">
        <f>IF(B473,IF(Dist="Normal",DistA+DistB*I473,DistA+(DistB-DistA)*NORMSDIST(I473)),"")</f>
        <v/>
      </c>
      <c r="K473">
        <f>IF(B473,INDEX(MineScale,C473),"")</f>
        <v/>
      </c>
      <c r="L473">
        <f>IF(B473,INDEX(Dow,1,WEEKDAY(E473,2)),"")</f>
        <v/>
      </c>
      <c r="M473">
        <f>IF(B473,(1+Trend)^D473,"")</f>
        <v/>
      </c>
      <c r="N473">
        <f>IF(B473,EXP(SUMPRODUCT(LN(1+(EvEff-1)*INDEX(Affected,0,C473)*EXP(-((E473-EvCenter)^2)/(2*EvSigma^2))))),"")</f>
        <v/>
      </c>
      <c r="O473">
        <f>IF(B473,ROUND(MAX(0,J473*K473*L473*M473*N473),2),"")</f>
        <v/>
      </c>
    </row>
    <row r="474">
      <c r="A474" t="n">
        <v>473</v>
      </c>
      <c r="B474">
        <f>A474&lt;=MineCount*Days</f>
        <v/>
      </c>
      <c r="C474">
        <f>IF(B474,INT((A474-1)/Days)+1,"")</f>
        <v/>
      </c>
      <c r="D474">
        <f>IF(B474,MOD(A474-1,Days),"")</f>
        <v/>
      </c>
      <c r="E474" s="16">
        <f>IF(B474,StartDate+D474,"")</f>
        <v/>
      </c>
      <c r="F474">
        <f>IF(B474,MAX(MOD(SIN(Seed*0.1373+C474*12.9898+D474*78.233)*43758.5453,1),1E-9),"")</f>
        <v/>
      </c>
      <c r="G474">
        <f>IF(B474,MOD(SIN(Seed*0.5917+C474*39.3468+D474*11.135)*24634.6345,1),"")</f>
        <v/>
      </c>
      <c r="H474">
        <f>IF(B474,SQRT(-2*LN(F474))*COS(2*PI()*G474),"")</f>
        <v/>
      </c>
      <c r="I474">
        <f>IF(B474,IF(D474=0,H474,Rho*I473+SQRT(1-Rho^2)*H474),"")</f>
        <v/>
      </c>
      <c r="J474">
        <f>IF(B474,IF(Dist="Normal",DistA+DistB*I474,DistA+(DistB-DistA)*NORMSDIST(I474)),"")</f>
        <v/>
      </c>
      <c r="K474">
        <f>IF(B474,INDEX(MineScale,C474),"")</f>
        <v/>
      </c>
      <c r="L474">
        <f>IF(B474,INDEX(Dow,1,WEEKDAY(E474,2)),"")</f>
        <v/>
      </c>
      <c r="M474">
        <f>IF(B474,(1+Trend)^D474,"")</f>
        <v/>
      </c>
      <c r="N474">
        <f>IF(B474,EXP(SUMPRODUCT(LN(1+(EvEff-1)*INDEX(Affected,0,C474)*EXP(-((E474-EvCenter)^2)/(2*EvSigma^2))))),"")</f>
        <v/>
      </c>
      <c r="O474">
        <f>IF(B474,ROUND(MAX(0,J474*K474*L474*M474*N474),2),"")</f>
        <v/>
      </c>
    </row>
    <row r="475">
      <c r="A475" t="n">
        <v>474</v>
      </c>
      <c r="B475">
        <f>A475&lt;=MineCount*Days</f>
        <v/>
      </c>
      <c r="C475">
        <f>IF(B475,INT((A475-1)/Days)+1,"")</f>
        <v/>
      </c>
      <c r="D475">
        <f>IF(B475,MOD(A475-1,Days),"")</f>
        <v/>
      </c>
      <c r="E475" s="16">
        <f>IF(B475,StartDate+D475,"")</f>
        <v/>
      </c>
      <c r="F475">
        <f>IF(B475,MAX(MOD(SIN(Seed*0.1373+C475*12.9898+D475*78.233)*43758.5453,1),1E-9),"")</f>
        <v/>
      </c>
      <c r="G475">
        <f>IF(B475,MOD(SIN(Seed*0.5917+C475*39.3468+D475*11.135)*24634.6345,1),"")</f>
        <v/>
      </c>
      <c r="H475">
        <f>IF(B475,SQRT(-2*LN(F475))*COS(2*PI()*G475),"")</f>
        <v/>
      </c>
      <c r="I475">
        <f>IF(B475,IF(D475=0,H475,Rho*I474+SQRT(1-Rho^2)*H475),"")</f>
        <v/>
      </c>
      <c r="J475">
        <f>IF(B475,IF(Dist="Normal",DistA+DistB*I475,DistA+(DistB-DistA)*NORMSDIST(I475)),"")</f>
        <v/>
      </c>
      <c r="K475">
        <f>IF(B475,INDEX(MineScale,C475),"")</f>
        <v/>
      </c>
      <c r="L475">
        <f>IF(B475,INDEX(Dow,1,WEEKDAY(E475,2)),"")</f>
        <v/>
      </c>
      <c r="M475">
        <f>IF(B475,(1+Trend)^D475,"")</f>
        <v/>
      </c>
      <c r="N475">
        <f>IF(B475,EXP(SUMPRODUCT(LN(1+(EvEff-1)*INDEX(Affected,0,C475)*EXP(-((E475-EvCenter)^2)/(2*EvSigma^2))))),"")</f>
        <v/>
      </c>
      <c r="O475">
        <f>IF(B475,ROUND(MAX(0,J475*K475*L475*M475*N475),2),"")</f>
        <v/>
      </c>
    </row>
    <row r="476">
      <c r="A476" t="n">
        <v>475</v>
      </c>
      <c r="B476">
        <f>A476&lt;=MineCount*Days</f>
        <v/>
      </c>
      <c r="C476">
        <f>IF(B476,INT((A476-1)/Days)+1,"")</f>
        <v/>
      </c>
      <c r="D476">
        <f>IF(B476,MOD(A476-1,Days),"")</f>
        <v/>
      </c>
      <c r="E476" s="16">
        <f>IF(B476,StartDate+D476,"")</f>
        <v/>
      </c>
      <c r="F476">
        <f>IF(B476,MAX(MOD(SIN(Seed*0.1373+C476*12.9898+D476*78.233)*43758.5453,1),1E-9),"")</f>
        <v/>
      </c>
      <c r="G476">
        <f>IF(B476,MOD(SIN(Seed*0.5917+C476*39.3468+D476*11.135)*24634.6345,1),"")</f>
        <v/>
      </c>
      <c r="H476">
        <f>IF(B476,SQRT(-2*LN(F476))*COS(2*PI()*G476),"")</f>
        <v/>
      </c>
      <c r="I476">
        <f>IF(B476,IF(D476=0,H476,Rho*I475+SQRT(1-Rho^2)*H476),"")</f>
        <v/>
      </c>
      <c r="J476">
        <f>IF(B476,IF(Dist="Normal",DistA+DistB*I476,DistA+(DistB-DistA)*NORMSDIST(I476)),"")</f>
        <v/>
      </c>
      <c r="K476">
        <f>IF(B476,INDEX(MineScale,C476),"")</f>
        <v/>
      </c>
      <c r="L476">
        <f>IF(B476,INDEX(Dow,1,WEEKDAY(E476,2)),"")</f>
        <v/>
      </c>
      <c r="M476">
        <f>IF(B476,(1+Trend)^D476,"")</f>
        <v/>
      </c>
      <c r="N476">
        <f>IF(B476,EXP(SUMPRODUCT(LN(1+(EvEff-1)*INDEX(Affected,0,C476)*EXP(-((E476-EvCenter)^2)/(2*EvSigma^2))))),"")</f>
        <v/>
      </c>
      <c r="O476">
        <f>IF(B476,ROUND(MAX(0,J476*K476*L476*M476*N476),2),"")</f>
        <v/>
      </c>
    </row>
    <row r="477">
      <c r="A477" t="n">
        <v>476</v>
      </c>
      <c r="B477">
        <f>A477&lt;=MineCount*Days</f>
        <v/>
      </c>
      <c r="C477">
        <f>IF(B477,INT((A477-1)/Days)+1,"")</f>
        <v/>
      </c>
      <c r="D477">
        <f>IF(B477,MOD(A477-1,Days),"")</f>
        <v/>
      </c>
      <c r="E477" s="16">
        <f>IF(B477,StartDate+D477,"")</f>
        <v/>
      </c>
      <c r="F477">
        <f>IF(B477,MAX(MOD(SIN(Seed*0.1373+C477*12.9898+D477*78.233)*43758.5453,1),1E-9),"")</f>
        <v/>
      </c>
      <c r="G477">
        <f>IF(B477,MOD(SIN(Seed*0.5917+C477*39.3468+D477*11.135)*24634.6345,1),"")</f>
        <v/>
      </c>
      <c r="H477">
        <f>IF(B477,SQRT(-2*LN(F477))*COS(2*PI()*G477),"")</f>
        <v/>
      </c>
      <c r="I477">
        <f>IF(B477,IF(D477=0,H477,Rho*I476+SQRT(1-Rho^2)*H477),"")</f>
        <v/>
      </c>
      <c r="J477">
        <f>IF(B477,IF(Dist="Normal",DistA+DistB*I477,DistA+(DistB-DistA)*NORMSDIST(I477)),"")</f>
        <v/>
      </c>
      <c r="K477">
        <f>IF(B477,INDEX(MineScale,C477),"")</f>
        <v/>
      </c>
      <c r="L477">
        <f>IF(B477,INDEX(Dow,1,WEEKDAY(E477,2)),"")</f>
        <v/>
      </c>
      <c r="M477">
        <f>IF(B477,(1+Trend)^D477,"")</f>
        <v/>
      </c>
      <c r="N477">
        <f>IF(B477,EXP(SUMPRODUCT(LN(1+(EvEff-1)*INDEX(Affected,0,C477)*EXP(-((E477-EvCenter)^2)/(2*EvSigma^2))))),"")</f>
        <v/>
      </c>
      <c r="O477">
        <f>IF(B477,ROUND(MAX(0,J477*K477*L477*M477*N477),2),"")</f>
        <v/>
      </c>
    </row>
    <row r="478">
      <c r="A478" t="n">
        <v>477</v>
      </c>
      <c r="B478">
        <f>A478&lt;=MineCount*Days</f>
        <v/>
      </c>
      <c r="C478">
        <f>IF(B478,INT((A478-1)/Days)+1,"")</f>
        <v/>
      </c>
      <c r="D478">
        <f>IF(B478,MOD(A478-1,Days),"")</f>
        <v/>
      </c>
      <c r="E478" s="16">
        <f>IF(B478,StartDate+D478,"")</f>
        <v/>
      </c>
      <c r="F478">
        <f>IF(B478,MAX(MOD(SIN(Seed*0.1373+C478*12.9898+D478*78.233)*43758.5453,1),1E-9),"")</f>
        <v/>
      </c>
      <c r="G478">
        <f>IF(B478,MOD(SIN(Seed*0.5917+C478*39.3468+D478*11.135)*24634.6345,1),"")</f>
        <v/>
      </c>
      <c r="H478">
        <f>IF(B478,SQRT(-2*LN(F478))*COS(2*PI()*G478),"")</f>
        <v/>
      </c>
      <c r="I478">
        <f>IF(B478,IF(D478=0,H478,Rho*I477+SQRT(1-Rho^2)*H478),"")</f>
        <v/>
      </c>
      <c r="J478">
        <f>IF(B478,IF(Dist="Normal",DistA+DistB*I478,DistA+(DistB-DistA)*NORMSDIST(I478)),"")</f>
        <v/>
      </c>
      <c r="K478">
        <f>IF(B478,INDEX(MineScale,C478),"")</f>
        <v/>
      </c>
      <c r="L478">
        <f>IF(B478,INDEX(Dow,1,WEEKDAY(E478,2)),"")</f>
        <v/>
      </c>
      <c r="M478">
        <f>IF(B478,(1+Trend)^D478,"")</f>
        <v/>
      </c>
      <c r="N478">
        <f>IF(B478,EXP(SUMPRODUCT(LN(1+(EvEff-1)*INDEX(Affected,0,C478)*EXP(-((E478-EvCenter)^2)/(2*EvSigma^2))))),"")</f>
        <v/>
      </c>
      <c r="O478">
        <f>IF(B478,ROUND(MAX(0,J478*K478*L478*M478*N478),2),"")</f>
        <v/>
      </c>
    </row>
    <row r="479">
      <c r="A479" t="n">
        <v>478</v>
      </c>
      <c r="B479">
        <f>A479&lt;=MineCount*Days</f>
        <v/>
      </c>
      <c r="C479">
        <f>IF(B479,INT((A479-1)/Days)+1,"")</f>
        <v/>
      </c>
      <c r="D479">
        <f>IF(B479,MOD(A479-1,Days),"")</f>
        <v/>
      </c>
      <c r="E479" s="16">
        <f>IF(B479,StartDate+D479,"")</f>
        <v/>
      </c>
      <c r="F479">
        <f>IF(B479,MAX(MOD(SIN(Seed*0.1373+C479*12.9898+D479*78.233)*43758.5453,1),1E-9),"")</f>
        <v/>
      </c>
      <c r="G479">
        <f>IF(B479,MOD(SIN(Seed*0.5917+C479*39.3468+D479*11.135)*24634.6345,1),"")</f>
        <v/>
      </c>
      <c r="H479">
        <f>IF(B479,SQRT(-2*LN(F479))*COS(2*PI()*G479),"")</f>
        <v/>
      </c>
      <c r="I479">
        <f>IF(B479,IF(D479=0,H479,Rho*I478+SQRT(1-Rho^2)*H479),"")</f>
        <v/>
      </c>
      <c r="J479">
        <f>IF(B479,IF(Dist="Normal",DistA+DistB*I479,DistA+(DistB-DistA)*NORMSDIST(I479)),"")</f>
        <v/>
      </c>
      <c r="K479">
        <f>IF(B479,INDEX(MineScale,C479),"")</f>
        <v/>
      </c>
      <c r="L479">
        <f>IF(B479,INDEX(Dow,1,WEEKDAY(E479,2)),"")</f>
        <v/>
      </c>
      <c r="M479">
        <f>IF(B479,(1+Trend)^D479,"")</f>
        <v/>
      </c>
      <c r="N479">
        <f>IF(B479,EXP(SUMPRODUCT(LN(1+(EvEff-1)*INDEX(Affected,0,C479)*EXP(-((E479-EvCenter)^2)/(2*EvSigma^2))))),"")</f>
        <v/>
      </c>
      <c r="O479">
        <f>IF(B479,ROUND(MAX(0,J479*K479*L479*M479*N479),2),"")</f>
        <v/>
      </c>
    </row>
    <row r="480">
      <c r="A480" t="n">
        <v>479</v>
      </c>
      <c r="B480">
        <f>A480&lt;=MineCount*Days</f>
        <v/>
      </c>
      <c r="C480">
        <f>IF(B480,INT((A480-1)/Days)+1,"")</f>
        <v/>
      </c>
      <c r="D480">
        <f>IF(B480,MOD(A480-1,Days),"")</f>
        <v/>
      </c>
      <c r="E480" s="16">
        <f>IF(B480,StartDate+D480,"")</f>
        <v/>
      </c>
      <c r="F480">
        <f>IF(B480,MAX(MOD(SIN(Seed*0.1373+C480*12.9898+D480*78.233)*43758.5453,1),1E-9),"")</f>
        <v/>
      </c>
      <c r="G480">
        <f>IF(B480,MOD(SIN(Seed*0.5917+C480*39.3468+D480*11.135)*24634.6345,1),"")</f>
        <v/>
      </c>
      <c r="H480">
        <f>IF(B480,SQRT(-2*LN(F480))*COS(2*PI()*G480),"")</f>
        <v/>
      </c>
      <c r="I480">
        <f>IF(B480,IF(D480=0,H480,Rho*I479+SQRT(1-Rho^2)*H480),"")</f>
        <v/>
      </c>
      <c r="J480">
        <f>IF(B480,IF(Dist="Normal",DistA+DistB*I480,DistA+(DistB-DistA)*NORMSDIST(I480)),"")</f>
        <v/>
      </c>
      <c r="K480">
        <f>IF(B480,INDEX(MineScale,C480),"")</f>
        <v/>
      </c>
      <c r="L480">
        <f>IF(B480,INDEX(Dow,1,WEEKDAY(E480,2)),"")</f>
        <v/>
      </c>
      <c r="M480">
        <f>IF(B480,(1+Trend)^D480,"")</f>
        <v/>
      </c>
      <c r="N480">
        <f>IF(B480,EXP(SUMPRODUCT(LN(1+(EvEff-1)*INDEX(Affected,0,C480)*EXP(-((E480-EvCenter)^2)/(2*EvSigma^2))))),"")</f>
        <v/>
      </c>
      <c r="O480">
        <f>IF(B480,ROUND(MAX(0,J480*K480*L480*M480*N480),2),"")</f>
        <v/>
      </c>
    </row>
    <row r="481">
      <c r="A481" t="n">
        <v>480</v>
      </c>
      <c r="B481">
        <f>A481&lt;=MineCount*Days</f>
        <v/>
      </c>
      <c r="C481">
        <f>IF(B481,INT((A481-1)/Days)+1,"")</f>
        <v/>
      </c>
      <c r="D481">
        <f>IF(B481,MOD(A481-1,Days),"")</f>
        <v/>
      </c>
      <c r="E481" s="16">
        <f>IF(B481,StartDate+D481,"")</f>
        <v/>
      </c>
      <c r="F481">
        <f>IF(B481,MAX(MOD(SIN(Seed*0.1373+C481*12.9898+D481*78.233)*43758.5453,1),1E-9),"")</f>
        <v/>
      </c>
      <c r="G481">
        <f>IF(B481,MOD(SIN(Seed*0.5917+C481*39.3468+D481*11.135)*24634.6345,1),"")</f>
        <v/>
      </c>
      <c r="H481">
        <f>IF(B481,SQRT(-2*LN(F481))*COS(2*PI()*G481),"")</f>
        <v/>
      </c>
      <c r="I481">
        <f>IF(B481,IF(D481=0,H481,Rho*I480+SQRT(1-Rho^2)*H481),"")</f>
        <v/>
      </c>
      <c r="J481">
        <f>IF(B481,IF(Dist="Normal",DistA+DistB*I481,DistA+(DistB-DistA)*NORMSDIST(I481)),"")</f>
        <v/>
      </c>
      <c r="K481">
        <f>IF(B481,INDEX(MineScale,C481),"")</f>
        <v/>
      </c>
      <c r="L481">
        <f>IF(B481,INDEX(Dow,1,WEEKDAY(E481,2)),"")</f>
        <v/>
      </c>
      <c r="M481">
        <f>IF(B481,(1+Trend)^D481,"")</f>
        <v/>
      </c>
      <c r="N481">
        <f>IF(B481,EXP(SUMPRODUCT(LN(1+(EvEff-1)*INDEX(Affected,0,C481)*EXP(-((E481-EvCenter)^2)/(2*EvSigma^2))))),"")</f>
        <v/>
      </c>
      <c r="O481">
        <f>IF(B481,ROUND(MAX(0,J481*K481*L481*M481*N481),2),"")</f>
        <v/>
      </c>
    </row>
    <row r="482">
      <c r="A482" t="n">
        <v>481</v>
      </c>
      <c r="B482">
        <f>A482&lt;=MineCount*Days</f>
        <v/>
      </c>
      <c r="C482">
        <f>IF(B482,INT((A482-1)/Days)+1,"")</f>
        <v/>
      </c>
      <c r="D482">
        <f>IF(B482,MOD(A482-1,Days),"")</f>
        <v/>
      </c>
      <c r="E482" s="16">
        <f>IF(B482,StartDate+D482,"")</f>
        <v/>
      </c>
      <c r="F482">
        <f>IF(B482,MAX(MOD(SIN(Seed*0.1373+C482*12.9898+D482*78.233)*43758.5453,1),1E-9),"")</f>
        <v/>
      </c>
      <c r="G482">
        <f>IF(B482,MOD(SIN(Seed*0.5917+C482*39.3468+D482*11.135)*24634.6345,1),"")</f>
        <v/>
      </c>
      <c r="H482">
        <f>IF(B482,SQRT(-2*LN(F482))*COS(2*PI()*G482),"")</f>
        <v/>
      </c>
      <c r="I482">
        <f>IF(B482,IF(D482=0,H482,Rho*I481+SQRT(1-Rho^2)*H482),"")</f>
        <v/>
      </c>
      <c r="J482">
        <f>IF(B482,IF(Dist="Normal",DistA+DistB*I482,DistA+(DistB-DistA)*NORMSDIST(I482)),"")</f>
        <v/>
      </c>
      <c r="K482">
        <f>IF(B482,INDEX(MineScale,C482),"")</f>
        <v/>
      </c>
      <c r="L482">
        <f>IF(B482,INDEX(Dow,1,WEEKDAY(E482,2)),"")</f>
        <v/>
      </c>
      <c r="M482">
        <f>IF(B482,(1+Trend)^D482,"")</f>
        <v/>
      </c>
      <c r="N482">
        <f>IF(B482,EXP(SUMPRODUCT(LN(1+(EvEff-1)*INDEX(Affected,0,C482)*EXP(-((E482-EvCenter)^2)/(2*EvSigma^2))))),"")</f>
        <v/>
      </c>
      <c r="O482">
        <f>IF(B482,ROUND(MAX(0,J482*K482*L482*M482*N482),2),"")</f>
        <v/>
      </c>
    </row>
    <row r="483">
      <c r="A483" t="n">
        <v>482</v>
      </c>
      <c r="B483">
        <f>A483&lt;=MineCount*Days</f>
        <v/>
      </c>
      <c r="C483">
        <f>IF(B483,INT((A483-1)/Days)+1,"")</f>
        <v/>
      </c>
      <c r="D483">
        <f>IF(B483,MOD(A483-1,Days),"")</f>
        <v/>
      </c>
      <c r="E483" s="16">
        <f>IF(B483,StartDate+D483,"")</f>
        <v/>
      </c>
      <c r="F483">
        <f>IF(B483,MAX(MOD(SIN(Seed*0.1373+C483*12.9898+D483*78.233)*43758.5453,1),1E-9),"")</f>
        <v/>
      </c>
      <c r="G483">
        <f>IF(B483,MOD(SIN(Seed*0.5917+C483*39.3468+D483*11.135)*24634.6345,1),"")</f>
        <v/>
      </c>
      <c r="H483">
        <f>IF(B483,SQRT(-2*LN(F483))*COS(2*PI()*G483),"")</f>
        <v/>
      </c>
      <c r="I483">
        <f>IF(B483,IF(D483=0,H483,Rho*I482+SQRT(1-Rho^2)*H483),"")</f>
        <v/>
      </c>
      <c r="J483">
        <f>IF(B483,IF(Dist="Normal",DistA+DistB*I483,DistA+(DistB-DistA)*NORMSDIST(I483)),"")</f>
        <v/>
      </c>
      <c r="K483">
        <f>IF(B483,INDEX(MineScale,C483),"")</f>
        <v/>
      </c>
      <c r="L483">
        <f>IF(B483,INDEX(Dow,1,WEEKDAY(E483,2)),"")</f>
        <v/>
      </c>
      <c r="M483">
        <f>IF(B483,(1+Trend)^D483,"")</f>
        <v/>
      </c>
      <c r="N483">
        <f>IF(B483,EXP(SUMPRODUCT(LN(1+(EvEff-1)*INDEX(Affected,0,C483)*EXP(-((E483-EvCenter)^2)/(2*EvSigma^2))))),"")</f>
        <v/>
      </c>
      <c r="O483">
        <f>IF(B483,ROUND(MAX(0,J483*K483*L483*M483*N483),2),"")</f>
        <v/>
      </c>
    </row>
    <row r="484">
      <c r="A484" t="n">
        <v>483</v>
      </c>
      <c r="B484">
        <f>A484&lt;=MineCount*Days</f>
        <v/>
      </c>
      <c r="C484">
        <f>IF(B484,INT((A484-1)/Days)+1,"")</f>
        <v/>
      </c>
      <c r="D484">
        <f>IF(B484,MOD(A484-1,Days),"")</f>
        <v/>
      </c>
      <c r="E484" s="16">
        <f>IF(B484,StartDate+D484,"")</f>
        <v/>
      </c>
      <c r="F484">
        <f>IF(B484,MAX(MOD(SIN(Seed*0.1373+C484*12.9898+D484*78.233)*43758.5453,1),1E-9),"")</f>
        <v/>
      </c>
      <c r="G484">
        <f>IF(B484,MOD(SIN(Seed*0.5917+C484*39.3468+D484*11.135)*24634.6345,1),"")</f>
        <v/>
      </c>
      <c r="H484">
        <f>IF(B484,SQRT(-2*LN(F484))*COS(2*PI()*G484),"")</f>
        <v/>
      </c>
      <c r="I484">
        <f>IF(B484,IF(D484=0,H484,Rho*I483+SQRT(1-Rho^2)*H484),"")</f>
        <v/>
      </c>
      <c r="J484">
        <f>IF(B484,IF(Dist="Normal",DistA+DistB*I484,DistA+(DistB-DistA)*NORMSDIST(I484)),"")</f>
        <v/>
      </c>
      <c r="K484">
        <f>IF(B484,INDEX(MineScale,C484),"")</f>
        <v/>
      </c>
      <c r="L484">
        <f>IF(B484,INDEX(Dow,1,WEEKDAY(E484,2)),"")</f>
        <v/>
      </c>
      <c r="M484">
        <f>IF(B484,(1+Trend)^D484,"")</f>
        <v/>
      </c>
      <c r="N484">
        <f>IF(B484,EXP(SUMPRODUCT(LN(1+(EvEff-1)*INDEX(Affected,0,C484)*EXP(-((E484-EvCenter)^2)/(2*EvSigma^2))))),"")</f>
        <v/>
      </c>
      <c r="O484">
        <f>IF(B484,ROUND(MAX(0,J484*K484*L484*M484*N484),2),"")</f>
        <v/>
      </c>
    </row>
    <row r="485">
      <c r="A485" t="n">
        <v>484</v>
      </c>
      <c r="B485">
        <f>A485&lt;=MineCount*Days</f>
        <v/>
      </c>
      <c r="C485">
        <f>IF(B485,INT((A485-1)/Days)+1,"")</f>
        <v/>
      </c>
      <c r="D485">
        <f>IF(B485,MOD(A485-1,Days),"")</f>
        <v/>
      </c>
      <c r="E485" s="16">
        <f>IF(B485,StartDate+D485,"")</f>
        <v/>
      </c>
      <c r="F485">
        <f>IF(B485,MAX(MOD(SIN(Seed*0.1373+C485*12.9898+D485*78.233)*43758.5453,1),1E-9),"")</f>
        <v/>
      </c>
      <c r="G485">
        <f>IF(B485,MOD(SIN(Seed*0.5917+C485*39.3468+D485*11.135)*24634.6345,1),"")</f>
        <v/>
      </c>
      <c r="H485">
        <f>IF(B485,SQRT(-2*LN(F485))*COS(2*PI()*G485),"")</f>
        <v/>
      </c>
      <c r="I485">
        <f>IF(B485,IF(D485=0,H485,Rho*I484+SQRT(1-Rho^2)*H485),"")</f>
        <v/>
      </c>
      <c r="J485">
        <f>IF(B485,IF(Dist="Normal",DistA+DistB*I485,DistA+(DistB-DistA)*NORMSDIST(I485)),"")</f>
        <v/>
      </c>
      <c r="K485">
        <f>IF(B485,INDEX(MineScale,C485),"")</f>
        <v/>
      </c>
      <c r="L485">
        <f>IF(B485,INDEX(Dow,1,WEEKDAY(E485,2)),"")</f>
        <v/>
      </c>
      <c r="M485">
        <f>IF(B485,(1+Trend)^D485,"")</f>
        <v/>
      </c>
      <c r="N485">
        <f>IF(B485,EXP(SUMPRODUCT(LN(1+(EvEff-1)*INDEX(Affected,0,C485)*EXP(-((E485-EvCenter)^2)/(2*EvSigma^2))))),"")</f>
        <v/>
      </c>
      <c r="O485">
        <f>IF(B485,ROUND(MAX(0,J485*K485*L485*M485*N485),2),"")</f>
        <v/>
      </c>
    </row>
    <row r="486">
      <c r="A486" t="n">
        <v>485</v>
      </c>
      <c r="B486">
        <f>A486&lt;=MineCount*Days</f>
        <v/>
      </c>
      <c r="C486">
        <f>IF(B486,INT((A486-1)/Days)+1,"")</f>
        <v/>
      </c>
      <c r="D486">
        <f>IF(B486,MOD(A486-1,Days),"")</f>
        <v/>
      </c>
      <c r="E486" s="16">
        <f>IF(B486,StartDate+D486,"")</f>
        <v/>
      </c>
      <c r="F486">
        <f>IF(B486,MAX(MOD(SIN(Seed*0.1373+C486*12.9898+D486*78.233)*43758.5453,1),1E-9),"")</f>
        <v/>
      </c>
      <c r="G486">
        <f>IF(B486,MOD(SIN(Seed*0.5917+C486*39.3468+D486*11.135)*24634.6345,1),"")</f>
        <v/>
      </c>
      <c r="H486">
        <f>IF(B486,SQRT(-2*LN(F486))*COS(2*PI()*G486),"")</f>
        <v/>
      </c>
      <c r="I486">
        <f>IF(B486,IF(D486=0,H486,Rho*I485+SQRT(1-Rho^2)*H486),"")</f>
        <v/>
      </c>
      <c r="J486">
        <f>IF(B486,IF(Dist="Normal",DistA+DistB*I486,DistA+(DistB-DistA)*NORMSDIST(I486)),"")</f>
        <v/>
      </c>
      <c r="K486">
        <f>IF(B486,INDEX(MineScale,C486),"")</f>
        <v/>
      </c>
      <c r="L486">
        <f>IF(B486,INDEX(Dow,1,WEEKDAY(E486,2)),"")</f>
        <v/>
      </c>
      <c r="M486">
        <f>IF(B486,(1+Trend)^D486,"")</f>
        <v/>
      </c>
      <c r="N486">
        <f>IF(B486,EXP(SUMPRODUCT(LN(1+(EvEff-1)*INDEX(Affected,0,C486)*EXP(-((E486-EvCenter)^2)/(2*EvSigma^2))))),"")</f>
        <v/>
      </c>
      <c r="O486">
        <f>IF(B486,ROUND(MAX(0,J486*K486*L486*M486*N486),2),"")</f>
        <v/>
      </c>
    </row>
    <row r="487">
      <c r="A487" t="n">
        <v>486</v>
      </c>
      <c r="B487">
        <f>A487&lt;=MineCount*Days</f>
        <v/>
      </c>
      <c r="C487">
        <f>IF(B487,INT((A487-1)/Days)+1,"")</f>
        <v/>
      </c>
      <c r="D487">
        <f>IF(B487,MOD(A487-1,Days),"")</f>
        <v/>
      </c>
      <c r="E487" s="16">
        <f>IF(B487,StartDate+D487,"")</f>
        <v/>
      </c>
      <c r="F487">
        <f>IF(B487,MAX(MOD(SIN(Seed*0.1373+C487*12.9898+D487*78.233)*43758.5453,1),1E-9),"")</f>
        <v/>
      </c>
      <c r="G487">
        <f>IF(B487,MOD(SIN(Seed*0.5917+C487*39.3468+D487*11.135)*24634.6345,1),"")</f>
        <v/>
      </c>
      <c r="H487">
        <f>IF(B487,SQRT(-2*LN(F487))*COS(2*PI()*G487),"")</f>
        <v/>
      </c>
      <c r="I487">
        <f>IF(B487,IF(D487=0,H487,Rho*I486+SQRT(1-Rho^2)*H487),"")</f>
        <v/>
      </c>
      <c r="J487">
        <f>IF(B487,IF(Dist="Normal",DistA+DistB*I487,DistA+(DistB-DistA)*NORMSDIST(I487)),"")</f>
        <v/>
      </c>
      <c r="K487">
        <f>IF(B487,INDEX(MineScale,C487),"")</f>
        <v/>
      </c>
      <c r="L487">
        <f>IF(B487,INDEX(Dow,1,WEEKDAY(E487,2)),"")</f>
        <v/>
      </c>
      <c r="M487">
        <f>IF(B487,(1+Trend)^D487,"")</f>
        <v/>
      </c>
      <c r="N487">
        <f>IF(B487,EXP(SUMPRODUCT(LN(1+(EvEff-1)*INDEX(Affected,0,C487)*EXP(-((E487-EvCenter)^2)/(2*EvSigma^2))))),"")</f>
        <v/>
      </c>
      <c r="O487">
        <f>IF(B487,ROUND(MAX(0,J487*K487*L487*M487*N487),2),"")</f>
        <v/>
      </c>
    </row>
    <row r="488">
      <c r="A488" t="n">
        <v>487</v>
      </c>
      <c r="B488">
        <f>A488&lt;=MineCount*Days</f>
        <v/>
      </c>
      <c r="C488">
        <f>IF(B488,INT((A488-1)/Days)+1,"")</f>
        <v/>
      </c>
      <c r="D488">
        <f>IF(B488,MOD(A488-1,Days),"")</f>
        <v/>
      </c>
      <c r="E488" s="16">
        <f>IF(B488,StartDate+D488,"")</f>
        <v/>
      </c>
      <c r="F488">
        <f>IF(B488,MAX(MOD(SIN(Seed*0.1373+C488*12.9898+D488*78.233)*43758.5453,1),1E-9),"")</f>
        <v/>
      </c>
      <c r="G488">
        <f>IF(B488,MOD(SIN(Seed*0.5917+C488*39.3468+D488*11.135)*24634.6345,1),"")</f>
        <v/>
      </c>
      <c r="H488">
        <f>IF(B488,SQRT(-2*LN(F488))*COS(2*PI()*G488),"")</f>
        <v/>
      </c>
      <c r="I488">
        <f>IF(B488,IF(D488=0,H488,Rho*I487+SQRT(1-Rho^2)*H488),"")</f>
        <v/>
      </c>
      <c r="J488">
        <f>IF(B488,IF(Dist="Normal",DistA+DistB*I488,DistA+(DistB-DistA)*NORMSDIST(I488)),"")</f>
        <v/>
      </c>
      <c r="K488">
        <f>IF(B488,INDEX(MineScale,C488),"")</f>
        <v/>
      </c>
      <c r="L488">
        <f>IF(B488,INDEX(Dow,1,WEEKDAY(E488,2)),"")</f>
        <v/>
      </c>
      <c r="M488">
        <f>IF(B488,(1+Trend)^D488,"")</f>
        <v/>
      </c>
      <c r="N488">
        <f>IF(B488,EXP(SUMPRODUCT(LN(1+(EvEff-1)*INDEX(Affected,0,C488)*EXP(-((E488-EvCenter)^2)/(2*EvSigma^2))))),"")</f>
        <v/>
      </c>
      <c r="O488">
        <f>IF(B488,ROUND(MAX(0,J488*K488*L488*M488*N488),2),"")</f>
        <v/>
      </c>
    </row>
    <row r="489">
      <c r="A489" t="n">
        <v>488</v>
      </c>
      <c r="B489">
        <f>A489&lt;=MineCount*Days</f>
        <v/>
      </c>
      <c r="C489">
        <f>IF(B489,INT((A489-1)/Days)+1,"")</f>
        <v/>
      </c>
      <c r="D489">
        <f>IF(B489,MOD(A489-1,Days),"")</f>
        <v/>
      </c>
      <c r="E489" s="16">
        <f>IF(B489,StartDate+D489,"")</f>
        <v/>
      </c>
      <c r="F489">
        <f>IF(B489,MAX(MOD(SIN(Seed*0.1373+C489*12.9898+D489*78.233)*43758.5453,1),1E-9),"")</f>
        <v/>
      </c>
      <c r="G489">
        <f>IF(B489,MOD(SIN(Seed*0.5917+C489*39.3468+D489*11.135)*24634.6345,1),"")</f>
        <v/>
      </c>
      <c r="H489">
        <f>IF(B489,SQRT(-2*LN(F489))*COS(2*PI()*G489),"")</f>
        <v/>
      </c>
      <c r="I489">
        <f>IF(B489,IF(D489=0,H489,Rho*I488+SQRT(1-Rho^2)*H489),"")</f>
        <v/>
      </c>
      <c r="J489">
        <f>IF(B489,IF(Dist="Normal",DistA+DistB*I489,DistA+(DistB-DistA)*NORMSDIST(I489)),"")</f>
        <v/>
      </c>
      <c r="K489">
        <f>IF(B489,INDEX(MineScale,C489),"")</f>
        <v/>
      </c>
      <c r="L489">
        <f>IF(B489,INDEX(Dow,1,WEEKDAY(E489,2)),"")</f>
        <v/>
      </c>
      <c r="M489">
        <f>IF(B489,(1+Trend)^D489,"")</f>
        <v/>
      </c>
      <c r="N489">
        <f>IF(B489,EXP(SUMPRODUCT(LN(1+(EvEff-1)*INDEX(Affected,0,C489)*EXP(-((E489-EvCenter)^2)/(2*EvSigma^2))))),"")</f>
        <v/>
      </c>
      <c r="O489">
        <f>IF(B489,ROUND(MAX(0,J489*K489*L489*M489*N489),2),"")</f>
        <v/>
      </c>
    </row>
    <row r="490">
      <c r="A490" t="n">
        <v>489</v>
      </c>
      <c r="B490">
        <f>A490&lt;=MineCount*Days</f>
        <v/>
      </c>
      <c r="C490">
        <f>IF(B490,INT((A490-1)/Days)+1,"")</f>
        <v/>
      </c>
      <c r="D490">
        <f>IF(B490,MOD(A490-1,Days),"")</f>
        <v/>
      </c>
      <c r="E490" s="16">
        <f>IF(B490,StartDate+D490,"")</f>
        <v/>
      </c>
      <c r="F490">
        <f>IF(B490,MAX(MOD(SIN(Seed*0.1373+C490*12.9898+D490*78.233)*43758.5453,1),1E-9),"")</f>
        <v/>
      </c>
      <c r="G490">
        <f>IF(B490,MOD(SIN(Seed*0.5917+C490*39.3468+D490*11.135)*24634.6345,1),"")</f>
        <v/>
      </c>
      <c r="H490">
        <f>IF(B490,SQRT(-2*LN(F490))*COS(2*PI()*G490),"")</f>
        <v/>
      </c>
      <c r="I490">
        <f>IF(B490,IF(D490=0,H490,Rho*I489+SQRT(1-Rho^2)*H490),"")</f>
        <v/>
      </c>
      <c r="J490">
        <f>IF(B490,IF(Dist="Normal",DistA+DistB*I490,DistA+(DistB-DistA)*NORMSDIST(I490)),"")</f>
        <v/>
      </c>
      <c r="K490">
        <f>IF(B490,INDEX(MineScale,C490),"")</f>
        <v/>
      </c>
      <c r="L490">
        <f>IF(B490,INDEX(Dow,1,WEEKDAY(E490,2)),"")</f>
        <v/>
      </c>
      <c r="M490">
        <f>IF(B490,(1+Trend)^D490,"")</f>
        <v/>
      </c>
      <c r="N490">
        <f>IF(B490,EXP(SUMPRODUCT(LN(1+(EvEff-1)*INDEX(Affected,0,C490)*EXP(-((E490-EvCenter)^2)/(2*EvSigma^2))))),"")</f>
        <v/>
      </c>
      <c r="O490">
        <f>IF(B490,ROUND(MAX(0,J490*K490*L490*M490*N490),2),"")</f>
        <v/>
      </c>
    </row>
    <row r="491">
      <c r="A491" t="n">
        <v>490</v>
      </c>
      <c r="B491">
        <f>A491&lt;=MineCount*Days</f>
        <v/>
      </c>
      <c r="C491">
        <f>IF(B491,INT((A491-1)/Days)+1,"")</f>
        <v/>
      </c>
      <c r="D491">
        <f>IF(B491,MOD(A491-1,Days),"")</f>
        <v/>
      </c>
      <c r="E491" s="16">
        <f>IF(B491,StartDate+D491,"")</f>
        <v/>
      </c>
      <c r="F491">
        <f>IF(B491,MAX(MOD(SIN(Seed*0.1373+C491*12.9898+D491*78.233)*43758.5453,1),1E-9),"")</f>
        <v/>
      </c>
      <c r="G491">
        <f>IF(B491,MOD(SIN(Seed*0.5917+C491*39.3468+D491*11.135)*24634.6345,1),"")</f>
        <v/>
      </c>
      <c r="H491">
        <f>IF(B491,SQRT(-2*LN(F491))*COS(2*PI()*G491),"")</f>
        <v/>
      </c>
      <c r="I491">
        <f>IF(B491,IF(D491=0,H491,Rho*I490+SQRT(1-Rho^2)*H491),"")</f>
        <v/>
      </c>
      <c r="J491">
        <f>IF(B491,IF(Dist="Normal",DistA+DistB*I491,DistA+(DistB-DistA)*NORMSDIST(I491)),"")</f>
        <v/>
      </c>
      <c r="K491">
        <f>IF(B491,INDEX(MineScale,C491),"")</f>
        <v/>
      </c>
      <c r="L491">
        <f>IF(B491,INDEX(Dow,1,WEEKDAY(E491,2)),"")</f>
        <v/>
      </c>
      <c r="M491">
        <f>IF(B491,(1+Trend)^D491,"")</f>
        <v/>
      </c>
      <c r="N491">
        <f>IF(B491,EXP(SUMPRODUCT(LN(1+(EvEff-1)*INDEX(Affected,0,C491)*EXP(-((E491-EvCenter)^2)/(2*EvSigma^2))))),"")</f>
        <v/>
      </c>
      <c r="O491">
        <f>IF(B491,ROUND(MAX(0,J491*K491*L491*M491*N491),2),"")</f>
        <v/>
      </c>
    </row>
    <row r="492">
      <c r="A492" t="n">
        <v>491</v>
      </c>
      <c r="B492">
        <f>A492&lt;=MineCount*Days</f>
        <v/>
      </c>
      <c r="C492">
        <f>IF(B492,INT((A492-1)/Days)+1,"")</f>
        <v/>
      </c>
      <c r="D492">
        <f>IF(B492,MOD(A492-1,Days),"")</f>
        <v/>
      </c>
      <c r="E492" s="16">
        <f>IF(B492,StartDate+D492,"")</f>
        <v/>
      </c>
      <c r="F492">
        <f>IF(B492,MAX(MOD(SIN(Seed*0.1373+C492*12.9898+D492*78.233)*43758.5453,1),1E-9),"")</f>
        <v/>
      </c>
      <c r="G492">
        <f>IF(B492,MOD(SIN(Seed*0.5917+C492*39.3468+D492*11.135)*24634.6345,1),"")</f>
        <v/>
      </c>
      <c r="H492">
        <f>IF(B492,SQRT(-2*LN(F492))*COS(2*PI()*G492),"")</f>
        <v/>
      </c>
      <c r="I492">
        <f>IF(B492,IF(D492=0,H492,Rho*I491+SQRT(1-Rho^2)*H492),"")</f>
        <v/>
      </c>
      <c r="J492">
        <f>IF(B492,IF(Dist="Normal",DistA+DistB*I492,DistA+(DistB-DistA)*NORMSDIST(I492)),"")</f>
        <v/>
      </c>
      <c r="K492">
        <f>IF(B492,INDEX(MineScale,C492),"")</f>
        <v/>
      </c>
      <c r="L492">
        <f>IF(B492,INDEX(Dow,1,WEEKDAY(E492,2)),"")</f>
        <v/>
      </c>
      <c r="M492">
        <f>IF(B492,(1+Trend)^D492,"")</f>
        <v/>
      </c>
      <c r="N492">
        <f>IF(B492,EXP(SUMPRODUCT(LN(1+(EvEff-1)*INDEX(Affected,0,C492)*EXP(-((E492-EvCenter)^2)/(2*EvSigma^2))))),"")</f>
        <v/>
      </c>
      <c r="O492">
        <f>IF(B492,ROUND(MAX(0,J492*K492*L492*M492*N492),2),"")</f>
        <v/>
      </c>
    </row>
    <row r="493">
      <c r="A493" t="n">
        <v>492</v>
      </c>
      <c r="B493">
        <f>A493&lt;=MineCount*Days</f>
        <v/>
      </c>
      <c r="C493">
        <f>IF(B493,INT((A493-1)/Days)+1,"")</f>
        <v/>
      </c>
      <c r="D493">
        <f>IF(B493,MOD(A493-1,Days),"")</f>
        <v/>
      </c>
      <c r="E493" s="16">
        <f>IF(B493,StartDate+D493,"")</f>
        <v/>
      </c>
      <c r="F493">
        <f>IF(B493,MAX(MOD(SIN(Seed*0.1373+C493*12.9898+D493*78.233)*43758.5453,1),1E-9),"")</f>
        <v/>
      </c>
      <c r="G493">
        <f>IF(B493,MOD(SIN(Seed*0.5917+C493*39.3468+D493*11.135)*24634.6345,1),"")</f>
        <v/>
      </c>
      <c r="H493">
        <f>IF(B493,SQRT(-2*LN(F493))*COS(2*PI()*G493),"")</f>
        <v/>
      </c>
      <c r="I493">
        <f>IF(B493,IF(D493=0,H493,Rho*I492+SQRT(1-Rho^2)*H493),"")</f>
        <v/>
      </c>
      <c r="J493">
        <f>IF(B493,IF(Dist="Normal",DistA+DistB*I493,DistA+(DistB-DistA)*NORMSDIST(I493)),"")</f>
        <v/>
      </c>
      <c r="K493">
        <f>IF(B493,INDEX(MineScale,C493),"")</f>
        <v/>
      </c>
      <c r="L493">
        <f>IF(B493,INDEX(Dow,1,WEEKDAY(E493,2)),"")</f>
        <v/>
      </c>
      <c r="M493">
        <f>IF(B493,(1+Trend)^D493,"")</f>
        <v/>
      </c>
      <c r="N493">
        <f>IF(B493,EXP(SUMPRODUCT(LN(1+(EvEff-1)*INDEX(Affected,0,C493)*EXP(-((E493-EvCenter)^2)/(2*EvSigma^2))))),"")</f>
        <v/>
      </c>
      <c r="O493">
        <f>IF(B493,ROUND(MAX(0,J493*K493*L493*M493*N493),2),"")</f>
        <v/>
      </c>
    </row>
    <row r="494">
      <c r="A494" t="n">
        <v>493</v>
      </c>
      <c r="B494">
        <f>A494&lt;=MineCount*Days</f>
        <v/>
      </c>
      <c r="C494">
        <f>IF(B494,INT((A494-1)/Days)+1,"")</f>
        <v/>
      </c>
      <c r="D494">
        <f>IF(B494,MOD(A494-1,Days),"")</f>
        <v/>
      </c>
      <c r="E494" s="16">
        <f>IF(B494,StartDate+D494,"")</f>
        <v/>
      </c>
      <c r="F494">
        <f>IF(B494,MAX(MOD(SIN(Seed*0.1373+C494*12.9898+D494*78.233)*43758.5453,1),1E-9),"")</f>
        <v/>
      </c>
      <c r="G494">
        <f>IF(B494,MOD(SIN(Seed*0.5917+C494*39.3468+D494*11.135)*24634.6345,1),"")</f>
        <v/>
      </c>
      <c r="H494">
        <f>IF(B494,SQRT(-2*LN(F494))*COS(2*PI()*G494),"")</f>
        <v/>
      </c>
      <c r="I494">
        <f>IF(B494,IF(D494=0,H494,Rho*I493+SQRT(1-Rho^2)*H494),"")</f>
        <v/>
      </c>
      <c r="J494">
        <f>IF(B494,IF(Dist="Normal",DistA+DistB*I494,DistA+(DistB-DistA)*NORMSDIST(I494)),"")</f>
        <v/>
      </c>
      <c r="K494">
        <f>IF(B494,INDEX(MineScale,C494),"")</f>
        <v/>
      </c>
      <c r="L494">
        <f>IF(B494,INDEX(Dow,1,WEEKDAY(E494,2)),"")</f>
        <v/>
      </c>
      <c r="M494">
        <f>IF(B494,(1+Trend)^D494,"")</f>
        <v/>
      </c>
      <c r="N494">
        <f>IF(B494,EXP(SUMPRODUCT(LN(1+(EvEff-1)*INDEX(Affected,0,C494)*EXP(-((E494-EvCenter)^2)/(2*EvSigma^2))))),"")</f>
        <v/>
      </c>
      <c r="O494">
        <f>IF(B494,ROUND(MAX(0,J494*K494*L494*M494*N494),2),"")</f>
        <v/>
      </c>
    </row>
    <row r="495">
      <c r="A495" t="n">
        <v>494</v>
      </c>
      <c r="B495">
        <f>A495&lt;=MineCount*Days</f>
        <v/>
      </c>
      <c r="C495">
        <f>IF(B495,INT((A495-1)/Days)+1,"")</f>
        <v/>
      </c>
      <c r="D495">
        <f>IF(B495,MOD(A495-1,Days),"")</f>
        <v/>
      </c>
      <c r="E495" s="16">
        <f>IF(B495,StartDate+D495,"")</f>
        <v/>
      </c>
      <c r="F495">
        <f>IF(B495,MAX(MOD(SIN(Seed*0.1373+C495*12.9898+D495*78.233)*43758.5453,1),1E-9),"")</f>
        <v/>
      </c>
      <c r="G495">
        <f>IF(B495,MOD(SIN(Seed*0.5917+C495*39.3468+D495*11.135)*24634.6345,1),"")</f>
        <v/>
      </c>
      <c r="H495">
        <f>IF(B495,SQRT(-2*LN(F495))*COS(2*PI()*G495),"")</f>
        <v/>
      </c>
      <c r="I495">
        <f>IF(B495,IF(D495=0,H495,Rho*I494+SQRT(1-Rho^2)*H495),"")</f>
        <v/>
      </c>
      <c r="J495">
        <f>IF(B495,IF(Dist="Normal",DistA+DistB*I495,DistA+(DistB-DistA)*NORMSDIST(I495)),"")</f>
        <v/>
      </c>
      <c r="K495">
        <f>IF(B495,INDEX(MineScale,C495),"")</f>
        <v/>
      </c>
      <c r="L495">
        <f>IF(B495,INDEX(Dow,1,WEEKDAY(E495,2)),"")</f>
        <v/>
      </c>
      <c r="M495">
        <f>IF(B495,(1+Trend)^D495,"")</f>
        <v/>
      </c>
      <c r="N495">
        <f>IF(B495,EXP(SUMPRODUCT(LN(1+(EvEff-1)*INDEX(Affected,0,C495)*EXP(-((E495-EvCenter)^2)/(2*EvSigma^2))))),"")</f>
        <v/>
      </c>
      <c r="O495">
        <f>IF(B495,ROUND(MAX(0,J495*K495*L495*M495*N495),2),"")</f>
        <v/>
      </c>
    </row>
    <row r="496">
      <c r="A496" t="n">
        <v>495</v>
      </c>
      <c r="B496">
        <f>A496&lt;=MineCount*Days</f>
        <v/>
      </c>
      <c r="C496">
        <f>IF(B496,INT((A496-1)/Days)+1,"")</f>
        <v/>
      </c>
      <c r="D496">
        <f>IF(B496,MOD(A496-1,Days),"")</f>
        <v/>
      </c>
      <c r="E496" s="16">
        <f>IF(B496,StartDate+D496,"")</f>
        <v/>
      </c>
      <c r="F496">
        <f>IF(B496,MAX(MOD(SIN(Seed*0.1373+C496*12.9898+D496*78.233)*43758.5453,1),1E-9),"")</f>
        <v/>
      </c>
      <c r="G496">
        <f>IF(B496,MOD(SIN(Seed*0.5917+C496*39.3468+D496*11.135)*24634.6345,1),"")</f>
        <v/>
      </c>
      <c r="H496">
        <f>IF(B496,SQRT(-2*LN(F496))*COS(2*PI()*G496),"")</f>
        <v/>
      </c>
      <c r="I496">
        <f>IF(B496,IF(D496=0,H496,Rho*I495+SQRT(1-Rho^2)*H496),"")</f>
        <v/>
      </c>
      <c r="J496">
        <f>IF(B496,IF(Dist="Normal",DistA+DistB*I496,DistA+(DistB-DistA)*NORMSDIST(I496)),"")</f>
        <v/>
      </c>
      <c r="K496">
        <f>IF(B496,INDEX(MineScale,C496),"")</f>
        <v/>
      </c>
      <c r="L496">
        <f>IF(B496,INDEX(Dow,1,WEEKDAY(E496,2)),"")</f>
        <v/>
      </c>
      <c r="M496">
        <f>IF(B496,(1+Trend)^D496,"")</f>
        <v/>
      </c>
      <c r="N496">
        <f>IF(B496,EXP(SUMPRODUCT(LN(1+(EvEff-1)*INDEX(Affected,0,C496)*EXP(-((E496-EvCenter)^2)/(2*EvSigma^2))))),"")</f>
        <v/>
      </c>
      <c r="O496">
        <f>IF(B496,ROUND(MAX(0,J496*K496*L496*M496*N496),2),"")</f>
        <v/>
      </c>
    </row>
    <row r="497">
      <c r="A497" t="n">
        <v>496</v>
      </c>
      <c r="B497">
        <f>A497&lt;=MineCount*Days</f>
        <v/>
      </c>
      <c r="C497">
        <f>IF(B497,INT((A497-1)/Days)+1,"")</f>
        <v/>
      </c>
      <c r="D497">
        <f>IF(B497,MOD(A497-1,Days),"")</f>
        <v/>
      </c>
      <c r="E497" s="16">
        <f>IF(B497,StartDate+D497,"")</f>
        <v/>
      </c>
      <c r="F497">
        <f>IF(B497,MAX(MOD(SIN(Seed*0.1373+C497*12.9898+D497*78.233)*43758.5453,1),1E-9),"")</f>
        <v/>
      </c>
      <c r="G497">
        <f>IF(B497,MOD(SIN(Seed*0.5917+C497*39.3468+D497*11.135)*24634.6345,1),"")</f>
        <v/>
      </c>
      <c r="H497">
        <f>IF(B497,SQRT(-2*LN(F497))*COS(2*PI()*G497),"")</f>
        <v/>
      </c>
      <c r="I497">
        <f>IF(B497,IF(D497=0,H497,Rho*I496+SQRT(1-Rho^2)*H497),"")</f>
        <v/>
      </c>
      <c r="J497">
        <f>IF(B497,IF(Dist="Normal",DistA+DistB*I497,DistA+(DistB-DistA)*NORMSDIST(I497)),"")</f>
        <v/>
      </c>
      <c r="K497">
        <f>IF(B497,INDEX(MineScale,C497),"")</f>
        <v/>
      </c>
      <c r="L497">
        <f>IF(B497,INDEX(Dow,1,WEEKDAY(E497,2)),"")</f>
        <v/>
      </c>
      <c r="M497">
        <f>IF(B497,(1+Trend)^D497,"")</f>
        <v/>
      </c>
      <c r="N497">
        <f>IF(B497,EXP(SUMPRODUCT(LN(1+(EvEff-1)*INDEX(Affected,0,C497)*EXP(-((E497-EvCenter)^2)/(2*EvSigma^2))))),"")</f>
        <v/>
      </c>
      <c r="O497">
        <f>IF(B497,ROUND(MAX(0,J497*K497*L497*M497*N497),2),"")</f>
        <v/>
      </c>
    </row>
    <row r="498">
      <c r="A498" t="n">
        <v>497</v>
      </c>
      <c r="B498">
        <f>A498&lt;=MineCount*Days</f>
        <v/>
      </c>
      <c r="C498">
        <f>IF(B498,INT((A498-1)/Days)+1,"")</f>
        <v/>
      </c>
      <c r="D498">
        <f>IF(B498,MOD(A498-1,Days),"")</f>
        <v/>
      </c>
      <c r="E498" s="16">
        <f>IF(B498,StartDate+D498,"")</f>
        <v/>
      </c>
      <c r="F498">
        <f>IF(B498,MAX(MOD(SIN(Seed*0.1373+C498*12.9898+D498*78.233)*43758.5453,1),1E-9),"")</f>
        <v/>
      </c>
      <c r="G498">
        <f>IF(B498,MOD(SIN(Seed*0.5917+C498*39.3468+D498*11.135)*24634.6345,1),"")</f>
        <v/>
      </c>
      <c r="H498">
        <f>IF(B498,SQRT(-2*LN(F498))*COS(2*PI()*G498),"")</f>
        <v/>
      </c>
      <c r="I498">
        <f>IF(B498,IF(D498=0,H498,Rho*I497+SQRT(1-Rho^2)*H498),"")</f>
        <v/>
      </c>
      <c r="J498">
        <f>IF(B498,IF(Dist="Normal",DistA+DistB*I498,DistA+(DistB-DistA)*NORMSDIST(I498)),"")</f>
        <v/>
      </c>
      <c r="K498">
        <f>IF(B498,INDEX(MineScale,C498),"")</f>
        <v/>
      </c>
      <c r="L498">
        <f>IF(B498,INDEX(Dow,1,WEEKDAY(E498,2)),"")</f>
        <v/>
      </c>
      <c r="M498">
        <f>IF(B498,(1+Trend)^D498,"")</f>
        <v/>
      </c>
      <c r="N498">
        <f>IF(B498,EXP(SUMPRODUCT(LN(1+(EvEff-1)*INDEX(Affected,0,C498)*EXP(-((E498-EvCenter)^2)/(2*EvSigma^2))))),"")</f>
        <v/>
      </c>
      <c r="O498">
        <f>IF(B498,ROUND(MAX(0,J498*K498*L498*M498*N498),2),"")</f>
        <v/>
      </c>
    </row>
    <row r="499">
      <c r="A499" t="n">
        <v>498</v>
      </c>
      <c r="B499">
        <f>A499&lt;=MineCount*Days</f>
        <v/>
      </c>
      <c r="C499">
        <f>IF(B499,INT((A499-1)/Days)+1,"")</f>
        <v/>
      </c>
      <c r="D499">
        <f>IF(B499,MOD(A499-1,Days),"")</f>
        <v/>
      </c>
      <c r="E499" s="16">
        <f>IF(B499,StartDate+D499,"")</f>
        <v/>
      </c>
      <c r="F499">
        <f>IF(B499,MAX(MOD(SIN(Seed*0.1373+C499*12.9898+D499*78.233)*43758.5453,1),1E-9),"")</f>
        <v/>
      </c>
      <c r="G499">
        <f>IF(B499,MOD(SIN(Seed*0.5917+C499*39.3468+D499*11.135)*24634.6345,1),"")</f>
        <v/>
      </c>
      <c r="H499">
        <f>IF(B499,SQRT(-2*LN(F499))*COS(2*PI()*G499),"")</f>
        <v/>
      </c>
      <c r="I499">
        <f>IF(B499,IF(D499=0,H499,Rho*I498+SQRT(1-Rho^2)*H499),"")</f>
        <v/>
      </c>
      <c r="J499">
        <f>IF(B499,IF(Dist="Normal",DistA+DistB*I499,DistA+(DistB-DistA)*NORMSDIST(I499)),"")</f>
        <v/>
      </c>
      <c r="K499">
        <f>IF(B499,INDEX(MineScale,C499),"")</f>
        <v/>
      </c>
      <c r="L499">
        <f>IF(B499,INDEX(Dow,1,WEEKDAY(E499,2)),"")</f>
        <v/>
      </c>
      <c r="M499">
        <f>IF(B499,(1+Trend)^D499,"")</f>
        <v/>
      </c>
      <c r="N499">
        <f>IF(B499,EXP(SUMPRODUCT(LN(1+(EvEff-1)*INDEX(Affected,0,C499)*EXP(-((E499-EvCenter)^2)/(2*EvSigma^2))))),"")</f>
        <v/>
      </c>
      <c r="O499">
        <f>IF(B499,ROUND(MAX(0,J499*K499*L499*M499*N499),2),"")</f>
        <v/>
      </c>
    </row>
    <row r="500">
      <c r="A500" t="n">
        <v>499</v>
      </c>
      <c r="B500">
        <f>A500&lt;=MineCount*Days</f>
        <v/>
      </c>
      <c r="C500">
        <f>IF(B500,INT((A500-1)/Days)+1,"")</f>
        <v/>
      </c>
      <c r="D500">
        <f>IF(B500,MOD(A500-1,Days),"")</f>
        <v/>
      </c>
      <c r="E500" s="16">
        <f>IF(B500,StartDate+D500,"")</f>
        <v/>
      </c>
      <c r="F500">
        <f>IF(B500,MAX(MOD(SIN(Seed*0.1373+C500*12.9898+D500*78.233)*43758.5453,1),1E-9),"")</f>
        <v/>
      </c>
      <c r="G500">
        <f>IF(B500,MOD(SIN(Seed*0.5917+C500*39.3468+D500*11.135)*24634.6345,1),"")</f>
        <v/>
      </c>
      <c r="H500">
        <f>IF(B500,SQRT(-2*LN(F500))*COS(2*PI()*G500),"")</f>
        <v/>
      </c>
      <c r="I500">
        <f>IF(B500,IF(D500=0,H500,Rho*I499+SQRT(1-Rho^2)*H500),"")</f>
        <v/>
      </c>
      <c r="J500">
        <f>IF(B500,IF(Dist="Normal",DistA+DistB*I500,DistA+(DistB-DistA)*NORMSDIST(I500)),"")</f>
        <v/>
      </c>
      <c r="K500">
        <f>IF(B500,INDEX(MineScale,C500),"")</f>
        <v/>
      </c>
      <c r="L500">
        <f>IF(B500,INDEX(Dow,1,WEEKDAY(E500,2)),"")</f>
        <v/>
      </c>
      <c r="M500">
        <f>IF(B500,(1+Trend)^D500,"")</f>
        <v/>
      </c>
      <c r="N500">
        <f>IF(B500,EXP(SUMPRODUCT(LN(1+(EvEff-1)*INDEX(Affected,0,C500)*EXP(-((E500-EvCenter)^2)/(2*EvSigma^2))))),"")</f>
        <v/>
      </c>
      <c r="O500">
        <f>IF(B500,ROUND(MAX(0,J500*K500*L500*M500*N500),2),"")</f>
        <v/>
      </c>
    </row>
    <row r="501">
      <c r="A501" t="n">
        <v>500</v>
      </c>
      <c r="B501">
        <f>A501&lt;=MineCount*Days</f>
        <v/>
      </c>
      <c r="C501">
        <f>IF(B501,INT((A501-1)/Days)+1,"")</f>
        <v/>
      </c>
      <c r="D501">
        <f>IF(B501,MOD(A501-1,Days),"")</f>
        <v/>
      </c>
      <c r="E501" s="16">
        <f>IF(B501,StartDate+D501,"")</f>
        <v/>
      </c>
      <c r="F501">
        <f>IF(B501,MAX(MOD(SIN(Seed*0.1373+C501*12.9898+D501*78.233)*43758.5453,1),1E-9),"")</f>
        <v/>
      </c>
      <c r="G501">
        <f>IF(B501,MOD(SIN(Seed*0.5917+C501*39.3468+D501*11.135)*24634.6345,1),"")</f>
        <v/>
      </c>
      <c r="H501">
        <f>IF(B501,SQRT(-2*LN(F501))*COS(2*PI()*G501),"")</f>
        <v/>
      </c>
      <c r="I501">
        <f>IF(B501,IF(D501=0,H501,Rho*I500+SQRT(1-Rho^2)*H501),"")</f>
        <v/>
      </c>
      <c r="J501">
        <f>IF(B501,IF(Dist="Normal",DistA+DistB*I501,DistA+(DistB-DistA)*NORMSDIST(I501)),"")</f>
        <v/>
      </c>
      <c r="K501">
        <f>IF(B501,INDEX(MineScale,C501),"")</f>
        <v/>
      </c>
      <c r="L501">
        <f>IF(B501,INDEX(Dow,1,WEEKDAY(E501,2)),"")</f>
        <v/>
      </c>
      <c r="M501">
        <f>IF(B501,(1+Trend)^D501,"")</f>
        <v/>
      </c>
      <c r="N501">
        <f>IF(B501,EXP(SUMPRODUCT(LN(1+(EvEff-1)*INDEX(Affected,0,C501)*EXP(-((E501-EvCenter)^2)/(2*EvSigma^2))))),"")</f>
        <v/>
      </c>
      <c r="O501">
        <f>IF(B501,ROUND(MAX(0,J501*K501*L501*M501*N501),2),"")</f>
        <v/>
      </c>
    </row>
    <row r="502">
      <c r="A502" t="n">
        <v>501</v>
      </c>
      <c r="B502">
        <f>A502&lt;=MineCount*Days</f>
        <v/>
      </c>
      <c r="C502">
        <f>IF(B502,INT((A502-1)/Days)+1,"")</f>
        <v/>
      </c>
      <c r="D502">
        <f>IF(B502,MOD(A502-1,Days),"")</f>
        <v/>
      </c>
      <c r="E502" s="16">
        <f>IF(B502,StartDate+D502,"")</f>
        <v/>
      </c>
      <c r="F502">
        <f>IF(B502,MAX(MOD(SIN(Seed*0.1373+C502*12.9898+D502*78.233)*43758.5453,1),1E-9),"")</f>
        <v/>
      </c>
      <c r="G502">
        <f>IF(B502,MOD(SIN(Seed*0.5917+C502*39.3468+D502*11.135)*24634.6345,1),"")</f>
        <v/>
      </c>
      <c r="H502">
        <f>IF(B502,SQRT(-2*LN(F502))*COS(2*PI()*G502),"")</f>
        <v/>
      </c>
      <c r="I502">
        <f>IF(B502,IF(D502=0,H502,Rho*I501+SQRT(1-Rho^2)*H502),"")</f>
        <v/>
      </c>
      <c r="J502">
        <f>IF(B502,IF(Dist="Normal",DistA+DistB*I502,DistA+(DistB-DistA)*NORMSDIST(I502)),"")</f>
        <v/>
      </c>
      <c r="K502">
        <f>IF(B502,INDEX(MineScale,C502),"")</f>
        <v/>
      </c>
      <c r="L502">
        <f>IF(B502,INDEX(Dow,1,WEEKDAY(E502,2)),"")</f>
        <v/>
      </c>
      <c r="M502">
        <f>IF(B502,(1+Trend)^D502,"")</f>
        <v/>
      </c>
      <c r="N502">
        <f>IF(B502,EXP(SUMPRODUCT(LN(1+(EvEff-1)*INDEX(Affected,0,C502)*EXP(-((E502-EvCenter)^2)/(2*EvSigma^2))))),"")</f>
        <v/>
      </c>
      <c r="O502">
        <f>IF(B502,ROUND(MAX(0,J502*K502*L502*M502*N502),2),"")</f>
        <v/>
      </c>
    </row>
    <row r="503">
      <c r="A503" t="n">
        <v>502</v>
      </c>
      <c r="B503">
        <f>A503&lt;=MineCount*Days</f>
        <v/>
      </c>
      <c r="C503">
        <f>IF(B503,INT((A503-1)/Days)+1,"")</f>
        <v/>
      </c>
      <c r="D503">
        <f>IF(B503,MOD(A503-1,Days),"")</f>
        <v/>
      </c>
      <c r="E503" s="16">
        <f>IF(B503,StartDate+D503,"")</f>
        <v/>
      </c>
      <c r="F503">
        <f>IF(B503,MAX(MOD(SIN(Seed*0.1373+C503*12.9898+D503*78.233)*43758.5453,1),1E-9),"")</f>
        <v/>
      </c>
      <c r="G503">
        <f>IF(B503,MOD(SIN(Seed*0.5917+C503*39.3468+D503*11.135)*24634.6345,1),"")</f>
        <v/>
      </c>
      <c r="H503">
        <f>IF(B503,SQRT(-2*LN(F503))*COS(2*PI()*G503),"")</f>
        <v/>
      </c>
      <c r="I503">
        <f>IF(B503,IF(D503=0,H503,Rho*I502+SQRT(1-Rho^2)*H503),"")</f>
        <v/>
      </c>
      <c r="J503">
        <f>IF(B503,IF(Dist="Normal",DistA+DistB*I503,DistA+(DistB-DistA)*NORMSDIST(I503)),"")</f>
        <v/>
      </c>
      <c r="K503">
        <f>IF(B503,INDEX(MineScale,C503),"")</f>
        <v/>
      </c>
      <c r="L503">
        <f>IF(B503,INDEX(Dow,1,WEEKDAY(E503,2)),"")</f>
        <v/>
      </c>
      <c r="M503">
        <f>IF(B503,(1+Trend)^D503,"")</f>
        <v/>
      </c>
      <c r="N503">
        <f>IF(B503,EXP(SUMPRODUCT(LN(1+(EvEff-1)*INDEX(Affected,0,C503)*EXP(-((E503-EvCenter)^2)/(2*EvSigma^2))))),"")</f>
        <v/>
      </c>
      <c r="O503">
        <f>IF(B503,ROUND(MAX(0,J503*K503*L503*M503*N503),2),"")</f>
        <v/>
      </c>
    </row>
    <row r="504">
      <c r="A504" t="n">
        <v>503</v>
      </c>
      <c r="B504">
        <f>A504&lt;=MineCount*Days</f>
        <v/>
      </c>
      <c r="C504">
        <f>IF(B504,INT((A504-1)/Days)+1,"")</f>
        <v/>
      </c>
      <c r="D504">
        <f>IF(B504,MOD(A504-1,Days),"")</f>
        <v/>
      </c>
      <c r="E504" s="16">
        <f>IF(B504,StartDate+D504,"")</f>
        <v/>
      </c>
      <c r="F504">
        <f>IF(B504,MAX(MOD(SIN(Seed*0.1373+C504*12.9898+D504*78.233)*43758.5453,1),1E-9),"")</f>
        <v/>
      </c>
      <c r="G504">
        <f>IF(B504,MOD(SIN(Seed*0.5917+C504*39.3468+D504*11.135)*24634.6345,1),"")</f>
        <v/>
      </c>
      <c r="H504">
        <f>IF(B504,SQRT(-2*LN(F504))*COS(2*PI()*G504),"")</f>
        <v/>
      </c>
      <c r="I504">
        <f>IF(B504,IF(D504=0,H504,Rho*I503+SQRT(1-Rho^2)*H504),"")</f>
        <v/>
      </c>
      <c r="J504">
        <f>IF(B504,IF(Dist="Normal",DistA+DistB*I504,DistA+(DistB-DistA)*NORMSDIST(I504)),"")</f>
        <v/>
      </c>
      <c r="K504">
        <f>IF(B504,INDEX(MineScale,C504),"")</f>
        <v/>
      </c>
      <c r="L504">
        <f>IF(B504,INDEX(Dow,1,WEEKDAY(E504,2)),"")</f>
        <v/>
      </c>
      <c r="M504">
        <f>IF(B504,(1+Trend)^D504,"")</f>
        <v/>
      </c>
      <c r="N504">
        <f>IF(B504,EXP(SUMPRODUCT(LN(1+(EvEff-1)*INDEX(Affected,0,C504)*EXP(-((E504-EvCenter)^2)/(2*EvSigma^2))))),"")</f>
        <v/>
      </c>
      <c r="O504">
        <f>IF(B504,ROUND(MAX(0,J504*K504*L504*M504*N504),2),"")</f>
        <v/>
      </c>
    </row>
    <row r="505">
      <c r="A505" t="n">
        <v>504</v>
      </c>
      <c r="B505">
        <f>A505&lt;=MineCount*Days</f>
        <v/>
      </c>
      <c r="C505">
        <f>IF(B505,INT((A505-1)/Days)+1,"")</f>
        <v/>
      </c>
      <c r="D505">
        <f>IF(B505,MOD(A505-1,Days),"")</f>
        <v/>
      </c>
      <c r="E505" s="16">
        <f>IF(B505,StartDate+D505,"")</f>
        <v/>
      </c>
      <c r="F505">
        <f>IF(B505,MAX(MOD(SIN(Seed*0.1373+C505*12.9898+D505*78.233)*43758.5453,1),1E-9),"")</f>
        <v/>
      </c>
      <c r="G505">
        <f>IF(B505,MOD(SIN(Seed*0.5917+C505*39.3468+D505*11.135)*24634.6345,1),"")</f>
        <v/>
      </c>
      <c r="H505">
        <f>IF(B505,SQRT(-2*LN(F505))*COS(2*PI()*G505),"")</f>
        <v/>
      </c>
      <c r="I505">
        <f>IF(B505,IF(D505=0,H505,Rho*I504+SQRT(1-Rho^2)*H505),"")</f>
        <v/>
      </c>
      <c r="J505">
        <f>IF(B505,IF(Dist="Normal",DistA+DistB*I505,DistA+(DistB-DistA)*NORMSDIST(I505)),"")</f>
        <v/>
      </c>
      <c r="K505">
        <f>IF(B505,INDEX(MineScale,C505),"")</f>
        <v/>
      </c>
      <c r="L505">
        <f>IF(B505,INDEX(Dow,1,WEEKDAY(E505,2)),"")</f>
        <v/>
      </c>
      <c r="M505">
        <f>IF(B505,(1+Trend)^D505,"")</f>
        <v/>
      </c>
      <c r="N505">
        <f>IF(B505,EXP(SUMPRODUCT(LN(1+(EvEff-1)*INDEX(Affected,0,C505)*EXP(-((E505-EvCenter)^2)/(2*EvSigma^2))))),"")</f>
        <v/>
      </c>
      <c r="O505">
        <f>IF(B505,ROUND(MAX(0,J505*K505*L505*M505*N505),2),"")</f>
        <v/>
      </c>
    </row>
    <row r="506">
      <c r="A506" t="n">
        <v>505</v>
      </c>
      <c r="B506">
        <f>A506&lt;=MineCount*Days</f>
        <v/>
      </c>
      <c r="C506">
        <f>IF(B506,INT((A506-1)/Days)+1,"")</f>
        <v/>
      </c>
      <c r="D506">
        <f>IF(B506,MOD(A506-1,Days),"")</f>
        <v/>
      </c>
      <c r="E506" s="16">
        <f>IF(B506,StartDate+D506,"")</f>
        <v/>
      </c>
      <c r="F506">
        <f>IF(B506,MAX(MOD(SIN(Seed*0.1373+C506*12.9898+D506*78.233)*43758.5453,1),1E-9),"")</f>
        <v/>
      </c>
      <c r="G506">
        <f>IF(B506,MOD(SIN(Seed*0.5917+C506*39.3468+D506*11.135)*24634.6345,1),"")</f>
        <v/>
      </c>
      <c r="H506">
        <f>IF(B506,SQRT(-2*LN(F506))*COS(2*PI()*G506),"")</f>
        <v/>
      </c>
      <c r="I506">
        <f>IF(B506,IF(D506=0,H506,Rho*I505+SQRT(1-Rho^2)*H506),"")</f>
        <v/>
      </c>
      <c r="J506">
        <f>IF(B506,IF(Dist="Normal",DistA+DistB*I506,DistA+(DistB-DistA)*NORMSDIST(I506)),"")</f>
        <v/>
      </c>
      <c r="K506">
        <f>IF(B506,INDEX(MineScale,C506),"")</f>
        <v/>
      </c>
      <c r="L506">
        <f>IF(B506,INDEX(Dow,1,WEEKDAY(E506,2)),"")</f>
        <v/>
      </c>
      <c r="M506">
        <f>IF(B506,(1+Trend)^D506,"")</f>
        <v/>
      </c>
      <c r="N506">
        <f>IF(B506,EXP(SUMPRODUCT(LN(1+(EvEff-1)*INDEX(Affected,0,C506)*EXP(-((E506-EvCenter)^2)/(2*EvSigma^2))))),"")</f>
        <v/>
      </c>
      <c r="O506">
        <f>IF(B506,ROUND(MAX(0,J506*K506*L506*M506*N506),2),"")</f>
        <v/>
      </c>
    </row>
    <row r="507">
      <c r="A507" t="n">
        <v>506</v>
      </c>
      <c r="B507">
        <f>A507&lt;=MineCount*Days</f>
        <v/>
      </c>
      <c r="C507">
        <f>IF(B507,INT((A507-1)/Days)+1,"")</f>
        <v/>
      </c>
      <c r="D507">
        <f>IF(B507,MOD(A507-1,Days),"")</f>
        <v/>
      </c>
      <c r="E507" s="16">
        <f>IF(B507,StartDate+D507,"")</f>
        <v/>
      </c>
      <c r="F507">
        <f>IF(B507,MAX(MOD(SIN(Seed*0.1373+C507*12.9898+D507*78.233)*43758.5453,1),1E-9),"")</f>
        <v/>
      </c>
      <c r="G507">
        <f>IF(B507,MOD(SIN(Seed*0.5917+C507*39.3468+D507*11.135)*24634.6345,1),"")</f>
        <v/>
      </c>
      <c r="H507">
        <f>IF(B507,SQRT(-2*LN(F507))*COS(2*PI()*G507),"")</f>
        <v/>
      </c>
      <c r="I507">
        <f>IF(B507,IF(D507=0,H507,Rho*I506+SQRT(1-Rho^2)*H507),"")</f>
        <v/>
      </c>
      <c r="J507">
        <f>IF(B507,IF(Dist="Normal",DistA+DistB*I507,DistA+(DistB-DistA)*NORMSDIST(I507)),"")</f>
        <v/>
      </c>
      <c r="K507">
        <f>IF(B507,INDEX(MineScale,C507),"")</f>
        <v/>
      </c>
      <c r="L507">
        <f>IF(B507,INDEX(Dow,1,WEEKDAY(E507,2)),"")</f>
        <v/>
      </c>
      <c r="M507">
        <f>IF(B507,(1+Trend)^D507,"")</f>
        <v/>
      </c>
      <c r="N507">
        <f>IF(B507,EXP(SUMPRODUCT(LN(1+(EvEff-1)*INDEX(Affected,0,C507)*EXP(-((E507-EvCenter)^2)/(2*EvSigma^2))))),"")</f>
        <v/>
      </c>
      <c r="O507">
        <f>IF(B507,ROUND(MAX(0,J507*K507*L507*M507*N507),2),"")</f>
        <v/>
      </c>
    </row>
    <row r="508">
      <c r="A508" t="n">
        <v>507</v>
      </c>
      <c r="B508">
        <f>A508&lt;=MineCount*Days</f>
        <v/>
      </c>
      <c r="C508">
        <f>IF(B508,INT((A508-1)/Days)+1,"")</f>
        <v/>
      </c>
      <c r="D508">
        <f>IF(B508,MOD(A508-1,Days),"")</f>
        <v/>
      </c>
      <c r="E508" s="16">
        <f>IF(B508,StartDate+D508,"")</f>
        <v/>
      </c>
      <c r="F508">
        <f>IF(B508,MAX(MOD(SIN(Seed*0.1373+C508*12.9898+D508*78.233)*43758.5453,1),1E-9),"")</f>
        <v/>
      </c>
      <c r="G508">
        <f>IF(B508,MOD(SIN(Seed*0.5917+C508*39.3468+D508*11.135)*24634.6345,1),"")</f>
        <v/>
      </c>
      <c r="H508">
        <f>IF(B508,SQRT(-2*LN(F508))*COS(2*PI()*G508),"")</f>
        <v/>
      </c>
      <c r="I508">
        <f>IF(B508,IF(D508=0,H508,Rho*I507+SQRT(1-Rho^2)*H508),"")</f>
        <v/>
      </c>
      <c r="J508">
        <f>IF(B508,IF(Dist="Normal",DistA+DistB*I508,DistA+(DistB-DistA)*NORMSDIST(I508)),"")</f>
        <v/>
      </c>
      <c r="K508">
        <f>IF(B508,INDEX(MineScale,C508),"")</f>
        <v/>
      </c>
      <c r="L508">
        <f>IF(B508,INDEX(Dow,1,WEEKDAY(E508,2)),"")</f>
        <v/>
      </c>
      <c r="M508">
        <f>IF(B508,(1+Trend)^D508,"")</f>
        <v/>
      </c>
      <c r="N508">
        <f>IF(B508,EXP(SUMPRODUCT(LN(1+(EvEff-1)*INDEX(Affected,0,C508)*EXP(-((E508-EvCenter)^2)/(2*EvSigma^2))))),"")</f>
        <v/>
      </c>
      <c r="O508">
        <f>IF(B508,ROUND(MAX(0,J508*K508*L508*M508*N508),2),"")</f>
        <v/>
      </c>
    </row>
    <row r="509">
      <c r="A509" t="n">
        <v>508</v>
      </c>
      <c r="B509">
        <f>A509&lt;=MineCount*Days</f>
        <v/>
      </c>
      <c r="C509">
        <f>IF(B509,INT((A509-1)/Days)+1,"")</f>
        <v/>
      </c>
      <c r="D509">
        <f>IF(B509,MOD(A509-1,Days),"")</f>
        <v/>
      </c>
      <c r="E509" s="16">
        <f>IF(B509,StartDate+D509,"")</f>
        <v/>
      </c>
      <c r="F509">
        <f>IF(B509,MAX(MOD(SIN(Seed*0.1373+C509*12.9898+D509*78.233)*43758.5453,1),1E-9),"")</f>
        <v/>
      </c>
      <c r="G509">
        <f>IF(B509,MOD(SIN(Seed*0.5917+C509*39.3468+D509*11.135)*24634.6345,1),"")</f>
        <v/>
      </c>
      <c r="H509">
        <f>IF(B509,SQRT(-2*LN(F509))*COS(2*PI()*G509),"")</f>
        <v/>
      </c>
      <c r="I509">
        <f>IF(B509,IF(D509=0,H509,Rho*I508+SQRT(1-Rho^2)*H509),"")</f>
        <v/>
      </c>
      <c r="J509">
        <f>IF(B509,IF(Dist="Normal",DistA+DistB*I509,DistA+(DistB-DistA)*NORMSDIST(I509)),"")</f>
        <v/>
      </c>
      <c r="K509">
        <f>IF(B509,INDEX(MineScale,C509),"")</f>
        <v/>
      </c>
      <c r="L509">
        <f>IF(B509,INDEX(Dow,1,WEEKDAY(E509,2)),"")</f>
        <v/>
      </c>
      <c r="M509">
        <f>IF(B509,(1+Trend)^D509,"")</f>
        <v/>
      </c>
      <c r="N509">
        <f>IF(B509,EXP(SUMPRODUCT(LN(1+(EvEff-1)*INDEX(Affected,0,C509)*EXP(-((E509-EvCenter)^2)/(2*EvSigma^2))))),"")</f>
        <v/>
      </c>
      <c r="O509">
        <f>IF(B509,ROUND(MAX(0,J509*K509*L509*M509*N509),2),"")</f>
        <v/>
      </c>
    </row>
    <row r="510">
      <c r="A510" t="n">
        <v>509</v>
      </c>
      <c r="B510">
        <f>A510&lt;=MineCount*Days</f>
        <v/>
      </c>
      <c r="C510">
        <f>IF(B510,INT((A510-1)/Days)+1,"")</f>
        <v/>
      </c>
      <c r="D510">
        <f>IF(B510,MOD(A510-1,Days),"")</f>
        <v/>
      </c>
      <c r="E510" s="16">
        <f>IF(B510,StartDate+D510,"")</f>
        <v/>
      </c>
      <c r="F510">
        <f>IF(B510,MAX(MOD(SIN(Seed*0.1373+C510*12.9898+D510*78.233)*43758.5453,1),1E-9),"")</f>
        <v/>
      </c>
      <c r="G510">
        <f>IF(B510,MOD(SIN(Seed*0.5917+C510*39.3468+D510*11.135)*24634.6345,1),"")</f>
        <v/>
      </c>
      <c r="H510">
        <f>IF(B510,SQRT(-2*LN(F510))*COS(2*PI()*G510),"")</f>
        <v/>
      </c>
      <c r="I510">
        <f>IF(B510,IF(D510=0,H510,Rho*I509+SQRT(1-Rho^2)*H510),"")</f>
        <v/>
      </c>
      <c r="J510">
        <f>IF(B510,IF(Dist="Normal",DistA+DistB*I510,DistA+(DistB-DistA)*NORMSDIST(I510)),"")</f>
        <v/>
      </c>
      <c r="K510">
        <f>IF(B510,INDEX(MineScale,C510),"")</f>
        <v/>
      </c>
      <c r="L510">
        <f>IF(B510,INDEX(Dow,1,WEEKDAY(E510,2)),"")</f>
        <v/>
      </c>
      <c r="M510">
        <f>IF(B510,(1+Trend)^D510,"")</f>
        <v/>
      </c>
      <c r="N510">
        <f>IF(B510,EXP(SUMPRODUCT(LN(1+(EvEff-1)*INDEX(Affected,0,C510)*EXP(-((E510-EvCenter)^2)/(2*EvSigma^2))))),"")</f>
        <v/>
      </c>
      <c r="O510">
        <f>IF(B510,ROUND(MAX(0,J510*K510*L510*M510*N510),2),"")</f>
        <v/>
      </c>
    </row>
    <row r="511">
      <c r="A511" t="n">
        <v>510</v>
      </c>
      <c r="B511">
        <f>A511&lt;=MineCount*Days</f>
        <v/>
      </c>
      <c r="C511">
        <f>IF(B511,INT((A511-1)/Days)+1,"")</f>
        <v/>
      </c>
      <c r="D511">
        <f>IF(B511,MOD(A511-1,Days),"")</f>
        <v/>
      </c>
      <c r="E511" s="16">
        <f>IF(B511,StartDate+D511,"")</f>
        <v/>
      </c>
      <c r="F511">
        <f>IF(B511,MAX(MOD(SIN(Seed*0.1373+C511*12.9898+D511*78.233)*43758.5453,1),1E-9),"")</f>
        <v/>
      </c>
      <c r="G511">
        <f>IF(B511,MOD(SIN(Seed*0.5917+C511*39.3468+D511*11.135)*24634.6345,1),"")</f>
        <v/>
      </c>
      <c r="H511">
        <f>IF(B511,SQRT(-2*LN(F511))*COS(2*PI()*G511),"")</f>
        <v/>
      </c>
      <c r="I511">
        <f>IF(B511,IF(D511=0,H511,Rho*I510+SQRT(1-Rho^2)*H511),"")</f>
        <v/>
      </c>
      <c r="J511">
        <f>IF(B511,IF(Dist="Normal",DistA+DistB*I511,DistA+(DistB-DistA)*NORMSDIST(I511)),"")</f>
        <v/>
      </c>
      <c r="K511">
        <f>IF(B511,INDEX(MineScale,C511),"")</f>
        <v/>
      </c>
      <c r="L511">
        <f>IF(B511,INDEX(Dow,1,WEEKDAY(E511,2)),"")</f>
        <v/>
      </c>
      <c r="M511">
        <f>IF(B511,(1+Trend)^D511,"")</f>
        <v/>
      </c>
      <c r="N511">
        <f>IF(B511,EXP(SUMPRODUCT(LN(1+(EvEff-1)*INDEX(Affected,0,C511)*EXP(-((E511-EvCenter)^2)/(2*EvSigma^2))))),"")</f>
        <v/>
      </c>
      <c r="O511">
        <f>IF(B511,ROUND(MAX(0,J511*K511*L511*M511*N511),2),"")</f>
        <v/>
      </c>
    </row>
    <row r="512">
      <c r="A512" t="n">
        <v>511</v>
      </c>
      <c r="B512">
        <f>A512&lt;=MineCount*Days</f>
        <v/>
      </c>
      <c r="C512">
        <f>IF(B512,INT((A512-1)/Days)+1,"")</f>
        <v/>
      </c>
      <c r="D512">
        <f>IF(B512,MOD(A512-1,Days),"")</f>
        <v/>
      </c>
      <c r="E512" s="16">
        <f>IF(B512,StartDate+D512,"")</f>
        <v/>
      </c>
      <c r="F512">
        <f>IF(B512,MAX(MOD(SIN(Seed*0.1373+C512*12.9898+D512*78.233)*43758.5453,1),1E-9),"")</f>
        <v/>
      </c>
      <c r="G512">
        <f>IF(B512,MOD(SIN(Seed*0.5917+C512*39.3468+D512*11.135)*24634.6345,1),"")</f>
        <v/>
      </c>
      <c r="H512">
        <f>IF(B512,SQRT(-2*LN(F512))*COS(2*PI()*G512),"")</f>
        <v/>
      </c>
      <c r="I512">
        <f>IF(B512,IF(D512=0,H512,Rho*I511+SQRT(1-Rho^2)*H512),"")</f>
        <v/>
      </c>
      <c r="J512">
        <f>IF(B512,IF(Dist="Normal",DistA+DistB*I512,DistA+(DistB-DistA)*NORMSDIST(I512)),"")</f>
        <v/>
      </c>
      <c r="K512">
        <f>IF(B512,INDEX(MineScale,C512),"")</f>
        <v/>
      </c>
      <c r="L512">
        <f>IF(B512,INDEX(Dow,1,WEEKDAY(E512,2)),"")</f>
        <v/>
      </c>
      <c r="M512">
        <f>IF(B512,(1+Trend)^D512,"")</f>
        <v/>
      </c>
      <c r="N512">
        <f>IF(B512,EXP(SUMPRODUCT(LN(1+(EvEff-1)*INDEX(Affected,0,C512)*EXP(-((E512-EvCenter)^2)/(2*EvSigma^2))))),"")</f>
        <v/>
      </c>
      <c r="O512">
        <f>IF(B512,ROUND(MAX(0,J512*K512*L512*M512*N512),2),"")</f>
        <v/>
      </c>
    </row>
    <row r="513">
      <c r="A513" t="n">
        <v>512</v>
      </c>
      <c r="B513">
        <f>A513&lt;=MineCount*Days</f>
        <v/>
      </c>
      <c r="C513">
        <f>IF(B513,INT((A513-1)/Days)+1,"")</f>
        <v/>
      </c>
      <c r="D513">
        <f>IF(B513,MOD(A513-1,Days),"")</f>
        <v/>
      </c>
      <c r="E513" s="16">
        <f>IF(B513,StartDate+D513,"")</f>
        <v/>
      </c>
      <c r="F513">
        <f>IF(B513,MAX(MOD(SIN(Seed*0.1373+C513*12.9898+D513*78.233)*43758.5453,1),1E-9),"")</f>
        <v/>
      </c>
      <c r="G513">
        <f>IF(B513,MOD(SIN(Seed*0.5917+C513*39.3468+D513*11.135)*24634.6345,1),"")</f>
        <v/>
      </c>
      <c r="H513">
        <f>IF(B513,SQRT(-2*LN(F513))*COS(2*PI()*G513),"")</f>
        <v/>
      </c>
      <c r="I513">
        <f>IF(B513,IF(D513=0,H513,Rho*I512+SQRT(1-Rho^2)*H513),"")</f>
        <v/>
      </c>
      <c r="J513">
        <f>IF(B513,IF(Dist="Normal",DistA+DistB*I513,DistA+(DistB-DistA)*NORMSDIST(I513)),"")</f>
        <v/>
      </c>
      <c r="K513">
        <f>IF(B513,INDEX(MineScale,C513),"")</f>
        <v/>
      </c>
      <c r="L513">
        <f>IF(B513,INDEX(Dow,1,WEEKDAY(E513,2)),"")</f>
        <v/>
      </c>
      <c r="M513">
        <f>IF(B513,(1+Trend)^D513,"")</f>
        <v/>
      </c>
      <c r="N513">
        <f>IF(B513,EXP(SUMPRODUCT(LN(1+(EvEff-1)*INDEX(Affected,0,C513)*EXP(-((E513-EvCenter)^2)/(2*EvSigma^2))))),"")</f>
        <v/>
      </c>
      <c r="O513">
        <f>IF(B513,ROUND(MAX(0,J513*K513*L513*M513*N513),2),"")</f>
        <v/>
      </c>
    </row>
    <row r="514">
      <c r="A514" t="n">
        <v>513</v>
      </c>
      <c r="B514">
        <f>A514&lt;=MineCount*Days</f>
        <v/>
      </c>
      <c r="C514">
        <f>IF(B514,INT((A514-1)/Days)+1,"")</f>
        <v/>
      </c>
      <c r="D514">
        <f>IF(B514,MOD(A514-1,Days),"")</f>
        <v/>
      </c>
      <c r="E514" s="16">
        <f>IF(B514,StartDate+D514,"")</f>
        <v/>
      </c>
      <c r="F514">
        <f>IF(B514,MAX(MOD(SIN(Seed*0.1373+C514*12.9898+D514*78.233)*43758.5453,1),1E-9),"")</f>
        <v/>
      </c>
      <c r="G514">
        <f>IF(B514,MOD(SIN(Seed*0.5917+C514*39.3468+D514*11.135)*24634.6345,1),"")</f>
        <v/>
      </c>
      <c r="H514">
        <f>IF(B514,SQRT(-2*LN(F514))*COS(2*PI()*G514),"")</f>
        <v/>
      </c>
      <c r="I514">
        <f>IF(B514,IF(D514=0,H514,Rho*I513+SQRT(1-Rho^2)*H514),"")</f>
        <v/>
      </c>
      <c r="J514">
        <f>IF(B514,IF(Dist="Normal",DistA+DistB*I514,DistA+(DistB-DistA)*NORMSDIST(I514)),"")</f>
        <v/>
      </c>
      <c r="K514">
        <f>IF(B514,INDEX(MineScale,C514),"")</f>
        <v/>
      </c>
      <c r="L514">
        <f>IF(B514,INDEX(Dow,1,WEEKDAY(E514,2)),"")</f>
        <v/>
      </c>
      <c r="M514">
        <f>IF(B514,(1+Trend)^D514,"")</f>
        <v/>
      </c>
      <c r="N514">
        <f>IF(B514,EXP(SUMPRODUCT(LN(1+(EvEff-1)*INDEX(Affected,0,C514)*EXP(-((E514-EvCenter)^2)/(2*EvSigma^2))))),"")</f>
        <v/>
      </c>
      <c r="O514">
        <f>IF(B514,ROUND(MAX(0,J514*K514*L514*M514*N514),2),"")</f>
        <v/>
      </c>
    </row>
    <row r="515">
      <c r="A515" t="n">
        <v>514</v>
      </c>
      <c r="B515">
        <f>A515&lt;=MineCount*Days</f>
        <v/>
      </c>
      <c r="C515">
        <f>IF(B515,INT((A515-1)/Days)+1,"")</f>
        <v/>
      </c>
      <c r="D515">
        <f>IF(B515,MOD(A515-1,Days),"")</f>
        <v/>
      </c>
      <c r="E515" s="16">
        <f>IF(B515,StartDate+D515,"")</f>
        <v/>
      </c>
      <c r="F515">
        <f>IF(B515,MAX(MOD(SIN(Seed*0.1373+C515*12.9898+D515*78.233)*43758.5453,1),1E-9),"")</f>
        <v/>
      </c>
      <c r="G515">
        <f>IF(B515,MOD(SIN(Seed*0.5917+C515*39.3468+D515*11.135)*24634.6345,1),"")</f>
        <v/>
      </c>
      <c r="H515">
        <f>IF(B515,SQRT(-2*LN(F515))*COS(2*PI()*G515),"")</f>
        <v/>
      </c>
      <c r="I515">
        <f>IF(B515,IF(D515=0,H515,Rho*I514+SQRT(1-Rho^2)*H515),"")</f>
        <v/>
      </c>
      <c r="J515">
        <f>IF(B515,IF(Dist="Normal",DistA+DistB*I515,DistA+(DistB-DistA)*NORMSDIST(I515)),"")</f>
        <v/>
      </c>
      <c r="K515">
        <f>IF(B515,INDEX(MineScale,C515),"")</f>
        <v/>
      </c>
      <c r="L515">
        <f>IF(B515,INDEX(Dow,1,WEEKDAY(E515,2)),"")</f>
        <v/>
      </c>
      <c r="M515">
        <f>IF(B515,(1+Trend)^D515,"")</f>
        <v/>
      </c>
      <c r="N515">
        <f>IF(B515,EXP(SUMPRODUCT(LN(1+(EvEff-1)*INDEX(Affected,0,C515)*EXP(-((E515-EvCenter)^2)/(2*EvSigma^2))))),"")</f>
        <v/>
      </c>
      <c r="O515">
        <f>IF(B515,ROUND(MAX(0,J515*K515*L515*M515*N515),2),"")</f>
        <v/>
      </c>
    </row>
    <row r="516">
      <c r="A516" t="n">
        <v>515</v>
      </c>
      <c r="B516">
        <f>A516&lt;=MineCount*Days</f>
        <v/>
      </c>
      <c r="C516">
        <f>IF(B516,INT((A516-1)/Days)+1,"")</f>
        <v/>
      </c>
      <c r="D516">
        <f>IF(B516,MOD(A516-1,Days),"")</f>
        <v/>
      </c>
      <c r="E516" s="16">
        <f>IF(B516,StartDate+D516,"")</f>
        <v/>
      </c>
      <c r="F516">
        <f>IF(B516,MAX(MOD(SIN(Seed*0.1373+C516*12.9898+D516*78.233)*43758.5453,1),1E-9),"")</f>
        <v/>
      </c>
      <c r="G516">
        <f>IF(B516,MOD(SIN(Seed*0.5917+C516*39.3468+D516*11.135)*24634.6345,1),"")</f>
        <v/>
      </c>
      <c r="H516">
        <f>IF(B516,SQRT(-2*LN(F516))*COS(2*PI()*G516),"")</f>
        <v/>
      </c>
      <c r="I516">
        <f>IF(B516,IF(D516=0,H516,Rho*I515+SQRT(1-Rho^2)*H516),"")</f>
        <v/>
      </c>
      <c r="J516">
        <f>IF(B516,IF(Dist="Normal",DistA+DistB*I516,DistA+(DistB-DistA)*NORMSDIST(I516)),"")</f>
        <v/>
      </c>
      <c r="K516">
        <f>IF(B516,INDEX(MineScale,C516),"")</f>
        <v/>
      </c>
      <c r="L516">
        <f>IF(B516,INDEX(Dow,1,WEEKDAY(E516,2)),"")</f>
        <v/>
      </c>
      <c r="M516">
        <f>IF(B516,(1+Trend)^D516,"")</f>
        <v/>
      </c>
      <c r="N516">
        <f>IF(B516,EXP(SUMPRODUCT(LN(1+(EvEff-1)*INDEX(Affected,0,C516)*EXP(-((E516-EvCenter)^2)/(2*EvSigma^2))))),"")</f>
        <v/>
      </c>
      <c r="O516">
        <f>IF(B516,ROUND(MAX(0,J516*K516*L516*M516*N516),2),"")</f>
        <v/>
      </c>
    </row>
    <row r="517">
      <c r="A517" t="n">
        <v>516</v>
      </c>
      <c r="B517">
        <f>A517&lt;=MineCount*Days</f>
        <v/>
      </c>
      <c r="C517">
        <f>IF(B517,INT((A517-1)/Days)+1,"")</f>
        <v/>
      </c>
      <c r="D517">
        <f>IF(B517,MOD(A517-1,Days),"")</f>
        <v/>
      </c>
      <c r="E517" s="16">
        <f>IF(B517,StartDate+D517,"")</f>
        <v/>
      </c>
      <c r="F517">
        <f>IF(B517,MAX(MOD(SIN(Seed*0.1373+C517*12.9898+D517*78.233)*43758.5453,1),1E-9),"")</f>
        <v/>
      </c>
      <c r="G517">
        <f>IF(B517,MOD(SIN(Seed*0.5917+C517*39.3468+D517*11.135)*24634.6345,1),"")</f>
        <v/>
      </c>
      <c r="H517">
        <f>IF(B517,SQRT(-2*LN(F517))*COS(2*PI()*G517),"")</f>
        <v/>
      </c>
      <c r="I517">
        <f>IF(B517,IF(D517=0,H517,Rho*I516+SQRT(1-Rho^2)*H517),"")</f>
        <v/>
      </c>
      <c r="J517">
        <f>IF(B517,IF(Dist="Normal",DistA+DistB*I517,DistA+(DistB-DistA)*NORMSDIST(I517)),"")</f>
        <v/>
      </c>
      <c r="K517">
        <f>IF(B517,INDEX(MineScale,C517),"")</f>
        <v/>
      </c>
      <c r="L517">
        <f>IF(B517,INDEX(Dow,1,WEEKDAY(E517,2)),"")</f>
        <v/>
      </c>
      <c r="M517">
        <f>IF(B517,(1+Trend)^D517,"")</f>
        <v/>
      </c>
      <c r="N517">
        <f>IF(B517,EXP(SUMPRODUCT(LN(1+(EvEff-1)*INDEX(Affected,0,C517)*EXP(-((E517-EvCenter)^2)/(2*EvSigma^2))))),"")</f>
        <v/>
      </c>
      <c r="O517">
        <f>IF(B517,ROUND(MAX(0,J517*K517*L517*M517*N517),2),"")</f>
        <v/>
      </c>
    </row>
    <row r="518">
      <c r="A518" t="n">
        <v>517</v>
      </c>
      <c r="B518">
        <f>A518&lt;=MineCount*Days</f>
        <v/>
      </c>
      <c r="C518">
        <f>IF(B518,INT((A518-1)/Days)+1,"")</f>
        <v/>
      </c>
      <c r="D518">
        <f>IF(B518,MOD(A518-1,Days),"")</f>
        <v/>
      </c>
      <c r="E518" s="16">
        <f>IF(B518,StartDate+D518,"")</f>
        <v/>
      </c>
      <c r="F518">
        <f>IF(B518,MAX(MOD(SIN(Seed*0.1373+C518*12.9898+D518*78.233)*43758.5453,1),1E-9),"")</f>
        <v/>
      </c>
      <c r="G518">
        <f>IF(B518,MOD(SIN(Seed*0.5917+C518*39.3468+D518*11.135)*24634.6345,1),"")</f>
        <v/>
      </c>
      <c r="H518">
        <f>IF(B518,SQRT(-2*LN(F518))*COS(2*PI()*G518),"")</f>
        <v/>
      </c>
      <c r="I518">
        <f>IF(B518,IF(D518=0,H518,Rho*I517+SQRT(1-Rho^2)*H518),"")</f>
        <v/>
      </c>
      <c r="J518">
        <f>IF(B518,IF(Dist="Normal",DistA+DistB*I518,DistA+(DistB-DistA)*NORMSDIST(I518)),"")</f>
        <v/>
      </c>
      <c r="K518">
        <f>IF(B518,INDEX(MineScale,C518),"")</f>
        <v/>
      </c>
      <c r="L518">
        <f>IF(B518,INDEX(Dow,1,WEEKDAY(E518,2)),"")</f>
        <v/>
      </c>
      <c r="M518">
        <f>IF(B518,(1+Trend)^D518,"")</f>
        <v/>
      </c>
      <c r="N518">
        <f>IF(B518,EXP(SUMPRODUCT(LN(1+(EvEff-1)*INDEX(Affected,0,C518)*EXP(-((E518-EvCenter)^2)/(2*EvSigma^2))))),"")</f>
        <v/>
      </c>
      <c r="O518">
        <f>IF(B518,ROUND(MAX(0,J518*K518*L518*M518*N518),2),"")</f>
        <v/>
      </c>
    </row>
    <row r="519">
      <c r="A519" t="n">
        <v>518</v>
      </c>
      <c r="B519">
        <f>A519&lt;=MineCount*Days</f>
        <v/>
      </c>
      <c r="C519">
        <f>IF(B519,INT((A519-1)/Days)+1,"")</f>
        <v/>
      </c>
      <c r="D519">
        <f>IF(B519,MOD(A519-1,Days),"")</f>
        <v/>
      </c>
      <c r="E519" s="16">
        <f>IF(B519,StartDate+D519,"")</f>
        <v/>
      </c>
      <c r="F519">
        <f>IF(B519,MAX(MOD(SIN(Seed*0.1373+C519*12.9898+D519*78.233)*43758.5453,1),1E-9),"")</f>
        <v/>
      </c>
      <c r="G519">
        <f>IF(B519,MOD(SIN(Seed*0.5917+C519*39.3468+D519*11.135)*24634.6345,1),"")</f>
        <v/>
      </c>
      <c r="H519">
        <f>IF(B519,SQRT(-2*LN(F519))*COS(2*PI()*G519),"")</f>
        <v/>
      </c>
      <c r="I519">
        <f>IF(B519,IF(D519=0,H519,Rho*I518+SQRT(1-Rho^2)*H519),"")</f>
        <v/>
      </c>
      <c r="J519">
        <f>IF(B519,IF(Dist="Normal",DistA+DistB*I519,DistA+(DistB-DistA)*NORMSDIST(I519)),"")</f>
        <v/>
      </c>
      <c r="K519">
        <f>IF(B519,INDEX(MineScale,C519),"")</f>
        <v/>
      </c>
      <c r="L519">
        <f>IF(B519,INDEX(Dow,1,WEEKDAY(E519,2)),"")</f>
        <v/>
      </c>
      <c r="M519">
        <f>IF(B519,(1+Trend)^D519,"")</f>
        <v/>
      </c>
      <c r="N519">
        <f>IF(B519,EXP(SUMPRODUCT(LN(1+(EvEff-1)*INDEX(Affected,0,C519)*EXP(-((E519-EvCenter)^2)/(2*EvSigma^2))))),"")</f>
        <v/>
      </c>
      <c r="O519">
        <f>IF(B519,ROUND(MAX(0,J519*K519*L519*M519*N519),2),"")</f>
        <v/>
      </c>
    </row>
    <row r="520">
      <c r="A520" t="n">
        <v>519</v>
      </c>
      <c r="B520">
        <f>A520&lt;=MineCount*Days</f>
        <v/>
      </c>
      <c r="C520">
        <f>IF(B520,INT((A520-1)/Days)+1,"")</f>
        <v/>
      </c>
      <c r="D520">
        <f>IF(B520,MOD(A520-1,Days),"")</f>
        <v/>
      </c>
      <c r="E520" s="16">
        <f>IF(B520,StartDate+D520,"")</f>
        <v/>
      </c>
      <c r="F520">
        <f>IF(B520,MAX(MOD(SIN(Seed*0.1373+C520*12.9898+D520*78.233)*43758.5453,1),1E-9),"")</f>
        <v/>
      </c>
      <c r="G520">
        <f>IF(B520,MOD(SIN(Seed*0.5917+C520*39.3468+D520*11.135)*24634.6345,1),"")</f>
        <v/>
      </c>
      <c r="H520">
        <f>IF(B520,SQRT(-2*LN(F520))*COS(2*PI()*G520),"")</f>
        <v/>
      </c>
      <c r="I520">
        <f>IF(B520,IF(D520=0,H520,Rho*I519+SQRT(1-Rho^2)*H520),"")</f>
        <v/>
      </c>
      <c r="J520">
        <f>IF(B520,IF(Dist="Normal",DistA+DistB*I520,DistA+(DistB-DistA)*NORMSDIST(I520)),"")</f>
        <v/>
      </c>
      <c r="K520">
        <f>IF(B520,INDEX(MineScale,C520),"")</f>
        <v/>
      </c>
      <c r="L520">
        <f>IF(B520,INDEX(Dow,1,WEEKDAY(E520,2)),"")</f>
        <v/>
      </c>
      <c r="M520">
        <f>IF(B520,(1+Trend)^D520,"")</f>
        <v/>
      </c>
      <c r="N520">
        <f>IF(B520,EXP(SUMPRODUCT(LN(1+(EvEff-1)*INDEX(Affected,0,C520)*EXP(-((E520-EvCenter)^2)/(2*EvSigma^2))))),"")</f>
        <v/>
      </c>
      <c r="O520">
        <f>IF(B520,ROUND(MAX(0,J520*K520*L520*M520*N520),2),"")</f>
        <v/>
      </c>
    </row>
    <row r="521">
      <c r="A521" t="n">
        <v>520</v>
      </c>
      <c r="B521">
        <f>A521&lt;=MineCount*Days</f>
        <v/>
      </c>
      <c r="C521">
        <f>IF(B521,INT((A521-1)/Days)+1,"")</f>
        <v/>
      </c>
      <c r="D521">
        <f>IF(B521,MOD(A521-1,Days),"")</f>
        <v/>
      </c>
      <c r="E521" s="16">
        <f>IF(B521,StartDate+D521,"")</f>
        <v/>
      </c>
      <c r="F521">
        <f>IF(B521,MAX(MOD(SIN(Seed*0.1373+C521*12.9898+D521*78.233)*43758.5453,1),1E-9),"")</f>
        <v/>
      </c>
      <c r="G521">
        <f>IF(B521,MOD(SIN(Seed*0.5917+C521*39.3468+D521*11.135)*24634.6345,1),"")</f>
        <v/>
      </c>
      <c r="H521">
        <f>IF(B521,SQRT(-2*LN(F521))*COS(2*PI()*G521),"")</f>
        <v/>
      </c>
      <c r="I521">
        <f>IF(B521,IF(D521=0,H521,Rho*I520+SQRT(1-Rho^2)*H521),"")</f>
        <v/>
      </c>
      <c r="J521">
        <f>IF(B521,IF(Dist="Normal",DistA+DistB*I521,DistA+(DistB-DistA)*NORMSDIST(I521)),"")</f>
        <v/>
      </c>
      <c r="K521">
        <f>IF(B521,INDEX(MineScale,C521),"")</f>
        <v/>
      </c>
      <c r="L521">
        <f>IF(B521,INDEX(Dow,1,WEEKDAY(E521,2)),"")</f>
        <v/>
      </c>
      <c r="M521">
        <f>IF(B521,(1+Trend)^D521,"")</f>
        <v/>
      </c>
      <c r="N521">
        <f>IF(B521,EXP(SUMPRODUCT(LN(1+(EvEff-1)*INDEX(Affected,0,C521)*EXP(-((E521-EvCenter)^2)/(2*EvSigma^2))))),"")</f>
        <v/>
      </c>
      <c r="O521">
        <f>IF(B521,ROUND(MAX(0,J521*K521*L521*M521*N521),2),"")</f>
        <v/>
      </c>
    </row>
    <row r="522">
      <c r="A522" t="n">
        <v>521</v>
      </c>
      <c r="B522">
        <f>A522&lt;=MineCount*Days</f>
        <v/>
      </c>
      <c r="C522">
        <f>IF(B522,INT((A522-1)/Days)+1,"")</f>
        <v/>
      </c>
      <c r="D522">
        <f>IF(B522,MOD(A522-1,Days),"")</f>
        <v/>
      </c>
      <c r="E522" s="16">
        <f>IF(B522,StartDate+D522,"")</f>
        <v/>
      </c>
      <c r="F522">
        <f>IF(B522,MAX(MOD(SIN(Seed*0.1373+C522*12.9898+D522*78.233)*43758.5453,1),1E-9),"")</f>
        <v/>
      </c>
      <c r="G522">
        <f>IF(B522,MOD(SIN(Seed*0.5917+C522*39.3468+D522*11.135)*24634.6345,1),"")</f>
        <v/>
      </c>
      <c r="H522">
        <f>IF(B522,SQRT(-2*LN(F522))*COS(2*PI()*G522),"")</f>
        <v/>
      </c>
      <c r="I522">
        <f>IF(B522,IF(D522=0,H522,Rho*I521+SQRT(1-Rho^2)*H522),"")</f>
        <v/>
      </c>
      <c r="J522">
        <f>IF(B522,IF(Dist="Normal",DistA+DistB*I522,DistA+(DistB-DistA)*NORMSDIST(I522)),"")</f>
        <v/>
      </c>
      <c r="K522">
        <f>IF(B522,INDEX(MineScale,C522),"")</f>
        <v/>
      </c>
      <c r="L522">
        <f>IF(B522,INDEX(Dow,1,WEEKDAY(E522,2)),"")</f>
        <v/>
      </c>
      <c r="M522">
        <f>IF(B522,(1+Trend)^D522,"")</f>
        <v/>
      </c>
      <c r="N522">
        <f>IF(B522,EXP(SUMPRODUCT(LN(1+(EvEff-1)*INDEX(Affected,0,C522)*EXP(-((E522-EvCenter)^2)/(2*EvSigma^2))))),"")</f>
        <v/>
      </c>
      <c r="O522">
        <f>IF(B522,ROUND(MAX(0,J522*K522*L522*M522*N522),2),"")</f>
        <v/>
      </c>
    </row>
    <row r="523">
      <c r="A523" t="n">
        <v>522</v>
      </c>
      <c r="B523">
        <f>A523&lt;=MineCount*Days</f>
        <v/>
      </c>
      <c r="C523">
        <f>IF(B523,INT((A523-1)/Days)+1,"")</f>
        <v/>
      </c>
      <c r="D523">
        <f>IF(B523,MOD(A523-1,Days),"")</f>
        <v/>
      </c>
      <c r="E523" s="16">
        <f>IF(B523,StartDate+D523,"")</f>
        <v/>
      </c>
      <c r="F523">
        <f>IF(B523,MAX(MOD(SIN(Seed*0.1373+C523*12.9898+D523*78.233)*43758.5453,1),1E-9),"")</f>
        <v/>
      </c>
      <c r="G523">
        <f>IF(B523,MOD(SIN(Seed*0.5917+C523*39.3468+D523*11.135)*24634.6345,1),"")</f>
        <v/>
      </c>
      <c r="H523">
        <f>IF(B523,SQRT(-2*LN(F523))*COS(2*PI()*G523),"")</f>
        <v/>
      </c>
      <c r="I523">
        <f>IF(B523,IF(D523=0,H523,Rho*I522+SQRT(1-Rho^2)*H523),"")</f>
        <v/>
      </c>
      <c r="J523">
        <f>IF(B523,IF(Dist="Normal",DistA+DistB*I523,DistA+(DistB-DistA)*NORMSDIST(I523)),"")</f>
        <v/>
      </c>
      <c r="K523">
        <f>IF(B523,INDEX(MineScale,C523),"")</f>
        <v/>
      </c>
      <c r="L523">
        <f>IF(B523,INDEX(Dow,1,WEEKDAY(E523,2)),"")</f>
        <v/>
      </c>
      <c r="M523">
        <f>IF(B523,(1+Trend)^D523,"")</f>
        <v/>
      </c>
      <c r="N523">
        <f>IF(B523,EXP(SUMPRODUCT(LN(1+(EvEff-1)*INDEX(Affected,0,C523)*EXP(-((E523-EvCenter)^2)/(2*EvSigma^2))))),"")</f>
        <v/>
      </c>
      <c r="O523">
        <f>IF(B523,ROUND(MAX(0,J523*K523*L523*M523*N523),2),"")</f>
        <v/>
      </c>
    </row>
    <row r="524">
      <c r="A524" t="n">
        <v>523</v>
      </c>
      <c r="B524">
        <f>A524&lt;=MineCount*Days</f>
        <v/>
      </c>
      <c r="C524">
        <f>IF(B524,INT((A524-1)/Days)+1,"")</f>
        <v/>
      </c>
      <c r="D524">
        <f>IF(B524,MOD(A524-1,Days),"")</f>
        <v/>
      </c>
      <c r="E524" s="16">
        <f>IF(B524,StartDate+D524,"")</f>
        <v/>
      </c>
      <c r="F524">
        <f>IF(B524,MAX(MOD(SIN(Seed*0.1373+C524*12.9898+D524*78.233)*43758.5453,1),1E-9),"")</f>
        <v/>
      </c>
      <c r="G524">
        <f>IF(B524,MOD(SIN(Seed*0.5917+C524*39.3468+D524*11.135)*24634.6345,1),"")</f>
        <v/>
      </c>
      <c r="H524">
        <f>IF(B524,SQRT(-2*LN(F524))*COS(2*PI()*G524),"")</f>
        <v/>
      </c>
      <c r="I524">
        <f>IF(B524,IF(D524=0,H524,Rho*I523+SQRT(1-Rho^2)*H524),"")</f>
        <v/>
      </c>
      <c r="J524">
        <f>IF(B524,IF(Dist="Normal",DistA+DistB*I524,DistA+(DistB-DistA)*NORMSDIST(I524)),"")</f>
        <v/>
      </c>
      <c r="K524">
        <f>IF(B524,INDEX(MineScale,C524),"")</f>
        <v/>
      </c>
      <c r="L524">
        <f>IF(B524,INDEX(Dow,1,WEEKDAY(E524,2)),"")</f>
        <v/>
      </c>
      <c r="M524">
        <f>IF(B524,(1+Trend)^D524,"")</f>
        <v/>
      </c>
      <c r="N524">
        <f>IF(B524,EXP(SUMPRODUCT(LN(1+(EvEff-1)*INDEX(Affected,0,C524)*EXP(-((E524-EvCenter)^2)/(2*EvSigma^2))))),"")</f>
        <v/>
      </c>
      <c r="O524">
        <f>IF(B524,ROUND(MAX(0,J524*K524*L524*M524*N524),2),"")</f>
        <v/>
      </c>
    </row>
    <row r="525">
      <c r="A525" t="n">
        <v>524</v>
      </c>
      <c r="B525">
        <f>A525&lt;=MineCount*Days</f>
        <v/>
      </c>
      <c r="C525">
        <f>IF(B525,INT((A525-1)/Days)+1,"")</f>
        <v/>
      </c>
      <c r="D525">
        <f>IF(B525,MOD(A525-1,Days),"")</f>
        <v/>
      </c>
      <c r="E525" s="16">
        <f>IF(B525,StartDate+D525,"")</f>
        <v/>
      </c>
      <c r="F525">
        <f>IF(B525,MAX(MOD(SIN(Seed*0.1373+C525*12.9898+D525*78.233)*43758.5453,1),1E-9),"")</f>
        <v/>
      </c>
      <c r="G525">
        <f>IF(B525,MOD(SIN(Seed*0.5917+C525*39.3468+D525*11.135)*24634.6345,1),"")</f>
        <v/>
      </c>
      <c r="H525">
        <f>IF(B525,SQRT(-2*LN(F525))*COS(2*PI()*G525),"")</f>
        <v/>
      </c>
      <c r="I525">
        <f>IF(B525,IF(D525=0,H525,Rho*I524+SQRT(1-Rho^2)*H525),"")</f>
        <v/>
      </c>
      <c r="J525">
        <f>IF(B525,IF(Dist="Normal",DistA+DistB*I525,DistA+(DistB-DistA)*NORMSDIST(I525)),"")</f>
        <v/>
      </c>
      <c r="K525">
        <f>IF(B525,INDEX(MineScale,C525),"")</f>
        <v/>
      </c>
      <c r="L525">
        <f>IF(B525,INDEX(Dow,1,WEEKDAY(E525,2)),"")</f>
        <v/>
      </c>
      <c r="M525">
        <f>IF(B525,(1+Trend)^D525,"")</f>
        <v/>
      </c>
      <c r="N525">
        <f>IF(B525,EXP(SUMPRODUCT(LN(1+(EvEff-1)*INDEX(Affected,0,C525)*EXP(-((E525-EvCenter)^2)/(2*EvSigma^2))))),"")</f>
        <v/>
      </c>
      <c r="O525">
        <f>IF(B525,ROUND(MAX(0,J525*K525*L525*M525*N525),2),"")</f>
        <v/>
      </c>
    </row>
    <row r="526">
      <c r="A526" t="n">
        <v>525</v>
      </c>
      <c r="B526">
        <f>A526&lt;=MineCount*Days</f>
        <v/>
      </c>
      <c r="C526">
        <f>IF(B526,INT((A526-1)/Days)+1,"")</f>
        <v/>
      </c>
      <c r="D526">
        <f>IF(B526,MOD(A526-1,Days),"")</f>
        <v/>
      </c>
      <c r="E526" s="16">
        <f>IF(B526,StartDate+D526,"")</f>
        <v/>
      </c>
      <c r="F526">
        <f>IF(B526,MAX(MOD(SIN(Seed*0.1373+C526*12.9898+D526*78.233)*43758.5453,1),1E-9),"")</f>
        <v/>
      </c>
      <c r="G526">
        <f>IF(B526,MOD(SIN(Seed*0.5917+C526*39.3468+D526*11.135)*24634.6345,1),"")</f>
        <v/>
      </c>
      <c r="H526">
        <f>IF(B526,SQRT(-2*LN(F526))*COS(2*PI()*G526),"")</f>
        <v/>
      </c>
      <c r="I526">
        <f>IF(B526,IF(D526=0,H526,Rho*I525+SQRT(1-Rho^2)*H526),"")</f>
        <v/>
      </c>
      <c r="J526">
        <f>IF(B526,IF(Dist="Normal",DistA+DistB*I526,DistA+(DistB-DistA)*NORMSDIST(I526)),"")</f>
        <v/>
      </c>
      <c r="K526">
        <f>IF(B526,INDEX(MineScale,C526),"")</f>
        <v/>
      </c>
      <c r="L526">
        <f>IF(B526,INDEX(Dow,1,WEEKDAY(E526,2)),"")</f>
        <v/>
      </c>
      <c r="M526">
        <f>IF(B526,(1+Trend)^D526,"")</f>
        <v/>
      </c>
      <c r="N526">
        <f>IF(B526,EXP(SUMPRODUCT(LN(1+(EvEff-1)*INDEX(Affected,0,C526)*EXP(-((E526-EvCenter)^2)/(2*EvSigma^2))))),"")</f>
        <v/>
      </c>
      <c r="O526">
        <f>IF(B526,ROUND(MAX(0,J526*K526*L526*M526*N526),2),"")</f>
        <v/>
      </c>
    </row>
    <row r="527">
      <c r="A527" t="n">
        <v>526</v>
      </c>
      <c r="B527">
        <f>A527&lt;=MineCount*Days</f>
        <v/>
      </c>
      <c r="C527">
        <f>IF(B527,INT((A527-1)/Days)+1,"")</f>
        <v/>
      </c>
      <c r="D527">
        <f>IF(B527,MOD(A527-1,Days),"")</f>
        <v/>
      </c>
      <c r="E527" s="16">
        <f>IF(B527,StartDate+D527,"")</f>
        <v/>
      </c>
      <c r="F527">
        <f>IF(B527,MAX(MOD(SIN(Seed*0.1373+C527*12.9898+D527*78.233)*43758.5453,1),1E-9),"")</f>
        <v/>
      </c>
      <c r="G527">
        <f>IF(B527,MOD(SIN(Seed*0.5917+C527*39.3468+D527*11.135)*24634.6345,1),"")</f>
        <v/>
      </c>
      <c r="H527">
        <f>IF(B527,SQRT(-2*LN(F527))*COS(2*PI()*G527),"")</f>
        <v/>
      </c>
      <c r="I527">
        <f>IF(B527,IF(D527=0,H527,Rho*I526+SQRT(1-Rho^2)*H527),"")</f>
        <v/>
      </c>
      <c r="J527">
        <f>IF(B527,IF(Dist="Normal",DistA+DistB*I527,DistA+(DistB-DistA)*NORMSDIST(I527)),"")</f>
        <v/>
      </c>
      <c r="K527">
        <f>IF(B527,INDEX(MineScale,C527),"")</f>
        <v/>
      </c>
      <c r="L527">
        <f>IF(B527,INDEX(Dow,1,WEEKDAY(E527,2)),"")</f>
        <v/>
      </c>
      <c r="M527">
        <f>IF(B527,(1+Trend)^D527,"")</f>
        <v/>
      </c>
      <c r="N527">
        <f>IF(B527,EXP(SUMPRODUCT(LN(1+(EvEff-1)*INDEX(Affected,0,C527)*EXP(-((E527-EvCenter)^2)/(2*EvSigma^2))))),"")</f>
        <v/>
      </c>
      <c r="O527">
        <f>IF(B527,ROUND(MAX(0,J527*K527*L527*M527*N527),2),"")</f>
        <v/>
      </c>
    </row>
    <row r="528">
      <c r="A528" t="n">
        <v>527</v>
      </c>
      <c r="B528">
        <f>A528&lt;=MineCount*Days</f>
        <v/>
      </c>
      <c r="C528">
        <f>IF(B528,INT((A528-1)/Days)+1,"")</f>
        <v/>
      </c>
      <c r="D528">
        <f>IF(B528,MOD(A528-1,Days),"")</f>
        <v/>
      </c>
      <c r="E528" s="16">
        <f>IF(B528,StartDate+D528,"")</f>
        <v/>
      </c>
      <c r="F528">
        <f>IF(B528,MAX(MOD(SIN(Seed*0.1373+C528*12.9898+D528*78.233)*43758.5453,1),1E-9),"")</f>
        <v/>
      </c>
      <c r="G528">
        <f>IF(B528,MOD(SIN(Seed*0.5917+C528*39.3468+D528*11.135)*24634.6345,1),"")</f>
        <v/>
      </c>
      <c r="H528">
        <f>IF(B528,SQRT(-2*LN(F528))*COS(2*PI()*G528),"")</f>
        <v/>
      </c>
      <c r="I528">
        <f>IF(B528,IF(D528=0,H528,Rho*I527+SQRT(1-Rho^2)*H528),"")</f>
        <v/>
      </c>
      <c r="J528">
        <f>IF(B528,IF(Dist="Normal",DistA+DistB*I528,DistA+(DistB-DistA)*NORMSDIST(I528)),"")</f>
        <v/>
      </c>
      <c r="K528">
        <f>IF(B528,INDEX(MineScale,C528),"")</f>
        <v/>
      </c>
      <c r="L528">
        <f>IF(B528,INDEX(Dow,1,WEEKDAY(E528,2)),"")</f>
        <v/>
      </c>
      <c r="M528">
        <f>IF(B528,(1+Trend)^D528,"")</f>
        <v/>
      </c>
      <c r="N528">
        <f>IF(B528,EXP(SUMPRODUCT(LN(1+(EvEff-1)*INDEX(Affected,0,C528)*EXP(-((E528-EvCenter)^2)/(2*EvSigma^2))))),"")</f>
        <v/>
      </c>
      <c r="O528">
        <f>IF(B528,ROUND(MAX(0,J528*K528*L528*M528*N528),2),"")</f>
        <v/>
      </c>
    </row>
    <row r="529">
      <c r="A529" t="n">
        <v>528</v>
      </c>
      <c r="B529">
        <f>A529&lt;=MineCount*Days</f>
        <v/>
      </c>
      <c r="C529">
        <f>IF(B529,INT((A529-1)/Days)+1,"")</f>
        <v/>
      </c>
      <c r="D529">
        <f>IF(B529,MOD(A529-1,Days),"")</f>
        <v/>
      </c>
      <c r="E529" s="16">
        <f>IF(B529,StartDate+D529,"")</f>
        <v/>
      </c>
      <c r="F529">
        <f>IF(B529,MAX(MOD(SIN(Seed*0.1373+C529*12.9898+D529*78.233)*43758.5453,1),1E-9),"")</f>
        <v/>
      </c>
      <c r="G529">
        <f>IF(B529,MOD(SIN(Seed*0.5917+C529*39.3468+D529*11.135)*24634.6345,1),"")</f>
        <v/>
      </c>
      <c r="H529">
        <f>IF(B529,SQRT(-2*LN(F529))*COS(2*PI()*G529),"")</f>
        <v/>
      </c>
      <c r="I529">
        <f>IF(B529,IF(D529=0,H529,Rho*I528+SQRT(1-Rho^2)*H529),"")</f>
        <v/>
      </c>
      <c r="J529">
        <f>IF(B529,IF(Dist="Normal",DistA+DistB*I529,DistA+(DistB-DistA)*NORMSDIST(I529)),"")</f>
        <v/>
      </c>
      <c r="K529">
        <f>IF(B529,INDEX(MineScale,C529),"")</f>
        <v/>
      </c>
      <c r="L529">
        <f>IF(B529,INDEX(Dow,1,WEEKDAY(E529,2)),"")</f>
        <v/>
      </c>
      <c r="M529">
        <f>IF(B529,(1+Trend)^D529,"")</f>
        <v/>
      </c>
      <c r="N529">
        <f>IF(B529,EXP(SUMPRODUCT(LN(1+(EvEff-1)*INDEX(Affected,0,C529)*EXP(-((E529-EvCenter)^2)/(2*EvSigma^2))))),"")</f>
        <v/>
      </c>
      <c r="O529">
        <f>IF(B529,ROUND(MAX(0,J529*K529*L529*M529*N529),2),"")</f>
        <v/>
      </c>
    </row>
    <row r="530">
      <c r="A530" t="n">
        <v>529</v>
      </c>
      <c r="B530">
        <f>A530&lt;=MineCount*Days</f>
        <v/>
      </c>
      <c r="C530">
        <f>IF(B530,INT((A530-1)/Days)+1,"")</f>
        <v/>
      </c>
      <c r="D530">
        <f>IF(B530,MOD(A530-1,Days),"")</f>
        <v/>
      </c>
      <c r="E530" s="16">
        <f>IF(B530,StartDate+D530,"")</f>
        <v/>
      </c>
      <c r="F530">
        <f>IF(B530,MAX(MOD(SIN(Seed*0.1373+C530*12.9898+D530*78.233)*43758.5453,1),1E-9),"")</f>
        <v/>
      </c>
      <c r="G530">
        <f>IF(B530,MOD(SIN(Seed*0.5917+C530*39.3468+D530*11.135)*24634.6345,1),"")</f>
        <v/>
      </c>
      <c r="H530">
        <f>IF(B530,SQRT(-2*LN(F530))*COS(2*PI()*G530),"")</f>
        <v/>
      </c>
      <c r="I530">
        <f>IF(B530,IF(D530=0,H530,Rho*I529+SQRT(1-Rho^2)*H530),"")</f>
        <v/>
      </c>
      <c r="J530">
        <f>IF(B530,IF(Dist="Normal",DistA+DistB*I530,DistA+(DistB-DistA)*NORMSDIST(I530)),"")</f>
        <v/>
      </c>
      <c r="K530">
        <f>IF(B530,INDEX(MineScale,C530),"")</f>
        <v/>
      </c>
      <c r="L530">
        <f>IF(B530,INDEX(Dow,1,WEEKDAY(E530,2)),"")</f>
        <v/>
      </c>
      <c r="M530">
        <f>IF(B530,(1+Trend)^D530,"")</f>
        <v/>
      </c>
      <c r="N530">
        <f>IF(B530,EXP(SUMPRODUCT(LN(1+(EvEff-1)*INDEX(Affected,0,C530)*EXP(-((E530-EvCenter)^2)/(2*EvSigma^2))))),"")</f>
        <v/>
      </c>
      <c r="O530">
        <f>IF(B530,ROUND(MAX(0,J530*K530*L530*M530*N530),2),"")</f>
        <v/>
      </c>
    </row>
    <row r="531">
      <c r="A531" t="n">
        <v>530</v>
      </c>
      <c r="B531">
        <f>A531&lt;=MineCount*Days</f>
        <v/>
      </c>
      <c r="C531">
        <f>IF(B531,INT((A531-1)/Days)+1,"")</f>
        <v/>
      </c>
      <c r="D531">
        <f>IF(B531,MOD(A531-1,Days),"")</f>
        <v/>
      </c>
      <c r="E531" s="16">
        <f>IF(B531,StartDate+D531,"")</f>
        <v/>
      </c>
      <c r="F531">
        <f>IF(B531,MAX(MOD(SIN(Seed*0.1373+C531*12.9898+D531*78.233)*43758.5453,1),1E-9),"")</f>
        <v/>
      </c>
      <c r="G531">
        <f>IF(B531,MOD(SIN(Seed*0.5917+C531*39.3468+D531*11.135)*24634.6345,1),"")</f>
        <v/>
      </c>
      <c r="H531">
        <f>IF(B531,SQRT(-2*LN(F531))*COS(2*PI()*G531),"")</f>
        <v/>
      </c>
      <c r="I531">
        <f>IF(B531,IF(D531=0,H531,Rho*I530+SQRT(1-Rho^2)*H531),"")</f>
        <v/>
      </c>
      <c r="J531">
        <f>IF(B531,IF(Dist="Normal",DistA+DistB*I531,DistA+(DistB-DistA)*NORMSDIST(I531)),"")</f>
        <v/>
      </c>
      <c r="K531">
        <f>IF(B531,INDEX(MineScale,C531),"")</f>
        <v/>
      </c>
      <c r="L531">
        <f>IF(B531,INDEX(Dow,1,WEEKDAY(E531,2)),"")</f>
        <v/>
      </c>
      <c r="M531">
        <f>IF(B531,(1+Trend)^D531,"")</f>
        <v/>
      </c>
      <c r="N531">
        <f>IF(B531,EXP(SUMPRODUCT(LN(1+(EvEff-1)*INDEX(Affected,0,C531)*EXP(-((E531-EvCenter)^2)/(2*EvSigma^2))))),"")</f>
        <v/>
      </c>
      <c r="O531">
        <f>IF(B531,ROUND(MAX(0,J531*K531*L531*M531*N531),2),"")</f>
        <v/>
      </c>
    </row>
    <row r="532">
      <c r="A532" t="n">
        <v>531</v>
      </c>
      <c r="B532">
        <f>A532&lt;=MineCount*Days</f>
        <v/>
      </c>
      <c r="C532">
        <f>IF(B532,INT((A532-1)/Days)+1,"")</f>
        <v/>
      </c>
      <c r="D532">
        <f>IF(B532,MOD(A532-1,Days),"")</f>
        <v/>
      </c>
      <c r="E532" s="16">
        <f>IF(B532,StartDate+D532,"")</f>
        <v/>
      </c>
      <c r="F532">
        <f>IF(B532,MAX(MOD(SIN(Seed*0.1373+C532*12.9898+D532*78.233)*43758.5453,1),1E-9),"")</f>
        <v/>
      </c>
      <c r="G532">
        <f>IF(B532,MOD(SIN(Seed*0.5917+C532*39.3468+D532*11.135)*24634.6345,1),"")</f>
        <v/>
      </c>
      <c r="H532">
        <f>IF(B532,SQRT(-2*LN(F532))*COS(2*PI()*G532),"")</f>
        <v/>
      </c>
      <c r="I532">
        <f>IF(B532,IF(D532=0,H532,Rho*I531+SQRT(1-Rho^2)*H532),"")</f>
        <v/>
      </c>
      <c r="J532">
        <f>IF(B532,IF(Dist="Normal",DistA+DistB*I532,DistA+(DistB-DistA)*NORMSDIST(I532)),"")</f>
        <v/>
      </c>
      <c r="K532">
        <f>IF(B532,INDEX(MineScale,C532),"")</f>
        <v/>
      </c>
      <c r="L532">
        <f>IF(B532,INDEX(Dow,1,WEEKDAY(E532,2)),"")</f>
        <v/>
      </c>
      <c r="M532">
        <f>IF(B532,(1+Trend)^D532,"")</f>
        <v/>
      </c>
      <c r="N532">
        <f>IF(B532,EXP(SUMPRODUCT(LN(1+(EvEff-1)*INDEX(Affected,0,C532)*EXP(-((E532-EvCenter)^2)/(2*EvSigma^2))))),"")</f>
        <v/>
      </c>
      <c r="O532">
        <f>IF(B532,ROUND(MAX(0,J532*K532*L532*M532*N532),2),"")</f>
        <v/>
      </c>
    </row>
    <row r="533">
      <c r="A533" t="n">
        <v>532</v>
      </c>
      <c r="B533">
        <f>A533&lt;=MineCount*Days</f>
        <v/>
      </c>
      <c r="C533">
        <f>IF(B533,INT((A533-1)/Days)+1,"")</f>
        <v/>
      </c>
      <c r="D533">
        <f>IF(B533,MOD(A533-1,Days),"")</f>
        <v/>
      </c>
      <c r="E533" s="16">
        <f>IF(B533,StartDate+D533,"")</f>
        <v/>
      </c>
      <c r="F533">
        <f>IF(B533,MAX(MOD(SIN(Seed*0.1373+C533*12.9898+D533*78.233)*43758.5453,1),1E-9),"")</f>
        <v/>
      </c>
      <c r="G533">
        <f>IF(B533,MOD(SIN(Seed*0.5917+C533*39.3468+D533*11.135)*24634.6345,1),"")</f>
        <v/>
      </c>
      <c r="H533">
        <f>IF(B533,SQRT(-2*LN(F533))*COS(2*PI()*G533),"")</f>
        <v/>
      </c>
      <c r="I533">
        <f>IF(B533,IF(D533=0,H533,Rho*I532+SQRT(1-Rho^2)*H533),"")</f>
        <v/>
      </c>
      <c r="J533">
        <f>IF(B533,IF(Dist="Normal",DistA+DistB*I533,DistA+(DistB-DistA)*NORMSDIST(I533)),"")</f>
        <v/>
      </c>
      <c r="K533">
        <f>IF(B533,INDEX(MineScale,C533),"")</f>
        <v/>
      </c>
      <c r="L533">
        <f>IF(B533,INDEX(Dow,1,WEEKDAY(E533,2)),"")</f>
        <v/>
      </c>
      <c r="M533">
        <f>IF(B533,(1+Trend)^D533,"")</f>
        <v/>
      </c>
      <c r="N533">
        <f>IF(B533,EXP(SUMPRODUCT(LN(1+(EvEff-1)*INDEX(Affected,0,C533)*EXP(-((E533-EvCenter)^2)/(2*EvSigma^2))))),"")</f>
        <v/>
      </c>
      <c r="O533">
        <f>IF(B533,ROUND(MAX(0,J533*K533*L533*M533*N533),2),"")</f>
        <v/>
      </c>
    </row>
    <row r="534">
      <c r="A534" t="n">
        <v>533</v>
      </c>
      <c r="B534">
        <f>A534&lt;=MineCount*Days</f>
        <v/>
      </c>
      <c r="C534">
        <f>IF(B534,INT((A534-1)/Days)+1,"")</f>
        <v/>
      </c>
      <c r="D534">
        <f>IF(B534,MOD(A534-1,Days),"")</f>
        <v/>
      </c>
      <c r="E534" s="16">
        <f>IF(B534,StartDate+D534,"")</f>
        <v/>
      </c>
      <c r="F534">
        <f>IF(B534,MAX(MOD(SIN(Seed*0.1373+C534*12.9898+D534*78.233)*43758.5453,1),1E-9),"")</f>
        <v/>
      </c>
      <c r="G534">
        <f>IF(B534,MOD(SIN(Seed*0.5917+C534*39.3468+D534*11.135)*24634.6345,1),"")</f>
        <v/>
      </c>
      <c r="H534">
        <f>IF(B534,SQRT(-2*LN(F534))*COS(2*PI()*G534),"")</f>
        <v/>
      </c>
      <c r="I534">
        <f>IF(B534,IF(D534=0,H534,Rho*I533+SQRT(1-Rho^2)*H534),"")</f>
        <v/>
      </c>
      <c r="J534">
        <f>IF(B534,IF(Dist="Normal",DistA+DistB*I534,DistA+(DistB-DistA)*NORMSDIST(I534)),"")</f>
        <v/>
      </c>
      <c r="K534">
        <f>IF(B534,INDEX(MineScale,C534),"")</f>
        <v/>
      </c>
      <c r="L534">
        <f>IF(B534,INDEX(Dow,1,WEEKDAY(E534,2)),"")</f>
        <v/>
      </c>
      <c r="M534">
        <f>IF(B534,(1+Trend)^D534,"")</f>
        <v/>
      </c>
      <c r="N534">
        <f>IF(B534,EXP(SUMPRODUCT(LN(1+(EvEff-1)*INDEX(Affected,0,C534)*EXP(-((E534-EvCenter)^2)/(2*EvSigma^2))))),"")</f>
        <v/>
      </c>
      <c r="O534">
        <f>IF(B534,ROUND(MAX(0,J534*K534*L534*M534*N534),2),"")</f>
        <v/>
      </c>
    </row>
    <row r="535">
      <c r="A535" t="n">
        <v>534</v>
      </c>
      <c r="B535">
        <f>A535&lt;=MineCount*Days</f>
        <v/>
      </c>
      <c r="C535">
        <f>IF(B535,INT((A535-1)/Days)+1,"")</f>
        <v/>
      </c>
      <c r="D535">
        <f>IF(B535,MOD(A535-1,Days),"")</f>
        <v/>
      </c>
      <c r="E535" s="16">
        <f>IF(B535,StartDate+D535,"")</f>
        <v/>
      </c>
      <c r="F535">
        <f>IF(B535,MAX(MOD(SIN(Seed*0.1373+C535*12.9898+D535*78.233)*43758.5453,1),1E-9),"")</f>
        <v/>
      </c>
      <c r="G535">
        <f>IF(B535,MOD(SIN(Seed*0.5917+C535*39.3468+D535*11.135)*24634.6345,1),"")</f>
        <v/>
      </c>
      <c r="H535">
        <f>IF(B535,SQRT(-2*LN(F535))*COS(2*PI()*G535),"")</f>
        <v/>
      </c>
      <c r="I535">
        <f>IF(B535,IF(D535=0,H535,Rho*I534+SQRT(1-Rho^2)*H535),"")</f>
        <v/>
      </c>
      <c r="J535">
        <f>IF(B535,IF(Dist="Normal",DistA+DistB*I535,DistA+(DistB-DistA)*NORMSDIST(I535)),"")</f>
        <v/>
      </c>
      <c r="K535">
        <f>IF(B535,INDEX(MineScale,C535),"")</f>
        <v/>
      </c>
      <c r="L535">
        <f>IF(B535,INDEX(Dow,1,WEEKDAY(E535,2)),"")</f>
        <v/>
      </c>
      <c r="M535">
        <f>IF(B535,(1+Trend)^D535,"")</f>
        <v/>
      </c>
      <c r="N535">
        <f>IF(B535,EXP(SUMPRODUCT(LN(1+(EvEff-1)*INDEX(Affected,0,C535)*EXP(-((E535-EvCenter)^2)/(2*EvSigma^2))))),"")</f>
        <v/>
      </c>
      <c r="O535">
        <f>IF(B535,ROUND(MAX(0,J535*K535*L535*M535*N535),2),"")</f>
        <v/>
      </c>
    </row>
    <row r="536">
      <c r="A536" t="n">
        <v>535</v>
      </c>
      <c r="B536">
        <f>A536&lt;=MineCount*Days</f>
        <v/>
      </c>
      <c r="C536">
        <f>IF(B536,INT((A536-1)/Days)+1,"")</f>
        <v/>
      </c>
      <c r="D536">
        <f>IF(B536,MOD(A536-1,Days),"")</f>
        <v/>
      </c>
      <c r="E536" s="16">
        <f>IF(B536,StartDate+D536,"")</f>
        <v/>
      </c>
      <c r="F536">
        <f>IF(B536,MAX(MOD(SIN(Seed*0.1373+C536*12.9898+D536*78.233)*43758.5453,1),1E-9),"")</f>
        <v/>
      </c>
      <c r="G536">
        <f>IF(B536,MOD(SIN(Seed*0.5917+C536*39.3468+D536*11.135)*24634.6345,1),"")</f>
        <v/>
      </c>
      <c r="H536">
        <f>IF(B536,SQRT(-2*LN(F536))*COS(2*PI()*G536),"")</f>
        <v/>
      </c>
      <c r="I536">
        <f>IF(B536,IF(D536=0,H536,Rho*I535+SQRT(1-Rho^2)*H536),"")</f>
        <v/>
      </c>
      <c r="J536">
        <f>IF(B536,IF(Dist="Normal",DistA+DistB*I536,DistA+(DistB-DistA)*NORMSDIST(I536)),"")</f>
        <v/>
      </c>
      <c r="K536">
        <f>IF(B536,INDEX(MineScale,C536),"")</f>
        <v/>
      </c>
      <c r="L536">
        <f>IF(B536,INDEX(Dow,1,WEEKDAY(E536,2)),"")</f>
        <v/>
      </c>
      <c r="M536">
        <f>IF(B536,(1+Trend)^D536,"")</f>
        <v/>
      </c>
      <c r="N536">
        <f>IF(B536,EXP(SUMPRODUCT(LN(1+(EvEff-1)*INDEX(Affected,0,C536)*EXP(-((E536-EvCenter)^2)/(2*EvSigma^2))))),"")</f>
        <v/>
      </c>
      <c r="O536">
        <f>IF(B536,ROUND(MAX(0,J536*K536*L536*M536*N536),2),"")</f>
        <v/>
      </c>
    </row>
    <row r="537">
      <c r="A537" t="n">
        <v>536</v>
      </c>
      <c r="B537">
        <f>A537&lt;=MineCount*Days</f>
        <v/>
      </c>
      <c r="C537">
        <f>IF(B537,INT((A537-1)/Days)+1,"")</f>
        <v/>
      </c>
      <c r="D537">
        <f>IF(B537,MOD(A537-1,Days),"")</f>
        <v/>
      </c>
      <c r="E537" s="16">
        <f>IF(B537,StartDate+D537,"")</f>
        <v/>
      </c>
      <c r="F537">
        <f>IF(B537,MAX(MOD(SIN(Seed*0.1373+C537*12.9898+D537*78.233)*43758.5453,1),1E-9),"")</f>
        <v/>
      </c>
      <c r="G537">
        <f>IF(B537,MOD(SIN(Seed*0.5917+C537*39.3468+D537*11.135)*24634.6345,1),"")</f>
        <v/>
      </c>
      <c r="H537">
        <f>IF(B537,SQRT(-2*LN(F537))*COS(2*PI()*G537),"")</f>
        <v/>
      </c>
      <c r="I537">
        <f>IF(B537,IF(D537=0,H537,Rho*I536+SQRT(1-Rho^2)*H537),"")</f>
        <v/>
      </c>
      <c r="J537">
        <f>IF(B537,IF(Dist="Normal",DistA+DistB*I537,DistA+(DistB-DistA)*NORMSDIST(I537)),"")</f>
        <v/>
      </c>
      <c r="K537">
        <f>IF(B537,INDEX(MineScale,C537),"")</f>
        <v/>
      </c>
      <c r="L537">
        <f>IF(B537,INDEX(Dow,1,WEEKDAY(E537,2)),"")</f>
        <v/>
      </c>
      <c r="M537">
        <f>IF(B537,(1+Trend)^D537,"")</f>
        <v/>
      </c>
      <c r="N537">
        <f>IF(B537,EXP(SUMPRODUCT(LN(1+(EvEff-1)*INDEX(Affected,0,C537)*EXP(-((E537-EvCenter)^2)/(2*EvSigma^2))))),"")</f>
        <v/>
      </c>
      <c r="O537">
        <f>IF(B537,ROUND(MAX(0,J537*K537*L537*M537*N537),2),"")</f>
        <v/>
      </c>
    </row>
    <row r="538">
      <c r="A538" t="n">
        <v>537</v>
      </c>
      <c r="B538">
        <f>A538&lt;=MineCount*Days</f>
        <v/>
      </c>
      <c r="C538">
        <f>IF(B538,INT((A538-1)/Days)+1,"")</f>
        <v/>
      </c>
      <c r="D538">
        <f>IF(B538,MOD(A538-1,Days),"")</f>
        <v/>
      </c>
      <c r="E538" s="16">
        <f>IF(B538,StartDate+D538,"")</f>
        <v/>
      </c>
      <c r="F538">
        <f>IF(B538,MAX(MOD(SIN(Seed*0.1373+C538*12.9898+D538*78.233)*43758.5453,1),1E-9),"")</f>
        <v/>
      </c>
      <c r="G538">
        <f>IF(B538,MOD(SIN(Seed*0.5917+C538*39.3468+D538*11.135)*24634.6345,1),"")</f>
        <v/>
      </c>
      <c r="H538">
        <f>IF(B538,SQRT(-2*LN(F538))*COS(2*PI()*G538),"")</f>
        <v/>
      </c>
      <c r="I538">
        <f>IF(B538,IF(D538=0,H538,Rho*I537+SQRT(1-Rho^2)*H538),"")</f>
        <v/>
      </c>
      <c r="J538">
        <f>IF(B538,IF(Dist="Normal",DistA+DistB*I538,DistA+(DistB-DistA)*NORMSDIST(I538)),"")</f>
        <v/>
      </c>
      <c r="K538">
        <f>IF(B538,INDEX(MineScale,C538),"")</f>
        <v/>
      </c>
      <c r="L538">
        <f>IF(B538,INDEX(Dow,1,WEEKDAY(E538,2)),"")</f>
        <v/>
      </c>
      <c r="M538">
        <f>IF(B538,(1+Trend)^D538,"")</f>
        <v/>
      </c>
      <c r="N538">
        <f>IF(B538,EXP(SUMPRODUCT(LN(1+(EvEff-1)*INDEX(Affected,0,C538)*EXP(-((E538-EvCenter)^2)/(2*EvSigma^2))))),"")</f>
        <v/>
      </c>
      <c r="O538">
        <f>IF(B538,ROUND(MAX(0,J538*K538*L538*M538*N538),2),"")</f>
        <v/>
      </c>
    </row>
    <row r="539">
      <c r="A539" t="n">
        <v>538</v>
      </c>
      <c r="B539">
        <f>A539&lt;=MineCount*Days</f>
        <v/>
      </c>
      <c r="C539">
        <f>IF(B539,INT((A539-1)/Days)+1,"")</f>
        <v/>
      </c>
      <c r="D539">
        <f>IF(B539,MOD(A539-1,Days),"")</f>
        <v/>
      </c>
      <c r="E539" s="16">
        <f>IF(B539,StartDate+D539,"")</f>
        <v/>
      </c>
      <c r="F539">
        <f>IF(B539,MAX(MOD(SIN(Seed*0.1373+C539*12.9898+D539*78.233)*43758.5453,1),1E-9),"")</f>
        <v/>
      </c>
      <c r="G539">
        <f>IF(B539,MOD(SIN(Seed*0.5917+C539*39.3468+D539*11.135)*24634.6345,1),"")</f>
        <v/>
      </c>
      <c r="H539">
        <f>IF(B539,SQRT(-2*LN(F539))*COS(2*PI()*G539),"")</f>
        <v/>
      </c>
      <c r="I539">
        <f>IF(B539,IF(D539=0,H539,Rho*I538+SQRT(1-Rho^2)*H539),"")</f>
        <v/>
      </c>
      <c r="J539">
        <f>IF(B539,IF(Dist="Normal",DistA+DistB*I539,DistA+(DistB-DistA)*NORMSDIST(I539)),"")</f>
        <v/>
      </c>
      <c r="K539">
        <f>IF(B539,INDEX(MineScale,C539),"")</f>
        <v/>
      </c>
      <c r="L539">
        <f>IF(B539,INDEX(Dow,1,WEEKDAY(E539,2)),"")</f>
        <v/>
      </c>
      <c r="M539">
        <f>IF(B539,(1+Trend)^D539,"")</f>
        <v/>
      </c>
      <c r="N539">
        <f>IF(B539,EXP(SUMPRODUCT(LN(1+(EvEff-1)*INDEX(Affected,0,C539)*EXP(-((E539-EvCenter)^2)/(2*EvSigma^2))))),"")</f>
        <v/>
      </c>
      <c r="O539">
        <f>IF(B539,ROUND(MAX(0,J539*K539*L539*M539*N539),2),"")</f>
        <v/>
      </c>
    </row>
    <row r="540">
      <c r="A540" t="n">
        <v>539</v>
      </c>
      <c r="B540">
        <f>A540&lt;=MineCount*Days</f>
        <v/>
      </c>
      <c r="C540">
        <f>IF(B540,INT((A540-1)/Days)+1,"")</f>
        <v/>
      </c>
      <c r="D540">
        <f>IF(B540,MOD(A540-1,Days),"")</f>
        <v/>
      </c>
      <c r="E540" s="16">
        <f>IF(B540,StartDate+D540,"")</f>
        <v/>
      </c>
      <c r="F540">
        <f>IF(B540,MAX(MOD(SIN(Seed*0.1373+C540*12.9898+D540*78.233)*43758.5453,1),1E-9),"")</f>
        <v/>
      </c>
      <c r="G540">
        <f>IF(B540,MOD(SIN(Seed*0.5917+C540*39.3468+D540*11.135)*24634.6345,1),"")</f>
        <v/>
      </c>
      <c r="H540">
        <f>IF(B540,SQRT(-2*LN(F540))*COS(2*PI()*G540),"")</f>
        <v/>
      </c>
      <c r="I540">
        <f>IF(B540,IF(D540=0,H540,Rho*I539+SQRT(1-Rho^2)*H540),"")</f>
        <v/>
      </c>
      <c r="J540">
        <f>IF(B540,IF(Dist="Normal",DistA+DistB*I540,DistA+(DistB-DistA)*NORMSDIST(I540)),"")</f>
        <v/>
      </c>
      <c r="K540">
        <f>IF(B540,INDEX(MineScale,C540),"")</f>
        <v/>
      </c>
      <c r="L540">
        <f>IF(B540,INDEX(Dow,1,WEEKDAY(E540,2)),"")</f>
        <v/>
      </c>
      <c r="M540">
        <f>IF(B540,(1+Trend)^D540,"")</f>
        <v/>
      </c>
      <c r="N540">
        <f>IF(B540,EXP(SUMPRODUCT(LN(1+(EvEff-1)*INDEX(Affected,0,C540)*EXP(-((E540-EvCenter)^2)/(2*EvSigma^2))))),"")</f>
        <v/>
      </c>
      <c r="O540">
        <f>IF(B540,ROUND(MAX(0,J540*K540*L540*M540*N540),2),"")</f>
        <v/>
      </c>
    </row>
    <row r="541">
      <c r="A541" t="n">
        <v>540</v>
      </c>
      <c r="B541">
        <f>A541&lt;=MineCount*Days</f>
        <v/>
      </c>
      <c r="C541">
        <f>IF(B541,INT((A541-1)/Days)+1,"")</f>
        <v/>
      </c>
      <c r="D541">
        <f>IF(B541,MOD(A541-1,Days),"")</f>
        <v/>
      </c>
      <c r="E541" s="16">
        <f>IF(B541,StartDate+D541,"")</f>
        <v/>
      </c>
      <c r="F541">
        <f>IF(B541,MAX(MOD(SIN(Seed*0.1373+C541*12.9898+D541*78.233)*43758.5453,1),1E-9),"")</f>
        <v/>
      </c>
      <c r="G541">
        <f>IF(B541,MOD(SIN(Seed*0.5917+C541*39.3468+D541*11.135)*24634.6345,1),"")</f>
        <v/>
      </c>
      <c r="H541">
        <f>IF(B541,SQRT(-2*LN(F541))*COS(2*PI()*G541),"")</f>
        <v/>
      </c>
      <c r="I541">
        <f>IF(B541,IF(D541=0,H541,Rho*I540+SQRT(1-Rho^2)*H541),"")</f>
        <v/>
      </c>
      <c r="J541">
        <f>IF(B541,IF(Dist="Normal",DistA+DistB*I541,DistA+(DistB-DistA)*NORMSDIST(I541)),"")</f>
        <v/>
      </c>
      <c r="K541">
        <f>IF(B541,INDEX(MineScale,C541),"")</f>
        <v/>
      </c>
      <c r="L541">
        <f>IF(B541,INDEX(Dow,1,WEEKDAY(E541,2)),"")</f>
        <v/>
      </c>
      <c r="M541">
        <f>IF(B541,(1+Trend)^D541,"")</f>
        <v/>
      </c>
      <c r="N541">
        <f>IF(B541,EXP(SUMPRODUCT(LN(1+(EvEff-1)*INDEX(Affected,0,C541)*EXP(-((E541-EvCenter)^2)/(2*EvSigma^2))))),"")</f>
        <v/>
      </c>
      <c r="O541">
        <f>IF(B541,ROUND(MAX(0,J541*K541*L541*M541*N541),2),"")</f>
        <v/>
      </c>
    </row>
    <row r="542">
      <c r="A542" t="n">
        <v>541</v>
      </c>
      <c r="B542">
        <f>A542&lt;=MineCount*Days</f>
        <v/>
      </c>
      <c r="C542">
        <f>IF(B542,INT((A542-1)/Days)+1,"")</f>
        <v/>
      </c>
      <c r="D542">
        <f>IF(B542,MOD(A542-1,Days),"")</f>
        <v/>
      </c>
      <c r="E542" s="16">
        <f>IF(B542,StartDate+D542,"")</f>
        <v/>
      </c>
      <c r="F542">
        <f>IF(B542,MAX(MOD(SIN(Seed*0.1373+C542*12.9898+D542*78.233)*43758.5453,1),1E-9),"")</f>
        <v/>
      </c>
      <c r="G542">
        <f>IF(B542,MOD(SIN(Seed*0.5917+C542*39.3468+D542*11.135)*24634.6345,1),"")</f>
        <v/>
      </c>
      <c r="H542">
        <f>IF(B542,SQRT(-2*LN(F542))*COS(2*PI()*G542),"")</f>
        <v/>
      </c>
      <c r="I542">
        <f>IF(B542,IF(D542=0,H542,Rho*I541+SQRT(1-Rho^2)*H542),"")</f>
        <v/>
      </c>
      <c r="J542">
        <f>IF(B542,IF(Dist="Normal",DistA+DistB*I542,DistA+(DistB-DistA)*NORMSDIST(I542)),"")</f>
        <v/>
      </c>
      <c r="K542">
        <f>IF(B542,INDEX(MineScale,C542),"")</f>
        <v/>
      </c>
      <c r="L542">
        <f>IF(B542,INDEX(Dow,1,WEEKDAY(E542,2)),"")</f>
        <v/>
      </c>
      <c r="M542">
        <f>IF(B542,(1+Trend)^D542,"")</f>
        <v/>
      </c>
      <c r="N542">
        <f>IF(B542,EXP(SUMPRODUCT(LN(1+(EvEff-1)*INDEX(Affected,0,C542)*EXP(-((E542-EvCenter)^2)/(2*EvSigma^2))))),"")</f>
        <v/>
      </c>
      <c r="O542">
        <f>IF(B542,ROUND(MAX(0,J542*K542*L542*M542*N542),2),"")</f>
        <v/>
      </c>
    </row>
    <row r="543">
      <c r="A543" t="n">
        <v>542</v>
      </c>
      <c r="B543">
        <f>A543&lt;=MineCount*Days</f>
        <v/>
      </c>
      <c r="C543">
        <f>IF(B543,INT((A543-1)/Days)+1,"")</f>
        <v/>
      </c>
      <c r="D543">
        <f>IF(B543,MOD(A543-1,Days),"")</f>
        <v/>
      </c>
      <c r="E543" s="16">
        <f>IF(B543,StartDate+D543,"")</f>
        <v/>
      </c>
      <c r="F543">
        <f>IF(B543,MAX(MOD(SIN(Seed*0.1373+C543*12.9898+D543*78.233)*43758.5453,1),1E-9),"")</f>
        <v/>
      </c>
      <c r="G543">
        <f>IF(B543,MOD(SIN(Seed*0.5917+C543*39.3468+D543*11.135)*24634.6345,1),"")</f>
        <v/>
      </c>
      <c r="H543">
        <f>IF(B543,SQRT(-2*LN(F543))*COS(2*PI()*G543),"")</f>
        <v/>
      </c>
      <c r="I543">
        <f>IF(B543,IF(D543=0,H543,Rho*I542+SQRT(1-Rho^2)*H543),"")</f>
        <v/>
      </c>
      <c r="J543">
        <f>IF(B543,IF(Dist="Normal",DistA+DistB*I543,DistA+(DistB-DistA)*NORMSDIST(I543)),"")</f>
        <v/>
      </c>
      <c r="K543">
        <f>IF(B543,INDEX(MineScale,C543),"")</f>
        <v/>
      </c>
      <c r="L543">
        <f>IF(B543,INDEX(Dow,1,WEEKDAY(E543,2)),"")</f>
        <v/>
      </c>
      <c r="M543">
        <f>IF(B543,(1+Trend)^D543,"")</f>
        <v/>
      </c>
      <c r="N543">
        <f>IF(B543,EXP(SUMPRODUCT(LN(1+(EvEff-1)*INDEX(Affected,0,C543)*EXP(-((E543-EvCenter)^2)/(2*EvSigma^2))))),"")</f>
        <v/>
      </c>
      <c r="O543">
        <f>IF(B543,ROUND(MAX(0,J543*K543*L543*M543*N543),2),"")</f>
        <v/>
      </c>
    </row>
    <row r="544">
      <c r="A544" t="n">
        <v>543</v>
      </c>
      <c r="B544">
        <f>A544&lt;=MineCount*Days</f>
        <v/>
      </c>
      <c r="C544">
        <f>IF(B544,INT((A544-1)/Days)+1,"")</f>
        <v/>
      </c>
      <c r="D544">
        <f>IF(B544,MOD(A544-1,Days),"")</f>
        <v/>
      </c>
      <c r="E544" s="16">
        <f>IF(B544,StartDate+D544,"")</f>
        <v/>
      </c>
      <c r="F544">
        <f>IF(B544,MAX(MOD(SIN(Seed*0.1373+C544*12.9898+D544*78.233)*43758.5453,1),1E-9),"")</f>
        <v/>
      </c>
      <c r="G544">
        <f>IF(B544,MOD(SIN(Seed*0.5917+C544*39.3468+D544*11.135)*24634.6345,1),"")</f>
        <v/>
      </c>
      <c r="H544">
        <f>IF(B544,SQRT(-2*LN(F544))*COS(2*PI()*G544),"")</f>
        <v/>
      </c>
      <c r="I544">
        <f>IF(B544,IF(D544=0,H544,Rho*I543+SQRT(1-Rho^2)*H544),"")</f>
        <v/>
      </c>
      <c r="J544">
        <f>IF(B544,IF(Dist="Normal",DistA+DistB*I544,DistA+(DistB-DistA)*NORMSDIST(I544)),"")</f>
        <v/>
      </c>
      <c r="K544">
        <f>IF(B544,INDEX(MineScale,C544),"")</f>
        <v/>
      </c>
      <c r="L544">
        <f>IF(B544,INDEX(Dow,1,WEEKDAY(E544,2)),"")</f>
        <v/>
      </c>
      <c r="M544">
        <f>IF(B544,(1+Trend)^D544,"")</f>
        <v/>
      </c>
      <c r="N544">
        <f>IF(B544,EXP(SUMPRODUCT(LN(1+(EvEff-1)*INDEX(Affected,0,C544)*EXP(-((E544-EvCenter)^2)/(2*EvSigma^2))))),"")</f>
        <v/>
      </c>
      <c r="O544">
        <f>IF(B544,ROUND(MAX(0,J544*K544*L544*M544*N544),2),"")</f>
        <v/>
      </c>
    </row>
    <row r="545">
      <c r="A545" t="n">
        <v>544</v>
      </c>
      <c r="B545">
        <f>A545&lt;=MineCount*Days</f>
        <v/>
      </c>
      <c r="C545">
        <f>IF(B545,INT((A545-1)/Days)+1,"")</f>
        <v/>
      </c>
      <c r="D545">
        <f>IF(B545,MOD(A545-1,Days),"")</f>
        <v/>
      </c>
      <c r="E545" s="16">
        <f>IF(B545,StartDate+D545,"")</f>
        <v/>
      </c>
      <c r="F545">
        <f>IF(B545,MAX(MOD(SIN(Seed*0.1373+C545*12.9898+D545*78.233)*43758.5453,1),1E-9),"")</f>
        <v/>
      </c>
      <c r="G545">
        <f>IF(B545,MOD(SIN(Seed*0.5917+C545*39.3468+D545*11.135)*24634.6345,1),"")</f>
        <v/>
      </c>
      <c r="H545">
        <f>IF(B545,SQRT(-2*LN(F545))*COS(2*PI()*G545),"")</f>
        <v/>
      </c>
      <c r="I545">
        <f>IF(B545,IF(D545=0,H545,Rho*I544+SQRT(1-Rho^2)*H545),"")</f>
        <v/>
      </c>
      <c r="J545">
        <f>IF(B545,IF(Dist="Normal",DistA+DistB*I545,DistA+(DistB-DistA)*NORMSDIST(I545)),"")</f>
        <v/>
      </c>
      <c r="K545">
        <f>IF(B545,INDEX(MineScale,C545),"")</f>
        <v/>
      </c>
      <c r="L545">
        <f>IF(B545,INDEX(Dow,1,WEEKDAY(E545,2)),"")</f>
        <v/>
      </c>
      <c r="M545">
        <f>IF(B545,(1+Trend)^D545,"")</f>
        <v/>
      </c>
      <c r="N545">
        <f>IF(B545,EXP(SUMPRODUCT(LN(1+(EvEff-1)*INDEX(Affected,0,C545)*EXP(-((E545-EvCenter)^2)/(2*EvSigma^2))))),"")</f>
        <v/>
      </c>
      <c r="O545">
        <f>IF(B545,ROUND(MAX(0,J545*K545*L545*M545*N545),2),"")</f>
        <v/>
      </c>
    </row>
    <row r="546">
      <c r="A546" t="n">
        <v>545</v>
      </c>
      <c r="B546">
        <f>A546&lt;=MineCount*Days</f>
        <v/>
      </c>
      <c r="C546">
        <f>IF(B546,INT((A546-1)/Days)+1,"")</f>
        <v/>
      </c>
      <c r="D546">
        <f>IF(B546,MOD(A546-1,Days),"")</f>
        <v/>
      </c>
      <c r="E546" s="16">
        <f>IF(B546,StartDate+D546,"")</f>
        <v/>
      </c>
      <c r="F546">
        <f>IF(B546,MAX(MOD(SIN(Seed*0.1373+C546*12.9898+D546*78.233)*43758.5453,1),1E-9),"")</f>
        <v/>
      </c>
      <c r="G546">
        <f>IF(B546,MOD(SIN(Seed*0.5917+C546*39.3468+D546*11.135)*24634.6345,1),"")</f>
        <v/>
      </c>
      <c r="H546">
        <f>IF(B546,SQRT(-2*LN(F546))*COS(2*PI()*G546),"")</f>
        <v/>
      </c>
      <c r="I546">
        <f>IF(B546,IF(D546=0,H546,Rho*I545+SQRT(1-Rho^2)*H546),"")</f>
        <v/>
      </c>
      <c r="J546">
        <f>IF(B546,IF(Dist="Normal",DistA+DistB*I546,DistA+(DistB-DistA)*NORMSDIST(I546)),"")</f>
        <v/>
      </c>
      <c r="K546">
        <f>IF(B546,INDEX(MineScale,C546),"")</f>
        <v/>
      </c>
      <c r="L546">
        <f>IF(B546,INDEX(Dow,1,WEEKDAY(E546,2)),"")</f>
        <v/>
      </c>
      <c r="M546">
        <f>IF(B546,(1+Trend)^D546,"")</f>
        <v/>
      </c>
      <c r="N546">
        <f>IF(B546,EXP(SUMPRODUCT(LN(1+(EvEff-1)*INDEX(Affected,0,C546)*EXP(-((E546-EvCenter)^2)/(2*EvSigma^2))))),"")</f>
        <v/>
      </c>
      <c r="O546">
        <f>IF(B546,ROUND(MAX(0,J546*K546*L546*M546*N546),2),"")</f>
        <v/>
      </c>
    </row>
    <row r="547">
      <c r="A547" t="n">
        <v>546</v>
      </c>
      <c r="B547">
        <f>A547&lt;=MineCount*Days</f>
        <v/>
      </c>
      <c r="C547">
        <f>IF(B547,INT((A547-1)/Days)+1,"")</f>
        <v/>
      </c>
      <c r="D547">
        <f>IF(B547,MOD(A547-1,Days),"")</f>
        <v/>
      </c>
      <c r="E547" s="16">
        <f>IF(B547,StartDate+D547,"")</f>
        <v/>
      </c>
      <c r="F547">
        <f>IF(B547,MAX(MOD(SIN(Seed*0.1373+C547*12.9898+D547*78.233)*43758.5453,1),1E-9),"")</f>
        <v/>
      </c>
      <c r="G547">
        <f>IF(B547,MOD(SIN(Seed*0.5917+C547*39.3468+D547*11.135)*24634.6345,1),"")</f>
        <v/>
      </c>
      <c r="H547">
        <f>IF(B547,SQRT(-2*LN(F547))*COS(2*PI()*G547),"")</f>
        <v/>
      </c>
      <c r="I547">
        <f>IF(B547,IF(D547=0,H547,Rho*I546+SQRT(1-Rho^2)*H547),"")</f>
        <v/>
      </c>
      <c r="J547">
        <f>IF(B547,IF(Dist="Normal",DistA+DistB*I547,DistA+(DistB-DistA)*NORMSDIST(I547)),"")</f>
        <v/>
      </c>
      <c r="K547">
        <f>IF(B547,INDEX(MineScale,C547),"")</f>
        <v/>
      </c>
      <c r="L547">
        <f>IF(B547,INDEX(Dow,1,WEEKDAY(E547,2)),"")</f>
        <v/>
      </c>
      <c r="M547">
        <f>IF(B547,(1+Trend)^D547,"")</f>
        <v/>
      </c>
      <c r="N547">
        <f>IF(B547,EXP(SUMPRODUCT(LN(1+(EvEff-1)*INDEX(Affected,0,C547)*EXP(-((E547-EvCenter)^2)/(2*EvSigma^2))))),"")</f>
        <v/>
      </c>
      <c r="O547">
        <f>IF(B547,ROUND(MAX(0,J547*K547*L547*M547*N547),2),"")</f>
        <v/>
      </c>
    </row>
    <row r="548">
      <c r="A548" t="n">
        <v>547</v>
      </c>
      <c r="B548">
        <f>A548&lt;=MineCount*Days</f>
        <v/>
      </c>
      <c r="C548">
        <f>IF(B548,INT((A548-1)/Days)+1,"")</f>
        <v/>
      </c>
      <c r="D548">
        <f>IF(B548,MOD(A548-1,Days),"")</f>
        <v/>
      </c>
      <c r="E548" s="16">
        <f>IF(B548,StartDate+D548,"")</f>
        <v/>
      </c>
      <c r="F548">
        <f>IF(B548,MAX(MOD(SIN(Seed*0.1373+C548*12.9898+D548*78.233)*43758.5453,1),1E-9),"")</f>
        <v/>
      </c>
      <c r="G548">
        <f>IF(B548,MOD(SIN(Seed*0.5917+C548*39.3468+D548*11.135)*24634.6345,1),"")</f>
        <v/>
      </c>
      <c r="H548">
        <f>IF(B548,SQRT(-2*LN(F548))*COS(2*PI()*G548),"")</f>
        <v/>
      </c>
      <c r="I548">
        <f>IF(B548,IF(D548=0,H548,Rho*I547+SQRT(1-Rho^2)*H548),"")</f>
        <v/>
      </c>
      <c r="J548">
        <f>IF(B548,IF(Dist="Normal",DistA+DistB*I548,DistA+(DistB-DistA)*NORMSDIST(I548)),"")</f>
        <v/>
      </c>
      <c r="K548">
        <f>IF(B548,INDEX(MineScale,C548),"")</f>
        <v/>
      </c>
      <c r="L548">
        <f>IF(B548,INDEX(Dow,1,WEEKDAY(E548,2)),"")</f>
        <v/>
      </c>
      <c r="M548">
        <f>IF(B548,(1+Trend)^D548,"")</f>
        <v/>
      </c>
      <c r="N548">
        <f>IF(B548,EXP(SUMPRODUCT(LN(1+(EvEff-1)*INDEX(Affected,0,C548)*EXP(-((E548-EvCenter)^2)/(2*EvSigma^2))))),"")</f>
        <v/>
      </c>
      <c r="O548">
        <f>IF(B548,ROUND(MAX(0,J548*K548*L548*M548*N548),2),"")</f>
        <v/>
      </c>
    </row>
    <row r="549">
      <c r="A549" t="n">
        <v>548</v>
      </c>
      <c r="B549">
        <f>A549&lt;=MineCount*Days</f>
        <v/>
      </c>
      <c r="C549">
        <f>IF(B549,INT((A549-1)/Days)+1,"")</f>
        <v/>
      </c>
      <c r="D549">
        <f>IF(B549,MOD(A549-1,Days),"")</f>
        <v/>
      </c>
      <c r="E549" s="16">
        <f>IF(B549,StartDate+D549,"")</f>
        <v/>
      </c>
      <c r="F549">
        <f>IF(B549,MAX(MOD(SIN(Seed*0.1373+C549*12.9898+D549*78.233)*43758.5453,1),1E-9),"")</f>
        <v/>
      </c>
      <c r="G549">
        <f>IF(B549,MOD(SIN(Seed*0.5917+C549*39.3468+D549*11.135)*24634.6345,1),"")</f>
        <v/>
      </c>
      <c r="H549">
        <f>IF(B549,SQRT(-2*LN(F549))*COS(2*PI()*G549),"")</f>
        <v/>
      </c>
      <c r="I549">
        <f>IF(B549,IF(D549=0,H549,Rho*I548+SQRT(1-Rho^2)*H549),"")</f>
        <v/>
      </c>
      <c r="J549">
        <f>IF(B549,IF(Dist="Normal",DistA+DistB*I549,DistA+(DistB-DistA)*NORMSDIST(I549)),"")</f>
        <v/>
      </c>
      <c r="K549">
        <f>IF(B549,INDEX(MineScale,C549),"")</f>
        <v/>
      </c>
      <c r="L549">
        <f>IF(B549,INDEX(Dow,1,WEEKDAY(E549,2)),"")</f>
        <v/>
      </c>
      <c r="M549">
        <f>IF(B549,(1+Trend)^D549,"")</f>
        <v/>
      </c>
      <c r="N549">
        <f>IF(B549,EXP(SUMPRODUCT(LN(1+(EvEff-1)*INDEX(Affected,0,C549)*EXP(-((E549-EvCenter)^2)/(2*EvSigma^2))))),"")</f>
        <v/>
      </c>
      <c r="O549">
        <f>IF(B549,ROUND(MAX(0,J549*K549*L549*M549*N549),2),"")</f>
        <v/>
      </c>
    </row>
    <row r="550">
      <c r="A550" t="n">
        <v>549</v>
      </c>
      <c r="B550">
        <f>A550&lt;=MineCount*Days</f>
        <v/>
      </c>
      <c r="C550">
        <f>IF(B550,INT((A550-1)/Days)+1,"")</f>
        <v/>
      </c>
      <c r="D550">
        <f>IF(B550,MOD(A550-1,Days),"")</f>
        <v/>
      </c>
      <c r="E550" s="16">
        <f>IF(B550,StartDate+D550,"")</f>
        <v/>
      </c>
      <c r="F550">
        <f>IF(B550,MAX(MOD(SIN(Seed*0.1373+C550*12.9898+D550*78.233)*43758.5453,1),1E-9),"")</f>
        <v/>
      </c>
      <c r="G550">
        <f>IF(B550,MOD(SIN(Seed*0.5917+C550*39.3468+D550*11.135)*24634.6345,1),"")</f>
        <v/>
      </c>
      <c r="H550">
        <f>IF(B550,SQRT(-2*LN(F550))*COS(2*PI()*G550),"")</f>
        <v/>
      </c>
      <c r="I550">
        <f>IF(B550,IF(D550=0,H550,Rho*I549+SQRT(1-Rho^2)*H550),"")</f>
        <v/>
      </c>
      <c r="J550">
        <f>IF(B550,IF(Dist="Normal",DistA+DistB*I550,DistA+(DistB-DistA)*NORMSDIST(I550)),"")</f>
        <v/>
      </c>
      <c r="K550">
        <f>IF(B550,INDEX(MineScale,C550),"")</f>
        <v/>
      </c>
      <c r="L550">
        <f>IF(B550,INDEX(Dow,1,WEEKDAY(E550,2)),"")</f>
        <v/>
      </c>
      <c r="M550">
        <f>IF(B550,(1+Trend)^D550,"")</f>
        <v/>
      </c>
      <c r="N550">
        <f>IF(B550,EXP(SUMPRODUCT(LN(1+(EvEff-1)*INDEX(Affected,0,C550)*EXP(-((E550-EvCenter)^2)/(2*EvSigma^2))))),"")</f>
        <v/>
      </c>
      <c r="O550">
        <f>IF(B550,ROUND(MAX(0,J550*K550*L550*M550*N550),2),"")</f>
        <v/>
      </c>
    </row>
    <row r="551">
      <c r="A551" t="n">
        <v>550</v>
      </c>
      <c r="B551">
        <f>A551&lt;=MineCount*Days</f>
        <v/>
      </c>
      <c r="C551">
        <f>IF(B551,INT((A551-1)/Days)+1,"")</f>
        <v/>
      </c>
      <c r="D551">
        <f>IF(B551,MOD(A551-1,Days),"")</f>
        <v/>
      </c>
      <c r="E551" s="16">
        <f>IF(B551,StartDate+D551,"")</f>
        <v/>
      </c>
      <c r="F551">
        <f>IF(B551,MAX(MOD(SIN(Seed*0.1373+C551*12.9898+D551*78.233)*43758.5453,1),1E-9),"")</f>
        <v/>
      </c>
      <c r="G551">
        <f>IF(B551,MOD(SIN(Seed*0.5917+C551*39.3468+D551*11.135)*24634.6345,1),"")</f>
        <v/>
      </c>
      <c r="H551">
        <f>IF(B551,SQRT(-2*LN(F551))*COS(2*PI()*G551),"")</f>
        <v/>
      </c>
      <c r="I551">
        <f>IF(B551,IF(D551=0,H551,Rho*I550+SQRT(1-Rho^2)*H551),"")</f>
        <v/>
      </c>
      <c r="J551">
        <f>IF(B551,IF(Dist="Normal",DistA+DistB*I551,DistA+(DistB-DistA)*NORMSDIST(I551)),"")</f>
        <v/>
      </c>
      <c r="K551">
        <f>IF(B551,INDEX(MineScale,C551),"")</f>
        <v/>
      </c>
      <c r="L551">
        <f>IF(B551,INDEX(Dow,1,WEEKDAY(E551,2)),"")</f>
        <v/>
      </c>
      <c r="M551">
        <f>IF(B551,(1+Trend)^D551,"")</f>
        <v/>
      </c>
      <c r="N551">
        <f>IF(B551,EXP(SUMPRODUCT(LN(1+(EvEff-1)*INDEX(Affected,0,C551)*EXP(-((E551-EvCenter)^2)/(2*EvSigma^2))))),"")</f>
        <v/>
      </c>
      <c r="O551">
        <f>IF(B551,ROUND(MAX(0,J551*K551*L551*M551*N551),2),"")</f>
        <v/>
      </c>
    </row>
    <row r="552">
      <c r="A552" t="n">
        <v>551</v>
      </c>
      <c r="B552">
        <f>A552&lt;=MineCount*Days</f>
        <v/>
      </c>
      <c r="C552">
        <f>IF(B552,INT((A552-1)/Days)+1,"")</f>
        <v/>
      </c>
      <c r="D552">
        <f>IF(B552,MOD(A552-1,Days),"")</f>
        <v/>
      </c>
      <c r="E552" s="16">
        <f>IF(B552,StartDate+D552,"")</f>
        <v/>
      </c>
      <c r="F552">
        <f>IF(B552,MAX(MOD(SIN(Seed*0.1373+C552*12.9898+D552*78.233)*43758.5453,1),1E-9),"")</f>
        <v/>
      </c>
      <c r="G552">
        <f>IF(B552,MOD(SIN(Seed*0.5917+C552*39.3468+D552*11.135)*24634.6345,1),"")</f>
        <v/>
      </c>
      <c r="H552">
        <f>IF(B552,SQRT(-2*LN(F552))*COS(2*PI()*G552),"")</f>
        <v/>
      </c>
      <c r="I552">
        <f>IF(B552,IF(D552=0,H552,Rho*I551+SQRT(1-Rho^2)*H552),"")</f>
        <v/>
      </c>
      <c r="J552">
        <f>IF(B552,IF(Dist="Normal",DistA+DistB*I552,DistA+(DistB-DistA)*NORMSDIST(I552)),"")</f>
        <v/>
      </c>
      <c r="K552">
        <f>IF(B552,INDEX(MineScale,C552),"")</f>
        <v/>
      </c>
      <c r="L552">
        <f>IF(B552,INDEX(Dow,1,WEEKDAY(E552,2)),"")</f>
        <v/>
      </c>
      <c r="M552">
        <f>IF(B552,(1+Trend)^D552,"")</f>
        <v/>
      </c>
      <c r="N552">
        <f>IF(B552,EXP(SUMPRODUCT(LN(1+(EvEff-1)*INDEX(Affected,0,C552)*EXP(-((E552-EvCenter)^2)/(2*EvSigma^2))))),"")</f>
        <v/>
      </c>
      <c r="O552">
        <f>IF(B552,ROUND(MAX(0,J552*K552*L552*M552*N552),2),"")</f>
        <v/>
      </c>
    </row>
    <row r="553">
      <c r="A553" t="n">
        <v>552</v>
      </c>
      <c r="B553">
        <f>A553&lt;=MineCount*Days</f>
        <v/>
      </c>
      <c r="C553">
        <f>IF(B553,INT((A553-1)/Days)+1,"")</f>
        <v/>
      </c>
      <c r="D553">
        <f>IF(B553,MOD(A553-1,Days),"")</f>
        <v/>
      </c>
      <c r="E553" s="16">
        <f>IF(B553,StartDate+D553,"")</f>
        <v/>
      </c>
      <c r="F553">
        <f>IF(B553,MAX(MOD(SIN(Seed*0.1373+C553*12.9898+D553*78.233)*43758.5453,1),1E-9),"")</f>
        <v/>
      </c>
      <c r="G553">
        <f>IF(B553,MOD(SIN(Seed*0.5917+C553*39.3468+D553*11.135)*24634.6345,1),"")</f>
        <v/>
      </c>
      <c r="H553">
        <f>IF(B553,SQRT(-2*LN(F553))*COS(2*PI()*G553),"")</f>
        <v/>
      </c>
      <c r="I553">
        <f>IF(B553,IF(D553=0,H553,Rho*I552+SQRT(1-Rho^2)*H553),"")</f>
        <v/>
      </c>
      <c r="J553">
        <f>IF(B553,IF(Dist="Normal",DistA+DistB*I553,DistA+(DistB-DistA)*NORMSDIST(I553)),"")</f>
        <v/>
      </c>
      <c r="K553">
        <f>IF(B553,INDEX(MineScale,C553),"")</f>
        <v/>
      </c>
      <c r="L553">
        <f>IF(B553,INDEX(Dow,1,WEEKDAY(E553,2)),"")</f>
        <v/>
      </c>
      <c r="M553">
        <f>IF(B553,(1+Trend)^D553,"")</f>
        <v/>
      </c>
      <c r="N553">
        <f>IF(B553,EXP(SUMPRODUCT(LN(1+(EvEff-1)*INDEX(Affected,0,C553)*EXP(-((E553-EvCenter)^2)/(2*EvSigma^2))))),"")</f>
        <v/>
      </c>
      <c r="O553">
        <f>IF(B553,ROUND(MAX(0,J553*K553*L553*M553*N553),2),"")</f>
        <v/>
      </c>
    </row>
    <row r="554">
      <c r="A554" t="n">
        <v>553</v>
      </c>
      <c r="B554">
        <f>A554&lt;=MineCount*Days</f>
        <v/>
      </c>
      <c r="C554">
        <f>IF(B554,INT((A554-1)/Days)+1,"")</f>
        <v/>
      </c>
      <c r="D554">
        <f>IF(B554,MOD(A554-1,Days),"")</f>
        <v/>
      </c>
      <c r="E554" s="16">
        <f>IF(B554,StartDate+D554,"")</f>
        <v/>
      </c>
      <c r="F554">
        <f>IF(B554,MAX(MOD(SIN(Seed*0.1373+C554*12.9898+D554*78.233)*43758.5453,1),1E-9),"")</f>
        <v/>
      </c>
      <c r="G554">
        <f>IF(B554,MOD(SIN(Seed*0.5917+C554*39.3468+D554*11.135)*24634.6345,1),"")</f>
        <v/>
      </c>
      <c r="H554">
        <f>IF(B554,SQRT(-2*LN(F554))*COS(2*PI()*G554),"")</f>
        <v/>
      </c>
      <c r="I554">
        <f>IF(B554,IF(D554=0,H554,Rho*I553+SQRT(1-Rho^2)*H554),"")</f>
        <v/>
      </c>
      <c r="J554">
        <f>IF(B554,IF(Dist="Normal",DistA+DistB*I554,DistA+(DistB-DistA)*NORMSDIST(I554)),"")</f>
        <v/>
      </c>
      <c r="K554">
        <f>IF(B554,INDEX(MineScale,C554),"")</f>
        <v/>
      </c>
      <c r="L554">
        <f>IF(B554,INDEX(Dow,1,WEEKDAY(E554,2)),"")</f>
        <v/>
      </c>
      <c r="M554">
        <f>IF(B554,(1+Trend)^D554,"")</f>
        <v/>
      </c>
      <c r="N554">
        <f>IF(B554,EXP(SUMPRODUCT(LN(1+(EvEff-1)*INDEX(Affected,0,C554)*EXP(-((E554-EvCenter)^2)/(2*EvSigma^2))))),"")</f>
        <v/>
      </c>
      <c r="O554">
        <f>IF(B554,ROUND(MAX(0,J554*K554*L554*M554*N554),2),"")</f>
        <v/>
      </c>
    </row>
    <row r="555">
      <c r="A555" t="n">
        <v>554</v>
      </c>
      <c r="B555">
        <f>A555&lt;=MineCount*Days</f>
        <v/>
      </c>
      <c r="C555">
        <f>IF(B555,INT((A555-1)/Days)+1,"")</f>
        <v/>
      </c>
      <c r="D555">
        <f>IF(B555,MOD(A555-1,Days),"")</f>
        <v/>
      </c>
      <c r="E555" s="16">
        <f>IF(B555,StartDate+D555,"")</f>
        <v/>
      </c>
      <c r="F555">
        <f>IF(B555,MAX(MOD(SIN(Seed*0.1373+C555*12.9898+D555*78.233)*43758.5453,1),1E-9),"")</f>
        <v/>
      </c>
      <c r="G555">
        <f>IF(B555,MOD(SIN(Seed*0.5917+C555*39.3468+D555*11.135)*24634.6345,1),"")</f>
        <v/>
      </c>
      <c r="H555">
        <f>IF(B555,SQRT(-2*LN(F555))*COS(2*PI()*G555),"")</f>
        <v/>
      </c>
      <c r="I555">
        <f>IF(B555,IF(D555=0,H555,Rho*I554+SQRT(1-Rho^2)*H555),"")</f>
        <v/>
      </c>
      <c r="J555">
        <f>IF(B555,IF(Dist="Normal",DistA+DistB*I555,DistA+(DistB-DistA)*NORMSDIST(I555)),"")</f>
        <v/>
      </c>
      <c r="K555">
        <f>IF(B555,INDEX(MineScale,C555),"")</f>
        <v/>
      </c>
      <c r="L555">
        <f>IF(B555,INDEX(Dow,1,WEEKDAY(E555,2)),"")</f>
        <v/>
      </c>
      <c r="M555">
        <f>IF(B555,(1+Trend)^D555,"")</f>
        <v/>
      </c>
      <c r="N555">
        <f>IF(B555,EXP(SUMPRODUCT(LN(1+(EvEff-1)*INDEX(Affected,0,C555)*EXP(-((E555-EvCenter)^2)/(2*EvSigma^2))))),"")</f>
        <v/>
      </c>
      <c r="O555">
        <f>IF(B555,ROUND(MAX(0,J555*K555*L555*M555*N555),2),"")</f>
        <v/>
      </c>
    </row>
    <row r="556">
      <c r="A556" t="n">
        <v>555</v>
      </c>
      <c r="B556">
        <f>A556&lt;=MineCount*Days</f>
        <v/>
      </c>
      <c r="C556">
        <f>IF(B556,INT((A556-1)/Days)+1,"")</f>
        <v/>
      </c>
      <c r="D556">
        <f>IF(B556,MOD(A556-1,Days),"")</f>
        <v/>
      </c>
      <c r="E556" s="16">
        <f>IF(B556,StartDate+D556,"")</f>
        <v/>
      </c>
      <c r="F556">
        <f>IF(B556,MAX(MOD(SIN(Seed*0.1373+C556*12.9898+D556*78.233)*43758.5453,1),1E-9),"")</f>
        <v/>
      </c>
      <c r="G556">
        <f>IF(B556,MOD(SIN(Seed*0.5917+C556*39.3468+D556*11.135)*24634.6345,1),"")</f>
        <v/>
      </c>
      <c r="H556">
        <f>IF(B556,SQRT(-2*LN(F556))*COS(2*PI()*G556),"")</f>
        <v/>
      </c>
      <c r="I556">
        <f>IF(B556,IF(D556=0,H556,Rho*I555+SQRT(1-Rho^2)*H556),"")</f>
        <v/>
      </c>
      <c r="J556">
        <f>IF(B556,IF(Dist="Normal",DistA+DistB*I556,DistA+(DistB-DistA)*NORMSDIST(I556)),"")</f>
        <v/>
      </c>
      <c r="K556">
        <f>IF(B556,INDEX(MineScale,C556),"")</f>
        <v/>
      </c>
      <c r="L556">
        <f>IF(B556,INDEX(Dow,1,WEEKDAY(E556,2)),"")</f>
        <v/>
      </c>
      <c r="M556">
        <f>IF(B556,(1+Trend)^D556,"")</f>
        <v/>
      </c>
      <c r="N556">
        <f>IF(B556,EXP(SUMPRODUCT(LN(1+(EvEff-1)*INDEX(Affected,0,C556)*EXP(-((E556-EvCenter)^2)/(2*EvSigma^2))))),"")</f>
        <v/>
      </c>
      <c r="O556">
        <f>IF(B556,ROUND(MAX(0,J556*K556*L556*M556*N556),2),"")</f>
        <v/>
      </c>
    </row>
    <row r="557">
      <c r="A557" t="n">
        <v>556</v>
      </c>
      <c r="B557">
        <f>A557&lt;=MineCount*Days</f>
        <v/>
      </c>
      <c r="C557">
        <f>IF(B557,INT((A557-1)/Days)+1,"")</f>
        <v/>
      </c>
      <c r="D557">
        <f>IF(B557,MOD(A557-1,Days),"")</f>
        <v/>
      </c>
      <c r="E557" s="16">
        <f>IF(B557,StartDate+D557,"")</f>
        <v/>
      </c>
      <c r="F557">
        <f>IF(B557,MAX(MOD(SIN(Seed*0.1373+C557*12.9898+D557*78.233)*43758.5453,1),1E-9),"")</f>
        <v/>
      </c>
      <c r="G557">
        <f>IF(B557,MOD(SIN(Seed*0.5917+C557*39.3468+D557*11.135)*24634.6345,1),"")</f>
        <v/>
      </c>
      <c r="H557">
        <f>IF(B557,SQRT(-2*LN(F557))*COS(2*PI()*G557),"")</f>
        <v/>
      </c>
      <c r="I557">
        <f>IF(B557,IF(D557=0,H557,Rho*I556+SQRT(1-Rho^2)*H557),"")</f>
        <v/>
      </c>
      <c r="J557">
        <f>IF(B557,IF(Dist="Normal",DistA+DistB*I557,DistA+(DistB-DistA)*NORMSDIST(I557)),"")</f>
        <v/>
      </c>
      <c r="K557">
        <f>IF(B557,INDEX(MineScale,C557),"")</f>
        <v/>
      </c>
      <c r="L557">
        <f>IF(B557,INDEX(Dow,1,WEEKDAY(E557,2)),"")</f>
        <v/>
      </c>
      <c r="M557">
        <f>IF(B557,(1+Trend)^D557,"")</f>
        <v/>
      </c>
      <c r="N557">
        <f>IF(B557,EXP(SUMPRODUCT(LN(1+(EvEff-1)*INDEX(Affected,0,C557)*EXP(-((E557-EvCenter)^2)/(2*EvSigma^2))))),"")</f>
        <v/>
      </c>
      <c r="O557">
        <f>IF(B557,ROUND(MAX(0,J557*K557*L557*M557*N557),2),"")</f>
        <v/>
      </c>
    </row>
    <row r="558">
      <c r="A558" t="n">
        <v>557</v>
      </c>
      <c r="B558">
        <f>A558&lt;=MineCount*Days</f>
        <v/>
      </c>
      <c r="C558">
        <f>IF(B558,INT((A558-1)/Days)+1,"")</f>
        <v/>
      </c>
      <c r="D558">
        <f>IF(B558,MOD(A558-1,Days),"")</f>
        <v/>
      </c>
      <c r="E558" s="16">
        <f>IF(B558,StartDate+D558,"")</f>
        <v/>
      </c>
      <c r="F558">
        <f>IF(B558,MAX(MOD(SIN(Seed*0.1373+C558*12.9898+D558*78.233)*43758.5453,1),1E-9),"")</f>
        <v/>
      </c>
      <c r="G558">
        <f>IF(B558,MOD(SIN(Seed*0.5917+C558*39.3468+D558*11.135)*24634.6345,1),"")</f>
        <v/>
      </c>
      <c r="H558">
        <f>IF(B558,SQRT(-2*LN(F558))*COS(2*PI()*G558),"")</f>
        <v/>
      </c>
      <c r="I558">
        <f>IF(B558,IF(D558=0,H558,Rho*I557+SQRT(1-Rho^2)*H558),"")</f>
        <v/>
      </c>
      <c r="J558">
        <f>IF(B558,IF(Dist="Normal",DistA+DistB*I558,DistA+(DistB-DistA)*NORMSDIST(I558)),"")</f>
        <v/>
      </c>
      <c r="K558">
        <f>IF(B558,INDEX(MineScale,C558),"")</f>
        <v/>
      </c>
      <c r="L558">
        <f>IF(B558,INDEX(Dow,1,WEEKDAY(E558,2)),"")</f>
        <v/>
      </c>
      <c r="M558">
        <f>IF(B558,(1+Trend)^D558,"")</f>
        <v/>
      </c>
      <c r="N558">
        <f>IF(B558,EXP(SUMPRODUCT(LN(1+(EvEff-1)*INDEX(Affected,0,C558)*EXP(-((E558-EvCenter)^2)/(2*EvSigma^2))))),"")</f>
        <v/>
      </c>
      <c r="O558">
        <f>IF(B558,ROUND(MAX(0,J558*K558*L558*M558*N558),2),"")</f>
        <v/>
      </c>
    </row>
    <row r="559">
      <c r="A559" t="n">
        <v>558</v>
      </c>
      <c r="B559">
        <f>A559&lt;=MineCount*Days</f>
        <v/>
      </c>
      <c r="C559">
        <f>IF(B559,INT((A559-1)/Days)+1,"")</f>
        <v/>
      </c>
      <c r="D559">
        <f>IF(B559,MOD(A559-1,Days),"")</f>
        <v/>
      </c>
      <c r="E559" s="16">
        <f>IF(B559,StartDate+D559,"")</f>
        <v/>
      </c>
      <c r="F559">
        <f>IF(B559,MAX(MOD(SIN(Seed*0.1373+C559*12.9898+D559*78.233)*43758.5453,1),1E-9),"")</f>
        <v/>
      </c>
      <c r="G559">
        <f>IF(B559,MOD(SIN(Seed*0.5917+C559*39.3468+D559*11.135)*24634.6345,1),"")</f>
        <v/>
      </c>
      <c r="H559">
        <f>IF(B559,SQRT(-2*LN(F559))*COS(2*PI()*G559),"")</f>
        <v/>
      </c>
      <c r="I559">
        <f>IF(B559,IF(D559=0,H559,Rho*I558+SQRT(1-Rho^2)*H559),"")</f>
        <v/>
      </c>
      <c r="J559">
        <f>IF(B559,IF(Dist="Normal",DistA+DistB*I559,DistA+(DistB-DistA)*NORMSDIST(I559)),"")</f>
        <v/>
      </c>
      <c r="K559">
        <f>IF(B559,INDEX(MineScale,C559),"")</f>
        <v/>
      </c>
      <c r="L559">
        <f>IF(B559,INDEX(Dow,1,WEEKDAY(E559,2)),"")</f>
        <v/>
      </c>
      <c r="M559">
        <f>IF(B559,(1+Trend)^D559,"")</f>
        <v/>
      </c>
      <c r="N559">
        <f>IF(B559,EXP(SUMPRODUCT(LN(1+(EvEff-1)*INDEX(Affected,0,C559)*EXP(-((E559-EvCenter)^2)/(2*EvSigma^2))))),"")</f>
        <v/>
      </c>
      <c r="O559">
        <f>IF(B559,ROUND(MAX(0,J559*K559*L559*M559*N559),2),"")</f>
        <v/>
      </c>
    </row>
    <row r="560">
      <c r="A560" t="n">
        <v>559</v>
      </c>
      <c r="B560">
        <f>A560&lt;=MineCount*Days</f>
        <v/>
      </c>
      <c r="C560">
        <f>IF(B560,INT((A560-1)/Days)+1,"")</f>
        <v/>
      </c>
      <c r="D560">
        <f>IF(B560,MOD(A560-1,Days),"")</f>
        <v/>
      </c>
      <c r="E560" s="16">
        <f>IF(B560,StartDate+D560,"")</f>
        <v/>
      </c>
      <c r="F560">
        <f>IF(B560,MAX(MOD(SIN(Seed*0.1373+C560*12.9898+D560*78.233)*43758.5453,1),1E-9),"")</f>
        <v/>
      </c>
      <c r="G560">
        <f>IF(B560,MOD(SIN(Seed*0.5917+C560*39.3468+D560*11.135)*24634.6345,1),"")</f>
        <v/>
      </c>
      <c r="H560">
        <f>IF(B560,SQRT(-2*LN(F560))*COS(2*PI()*G560),"")</f>
        <v/>
      </c>
      <c r="I560">
        <f>IF(B560,IF(D560=0,H560,Rho*I559+SQRT(1-Rho^2)*H560),"")</f>
        <v/>
      </c>
      <c r="J560">
        <f>IF(B560,IF(Dist="Normal",DistA+DistB*I560,DistA+(DistB-DistA)*NORMSDIST(I560)),"")</f>
        <v/>
      </c>
      <c r="K560">
        <f>IF(B560,INDEX(MineScale,C560),"")</f>
        <v/>
      </c>
      <c r="L560">
        <f>IF(B560,INDEX(Dow,1,WEEKDAY(E560,2)),"")</f>
        <v/>
      </c>
      <c r="M560">
        <f>IF(B560,(1+Trend)^D560,"")</f>
        <v/>
      </c>
      <c r="N560">
        <f>IF(B560,EXP(SUMPRODUCT(LN(1+(EvEff-1)*INDEX(Affected,0,C560)*EXP(-((E560-EvCenter)^2)/(2*EvSigma^2))))),"")</f>
        <v/>
      </c>
      <c r="O560">
        <f>IF(B560,ROUND(MAX(0,J560*K560*L560*M560*N560),2),"")</f>
        <v/>
      </c>
    </row>
    <row r="561">
      <c r="A561" t="n">
        <v>560</v>
      </c>
      <c r="B561">
        <f>A561&lt;=MineCount*Days</f>
        <v/>
      </c>
      <c r="C561">
        <f>IF(B561,INT((A561-1)/Days)+1,"")</f>
        <v/>
      </c>
      <c r="D561">
        <f>IF(B561,MOD(A561-1,Days),"")</f>
        <v/>
      </c>
      <c r="E561" s="16">
        <f>IF(B561,StartDate+D561,"")</f>
        <v/>
      </c>
      <c r="F561">
        <f>IF(B561,MAX(MOD(SIN(Seed*0.1373+C561*12.9898+D561*78.233)*43758.5453,1),1E-9),"")</f>
        <v/>
      </c>
      <c r="G561">
        <f>IF(B561,MOD(SIN(Seed*0.5917+C561*39.3468+D561*11.135)*24634.6345,1),"")</f>
        <v/>
      </c>
      <c r="H561">
        <f>IF(B561,SQRT(-2*LN(F561))*COS(2*PI()*G561),"")</f>
        <v/>
      </c>
      <c r="I561">
        <f>IF(B561,IF(D561=0,H561,Rho*I560+SQRT(1-Rho^2)*H561),"")</f>
        <v/>
      </c>
      <c r="J561">
        <f>IF(B561,IF(Dist="Normal",DistA+DistB*I561,DistA+(DistB-DistA)*NORMSDIST(I561)),"")</f>
        <v/>
      </c>
      <c r="K561">
        <f>IF(B561,INDEX(MineScale,C561),"")</f>
        <v/>
      </c>
      <c r="L561">
        <f>IF(B561,INDEX(Dow,1,WEEKDAY(E561,2)),"")</f>
        <v/>
      </c>
      <c r="M561">
        <f>IF(B561,(1+Trend)^D561,"")</f>
        <v/>
      </c>
      <c r="N561">
        <f>IF(B561,EXP(SUMPRODUCT(LN(1+(EvEff-1)*INDEX(Affected,0,C561)*EXP(-((E561-EvCenter)^2)/(2*EvSigma^2))))),"")</f>
        <v/>
      </c>
      <c r="O561">
        <f>IF(B561,ROUND(MAX(0,J561*K561*L561*M561*N561),2),"")</f>
        <v/>
      </c>
    </row>
    <row r="562">
      <c r="A562" t="n">
        <v>561</v>
      </c>
      <c r="B562">
        <f>A562&lt;=MineCount*Days</f>
        <v/>
      </c>
      <c r="C562">
        <f>IF(B562,INT((A562-1)/Days)+1,"")</f>
        <v/>
      </c>
      <c r="D562">
        <f>IF(B562,MOD(A562-1,Days),"")</f>
        <v/>
      </c>
      <c r="E562" s="16">
        <f>IF(B562,StartDate+D562,"")</f>
        <v/>
      </c>
      <c r="F562">
        <f>IF(B562,MAX(MOD(SIN(Seed*0.1373+C562*12.9898+D562*78.233)*43758.5453,1),1E-9),"")</f>
        <v/>
      </c>
      <c r="G562">
        <f>IF(B562,MOD(SIN(Seed*0.5917+C562*39.3468+D562*11.135)*24634.6345,1),"")</f>
        <v/>
      </c>
      <c r="H562">
        <f>IF(B562,SQRT(-2*LN(F562))*COS(2*PI()*G562),"")</f>
        <v/>
      </c>
      <c r="I562">
        <f>IF(B562,IF(D562=0,H562,Rho*I561+SQRT(1-Rho^2)*H562),"")</f>
        <v/>
      </c>
      <c r="J562">
        <f>IF(B562,IF(Dist="Normal",DistA+DistB*I562,DistA+(DistB-DistA)*NORMSDIST(I562)),"")</f>
        <v/>
      </c>
      <c r="K562">
        <f>IF(B562,INDEX(MineScale,C562),"")</f>
        <v/>
      </c>
      <c r="L562">
        <f>IF(B562,INDEX(Dow,1,WEEKDAY(E562,2)),"")</f>
        <v/>
      </c>
      <c r="M562">
        <f>IF(B562,(1+Trend)^D562,"")</f>
        <v/>
      </c>
      <c r="N562">
        <f>IF(B562,EXP(SUMPRODUCT(LN(1+(EvEff-1)*INDEX(Affected,0,C562)*EXP(-((E562-EvCenter)^2)/(2*EvSigma^2))))),"")</f>
        <v/>
      </c>
      <c r="O562">
        <f>IF(B562,ROUND(MAX(0,J562*K562*L562*M562*N562),2),"")</f>
        <v/>
      </c>
    </row>
    <row r="563">
      <c r="A563" t="n">
        <v>562</v>
      </c>
      <c r="B563">
        <f>A563&lt;=MineCount*Days</f>
        <v/>
      </c>
      <c r="C563">
        <f>IF(B563,INT((A563-1)/Days)+1,"")</f>
        <v/>
      </c>
      <c r="D563">
        <f>IF(B563,MOD(A563-1,Days),"")</f>
        <v/>
      </c>
      <c r="E563" s="16">
        <f>IF(B563,StartDate+D563,"")</f>
        <v/>
      </c>
      <c r="F563">
        <f>IF(B563,MAX(MOD(SIN(Seed*0.1373+C563*12.9898+D563*78.233)*43758.5453,1),1E-9),"")</f>
        <v/>
      </c>
      <c r="G563">
        <f>IF(B563,MOD(SIN(Seed*0.5917+C563*39.3468+D563*11.135)*24634.6345,1),"")</f>
        <v/>
      </c>
      <c r="H563">
        <f>IF(B563,SQRT(-2*LN(F563))*COS(2*PI()*G563),"")</f>
        <v/>
      </c>
      <c r="I563">
        <f>IF(B563,IF(D563=0,H563,Rho*I562+SQRT(1-Rho^2)*H563),"")</f>
        <v/>
      </c>
      <c r="J563">
        <f>IF(B563,IF(Dist="Normal",DistA+DistB*I563,DistA+(DistB-DistA)*NORMSDIST(I563)),"")</f>
        <v/>
      </c>
      <c r="K563">
        <f>IF(B563,INDEX(MineScale,C563),"")</f>
        <v/>
      </c>
      <c r="L563">
        <f>IF(B563,INDEX(Dow,1,WEEKDAY(E563,2)),"")</f>
        <v/>
      </c>
      <c r="M563">
        <f>IF(B563,(1+Trend)^D563,"")</f>
        <v/>
      </c>
      <c r="N563">
        <f>IF(B563,EXP(SUMPRODUCT(LN(1+(EvEff-1)*INDEX(Affected,0,C563)*EXP(-((E563-EvCenter)^2)/(2*EvSigma^2))))),"")</f>
        <v/>
      </c>
      <c r="O563">
        <f>IF(B563,ROUND(MAX(0,J563*K563*L563*M563*N563),2),"")</f>
        <v/>
      </c>
    </row>
    <row r="564">
      <c r="A564" t="n">
        <v>563</v>
      </c>
      <c r="B564">
        <f>A564&lt;=MineCount*Days</f>
        <v/>
      </c>
      <c r="C564">
        <f>IF(B564,INT((A564-1)/Days)+1,"")</f>
        <v/>
      </c>
      <c r="D564">
        <f>IF(B564,MOD(A564-1,Days),"")</f>
        <v/>
      </c>
      <c r="E564" s="16">
        <f>IF(B564,StartDate+D564,"")</f>
        <v/>
      </c>
      <c r="F564">
        <f>IF(B564,MAX(MOD(SIN(Seed*0.1373+C564*12.9898+D564*78.233)*43758.5453,1),1E-9),"")</f>
        <v/>
      </c>
      <c r="G564">
        <f>IF(B564,MOD(SIN(Seed*0.5917+C564*39.3468+D564*11.135)*24634.6345,1),"")</f>
        <v/>
      </c>
      <c r="H564">
        <f>IF(B564,SQRT(-2*LN(F564))*COS(2*PI()*G564),"")</f>
        <v/>
      </c>
      <c r="I564">
        <f>IF(B564,IF(D564=0,H564,Rho*I563+SQRT(1-Rho^2)*H564),"")</f>
        <v/>
      </c>
      <c r="J564">
        <f>IF(B564,IF(Dist="Normal",DistA+DistB*I564,DistA+(DistB-DistA)*NORMSDIST(I564)),"")</f>
        <v/>
      </c>
      <c r="K564">
        <f>IF(B564,INDEX(MineScale,C564),"")</f>
        <v/>
      </c>
      <c r="L564">
        <f>IF(B564,INDEX(Dow,1,WEEKDAY(E564,2)),"")</f>
        <v/>
      </c>
      <c r="M564">
        <f>IF(B564,(1+Trend)^D564,"")</f>
        <v/>
      </c>
      <c r="N564">
        <f>IF(B564,EXP(SUMPRODUCT(LN(1+(EvEff-1)*INDEX(Affected,0,C564)*EXP(-((E564-EvCenter)^2)/(2*EvSigma^2))))),"")</f>
        <v/>
      </c>
      <c r="O564">
        <f>IF(B564,ROUND(MAX(0,J564*K564*L564*M564*N564),2),"")</f>
        <v/>
      </c>
    </row>
    <row r="565">
      <c r="A565" t="n">
        <v>564</v>
      </c>
      <c r="B565">
        <f>A565&lt;=MineCount*Days</f>
        <v/>
      </c>
      <c r="C565">
        <f>IF(B565,INT((A565-1)/Days)+1,"")</f>
        <v/>
      </c>
      <c r="D565">
        <f>IF(B565,MOD(A565-1,Days),"")</f>
        <v/>
      </c>
      <c r="E565" s="16">
        <f>IF(B565,StartDate+D565,"")</f>
        <v/>
      </c>
      <c r="F565">
        <f>IF(B565,MAX(MOD(SIN(Seed*0.1373+C565*12.9898+D565*78.233)*43758.5453,1),1E-9),"")</f>
        <v/>
      </c>
      <c r="G565">
        <f>IF(B565,MOD(SIN(Seed*0.5917+C565*39.3468+D565*11.135)*24634.6345,1),"")</f>
        <v/>
      </c>
      <c r="H565">
        <f>IF(B565,SQRT(-2*LN(F565))*COS(2*PI()*G565),"")</f>
        <v/>
      </c>
      <c r="I565">
        <f>IF(B565,IF(D565=0,H565,Rho*I564+SQRT(1-Rho^2)*H565),"")</f>
        <v/>
      </c>
      <c r="J565">
        <f>IF(B565,IF(Dist="Normal",DistA+DistB*I565,DistA+(DistB-DistA)*NORMSDIST(I565)),"")</f>
        <v/>
      </c>
      <c r="K565">
        <f>IF(B565,INDEX(MineScale,C565),"")</f>
        <v/>
      </c>
      <c r="L565">
        <f>IF(B565,INDEX(Dow,1,WEEKDAY(E565,2)),"")</f>
        <v/>
      </c>
      <c r="M565">
        <f>IF(B565,(1+Trend)^D565,"")</f>
        <v/>
      </c>
      <c r="N565">
        <f>IF(B565,EXP(SUMPRODUCT(LN(1+(EvEff-1)*INDEX(Affected,0,C565)*EXP(-((E565-EvCenter)^2)/(2*EvSigma^2))))),"")</f>
        <v/>
      </c>
      <c r="O565">
        <f>IF(B565,ROUND(MAX(0,J565*K565*L565*M565*N565),2),"")</f>
        <v/>
      </c>
    </row>
    <row r="566">
      <c r="A566" t="n">
        <v>565</v>
      </c>
      <c r="B566">
        <f>A566&lt;=MineCount*Days</f>
        <v/>
      </c>
      <c r="C566">
        <f>IF(B566,INT((A566-1)/Days)+1,"")</f>
        <v/>
      </c>
      <c r="D566">
        <f>IF(B566,MOD(A566-1,Days),"")</f>
        <v/>
      </c>
      <c r="E566" s="16">
        <f>IF(B566,StartDate+D566,"")</f>
        <v/>
      </c>
      <c r="F566">
        <f>IF(B566,MAX(MOD(SIN(Seed*0.1373+C566*12.9898+D566*78.233)*43758.5453,1),1E-9),"")</f>
        <v/>
      </c>
      <c r="G566">
        <f>IF(B566,MOD(SIN(Seed*0.5917+C566*39.3468+D566*11.135)*24634.6345,1),"")</f>
        <v/>
      </c>
      <c r="H566">
        <f>IF(B566,SQRT(-2*LN(F566))*COS(2*PI()*G566),"")</f>
        <v/>
      </c>
      <c r="I566">
        <f>IF(B566,IF(D566=0,H566,Rho*I565+SQRT(1-Rho^2)*H566),"")</f>
        <v/>
      </c>
      <c r="J566">
        <f>IF(B566,IF(Dist="Normal",DistA+DistB*I566,DistA+(DistB-DistA)*NORMSDIST(I566)),"")</f>
        <v/>
      </c>
      <c r="K566">
        <f>IF(B566,INDEX(MineScale,C566),"")</f>
        <v/>
      </c>
      <c r="L566">
        <f>IF(B566,INDEX(Dow,1,WEEKDAY(E566,2)),"")</f>
        <v/>
      </c>
      <c r="M566">
        <f>IF(B566,(1+Trend)^D566,"")</f>
        <v/>
      </c>
      <c r="N566">
        <f>IF(B566,EXP(SUMPRODUCT(LN(1+(EvEff-1)*INDEX(Affected,0,C566)*EXP(-((E566-EvCenter)^2)/(2*EvSigma^2))))),"")</f>
        <v/>
      </c>
      <c r="O566">
        <f>IF(B566,ROUND(MAX(0,J566*K566*L566*M566*N566),2),"")</f>
        <v/>
      </c>
    </row>
    <row r="567">
      <c r="A567" t="n">
        <v>566</v>
      </c>
      <c r="B567">
        <f>A567&lt;=MineCount*Days</f>
        <v/>
      </c>
      <c r="C567">
        <f>IF(B567,INT((A567-1)/Days)+1,"")</f>
        <v/>
      </c>
      <c r="D567">
        <f>IF(B567,MOD(A567-1,Days),"")</f>
        <v/>
      </c>
      <c r="E567" s="16">
        <f>IF(B567,StartDate+D567,"")</f>
        <v/>
      </c>
      <c r="F567">
        <f>IF(B567,MAX(MOD(SIN(Seed*0.1373+C567*12.9898+D567*78.233)*43758.5453,1),1E-9),"")</f>
        <v/>
      </c>
      <c r="G567">
        <f>IF(B567,MOD(SIN(Seed*0.5917+C567*39.3468+D567*11.135)*24634.6345,1),"")</f>
        <v/>
      </c>
      <c r="H567">
        <f>IF(B567,SQRT(-2*LN(F567))*COS(2*PI()*G567),"")</f>
        <v/>
      </c>
      <c r="I567">
        <f>IF(B567,IF(D567=0,H567,Rho*I566+SQRT(1-Rho^2)*H567),"")</f>
        <v/>
      </c>
      <c r="J567">
        <f>IF(B567,IF(Dist="Normal",DistA+DistB*I567,DistA+(DistB-DistA)*NORMSDIST(I567)),"")</f>
        <v/>
      </c>
      <c r="K567">
        <f>IF(B567,INDEX(MineScale,C567),"")</f>
        <v/>
      </c>
      <c r="L567">
        <f>IF(B567,INDEX(Dow,1,WEEKDAY(E567,2)),"")</f>
        <v/>
      </c>
      <c r="M567">
        <f>IF(B567,(1+Trend)^D567,"")</f>
        <v/>
      </c>
      <c r="N567">
        <f>IF(B567,EXP(SUMPRODUCT(LN(1+(EvEff-1)*INDEX(Affected,0,C567)*EXP(-((E567-EvCenter)^2)/(2*EvSigma^2))))),"")</f>
        <v/>
      </c>
      <c r="O567">
        <f>IF(B567,ROUND(MAX(0,J567*K567*L567*M567*N567),2),"")</f>
        <v/>
      </c>
    </row>
    <row r="568">
      <c r="A568" t="n">
        <v>567</v>
      </c>
      <c r="B568">
        <f>A568&lt;=MineCount*Days</f>
        <v/>
      </c>
      <c r="C568">
        <f>IF(B568,INT((A568-1)/Days)+1,"")</f>
        <v/>
      </c>
      <c r="D568">
        <f>IF(B568,MOD(A568-1,Days),"")</f>
        <v/>
      </c>
      <c r="E568" s="16">
        <f>IF(B568,StartDate+D568,"")</f>
        <v/>
      </c>
      <c r="F568">
        <f>IF(B568,MAX(MOD(SIN(Seed*0.1373+C568*12.9898+D568*78.233)*43758.5453,1),1E-9),"")</f>
        <v/>
      </c>
      <c r="G568">
        <f>IF(B568,MOD(SIN(Seed*0.5917+C568*39.3468+D568*11.135)*24634.6345,1),"")</f>
        <v/>
      </c>
      <c r="H568">
        <f>IF(B568,SQRT(-2*LN(F568))*COS(2*PI()*G568),"")</f>
        <v/>
      </c>
      <c r="I568">
        <f>IF(B568,IF(D568=0,H568,Rho*I567+SQRT(1-Rho^2)*H568),"")</f>
        <v/>
      </c>
      <c r="J568">
        <f>IF(B568,IF(Dist="Normal",DistA+DistB*I568,DistA+(DistB-DistA)*NORMSDIST(I568)),"")</f>
        <v/>
      </c>
      <c r="K568">
        <f>IF(B568,INDEX(MineScale,C568),"")</f>
        <v/>
      </c>
      <c r="L568">
        <f>IF(B568,INDEX(Dow,1,WEEKDAY(E568,2)),"")</f>
        <v/>
      </c>
      <c r="M568">
        <f>IF(B568,(1+Trend)^D568,"")</f>
        <v/>
      </c>
      <c r="N568">
        <f>IF(B568,EXP(SUMPRODUCT(LN(1+(EvEff-1)*INDEX(Affected,0,C568)*EXP(-((E568-EvCenter)^2)/(2*EvSigma^2))))),"")</f>
        <v/>
      </c>
      <c r="O568">
        <f>IF(B568,ROUND(MAX(0,J568*K568*L568*M568*N568),2),"")</f>
        <v/>
      </c>
    </row>
    <row r="569">
      <c r="A569" t="n">
        <v>568</v>
      </c>
      <c r="B569">
        <f>A569&lt;=MineCount*Days</f>
        <v/>
      </c>
      <c r="C569">
        <f>IF(B569,INT((A569-1)/Days)+1,"")</f>
        <v/>
      </c>
      <c r="D569">
        <f>IF(B569,MOD(A569-1,Days),"")</f>
        <v/>
      </c>
      <c r="E569" s="16">
        <f>IF(B569,StartDate+D569,"")</f>
        <v/>
      </c>
      <c r="F569">
        <f>IF(B569,MAX(MOD(SIN(Seed*0.1373+C569*12.9898+D569*78.233)*43758.5453,1),1E-9),"")</f>
        <v/>
      </c>
      <c r="G569">
        <f>IF(B569,MOD(SIN(Seed*0.5917+C569*39.3468+D569*11.135)*24634.6345,1),"")</f>
        <v/>
      </c>
      <c r="H569">
        <f>IF(B569,SQRT(-2*LN(F569))*COS(2*PI()*G569),"")</f>
        <v/>
      </c>
      <c r="I569">
        <f>IF(B569,IF(D569=0,H569,Rho*I568+SQRT(1-Rho^2)*H569),"")</f>
        <v/>
      </c>
      <c r="J569">
        <f>IF(B569,IF(Dist="Normal",DistA+DistB*I569,DistA+(DistB-DistA)*NORMSDIST(I569)),"")</f>
        <v/>
      </c>
      <c r="K569">
        <f>IF(B569,INDEX(MineScale,C569),"")</f>
        <v/>
      </c>
      <c r="L569">
        <f>IF(B569,INDEX(Dow,1,WEEKDAY(E569,2)),"")</f>
        <v/>
      </c>
      <c r="M569">
        <f>IF(B569,(1+Trend)^D569,"")</f>
        <v/>
      </c>
      <c r="N569">
        <f>IF(B569,EXP(SUMPRODUCT(LN(1+(EvEff-1)*INDEX(Affected,0,C569)*EXP(-((E569-EvCenter)^2)/(2*EvSigma^2))))),"")</f>
        <v/>
      </c>
      <c r="O569">
        <f>IF(B569,ROUND(MAX(0,J569*K569*L569*M569*N569),2),"")</f>
        <v/>
      </c>
    </row>
    <row r="570">
      <c r="A570" t="n">
        <v>569</v>
      </c>
      <c r="B570">
        <f>A570&lt;=MineCount*Days</f>
        <v/>
      </c>
      <c r="C570">
        <f>IF(B570,INT((A570-1)/Days)+1,"")</f>
        <v/>
      </c>
      <c r="D570">
        <f>IF(B570,MOD(A570-1,Days),"")</f>
        <v/>
      </c>
      <c r="E570" s="16">
        <f>IF(B570,StartDate+D570,"")</f>
        <v/>
      </c>
      <c r="F570">
        <f>IF(B570,MAX(MOD(SIN(Seed*0.1373+C570*12.9898+D570*78.233)*43758.5453,1),1E-9),"")</f>
        <v/>
      </c>
      <c r="G570">
        <f>IF(B570,MOD(SIN(Seed*0.5917+C570*39.3468+D570*11.135)*24634.6345,1),"")</f>
        <v/>
      </c>
      <c r="H570">
        <f>IF(B570,SQRT(-2*LN(F570))*COS(2*PI()*G570),"")</f>
        <v/>
      </c>
      <c r="I570">
        <f>IF(B570,IF(D570=0,H570,Rho*I569+SQRT(1-Rho^2)*H570),"")</f>
        <v/>
      </c>
      <c r="J570">
        <f>IF(B570,IF(Dist="Normal",DistA+DistB*I570,DistA+(DistB-DistA)*NORMSDIST(I570)),"")</f>
        <v/>
      </c>
      <c r="K570">
        <f>IF(B570,INDEX(MineScale,C570),"")</f>
        <v/>
      </c>
      <c r="L570">
        <f>IF(B570,INDEX(Dow,1,WEEKDAY(E570,2)),"")</f>
        <v/>
      </c>
      <c r="M570">
        <f>IF(B570,(1+Trend)^D570,"")</f>
        <v/>
      </c>
      <c r="N570">
        <f>IF(B570,EXP(SUMPRODUCT(LN(1+(EvEff-1)*INDEX(Affected,0,C570)*EXP(-((E570-EvCenter)^2)/(2*EvSigma^2))))),"")</f>
        <v/>
      </c>
      <c r="O570">
        <f>IF(B570,ROUND(MAX(0,J570*K570*L570*M570*N570),2),"")</f>
        <v/>
      </c>
    </row>
    <row r="571">
      <c r="A571" t="n">
        <v>570</v>
      </c>
      <c r="B571">
        <f>A571&lt;=MineCount*Days</f>
        <v/>
      </c>
      <c r="C571">
        <f>IF(B571,INT((A571-1)/Days)+1,"")</f>
        <v/>
      </c>
      <c r="D571">
        <f>IF(B571,MOD(A571-1,Days),"")</f>
        <v/>
      </c>
      <c r="E571" s="16">
        <f>IF(B571,StartDate+D571,"")</f>
        <v/>
      </c>
      <c r="F571">
        <f>IF(B571,MAX(MOD(SIN(Seed*0.1373+C571*12.9898+D571*78.233)*43758.5453,1),1E-9),"")</f>
        <v/>
      </c>
      <c r="G571">
        <f>IF(B571,MOD(SIN(Seed*0.5917+C571*39.3468+D571*11.135)*24634.6345,1),"")</f>
        <v/>
      </c>
      <c r="H571">
        <f>IF(B571,SQRT(-2*LN(F571))*COS(2*PI()*G571),"")</f>
        <v/>
      </c>
      <c r="I571">
        <f>IF(B571,IF(D571=0,H571,Rho*I570+SQRT(1-Rho^2)*H571),"")</f>
        <v/>
      </c>
      <c r="J571">
        <f>IF(B571,IF(Dist="Normal",DistA+DistB*I571,DistA+(DistB-DistA)*NORMSDIST(I571)),"")</f>
        <v/>
      </c>
      <c r="K571">
        <f>IF(B571,INDEX(MineScale,C571),"")</f>
        <v/>
      </c>
      <c r="L571">
        <f>IF(B571,INDEX(Dow,1,WEEKDAY(E571,2)),"")</f>
        <v/>
      </c>
      <c r="M571">
        <f>IF(B571,(1+Trend)^D571,"")</f>
        <v/>
      </c>
      <c r="N571">
        <f>IF(B571,EXP(SUMPRODUCT(LN(1+(EvEff-1)*INDEX(Affected,0,C571)*EXP(-((E571-EvCenter)^2)/(2*EvSigma^2))))),"")</f>
        <v/>
      </c>
      <c r="O571">
        <f>IF(B571,ROUND(MAX(0,J571*K571*L571*M571*N571),2),"")</f>
        <v/>
      </c>
    </row>
    <row r="572">
      <c r="A572" t="n">
        <v>571</v>
      </c>
      <c r="B572">
        <f>A572&lt;=MineCount*Days</f>
        <v/>
      </c>
      <c r="C572">
        <f>IF(B572,INT((A572-1)/Days)+1,"")</f>
        <v/>
      </c>
      <c r="D572">
        <f>IF(B572,MOD(A572-1,Days),"")</f>
        <v/>
      </c>
      <c r="E572" s="16">
        <f>IF(B572,StartDate+D572,"")</f>
        <v/>
      </c>
      <c r="F572">
        <f>IF(B572,MAX(MOD(SIN(Seed*0.1373+C572*12.9898+D572*78.233)*43758.5453,1),1E-9),"")</f>
        <v/>
      </c>
      <c r="G572">
        <f>IF(B572,MOD(SIN(Seed*0.5917+C572*39.3468+D572*11.135)*24634.6345,1),"")</f>
        <v/>
      </c>
      <c r="H572">
        <f>IF(B572,SQRT(-2*LN(F572))*COS(2*PI()*G572),"")</f>
        <v/>
      </c>
      <c r="I572">
        <f>IF(B572,IF(D572=0,H572,Rho*I571+SQRT(1-Rho^2)*H572),"")</f>
        <v/>
      </c>
      <c r="J572">
        <f>IF(B572,IF(Dist="Normal",DistA+DistB*I572,DistA+(DistB-DistA)*NORMSDIST(I572)),"")</f>
        <v/>
      </c>
      <c r="K572">
        <f>IF(B572,INDEX(MineScale,C572),"")</f>
        <v/>
      </c>
      <c r="L572">
        <f>IF(B572,INDEX(Dow,1,WEEKDAY(E572,2)),"")</f>
        <v/>
      </c>
      <c r="M572">
        <f>IF(B572,(1+Trend)^D572,"")</f>
        <v/>
      </c>
      <c r="N572">
        <f>IF(B572,EXP(SUMPRODUCT(LN(1+(EvEff-1)*INDEX(Affected,0,C572)*EXP(-((E572-EvCenter)^2)/(2*EvSigma^2))))),"")</f>
        <v/>
      </c>
      <c r="O572">
        <f>IF(B572,ROUND(MAX(0,J572*K572*L572*M572*N572),2),"")</f>
        <v/>
      </c>
    </row>
    <row r="573">
      <c r="A573" t="n">
        <v>572</v>
      </c>
      <c r="B573">
        <f>A573&lt;=MineCount*Days</f>
        <v/>
      </c>
      <c r="C573">
        <f>IF(B573,INT((A573-1)/Days)+1,"")</f>
        <v/>
      </c>
      <c r="D573">
        <f>IF(B573,MOD(A573-1,Days),"")</f>
        <v/>
      </c>
      <c r="E573" s="16">
        <f>IF(B573,StartDate+D573,"")</f>
        <v/>
      </c>
      <c r="F573">
        <f>IF(B573,MAX(MOD(SIN(Seed*0.1373+C573*12.9898+D573*78.233)*43758.5453,1),1E-9),"")</f>
        <v/>
      </c>
      <c r="G573">
        <f>IF(B573,MOD(SIN(Seed*0.5917+C573*39.3468+D573*11.135)*24634.6345,1),"")</f>
        <v/>
      </c>
      <c r="H573">
        <f>IF(B573,SQRT(-2*LN(F573))*COS(2*PI()*G573),"")</f>
        <v/>
      </c>
      <c r="I573">
        <f>IF(B573,IF(D573=0,H573,Rho*I572+SQRT(1-Rho^2)*H573),"")</f>
        <v/>
      </c>
      <c r="J573">
        <f>IF(B573,IF(Dist="Normal",DistA+DistB*I573,DistA+(DistB-DistA)*NORMSDIST(I573)),"")</f>
        <v/>
      </c>
      <c r="K573">
        <f>IF(B573,INDEX(MineScale,C573),"")</f>
        <v/>
      </c>
      <c r="L573">
        <f>IF(B573,INDEX(Dow,1,WEEKDAY(E573,2)),"")</f>
        <v/>
      </c>
      <c r="M573">
        <f>IF(B573,(1+Trend)^D573,"")</f>
        <v/>
      </c>
      <c r="N573">
        <f>IF(B573,EXP(SUMPRODUCT(LN(1+(EvEff-1)*INDEX(Affected,0,C573)*EXP(-((E573-EvCenter)^2)/(2*EvSigma^2))))),"")</f>
        <v/>
      </c>
      <c r="O573">
        <f>IF(B573,ROUND(MAX(0,J573*K573*L573*M573*N573),2),"")</f>
        <v/>
      </c>
    </row>
    <row r="574">
      <c r="A574" t="n">
        <v>573</v>
      </c>
      <c r="B574">
        <f>A574&lt;=MineCount*Days</f>
        <v/>
      </c>
      <c r="C574">
        <f>IF(B574,INT((A574-1)/Days)+1,"")</f>
        <v/>
      </c>
      <c r="D574">
        <f>IF(B574,MOD(A574-1,Days),"")</f>
        <v/>
      </c>
      <c r="E574" s="16">
        <f>IF(B574,StartDate+D574,"")</f>
        <v/>
      </c>
      <c r="F574">
        <f>IF(B574,MAX(MOD(SIN(Seed*0.1373+C574*12.9898+D574*78.233)*43758.5453,1),1E-9),"")</f>
        <v/>
      </c>
      <c r="G574">
        <f>IF(B574,MOD(SIN(Seed*0.5917+C574*39.3468+D574*11.135)*24634.6345,1),"")</f>
        <v/>
      </c>
      <c r="H574">
        <f>IF(B574,SQRT(-2*LN(F574))*COS(2*PI()*G574),"")</f>
        <v/>
      </c>
      <c r="I574">
        <f>IF(B574,IF(D574=0,H574,Rho*I573+SQRT(1-Rho^2)*H574),"")</f>
        <v/>
      </c>
      <c r="J574">
        <f>IF(B574,IF(Dist="Normal",DistA+DistB*I574,DistA+(DistB-DistA)*NORMSDIST(I574)),"")</f>
        <v/>
      </c>
      <c r="K574">
        <f>IF(B574,INDEX(MineScale,C574),"")</f>
        <v/>
      </c>
      <c r="L574">
        <f>IF(B574,INDEX(Dow,1,WEEKDAY(E574,2)),"")</f>
        <v/>
      </c>
      <c r="M574">
        <f>IF(B574,(1+Trend)^D574,"")</f>
        <v/>
      </c>
      <c r="N574">
        <f>IF(B574,EXP(SUMPRODUCT(LN(1+(EvEff-1)*INDEX(Affected,0,C574)*EXP(-((E574-EvCenter)^2)/(2*EvSigma^2))))),"")</f>
        <v/>
      </c>
      <c r="O574">
        <f>IF(B574,ROUND(MAX(0,J574*K574*L574*M574*N574),2),"")</f>
        <v/>
      </c>
    </row>
    <row r="575">
      <c r="A575" t="n">
        <v>574</v>
      </c>
      <c r="B575">
        <f>A575&lt;=MineCount*Days</f>
        <v/>
      </c>
      <c r="C575">
        <f>IF(B575,INT((A575-1)/Days)+1,"")</f>
        <v/>
      </c>
      <c r="D575">
        <f>IF(B575,MOD(A575-1,Days),"")</f>
        <v/>
      </c>
      <c r="E575" s="16">
        <f>IF(B575,StartDate+D575,"")</f>
        <v/>
      </c>
      <c r="F575">
        <f>IF(B575,MAX(MOD(SIN(Seed*0.1373+C575*12.9898+D575*78.233)*43758.5453,1),1E-9),"")</f>
        <v/>
      </c>
      <c r="G575">
        <f>IF(B575,MOD(SIN(Seed*0.5917+C575*39.3468+D575*11.135)*24634.6345,1),"")</f>
        <v/>
      </c>
      <c r="H575">
        <f>IF(B575,SQRT(-2*LN(F575))*COS(2*PI()*G575),"")</f>
        <v/>
      </c>
      <c r="I575">
        <f>IF(B575,IF(D575=0,H575,Rho*I574+SQRT(1-Rho^2)*H575),"")</f>
        <v/>
      </c>
      <c r="J575">
        <f>IF(B575,IF(Dist="Normal",DistA+DistB*I575,DistA+(DistB-DistA)*NORMSDIST(I575)),"")</f>
        <v/>
      </c>
      <c r="K575">
        <f>IF(B575,INDEX(MineScale,C575),"")</f>
        <v/>
      </c>
      <c r="L575">
        <f>IF(B575,INDEX(Dow,1,WEEKDAY(E575,2)),"")</f>
        <v/>
      </c>
      <c r="M575">
        <f>IF(B575,(1+Trend)^D575,"")</f>
        <v/>
      </c>
      <c r="N575">
        <f>IF(B575,EXP(SUMPRODUCT(LN(1+(EvEff-1)*INDEX(Affected,0,C575)*EXP(-((E575-EvCenter)^2)/(2*EvSigma^2))))),"")</f>
        <v/>
      </c>
      <c r="O575">
        <f>IF(B575,ROUND(MAX(0,J575*K575*L575*M575*N575),2),"")</f>
        <v/>
      </c>
    </row>
    <row r="576">
      <c r="A576" t="n">
        <v>575</v>
      </c>
      <c r="B576">
        <f>A576&lt;=MineCount*Days</f>
        <v/>
      </c>
      <c r="C576">
        <f>IF(B576,INT((A576-1)/Days)+1,"")</f>
        <v/>
      </c>
      <c r="D576">
        <f>IF(B576,MOD(A576-1,Days),"")</f>
        <v/>
      </c>
      <c r="E576" s="16">
        <f>IF(B576,StartDate+D576,"")</f>
        <v/>
      </c>
      <c r="F576">
        <f>IF(B576,MAX(MOD(SIN(Seed*0.1373+C576*12.9898+D576*78.233)*43758.5453,1),1E-9),"")</f>
        <v/>
      </c>
      <c r="G576">
        <f>IF(B576,MOD(SIN(Seed*0.5917+C576*39.3468+D576*11.135)*24634.6345,1),"")</f>
        <v/>
      </c>
      <c r="H576">
        <f>IF(B576,SQRT(-2*LN(F576))*COS(2*PI()*G576),"")</f>
        <v/>
      </c>
      <c r="I576">
        <f>IF(B576,IF(D576=0,H576,Rho*I575+SQRT(1-Rho^2)*H576),"")</f>
        <v/>
      </c>
      <c r="J576">
        <f>IF(B576,IF(Dist="Normal",DistA+DistB*I576,DistA+(DistB-DistA)*NORMSDIST(I576)),"")</f>
        <v/>
      </c>
      <c r="K576">
        <f>IF(B576,INDEX(MineScale,C576),"")</f>
        <v/>
      </c>
      <c r="L576">
        <f>IF(B576,INDEX(Dow,1,WEEKDAY(E576,2)),"")</f>
        <v/>
      </c>
      <c r="M576">
        <f>IF(B576,(1+Trend)^D576,"")</f>
        <v/>
      </c>
      <c r="N576">
        <f>IF(B576,EXP(SUMPRODUCT(LN(1+(EvEff-1)*INDEX(Affected,0,C576)*EXP(-((E576-EvCenter)^2)/(2*EvSigma^2))))),"")</f>
        <v/>
      </c>
      <c r="O576">
        <f>IF(B576,ROUND(MAX(0,J576*K576*L576*M576*N576),2),"")</f>
        <v/>
      </c>
    </row>
    <row r="577">
      <c r="A577" t="n">
        <v>576</v>
      </c>
      <c r="B577">
        <f>A577&lt;=MineCount*Days</f>
        <v/>
      </c>
      <c r="C577">
        <f>IF(B577,INT((A577-1)/Days)+1,"")</f>
        <v/>
      </c>
      <c r="D577">
        <f>IF(B577,MOD(A577-1,Days),"")</f>
        <v/>
      </c>
      <c r="E577" s="16">
        <f>IF(B577,StartDate+D577,"")</f>
        <v/>
      </c>
      <c r="F577">
        <f>IF(B577,MAX(MOD(SIN(Seed*0.1373+C577*12.9898+D577*78.233)*43758.5453,1),1E-9),"")</f>
        <v/>
      </c>
      <c r="G577">
        <f>IF(B577,MOD(SIN(Seed*0.5917+C577*39.3468+D577*11.135)*24634.6345,1),"")</f>
        <v/>
      </c>
      <c r="H577">
        <f>IF(B577,SQRT(-2*LN(F577))*COS(2*PI()*G577),"")</f>
        <v/>
      </c>
      <c r="I577">
        <f>IF(B577,IF(D577=0,H577,Rho*I576+SQRT(1-Rho^2)*H577),"")</f>
        <v/>
      </c>
      <c r="J577">
        <f>IF(B577,IF(Dist="Normal",DistA+DistB*I577,DistA+(DistB-DistA)*NORMSDIST(I577)),"")</f>
        <v/>
      </c>
      <c r="K577">
        <f>IF(B577,INDEX(MineScale,C577),"")</f>
        <v/>
      </c>
      <c r="L577">
        <f>IF(B577,INDEX(Dow,1,WEEKDAY(E577,2)),"")</f>
        <v/>
      </c>
      <c r="M577">
        <f>IF(B577,(1+Trend)^D577,"")</f>
        <v/>
      </c>
      <c r="N577">
        <f>IF(B577,EXP(SUMPRODUCT(LN(1+(EvEff-1)*INDEX(Affected,0,C577)*EXP(-((E577-EvCenter)^2)/(2*EvSigma^2))))),"")</f>
        <v/>
      </c>
      <c r="O577">
        <f>IF(B577,ROUND(MAX(0,J577*K577*L577*M577*N577),2),"")</f>
        <v/>
      </c>
    </row>
    <row r="578">
      <c r="A578" t="n">
        <v>577</v>
      </c>
      <c r="B578">
        <f>A578&lt;=MineCount*Days</f>
        <v/>
      </c>
      <c r="C578">
        <f>IF(B578,INT((A578-1)/Days)+1,"")</f>
        <v/>
      </c>
      <c r="D578">
        <f>IF(B578,MOD(A578-1,Days),"")</f>
        <v/>
      </c>
      <c r="E578" s="16">
        <f>IF(B578,StartDate+D578,"")</f>
        <v/>
      </c>
      <c r="F578">
        <f>IF(B578,MAX(MOD(SIN(Seed*0.1373+C578*12.9898+D578*78.233)*43758.5453,1),1E-9),"")</f>
        <v/>
      </c>
      <c r="G578">
        <f>IF(B578,MOD(SIN(Seed*0.5917+C578*39.3468+D578*11.135)*24634.6345,1),"")</f>
        <v/>
      </c>
      <c r="H578">
        <f>IF(B578,SQRT(-2*LN(F578))*COS(2*PI()*G578),"")</f>
        <v/>
      </c>
      <c r="I578">
        <f>IF(B578,IF(D578=0,H578,Rho*I577+SQRT(1-Rho^2)*H578),"")</f>
        <v/>
      </c>
      <c r="J578">
        <f>IF(B578,IF(Dist="Normal",DistA+DistB*I578,DistA+(DistB-DistA)*NORMSDIST(I578)),"")</f>
        <v/>
      </c>
      <c r="K578">
        <f>IF(B578,INDEX(MineScale,C578),"")</f>
        <v/>
      </c>
      <c r="L578">
        <f>IF(B578,INDEX(Dow,1,WEEKDAY(E578,2)),"")</f>
        <v/>
      </c>
      <c r="M578">
        <f>IF(B578,(1+Trend)^D578,"")</f>
        <v/>
      </c>
      <c r="N578">
        <f>IF(B578,EXP(SUMPRODUCT(LN(1+(EvEff-1)*INDEX(Affected,0,C578)*EXP(-((E578-EvCenter)^2)/(2*EvSigma^2))))),"")</f>
        <v/>
      </c>
      <c r="O578">
        <f>IF(B578,ROUND(MAX(0,J578*K578*L578*M578*N578),2),"")</f>
        <v/>
      </c>
    </row>
    <row r="579">
      <c r="A579" t="n">
        <v>578</v>
      </c>
      <c r="B579">
        <f>A579&lt;=MineCount*Days</f>
        <v/>
      </c>
      <c r="C579">
        <f>IF(B579,INT((A579-1)/Days)+1,"")</f>
        <v/>
      </c>
      <c r="D579">
        <f>IF(B579,MOD(A579-1,Days),"")</f>
        <v/>
      </c>
      <c r="E579" s="16">
        <f>IF(B579,StartDate+D579,"")</f>
        <v/>
      </c>
      <c r="F579">
        <f>IF(B579,MAX(MOD(SIN(Seed*0.1373+C579*12.9898+D579*78.233)*43758.5453,1),1E-9),"")</f>
        <v/>
      </c>
      <c r="G579">
        <f>IF(B579,MOD(SIN(Seed*0.5917+C579*39.3468+D579*11.135)*24634.6345,1),"")</f>
        <v/>
      </c>
      <c r="H579">
        <f>IF(B579,SQRT(-2*LN(F579))*COS(2*PI()*G579),"")</f>
        <v/>
      </c>
      <c r="I579">
        <f>IF(B579,IF(D579=0,H579,Rho*I578+SQRT(1-Rho^2)*H579),"")</f>
        <v/>
      </c>
      <c r="J579">
        <f>IF(B579,IF(Dist="Normal",DistA+DistB*I579,DistA+(DistB-DistA)*NORMSDIST(I579)),"")</f>
        <v/>
      </c>
      <c r="K579">
        <f>IF(B579,INDEX(MineScale,C579),"")</f>
        <v/>
      </c>
      <c r="L579">
        <f>IF(B579,INDEX(Dow,1,WEEKDAY(E579,2)),"")</f>
        <v/>
      </c>
      <c r="M579">
        <f>IF(B579,(1+Trend)^D579,"")</f>
        <v/>
      </c>
      <c r="N579">
        <f>IF(B579,EXP(SUMPRODUCT(LN(1+(EvEff-1)*INDEX(Affected,0,C579)*EXP(-((E579-EvCenter)^2)/(2*EvSigma^2))))),"")</f>
        <v/>
      </c>
      <c r="O579">
        <f>IF(B579,ROUND(MAX(0,J579*K579*L579*M579*N579),2),"")</f>
        <v/>
      </c>
    </row>
    <row r="580">
      <c r="A580" t="n">
        <v>579</v>
      </c>
      <c r="B580">
        <f>A580&lt;=MineCount*Days</f>
        <v/>
      </c>
      <c r="C580">
        <f>IF(B580,INT((A580-1)/Days)+1,"")</f>
        <v/>
      </c>
      <c r="D580">
        <f>IF(B580,MOD(A580-1,Days),"")</f>
        <v/>
      </c>
      <c r="E580" s="16">
        <f>IF(B580,StartDate+D580,"")</f>
        <v/>
      </c>
      <c r="F580">
        <f>IF(B580,MAX(MOD(SIN(Seed*0.1373+C580*12.9898+D580*78.233)*43758.5453,1),1E-9),"")</f>
        <v/>
      </c>
      <c r="G580">
        <f>IF(B580,MOD(SIN(Seed*0.5917+C580*39.3468+D580*11.135)*24634.6345,1),"")</f>
        <v/>
      </c>
      <c r="H580">
        <f>IF(B580,SQRT(-2*LN(F580))*COS(2*PI()*G580),"")</f>
        <v/>
      </c>
      <c r="I580">
        <f>IF(B580,IF(D580=0,H580,Rho*I579+SQRT(1-Rho^2)*H580),"")</f>
        <v/>
      </c>
      <c r="J580">
        <f>IF(B580,IF(Dist="Normal",DistA+DistB*I580,DistA+(DistB-DistA)*NORMSDIST(I580)),"")</f>
        <v/>
      </c>
      <c r="K580">
        <f>IF(B580,INDEX(MineScale,C580),"")</f>
        <v/>
      </c>
      <c r="L580">
        <f>IF(B580,INDEX(Dow,1,WEEKDAY(E580,2)),"")</f>
        <v/>
      </c>
      <c r="M580">
        <f>IF(B580,(1+Trend)^D580,"")</f>
        <v/>
      </c>
      <c r="N580">
        <f>IF(B580,EXP(SUMPRODUCT(LN(1+(EvEff-1)*INDEX(Affected,0,C580)*EXP(-((E580-EvCenter)^2)/(2*EvSigma^2))))),"")</f>
        <v/>
      </c>
      <c r="O580">
        <f>IF(B580,ROUND(MAX(0,J580*K580*L580*M580*N580),2),"")</f>
        <v/>
      </c>
    </row>
    <row r="581">
      <c r="A581" t="n">
        <v>580</v>
      </c>
      <c r="B581">
        <f>A581&lt;=MineCount*Days</f>
        <v/>
      </c>
      <c r="C581">
        <f>IF(B581,INT((A581-1)/Days)+1,"")</f>
        <v/>
      </c>
      <c r="D581">
        <f>IF(B581,MOD(A581-1,Days),"")</f>
        <v/>
      </c>
      <c r="E581" s="16">
        <f>IF(B581,StartDate+D581,"")</f>
        <v/>
      </c>
      <c r="F581">
        <f>IF(B581,MAX(MOD(SIN(Seed*0.1373+C581*12.9898+D581*78.233)*43758.5453,1),1E-9),"")</f>
        <v/>
      </c>
      <c r="G581">
        <f>IF(B581,MOD(SIN(Seed*0.5917+C581*39.3468+D581*11.135)*24634.6345,1),"")</f>
        <v/>
      </c>
      <c r="H581">
        <f>IF(B581,SQRT(-2*LN(F581))*COS(2*PI()*G581),"")</f>
        <v/>
      </c>
      <c r="I581">
        <f>IF(B581,IF(D581=0,H581,Rho*I580+SQRT(1-Rho^2)*H581),"")</f>
        <v/>
      </c>
      <c r="J581">
        <f>IF(B581,IF(Dist="Normal",DistA+DistB*I581,DistA+(DistB-DistA)*NORMSDIST(I581)),"")</f>
        <v/>
      </c>
      <c r="K581">
        <f>IF(B581,INDEX(MineScale,C581),"")</f>
        <v/>
      </c>
      <c r="L581">
        <f>IF(B581,INDEX(Dow,1,WEEKDAY(E581,2)),"")</f>
        <v/>
      </c>
      <c r="M581">
        <f>IF(B581,(1+Trend)^D581,"")</f>
        <v/>
      </c>
      <c r="N581">
        <f>IF(B581,EXP(SUMPRODUCT(LN(1+(EvEff-1)*INDEX(Affected,0,C581)*EXP(-((E581-EvCenter)^2)/(2*EvSigma^2))))),"")</f>
        <v/>
      </c>
      <c r="O581">
        <f>IF(B581,ROUND(MAX(0,J581*K581*L581*M581*N581),2),"")</f>
        <v/>
      </c>
    </row>
    <row r="582">
      <c r="A582" t="n">
        <v>581</v>
      </c>
      <c r="B582">
        <f>A582&lt;=MineCount*Days</f>
        <v/>
      </c>
      <c r="C582">
        <f>IF(B582,INT((A582-1)/Days)+1,"")</f>
        <v/>
      </c>
      <c r="D582">
        <f>IF(B582,MOD(A582-1,Days),"")</f>
        <v/>
      </c>
      <c r="E582" s="16">
        <f>IF(B582,StartDate+D582,"")</f>
        <v/>
      </c>
      <c r="F582">
        <f>IF(B582,MAX(MOD(SIN(Seed*0.1373+C582*12.9898+D582*78.233)*43758.5453,1),1E-9),"")</f>
        <v/>
      </c>
      <c r="G582">
        <f>IF(B582,MOD(SIN(Seed*0.5917+C582*39.3468+D582*11.135)*24634.6345,1),"")</f>
        <v/>
      </c>
      <c r="H582">
        <f>IF(B582,SQRT(-2*LN(F582))*COS(2*PI()*G582),"")</f>
        <v/>
      </c>
      <c r="I582">
        <f>IF(B582,IF(D582=0,H582,Rho*I581+SQRT(1-Rho^2)*H582),"")</f>
        <v/>
      </c>
      <c r="J582">
        <f>IF(B582,IF(Dist="Normal",DistA+DistB*I582,DistA+(DistB-DistA)*NORMSDIST(I582)),"")</f>
        <v/>
      </c>
      <c r="K582">
        <f>IF(B582,INDEX(MineScale,C582),"")</f>
        <v/>
      </c>
      <c r="L582">
        <f>IF(B582,INDEX(Dow,1,WEEKDAY(E582,2)),"")</f>
        <v/>
      </c>
      <c r="M582">
        <f>IF(B582,(1+Trend)^D582,"")</f>
        <v/>
      </c>
      <c r="N582">
        <f>IF(B582,EXP(SUMPRODUCT(LN(1+(EvEff-1)*INDEX(Affected,0,C582)*EXP(-((E582-EvCenter)^2)/(2*EvSigma^2))))),"")</f>
        <v/>
      </c>
      <c r="O582">
        <f>IF(B582,ROUND(MAX(0,J582*K582*L582*M582*N582),2),"")</f>
        <v/>
      </c>
    </row>
    <row r="583">
      <c r="A583" t="n">
        <v>582</v>
      </c>
      <c r="B583">
        <f>A583&lt;=MineCount*Days</f>
        <v/>
      </c>
      <c r="C583">
        <f>IF(B583,INT((A583-1)/Days)+1,"")</f>
        <v/>
      </c>
      <c r="D583">
        <f>IF(B583,MOD(A583-1,Days),"")</f>
        <v/>
      </c>
      <c r="E583" s="16">
        <f>IF(B583,StartDate+D583,"")</f>
        <v/>
      </c>
      <c r="F583">
        <f>IF(B583,MAX(MOD(SIN(Seed*0.1373+C583*12.9898+D583*78.233)*43758.5453,1),1E-9),"")</f>
        <v/>
      </c>
      <c r="G583">
        <f>IF(B583,MOD(SIN(Seed*0.5917+C583*39.3468+D583*11.135)*24634.6345,1),"")</f>
        <v/>
      </c>
      <c r="H583">
        <f>IF(B583,SQRT(-2*LN(F583))*COS(2*PI()*G583),"")</f>
        <v/>
      </c>
      <c r="I583">
        <f>IF(B583,IF(D583=0,H583,Rho*I582+SQRT(1-Rho^2)*H583),"")</f>
        <v/>
      </c>
      <c r="J583">
        <f>IF(B583,IF(Dist="Normal",DistA+DistB*I583,DistA+(DistB-DistA)*NORMSDIST(I583)),"")</f>
        <v/>
      </c>
      <c r="K583">
        <f>IF(B583,INDEX(MineScale,C583),"")</f>
        <v/>
      </c>
      <c r="L583">
        <f>IF(B583,INDEX(Dow,1,WEEKDAY(E583,2)),"")</f>
        <v/>
      </c>
      <c r="M583">
        <f>IF(B583,(1+Trend)^D583,"")</f>
        <v/>
      </c>
      <c r="N583">
        <f>IF(B583,EXP(SUMPRODUCT(LN(1+(EvEff-1)*INDEX(Affected,0,C583)*EXP(-((E583-EvCenter)^2)/(2*EvSigma^2))))),"")</f>
        <v/>
      </c>
      <c r="O583">
        <f>IF(B583,ROUND(MAX(0,J583*K583*L583*M583*N583),2),"")</f>
        <v/>
      </c>
    </row>
    <row r="584">
      <c r="A584" t="n">
        <v>583</v>
      </c>
      <c r="B584">
        <f>A584&lt;=MineCount*Days</f>
        <v/>
      </c>
      <c r="C584">
        <f>IF(B584,INT((A584-1)/Days)+1,"")</f>
        <v/>
      </c>
      <c r="D584">
        <f>IF(B584,MOD(A584-1,Days),"")</f>
        <v/>
      </c>
      <c r="E584" s="16">
        <f>IF(B584,StartDate+D584,"")</f>
        <v/>
      </c>
      <c r="F584">
        <f>IF(B584,MAX(MOD(SIN(Seed*0.1373+C584*12.9898+D584*78.233)*43758.5453,1),1E-9),"")</f>
        <v/>
      </c>
      <c r="G584">
        <f>IF(B584,MOD(SIN(Seed*0.5917+C584*39.3468+D584*11.135)*24634.6345,1),"")</f>
        <v/>
      </c>
      <c r="H584">
        <f>IF(B584,SQRT(-2*LN(F584))*COS(2*PI()*G584),"")</f>
        <v/>
      </c>
      <c r="I584">
        <f>IF(B584,IF(D584=0,H584,Rho*I583+SQRT(1-Rho^2)*H584),"")</f>
        <v/>
      </c>
      <c r="J584">
        <f>IF(B584,IF(Dist="Normal",DistA+DistB*I584,DistA+(DistB-DistA)*NORMSDIST(I584)),"")</f>
        <v/>
      </c>
      <c r="K584">
        <f>IF(B584,INDEX(MineScale,C584),"")</f>
        <v/>
      </c>
      <c r="L584">
        <f>IF(B584,INDEX(Dow,1,WEEKDAY(E584,2)),"")</f>
        <v/>
      </c>
      <c r="M584">
        <f>IF(B584,(1+Trend)^D584,"")</f>
        <v/>
      </c>
      <c r="N584">
        <f>IF(B584,EXP(SUMPRODUCT(LN(1+(EvEff-1)*INDEX(Affected,0,C584)*EXP(-((E584-EvCenter)^2)/(2*EvSigma^2))))),"")</f>
        <v/>
      </c>
      <c r="O584">
        <f>IF(B584,ROUND(MAX(0,J584*K584*L584*M584*N584),2),"")</f>
        <v/>
      </c>
    </row>
    <row r="585">
      <c r="A585" t="n">
        <v>584</v>
      </c>
      <c r="B585">
        <f>A585&lt;=MineCount*Days</f>
        <v/>
      </c>
      <c r="C585">
        <f>IF(B585,INT((A585-1)/Days)+1,"")</f>
        <v/>
      </c>
      <c r="D585">
        <f>IF(B585,MOD(A585-1,Days),"")</f>
        <v/>
      </c>
      <c r="E585" s="16">
        <f>IF(B585,StartDate+D585,"")</f>
        <v/>
      </c>
      <c r="F585">
        <f>IF(B585,MAX(MOD(SIN(Seed*0.1373+C585*12.9898+D585*78.233)*43758.5453,1),1E-9),"")</f>
        <v/>
      </c>
      <c r="G585">
        <f>IF(B585,MOD(SIN(Seed*0.5917+C585*39.3468+D585*11.135)*24634.6345,1),"")</f>
        <v/>
      </c>
      <c r="H585">
        <f>IF(B585,SQRT(-2*LN(F585))*COS(2*PI()*G585),"")</f>
        <v/>
      </c>
      <c r="I585">
        <f>IF(B585,IF(D585=0,H585,Rho*I584+SQRT(1-Rho^2)*H585),"")</f>
        <v/>
      </c>
      <c r="J585">
        <f>IF(B585,IF(Dist="Normal",DistA+DistB*I585,DistA+(DistB-DistA)*NORMSDIST(I585)),"")</f>
        <v/>
      </c>
      <c r="K585">
        <f>IF(B585,INDEX(MineScale,C585),"")</f>
        <v/>
      </c>
      <c r="L585">
        <f>IF(B585,INDEX(Dow,1,WEEKDAY(E585,2)),"")</f>
        <v/>
      </c>
      <c r="M585">
        <f>IF(B585,(1+Trend)^D585,"")</f>
        <v/>
      </c>
      <c r="N585">
        <f>IF(B585,EXP(SUMPRODUCT(LN(1+(EvEff-1)*INDEX(Affected,0,C585)*EXP(-((E585-EvCenter)^2)/(2*EvSigma^2))))),"")</f>
        <v/>
      </c>
      <c r="O585">
        <f>IF(B585,ROUND(MAX(0,J585*K585*L585*M585*N585),2),"")</f>
        <v/>
      </c>
    </row>
    <row r="586">
      <c r="A586" t="n">
        <v>585</v>
      </c>
      <c r="B586">
        <f>A586&lt;=MineCount*Days</f>
        <v/>
      </c>
      <c r="C586">
        <f>IF(B586,INT((A586-1)/Days)+1,"")</f>
        <v/>
      </c>
      <c r="D586">
        <f>IF(B586,MOD(A586-1,Days),"")</f>
        <v/>
      </c>
      <c r="E586" s="16">
        <f>IF(B586,StartDate+D586,"")</f>
        <v/>
      </c>
      <c r="F586">
        <f>IF(B586,MAX(MOD(SIN(Seed*0.1373+C586*12.9898+D586*78.233)*43758.5453,1),1E-9),"")</f>
        <v/>
      </c>
      <c r="G586">
        <f>IF(B586,MOD(SIN(Seed*0.5917+C586*39.3468+D586*11.135)*24634.6345,1),"")</f>
        <v/>
      </c>
      <c r="H586">
        <f>IF(B586,SQRT(-2*LN(F586))*COS(2*PI()*G586),"")</f>
        <v/>
      </c>
      <c r="I586">
        <f>IF(B586,IF(D586=0,H586,Rho*I585+SQRT(1-Rho^2)*H586),"")</f>
        <v/>
      </c>
      <c r="J586">
        <f>IF(B586,IF(Dist="Normal",DistA+DistB*I586,DistA+(DistB-DistA)*NORMSDIST(I586)),"")</f>
        <v/>
      </c>
      <c r="K586">
        <f>IF(B586,INDEX(MineScale,C586),"")</f>
        <v/>
      </c>
      <c r="L586">
        <f>IF(B586,INDEX(Dow,1,WEEKDAY(E586,2)),"")</f>
        <v/>
      </c>
      <c r="M586">
        <f>IF(B586,(1+Trend)^D586,"")</f>
        <v/>
      </c>
      <c r="N586">
        <f>IF(B586,EXP(SUMPRODUCT(LN(1+(EvEff-1)*INDEX(Affected,0,C586)*EXP(-((E586-EvCenter)^2)/(2*EvSigma^2))))),"")</f>
        <v/>
      </c>
      <c r="O586">
        <f>IF(B586,ROUND(MAX(0,J586*K586*L586*M586*N586),2),"")</f>
        <v/>
      </c>
    </row>
    <row r="587">
      <c r="A587" t="n">
        <v>586</v>
      </c>
      <c r="B587">
        <f>A587&lt;=MineCount*Days</f>
        <v/>
      </c>
      <c r="C587">
        <f>IF(B587,INT((A587-1)/Days)+1,"")</f>
        <v/>
      </c>
      <c r="D587">
        <f>IF(B587,MOD(A587-1,Days),"")</f>
        <v/>
      </c>
      <c r="E587" s="16">
        <f>IF(B587,StartDate+D587,"")</f>
        <v/>
      </c>
      <c r="F587">
        <f>IF(B587,MAX(MOD(SIN(Seed*0.1373+C587*12.9898+D587*78.233)*43758.5453,1),1E-9),"")</f>
        <v/>
      </c>
      <c r="G587">
        <f>IF(B587,MOD(SIN(Seed*0.5917+C587*39.3468+D587*11.135)*24634.6345,1),"")</f>
        <v/>
      </c>
      <c r="H587">
        <f>IF(B587,SQRT(-2*LN(F587))*COS(2*PI()*G587),"")</f>
        <v/>
      </c>
      <c r="I587">
        <f>IF(B587,IF(D587=0,H587,Rho*I586+SQRT(1-Rho^2)*H587),"")</f>
        <v/>
      </c>
      <c r="J587">
        <f>IF(B587,IF(Dist="Normal",DistA+DistB*I587,DistA+(DistB-DistA)*NORMSDIST(I587)),"")</f>
        <v/>
      </c>
      <c r="K587">
        <f>IF(B587,INDEX(MineScale,C587),"")</f>
        <v/>
      </c>
      <c r="L587">
        <f>IF(B587,INDEX(Dow,1,WEEKDAY(E587,2)),"")</f>
        <v/>
      </c>
      <c r="M587">
        <f>IF(B587,(1+Trend)^D587,"")</f>
        <v/>
      </c>
      <c r="N587">
        <f>IF(B587,EXP(SUMPRODUCT(LN(1+(EvEff-1)*INDEX(Affected,0,C587)*EXP(-((E587-EvCenter)^2)/(2*EvSigma^2))))),"")</f>
        <v/>
      </c>
      <c r="O587">
        <f>IF(B587,ROUND(MAX(0,J587*K587*L587*M587*N587),2),"")</f>
        <v/>
      </c>
    </row>
    <row r="588">
      <c r="A588" t="n">
        <v>587</v>
      </c>
      <c r="B588">
        <f>A588&lt;=MineCount*Days</f>
        <v/>
      </c>
      <c r="C588">
        <f>IF(B588,INT((A588-1)/Days)+1,"")</f>
        <v/>
      </c>
      <c r="D588">
        <f>IF(B588,MOD(A588-1,Days),"")</f>
        <v/>
      </c>
      <c r="E588" s="16">
        <f>IF(B588,StartDate+D588,"")</f>
        <v/>
      </c>
      <c r="F588">
        <f>IF(B588,MAX(MOD(SIN(Seed*0.1373+C588*12.9898+D588*78.233)*43758.5453,1),1E-9),"")</f>
        <v/>
      </c>
      <c r="G588">
        <f>IF(B588,MOD(SIN(Seed*0.5917+C588*39.3468+D588*11.135)*24634.6345,1),"")</f>
        <v/>
      </c>
      <c r="H588">
        <f>IF(B588,SQRT(-2*LN(F588))*COS(2*PI()*G588),"")</f>
        <v/>
      </c>
      <c r="I588">
        <f>IF(B588,IF(D588=0,H588,Rho*I587+SQRT(1-Rho^2)*H588),"")</f>
        <v/>
      </c>
      <c r="J588">
        <f>IF(B588,IF(Dist="Normal",DistA+DistB*I588,DistA+(DistB-DistA)*NORMSDIST(I588)),"")</f>
        <v/>
      </c>
      <c r="K588">
        <f>IF(B588,INDEX(MineScale,C588),"")</f>
        <v/>
      </c>
      <c r="L588">
        <f>IF(B588,INDEX(Dow,1,WEEKDAY(E588,2)),"")</f>
        <v/>
      </c>
      <c r="M588">
        <f>IF(B588,(1+Trend)^D588,"")</f>
        <v/>
      </c>
      <c r="N588">
        <f>IF(B588,EXP(SUMPRODUCT(LN(1+(EvEff-1)*INDEX(Affected,0,C588)*EXP(-((E588-EvCenter)^2)/(2*EvSigma^2))))),"")</f>
        <v/>
      </c>
      <c r="O588">
        <f>IF(B588,ROUND(MAX(0,J588*K588*L588*M588*N588),2),"")</f>
        <v/>
      </c>
    </row>
    <row r="589">
      <c r="A589" t="n">
        <v>588</v>
      </c>
      <c r="B589">
        <f>A589&lt;=MineCount*Days</f>
        <v/>
      </c>
      <c r="C589">
        <f>IF(B589,INT((A589-1)/Days)+1,"")</f>
        <v/>
      </c>
      <c r="D589">
        <f>IF(B589,MOD(A589-1,Days),"")</f>
        <v/>
      </c>
      <c r="E589" s="16">
        <f>IF(B589,StartDate+D589,"")</f>
        <v/>
      </c>
      <c r="F589">
        <f>IF(B589,MAX(MOD(SIN(Seed*0.1373+C589*12.9898+D589*78.233)*43758.5453,1),1E-9),"")</f>
        <v/>
      </c>
      <c r="G589">
        <f>IF(B589,MOD(SIN(Seed*0.5917+C589*39.3468+D589*11.135)*24634.6345,1),"")</f>
        <v/>
      </c>
      <c r="H589">
        <f>IF(B589,SQRT(-2*LN(F589))*COS(2*PI()*G589),"")</f>
        <v/>
      </c>
      <c r="I589">
        <f>IF(B589,IF(D589=0,H589,Rho*I588+SQRT(1-Rho^2)*H589),"")</f>
        <v/>
      </c>
      <c r="J589">
        <f>IF(B589,IF(Dist="Normal",DistA+DistB*I589,DistA+(DistB-DistA)*NORMSDIST(I589)),"")</f>
        <v/>
      </c>
      <c r="K589">
        <f>IF(B589,INDEX(MineScale,C589),"")</f>
        <v/>
      </c>
      <c r="L589">
        <f>IF(B589,INDEX(Dow,1,WEEKDAY(E589,2)),"")</f>
        <v/>
      </c>
      <c r="M589">
        <f>IF(B589,(1+Trend)^D589,"")</f>
        <v/>
      </c>
      <c r="N589">
        <f>IF(B589,EXP(SUMPRODUCT(LN(1+(EvEff-1)*INDEX(Affected,0,C589)*EXP(-((E589-EvCenter)^2)/(2*EvSigma^2))))),"")</f>
        <v/>
      </c>
      <c r="O589">
        <f>IF(B589,ROUND(MAX(0,J589*K589*L589*M589*N589),2),"")</f>
        <v/>
      </c>
    </row>
    <row r="590">
      <c r="A590" t="n">
        <v>589</v>
      </c>
      <c r="B590">
        <f>A590&lt;=MineCount*Days</f>
        <v/>
      </c>
      <c r="C590">
        <f>IF(B590,INT((A590-1)/Days)+1,"")</f>
        <v/>
      </c>
      <c r="D590">
        <f>IF(B590,MOD(A590-1,Days),"")</f>
        <v/>
      </c>
      <c r="E590" s="16">
        <f>IF(B590,StartDate+D590,"")</f>
        <v/>
      </c>
      <c r="F590">
        <f>IF(B590,MAX(MOD(SIN(Seed*0.1373+C590*12.9898+D590*78.233)*43758.5453,1),1E-9),"")</f>
        <v/>
      </c>
      <c r="G590">
        <f>IF(B590,MOD(SIN(Seed*0.5917+C590*39.3468+D590*11.135)*24634.6345,1),"")</f>
        <v/>
      </c>
      <c r="H590">
        <f>IF(B590,SQRT(-2*LN(F590))*COS(2*PI()*G590),"")</f>
        <v/>
      </c>
      <c r="I590">
        <f>IF(B590,IF(D590=0,H590,Rho*I589+SQRT(1-Rho^2)*H590),"")</f>
        <v/>
      </c>
      <c r="J590">
        <f>IF(B590,IF(Dist="Normal",DistA+DistB*I590,DistA+(DistB-DistA)*NORMSDIST(I590)),"")</f>
        <v/>
      </c>
      <c r="K590">
        <f>IF(B590,INDEX(MineScale,C590),"")</f>
        <v/>
      </c>
      <c r="L590">
        <f>IF(B590,INDEX(Dow,1,WEEKDAY(E590,2)),"")</f>
        <v/>
      </c>
      <c r="M590">
        <f>IF(B590,(1+Trend)^D590,"")</f>
        <v/>
      </c>
      <c r="N590">
        <f>IF(B590,EXP(SUMPRODUCT(LN(1+(EvEff-1)*INDEX(Affected,0,C590)*EXP(-((E590-EvCenter)^2)/(2*EvSigma^2))))),"")</f>
        <v/>
      </c>
      <c r="O590">
        <f>IF(B590,ROUND(MAX(0,J590*K590*L590*M590*N590),2),"")</f>
        <v/>
      </c>
    </row>
    <row r="591">
      <c r="A591" t="n">
        <v>590</v>
      </c>
      <c r="B591">
        <f>A591&lt;=MineCount*Days</f>
        <v/>
      </c>
      <c r="C591">
        <f>IF(B591,INT((A591-1)/Days)+1,"")</f>
        <v/>
      </c>
      <c r="D591">
        <f>IF(B591,MOD(A591-1,Days),"")</f>
        <v/>
      </c>
      <c r="E591" s="16">
        <f>IF(B591,StartDate+D591,"")</f>
        <v/>
      </c>
      <c r="F591">
        <f>IF(B591,MAX(MOD(SIN(Seed*0.1373+C591*12.9898+D591*78.233)*43758.5453,1),1E-9),"")</f>
        <v/>
      </c>
      <c r="G591">
        <f>IF(B591,MOD(SIN(Seed*0.5917+C591*39.3468+D591*11.135)*24634.6345,1),"")</f>
        <v/>
      </c>
      <c r="H591">
        <f>IF(B591,SQRT(-2*LN(F591))*COS(2*PI()*G591),"")</f>
        <v/>
      </c>
      <c r="I591">
        <f>IF(B591,IF(D591=0,H591,Rho*I590+SQRT(1-Rho^2)*H591),"")</f>
        <v/>
      </c>
      <c r="J591">
        <f>IF(B591,IF(Dist="Normal",DistA+DistB*I591,DistA+(DistB-DistA)*NORMSDIST(I591)),"")</f>
        <v/>
      </c>
      <c r="K591">
        <f>IF(B591,INDEX(MineScale,C591),"")</f>
        <v/>
      </c>
      <c r="L591">
        <f>IF(B591,INDEX(Dow,1,WEEKDAY(E591,2)),"")</f>
        <v/>
      </c>
      <c r="M591">
        <f>IF(B591,(1+Trend)^D591,"")</f>
        <v/>
      </c>
      <c r="N591">
        <f>IF(B591,EXP(SUMPRODUCT(LN(1+(EvEff-1)*INDEX(Affected,0,C591)*EXP(-((E591-EvCenter)^2)/(2*EvSigma^2))))),"")</f>
        <v/>
      </c>
      <c r="O591">
        <f>IF(B591,ROUND(MAX(0,J591*K591*L591*M591*N591),2),"")</f>
        <v/>
      </c>
    </row>
    <row r="592">
      <c r="A592" t="n">
        <v>591</v>
      </c>
      <c r="B592">
        <f>A592&lt;=MineCount*Days</f>
        <v/>
      </c>
      <c r="C592">
        <f>IF(B592,INT((A592-1)/Days)+1,"")</f>
        <v/>
      </c>
      <c r="D592">
        <f>IF(B592,MOD(A592-1,Days),"")</f>
        <v/>
      </c>
      <c r="E592" s="16">
        <f>IF(B592,StartDate+D592,"")</f>
        <v/>
      </c>
      <c r="F592">
        <f>IF(B592,MAX(MOD(SIN(Seed*0.1373+C592*12.9898+D592*78.233)*43758.5453,1),1E-9),"")</f>
        <v/>
      </c>
      <c r="G592">
        <f>IF(B592,MOD(SIN(Seed*0.5917+C592*39.3468+D592*11.135)*24634.6345,1),"")</f>
        <v/>
      </c>
      <c r="H592">
        <f>IF(B592,SQRT(-2*LN(F592))*COS(2*PI()*G592),"")</f>
        <v/>
      </c>
      <c r="I592">
        <f>IF(B592,IF(D592=0,H592,Rho*I591+SQRT(1-Rho^2)*H592),"")</f>
        <v/>
      </c>
      <c r="J592">
        <f>IF(B592,IF(Dist="Normal",DistA+DistB*I592,DistA+(DistB-DistA)*NORMSDIST(I592)),"")</f>
        <v/>
      </c>
      <c r="K592">
        <f>IF(B592,INDEX(MineScale,C592),"")</f>
        <v/>
      </c>
      <c r="L592">
        <f>IF(B592,INDEX(Dow,1,WEEKDAY(E592,2)),"")</f>
        <v/>
      </c>
      <c r="M592">
        <f>IF(B592,(1+Trend)^D592,"")</f>
        <v/>
      </c>
      <c r="N592">
        <f>IF(B592,EXP(SUMPRODUCT(LN(1+(EvEff-1)*INDEX(Affected,0,C592)*EXP(-((E592-EvCenter)^2)/(2*EvSigma^2))))),"")</f>
        <v/>
      </c>
      <c r="O592">
        <f>IF(B592,ROUND(MAX(0,J592*K592*L592*M592*N592),2),"")</f>
        <v/>
      </c>
    </row>
    <row r="593">
      <c r="A593" t="n">
        <v>592</v>
      </c>
      <c r="B593">
        <f>A593&lt;=MineCount*Days</f>
        <v/>
      </c>
      <c r="C593">
        <f>IF(B593,INT((A593-1)/Days)+1,"")</f>
        <v/>
      </c>
      <c r="D593">
        <f>IF(B593,MOD(A593-1,Days),"")</f>
        <v/>
      </c>
      <c r="E593" s="16">
        <f>IF(B593,StartDate+D593,"")</f>
        <v/>
      </c>
      <c r="F593">
        <f>IF(B593,MAX(MOD(SIN(Seed*0.1373+C593*12.9898+D593*78.233)*43758.5453,1),1E-9),"")</f>
        <v/>
      </c>
      <c r="G593">
        <f>IF(B593,MOD(SIN(Seed*0.5917+C593*39.3468+D593*11.135)*24634.6345,1),"")</f>
        <v/>
      </c>
      <c r="H593">
        <f>IF(B593,SQRT(-2*LN(F593))*COS(2*PI()*G593),"")</f>
        <v/>
      </c>
      <c r="I593">
        <f>IF(B593,IF(D593=0,H593,Rho*I592+SQRT(1-Rho^2)*H593),"")</f>
        <v/>
      </c>
      <c r="J593">
        <f>IF(B593,IF(Dist="Normal",DistA+DistB*I593,DistA+(DistB-DistA)*NORMSDIST(I593)),"")</f>
        <v/>
      </c>
      <c r="K593">
        <f>IF(B593,INDEX(MineScale,C593),"")</f>
        <v/>
      </c>
      <c r="L593">
        <f>IF(B593,INDEX(Dow,1,WEEKDAY(E593,2)),"")</f>
        <v/>
      </c>
      <c r="M593">
        <f>IF(B593,(1+Trend)^D593,"")</f>
        <v/>
      </c>
      <c r="N593">
        <f>IF(B593,EXP(SUMPRODUCT(LN(1+(EvEff-1)*INDEX(Affected,0,C593)*EXP(-((E593-EvCenter)^2)/(2*EvSigma^2))))),"")</f>
        <v/>
      </c>
      <c r="O593">
        <f>IF(B593,ROUND(MAX(0,J593*K593*L593*M593*N593),2),"")</f>
        <v/>
      </c>
    </row>
    <row r="594">
      <c r="A594" t="n">
        <v>593</v>
      </c>
      <c r="B594">
        <f>A594&lt;=MineCount*Days</f>
        <v/>
      </c>
      <c r="C594">
        <f>IF(B594,INT((A594-1)/Days)+1,"")</f>
        <v/>
      </c>
      <c r="D594">
        <f>IF(B594,MOD(A594-1,Days),"")</f>
        <v/>
      </c>
      <c r="E594" s="16">
        <f>IF(B594,StartDate+D594,"")</f>
        <v/>
      </c>
      <c r="F594">
        <f>IF(B594,MAX(MOD(SIN(Seed*0.1373+C594*12.9898+D594*78.233)*43758.5453,1),1E-9),"")</f>
        <v/>
      </c>
      <c r="G594">
        <f>IF(B594,MOD(SIN(Seed*0.5917+C594*39.3468+D594*11.135)*24634.6345,1),"")</f>
        <v/>
      </c>
      <c r="H594">
        <f>IF(B594,SQRT(-2*LN(F594))*COS(2*PI()*G594),"")</f>
        <v/>
      </c>
      <c r="I594">
        <f>IF(B594,IF(D594=0,H594,Rho*I593+SQRT(1-Rho^2)*H594),"")</f>
        <v/>
      </c>
      <c r="J594">
        <f>IF(B594,IF(Dist="Normal",DistA+DistB*I594,DistA+(DistB-DistA)*NORMSDIST(I594)),"")</f>
        <v/>
      </c>
      <c r="K594">
        <f>IF(B594,INDEX(MineScale,C594),"")</f>
        <v/>
      </c>
      <c r="L594">
        <f>IF(B594,INDEX(Dow,1,WEEKDAY(E594,2)),"")</f>
        <v/>
      </c>
      <c r="M594">
        <f>IF(B594,(1+Trend)^D594,"")</f>
        <v/>
      </c>
      <c r="N594">
        <f>IF(B594,EXP(SUMPRODUCT(LN(1+(EvEff-1)*INDEX(Affected,0,C594)*EXP(-((E594-EvCenter)^2)/(2*EvSigma^2))))),"")</f>
        <v/>
      </c>
      <c r="O594">
        <f>IF(B594,ROUND(MAX(0,J594*K594*L594*M594*N594),2),"")</f>
        <v/>
      </c>
    </row>
    <row r="595">
      <c r="A595" t="n">
        <v>594</v>
      </c>
      <c r="B595">
        <f>A595&lt;=MineCount*Days</f>
        <v/>
      </c>
      <c r="C595">
        <f>IF(B595,INT((A595-1)/Days)+1,"")</f>
        <v/>
      </c>
      <c r="D595">
        <f>IF(B595,MOD(A595-1,Days),"")</f>
        <v/>
      </c>
      <c r="E595" s="16">
        <f>IF(B595,StartDate+D595,"")</f>
        <v/>
      </c>
      <c r="F595">
        <f>IF(B595,MAX(MOD(SIN(Seed*0.1373+C595*12.9898+D595*78.233)*43758.5453,1),1E-9),"")</f>
        <v/>
      </c>
      <c r="G595">
        <f>IF(B595,MOD(SIN(Seed*0.5917+C595*39.3468+D595*11.135)*24634.6345,1),"")</f>
        <v/>
      </c>
      <c r="H595">
        <f>IF(B595,SQRT(-2*LN(F595))*COS(2*PI()*G595),"")</f>
        <v/>
      </c>
      <c r="I595">
        <f>IF(B595,IF(D595=0,H595,Rho*I594+SQRT(1-Rho^2)*H595),"")</f>
        <v/>
      </c>
      <c r="J595">
        <f>IF(B595,IF(Dist="Normal",DistA+DistB*I595,DistA+(DistB-DistA)*NORMSDIST(I595)),"")</f>
        <v/>
      </c>
      <c r="K595">
        <f>IF(B595,INDEX(MineScale,C595),"")</f>
        <v/>
      </c>
      <c r="L595">
        <f>IF(B595,INDEX(Dow,1,WEEKDAY(E595,2)),"")</f>
        <v/>
      </c>
      <c r="M595">
        <f>IF(B595,(1+Trend)^D595,"")</f>
        <v/>
      </c>
      <c r="N595">
        <f>IF(B595,EXP(SUMPRODUCT(LN(1+(EvEff-1)*INDEX(Affected,0,C595)*EXP(-((E595-EvCenter)^2)/(2*EvSigma^2))))),"")</f>
        <v/>
      </c>
      <c r="O595">
        <f>IF(B595,ROUND(MAX(0,J595*K595*L595*M595*N595),2),"")</f>
        <v/>
      </c>
    </row>
    <row r="596">
      <c r="A596" t="n">
        <v>595</v>
      </c>
      <c r="B596">
        <f>A596&lt;=MineCount*Days</f>
        <v/>
      </c>
      <c r="C596">
        <f>IF(B596,INT((A596-1)/Days)+1,"")</f>
        <v/>
      </c>
      <c r="D596">
        <f>IF(B596,MOD(A596-1,Days),"")</f>
        <v/>
      </c>
      <c r="E596" s="16">
        <f>IF(B596,StartDate+D596,"")</f>
        <v/>
      </c>
      <c r="F596">
        <f>IF(B596,MAX(MOD(SIN(Seed*0.1373+C596*12.9898+D596*78.233)*43758.5453,1),1E-9),"")</f>
        <v/>
      </c>
      <c r="G596">
        <f>IF(B596,MOD(SIN(Seed*0.5917+C596*39.3468+D596*11.135)*24634.6345,1),"")</f>
        <v/>
      </c>
      <c r="H596">
        <f>IF(B596,SQRT(-2*LN(F596))*COS(2*PI()*G596),"")</f>
        <v/>
      </c>
      <c r="I596">
        <f>IF(B596,IF(D596=0,H596,Rho*I595+SQRT(1-Rho^2)*H596),"")</f>
        <v/>
      </c>
      <c r="J596">
        <f>IF(B596,IF(Dist="Normal",DistA+DistB*I596,DistA+(DistB-DistA)*NORMSDIST(I596)),"")</f>
        <v/>
      </c>
      <c r="K596">
        <f>IF(B596,INDEX(MineScale,C596),"")</f>
        <v/>
      </c>
      <c r="L596">
        <f>IF(B596,INDEX(Dow,1,WEEKDAY(E596,2)),"")</f>
        <v/>
      </c>
      <c r="M596">
        <f>IF(B596,(1+Trend)^D596,"")</f>
        <v/>
      </c>
      <c r="N596">
        <f>IF(B596,EXP(SUMPRODUCT(LN(1+(EvEff-1)*INDEX(Affected,0,C596)*EXP(-((E596-EvCenter)^2)/(2*EvSigma^2))))),"")</f>
        <v/>
      </c>
      <c r="O596">
        <f>IF(B596,ROUND(MAX(0,J596*K596*L596*M596*N596),2),"")</f>
        <v/>
      </c>
    </row>
    <row r="597">
      <c r="A597" t="n">
        <v>596</v>
      </c>
      <c r="B597">
        <f>A597&lt;=MineCount*Days</f>
        <v/>
      </c>
      <c r="C597">
        <f>IF(B597,INT((A597-1)/Days)+1,"")</f>
        <v/>
      </c>
      <c r="D597">
        <f>IF(B597,MOD(A597-1,Days),"")</f>
        <v/>
      </c>
      <c r="E597" s="16">
        <f>IF(B597,StartDate+D597,"")</f>
        <v/>
      </c>
      <c r="F597">
        <f>IF(B597,MAX(MOD(SIN(Seed*0.1373+C597*12.9898+D597*78.233)*43758.5453,1),1E-9),"")</f>
        <v/>
      </c>
      <c r="G597">
        <f>IF(B597,MOD(SIN(Seed*0.5917+C597*39.3468+D597*11.135)*24634.6345,1),"")</f>
        <v/>
      </c>
      <c r="H597">
        <f>IF(B597,SQRT(-2*LN(F597))*COS(2*PI()*G597),"")</f>
        <v/>
      </c>
      <c r="I597">
        <f>IF(B597,IF(D597=0,H597,Rho*I596+SQRT(1-Rho^2)*H597),"")</f>
        <v/>
      </c>
      <c r="J597">
        <f>IF(B597,IF(Dist="Normal",DistA+DistB*I597,DistA+(DistB-DistA)*NORMSDIST(I597)),"")</f>
        <v/>
      </c>
      <c r="K597">
        <f>IF(B597,INDEX(MineScale,C597),"")</f>
        <v/>
      </c>
      <c r="L597">
        <f>IF(B597,INDEX(Dow,1,WEEKDAY(E597,2)),"")</f>
        <v/>
      </c>
      <c r="M597">
        <f>IF(B597,(1+Trend)^D597,"")</f>
        <v/>
      </c>
      <c r="N597">
        <f>IF(B597,EXP(SUMPRODUCT(LN(1+(EvEff-1)*INDEX(Affected,0,C597)*EXP(-((E597-EvCenter)^2)/(2*EvSigma^2))))),"")</f>
        <v/>
      </c>
      <c r="O597">
        <f>IF(B597,ROUND(MAX(0,J597*K597*L597*M597*N597),2),"")</f>
        <v/>
      </c>
    </row>
    <row r="598">
      <c r="A598" t="n">
        <v>597</v>
      </c>
      <c r="B598">
        <f>A598&lt;=MineCount*Days</f>
        <v/>
      </c>
      <c r="C598">
        <f>IF(B598,INT((A598-1)/Days)+1,"")</f>
        <v/>
      </c>
      <c r="D598">
        <f>IF(B598,MOD(A598-1,Days),"")</f>
        <v/>
      </c>
      <c r="E598" s="16">
        <f>IF(B598,StartDate+D598,"")</f>
        <v/>
      </c>
      <c r="F598">
        <f>IF(B598,MAX(MOD(SIN(Seed*0.1373+C598*12.9898+D598*78.233)*43758.5453,1),1E-9),"")</f>
        <v/>
      </c>
      <c r="G598">
        <f>IF(B598,MOD(SIN(Seed*0.5917+C598*39.3468+D598*11.135)*24634.6345,1),"")</f>
        <v/>
      </c>
      <c r="H598">
        <f>IF(B598,SQRT(-2*LN(F598))*COS(2*PI()*G598),"")</f>
        <v/>
      </c>
      <c r="I598">
        <f>IF(B598,IF(D598=0,H598,Rho*I597+SQRT(1-Rho^2)*H598),"")</f>
        <v/>
      </c>
      <c r="J598">
        <f>IF(B598,IF(Dist="Normal",DistA+DistB*I598,DistA+(DistB-DistA)*NORMSDIST(I598)),"")</f>
        <v/>
      </c>
      <c r="K598">
        <f>IF(B598,INDEX(MineScale,C598),"")</f>
        <v/>
      </c>
      <c r="L598">
        <f>IF(B598,INDEX(Dow,1,WEEKDAY(E598,2)),"")</f>
        <v/>
      </c>
      <c r="M598">
        <f>IF(B598,(1+Trend)^D598,"")</f>
        <v/>
      </c>
      <c r="N598">
        <f>IF(B598,EXP(SUMPRODUCT(LN(1+(EvEff-1)*INDEX(Affected,0,C598)*EXP(-((E598-EvCenter)^2)/(2*EvSigma^2))))),"")</f>
        <v/>
      </c>
      <c r="O598">
        <f>IF(B598,ROUND(MAX(0,J598*K598*L598*M598*N598),2),"")</f>
        <v/>
      </c>
    </row>
    <row r="599">
      <c r="A599" t="n">
        <v>598</v>
      </c>
      <c r="B599">
        <f>A599&lt;=MineCount*Days</f>
        <v/>
      </c>
      <c r="C599">
        <f>IF(B599,INT((A599-1)/Days)+1,"")</f>
        <v/>
      </c>
      <c r="D599">
        <f>IF(B599,MOD(A599-1,Days),"")</f>
        <v/>
      </c>
      <c r="E599" s="16">
        <f>IF(B599,StartDate+D599,"")</f>
        <v/>
      </c>
      <c r="F599">
        <f>IF(B599,MAX(MOD(SIN(Seed*0.1373+C599*12.9898+D599*78.233)*43758.5453,1),1E-9),"")</f>
        <v/>
      </c>
      <c r="G599">
        <f>IF(B599,MOD(SIN(Seed*0.5917+C599*39.3468+D599*11.135)*24634.6345,1),"")</f>
        <v/>
      </c>
      <c r="H599">
        <f>IF(B599,SQRT(-2*LN(F599))*COS(2*PI()*G599),"")</f>
        <v/>
      </c>
      <c r="I599">
        <f>IF(B599,IF(D599=0,H599,Rho*I598+SQRT(1-Rho^2)*H599),"")</f>
        <v/>
      </c>
      <c r="J599">
        <f>IF(B599,IF(Dist="Normal",DistA+DistB*I599,DistA+(DistB-DistA)*NORMSDIST(I599)),"")</f>
        <v/>
      </c>
      <c r="K599">
        <f>IF(B599,INDEX(MineScale,C599),"")</f>
        <v/>
      </c>
      <c r="L599">
        <f>IF(B599,INDEX(Dow,1,WEEKDAY(E599,2)),"")</f>
        <v/>
      </c>
      <c r="M599">
        <f>IF(B599,(1+Trend)^D599,"")</f>
        <v/>
      </c>
      <c r="N599">
        <f>IF(B599,EXP(SUMPRODUCT(LN(1+(EvEff-1)*INDEX(Affected,0,C599)*EXP(-((E599-EvCenter)^2)/(2*EvSigma^2))))),"")</f>
        <v/>
      </c>
      <c r="O599">
        <f>IF(B599,ROUND(MAX(0,J599*K599*L599*M599*N599),2),"")</f>
        <v/>
      </c>
    </row>
    <row r="600">
      <c r="A600" t="n">
        <v>599</v>
      </c>
      <c r="B600">
        <f>A600&lt;=MineCount*Days</f>
        <v/>
      </c>
      <c r="C600">
        <f>IF(B600,INT((A600-1)/Days)+1,"")</f>
        <v/>
      </c>
      <c r="D600">
        <f>IF(B600,MOD(A600-1,Days),"")</f>
        <v/>
      </c>
      <c r="E600" s="16">
        <f>IF(B600,StartDate+D600,"")</f>
        <v/>
      </c>
      <c r="F600">
        <f>IF(B600,MAX(MOD(SIN(Seed*0.1373+C600*12.9898+D600*78.233)*43758.5453,1),1E-9),"")</f>
        <v/>
      </c>
      <c r="G600">
        <f>IF(B600,MOD(SIN(Seed*0.5917+C600*39.3468+D600*11.135)*24634.6345,1),"")</f>
        <v/>
      </c>
      <c r="H600">
        <f>IF(B600,SQRT(-2*LN(F600))*COS(2*PI()*G600),"")</f>
        <v/>
      </c>
      <c r="I600">
        <f>IF(B600,IF(D600=0,H600,Rho*I599+SQRT(1-Rho^2)*H600),"")</f>
        <v/>
      </c>
      <c r="J600">
        <f>IF(B600,IF(Dist="Normal",DistA+DistB*I600,DistA+(DistB-DistA)*NORMSDIST(I600)),"")</f>
        <v/>
      </c>
      <c r="K600">
        <f>IF(B600,INDEX(MineScale,C600),"")</f>
        <v/>
      </c>
      <c r="L600">
        <f>IF(B600,INDEX(Dow,1,WEEKDAY(E600,2)),"")</f>
        <v/>
      </c>
      <c r="M600">
        <f>IF(B600,(1+Trend)^D600,"")</f>
        <v/>
      </c>
      <c r="N600">
        <f>IF(B600,EXP(SUMPRODUCT(LN(1+(EvEff-1)*INDEX(Affected,0,C600)*EXP(-((E600-EvCenter)^2)/(2*EvSigma^2))))),"")</f>
        <v/>
      </c>
      <c r="O600">
        <f>IF(B600,ROUND(MAX(0,J600*K600*L600*M600*N600),2),"")</f>
        <v/>
      </c>
    </row>
    <row r="601">
      <c r="A601" t="n">
        <v>600</v>
      </c>
      <c r="B601">
        <f>A601&lt;=MineCount*Days</f>
        <v/>
      </c>
      <c r="C601">
        <f>IF(B601,INT((A601-1)/Days)+1,"")</f>
        <v/>
      </c>
      <c r="D601">
        <f>IF(B601,MOD(A601-1,Days),"")</f>
        <v/>
      </c>
      <c r="E601" s="16">
        <f>IF(B601,StartDate+D601,"")</f>
        <v/>
      </c>
      <c r="F601">
        <f>IF(B601,MAX(MOD(SIN(Seed*0.1373+C601*12.9898+D601*78.233)*43758.5453,1),1E-9),"")</f>
        <v/>
      </c>
      <c r="G601">
        <f>IF(B601,MOD(SIN(Seed*0.5917+C601*39.3468+D601*11.135)*24634.6345,1),"")</f>
        <v/>
      </c>
      <c r="H601">
        <f>IF(B601,SQRT(-2*LN(F601))*COS(2*PI()*G601),"")</f>
        <v/>
      </c>
      <c r="I601">
        <f>IF(B601,IF(D601=0,H601,Rho*I600+SQRT(1-Rho^2)*H601),"")</f>
        <v/>
      </c>
      <c r="J601">
        <f>IF(B601,IF(Dist="Normal",DistA+DistB*I601,DistA+(DistB-DistA)*NORMSDIST(I601)),"")</f>
        <v/>
      </c>
      <c r="K601">
        <f>IF(B601,INDEX(MineScale,C601),"")</f>
        <v/>
      </c>
      <c r="L601">
        <f>IF(B601,INDEX(Dow,1,WEEKDAY(E601,2)),"")</f>
        <v/>
      </c>
      <c r="M601">
        <f>IF(B601,(1+Trend)^D601,"")</f>
        <v/>
      </c>
      <c r="N601">
        <f>IF(B601,EXP(SUMPRODUCT(LN(1+(EvEff-1)*INDEX(Affected,0,C601)*EXP(-((E601-EvCenter)^2)/(2*EvSigma^2))))),"")</f>
        <v/>
      </c>
      <c r="O601">
        <f>IF(B601,ROUND(MAX(0,J601*K601*L601*M601*N601),2),"")</f>
        <v/>
      </c>
    </row>
    <row r="602">
      <c r="A602" t="n">
        <v>601</v>
      </c>
      <c r="B602">
        <f>A602&lt;=MineCount*Days</f>
        <v/>
      </c>
      <c r="C602">
        <f>IF(B602,INT((A602-1)/Days)+1,"")</f>
        <v/>
      </c>
      <c r="D602">
        <f>IF(B602,MOD(A602-1,Days),"")</f>
        <v/>
      </c>
      <c r="E602" s="16">
        <f>IF(B602,StartDate+D602,"")</f>
        <v/>
      </c>
      <c r="F602">
        <f>IF(B602,MAX(MOD(SIN(Seed*0.1373+C602*12.9898+D602*78.233)*43758.5453,1),1E-9),"")</f>
        <v/>
      </c>
      <c r="G602">
        <f>IF(B602,MOD(SIN(Seed*0.5917+C602*39.3468+D602*11.135)*24634.6345,1),"")</f>
        <v/>
      </c>
      <c r="H602">
        <f>IF(B602,SQRT(-2*LN(F602))*COS(2*PI()*G602),"")</f>
        <v/>
      </c>
      <c r="I602">
        <f>IF(B602,IF(D602=0,H602,Rho*I601+SQRT(1-Rho^2)*H602),"")</f>
        <v/>
      </c>
      <c r="J602">
        <f>IF(B602,IF(Dist="Normal",DistA+DistB*I602,DistA+(DistB-DistA)*NORMSDIST(I602)),"")</f>
        <v/>
      </c>
      <c r="K602">
        <f>IF(B602,INDEX(MineScale,C602),"")</f>
        <v/>
      </c>
      <c r="L602">
        <f>IF(B602,INDEX(Dow,1,WEEKDAY(E602,2)),"")</f>
        <v/>
      </c>
      <c r="M602">
        <f>IF(B602,(1+Trend)^D602,"")</f>
        <v/>
      </c>
      <c r="N602">
        <f>IF(B602,EXP(SUMPRODUCT(LN(1+(EvEff-1)*INDEX(Affected,0,C602)*EXP(-((E602-EvCenter)^2)/(2*EvSigma^2))))),"")</f>
        <v/>
      </c>
      <c r="O602">
        <f>IF(B602,ROUND(MAX(0,J602*K602*L602*M602*N602),2),"")</f>
        <v/>
      </c>
    </row>
    <row r="603">
      <c r="A603" t="n">
        <v>602</v>
      </c>
      <c r="B603">
        <f>A603&lt;=MineCount*Days</f>
        <v/>
      </c>
      <c r="C603">
        <f>IF(B603,INT((A603-1)/Days)+1,"")</f>
        <v/>
      </c>
      <c r="D603">
        <f>IF(B603,MOD(A603-1,Days),"")</f>
        <v/>
      </c>
      <c r="E603" s="16">
        <f>IF(B603,StartDate+D603,"")</f>
        <v/>
      </c>
      <c r="F603">
        <f>IF(B603,MAX(MOD(SIN(Seed*0.1373+C603*12.9898+D603*78.233)*43758.5453,1),1E-9),"")</f>
        <v/>
      </c>
      <c r="G603">
        <f>IF(B603,MOD(SIN(Seed*0.5917+C603*39.3468+D603*11.135)*24634.6345,1),"")</f>
        <v/>
      </c>
      <c r="H603">
        <f>IF(B603,SQRT(-2*LN(F603))*COS(2*PI()*G603),"")</f>
        <v/>
      </c>
      <c r="I603">
        <f>IF(B603,IF(D603=0,H603,Rho*I602+SQRT(1-Rho^2)*H603),"")</f>
        <v/>
      </c>
      <c r="J603">
        <f>IF(B603,IF(Dist="Normal",DistA+DistB*I603,DistA+(DistB-DistA)*NORMSDIST(I603)),"")</f>
        <v/>
      </c>
      <c r="K603">
        <f>IF(B603,INDEX(MineScale,C603),"")</f>
        <v/>
      </c>
      <c r="L603">
        <f>IF(B603,INDEX(Dow,1,WEEKDAY(E603,2)),"")</f>
        <v/>
      </c>
      <c r="M603">
        <f>IF(B603,(1+Trend)^D603,"")</f>
        <v/>
      </c>
      <c r="N603">
        <f>IF(B603,EXP(SUMPRODUCT(LN(1+(EvEff-1)*INDEX(Affected,0,C603)*EXP(-((E603-EvCenter)^2)/(2*EvSigma^2))))),"")</f>
        <v/>
      </c>
      <c r="O603">
        <f>IF(B603,ROUND(MAX(0,J603*K603*L603*M603*N603),2),"")</f>
        <v/>
      </c>
    </row>
    <row r="604">
      <c r="A604" t="n">
        <v>603</v>
      </c>
      <c r="B604">
        <f>A604&lt;=MineCount*Days</f>
        <v/>
      </c>
      <c r="C604">
        <f>IF(B604,INT((A604-1)/Days)+1,"")</f>
        <v/>
      </c>
      <c r="D604">
        <f>IF(B604,MOD(A604-1,Days),"")</f>
        <v/>
      </c>
      <c r="E604" s="16">
        <f>IF(B604,StartDate+D604,"")</f>
        <v/>
      </c>
      <c r="F604">
        <f>IF(B604,MAX(MOD(SIN(Seed*0.1373+C604*12.9898+D604*78.233)*43758.5453,1),1E-9),"")</f>
        <v/>
      </c>
      <c r="G604">
        <f>IF(B604,MOD(SIN(Seed*0.5917+C604*39.3468+D604*11.135)*24634.6345,1),"")</f>
        <v/>
      </c>
      <c r="H604">
        <f>IF(B604,SQRT(-2*LN(F604))*COS(2*PI()*G604),"")</f>
        <v/>
      </c>
      <c r="I604">
        <f>IF(B604,IF(D604=0,H604,Rho*I603+SQRT(1-Rho^2)*H604),"")</f>
        <v/>
      </c>
      <c r="J604">
        <f>IF(B604,IF(Dist="Normal",DistA+DistB*I604,DistA+(DistB-DistA)*NORMSDIST(I604)),"")</f>
        <v/>
      </c>
      <c r="K604">
        <f>IF(B604,INDEX(MineScale,C604),"")</f>
        <v/>
      </c>
      <c r="L604">
        <f>IF(B604,INDEX(Dow,1,WEEKDAY(E604,2)),"")</f>
        <v/>
      </c>
      <c r="M604">
        <f>IF(B604,(1+Trend)^D604,"")</f>
        <v/>
      </c>
      <c r="N604">
        <f>IF(B604,EXP(SUMPRODUCT(LN(1+(EvEff-1)*INDEX(Affected,0,C604)*EXP(-((E604-EvCenter)^2)/(2*EvSigma^2))))),"")</f>
        <v/>
      </c>
      <c r="O604">
        <f>IF(B604,ROUND(MAX(0,J604*K604*L604*M604*N604),2),"")</f>
        <v/>
      </c>
    </row>
    <row r="605">
      <c r="A605" t="n">
        <v>604</v>
      </c>
      <c r="B605">
        <f>A605&lt;=MineCount*Days</f>
        <v/>
      </c>
      <c r="C605">
        <f>IF(B605,INT((A605-1)/Days)+1,"")</f>
        <v/>
      </c>
      <c r="D605">
        <f>IF(B605,MOD(A605-1,Days),"")</f>
        <v/>
      </c>
      <c r="E605" s="16">
        <f>IF(B605,StartDate+D605,"")</f>
        <v/>
      </c>
      <c r="F605">
        <f>IF(B605,MAX(MOD(SIN(Seed*0.1373+C605*12.9898+D605*78.233)*43758.5453,1),1E-9),"")</f>
        <v/>
      </c>
      <c r="G605">
        <f>IF(B605,MOD(SIN(Seed*0.5917+C605*39.3468+D605*11.135)*24634.6345,1),"")</f>
        <v/>
      </c>
      <c r="H605">
        <f>IF(B605,SQRT(-2*LN(F605))*COS(2*PI()*G605),"")</f>
        <v/>
      </c>
      <c r="I605">
        <f>IF(B605,IF(D605=0,H605,Rho*I604+SQRT(1-Rho^2)*H605),"")</f>
        <v/>
      </c>
      <c r="J605">
        <f>IF(B605,IF(Dist="Normal",DistA+DistB*I605,DistA+(DistB-DistA)*NORMSDIST(I605)),"")</f>
        <v/>
      </c>
      <c r="K605">
        <f>IF(B605,INDEX(MineScale,C605),"")</f>
        <v/>
      </c>
      <c r="L605">
        <f>IF(B605,INDEX(Dow,1,WEEKDAY(E605,2)),"")</f>
        <v/>
      </c>
      <c r="M605">
        <f>IF(B605,(1+Trend)^D605,"")</f>
        <v/>
      </c>
      <c r="N605">
        <f>IF(B605,EXP(SUMPRODUCT(LN(1+(EvEff-1)*INDEX(Affected,0,C605)*EXP(-((E605-EvCenter)^2)/(2*EvSigma^2))))),"")</f>
        <v/>
      </c>
      <c r="O605">
        <f>IF(B605,ROUND(MAX(0,J605*K605*L605*M605*N605),2),"")</f>
        <v/>
      </c>
    </row>
    <row r="606">
      <c r="A606" t="n">
        <v>605</v>
      </c>
      <c r="B606">
        <f>A606&lt;=MineCount*Days</f>
        <v/>
      </c>
      <c r="C606">
        <f>IF(B606,INT((A606-1)/Days)+1,"")</f>
        <v/>
      </c>
      <c r="D606">
        <f>IF(B606,MOD(A606-1,Days),"")</f>
        <v/>
      </c>
      <c r="E606" s="16">
        <f>IF(B606,StartDate+D606,"")</f>
        <v/>
      </c>
      <c r="F606">
        <f>IF(B606,MAX(MOD(SIN(Seed*0.1373+C606*12.9898+D606*78.233)*43758.5453,1),1E-9),"")</f>
        <v/>
      </c>
      <c r="G606">
        <f>IF(B606,MOD(SIN(Seed*0.5917+C606*39.3468+D606*11.135)*24634.6345,1),"")</f>
        <v/>
      </c>
      <c r="H606">
        <f>IF(B606,SQRT(-2*LN(F606))*COS(2*PI()*G606),"")</f>
        <v/>
      </c>
      <c r="I606">
        <f>IF(B606,IF(D606=0,H606,Rho*I605+SQRT(1-Rho^2)*H606),"")</f>
        <v/>
      </c>
      <c r="J606">
        <f>IF(B606,IF(Dist="Normal",DistA+DistB*I606,DistA+(DistB-DistA)*NORMSDIST(I606)),"")</f>
        <v/>
      </c>
      <c r="K606">
        <f>IF(B606,INDEX(MineScale,C606),"")</f>
        <v/>
      </c>
      <c r="L606">
        <f>IF(B606,INDEX(Dow,1,WEEKDAY(E606,2)),"")</f>
        <v/>
      </c>
      <c r="M606">
        <f>IF(B606,(1+Trend)^D606,"")</f>
        <v/>
      </c>
      <c r="N606">
        <f>IF(B606,EXP(SUMPRODUCT(LN(1+(EvEff-1)*INDEX(Affected,0,C606)*EXP(-((E606-EvCenter)^2)/(2*EvSigma^2))))),"")</f>
        <v/>
      </c>
      <c r="O606">
        <f>IF(B606,ROUND(MAX(0,J606*K606*L606*M606*N606),2),"")</f>
        <v/>
      </c>
    </row>
    <row r="607">
      <c r="A607" t="n">
        <v>606</v>
      </c>
      <c r="B607">
        <f>A607&lt;=MineCount*Days</f>
        <v/>
      </c>
      <c r="C607">
        <f>IF(B607,INT((A607-1)/Days)+1,"")</f>
        <v/>
      </c>
      <c r="D607">
        <f>IF(B607,MOD(A607-1,Days),"")</f>
        <v/>
      </c>
      <c r="E607" s="16">
        <f>IF(B607,StartDate+D607,"")</f>
        <v/>
      </c>
      <c r="F607">
        <f>IF(B607,MAX(MOD(SIN(Seed*0.1373+C607*12.9898+D607*78.233)*43758.5453,1),1E-9),"")</f>
        <v/>
      </c>
      <c r="G607">
        <f>IF(B607,MOD(SIN(Seed*0.5917+C607*39.3468+D607*11.135)*24634.6345,1),"")</f>
        <v/>
      </c>
      <c r="H607">
        <f>IF(B607,SQRT(-2*LN(F607))*COS(2*PI()*G607),"")</f>
        <v/>
      </c>
      <c r="I607">
        <f>IF(B607,IF(D607=0,H607,Rho*I606+SQRT(1-Rho^2)*H607),"")</f>
        <v/>
      </c>
      <c r="J607">
        <f>IF(B607,IF(Dist="Normal",DistA+DistB*I607,DistA+(DistB-DistA)*NORMSDIST(I607)),"")</f>
        <v/>
      </c>
      <c r="K607">
        <f>IF(B607,INDEX(MineScale,C607),"")</f>
        <v/>
      </c>
      <c r="L607">
        <f>IF(B607,INDEX(Dow,1,WEEKDAY(E607,2)),"")</f>
        <v/>
      </c>
      <c r="M607">
        <f>IF(B607,(1+Trend)^D607,"")</f>
        <v/>
      </c>
      <c r="N607">
        <f>IF(B607,EXP(SUMPRODUCT(LN(1+(EvEff-1)*INDEX(Affected,0,C607)*EXP(-((E607-EvCenter)^2)/(2*EvSigma^2))))),"")</f>
        <v/>
      </c>
      <c r="O607">
        <f>IF(B607,ROUND(MAX(0,J607*K607*L607*M607*N607),2),"")</f>
        <v/>
      </c>
    </row>
    <row r="608">
      <c r="A608" t="n">
        <v>607</v>
      </c>
      <c r="B608">
        <f>A608&lt;=MineCount*Days</f>
        <v/>
      </c>
      <c r="C608">
        <f>IF(B608,INT((A608-1)/Days)+1,"")</f>
        <v/>
      </c>
      <c r="D608">
        <f>IF(B608,MOD(A608-1,Days),"")</f>
        <v/>
      </c>
      <c r="E608" s="16">
        <f>IF(B608,StartDate+D608,"")</f>
        <v/>
      </c>
      <c r="F608">
        <f>IF(B608,MAX(MOD(SIN(Seed*0.1373+C608*12.9898+D608*78.233)*43758.5453,1),1E-9),"")</f>
        <v/>
      </c>
      <c r="G608">
        <f>IF(B608,MOD(SIN(Seed*0.5917+C608*39.3468+D608*11.135)*24634.6345,1),"")</f>
        <v/>
      </c>
      <c r="H608">
        <f>IF(B608,SQRT(-2*LN(F608))*COS(2*PI()*G608),"")</f>
        <v/>
      </c>
      <c r="I608">
        <f>IF(B608,IF(D608=0,H608,Rho*I607+SQRT(1-Rho^2)*H608),"")</f>
        <v/>
      </c>
      <c r="J608">
        <f>IF(B608,IF(Dist="Normal",DistA+DistB*I608,DistA+(DistB-DistA)*NORMSDIST(I608)),"")</f>
        <v/>
      </c>
      <c r="K608">
        <f>IF(B608,INDEX(MineScale,C608),"")</f>
        <v/>
      </c>
      <c r="L608">
        <f>IF(B608,INDEX(Dow,1,WEEKDAY(E608,2)),"")</f>
        <v/>
      </c>
      <c r="M608">
        <f>IF(B608,(1+Trend)^D608,"")</f>
        <v/>
      </c>
      <c r="N608">
        <f>IF(B608,EXP(SUMPRODUCT(LN(1+(EvEff-1)*INDEX(Affected,0,C608)*EXP(-((E608-EvCenter)^2)/(2*EvSigma^2))))),"")</f>
        <v/>
      </c>
      <c r="O608">
        <f>IF(B608,ROUND(MAX(0,J608*K608*L608*M608*N608),2),"")</f>
        <v/>
      </c>
    </row>
    <row r="609">
      <c r="A609" t="n">
        <v>608</v>
      </c>
      <c r="B609">
        <f>A609&lt;=MineCount*Days</f>
        <v/>
      </c>
      <c r="C609">
        <f>IF(B609,INT((A609-1)/Days)+1,"")</f>
        <v/>
      </c>
      <c r="D609">
        <f>IF(B609,MOD(A609-1,Days),"")</f>
        <v/>
      </c>
      <c r="E609" s="16">
        <f>IF(B609,StartDate+D609,"")</f>
        <v/>
      </c>
      <c r="F609">
        <f>IF(B609,MAX(MOD(SIN(Seed*0.1373+C609*12.9898+D609*78.233)*43758.5453,1),1E-9),"")</f>
        <v/>
      </c>
      <c r="G609">
        <f>IF(B609,MOD(SIN(Seed*0.5917+C609*39.3468+D609*11.135)*24634.6345,1),"")</f>
        <v/>
      </c>
      <c r="H609">
        <f>IF(B609,SQRT(-2*LN(F609))*COS(2*PI()*G609),"")</f>
        <v/>
      </c>
      <c r="I609">
        <f>IF(B609,IF(D609=0,H609,Rho*I608+SQRT(1-Rho^2)*H609),"")</f>
        <v/>
      </c>
      <c r="J609">
        <f>IF(B609,IF(Dist="Normal",DistA+DistB*I609,DistA+(DistB-DistA)*NORMSDIST(I609)),"")</f>
        <v/>
      </c>
      <c r="K609">
        <f>IF(B609,INDEX(MineScale,C609),"")</f>
        <v/>
      </c>
      <c r="L609">
        <f>IF(B609,INDEX(Dow,1,WEEKDAY(E609,2)),"")</f>
        <v/>
      </c>
      <c r="M609">
        <f>IF(B609,(1+Trend)^D609,"")</f>
        <v/>
      </c>
      <c r="N609">
        <f>IF(B609,EXP(SUMPRODUCT(LN(1+(EvEff-1)*INDEX(Affected,0,C609)*EXP(-((E609-EvCenter)^2)/(2*EvSigma^2))))),"")</f>
        <v/>
      </c>
      <c r="O609">
        <f>IF(B609,ROUND(MAX(0,J609*K609*L609*M609*N609),2),"")</f>
        <v/>
      </c>
    </row>
    <row r="610">
      <c r="A610" t="n">
        <v>609</v>
      </c>
      <c r="B610">
        <f>A610&lt;=MineCount*Days</f>
        <v/>
      </c>
      <c r="C610">
        <f>IF(B610,INT((A610-1)/Days)+1,"")</f>
        <v/>
      </c>
      <c r="D610">
        <f>IF(B610,MOD(A610-1,Days),"")</f>
        <v/>
      </c>
      <c r="E610" s="16">
        <f>IF(B610,StartDate+D610,"")</f>
        <v/>
      </c>
      <c r="F610">
        <f>IF(B610,MAX(MOD(SIN(Seed*0.1373+C610*12.9898+D610*78.233)*43758.5453,1),1E-9),"")</f>
        <v/>
      </c>
      <c r="G610">
        <f>IF(B610,MOD(SIN(Seed*0.5917+C610*39.3468+D610*11.135)*24634.6345,1),"")</f>
        <v/>
      </c>
      <c r="H610">
        <f>IF(B610,SQRT(-2*LN(F610))*COS(2*PI()*G610),"")</f>
        <v/>
      </c>
      <c r="I610">
        <f>IF(B610,IF(D610=0,H610,Rho*I609+SQRT(1-Rho^2)*H610),"")</f>
        <v/>
      </c>
      <c r="J610">
        <f>IF(B610,IF(Dist="Normal",DistA+DistB*I610,DistA+(DistB-DistA)*NORMSDIST(I610)),"")</f>
        <v/>
      </c>
      <c r="K610">
        <f>IF(B610,INDEX(MineScale,C610),"")</f>
        <v/>
      </c>
      <c r="L610">
        <f>IF(B610,INDEX(Dow,1,WEEKDAY(E610,2)),"")</f>
        <v/>
      </c>
      <c r="M610">
        <f>IF(B610,(1+Trend)^D610,"")</f>
        <v/>
      </c>
      <c r="N610">
        <f>IF(B610,EXP(SUMPRODUCT(LN(1+(EvEff-1)*INDEX(Affected,0,C610)*EXP(-((E610-EvCenter)^2)/(2*EvSigma^2))))),"")</f>
        <v/>
      </c>
      <c r="O610">
        <f>IF(B610,ROUND(MAX(0,J610*K610*L610*M610*N610),2),"")</f>
        <v/>
      </c>
    </row>
    <row r="611">
      <c r="A611" t="n">
        <v>610</v>
      </c>
      <c r="B611">
        <f>A611&lt;=MineCount*Days</f>
        <v/>
      </c>
      <c r="C611">
        <f>IF(B611,INT((A611-1)/Days)+1,"")</f>
        <v/>
      </c>
      <c r="D611">
        <f>IF(B611,MOD(A611-1,Days),"")</f>
        <v/>
      </c>
      <c r="E611" s="16">
        <f>IF(B611,StartDate+D611,"")</f>
        <v/>
      </c>
      <c r="F611">
        <f>IF(B611,MAX(MOD(SIN(Seed*0.1373+C611*12.9898+D611*78.233)*43758.5453,1),1E-9),"")</f>
        <v/>
      </c>
      <c r="G611">
        <f>IF(B611,MOD(SIN(Seed*0.5917+C611*39.3468+D611*11.135)*24634.6345,1),"")</f>
        <v/>
      </c>
      <c r="H611">
        <f>IF(B611,SQRT(-2*LN(F611))*COS(2*PI()*G611),"")</f>
        <v/>
      </c>
      <c r="I611">
        <f>IF(B611,IF(D611=0,H611,Rho*I610+SQRT(1-Rho^2)*H611),"")</f>
        <v/>
      </c>
      <c r="J611">
        <f>IF(B611,IF(Dist="Normal",DistA+DistB*I611,DistA+(DistB-DistA)*NORMSDIST(I611)),"")</f>
        <v/>
      </c>
      <c r="K611">
        <f>IF(B611,INDEX(MineScale,C611),"")</f>
        <v/>
      </c>
      <c r="L611">
        <f>IF(B611,INDEX(Dow,1,WEEKDAY(E611,2)),"")</f>
        <v/>
      </c>
      <c r="M611">
        <f>IF(B611,(1+Trend)^D611,"")</f>
        <v/>
      </c>
      <c r="N611">
        <f>IF(B611,EXP(SUMPRODUCT(LN(1+(EvEff-1)*INDEX(Affected,0,C611)*EXP(-((E611-EvCenter)^2)/(2*EvSigma^2))))),"")</f>
        <v/>
      </c>
      <c r="O611">
        <f>IF(B611,ROUND(MAX(0,J611*K611*L611*M611*N611),2),"")</f>
        <v/>
      </c>
    </row>
    <row r="612">
      <c r="A612" t="n">
        <v>611</v>
      </c>
      <c r="B612">
        <f>A612&lt;=MineCount*Days</f>
        <v/>
      </c>
      <c r="C612">
        <f>IF(B612,INT((A612-1)/Days)+1,"")</f>
        <v/>
      </c>
      <c r="D612">
        <f>IF(B612,MOD(A612-1,Days),"")</f>
        <v/>
      </c>
      <c r="E612" s="16">
        <f>IF(B612,StartDate+D612,"")</f>
        <v/>
      </c>
      <c r="F612">
        <f>IF(B612,MAX(MOD(SIN(Seed*0.1373+C612*12.9898+D612*78.233)*43758.5453,1),1E-9),"")</f>
        <v/>
      </c>
      <c r="G612">
        <f>IF(B612,MOD(SIN(Seed*0.5917+C612*39.3468+D612*11.135)*24634.6345,1),"")</f>
        <v/>
      </c>
      <c r="H612">
        <f>IF(B612,SQRT(-2*LN(F612))*COS(2*PI()*G612),"")</f>
        <v/>
      </c>
      <c r="I612">
        <f>IF(B612,IF(D612=0,H612,Rho*I611+SQRT(1-Rho^2)*H612),"")</f>
        <v/>
      </c>
      <c r="J612">
        <f>IF(B612,IF(Dist="Normal",DistA+DistB*I612,DistA+(DistB-DistA)*NORMSDIST(I612)),"")</f>
        <v/>
      </c>
      <c r="K612">
        <f>IF(B612,INDEX(MineScale,C612),"")</f>
        <v/>
      </c>
      <c r="L612">
        <f>IF(B612,INDEX(Dow,1,WEEKDAY(E612,2)),"")</f>
        <v/>
      </c>
      <c r="M612">
        <f>IF(B612,(1+Trend)^D612,"")</f>
        <v/>
      </c>
      <c r="N612">
        <f>IF(B612,EXP(SUMPRODUCT(LN(1+(EvEff-1)*INDEX(Affected,0,C612)*EXP(-((E612-EvCenter)^2)/(2*EvSigma^2))))),"")</f>
        <v/>
      </c>
      <c r="O612">
        <f>IF(B612,ROUND(MAX(0,J612*K612*L612*M612*N612),2),"")</f>
        <v/>
      </c>
    </row>
    <row r="613">
      <c r="A613" t="n">
        <v>612</v>
      </c>
      <c r="B613">
        <f>A613&lt;=MineCount*Days</f>
        <v/>
      </c>
      <c r="C613">
        <f>IF(B613,INT((A613-1)/Days)+1,"")</f>
        <v/>
      </c>
      <c r="D613">
        <f>IF(B613,MOD(A613-1,Days),"")</f>
        <v/>
      </c>
      <c r="E613" s="16">
        <f>IF(B613,StartDate+D613,"")</f>
        <v/>
      </c>
      <c r="F613">
        <f>IF(B613,MAX(MOD(SIN(Seed*0.1373+C613*12.9898+D613*78.233)*43758.5453,1),1E-9),"")</f>
        <v/>
      </c>
      <c r="G613">
        <f>IF(B613,MOD(SIN(Seed*0.5917+C613*39.3468+D613*11.135)*24634.6345,1),"")</f>
        <v/>
      </c>
      <c r="H613">
        <f>IF(B613,SQRT(-2*LN(F613))*COS(2*PI()*G613),"")</f>
        <v/>
      </c>
      <c r="I613">
        <f>IF(B613,IF(D613=0,H613,Rho*I612+SQRT(1-Rho^2)*H613),"")</f>
        <v/>
      </c>
      <c r="J613">
        <f>IF(B613,IF(Dist="Normal",DistA+DistB*I613,DistA+(DistB-DistA)*NORMSDIST(I613)),"")</f>
        <v/>
      </c>
      <c r="K613">
        <f>IF(B613,INDEX(MineScale,C613),"")</f>
        <v/>
      </c>
      <c r="L613">
        <f>IF(B613,INDEX(Dow,1,WEEKDAY(E613,2)),"")</f>
        <v/>
      </c>
      <c r="M613">
        <f>IF(B613,(1+Trend)^D613,"")</f>
        <v/>
      </c>
      <c r="N613">
        <f>IF(B613,EXP(SUMPRODUCT(LN(1+(EvEff-1)*INDEX(Affected,0,C613)*EXP(-((E613-EvCenter)^2)/(2*EvSigma^2))))),"")</f>
        <v/>
      </c>
      <c r="O613">
        <f>IF(B613,ROUND(MAX(0,J613*K613*L613*M613*N613),2),"")</f>
        <v/>
      </c>
    </row>
    <row r="614">
      <c r="A614" t="n">
        <v>613</v>
      </c>
      <c r="B614">
        <f>A614&lt;=MineCount*Days</f>
        <v/>
      </c>
      <c r="C614">
        <f>IF(B614,INT((A614-1)/Days)+1,"")</f>
        <v/>
      </c>
      <c r="D614">
        <f>IF(B614,MOD(A614-1,Days),"")</f>
        <v/>
      </c>
      <c r="E614" s="16">
        <f>IF(B614,StartDate+D614,"")</f>
        <v/>
      </c>
      <c r="F614">
        <f>IF(B614,MAX(MOD(SIN(Seed*0.1373+C614*12.9898+D614*78.233)*43758.5453,1),1E-9),"")</f>
        <v/>
      </c>
      <c r="G614">
        <f>IF(B614,MOD(SIN(Seed*0.5917+C614*39.3468+D614*11.135)*24634.6345,1),"")</f>
        <v/>
      </c>
      <c r="H614">
        <f>IF(B614,SQRT(-2*LN(F614))*COS(2*PI()*G614),"")</f>
        <v/>
      </c>
      <c r="I614">
        <f>IF(B614,IF(D614=0,H614,Rho*I613+SQRT(1-Rho^2)*H614),"")</f>
        <v/>
      </c>
      <c r="J614">
        <f>IF(B614,IF(Dist="Normal",DistA+DistB*I614,DistA+(DistB-DistA)*NORMSDIST(I614)),"")</f>
        <v/>
      </c>
      <c r="K614">
        <f>IF(B614,INDEX(MineScale,C614),"")</f>
        <v/>
      </c>
      <c r="L614">
        <f>IF(B614,INDEX(Dow,1,WEEKDAY(E614,2)),"")</f>
        <v/>
      </c>
      <c r="M614">
        <f>IF(B614,(1+Trend)^D614,"")</f>
        <v/>
      </c>
      <c r="N614">
        <f>IF(B614,EXP(SUMPRODUCT(LN(1+(EvEff-1)*INDEX(Affected,0,C614)*EXP(-((E614-EvCenter)^2)/(2*EvSigma^2))))),"")</f>
        <v/>
      </c>
      <c r="O614">
        <f>IF(B614,ROUND(MAX(0,J614*K614*L614*M614*N614),2),"")</f>
        <v/>
      </c>
    </row>
    <row r="615">
      <c r="A615" t="n">
        <v>614</v>
      </c>
      <c r="B615">
        <f>A615&lt;=MineCount*Days</f>
        <v/>
      </c>
      <c r="C615">
        <f>IF(B615,INT((A615-1)/Days)+1,"")</f>
        <v/>
      </c>
      <c r="D615">
        <f>IF(B615,MOD(A615-1,Days),"")</f>
        <v/>
      </c>
      <c r="E615" s="16">
        <f>IF(B615,StartDate+D615,"")</f>
        <v/>
      </c>
      <c r="F615">
        <f>IF(B615,MAX(MOD(SIN(Seed*0.1373+C615*12.9898+D615*78.233)*43758.5453,1),1E-9),"")</f>
        <v/>
      </c>
      <c r="G615">
        <f>IF(B615,MOD(SIN(Seed*0.5917+C615*39.3468+D615*11.135)*24634.6345,1),"")</f>
        <v/>
      </c>
      <c r="H615">
        <f>IF(B615,SQRT(-2*LN(F615))*COS(2*PI()*G615),"")</f>
        <v/>
      </c>
      <c r="I615">
        <f>IF(B615,IF(D615=0,H615,Rho*I614+SQRT(1-Rho^2)*H615),"")</f>
        <v/>
      </c>
      <c r="J615">
        <f>IF(B615,IF(Dist="Normal",DistA+DistB*I615,DistA+(DistB-DistA)*NORMSDIST(I615)),"")</f>
        <v/>
      </c>
      <c r="K615">
        <f>IF(B615,INDEX(MineScale,C615),"")</f>
        <v/>
      </c>
      <c r="L615">
        <f>IF(B615,INDEX(Dow,1,WEEKDAY(E615,2)),"")</f>
        <v/>
      </c>
      <c r="M615">
        <f>IF(B615,(1+Trend)^D615,"")</f>
        <v/>
      </c>
      <c r="N615">
        <f>IF(B615,EXP(SUMPRODUCT(LN(1+(EvEff-1)*INDEX(Affected,0,C615)*EXP(-((E615-EvCenter)^2)/(2*EvSigma^2))))),"")</f>
        <v/>
      </c>
      <c r="O615">
        <f>IF(B615,ROUND(MAX(0,J615*K615*L615*M615*N615),2),"")</f>
        <v/>
      </c>
    </row>
    <row r="616">
      <c r="A616" t="n">
        <v>615</v>
      </c>
      <c r="B616">
        <f>A616&lt;=MineCount*Days</f>
        <v/>
      </c>
      <c r="C616">
        <f>IF(B616,INT((A616-1)/Days)+1,"")</f>
        <v/>
      </c>
      <c r="D616">
        <f>IF(B616,MOD(A616-1,Days),"")</f>
        <v/>
      </c>
      <c r="E616" s="16">
        <f>IF(B616,StartDate+D616,"")</f>
        <v/>
      </c>
      <c r="F616">
        <f>IF(B616,MAX(MOD(SIN(Seed*0.1373+C616*12.9898+D616*78.233)*43758.5453,1),1E-9),"")</f>
        <v/>
      </c>
      <c r="G616">
        <f>IF(B616,MOD(SIN(Seed*0.5917+C616*39.3468+D616*11.135)*24634.6345,1),"")</f>
        <v/>
      </c>
      <c r="H616">
        <f>IF(B616,SQRT(-2*LN(F616))*COS(2*PI()*G616),"")</f>
        <v/>
      </c>
      <c r="I616">
        <f>IF(B616,IF(D616=0,H616,Rho*I615+SQRT(1-Rho^2)*H616),"")</f>
        <v/>
      </c>
      <c r="J616">
        <f>IF(B616,IF(Dist="Normal",DistA+DistB*I616,DistA+(DistB-DistA)*NORMSDIST(I616)),"")</f>
        <v/>
      </c>
      <c r="K616">
        <f>IF(B616,INDEX(MineScale,C616),"")</f>
        <v/>
      </c>
      <c r="L616">
        <f>IF(B616,INDEX(Dow,1,WEEKDAY(E616,2)),"")</f>
        <v/>
      </c>
      <c r="M616">
        <f>IF(B616,(1+Trend)^D616,"")</f>
        <v/>
      </c>
      <c r="N616">
        <f>IF(B616,EXP(SUMPRODUCT(LN(1+(EvEff-1)*INDEX(Affected,0,C616)*EXP(-((E616-EvCenter)^2)/(2*EvSigma^2))))),"")</f>
        <v/>
      </c>
      <c r="O616">
        <f>IF(B616,ROUND(MAX(0,J616*K616*L616*M616*N616),2),"")</f>
        <v/>
      </c>
    </row>
    <row r="617">
      <c r="A617" t="n">
        <v>616</v>
      </c>
      <c r="B617">
        <f>A617&lt;=MineCount*Days</f>
        <v/>
      </c>
      <c r="C617">
        <f>IF(B617,INT((A617-1)/Days)+1,"")</f>
        <v/>
      </c>
      <c r="D617">
        <f>IF(B617,MOD(A617-1,Days),"")</f>
        <v/>
      </c>
      <c r="E617" s="16">
        <f>IF(B617,StartDate+D617,"")</f>
        <v/>
      </c>
      <c r="F617">
        <f>IF(B617,MAX(MOD(SIN(Seed*0.1373+C617*12.9898+D617*78.233)*43758.5453,1),1E-9),"")</f>
        <v/>
      </c>
      <c r="G617">
        <f>IF(B617,MOD(SIN(Seed*0.5917+C617*39.3468+D617*11.135)*24634.6345,1),"")</f>
        <v/>
      </c>
      <c r="H617">
        <f>IF(B617,SQRT(-2*LN(F617))*COS(2*PI()*G617),"")</f>
        <v/>
      </c>
      <c r="I617">
        <f>IF(B617,IF(D617=0,H617,Rho*I616+SQRT(1-Rho^2)*H617),"")</f>
        <v/>
      </c>
      <c r="J617">
        <f>IF(B617,IF(Dist="Normal",DistA+DistB*I617,DistA+(DistB-DistA)*NORMSDIST(I617)),"")</f>
        <v/>
      </c>
      <c r="K617">
        <f>IF(B617,INDEX(MineScale,C617),"")</f>
        <v/>
      </c>
      <c r="L617">
        <f>IF(B617,INDEX(Dow,1,WEEKDAY(E617,2)),"")</f>
        <v/>
      </c>
      <c r="M617">
        <f>IF(B617,(1+Trend)^D617,"")</f>
        <v/>
      </c>
      <c r="N617">
        <f>IF(B617,EXP(SUMPRODUCT(LN(1+(EvEff-1)*INDEX(Affected,0,C617)*EXP(-((E617-EvCenter)^2)/(2*EvSigma^2))))),"")</f>
        <v/>
      </c>
      <c r="O617">
        <f>IF(B617,ROUND(MAX(0,J617*K617*L617*M617*N617),2),"")</f>
        <v/>
      </c>
    </row>
    <row r="618">
      <c r="A618" t="n">
        <v>617</v>
      </c>
      <c r="B618">
        <f>A618&lt;=MineCount*Days</f>
        <v/>
      </c>
      <c r="C618">
        <f>IF(B618,INT((A618-1)/Days)+1,"")</f>
        <v/>
      </c>
      <c r="D618">
        <f>IF(B618,MOD(A618-1,Days),"")</f>
        <v/>
      </c>
      <c r="E618" s="16">
        <f>IF(B618,StartDate+D618,"")</f>
        <v/>
      </c>
      <c r="F618">
        <f>IF(B618,MAX(MOD(SIN(Seed*0.1373+C618*12.9898+D618*78.233)*43758.5453,1),1E-9),"")</f>
        <v/>
      </c>
      <c r="G618">
        <f>IF(B618,MOD(SIN(Seed*0.5917+C618*39.3468+D618*11.135)*24634.6345,1),"")</f>
        <v/>
      </c>
      <c r="H618">
        <f>IF(B618,SQRT(-2*LN(F618))*COS(2*PI()*G618),"")</f>
        <v/>
      </c>
      <c r="I618">
        <f>IF(B618,IF(D618=0,H618,Rho*I617+SQRT(1-Rho^2)*H618),"")</f>
        <v/>
      </c>
      <c r="J618">
        <f>IF(B618,IF(Dist="Normal",DistA+DistB*I618,DistA+(DistB-DistA)*NORMSDIST(I618)),"")</f>
        <v/>
      </c>
      <c r="K618">
        <f>IF(B618,INDEX(MineScale,C618),"")</f>
        <v/>
      </c>
      <c r="L618">
        <f>IF(B618,INDEX(Dow,1,WEEKDAY(E618,2)),"")</f>
        <v/>
      </c>
      <c r="M618">
        <f>IF(B618,(1+Trend)^D618,"")</f>
        <v/>
      </c>
      <c r="N618">
        <f>IF(B618,EXP(SUMPRODUCT(LN(1+(EvEff-1)*INDEX(Affected,0,C618)*EXP(-((E618-EvCenter)^2)/(2*EvSigma^2))))),"")</f>
        <v/>
      </c>
      <c r="O618">
        <f>IF(B618,ROUND(MAX(0,J618*K618*L618*M618*N618),2),"")</f>
        <v/>
      </c>
    </row>
    <row r="619">
      <c r="A619" t="n">
        <v>618</v>
      </c>
      <c r="B619">
        <f>A619&lt;=MineCount*Days</f>
        <v/>
      </c>
      <c r="C619">
        <f>IF(B619,INT((A619-1)/Days)+1,"")</f>
        <v/>
      </c>
      <c r="D619">
        <f>IF(B619,MOD(A619-1,Days),"")</f>
        <v/>
      </c>
      <c r="E619" s="16">
        <f>IF(B619,StartDate+D619,"")</f>
        <v/>
      </c>
      <c r="F619">
        <f>IF(B619,MAX(MOD(SIN(Seed*0.1373+C619*12.9898+D619*78.233)*43758.5453,1),1E-9),"")</f>
        <v/>
      </c>
      <c r="G619">
        <f>IF(B619,MOD(SIN(Seed*0.5917+C619*39.3468+D619*11.135)*24634.6345,1),"")</f>
        <v/>
      </c>
      <c r="H619">
        <f>IF(B619,SQRT(-2*LN(F619))*COS(2*PI()*G619),"")</f>
        <v/>
      </c>
      <c r="I619">
        <f>IF(B619,IF(D619=0,H619,Rho*I618+SQRT(1-Rho^2)*H619),"")</f>
        <v/>
      </c>
      <c r="J619">
        <f>IF(B619,IF(Dist="Normal",DistA+DistB*I619,DistA+(DistB-DistA)*NORMSDIST(I619)),"")</f>
        <v/>
      </c>
      <c r="K619">
        <f>IF(B619,INDEX(MineScale,C619),"")</f>
        <v/>
      </c>
      <c r="L619">
        <f>IF(B619,INDEX(Dow,1,WEEKDAY(E619,2)),"")</f>
        <v/>
      </c>
      <c r="M619">
        <f>IF(B619,(1+Trend)^D619,"")</f>
        <v/>
      </c>
      <c r="N619">
        <f>IF(B619,EXP(SUMPRODUCT(LN(1+(EvEff-1)*INDEX(Affected,0,C619)*EXP(-((E619-EvCenter)^2)/(2*EvSigma^2))))),"")</f>
        <v/>
      </c>
      <c r="O619">
        <f>IF(B619,ROUND(MAX(0,J619*K619*L619*M619*N619),2),"")</f>
        <v/>
      </c>
    </row>
    <row r="620">
      <c r="A620" t="n">
        <v>619</v>
      </c>
      <c r="B620">
        <f>A620&lt;=MineCount*Days</f>
        <v/>
      </c>
      <c r="C620">
        <f>IF(B620,INT((A620-1)/Days)+1,"")</f>
        <v/>
      </c>
      <c r="D620">
        <f>IF(B620,MOD(A620-1,Days),"")</f>
        <v/>
      </c>
      <c r="E620" s="16">
        <f>IF(B620,StartDate+D620,"")</f>
        <v/>
      </c>
      <c r="F620">
        <f>IF(B620,MAX(MOD(SIN(Seed*0.1373+C620*12.9898+D620*78.233)*43758.5453,1),1E-9),"")</f>
        <v/>
      </c>
      <c r="G620">
        <f>IF(B620,MOD(SIN(Seed*0.5917+C620*39.3468+D620*11.135)*24634.6345,1),"")</f>
        <v/>
      </c>
      <c r="H620">
        <f>IF(B620,SQRT(-2*LN(F620))*COS(2*PI()*G620),"")</f>
        <v/>
      </c>
      <c r="I620">
        <f>IF(B620,IF(D620=0,H620,Rho*I619+SQRT(1-Rho^2)*H620),"")</f>
        <v/>
      </c>
      <c r="J620">
        <f>IF(B620,IF(Dist="Normal",DistA+DistB*I620,DistA+(DistB-DistA)*NORMSDIST(I620)),"")</f>
        <v/>
      </c>
      <c r="K620">
        <f>IF(B620,INDEX(MineScale,C620),"")</f>
        <v/>
      </c>
      <c r="L620">
        <f>IF(B620,INDEX(Dow,1,WEEKDAY(E620,2)),"")</f>
        <v/>
      </c>
      <c r="M620">
        <f>IF(B620,(1+Trend)^D620,"")</f>
        <v/>
      </c>
      <c r="N620">
        <f>IF(B620,EXP(SUMPRODUCT(LN(1+(EvEff-1)*INDEX(Affected,0,C620)*EXP(-((E620-EvCenter)^2)/(2*EvSigma^2))))),"")</f>
        <v/>
      </c>
      <c r="O620">
        <f>IF(B620,ROUND(MAX(0,J620*K620*L620*M620*N620),2),"")</f>
        <v/>
      </c>
    </row>
    <row r="621">
      <c r="A621" t="n">
        <v>620</v>
      </c>
      <c r="B621">
        <f>A621&lt;=MineCount*Days</f>
        <v/>
      </c>
      <c r="C621">
        <f>IF(B621,INT((A621-1)/Days)+1,"")</f>
        <v/>
      </c>
      <c r="D621">
        <f>IF(B621,MOD(A621-1,Days),"")</f>
        <v/>
      </c>
      <c r="E621" s="16">
        <f>IF(B621,StartDate+D621,"")</f>
        <v/>
      </c>
      <c r="F621">
        <f>IF(B621,MAX(MOD(SIN(Seed*0.1373+C621*12.9898+D621*78.233)*43758.5453,1),1E-9),"")</f>
        <v/>
      </c>
      <c r="G621">
        <f>IF(B621,MOD(SIN(Seed*0.5917+C621*39.3468+D621*11.135)*24634.6345,1),"")</f>
        <v/>
      </c>
      <c r="H621">
        <f>IF(B621,SQRT(-2*LN(F621))*COS(2*PI()*G621),"")</f>
        <v/>
      </c>
      <c r="I621">
        <f>IF(B621,IF(D621=0,H621,Rho*I620+SQRT(1-Rho^2)*H621),"")</f>
        <v/>
      </c>
      <c r="J621">
        <f>IF(B621,IF(Dist="Normal",DistA+DistB*I621,DistA+(DistB-DistA)*NORMSDIST(I621)),"")</f>
        <v/>
      </c>
      <c r="K621">
        <f>IF(B621,INDEX(MineScale,C621),"")</f>
        <v/>
      </c>
      <c r="L621">
        <f>IF(B621,INDEX(Dow,1,WEEKDAY(E621,2)),"")</f>
        <v/>
      </c>
      <c r="M621">
        <f>IF(B621,(1+Trend)^D621,"")</f>
        <v/>
      </c>
      <c r="N621">
        <f>IF(B621,EXP(SUMPRODUCT(LN(1+(EvEff-1)*INDEX(Affected,0,C621)*EXP(-((E621-EvCenter)^2)/(2*EvSigma^2))))),"")</f>
        <v/>
      </c>
      <c r="O621">
        <f>IF(B621,ROUND(MAX(0,J621*K621*L621*M621*N621),2),"")</f>
        <v/>
      </c>
    </row>
    <row r="622">
      <c r="A622" t="n">
        <v>621</v>
      </c>
      <c r="B622">
        <f>A622&lt;=MineCount*Days</f>
        <v/>
      </c>
      <c r="C622">
        <f>IF(B622,INT((A622-1)/Days)+1,"")</f>
        <v/>
      </c>
      <c r="D622">
        <f>IF(B622,MOD(A622-1,Days),"")</f>
        <v/>
      </c>
      <c r="E622" s="16">
        <f>IF(B622,StartDate+D622,"")</f>
        <v/>
      </c>
      <c r="F622">
        <f>IF(B622,MAX(MOD(SIN(Seed*0.1373+C622*12.9898+D622*78.233)*43758.5453,1),1E-9),"")</f>
        <v/>
      </c>
      <c r="G622">
        <f>IF(B622,MOD(SIN(Seed*0.5917+C622*39.3468+D622*11.135)*24634.6345,1),"")</f>
        <v/>
      </c>
      <c r="H622">
        <f>IF(B622,SQRT(-2*LN(F622))*COS(2*PI()*G622),"")</f>
        <v/>
      </c>
      <c r="I622">
        <f>IF(B622,IF(D622=0,H622,Rho*I621+SQRT(1-Rho^2)*H622),"")</f>
        <v/>
      </c>
      <c r="J622">
        <f>IF(B622,IF(Dist="Normal",DistA+DistB*I622,DistA+(DistB-DistA)*NORMSDIST(I622)),"")</f>
        <v/>
      </c>
      <c r="K622">
        <f>IF(B622,INDEX(MineScale,C622),"")</f>
        <v/>
      </c>
      <c r="L622">
        <f>IF(B622,INDEX(Dow,1,WEEKDAY(E622,2)),"")</f>
        <v/>
      </c>
      <c r="M622">
        <f>IF(B622,(1+Trend)^D622,"")</f>
        <v/>
      </c>
      <c r="N622">
        <f>IF(B622,EXP(SUMPRODUCT(LN(1+(EvEff-1)*INDEX(Affected,0,C622)*EXP(-((E622-EvCenter)^2)/(2*EvSigma^2))))),"")</f>
        <v/>
      </c>
      <c r="O622">
        <f>IF(B622,ROUND(MAX(0,J622*K622*L622*M622*N622),2),"")</f>
        <v/>
      </c>
    </row>
    <row r="623">
      <c r="A623" t="n">
        <v>622</v>
      </c>
      <c r="B623">
        <f>A623&lt;=MineCount*Days</f>
        <v/>
      </c>
      <c r="C623">
        <f>IF(B623,INT((A623-1)/Days)+1,"")</f>
        <v/>
      </c>
      <c r="D623">
        <f>IF(B623,MOD(A623-1,Days),"")</f>
        <v/>
      </c>
      <c r="E623" s="16">
        <f>IF(B623,StartDate+D623,"")</f>
        <v/>
      </c>
      <c r="F623">
        <f>IF(B623,MAX(MOD(SIN(Seed*0.1373+C623*12.9898+D623*78.233)*43758.5453,1),1E-9),"")</f>
        <v/>
      </c>
      <c r="G623">
        <f>IF(B623,MOD(SIN(Seed*0.5917+C623*39.3468+D623*11.135)*24634.6345,1),"")</f>
        <v/>
      </c>
      <c r="H623">
        <f>IF(B623,SQRT(-2*LN(F623))*COS(2*PI()*G623),"")</f>
        <v/>
      </c>
      <c r="I623">
        <f>IF(B623,IF(D623=0,H623,Rho*I622+SQRT(1-Rho^2)*H623),"")</f>
        <v/>
      </c>
      <c r="J623">
        <f>IF(B623,IF(Dist="Normal",DistA+DistB*I623,DistA+(DistB-DistA)*NORMSDIST(I623)),"")</f>
        <v/>
      </c>
      <c r="K623">
        <f>IF(B623,INDEX(MineScale,C623),"")</f>
        <v/>
      </c>
      <c r="L623">
        <f>IF(B623,INDEX(Dow,1,WEEKDAY(E623,2)),"")</f>
        <v/>
      </c>
      <c r="M623">
        <f>IF(B623,(1+Trend)^D623,"")</f>
        <v/>
      </c>
      <c r="N623">
        <f>IF(B623,EXP(SUMPRODUCT(LN(1+(EvEff-1)*INDEX(Affected,0,C623)*EXP(-((E623-EvCenter)^2)/(2*EvSigma^2))))),"")</f>
        <v/>
      </c>
      <c r="O623">
        <f>IF(B623,ROUND(MAX(0,J623*K623*L623*M623*N623),2),"")</f>
        <v/>
      </c>
    </row>
    <row r="624">
      <c r="A624" t="n">
        <v>623</v>
      </c>
      <c r="B624">
        <f>A624&lt;=MineCount*Days</f>
        <v/>
      </c>
      <c r="C624">
        <f>IF(B624,INT((A624-1)/Days)+1,"")</f>
        <v/>
      </c>
      <c r="D624">
        <f>IF(B624,MOD(A624-1,Days),"")</f>
        <v/>
      </c>
      <c r="E624" s="16">
        <f>IF(B624,StartDate+D624,"")</f>
        <v/>
      </c>
      <c r="F624">
        <f>IF(B624,MAX(MOD(SIN(Seed*0.1373+C624*12.9898+D624*78.233)*43758.5453,1),1E-9),"")</f>
        <v/>
      </c>
      <c r="G624">
        <f>IF(B624,MOD(SIN(Seed*0.5917+C624*39.3468+D624*11.135)*24634.6345,1),"")</f>
        <v/>
      </c>
      <c r="H624">
        <f>IF(B624,SQRT(-2*LN(F624))*COS(2*PI()*G624),"")</f>
        <v/>
      </c>
      <c r="I624">
        <f>IF(B624,IF(D624=0,H624,Rho*I623+SQRT(1-Rho^2)*H624),"")</f>
        <v/>
      </c>
      <c r="J624">
        <f>IF(B624,IF(Dist="Normal",DistA+DistB*I624,DistA+(DistB-DistA)*NORMSDIST(I624)),"")</f>
        <v/>
      </c>
      <c r="K624">
        <f>IF(B624,INDEX(MineScale,C624),"")</f>
        <v/>
      </c>
      <c r="L624">
        <f>IF(B624,INDEX(Dow,1,WEEKDAY(E624,2)),"")</f>
        <v/>
      </c>
      <c r="M624">
        <f>IF(B624,(1+Trend)^D624,"")</f>
        <v/>
      </c>
      <c r="N624">
        <f>IF(B624,EXP(SUMPRODUCT(LN(1+(EvEff-1)*INDEX(Affected,0,C624)*EXP(-((E624-EvCenter)^2)/(2*EvSigma^2))))),"")</f>
        <v/>
      </c>
      <c r="O624">
        <f>IF(B624,ROUND(MAX(0,J624*K624*L624*M624*N624),2),"")</f>
        <v/>
      </c>
    </row>
    <row r="625">
      <c r="A625" t="n">
        <v>624</v>
      </c>
      <c r="B625">
        <f>A625&lt;=MineCount*Days</f>
        <v/>
      </c>
      <c r="C625">
        <f>IF(B625,INT((A625-1)/Days)+1,"")</f>
        <v/>
      </c>
      <c r="D625">
        <f>IF(B625,MOD(A625-1,Days),"")</f>
        <v/>
      </c>
      <c r="E625" s="16">
        <f>IF(B625,StartDate+D625,"")</f>
        <v/>
      </c>
      <c r="F625">
        <f>IF(B625,MAX(MOD(SIN(Seed*0.1373+C625*12.9898+D625*78.233)*43758.5453,1),1E-9),"")</f>
        <v/>
      </c>
      <c r="G625">
        <f>IF(B625,MOD(SIN(Seed*0.5917+C625*39.3468+D625*11.135)*24634.6345,1),"")</f>
        <v/>
      </c>
      <c r="H625">
        <f>IF(B625,SQRT(-2*LN(F625))*COS(2*PI()*G625),"")</f>
        <v/>
      </c>
      <c r="I625">
        <f>IF(B625,IF(D625=0,H625,Rho*I624+SQRT(1-Rho^2)*H625),"")</f>
        <v/>
      </c>
      <c r="J625">
        <f>IF(B625,IF(Dist="Normal",DistA+DistB*I625,DistA+(DistB-DistA)*NORMSDIST(I625)),"")</f>
        <v/>
      </c>
      <c r="K625">
        <f>IF(B625,INDEX(MineScale,C625),"")</f>
        <v/>
      </c>
      <c r="L625">
        <f>IF(B625,INDEX(Dow,1,WEEKDAY(E625,2)),"")</f>
        <v/>
      </c>
      <c r="M625">
        <f>IF(B625,(1+Trend)^D625,"")</f>
        <v/>
      </c>
      <c r="N625">
        <f>IF(B625,EXP(SUMPRODUCT(LN(1+(EvEff-1)*INDEX(Affected,0,C625)*EXP(-((E625-EvCenter)^2)/(2*EvSigma^2))))),"")</f>
        <v/>
      </c>
      <c r="O625">
        <f>IF(B625,ROUND(MAX(0,J625*K625*L625*M625*N625),2),"")</f>
        <v/>
      </c>
    </row>
    <row r="626">
      <c r="A626" t="n">
        <v>625</v>
      </c>
      <c r="B626">
        <f>A626&lt;=MineCount*Days</f>
        <v/>
      </c>
      <c r="C626">
        <f>IF(B626,INT((A626-1)/Days)+1,"")</f>
        <v/>
      </c>
      <c r="D626">
        <f>IF(B626,MOD(A626-1,Days),"")</f>
        <v/>
      </c>
      <c r="E626" s="16">
        <f>IF(B626,StartDate+D626,"")</f>
        <v/>
      </c>
      <c r="F626">
        <f>IF(B626,MAX(MOD(SIN(Seed*0.1373+C626*12.9898+D626*78.233)*43758.5453,1),1E-9),"")</f>
        <v/>
      </c>
      <c r="G626">
        <f>IF(B626,MOD(SIN(Seed*0.5917+C626*39.3468+D626*11.135)*24634.6345,1),"")</f>
        <v/>
      </c>
      <c r="H626">
        <f>IF(B626,SQRT(-2*LN(F626))*COS(2*PI()*G626),"")</f>
        <v/>
      </c>
      <c r="I626">
        <f>IF(B626,IF(D626=0,H626,Rho*I625+SQRT(1-Rho^2)*H626),"")</f>
        <v/>
      </c>
      <c r="J626">
        <f>IF(B626,IF(Dist="Normal",DistA+DistB*I626,DistA+(DistB-DistA)*NORMSDIST(I626)),"")</f>
        <v/>
      </c>
      <c r="K626">
        <f>IF(B626,INDEX(MineScale,C626),"")</f>
        <v/>
      </c>
      <c r="L626">
        <f>IF(B626,INDEX(Dow,1,WEEKDAY(E626,2)),"")</f>
        <v/>
      </c>
      <c r="M626">
        <f>IF(B626,(1+Trend)^D626,"")</f>
        <v/>
      </c>
      <c r="N626">
        <f>IF(B626,EXP(SUMPRODUCT(LN(1+(EvEff-1)*INDEX(Affected,0,C626)*EXP(-((E626-EvCenter)^2)/(2*EvSigma^2))))),"")</f>
        <v/>
      </c>
      <c r="O626">
        <f>IF(B626,ROUND(MAX(0,J626*K626*L626*M626*N626),2),"")</f>
        <v/>
      </c>
    </row>
    <row r="627">
      <c r="A627" t="n">
        <v>626</v>
      </c>
      <c r="B627">
        <f>A627&lt;=MineCount*Days</f>
        <v/>
      </c>
      <c r="C627">
        <f>IF(B627,INT((A627-1)/Days)+1,"")</f>
        <v/>
      </c>
      <c r="D627">
        <f>IF(B627,MOD(A627-1,Days),"")</f>
        <v/>
      </c>
      <c r="E627" s="16">
        <f>IF(B627,StartDate+D627,"")</f>
        <v/>
      </c>
      <c r="F627">
        <f>IF(B627,MAX(MOD(SIN(Seed*0.1373+C627*12.9898+D627*78.233)*43758.5453,1),1E-9),"")</f>
        <v/>
      </c>
      <c r="G627">
        <f>IF(B627,MOD(SIN(Seed*0.5917+C627*39.3468+D627*11.135)*24634.6345,1),"")</f>
        <v/>
      </c>
      <c r="H627">
        <f>IF(B627,SQRT(-2*LN(F627))*COS(2*PI()*G627),"")</f>
        <v/>
      </c>
      <c r="I627">
        <f>IF(B627,IF(D627=0,H627,Rho*I626+SQRT(1-Rho^2)*H627),"")</f>
        <v/>
      </c>
      <c r="J627">
        <f>IF(B627,IF(Dist="Normal",DistA+DistB*I627,DistA+(DistB-DistA)*NORMSDIST(I627)),"")</f>
        <v/>
      </c>
      <c r="K627">
        <f>IF(B627,INDEX(MineScale,C627),"")</f>
        <v/>
      </c>
      <c r="L627">
        <f>IF(B627,INDEX(Dow,1,WEEKDAY(E627,2)),"")</f>
        <v/>
      </c>
      <c r="M627">
        <f>IF(B627,(1+Trend)^D627,"")</f>
        <v/>
      </c>
      <c r="N627">
        <f>IF(B627,EXP(SUMPRODUCT(LN(1+(EvEff-1)*INDEX(Affected,0,C627)*EXP(-((E627-EvCenter)^2)/(2*EvSigma^2))))),"")</f>
        <v/>
      </c>
      <c r="O627">
        <f>IF(B627,ROUND(MAX(0,J627*K627*L627*M627*N627),2),"")</f>
        <v/>
      </c>
    </row>
    <row r="628">
      <c r="A628" t="n">
        <v>627</v>
      </c>
      <c r="B628">
        <f>A628&lt;=MineCount*Days</f>
        <v/>
      </c>
      <c r="C628">
        <f>IF(B628,INT((A628-1)/Days)+1,"")</f>
        <v/>
      </c>
      <c r="D628">
        <f>IF(B628,MOD(A628-1,Days),"")</f>
        <v/>
      </c>
      <c r="E628" s="16">
        <f>IF(B628,StartDate+D628,"")</f>
        <v/>
      </c>
      <c r="F628">
        <f>IF(B628,MAX(MOD(SIN(Seed*0.1373+C628*12.9898+D628*78.233)*43758.5453,1),1E-9),"")</f>
        <v/>
      </c>
      <c r="G628">
        <f>IF(B628,MOD(SIN(Seed*0.5917+C628*39.3468+D628*11.135)*24634.6345,1),"")</f>
        <v/>
      </c>
      <c r="H628">
        <f>IF(B628,SQRT(-2*LN(F628))*COS(2*PI()*G628),"")</f>
        <v/>
      </c>
      <c r="I628">
        <f>IF(B628,IF(D628=0,H628,Rho*I627+SQRT(1-Rho^2)*H628),"")</f>
        <v/>
      </c>
      <c r="J628">
        <f>IF(B628,IF(Dist="Normal",DistA+DistB*I628,DistA+(DistB-DistA)*NORMSDIST(I628)),"")</f>
        <v/>
      </c>
      <c r="K628">
        <f>IF(B628,INDEX(MineScale,C628),"")</f>
        <v/>
      </c>
      <c r="L628">
        <f>IF(B628,INDEX(Dow,1,WEEKDAY(E628,2)),"")</f>
        <v/>
      </c>
      <c r="M628">
        <f>IF(B628,(1+Trend)^D628,"")</f>
        <v/>
      </c>
      <c r="N628">
        <f>IF(B628,EXP(SUMPRODUCT(LN(1+(EvEff-1)*INDEX(Affected,0,C628)*EXP(-((E628-EvCenter)^2)/(2*EvSigma^2))))),"")</f>
        <v/>
      </c>
      <c r="O628">
        <f>IF(B628,ROUND(MAX(0,J628*K628*L628*M628*N628),2),"")</f>
        <v/>
      </c>
    </row>
    <row r="629">
      <c r="A629" t="n">
        <v>628</v>
      </c>
      <c r="B629">
        <f>A629&lt;=MineCount*Days</f>
        <v/>
      </c>
      <c r="C629">
        <f>IF(B629,INT((A629-1)/Days)+1,"")</f>
        <v/>
      </c>
      <c r="D629">
        <f>IF(B629,MOD(A629-1,Days),"")</f>
        <v/>
      </c>
      <c r="E629" s="16">
        <f>IF(B629,StartDate+D629,"")</f>
        <v/>
      </c>
      <c r="F629">
        <f>IF(B629,MAX(MOD(SIN(Seed*0.1373+C629*12.9898+D629*78.233)*43758.5453,1),1E-9),"")</f>
        <v/>
      </c>
      <c r="G629">
        <f>IF(B629,MOD(SIN(Seed*0.5917+C629*39.3468+D629*11.135)*24634.6345,1),"")</f>
        <v/>
      </c>
      <c r="H629">
        <f>IF(B629,SQRT(-2*LN(F629))*COS(2*PI()*G629),"")</f>
        <v/>
      </c>
      <c r="I629">
        <f>IF(B629,IF(D629=0,H629,Rho*I628+SQRT(1-Rho^2)*H629),"")</f>
        <v/>
      </c>
      <c r="J629">
        <f>IF(B629,IF(Dist="Normal",DistA+DistB*I629,DistA+(DistB-DistA)*NORMSDIST(I629)),"")</f>
        <v/>
      </c>
      <c r="K629">
        <f>IF(B629,INDEX(MineScale,C629),"")</f>
        <v/>
      </c>
      <c r="L629">
        <f>IF(B629,INDEX(Dow,1,WEEKDAY(E629,2)),"")</f>
        <v/>
      </c>
      <c r="M629">
        <f>IF(B629,(1+Trend)^D629,"")</f>
        <v/>
      </c>
      <c r="N629">
        <f>IF(B629,EXP(SUMPRODUCT(LN(1+(EvEff-1)*INDEX(Affected,0,C629)*EXP(-((E629-EvCenter)^2)/(2*EvSigma^2))))),"")</f>
        <v/>
      </c>
      <c r="O629">
        <f>IF(B629,ROUND(MAX(0,J629*K629*L629*M629*N629),2),"")</f>
        <v/>
      </c>
    </row>
    <row r="630">
      <c r="A630" t="n">
        <v>629</v>
      </c>
      <c r="B630">
        <f>A630&lt;=MineCount*Days</f>
        <v/>
      </c>
      <c r="C630">
        <f>IF(B630,INT((A630-1)/Days)+1,"")</f>
        <v/>
      </c>
      <c r="D630">
        <f>IF(B630,MOD(A630-1,Days),"")</f>
        <v/>
      </c>
      <c r="E630" s="16">
        <f>IF(B630,StartDate+D630,"")</f>
        <v/>
      </c>
      <c r="F630">
        <f>IF(B630,MAX(MOD(SIN(Seed*0.1373+C630*12.9898+D630*78.233)*43758.5453,1),1E-9),"")</f>
        <v/>
      </c>
      <c r="G630">
        <f>IF(B630,MOD(SIN(Seed*0.5917+C630*39.3468+D630*11.135)*24634.6345,1),"")</f>
        <v/>
      </c>
      <c r="H630">
        <f>IF(B630,SQRT(-2*LN(F630))*COS(2*PI()*G630),"")</f>
        <v/>
      </c>
      <c r="I630">
        <f>IF(B630,IF(D630=0,H630,Rho*I629+SQRT(1-Rho^2)*H630),"")</f>
        <v/>
      </c>
      <c r="J630">
        <f>IF(B630,IF(Dist="Normal",DistA+DistB*I630,DistA+(DistB-DistA)*NORMSDIST(I630)),"")</f>
        <v/>
      </c>
      <c r="K630">
        <f>IF(B630,INDEX(MineScale,C630),"")</f>
        <v/>
      </c>
      <c r="L630">
        <f>IF(B630,INDEX(Dow,1,WEEKDAY(E630,2)),"")</f>
        <v/>
      </c>
      <c r="M630">
        <f>IF(B630,(1+Trend)^D630,"")</f>
        <v/>
      </c>
      <c r="N630">
        <f>IF(B630,EXP(SUMPRODUCT(LN(1+(EvEff-1)*INDEX(Affected,0,C630)*EXP(-((E630-EvCenter)^2)/(2*EvSigma^2))))),"")</f>
        <v/>
      </c>
      <c r="O630">
        <f>IF(B630,ROUND(MAX(0,J630*K630*L630*M630*N630),2),"")</f>
        <v/>
      </c>
    </row>
    <row r="631">
      <c r="A631" t="n">
        <v>630</v>
      </c>
      <c r="B631">
        <f>A631&lt;=MineCount*Days</f>
        <v/>
      </c>
      <c r="C631">
        <f>IF(B631,INT((A631-1)/Days)+1,"")</f>
        <v/>
      </c>
      <c r="D631">
        <f>IF(B631,MOD(A631-1,Days),"")</f>
        <v/>
      </c>
      <c r="E631" s="16">
        <f>IF(B631,StartDate+D631,"")</f>
        <v/>
      </c>
      <c r="F631">
        <f>IF(B631,MAX(MOD(SIN(Seed*0.1373+C631*12.9898+D631*78.233)*43758.5453,1),1E-9),"")</f>
        <v/>
      </c>
      <c r="G631">
        <f>IF(B631,MOD(SIN(Seed*0.5917+C631*39.3468+D631*11.135)*24634.6345,1),"")</f>
        <v/>
      </c>
      <c r="H631">
        <f>IF(B631,SQRT(-2*LN(F631))*COS(2*PI()*G631),"")</f>
        <v/>
      </c>
      <c r="I631">
        <f>IF(B631,IF(D631=0,H631,Rho*I630+SQRT(1-Rho^2)*H631),"")</f>
        <v/>
      </c>
      <c r="J631">
        <f>IF(B631,IF(Dist="Normal",DistA+DistB*I631,DistA+(DistB-DistA)*NORMSDIST(I631)),"")</f>
        <v/>
      </c>
      <c r="K631">
        <f>IF(B631,INDEX(MineScale,C631),"")</f>
        <v/>
      </c>
      <c r="L631">
        <f>IF(B631,INDEX(Dow,1,WEEKDAY(E631,2)),"")</f>
        <v/>
      </c>
      <c r="M631">
        <f>IF(B631,(1+Trend)^D631,"")</f>
        <v/>
      </c>
      <c r="N631">
        <f>IF(B631,EXP(SUMPRODUCT(LN(1+(EvEff-1)*INDEX(Affected,0,C631)*EXP(-((E631-EvCenter)^2)/(2*EvSigma^2))))),"")</f>
        <v/>
      </c>
      <c r="O631">
        <f>IF(B631,ROUND(MAX(0,J631*K631*L631*M631*N631),2),"")</f>
        <v/>
      </c>
    </row>
    <row r="632">
      <c r="A632" t="n">
        <v>631</v>
      </c>
      <c r="B632">
        <f>A632&lt;=MineCount*Days</f>
        <v/>
      </c>
      <c r="C632">
        <f>IF(B632,INT((A632-1)/Days)+1,"")</f>
        <v/>
      </c>
      <c r="D632">
        <f>IF(B632,MOD(A632-1,Days),"")</f>
        <v/>
      </c>
      <c r="E632" s="16">
        <f>IF(B632,StartDate+D632,"")</f>
        <v/>
      </c>
      <c r="F632">
        <f>IF(B632,MAX(MOD(SIN(Seed*0.1373+C632*12.9898+D632*78.233)*43758.5453,1),1E-9),"")</f>
        <v/>
      </c>
      <c r="G632">
        <f>IF(B632,MOD(SIN(Seed*0.5917+C632*39.3468+D632*11.135)*24634.6345,1),"")</f>
        <v/>
      </c>
      <c r="H632">
        <f>IF(B632,SQRT(-2*LN(F632))*COS(2*PI()*G632),"")</f>
        <v/>
      </c>
      <c r="I632">
        <f>IF(B632,IF(D632=0,H632,Rho*I631+SQRT(1-Rho^2)*H632),"")</f>
        <v/>
      </c>
      <c r="J632">
        <f>IF(B632,IF(Dist="Normal",DistA+DistB*I632,DistA+(DistB-DistA)*NORMSDIST(I632)),"")</f>
        <v/>
      </c>
      <c r="K632">
        <f>IF(B632,INDEX(MineScale,C632),"")</f>
        <v/>
      </c>
      <c r="L632">
        <f>IF(B632,INDEX(Dow,1,WEEKDAY(E632,2)),"")</f>
        <v/>
      </c>
      <c r="M632">
        <f>IF(B632,(1+Trend)^D632,"")</f>
        <v/>
      </c>
      <c r="N632">
        <f>IF(B632,EXP(SUMPRODUCT(LN(1+(EvEff-1)*INDEX(Affected,0,C632)*EXP(-((E632-EvCenter)^2)/(2*EvSigma^2))))),"")</f>
        <v/>
      </c>
      <c r="O632">
        <f>IF(B632,ROUND(MAX(0,J632*K632*L632*M632*N632),2),"")</f>
        <v/>
      </c>
    </row>
    <row r="633">
      <c r="A633" t="n">
        <v>632</v>
      </c>
      <c r="B633">
        <f>A633&lt;=MineCount*Days</f>
        <v/>
      </c>
      <c r="C633">
        <f>IF(B633,INT((A633-1)/Days)+1,"")</f>
        <v/>
      </c>
      <c r="D633">
        <f>IF(B633,MOD(A633-1,Days),"")</f>
        <v/>
      </c>
      <c r="E633" s="16">
        <f>IF(B633,StartDate+D633,"")</f>
        <v/>
      </c>
      <c r="F633">
        <f>IF(B633,MAX(MOD(SIN(Seed*0.1373+C633*12.9898+D633*78.233)*43758.5453,1),1E-9),"")</f>
        <v/>
      </c>
      <c r="G633">
        <f>IF(B633,MOD(SIN(Seed*0.5917+C633*39.3468+D633*11.135)*24634.6345,1),"")</f>
        <v/>
      </c>
      <c r="H633">
        <f>IF(B633,SQRT(-2*LN(F633))*COS(2*PI()*G633),"")</f>
        <v/>
      </c>
      <c r="I633">
        <f>IF(B633,IF(D633=0,H633,Rho*I632+SQRT(1-Rho^2)*H633),"")</f>
        <v/>
      </c>
      <c r="J633">
        <f>IF(B633,IF(Dist="Normal",DistA+DistB*I633,DistA+(DistB-DistA)*NORMSDIST(I633)),"")</f>
        <v/>
      </c>
      <c r="K633">
        <f>IF(B633,INDEX(MineScale,C633),"")</f>
        <v/>
      </c>
      <c r="L633">
        <f>IF(B633,INDEX(Dow,1,WEEKDAY(E633,2)),"")</f>
        <v/>
      </c>
      <c r="M633">
        <f>IF(B633,(1+Trend)^D633,"")</f>
        <v/>
      </c>
      <c r="N633">
        <f>IF(B633,EXP(SUMPRODUCT(LN(1+(EvEff-1)*INDEX(Affected,0,C633)*EXP(-((E633-EvCenter)^2)/(2*EvSigma^2))))),"")</f>
        <v/>
      </c>
      <c r="O633">
        <f>IF(B633,ROUND(MAX(0,J633*K633*L633*M633*N633),2),"")</f>
        <v/>
      </c>
    </row>
    <row r="634">
      <c r="A634" t="n">
        <v>633</v>
      </c>
      <c r="B634">
        <f>A634&lt;=MineCount*Days</f>
        <v/>
      </c>
      <c r="C634">
        <f>IF(B634,INT((A634-1)/Days)+1,"")</f>
        <v/>
      </c>
      <c r="D634">
        <f>IF(B634,MOD(A634-1,Days),"")</f>
        <v/>
      </c>
      <c r="E634" s="16">
        <f>IF(B634,StartDate+D634,"")</f>
        <v/>
      </c>
      <c r="F634">
        <f>IF(B634,MAX(MOD(SIN(Seed*0.1373+C634*12.9898+D634*78.233)*43758.5453,1),1E-9),"")</f>
        <v/>
      </c>
      <c r="G634">
        <f>IF(B634,MOD(SIN(Seed*0.5917+C634*39.3468+D634*11.135)*24634.6345,1),"")</f>
        <v/>
      </c>
      <c r="H634">
        <f>IF(B634,SQRT(-2*LN(F634))*COS(2*PI()*G634),"")</f>
        <v/>
      </c>
      <c r="I634">
        <f>IF(B634,IF(D634=0,H634,Rho*I633+SQRT(1-Rho^2)*H634),"")</f>
        <v/>
      </c>
      <c r="J634">
        <f>IF(B634,IF(Dist="Normal",DistA+DistB*I634,DistA+(DistB-DistA)*NORMSDIST(I634)),"")</f>
        <v/>
      </c>
      <c r="K634">
        <f>IF(B634,INDEX(MineScale,C634),"")</f>
        <v/>
      </c>
      <c r="L634">
        <f>IF(B634,INDEX(Dow,1,WEEKDAY(E634,2)),"")</f>
        <v/>
      </c>
      <c r="M634">
        <f>IF(B634,(1+Trend)^D634,"")</f>
        <v/>
      </c>
      <c r="N634">
        <f>IF(B634,EXP(SUMPRODUCT(LN(1+(EvEff-1)*INDEX(Affected,0,C634)*EXP(-((E634-EvCenter)^2)/(2*EvSigma^2))))),"")</f>
        <v/>
      </c>
      <c r="O634">
        <f>IF(B634,ROUND(MAX(0,J634*K634*L634*M634*N634),2),"")</f>
        <v/>
      </c>
    </row>
    <row r="635">
      <c r="A635" t="n">
        <v>634</v>
      </c>
      <c r="B635">
        <f>A635&lt;=MineCount*Days</f>
        <v/>
      </c>
      <c r="C635">
        <f>IF(B635,INT((A635-1)/Days)+1,"")</f>
        <v/>
      </c>
      <c r="D635">
        <f>IF(B635,MOD(A635-1,Days),"")</f>
        <v/>
      </c>
      <c r="E635" s="16">
        <f>IF(B635,StartDate+D635,"")</f>
        <v/>
      </c>
      <c r="F635">
        <f>IF(B635,MAX(MOD(SIN(Seed*0.1373+C635*12.9898+D635*78.233)*43758.5453,1),1E-9),"")</f>
        <v/>
      </c>
      <c r="G635">
        <f>IF(B635,MOD(SIN(Seed*0.5917+C635*39.3468+D635*11.135)*24634.6345,1),"")</f>
        <v/>
      </c>
      <c r="H635">
        <f>IF(B635,SQRT(-2*LN(F635))*COS(2*PI()*G635),"")</f>
        <v/>
      </c>
      <c r="I635">
        <f>IF(B635,IF(D635=0,H635,Rho*I634+SQRT(1-Rho^2)*H635),"")</f>
        <v/>
      </c>
      <c r="J635">
        <f>IF(B635,IF(Dist="Normal",DistA+DistB*I635,DistA+(DistB-DistA)*NORMSDIST(I635)),"")</f>
        <v/>
      </c>
      <c r="K635">
        <f>IF(B635,INDEX(MineScale,C635),"")</f>
        <v/>
      </c>
      <c r="L635">
        <f>IF(B635,INDEX(Dow,1,WEEKDAY(E635,2)),"")</f>
        <v/>
      </c>
      <c r="M635">
        <f>IF(B635,(1+Trend)^D635,"")</f>
        <v/>
      </c>
      <c r="N635">
        <f>IF(B635,EXP(SUMPRODUCT(LN(1+(EvEff-1)*INDEX(Affected,0,C635)*EXP(-((E635-EvCenter)^2)/(2*EvSigma^2))))),"")</f>
        <v/>
      </c>
      <c r="O635">
        <f>IF(B635,ROUND(MAX(0,J635*K635*L635*M635*N635),2),"")</f>
        <v/>
      </c>
    </row>
    <row r="636">
      <c r="A636" t="n">
        <v>635</v>
      </c>
      <c r="B636">
        <f>A636&lt;=MineCount*Days</f>
        <v/>
      </c>
      <c r="C636">
        <f>IF(B636,INT((A636-1)/Days)+1,"")</f>
        <v/>
      </c>
      <c r="D636">
        <f>IF(B636,MOD(A636-1,Days),"")</f>
        <v/>
      </c>
      <c r="E636" s="16">
        <f>IF(B636,StartDate+D636,"")</f>
        <v/>
      </c>
      <c r="F636">
        <f>IF(B636,MAX(MOD(SIN(Seed*0.1373+C636*12.9898+D636*78.233)*43758.5453,1),1E-9),"")</f>
        <v/>
      </c>
      <c r="G636">
        <f>IF(B636,MOD(SIN(Seed*0.5917+C636*39.3468+D636*11.135)*24634.6345,1),"")</f>
        <v/>
      </c>
      <c r="H636">
        <f>IF(B636,SQRT(-2*LN(F636))*COS(2*PI()*G636),"")</f>
        <v/>
      </c>
      <c r="I636">
        <f>IF(B636,IF(D636=0,H636,Rho*I635+SQRT(1-Rho^2)*H636),"")</f>
        <v/>
      </c>
      <c r="J636">
        <f>IF(B636,IF(Dist="Normal",DistA+DistB*I636,DistA+(DistB-DistA)*NORMSDIST(I636)),"")</f>
        <v/>
      </c>
      <c r="K636">
        <f>IF(B636,INDEX(MineScale,C636),"")</f>
        <v/>
      </c>
      <c r="L636">
        <f>IF(B636,INDEX(Dow,1,WEEKDAY(E636,2)),"")</f>
        <v/>
      </c>
      <c r="M636">
        <f>IF(B636,(1+Trend)^D636,"")</f>
        <v/>
      </c>
      <c r="N636">
        <f>IF(B636,EXP(SUMPRODUCT(LN(1+(EvEff-1)*INDEX(Affected,0,C636)*EXP(-((E636-EvCenter)^2)/(2*EvSigma^2))))),"")</f>
        <v/>
      </c>
      <c r="O636">
        <f>IF(B636,ROUND(MAX(0,J636*K636*L636*M636*N636),2),"")</f>
        <v/>
      </c>
    </row>
    <row r="637">
      <c r="A637" t="n">
        <v>636</v>
      </c>
      <c r="B637">
        <f>A637&lt;=MineCount*Days</f>
        <v/>
      </c>
      <c r="C637">
        <f>IF(B637,INT((A637-1)/Days)+1,"")</f>
        <v/>
      </c>
      <c r="D637">
        <f>IF(B637,MOD(A637-1,Days),"")</f>
        <v/>
      </c>
      <c r="E637" s="16">
        <f>IF(B637,StartDate+D637,"")</f>
        <v/>
      </c>
      <c r="F637">
        <f>IF(B637,MAX(MOD(SIN(Seed*0.1373+C637*12.9898+D637*78.233)*43758.5453,1),1E-9),"")</f>
        <v/>
      </c>
      <c r="G637">
        <f>IF(B637,MOD(SIN(Seed*0.5917+C637*39.3468+D637*11.135)*24634.6345,1),"")</f>
        <v/>
      </c>
      <c r="H637">
        <f>IF(B637,SQRT(-2*LN(F637))*COS(2*PI()*G637),"")</f>
        <v/>
      </c>
      <c r="I637">
        <f>IF(B637,IF(D637=0,H637,Rho*I636+SQRT(1-Rho^2)*H637),"")</f>
        <v/>
      </c>
      <c r="J637">
        <f>IF(B637,IF(Dist="Normal",DistA+DistB*I637,DistA+(DistB-DistA)*NORMSDIST(I637)),"")</f>
        <v/>
      </c>
      <c r="K637">
        <f>IF(B637,INDEX(MineScale,C637),"")</f>
        <v/>
      </c>
      <c r="L637">
        <f>IF(B637,INDEX(Dow,1,WEEKDAY(E637,2)),"")</f>
        <v/>
      </c>
      <c r="M637">
        <f>IF(B637,(1+Trend)^D637,"")</f>
        <v/>
      </c>
      <c r="N637">
        <f>IF(B637,EXP(SUMPRODUCT(LN(1+(EvEff-1)*INDEX(Affected,0,C637)*EXP(-((E637-EvCenter)^2)/(2*EvSigma^2))))),"")</f>
        <v/>
      </c>
      <c r="O637">
        <f>IF(B637,ROUND(MAX(0,J637*K637*L637*M637*N637),2),"")</f>
        <v/>
      </c>
    </row>
    <row r="638">
      <c r="A638" t="n">
        <v>637</v>
      </c>
      <c r="B638">
        <f>A638&lt;=MineCount*Days</f>
        <v/>
      </c>
      <c r="C638">
        <f>IF(B638,INT((A638-1)/Days)+1,"")</f>
        <v/>
      </c>
      <c r="D638">
        <f>IF(B638,MOD(A638-1,Days),"")</f>
        <v/>
      </c>
      <c r="E638" s="16">
        <f>IF(B638,StartDate+D638,"")</f>
        <v/>
      </c>
      <c r="F638">
        <f>IF(B638,MAX(MOD(SIN(Seed*0.1373+C638*12.9898+D638*78.233)*43758.5453,1),1E-9),"")</f>
        <v/>
      </c>
      <c r="G638">
        <f>IF(B638,MOD(SIN(Seed*0.5917+C638*39.3468+D638*11.135)*24634.6345,1),"")</f>
        <v/>
      </c>
      <c r="H638">
        <f>IF(B638,SQRT(-2*LN(F638))*COS(2*PI()*G638),"")</f>
        <v/>
      </c>
      <c r="I638">
        <f>IF(B638,IF(D638=0,H638,Rho*I637+SQRT(1-Rho^2)*H638),"")</f>
        <v/>
      </c>
      <c r="J638">
        <f>IF(B638,IF(Dist="Normal",DistA+DistB*I638,DistA+(DistB-DistA)*NORMSDIST(I638)),"")</f>
        <v/>
      </c>
      <c r="K638">
        <f>IF(B638,INDEX(MineScale,C638),"")</f>
        <v/>
      </c>
      <c r="L638">
        <f>IF(B638,INDEX(Dow,1,WEEKDAY(E638,2)),"")</f>
        <v/>
      </c>
      <c r="M638">
        <f>IF(B638,(1+Trend)^D638,"")</f>
        <v/>
      </c>
      <c r="N638">
        <f>IF(B638,EXP(SUMPRODUCT(LN(1+(EvEff-1)*INDEX(Affected,0,C638)*EXP(-((E638-EvCenter)^2)/(2*EvSigma^2))))),"")</f>
        <v/>
      </c>
      <c r="O638">
        <f>IF(B638,ROUND(MAX(0,J638*K638*L638*M638*N638),2),"")</f>
        <v/>
      </c>
    </row>
    <row r="639">
      <c r="A639" t="n">
        <v>638</v>
      </c>
      <c r="B639">
        <f>A639&lt;=MineCount*Days</f>
        <v/>
      </c>
      <c r="C639">
        <f>IF(B639,INT((A639-1)/Days)+1,"")</f>
        <v/>
      </c>
      <c r="D639">
        <f>IF(B639,MOD(A639-1,Days),"")</f>
        <v/>
      </c>
      <c r="E639" s="16">
        <f>IF(B639,StartDate+D639,"")</f>
        <v/>
      </c>
      <c r="F639">
        <f>IF(B639,MAX(MOD(SIN(Seed*0.1373+C639*12.9898+D639*78.233)*43758.5453,1),1E-9),"")</f>
        <v/>
      </c>
      <c r="G639">
        <f>IF(B639,MOD(SIN(Seed*0.5917+C639*39.3468+D639*11.135)*24634.6345,1),"")</f>
        <v/>
      </c>
      <c r="H639">
        <f>IF(B639,SQRT(-2*LN(F639))*COS(2*PI()*G639),"")</f>
        <v/>
      </c>
      <c r="I639">
        <f>IF(B639,IF(D639=0,H639,Rho*I638+SQRT(1-Rho^2)*H639),"")</f>
        <v/>
      </c>
      <c r="J639">
        <f>IF(B639,IF(Dist="Normal",DistA+DistB*I639,DistA+(DistB-DistA)*NORMSDIST(I639)),"")</f>
        <v/>
      </c>
      <c r="K639">
        <f>IF(B639,INDEX(MineScale,C639),"")</f>
        <v/>
      </c>
      <c r="L639">
        <f>IF(B639,INDEX(Dow,1,WEEKDAY(E639,2)),"")</f>
        <v/>
      </c>
      <c r="M639">
        <f>IF(B639,(1+Trend)^D639,"")</f>
        <v/>
      </c>
      <c r="N639">
        <f>IF(B639,EXP(SUMPRODUCT(LN(1+(EvEff-1)*INDEX(Affected,0,C639)*EXP(-((E639-EvCenter)^2)/(2*EvSigma^2))))),"")</f>
        <v/>
      </c>
      <c r="O639">
        <f>IF(B639,ROUND(MAX(0,J639*K639*L639*M639*N639),2),"")</f>
        <v/>
      </c>
    </row>
    <row r="640">
      <c r="A640" t="n">
        <v>639</v>
      </c>
      <c r="B640">
        <f>A640&lt;=MineCount*Days</f>
        <v/>
      </c>
      <c r="C640">
        <f>IF(B640,INT((A640-1)/Days)+1,"")</f>
        <v/>
      </c>
      <c r="D640">
        <f>IF(B640,MOD(A640-1,Days),"")</f>
        <v/>
      </c>
      <c r="E640" s="16">
        <f>IF(B640,StartDate+D640,"")</f>
        <v/>
      </c>
      <c r="F640">
        <f>IF(B640,MAX(MOD(SIN(Seed*0.1373+C640*12.9898+D640*78.233)*43758.5453,1),1E-9),"")</f>
        <v/>
      </c>
      <c r="G640">
        <f>IF(B640,MOD(SIN(Seed*0.5917+C640*39.3468+D640*11.135)*24634.6345,1),"")</f>
        <v/>
      </c>
      <c r="H640">
        <f>IF(B640,SQRT(-2*LN(F640))*COS(2*PI()*G640),"")</f>
        <v/>
      </c>
      <c r="I640">
        <f>IF(B640,IF(D640=0,H640,Rho*I639+SQRT(1-Rho^2)*H640),"")</f>
        <v/>
      </c>
      <c r="J640">
        <f>IF(B640,IF(Dist="Normal",DistA+DistB*I640,DistA+(DistB-DistA)*NORMSDIST(I640)),"")</f>
        <v/>
      </c>
      <c r="K640">
        <f>IF(B640,INDEX(MineScale,C640),"")</f>
        <v/>
      </c>
      <c r="L640">
        <f>IF(B640,INDEX(Dow,1,WEEKDAY(E640,2)),"")</f>
        <v/>
      </c>
      <c r="M640">
        <f>IF(B640,(1+Trend)^D640,"")</f>
        <v/>
      </c>
      <c r="N640">
        <f>IF(B640,EXP(SUMPRODUCT(LN(1+(EvEff-1)*INDEX(Affected,0,C640)*EXP(-((E640-EvCenter)^2)/(2*EvSigma^2))))),"")</f>
        <v/>
      </c>
      <c r="O640">
        <f>IF(B640,ROUND(MAX(0,J640*K640*L640*M640*N640),2),"")</f>
        <v/>
      </c>
    </row>
    <row r="641">
      <c r="A641" t="n">
        <v>640</v>
      </c>
      <c r="B641">
        <f>A641&lt;=MineCount*Days</f>
        <v/>
      </c>
      <c r="C641">
        <f>IF(B641,INT((A641-1)/Days)+1,"")</f>
        <v/>
      </c>
      <c r="D641">
        <f>IF(B641,MOD(A641-1,Days),"")</f>
        <v/>
      </c>
      <c r="E641" s="16">
        <f>IF(B641,StartDate+D641,"")</f>
        <v/>
      </c>
      <c r="F641">
        <f>IF(B641,MAX(MOD(SIN(Seed*0.1373+C641*12.9898+D641*78.233)*43758.5453,1),1E-9),"")</f>
        <v/>
      </c>
      <c r="G641">
        <f>IF(B641,MOD(SIN(Seed*0.5917+C641*39.3468+D641*11.135)*24634.6345,1),"")</f>
        <v/>
      </c>
      <c r="H641">
        <f>IF(B641,SQRT(-2*LN(F641))*COS(2*PI()*G641),"")</f>
        <v/>
      </c>
      <c r="I641">
        <f>IF(B641,IF(D641=0,H641,Rho*I640+SQRT(1-Rho^2)*H641),"")</f>
        <v/>
      </c>
      <c r="J641">
        <f>IF(B641,IF(Dist="Normal",DistA+DistB*I641,DistA+(DistB-DistA)*NORMSDIST(I641)),"")</f>
        <v/>
      </c>
      <c r="K641">
        <f>IF(B641,INDEX(MineScale,C641),"")</f>
        <v/>
      </c>
      <c r="L641">
        <f>IF(B641,INDEX(Dow,1,WEEKDAY(E641,2)),"")</f>
        <v/>
      </c>
      <c r="M641">
        <f>IF(B641,(1+Trend)^D641,"")</f>
        <v/>
      </c>
      <c r="N641">
        <f>IF(B641,EXP(SUMPRODUCT(LN(1+(EvEff-1)*INDEX(Affected,0,C641)*EXP(-((E641-EvCenter)^2)/(2*EvSigma^2))))),"")</f>
        <v/>
      </c>
      <c r="O641">
        <f>IF(B641,ROUND(MAX(0,J641*K641*L641*M641*N641),2),"")</f>
        <v/>
      </c>
    </row>
    <row r="642">
      <c r="A642" t="n">
        <v>641</v>
      </c>
      <c r="B642">
        <f>A642&lt;=MineCount*Days</f>
        <v/>
      </c>
      <c r="C642">
        <f>IF(B642,INT((A642-1)/Days)+1,"")</f>
        <v/>
      </c>
      <c r="D642">
        <f>IF(B642,MOD(A642-1,Days),"")</f>
        <v/>
      </c>
      <c r="E642" s="16">
        <f>IF(B642,StartDate+D642,"")</f>
        <v/>
      </c>
      <c r="F642">
        <f>IF(B642,MAX(MOD(SIN(Seed*0.1373+C642*12.9898+D642*78.233)*43758.5453,1),1E-9),"")</f>
        <v/>
      </c>
      <c r="G642">
        <f>IF(B642,MOD(SIN(Seed*0.5917+C642*39.3468+D642*11.135)*24634.6345,1),"")</f>
        <v/>
      </c>
      <c r="H642">
        <f>IF(B642,SQRT(-2*LN(F642))*COS(2*PI()*G642),"")</f>
        <v/>
      </c>
      <c r="I642">
        <f>IF(B642,IF(D642=0,H642,Rho*I641+SQRT(1-Rho^2)*H642),"")</f>
        <v/>
      </c>
      <c r="J642">
        <f>IF(B642,IF(Dist="Normal",DistA+DistB*I642,DistA+(DistB-DistA)*NORMSDIST(I642)),"")</f>
        <v/>
      </c>
      <c r="K642">
        <f>IF(B642,INDEX(MineScale,C642),"")</f>
        <v/>
      </c>
      <c r="L642">
        <f>IF(B642,INDEX(Dow,1,WEEKDAY(E642,2)),"")</f>
        <v/>
      </c>
      <c r="M642">
        <f>IF(B642,(1+Trend)^D642,"")</f>
        <v/>
      </c>
      <c r="N642">
        <f>IF(B642,EXP(SUMPRODUCT(LN(1+(EvEff-1)*INDEX(Affected,0,C642)*EXP(-((E642-EvCenter)^2)/(2*EvSigma^2))))),"")</f>
        <v/>
      </c>
      <c r="O642">
        <f>IF(B642,ROUND(MAX(0,J642*K642*L642*M642*N642),2),"")</f>
        <v/>
      </c>
    </row>
    <row r="643">
      <c r="A643" t="n">
        <v>642</v>
      </c>
      <c r="B643">
        <f>A643&lt;=MineCount*Days</f>
        <v/>
      </c>
      <c r="C643">
        <f>IF(B643,INT((A643-1)/Days)+1,"")</f>
        <v/>
      </c>
      <c r="D643">
        <f>IF(B643,MOD(A643-1,Days),"")</f>
        <v/>
      </c>
      <c r="E643" s="16">
        <f>IF(B643,StartDate+D643,"")</f>
        <v/>
      </c>
      <c r="F643">
        <f>IF(B643,MAX(MOD(SIN(Seed*0.1373+C643*12.9898+D643*78.233)*43758.5453,1),1E-9),"")</f>
        <v/>
      </c>
      <c r="G643">
        <f>IF(B643,MOD(SIN(Seed*0.5917+C643*39.3468+D643*11.135)*24634.6345,1),"")</f>
        <v/>
      </c>
      <c r="H643">
        <f>IF(B643,SQRT(-2*LN(F643))*COS(2*PI()*G643),"")</f>
        <v/>
      </c>
      <c r="I643">
        <f>IF(B643,IF(D643=0,H643,Rho*I642+SQRT(1-Rho^2)*H643),"")</f>
        <v/>
      </c>
      <c r="J643">
        <f>IF(B643,IF(Dist="Normal",DistA+DistB*I643,DistA+(DistB-DistA)*NORMSDIST(I643)),"")</f>
        <v/>
      </c>
      <c r="K643">
        <f>IF(B643,INDEX(MineScale,C643),"")</f>
        <v/>
      </c>
      <c r="L643">
        <f>IF(B643,INDEX(Dow,1,WEEKDAY(E643,2)),"")</f>
        <v/>
      </c>
      <c r="M643">
        <f>IF(B643,(1+Trend)^D643,"")</f>
        <v/>
      </c>
      <c r="N643">
        <f>IF(B643,EXP(SUMPRODUCT(LN(1+(EvEff-1)*INDEX(Affected,0,C643)*EXP(-((E643-EvCenter)^2)/(2*EvSigma^2))))),"")</f>
        <v/>
      </c>
      <c r="O643">
        <f>IF(B643,ROUND(MAX(0,J643*K643*L643*M643*N643),2),"")</f>
        <v/>
      </c>
    </row>
    <row r="644">
      <c r="A644" t="n">
        <v>643</v>
      </c>
      <c r="B644">
        <f>A644&lt;=MineCount*Days</f>
        <v/>
      </c>
      <c r="C644">
        <f>IF(B644,INT((A644-1)/Days)+1,"")</f>
        <v/>
      </c>
      <c r="D644">
        <f>IF(B644,MOD(A644-1,Days),"")</f>
        <v/>
      </c>
      <c r="E644" s="16">
        <f>IF(B644,StartDate+D644,"")</f>
        <v/>
      </c>
      <c r="F644">
        <f>IF(B644,MAX(MOD(SIN(Seed*0.1373+C644*12.9898+D644*78.233)*43758.5453,1),1E-9),"")</f>
        <v/>
      </c>
      <c r="G644">
        <f>IF(B644,MOD(SIN(Seed*0.5917+C644*39.3468+D644*11.135)*24634.6345,1),"")</f>
        <v/>
      </c>
      <c r="H644">
        <f>IF(B644,SQRT(-2*LN(F644))*COS(2*PI()*G644),"")</f>
        <v/>
      </c>
      <c r="I644">
        <f>IF(B644,IF(D644=0,H644,Rho*I643+SQRT(1-Rho^2)*H644),"")</f>
        <v/>
      </c>
      <c r="J644">
        <f>IF(B644,IF(Dist="Normal",DistA+DistB*I644,DistA+(DistB-DistA)*NORMSDIST(I644)),"")</f>
        <v/>
      </c>
      <c r="K644">
        <f>IF(B644,INDEX(MineScale,C644),"")</f>
        <v/>
      </c>
      <c r="L644">
        <f>IF(B644,INDEX(Dow,1,WEEKDAY(E644,2)),"")</f>
        <v/>
      </c>
      <c r="M644">
        <f>IF(B644,(1+Trend)^D644,"")</f>
        <v/>
      </c>
      <c r="N644">
        <f>IF(B644,EXP(SUMPRODUCT(LN(1+(EvEff-1)*INDEX(Affected,0,C644)*EXP(-((E644-EvCenter)^2)/(2*EvSigma^2))))),"")</f>
        <v/>
      </c>
      <c r="O644">
        <f>IF(B644,ROUND(MAX(0,J644*K644*L644*M644*N644),2),"")</f>
        <v/>
      </c>
    </row>
    <row r="645">
      <c r="A645" t="n">
        <v>644</v>
      </c>
      <c r="B645">
        <f>A645&lt;=MineCount*Days</f>
        <v/>
      </c>
      <c r="C645">
        <f>IF(B645,INT((A645-1)/Days)+1,"")</f>
        <v/>
      </c>
      <c r="D645">
        <f>IF(B645,MOD(A645-1,Days),"")</f>
        <v/>
      </c>
      <c r="E645" s="16">
        <f>IF(B645,StartDate+D645,"")</f>
        <v/>
      </c>
      <c r="F645">
        <f>IF(B645,MAX(MOD(SIN(Seed*0.1373+C645*12.9898+D645*78.233)*43758.5453,1),1E-9),"")</f>
        <v/>
      </c>
      <c r="G645">
        <f>IF(B645,MOD(SIN(Seed*0.5917+C645*39.3468+D645*11.135)*24634.6345,1),"")</f>
        <v/>
      </c>
      <c r="H645">
        <f>IF(B645,SQRT(-2*LN(F645))*COS(2*PI()*G645),"")</f>
        <v/>
      </c>
      <c r="I645">
        <f>IF(B645,IF(D645=0,H645,Rho*I644+SQRT(1-Rho^2)*H645),"")</f>
        <v/>
      </c>
      <c r="J645">
        <f>IF(B645,IF(Dist="Normal",DistA+DistB*I645,DistA+(DistB-DistA)*NORMSDIST(I645)),"")</f>
        <v/>
      </c>
      <c r="K645">
        <f>IF(B645,INDEX(MineScale,C645),"")</f>
        <v/>
      </c>
      <c r="L645">
        <f>IF(B645,INDEX(Dow,1,WEEKDAY(E645,2)),"")</f>
        <v/>
      </c>
      <c r="M645">
        <f>IF(B645,(1+Trend)^D645,"")</f>
        <v/>
      </c>
      <c r="N645">
        <f>IF(B645,EXP(SUMPRODUCT(LN(1+(EvEff-1)*INDEX(Affected,0,C645)*EXP(-((E645-EvCenter)^2)/(2*EvSigma^2))))),"")</f>
        <v/>
      </c>
      <c r="O645">
        <f>IF(B645,ROUND(MAX(0,J645*K645*L645*M645*N645),2),"")</f>
        <v/>
      </c>
    </row>
    <row r="646">
      <c r="A646" t="n">
        <v>645</v>
      </c>
      <c r="B646">
        <f>A646&lt;=MineCount*Days</f>
        <v/>
      </c>
      <c r="C646">
        <f>IF(B646,INT((A646-1)/Days)+1,"")</f>
        <v/>
      </c>
      <c r="D646">
        <f>IF(B646,MOD(A646-1,Days),"")</f>
        <v/>
      </c>
      <c r="E646" s="16">
        <f>IF(B646,StartDate+D646,"")</f>
        <v/>
      </c>
      <c r="F646">
        <f>IF(B646,MAX(MOD(SIN(Seed*0.1373+C646*12.9898+D646*78.233)*43758.5453,1),1E-9),"")</f>
        <v/>
      </c>
      <c r="G646">
        <f>IF(B646,MOD(SIN(Seed*0.5917+C646*39.3468+D646*11.135)*24634.6345,1),"")</f>
        <v/>
      </c>
      <c r="H646">
        <f>IF(B646,SQRT(-2*LN(F646))*COS(2*PI()*G646),"")</f>
        <v/>
      </c>
      <c r="I646">
        <f>IF(B646,IF(D646=0,H646,Rho*I645+SQRT(1-Rho^2)*H646),"")</f>
        <v/>
      </c>
      <c r="J646">
        <f>IF(B646,IF(Dist="Normal",DistA+DistB*I646,DistA+(DistB-DistA)*NORMSDIST(I646)),"")</f>
        <v/>
      </c>
      <c r="K646">
        <f>IF(B646,INDEX(MineScale,C646),"")</f>
        <v/>
      </c>
      <c r="L646">
        <f>IF(B646,INDEX(Dow,1,WEEKDAY(E646,2)),"")</f>
        <v/>
      </c>
      <c r="M646">
        <f>IF(B646,(1+Trend)^D646,"")</f>
        <v/>
      </c>
      <c r="N646">
        <f>IF(B646,EXP(SUMPRODUCT(LN(1+(EvEff-1)*INDEX(Affected,0,C646)*EXP(-((E646-EvCenter)^2)/(2*EvSigma^2))))),"")</f>
        <v/>
      </c>
      <c r="O646">
        <f>IF(B646,ROUND(MAX(0,J646*K646*L646*M646*N646),2),"")</f>
        <v/>
      </c>
    </row>
    <row r="647">
      <c r="A647" t="n">
        <v>646</v>
      </c>
      <c r="B647">
        <f>A647&lt;=MineCount*Days</f>
        <v/>
      </c>
      <c r="C647">
        <f>IF(B647,INT((A647-1)/Days)+1,"")</f>
        <v/>
      </c>
      <c r="D647">
        <f>IF(B647,MOD(A647-1,Days),"")</f>
        <v/>
      </c>
      <c r="E647" s="16">
        <f>IF(B647,StartDate+D647,"")</f>
        <v/>
      </c>
      <c r="F647">
        <f>IF(B647,MAX(MOD(SIN(Seed*0.1373+C647*12.9898+D647*78.233)*43758.5453,1),1E-9),"")</f>
        <v/>
      </c>
      <c r="G647">
        <f>IF(B647,MOD(SIN(Seed*0.5917+C647*39.3468+D647*11.135)*24634.6345,1),"")</f>
        <v/>
      </c>
      <c r="H647">
        <f>IF(B647,SQRT(-2*LN(F647))*COS(2*PI()*G647),"")</f>
        <v/>
      </c>
      <c r="I647">
        <f>IF(B647,IF(D647=0,H647,Rho*I646+SQRT(1-Rho^2)*H647),"")</f>
        <v/>
      </c>
      <c r="J647">
        <f>IF(B647,IF(Dist="Normal",DistA+DistB*I647,DistA+(DistB-DistA)*NORMSDIST(I647)),"")</f>
        <v/>
      </c>
      <c r="K647">
        <f>IF(B647,INDEX(MineScale,C647),"")</f>
        <v/>
      </c>
      <c r="L647">
        <f>IF(B647,INDEX(Dow,1,WEEKDAY(E647,2)),"")</f>
        <v/>
      </c>
      <c r="M647">
        <f>IF(B647,(1+Trend)^D647,"")</f>
        <v/>
      </c>
      <c r="N647">
        <f>IF(B647,EXP(SUMPRODUCT(LN(1+(EvEff-1)*INDEX(Affected,0,C647)*EXP(-((E647-EvCenter)^2)/(2*EvSigma^2))))),"")</f>
        <v/>
      </c>
      <c r="O647">
        <f>IF(B647,ROUND(MAX(0,J647*K647*L647*M647*N647),2),"")</f>
        <v/>
      </c>
    </row>
    <row r="648">
      <c r="A648" t="n">
        <v>647</v>
      </c>
      <c r="B648">
        <f>A648&lt;=MineCount*Days</f>
        <v/>
      </c>
      <c r="C648">
        <f>IF(B648,INT((A648-1)/Days)+1,"")</f>
        <v/>
      </c>
      <c r="D648">
        <f>IF(B648,MOD(A648-1,Days),"")</f>
        <v/>
      </c>
      <c r="E648" s="16">
        <f>IF(B648,StartDate+D648,"")</f>
        <v/>
      </c>
      <c r="F648">
        <f>IF(B648,MAX(MOD(SIN(Seed*0.1373+C648*12.9898+D648*78.233)*43758.5453,1),1E-9),"")</f>
        <v/>
      </c>
      <c r="G648">
        <f>IF(B648,MOD(SIN(Seed*0.5917+C648*39.3468+D648*11.135)*24634.6345,1),"")</f>
        <v/>
      </c>
      <c r="H648">
        <f>IF(B648,SQRT(-2*LN(F648))*COS(2*PI()*G648),"")</f>
        <v/>
      </c>
      <c r="I648">
        <f>IF(B648,IF(D648=0,H648,Rho*I647+SQRT(1-Rho^2)*H648),"")</f>
        <v/>
      </c>
      <c r="J648">
        <f>IF(B648,IF(Dist="Normal",DistA+DistB*I648,DistA+(DistB-DistA)*NORMSDIST(I648)),"")</f>
        <v/>
      </c>
      <c r="K648">
        <f>IF(B648,INDEX(MineScale,C648),"")</f>
        <v/>
      </c>
      <c r="L648">
        <f>IF(B648,INDEX(Dow,1,WEEKDAY(E648,2)),"")</f>
        <v/>
      </c>
      <c r="M648">
        <f>IF(B648,(1+Trend)^D648,"")</f>
        <v/>
      </c>
      <c r="N648">
        <f>IF(B648,EXP(SUMPRODUCT(LN(1+(EvEff-1)*INDEX(Affected,0,C648)*EXP(-((E648-EvCenter)^2)/(2*EvSigma^2))))),"")</f>
        <v/>
      </c>
      <c r="O648">
        <f>IF(B648,ROUND(MAX(0,J648*K648*L648*M648*N648),2),"")</f>
        <v/>
      </c>
    </row>
    <row r="649">
      <c r="A649" t="n">
        <v>648</v>
      </c>
      <c r="B649">
        <f>A649&lt;=MineCount*Days</f>
        <v/>
      </c>
      <c r="C649">
        <f>IF(B649,INT((A649-1)/Days)+1,"")</f>
        <v/>
      </c>
      <c r="D649">
        <f>IF(B649,MOD(A649-1,Days),"")</f>
        <v/>
      </c>
      <c r="E649" s="16">
        <f>IF(B649,StartDate+D649,"")</f>
        <v/>
      </c>
      <c r="F649">
        <f>IF(B649,MAX(MOD(SIN(Seed*0.1373+C649*12.9898+D649*78.233)*43758.5453,1),1E-9),"")</f>
        <v/>
      </c>
      <c r="G649">
        <f>IF(B649,MOD(SIN(Seed*0.5917+C649*39.3468+D649*11.135)*24634.6345,1),"")</f>
        <v/>
      </c>
      <c r="H649">
        <f>IF(B649,SQRT(-2*LN(F649))*COS(2*PI()*G649),"")</f>
        <v/>
      </c>
      <c r="I649">
        <f>IF(B649,IF(D649=0,H649,Rho*I648+SQRT(1-Rho^2)*H649),"")</f>
        <v/>
      </c>
      <c r="J649">
        <f>IF(B649,IF(Dist="Normal",DistA+DistB*I649,DistA+(DistB-DistA)*NORMSDIST(I649)),"")</f>
        <v/>
      </c>
      <c r="K649">
        <f>IF(B649,INDEX(MineScale,C649),"")</f>
        <v/>
      </c>
      <c r="L649">
        <f>IF(B649,INDEX(Dow,1,WEEKDAY(E649,2)),"")</f>
        <v/>
      </c>
      <c r="M649">
        <f>IF(B649,(1+Trend)^D649,"")</f>
        <v/>
      </c>
      <c r="N649">
        <f>IF(B649,EXP(SUMPRODUCT(LN(1+(EvEff-1)*INDEX(Affected,0,C649)*EXP(-((E649-EvCenter)^2)/(2*EvSigma^2))))),"")</f>
        <v/>
      </c>
      <c r="O649">
        <f>IF(B649,ROUND(MAX(0,J649*K649*L649*M649*N649),2),"")</f>
        <v/>
      </c>
    </row>
    <row r="650">
      <c r="A650" t="n">
        <v>649</v>
      </c>
      <c r="B650">
        <f>A650&lt;=MineCount*Days</f>
        <v/>
      </c>
      <c r="C650">
        <f>IF(B650,INT((A650-1)/Days)+1,"")</f>
        <v/>
      </c>
      <c r="D650">
        <f>IF(B650,MOD(A650-1,Days),"")</f>
        <v/>
      </c>
      <c r="E650" s="16">
        <f>IF(B650,StartDate+D650,"")</f>
        <v/>
      </c>
      <c r="F650">
        <f>IF(B650,MAX(MOD(SIN(Seed*0.1373+C650*12.9898+D650*78.233)*43758.5453,1),1E-9),"")</f>
        <v/>
      </c>
      <c r="G650">
        <f>IF(B650,MOD(SIN(Seed*0.5917+C650*39.3468+D650*11.135)*24634.6345,1),"")</f>
        <v/>
      </c>
      <c r="H650">
        <f>IF(B650,SQRT(-2*LN(F650))*COS(2*PI()*G650),"")</f>
        <v/>
      </c>
      <c r="I650">
        <f>IF(B650,IF(D650=0,H650,Rho*I649+SQRT(1-Rho^2)*H650),"")</f>
        <v/>
      </c>
      <c r="J650">
        <f>IF(B650,IF(Dist="Normal",DistA+DistB*I650,DistA+(DistB-DistA)*NORMSDIST(I650)),"")</f>
        <v/>
      </c>
      <c r="K650">
        <f>IF(B650,INDEX(MineScale,C650),"")</f>
        <v/>
      </c>
      <c r="L650">
        <f>IF(B650,INDEX(Dow,1,WEEKDAY(E650,2)),"")</f>
        <v/>
      </c>
      <c r="M650">
        <f>IF(B650,(1+Trend)^D650,"")</f>
        <v/>
      </c>
      <c r="N650">
        <f>IF(B650,EXP(SUMPRODUCT(LN(1+(EvEff-1)*INDEX(Affected,0,C650)*EXP(-((E650-EvCenter)^2)/(2*EvSigma^2))))),"")</f>
        <v/>
      </c>
      <c r="O650">
        <f>IF(B650,ROUND(MAX(0,J650*K650*L650*M650*N650),2),"")</f>
        <v/>
      </c>
    </row>
    <row r="651">
      <c r="A651" t="n">
        <v>650</v>
      </c>
      <c r="B651">
        <f>A651&lt;=MineCount*Days</f>
        <v/>
      </c>
      <c r="C651">
        <f>IF(B651,INT((A651-1)/Days)+1,"")</f>
        <v/>
      </c>
      <c r="D651">
        <f>IF(B651,MOD(A651-1,Days),"")</f>
        <v/>
      </c>
      <c r="E651" s="16">
        <f>IF(B651,StartDate+D651,"")</f>
        <v/>
      </c>
      <c r="F651">
        <f>IF(B651,MAX(MOD(SIN(Seed*0.1373+C651*12.9898+D651*78.233)*43758.5453,1),1E-9),"")</f>
        <v/>
      </c>
      <c r="G651">
        <f>IF(B651,MOD(SIN(Seed*0.5917+C651*39.3468+D651*11.135)*24634.6345,1),"")</f>
        <v/>
      </c>
      <c r="H651">
        <f>IF(B651,SQRT(-2*LN(F651))*COS(2*PI()*G651),"")</f>
        <v/>
      </c>
      <c r="I651">
        <f>IF(B651,IF(D651=0,H651,Rho*I650+SQRT(1-Rho^2)*H651),"")</f>
        <v/>
      </c>
      <c r="J651">
        <f>IF(B651,IF(Dist="Normal",DistA+DistB*I651,DistA+(DistB-DistA)*NORMSDIST(I651)),"")</f>
        <v/>
      </c>
      <c r="K651">
        <f>IF(B651,INDEX(MineScale,C651),"")</f>
        <v/>
      </c>
      <c r="L651">
        <f>IF(B651,INDEX(Dow,1,WEEKDAY(E651,2)),"")</f>
        <v/>
      </c>
      <c r="M651">
        <f>IF(B651,(1+Trend)^D651,"")</f>
        <v/>
      </c>
      <c r="N651">
        <f>IF(B651,EXP(SUMPRODUCT(LN(1+(EvEff-1)*INDEX(Affected,0,C651)*EXP(-((E651-EvCenter)^2)/(2*EvSigma^2))))),"")</f>
        <v/>
      </c>
      <c r="O651">
        <f>IF(B651,ROUND(MAX(0,J651*K651*L651*M651*N651),2),"")</f>
        <v/>
      </c>
    </row>
    <row r="652">
      <c r="A652" t="n">
        <v>651</v>
      </c>
      <c r="B652">
        <f>A652&lt;=MineCount*Days</f>
        <v/>
      </c>
      <c r="C652">
        <f>IF(B652,INT((A652-1)/Days)+1,"")</f>
        <v/>
      </c>
      <c r="D652">
        <f>IF(B652,MOD(A652-1,Days),"")</f>
        <v/>
      </c>
      <c r="E652" s="16">
        <f>IF(B652,StartDate+D652,"")</f>
        <v/>
      </c>
      <c r="F652">
        <f>IF(B652,MAX(MOD(SIN(Seed*0.1373+C652*12.9898+D652*78.233)*43758.5453,1),1E-9),"")</f>
        <v/>
      </c>
      <c r="G652">
        <f>IF(B652,MOD(SIN(Seed*0.5917+C652*39.3468+D652*11.135)*24634.6345,1),"")</f>
        <v/>
      </c>
      <c r="H652">
        <f>IF(B652,SQRT(-2*LN(F652))*COS(2*PI()*G652),"")</f>
        <v/>
      </c>
      <c r="I652">
        <f>IF(B652,IF(D652=0,H652,Rho*I651+SQRT(1-Rho^2)*H652),"")</f>
        <v/>
      </c>
      <c r="J652">
        <f>IF(B652,IF(Dist="Normal",DistA+DistB*I652,DistA+(DistB-DistA)*NORMSDIST(I652)),"")</f>
        <v/>
      </c>
      <c r="K652">
        <f>IF(B652,INDEX(MineScale,C652),"")</f>
        <v/>
      </c>
      <c r="L652">
        <f>IF(B652,INDEX(Dow,1,WEEKDAY(E652,2)),"")</f>
        <v/>
      </c>
      <c r="M652">
        <f>IF(B652,(1+Trend)^D652,"")</f>
        <v/>
      </c>
      <c r="N652">
        <f>IF(B652,EXP(SUMPRODUCT(LN(1+(EvEff-1)*INDEX(Affected,0,C652)*EXP(-((E652-EvCenter)^2)/(2*EvSigma^2))))),"")</f>
        <v/>
      </c>
      <c r="O652">
        <f>IF(B652,ROUND(MAX(0,J652*K652*L652*M652*N652),2),"")</f>
        <v/>
      </c>
    </row>
    <row r="653">
      <c r="A653" t="n">
        <v>652</v>
      </c>
      <c r="B653">
        <f>A653&lt;=MineCount*Days</f>
        <v/>
      </c>
      <c r="C653">
        <f>IF(B653,INT((A653-1)/Days)+1,"")</f>
        <v/>
      </c>
      <c r="D653">
        <f>IF(B653,MOD(A653-1,Days),"")</f>
        <v/>
      </c>
      <c r="E653" s="16">
        <f>IF(B653,StartDate+D653,"")</f>
        <v/>
      </c>
      <c r="F653">
        <f>IF(B653,MAX(MOD(SIN(Seed*0.1373+C653*12.9898+D653*78.233)*43758.5453,1),1E-9),"")</f>
        <v/>
      </c>
      <c r="G653">
        <f>IF(B653,MOD(SIN(Seed*0.5917+C653*39.3468+D653*11.135)*24634.6345,1),"")</f>
        <v/>
      </c>
      <c r="H653">
        <f>IF(B653,SQRT(-2*LN(F653))*COS(2*PI()*G653),"")</f>
        <v/>
      </c>
      <c r="I653">
        <f>IF(B653,IF(D653=0,H653,Rho*I652+SQRT(1-Rho^2)*H653),"")</f>
        <v/>
      </c>
      <c r="J653">
        <f>IF(B653,IF(Dist="Normal",DistA+DistB*I653,DistA+(DistB-DistA)*NORMSDIST(I653)),"")</f>
        <v/>
      </c>
      <c r="K653">
        <f>IF(B653,INDEX(MineScale,C653),"")</f>
        <v/>
      </c>
      <c r="L653">
        <f>IF(B653,INDEX(Dow,1,WEEKDAY(E653,2)),"")</f>
        <v/>
      </c>
      <c r="M653">
        <f>IF(B653,(1+Trend)^D653,"")</f>
        <v/>
      </c>
      <c r="N653">
        <f>IF(B653,EXP(SUMPRODUCT(LN(1+(EvEff-1)*INDEX(Affected,0,C653)*EXP(-((E653-EvCenter)^2)/(2*EvSigma^2))))),"")</f>
        <v/>
      </c>
      <c r="O653">
        <f>IF(B653,ROUND(MAX(0,J653*K653*L653*M653*N653),2),"")</f>
        <v/>
      </c>
    </row>
    <row r="654">
      <c r="A654" t="n">
        <v>653</v>
      </c>
      <c r="B654">
        <f>A654&lt;=MineCount*Days</f>
        <v/>
      </c>
      <c r="C654">
        <f>IF(B654,INT((A654-1)/Days)+1,"")</f>
        <v/>
      </c>
      <c r="D654">
        <f>IF(B654,MOD(A654-1,Days),"")</f>
        <v/>
      </c>
      <c r="E654" s="16">
        <f>IF(B654,StartDate+D654,"")</f>
        <v/>
      </c>
      <c r="F654">
        <f>IF(B654,MAX(MOD(SIN(Seed*0.1373+C654*12.9898+D654*78.233)*43758.5453,1),1E-9),"")</f>
        <v/>
      </c>
      <c r="G654">
        <f>IF(B654,MOD(SIN(Seed*0.5917+C654*39.3468+D654*11.135)*24634.6345,1),"")</f>
        <v/>
      </c>
      <c r="H654">
        <f>IF(B654,SQRT(-2*LN(F654))*COS(2*PI()*G654),"")</f>
        <v/>
      </c>
      <c r="I654">
        <f>IF(B654,IF(D654=0,H654,Rho*I653+SQRT(1-Rho^2)*H654),"")</f>
        <v/>
      </c>
      <c r="J654">
        <f>IF(B654,IF(Dist="Normal",DistA+DistB*I654,DistA+(DistB-DistA)*NORMSDIST(I654)),"")</f>
        <v/>
      </c>
      <c r="K654">
        <f>IF(B654,INDEX(MineScale,C654),"")</f>
        <v/>
      </c>
      <c r="L654">
        <f>IF(B654,INDEX(Dow,1,WEEKDAY(E654,2)),"")</f>
        <v/>
      </c>
      <c r="M654">
        <f>IF(B654,(1+Trend)^D654,"")</f>
        <v/>
      </c>
      <c r="N654">
        <f>IF(B654,EXP(SUMPRODUCT(LN(1+(EvEff-1)*INDEX(Affected,0,C654)*EXP(-((E654-EvCenter)^2)/(2*EvSigma^2))))),"")</f>
        <v/>
      </c>
      <c r="O654">
        <f>IF(B654,ROUND(MAX(0,J654*K654*L654*M654*N654),2),"")</f>
        <v/>
      </c>
    </row>
    <row r="655">
      <c r="A655" t="n">
        <v>654</v>
      </c>
      <c r="B655">
        <f>A655&lt;=MineCount*Days</f>
        <v/>
      </c>
      <c r="C655">
        <f>IF(B655,INT((A655-1)/Days)+1,"")</f>
        <v/>
      </c>
      <c r="D655">
        <f>IF(B655,MOD(A655-1,Days),"")</f>
        <v/>
      </c>
      <c r="E655" s="16">
        <f>IF(B655,StartDate+D655,"")</f>
        <v/>
      </c>
      <c r="F655">
        <f>IF(B655,MAX(MOD(SIN(Seed*0.1373+C655*12.9898+D655*78.233)*43758.5453,1),1E-9),"")</f>
        <v/>
      </c>
      <c r="G655">
        <f>IF(B655,MOD(SIN(Seed*0.5917+C655*39.3468+D655*11.135)*24634.6345,1),"")</f>
        <v/>
      </c>
      <c r="H655">
        <f>IF(B655,SQRT(-2*LN(F655))*COS(2*PI()*G655),"")</f>
        <v/>
      </c>
      <c r="I655">
        <f>IF(B655,IF(D655=0,H655,Rho*I654+SQRT(1-Rho^2)*H655),"")</f>
        <v/>
      </c>
      <c r="J655">
        <f>IF(B655,IF(Dist="Normal",DistA+DistB*I655,DistA+(DistB-DistA)*NORMSDIST(I655)),"")</f>
        <v/>
      </c>
      <c r="K655">
        <f>IF(B655,INDEX(MineScale,C655),"")</f>
        <v/>
      </c>
      <c r="L655">
        <f>IF(B655,INDEX(Dow,1,WEEKDAY(E655,2)),"")</f>
        <v/>
      </c>
      <c r="M655">
        <f>IF(B655,(1+Trend)^D655,"")</f>
        <v/>
      </c>
      <c r="N655">
        <f>IF(B655,EXP(SUMPRODUCT(LN(1+(EvEff-1)*INDEX(Affected,0,C655)*EXP(-((E655-EvCenter)^2)/(2*EvSigma^2))))),"")</f>
        <v/>
      </c>
      <c r="O655">
        <f>IF(B655,ROUND(MAX(0,J655*K655*L655*M655*N655),2),"")</f>
        <v/>
      </c>
    </row>
    <row r="656">
      <c r="A656" t="n">
        <v>655</v>
      </c>
      <c r="B656">
        <f>A656&lt;=MineCount*Days</f>
        <v/>
      </c>
      <c r="C656">
        <f>IF(B656,INT((A656-1)/Days)+1,"")</f>
        <v/>
      </c>
      <c r="D656">
        <f>IF(B656,MOD(A656-1,Days),"")</f>
        <v/>
      </c>
      <c r="E656" s="16">
        <f>IF(B656,StartDate+D656,"")</f>
        <v/>
      </c>
      <c r="F656">
        <f>IF(B656,MAX(MOD(SIN(Seed*0.1373+C656*12.9898+D656*78.233)*43758.5453,1),1E-9),"")</f>
        <v/>
      </c>
      <c r="G656">
        <f>IF(B656,MOD(SIN(Seed*0.5917+C656*39.3468+D656*11.135)*24634.6345,1),"")</f>
        <v/>
      </c>
      <c r="H656">
        <f>IF(B656,SQRT(-2*LN(F656))*COS(2*PI()*G656),"")</f>
        <v/>
      </c>
      <c r="I656">
        <f>IF(B656,IF(D656=0,H656,Rho*I655+SQRT(1-Rho^2)*H656),"")</f>
        <v/>
      </c>
      <c r="J656">
        <f>IF(B656,IF(Dist="Normal",DistA+DistB*I656,DistA+(DistB-DistA)*NORMSDIST(I656)),"")</f>
        <v/>
      </c>
      <c r="K656">
        <f>IF(B656,INDEX(MineScale,C656),"")</f>
        <v/>
      </c>
      <c r="L656">
        <f>IF(B656,INDEX(Dow,1,WEEKDAY(E656,2)),"")</f>
        <v/>
      </c>
      <c r="M656">
        <f>IF(B656,(1+Trend)^D656,"")</f>
        <v/>
      </c>
      <c r="N656">
        <f>IF(B656,EXP(SUMPRODUCT(LN(1+(EvEff-1)*INDEX(Affected,0,C656)*EXP(-((E656-EvCenter)^2)/(2*EvSigma^2))))),"")</f>
        <v/>
      </c>
      <c r="O656">
        <f>IF(B656,ROUND(MAX(0,J656*K656*L656*M656*N656),2),"")</f>
        <v/>
      </c>
    </row>
    <row r="657">
      <c r="A657" t="n">
        <v>656</v>
      </c>
      <c r="B657">
        <f>A657&lt;=MineCount*Days</f>
        <v/>
      </c>
      <c r="C657">
        <f>IF(B657,INT((A657-1)/Days)+1,"")</f>
        <v/>
      </c>
      <c r="D657">
        <f>IF(B657,MOD(A657-1,Days),"")</f>
        <v/>
      </c>
      <c r="E657" s="16">
        <f>IF(B657,StartDate+D657,"")</f>
        <v/>
      </c>
      <c r="F657">
        <f>IF(B657,MAX(MOD(SIN(Seed*0.1373+C657*12.9898+D657*78.233)*43758.5453,1),1E-9),"")</f>
        <v/>
      </c>
      <c r="G657">
        <f>IF(B657,MOD(SIN(Seed*0.5917+C657*39.3468+D657*11.135)*24634.6345,1),"")</f>
        <v/>
      </c>
      <c r="H657">
        <f>IF(B657,SQRT(-2*LN(F657))*COS(2*PI()*G657),"")</f>
        <v/>
      </c>
      <c r="I657">
        <f>IF(B657,IF(D657=0,H657,Rho*I656+SQRT(1-Rho^2)*H657),"")</f>
        <v/>
      </c>
      <c r="J657">
        <f>IF(B657,IF(Dist="Normal",DistA+DistB*I657,DistA+(DistB-DistA)*NORMSDIST(I657)),"")</f>
        <v/>
      </c>
      <c r="K657">
        <f>IF(B657,INDEX(MineScale,C657),"")</f>
        <v/>
      </c>
      <c r="L657">
        <f>IF(B657,INDEX(Dow,1,WEEKDAY(E657,2)),"")</f>
        <v/>
      </c>
      <c r="M657">
        <f>IF(B657,(1+Trend)^D657,"")</f>
        <v/>
      </c>
      <c r="N657">
        <f>IF(B657,EXP(SUMPRODUCT(LN(1+(EvEff-1)*INDEX(Affected,0,C657)*EXP(-((E657-EvCenter)^2)/(2*EvSigma^2))))),"")</f>
        <v/>
      </c>
      <c r="O657">
        <f>IF(B657,ROUND(MAX(0,J657*K657*L657*M657*N657),2),"")</f>
        <v/>
      </c>
    </row>
    <row r="658">
      <c r="A658" t="n">
        <v>657</v>
      </c>
      <c r="B658">
        <f>A658&lt;=MineCount*Days</f>
        <v/>
      </c>
      <c r="C658">
        <f>IF(B658,INT((A658-1)/Days)+1,"")</f>
        <v/>
      </c>
      <c r="D658">
        <f>IF(B658,MOD(A658-1,Days),"")</f>
        <v/>
      </c>
      <c r="E658" s="16">
        <f>IF(B658,StartDate+D658,"")</f>
        <v/>
      </c>
      <c r="F658">
        <f>IF(B658,MAX(MOD(SIN(Seed*0.1373+C658*12.9898+D658*78.233)*43758.5453,1),1E-9),"")</f>
        <v/>
      </c>
      <c r="G658">
        <f>IF(B658,MOD(SIN(Seed*0.5917+C658*39.3468+D658*11.135)*24634.6345,1),"")</f>
        <v/>
      </c>
      <c r="H658">
        <f>IF(B658,SQRT(-2*LN(F658))*COS(2*PI()*G658),"")</f>
        <v/>
      </c>
      <c r="I658">
        <f>IF(B658,IF(D658=0,H658,Rho*I657+SQRT(1-Rho^2)*H658),"")</f>
        <v/>
      </c>
      <c r="J658">
        <f>IF(B658,IF(Dist="Normal",DistA+DistB*I658,DistA+(DistB-DistA)*NORMSDIST(I658)),"")</f>
        <v/>
      </c>
      <c r="K658">
        <f>IF(B658,INDEX(MineScale,C658),"")</f>
        <v/>
      </c>
      <c r="L658">
        <f>IF(B658,INDEX(Dow,1,WEEKDAY(E658,2)),"")</f>
        <v/>
      </c>
      <c r="M658">
        <f>IF(B658,(1+Trend)^D658,"")</f>
        <v/>
      </c>
      <c r="N658">
        <f>IF(B658,EXP(SUMPRODUCT(LN(1+(EvEff-1)*INDEX(Affected,0,C658)*EXP(-((E658-EvCenter)^2)/(2*EvSigma^2))))),"")</f>
        <v/>
      </c>
      <c r="O658">
        <f>IF(B658,ROUND(MAX(0,J658*K658*L658*M658*N658),2),"")</f>
        <v/>
      </c>
    </row>
    <row r="659">
      <c r="A659" t="n">
        <v>658</v>
      </c>
      <c r="B659">
        <f>A659&lt;=MineCount*Days</f>
        <v/>
      </c>
      <c r="C659">
        <f>IF(B659,INT((A659-1)/Days)+1,"")</f>
        <v/>
      </c>
      <c r="D659">
        <f>IF(B659,MOD(A659-1,Days),"")</f>
        <v/>
      </c>
      <c r="E659" s="16">
        <f>IF(B659,StartDate+D659,"")</f>
        <v/>
      </c>
      <c r="F659">
        <f>IF(B659,MAX(MOD(SIN(Seed*0.1373+C659*12.9898+D659*78.233)*43758.5453,1),1E-9),"")</f>
        <v/>
      </c>
      <c r="G659">
        <f>IF(B659,MOD(SIN(Seed*0.5917+C659*39.3468+D659*11.135)*24634.6345,1),"")</f>
        <v/>
      </c>
      <c r="H659">
        <f>IF(B659,SQRT(-2*LN(F659))*COS(2*PI()*G659),"")</f>
        <v/>
      </c>
      <c r="I659">
        <f>IF(B659,IF(D659=0,H659,Rho*I658+SQRT(1-Rho^2)*H659),"")</f>
        <v/>
      </c>
      <c r="J659">
        <f>IF(B659,IF(Dist="Normal",DistA+DistB*I659,DistA+(DistB-DistA)*NORMSDIST(I659)),"")</f>
        <v/>
      </c>
      <c r="K659">
        <f>IF(B659,INDEX(MineScale,C659),"")</f>
        <v/>
      </c>
      <c r="L659">
        <f>IF(B659,INDEX(Dow,1,WEEKDAY(E659,2)),"")</f>
        <v/>
      </c>
      <c r="M659">
        <f>IF(B659,(1+Trend)^D659,"")</f>
        <v/>
      </c>
      <c r="N659">
        <f>IF(B659,EXP(SUMPRODUCT(LN(1+(EvEff-1)*INDEX(Affected,0,C659)*EXP(-((E659-EvCenter)^2)/(2*EvSigma^2))))),"")</f>
        <v/>
      </c>
      <c r="O659">
        <f>IF(B659,ROUND(MAX(0,J659*K659*L659*M659*N659),2),"")</f>
        <v/>
      </c>
    </row>
    <row r="660">
      <c r="A660" t="n">
        <v>659</v>
      </c>
      <c r="B660">
        <f>A660&lt;=MineCount*Days</f>
        <v/>
      </c>
      <c r="C660">
        <f>IF(B660,INT((A660-1)/Days)+1,"")</f>
        <v/>
      </c>
      <c r="D660">
        <f>IF(B660,MOD(A660-1,Days),"")</f>
        <v/>
      </c>
      <c r="E660" s="16">
        <f>IF(B660,StartDate+D660,"")</f>
        <v/>
      </c>
      <c r="F660">
        <f>IF(B660,MAX(MOD(SIN(Seed*0.1373+C660*12.9898+D660*78.233)*43758.5453,1),1E-9),"")</f>
        <v/>
      </c>
      <c r="G660">
        <f>IF(B660,MOD(SIN(Seed*0.5917+C660*39.3468+D660*11.135)*24634.6345,1),"")</f>
        <v/>
      </c>
      <c r="H660">
        <f>IF(B660,SQRT(-2*LN(F660))*COS(2*PI()*G660),"")</f>
        <v/>
      </c>
      <c r="I660">
        <f>IF(B660,IF(D660=0,H660,Rho*I659+SQRT(1-Rho^2)*H660),"")</f>
        <v/>
      </c>
      <c r="J660">
        <f>IF(B660,IF(Dist="Normal",DistA+DistB*I660,DistA+(DistB-DistA)*NORMSDIST(I660)),"")</f>
        <v/>
      </c>
      <c r="K660">
        <f>IF(B660,INDEX(MineScale,C660),"")</f>
        <v/>
      </c>
      <c r="L660">
        <f>IF(B660,INDEX(Dow,1,WEEKDAY(E660,2)),"")</f>
        <v/>
      </c>
      <c r="M660">
        <f>IF(B660,(1+Trend)^D660,"")</f>
        <v/>
      </c>
      <c r="N660">
        <f>IF(B660,EXP(SUMPRODUCT(LN(1+(EvEff-1)*INDEX(Affected,0,C660)*EXP(-((E660-EvCenter)^2)/(2*EvSigma^2))))),"")</f>
        <v/>
      </c>
      <c r="O660">
        <f>IF(B660,ROUND(MAX(0,J660*K660*L660*M660*N660),2),"")</f>
        <v/>
      </c>
    </row>
    <row r="661">
      <c r="A661" t="n">
        <v>660</v>
      </c>
      <c r="B661">
        <f>A661&lt;=MineCount*Days</f>
        <v/>
      </c>
      <c r="C661">
        <f>IF(B661,INT((A661-1)/Days)+1,"")</f>
        <v/>
      </c>
      <c r="D661">
        <f>IF(B661,MOD(A661-1,Days),"")</f>
        <v/>
      </c>
      <c r="E661" s="16">
        <f>IF(B661,StartDate+D661,"")</f>
        <v/>
      </c>
      <c r="F661">
        <f>IF(B661,MAX(MOD(SIN(Seed*0.1373+C661*12.9898+D661*78.233)*43758.5453,1),1E-9),"")</f>
        <v/>
      </c>
      <c r="G661">
        <f>IF(B661,MOD(SIN(Seed*0.5917+C661*39.3468+D661*11.135)*24634.6345,1),"")</f>
        <v/>
      </c>
      <c r="H661">
        <f>IF(B661,SQRT(-2*LN(F661))*COS(2*PI()*G661),"")</f>
        <v/>
      </c>
      <c r="I661">
        <f>IF(B661,IF(D661=0,H661,Rho*I660+SQRT(1-Rho^2)*H661),"")</f>
        <v/>
      </c>
      <c r="J661">
        <f>IF(B661,IF(Dist="Normal",DistA+DistB*I661,DistA+(DistB-DistA)*NORMSDIST(I661)),"")</f>
        <v/>
      </c>
      <c r="K661">
        <f>IF(B661,INDEX(MineScale,C661),"")</f>
        <v/>
      </c>
      <c r="L661">
        <f>IF(B661,INDEX(Dow,1,WEEKDAY(E661,2)),"")</f>
        <v/>
      </c>
      <c r="M661">
        <f>IF(B661,(1+Trend)^D661,"")</f>
        <v/>
      </c>
      <c r="N661">
        <f>IF(B661,EXP(SUMPRODUCT(LN(1+(EvEff-1)*INDEX(Affected,0,C661)*EXP(-((E661-EvCenter)^2)/(2*EvSigma^2))))),"")</f>
        <v/>
      </c>
      <c r="O661">
        <f>IF(B661,ROUND(MAX(0,J661*K661*L661*M661*N661),2),"")</f>
        <v/>
      </c>
    </row>
    <row r="662">
      <c r="A662" t="n">
        <v>661</v>
      </c>
      <c r="B662">
        <f>A662&lt;=MineCount*Days</f>
        <v/>
      </c>
      <c r="C662">
        <f>IF(B662,INT((A662-1)/Days)+1,"")</f>
        <v/>
      </c>
      <c r="D662">
        <f>IF(B662,MOD(A662-1,Days),"")</f>
        <v/>
      </c>
      <c r="E662" s="16">
        <f>IF(B662,StartDate+D662,"")</f>
        <v/>
      </c>
      <c r="F662">
        <f>IF(B662,MAX(MOD(SIN(Seed*0.1373+C662*12.9898+D662*78.233)*43758.5453,1),1E-9),"")</f>
        <v/>
      </c>
      <c r="G662">
        <f>IF(B662,MOD(SIN(Seed*0.5917+C662*39.3468+D662*11.135)*24634.6345,1),"")</f>
        <v/>
      </c>
      <c r="H662">
        <f>IF(B662,SQRT(-2*LN(F662))*COS(2*PI()*G662),"")</f>
        <v/>
      </c>
      <c r="I662">
        <f>IF(B662,IF(D662=0,H662,Rho*I661+SQRT(1-Rho^2)*H662),"")</f>
        <v/>
      </c>
      <c r="J662">
        <f>IF(B662,IF(Dist="Normal",DistA+DistB*I662,DistA+(DistB-DistA)*NORMSDIST(I662)),"")</f>
        <v/>
      </c>
      <c r="K662">
        <f>IF(B662,INDEX(MineScale,C662),"")</f>
        <v/>
      </c>
      <c r="L662">
        <f>IF(B662,INDEX(Dow,1,WEEKDAY(E662,2)),"")</f>
        <v/>
      </c>
      <c r="M662">
        <f>IF(B662,(1+Trend)^D662,"")</f>
        <v/>
      </c>
      <c r="N662">
        <f>IF(B662,EXP(SUMPRODUCT(LN(1+(EvEff-1)*INDEX(Affected,0,C662)*EXP(-((E662-EvCenter)^2)/(2*EvSigma^2))))),"")</f>
        <v/>
      </c>
      <c r="O662">
        <f>IF(B662,ROUND(MAX(0,J662*K662*L662*M662*N662),2),"")</f>
        <v/>
      </c>
    </row>
    <row r="663">
      <c r="A663" t="n">
        <v>662</v>
      </c>
      <c r="B663">
        <f>A663&lt;=MineCount*Days</f>
        <v/>
      </c>
      <c r="C663">
        <f>IF(B663,INT((A663-1)/Days)+1,"")</f>
        <v/>
      </c>
      <c r="D663">
        <f>IF(B663,MOD(A663-1,Days),"")</f>
        <v/>
      </c>
      <c r="E663" s="16">
        <f>IF(B663,StartDate+D663,"")</f>
        <v/>
      </c>
      <c r="F663">
        <f>IF(B663,MAX(MOD(SIN(Seed*0.1373+C663*12.9898+D663*78.233)*43758.5453,1),1E-9),"")</f>
        <v/>
      </c>
      <c r="G663">
        <f>IF(B663,MOD(SIN(Seed*0.5917+C663*39.3468+D663*11.135)*24634.6345,1),"")</f>
        <v/>
      </c>
      <c r="H663">
        <f>IF(B663,SQRT(-2*LN(F663))*COS(2*PI()*G663),"")</f>
        <v/>
      </c>
      <c r="I663">
        <f>IF(B663,IF(D663=0,H663,Rho*I662+SQRT(1-Rho^2)*H663),"")</f>
        <v/>
      </c>
      <c r="J663">
        <f>IF(B663,IF(Dist="Normal",DistA+DistB*I663,DistA+(DistB-DistA)*NORMSDIST(I663)),"")</f>
        <v/>
      </c>
      <c r="K663">
        <f>IF(B663,INDEX(MineScale,C663),"")</f>
        <v/>
      </c>
      <c r="L663">
        <f>IF(B663,INDEX(Dow,1,WEEKDAY(E663,2)),"")</f>
        <v/>
      </c>
      <c r="M663">
        <f>IF(B663,(1+Trend)^D663,"")</f>
        <v/>
      </c>
      <c r="N663">
        <f>IF(B663,EXP(SUMPRODUCT(LN(1+(EvEff-1)*INDEX(Affected,0,C663)*EXP(-((E663-EvCenter)^2)/(2*EvSigma^2))))),"")</f>
        <v/>
      </c>
      <c r="O663">
        <f>IF(B663,ROUND(MAX(0,J663*K663*L663*M663*N663),2),"")</f>
        <v/>
      </c>
    </row>
    <row r="664">
      <c r="A664" t="n">
        <v>663</v>
      </c>
      <c r="B664">
        <f>A664&lt;=MineCount*Days</f>
        <v/>
      </c>
      <c r="C664">
        <f>IF(B664,INT((A664-1)/Days)+1,"")</f>
        <v/>
      </c>
      <c r="D664">
        <f>IF(B664,MOD(A664-1,Days),"")</f>
        <v/>
      </c>
      <c r="E664" s="16">
        <f>IF(B664,StartDate+D664,"")</f>
        <v/>
      </c>
      <c r="F664">
        <f>IF(B664,MAX(MOD(SIN(Seed*0.1373+C664*12.9898+D664*78.233)*43758.5453,1),1E-9),"")</f>
        <v/>
      </c>
      <c r="G664">
        <f>IF(B664,MOD(SIN(Seed*0.5917+C664*39.3468+D664*11.135)*24634.6345,1),"")</f>
        <v/>
      </c>
      <c r="H664">
        <f>IF(B664,SQRT(-2*LN(F664))*COS(2*PI()*G664),"")</f>
        <v/>
      </c>
      <c r="I664">
        <f>IF(B664,IF(D664=0,H664,Rho*I663+SQRT(1-Rho^2)*H664),"")</f>
        <v/>
      </c>
      <c r="J664">
        <f>IF(B664,IF(Dist="Normal",DistA+DistB*I664,DistA+(DistB-DistA)*NORMSDIST(I664)),"")</f>
        <v/>
      </c>
      <c r="K664">
        <f>IF(B664,INDEX(MineScale,C664),"")</f>
        <v/>
      </c>
      <c r="L664">
        <f>IF(B664,INDEX(Dow,1,WEEKDAY(E664,2)),"")</f>
        <v/>
      </c>
      <c r="M664">
        <f>IF(B664,(1+Trend)^D664,"")</f>
        <v/>
      </c>
      <c r="N664">
        <f>IF(B664,EXP(SUMPRODUCT(LN(1+(EvEff-1)*INDEX(Affected,0,C664)*EXP(-((E664-EvCenter)^2)/(2*EvSigma^2))))),"")</f>
        <v/>
      </c>
      <c r="O664">
        <f>IF(B664,ROUND(MAX(0,J664*K664*L664*M664*N664),2),"")</f>
        <v/>
      </c>
    </row>
    <row r="665">
      <c r="A665" t="n">
        <v>664</v>
      </c>
      <c r="B665">
        <f>A665&lt;=MineCount*Days</f>
        <v/>
      </c>
      <c r="C665">
        <f>IF(B665,INT((A665-1)/Days)+1,"")</f>
        <v/>
      </c>
      <c r="D665">
        <f>IF(B665,MOD(A665-1,Days),"")</f>
        <v/>
      </c>
      <c r="E665" s="16">
        <f>IF(B665,StartDate+D665,"")</f>
        <v/>
      </c>
      <c r="F665">
        <f>IF(B665,MAX(MOD(SIN(Seed*0.1373+C665*12.9898+D665*78.233)*43758.5453,1),1E-9),"")</f>
        <v/>
      </c>
      <c r="G665">
        <f>IF(B665,MOD(SIN(Seed*0.5917+C665*39.3468+D665*11.135)*24634.6345,1),"")</f>
        <v/>
      </c>
      <c r="H665">
        <f>IF(B665,SQRT(-2*LN(F665))*COS(2*PI()*G665),"")</f>
        <v/>
      </c>
      <c r="I665">
        <f>IF(B665,IF(D665=0,H665,Rho*I664+SQRT(1-Rho^2)*H665),"")</f>
        <v/>
      </c>
      <c r="J665">
        <f>IF(B665,IF(Dist="Normal",DistA+DistB*I665,DistA+(DistB-DistA)*NORMSDIST(I665)),"")</f>
        <v/>
      </c>
      <c r="K665">
        <f>IF(B665,INDEX(MineScale,C665),"")</f>
        <v/>
      </c>
      <c r="L665">
        <f>IF(B665,INDEX(Dow,1,WEEKDAY(E665,2)),"")</f>
        <v/>
      </c>
      <c r="M665">
        <f>IF(B665,(1+Trend)^D665,"")</f>
        <v/>
      </c>
      <c r="N665">
        <f>IF(B665,EXP(SUMPRODUCT(LN(1+(EvEff-1)*INDEX(Affected,0,C665)*EXP(-((E665-EvCenter)^2)/(2*EvSigma^2))))),"")</f>
        <v/>
      </c>
      <c r="O665">
        <f>IF(B665,ROUND(MAX(0,J665*K665*L665*M665*N665),2),"")</f>
        <v/>
      </c>
    </row>
    <row r="666">
      <c r="A666" t="n">
        <v>665</v>
      </c>
      <c r="B666">
        <f>A666&lt;=MineCount*Days</f>
        <v/>
      </c>
      <c r="C666">
        <f>IF(B666,INT((A666-1)/Days)+1,"")</f>
        <v/>
      </c>
      <c r="D666">
        <f>IF(B666,MOD(A666-1,Days),"")</f>
        <v/>
      </c>
      <c r="E666" s="16">
        <f>IF(B666,StartDate+D666,"")</f>
        <v/>
      </c>
      <c r="F666">
        <f>IF(B666,MAX(MOD(SIN(Seed*0.1373+C666*12.9898+D666*78.233)*43758.5453,1),1E-9),"")</f>
        <v/>
      </c>
      <c r="G666">
        <f>IF(B666,MOD(SIN(Seed*0.5917+C666*39.3468+D666*11.135)*24634.6345,1),"")</f>
        <v/>
      </c>
      <c r="H666">
        <f>IF(B666,SQRT(-2*LN(F666))*COS(2*PI()*G666),"")</f>
        <v/>
      </c>
      <c r="I666">
        <f>IF(B666,IF(D666=0,H666,Rho*I665+SQRT(1-Rho^2)*H666),"")</f>
        <v/>
      </c>
      <c r="J666">
        <f>IF(B666,IF(Dist="Normal",DistA+DistB*I666,DistA+(DistB-DistA)*NORMSDIST(I666)),"")</f>
        <v/>
      </c>
      <c r="K666">
        <f>IF(B666,INDEX(MineScale,C666),"")</f>
        <v/>
      </c>
      <c r="L666">
        <f>IF(B666,INDEX(Dow,1,WEEKDAY(E666,2)),"")</f>
        <v/>
      </c>
      <c r="M666">
        <f>IF(B666,(1+Trend)^D666,"")</f>
        <v/>
      </c>
      <c r="N666">
        <f>IF(B666,EXP(SUMPRODUCT(LN(1+(EvEff-1)*INDEX(Affected,0,C666)*EXP(-((E666-EvCenter)^2)/(2*EvSigma^2))))),"")</f>
        <v/>
      </c>
      <c r="O666">
        <f>IF(B666,ROUND(MAX(0,J666*K666*L666*M666*N666),2),"")</f>
        <v/>
      </c>
    </row>
    <row r="667">
      <c r="A667" t="n">
        <v>666</v>
      </c>
      <c r="B667">
        <f>A667&lt;=MineCount*Days</f>
        <v/>
      </c>
      <c r="C667">
        <f>IF(B667,INT((A667-1)/Days)+1,"")</f>
        <v/>
      </c>
      <c r="D667">
        <f>IF(B667,MOD(A667-1,Days),"")</f>
        <v/>
      </c>
      <c r="E667" s="16">
        <f>IF(B667,StartDate+D667,"")</f>
        <v/>
      </c>
      <c r="F667">
        <f>IF(B667,MAX(MOD(SIN(Seed*0.1373+C667*12.9898+D667*78.233)*43758.5453,1),1E-9),"")</f>
        <v/>
      </c>
      <c r="G667">
        <f>IF(B667,MOD(SIN(Seed*0.5917+C667*39.3468+D667*11.135)*24634.6345,1),"")</f>
        <v/>
      </c>
      <c r="H667">
        <f>IF(B667,SQRT(-2*LN(F667))*COS(2*PI()*G667),"")</f>
        <v/>
      </c>
      <c r="I667">
        <f>IF(B667,IF(D667=0,H667,Rho*I666+SQRT(1-Rho^2)*H667),"")</f>
        <v/>
      </c>
      <c r="J667">
        <f>IF(B667,IF(Dist="Normal",DistA+DistB*I667,DistA+(DistB-DistA)*NORMSDIST(I667)),"")</f>
        <v/>
      </c>
      <c r="K667">
        <f>IF(B667,INDEX(MineScale,C667),"")</f>
        <v/>
      </c>
      <c r="L667">
        <f>IF(B667,INDEX(Dow,1,WEEKDAY(E667,2)),"")</f>
        <v/>
      </c>
      <c r="M667">
        <f>IF(B667,(1+Trend)^D667,"")</f>
        <v/>
      </c>
      <c r="N667">
        <f>IF(B667,EXP(SUMPRODUCT(LN(1+(EvEff-1)*INDEX(Affected,0,C667)*EXP(-((E667-EvCenter)^2)/(2*EvSigma^2))))),"")</f>
        <v/>
      </c>
      <c r="O667">
        <f>IF(B667,ROUND(MAX(0,J667*K667*L667*M667*N667),2),"")</f>
        <v/>
      </c>
    </row>
    <row r="668">
      <c r="A668" t="n">
        <v>667</v>
      </c>
      <c r="B668">
        <f>A668&lt;=MineCount*Days</f>
        <v/>
      </c>
      <c r="C668">
        <f>IF(B668,INT((A668-1)/Days)+1,"")</f>
        <v/>
      </c>
      <c r="D668">
        <f>IF(B668,MOD(A668-1,Days),"")</f>
        <v/>
      </c>
      <c r="E668" s="16">
        <f>IF(B668,StartDate+D668,"")</f>
        <v/>
      </c>
      <c r="F668">
        <f>IF(B668,MAX(MOD(SIN(Seed*0.1373+C668*12.9898+D668*78.233)*43758.5453,1),1E-9),"")</f>
        <v/>
      </c>
      <c r="G668">
        <f>IF(B668,MOD(SIN(Seed*0.5917+C668*39.3468+D668*11.135)*24634.6345,1),"")</f>
        <v/>
      </c>
      <c r="H668">
        <f>IF(B668,SQRT(-2*LN(F668))*COS(2*PI()*G668),"")</f>
        <v/>
      </c>
      <c r="I668">
        <f>IF(B668,IF(D668=0,H668,Rho*I667+SQRT(1-Rho^2)*H668),"")</f>
        <v/>
      </c>
      <c r="J668">
        <f>IF(B668,IF(Dist="Normal",DistA+DistB*I668,DistA+(DistB-DistA)*NORMSDIST(I668)),"")</f>
        <v/>
      </c>
      <c r="K668">
        <f>IF(B668,INDEX(MineScale,C668),"")</f>
        <v/>
      </c>
      <c r="L668">
        <f>IF(B668,INDEX(Dow,1,WEEKDAY(E668,2)),"")</f>
        <v/>
      </c>
      <c r="M668">
        <f>IF(B668,(1+Trend)^D668,"")</f>
        <v/>
      </c>
      <c r="N668">
        <f>IF(B668,EXP(SUMPRODUCT(LN(1+(EvEff-1)*INDEX(Affected,0,C668)*EXP(-((E668-EvCenter)^2)/(2*EvSigma^2))))),"")</f>
        <v/>
      </c>
      <c r="O668">
        <f>IF(B668,ROUND(MAX(0,J668*K668*L668*M668*N668),2),"")</f>
        <v/>
      </c>
    </row>
    <row r="669">
      <c r="A669" t="n">
        <v>668</v>
      </c>
      <c r="B669">
        <f>A669&lt;=MineCount*Days</f>
        <v/>
      </c>
      <c r="C669">
        <f>IF(B669,INT((A669-1)/Days)+1,"")</f>
        <v/>
      </c>
      <c r="D669">
        <f>IF(B669,MOD(A669-1,Days),"")</f>
        <v/>
      </c>
      <c r="E669" s="16">
        <f>IF(B669,StartDate+D669,"")</f>
        <v/>
      </c>
      <c r="F669">
        <f>IF(B669,MAX(MOD(SIN(Seed*0.1373+C669*12.9898+D669*78.233)*43758.5453,1),1E-9),"")</f>
        <v/>
      </c>
      <c r="G669">
        <f>IF(B669,MOD(SIN(Seed*0.5917+C669*39.3468+D669*11.135)*24634.6345,1),"")</f>
        <v/>
      </c>
      <c r="H669">
        <f>IF(B669,SQRT(-2*LN(F669))*COS(2*PI()*G669),"")</f>
        <v/>
      </c>
      <c r="I669">
        <f>IF(B669,IF(D669=0,H669,Rho*I668+SQRT(1-Rho^2)*H669),"")</f>
        <v/>
      </c>
      <c r="J669">
        <f>IF(B669,IF(Dist="Normal",DistA+DistB*I669,DistA+(DistB-DistA)*NORMSDIST(I669)),"")</f>
        <v/>
      </c>
      <c r="K669">
        <f>IF(B669,INDEX(MineScale,C669),"")</f>
        <v/>
      </c>
      <c r="L669">
        <f>IF(B669,INDEX(Dow,1,WEEKDAY(E669,2)),"")</f>
        <v/>
      </c>
      <c r="M669">
        <f>IF(B669,(1+Trend)^D669,"")</f>
        <v/>
      </c>
      <c r="N669">
        <f>IF(B669,EXP(SUMPRODUCT(LN(1+(EvEff-1)*INDEX(Affected,0,C669)*EXP(-((E669-EvCenter)^2)/(2*EvSigma^2))))),"")</f>
        <v/>
      </c>
      <c r="O669">
        <f>IF(B669,ROUND(MAX(0,J669*K669*L669*M669*N669),2),"")</f>
        <v/>
      </c>
    </row>
    <row r="670">
      <c r="A670" t="n">
        <v>669</v>
      </c>
      <c r="B670">
        <f>A670&lt;=MineCount*Days</f>
        <v/>
      </c>
      <c r="C670">
        <f>IF(B670,INT((A670-1)/Days)+1,"")</f>
        <v/>
      </c>
      <c r="D670">
        <f>IF(B670,MOD(A670-1,Days),"")</f>
        <v/>
      </c>
      <c r="E670" s="16">
        <f>IF(B670,StartDate+D670,"")</f>
        <v/>
      </c>
      <c r="F670">
        <f>IF(B670,MAX(MOD(SIN(Seed*0.1373+C670*12.9898+D670*78.233)*43758.5453,1),1E-9),"")</f>
        <v/>
      </c>
      <c r="G670">
        <f>IF(B670,MOD(SIN(Seed*0.5917+C670*39.3468+D670*11.135)*24634.6345,1),"")</f>
        <v/>
      </c>
      <c r="H670">
        <f>IF(B670,SQRT(-2*LN(F670))*COS(2*PI()*G670),"")</f>
        <v/>
      </c>
      <c r="I670">
        <f>IF(B670,IF(D670=0,H670,Rho*I669+SQRT(1-Rho^2)*H670),"")</f>
        <v/>
      </c>
      <c r="J670">
        <f>IF(B670,IF(Dist="Normal",DistA+DistB*I670,DistA+(DistB-DistA)*NORMSDIST(I670)),"")</f>
        <v/>
      </c>
      <c r="K670">
        <f>IF(B670,INDEX(MineScale,C670),"")</f>
        <v/>
      </c>
      <c r="L670">
        <f>IF(B670,INDEX(Dow,1,WEEKDAY(E670,2)),"")</f>
        <v/>
      </c>
      <c r="M670">
        <f>IF(B670,(1+Trend)^D670,"")</f>
        <v/>
      </c>
      <c r="N670">
        <f>IF(B670,EXP(SUMPRODUCT(LN(1+(EvEff-1)*INDEX(Affected,0,C670)*EXP(-((E670-EvCenter)^2)/(2*EvSigma^2))))),"")</f>
        <v/>
      </c>
      <c r="O670">
        <f>IF(B670,ROUND(MAX(0,J670*K670*L670*M670*N670),2),"")</f>
        <v/>
      </c>
    </row>
    <row r="671">
      <c r="A671" t="n">
        <v>670</v>
      </c>
      <c r="B671">
        <f>A671&lt;=MineCount*Days</f>
        <v/>
      </c>
      <c r="C671">
        <f>IF(B671,INT((A671-1)/Days)+1,"")</f>
        <v/>
      </c>
      <c r="D671">
        <f>IF(B671,MOD(A671-1,Days),"")</f>
        <v/>
      </c>
      <c r="E671" s="16">
        <f>IF(B671,StartDate+D671,"")</f>
        <v/>
      </c>
      <c r="F671">
        <f>IF(B671,MAX(MOD(SIN(Seed*0.1373+C671*12.9898+D671*78.233)*43758.5453,1),1E-9),"")</f>
        <v/>
      </c>
      <c r="G671">
        <f>IF(B671,MOD(SIN(Seed*0.5917+C671*39.3468+D671*11.135)*24634.6345,1),"")</f>
        <v/>
      </c>
      <c r="H671">
        <f>IF(B671,SQRT(-2*LN(F671))*COS(2*PI()*G671),"")</f>
        <v/>
      </c>
      <c r="I671">
        <f>IF(B671,IF(D671=0,H671,Rho*I670+SQRT(1-Rho^2)*H671),"")</f>
        <v/>
      </c>
      <c r="J671">
        <f>IF(B671,IF(Dist="Normal",DistA+DistB*I671,DistA+(DistB-DistA)*NORMSDIST(I671)),"")</f>
        <v/>
      </c>
      <c r="K671">
        <f>IF(B671,INDEX(MineScale,C671),"")</f>
        <v/>
      </c>
      <c r="L671">
        <f>IF(B671,INDEX(Dow,1,WEEKDAY(E671,2)),"")</f>
        <v/>
      </c>
      <c r="M671">
        <f>IF(B671,(1+Trend)^D671,"")</f>
        <v/>
      </c>
      <c r="N671">
        <f>IF(B671,EXP(SUMPRODUCT(LN(1+(EvEff-1)*INDEX(Affected,0,C671)*EXP(-((E671-EvCenter)^2)/(2*EvSigma^2))))),"")</f>
        <v/>
      </c>
      <c r="O671">
        <f>IF(B671,ROUND(MAX(0,J671*K671*L671*M671*N671),2),"")</f>
        <v/>
      </c>
    </row>
    <row r="672">
      <c r="A672" t="n">
        <v>671</v>
      </c>
      <c r="B672">
        <f>A672&lt;=MineCount*Days</f>
        <v/>
      </c>
      <c r="C672">
        <f>IF(B672,INT((A672-1)/Days)+1,"")</f>
        <v/>
      </c>
      <c r="D672">
        <f>IF(B672,MOD(A672-1,Days),"")</f>
        <v/>
      </c>
      <c r="E672" s="16">
        <f>IF(B672,StartDate+D672,"")</f>
        <v/>
      </c>
      <c r="F672">
        <f>IF(B672,MAX(MOD(SIN(Seed*0.1373+C672*12.9898+D672*78.233)*43758.5453,1),1E-9),"")</f>
        <v/>
      </c>
      <c r="G672">
        <f>IF(B672,MOD(SIN(Seed*0.5917+C672*39.3468+D672*11.135)*24634.6345,1),"")</f>
        <v/>
      </c>
      <c r="H672">
        <f>IF(B672,SQRT(-2*LN(F672))*COS(2*PI()*G672),"")</f>
        <v/>
      </c>
      <c r="I672">
        <f>IF(B672,IF(D672=0,H672,Rho*I671+SQRT(1-Rho^2)*H672),"")</f>
        <v/>
      </c>
      <c r="J672">
        <f>IF(B672,IF(Dist="Normal",DistA+DistB*I672,DistA+(DistB-DistA)*NORMSDIST(I672)),"")</f>
        <v/>
      </c>
      <c r="K672">
        <f>IF(B672,INDEX(MineScale,C672),"")</f>
        <v/>
      </c>
      <c r="L672">
        <f>IF(B672,INDEX(Dow,1,WEEKDAY(E672,2)),"")</f>
        <v/>
      </c>
      <c r="M672">
        <f>IF(B672,(1+Trend)^D672,"")</f>
        <v/>
      </c>
      <c r="N672">
        <f>IF(B672,EXP(SUMPRODUCT(LN(1+(EvEff-1)*INDEX(Affected,0,C672)*EXP(-((E672-EvCenter)^2)/(2*EvSigma^2))))),"")</f>
        <v/>
      </c>
      <c r="O672">
        <f>IF(B672,ROUND(MAX(0,J672*K672*L672*M672*N672),2),"")</f>
        <v/>
      </c>
    </row>
    <row r="673">
      <c r="A673" t="n">
        <v>672</v>
      </c>
      <c r="B673">
        <f>A673&lt;=MineCount*Days</f>
        <v/>
      </c>
      <c r="C673">
        <f>IF(B673,INT((A673-1)/Days)+1,"")</f>
        <v/>
      </c>
      <c r="D673">
        <f>IF(B673,MOD(A673-1,Days),"")</f>
        <v/>
      </c>
      <c r="E673" s="16">
        <f>IF(B673,StartDate+D673,"")</f>
        <v/>
      </c>
      <c r="F673">
        <f>IF(B673,MAX(MOD(SIN(Seed*0.1373+C673*12.9898+D673*78.233)*43758.5453,1),1E-9),"")</f>
        <v/>
      </c>
      <c r="G673">
        <f>IF(B673,MOD(SIN(Seed*0.5917+C673*39.3468+D673*11.135)*24634.6345,1),"")</f>
        <v/>
      </c>
      <c r="H673">
        <f>IF(B673,SQRT(-2*LN(F673))*COS(2*PI()*G673),"")</f>
        <v/>
      </c>
      <c r="I673">
        <f>IF(B673,IF(D673=0,H673,Rho*I672+SQRT(1-Rho^2)*H673),"")</f>
        <v/>
      </c>
      <c r="J673">
        <f>IF(B673,IF(Dist="Normal",DistA+DistB*I673,DistA+(DistB-DistA)*NORMSDIST(I673)),"")</f>
        <v/>
      </c>
      <c r="K673">
        <f>IF(B673,INDEX(MineScale,C673),"")</f>
        <v/>
      </c>
      <c r="L673">
        <f>IF(B673,INDEX(Dow,1,WEEKDAY(E673,2)),"")</f>
        <v/>
      </c>
      <c r="M673">
        <f>IF(B673,(1+Trend)^D673,"")</f>
        <v/>
      </c>
      <c r="N673">
        <f>IF(B673,EXP(SUMPRODUCT(LN(1+(EvEff-1)*INDEX(Affected,0,C673)*EXP(-((E673-EvCenter)^2)/(2*EvSigma^2))))),"")</f>
        <v/>
      </c>
      <c r="O673">
        <f>IF(B673,ROUND(MAX(0,J673*K673*L673*M673*N673),2),"")</f>
        <v/>
      </c>
    </row>
    <row r="674">
      <c r="A674" t="n">
        <v>673</v>
      </c>
      <c r="B674">
        <f>A674&lt;=MineCount*Days</f>
        <v/>
      </c>
      <c r="C674">
        <f>IF(B674,INT((A674-1)/Days)+1,"")</f>
        <v/>
      </c>
      <c r="D674">
        <f>IF(B674,MOD(A674-1,Days),"")</f>
        <v/>
      </c>
      <c r="E674" s="16">
        <f>IF(B674,StartDate+D674,"")</f>
        <v/>
      </c>
      <c r="F674">
        <f>IF(B674,MAX(MOD(SIN(Seed*0.1373+C674*12.9898+D674*78.233)*43758.5453,1),1E-9),"")</f>
        <v/>
      </c>
      <c r="G674">
        <f>IF(B674,MOD(SIN(Seed*0.5917+C674*39.3468+D674*11.135)*24634.6345,1),"")</f>
        <v/>
      </c>
      <c r="H674">
        <f>IF(B674,SQRT(-2*LN(F674))*COS(2*PI()*G674),"")</f>
        <v/>
      </c>
      <c r="I674">
        <f>IF(B674,IF(D674=0,H674,Rho*I673+SQRT(1-Rho^2)*H674),"")</f>
        <v/>
      </c>
      <c r="J674">
        <f>IF(B674,IF(Dist="Normal",DistA+DistB*I674,DistA+(DistB-DistA)*NORMSDIST(I674)),"")</f>
        <v/>
      </c>
      <c r="K674">
        <f>IF(B674,INDEX(MineScale,C674),"")</f>
        <v/>
      </c>
      <c r="L674">
        <f>IF(B674,INDEX(Dow,1,WEEKDAY(E674,2)),"")</f>
        <v/>
      </c>
      <c r="M674">
        <f>IF(B674,(1+Trend)^D674,"")</f>
        <v/>
      </c>
      <c r="N674">
        <f>IF(B674,EXP(SUMPRODUCT(LN(1+(EvEff-1)*INDEX(Affected,0,C674)*EXP(-((E674-EvCenter)^2)/(2*EvSigma^2))))),"")</f>
        <v/>
      </c>
      <c r="O674">
        <f>IF(B674,ROUND(MAX(0,J674*K674*L674*M674*N674),2),"")</f>
        <v/>
      </c>
    </row>
    <row r="675">
      <c r="A675" t="n">
        <v>674</v>
      </c>
      <c r="B675">
        <f>A675&lt;=MineCount*Days</f>
        <v/>
      </c>
      <c r="C675">
        <f>IF(B675,INT((A675-1)/Days)+1,"")</f>
        <v/>
      </c>
      <c r="D675">
        <f>IF(B675,MOD(A675-1,Days),"")</f>
        <v/>
      </c>
      <c r="E675" s="16">
        <f>IF(B675,StartDate+D675,"")</f>
        <v/>
      </c>
      <c r="F675">
        <f>IF(B675,MAX(MOD(SIN(Seed*0.1373+C675*12.9898+D675*78.233)*43758.5453,1),1E-9),"")</f>
        <v/>
      </c>
      <c r="G675">
        <f>IF(B675,MOD(SIN(Seed*0.5917+C675*39.3468+D675*11.135)*24634.6345,1),"")</f>
        <v/>
      </c>
      <c r="H675">
        <f>IF(B675,SQRT(-2*LN(F675))*COS(2*PI()*G675),"")</f>
        <v/>
      </c>
      <c r="I675">
        <f>IF(B675,IF(D675=0,H675,Rho*I674+SQRT(1-Rho^2)*H675),"")</f>
        <v/>
      </c>
      <c r="J675">
        <f>IF(B675,IF(Dist="Normal",DistA+DistB*I675,DistA+(DistB-DistA)*NORMSDIST(I675)),"")</f>
        <v/>
      </c>
      <c r="K675">
        <f>IF(B675,INDEX(MineScale,C675),"")</f>
        <v/>
      </c>
      <c r="L675">
        <f>IF(B675,INDEX(Dow,1,WEEKDAY(E675,2)),"")</f>
        <v/>
      </c>
      <c r="M675">
        <f>IF(B675,(1+Trend)^D675,"")</f>
        <v/>
      </c>
      <c r="N675">
        <f>IF(B675,EXP(SUMPRODUCT(LN(1+(EvEff-1)*INDEX(Affected,0,C675)*EXP(-((E675-EvCenter)^2)/(2*EvSigma^2))))),"")</f>
        <v/>
      </c>
      <c r="O675">
        <f>IF(B675,ROUND(MAX(0,J675*K675*L675*M675*N675),2),"")</f>
        <v/>
      </c>
    </row>
    <row r="676">
      <c r="A676" t="n">
        <v>675</v>
      </c>
      <c r="B676">
        <f>A676&lt;=MineCount*Days</f>
        <v/>
      </c>
      <c r="C676">
        <f>IF(B676,INT((A676-1)/Days)+1,"")</f>
        <v/>
      </c>
      <c r="D676">
        <f>IF(B676,MOD(A676-1,Days),"")</f>
        <v/>
      </c>
      <c r="E676" s="16">
        <f>IF(B676,StartDate+D676,"")</f>
        <v/>
      </c>
      <c r="F676">
        <f>IF(B676,MAX(MOD(SIN(Seed*0.1373+C676*12.9898+D676*78.233)*43758.5453,1),1E-9),"")</f>
        <v/>
      </c>
      <c r="G676">
        <f>IF(B676,MOD(SIN(Seed*0.5917+C676*39.3468+D676*11.135)*24634.6345,1),"")</f>
        <v/>
      </c>
      <c r="H676">
        <f>IF(B676,SQRT(-2*LN(F676))*COS(2*PI()*G676),"")</f>
        <v/>
      </c>
      <c r="I676">
        <f>IF(B676,IF(D676=0,H676,Rho*I675+SQRT(1-Rho^2)*H676),"")</f>
        <v/>
      </c>
      <c r="J676">
        <f>IF(B676,IF(Dist="Normal",DistA+DistB*I676,DistA+(DistB-DistA)*NORMSDIST(I676)),"")</f>
        <v/>
      </c>
      <c r="K676">
        <f>IF(B676,INDEX(MineScale,C676),"")</f>
        <v/>
      </c>
      <c r="L676">
        <f>IF(B676,INDEX(Dow,1,WEEKDAY(E676,2)),"")</f>
        <v/>
      </c>
      <c r="M676">
        <f>IF(B676,(1+Trend)^D676,"")</f>
        <v/>
      </c>
      <c r="N676">
        <f>IF(B676,EXP(SUMPRODUCT(LN(1+(EvEff-1)*INDEX(Affected,0,C676)*EXP(-((E676-EvCenter)^2)/(2*EvSigma^2))))),"")</f>
        <v/>
      </c>
      <c r="O676">
        <f>IF(B676,ROUND(MAX(0,J676*K676*L676*M676*N676),2),"")</f>
        <v/>
      </c>
    </row>
    <row r="677">
      <c r="A677" t="n">
        <v>676</v>
      </c>
      <c r="B677">
        <f>A677&lt;=MineCount*Days</f>
        <v/>
      </c>
      <c r="C677">
        <f>IF(B677,INT((A677-1)/Days)+1,"")</f>
        <v/>
      </c>
      <c r="D677">
        <f>IF(B677,MOD(A677-1,Days),"")</f>
        <v/>
      </c>
      <c r="E677" s="16">
        <f>IF(B677,StartDate+D677,"")</f>
        <v/>
      </c>
      <c r="F677">
        <f>IF(B677,MAX(MOD(SIN(Seed*0.1373+C677*12.9898+D677*78.233)*43758.5453,1),1E-9),"")</f>
        <v/>
      </c>
      <c r="G677">
        <f>IF(B677,MOD(SIN(Seed*0.5917+C677*39.3468+D677*11.135)*24634.6345,1),"")</f>
        <v/>
      </c>
      <c r="H677">
        <f>IF(B677,SQRT(-2*LN(F677))*COS(2*PI()*G677),"")</f>
        <v/>
      </c>
      <c r="I677">
        <f>IF(B677,IF(D677=0,H677,Rho*I676+SQRT(1-Rho^2)*H677),"")</f>
        <v/>
      </c>
      <c r="J677">
        <f>IF(B677,IF(Dist="Normal",DistA+DistB*I677,DistA+(DistB-DistA)*NORMSDIST(I677)),"")</f>
        <v/>
      </c>
      <c r="K677">
        <f>IF(B677,INDEX(MineScale,C677),"")</f>
        <v/>
      </c>
      <c r="L677">
        <f>IF(B677,INDEX(Dow,1,WEEKDAY(E677,2)),"")</f>
        <v/>
      </c>
      <c r="M677">
        <f>IF(B677,(1+Trend)^D677,"")</f>
        <v/>
      </c>
      <c r="N677">
        <f>IF(B677,EXP(SUMPRODUCT(LN(1+(EvEff-1)*INDEX(Affected,0,C677)*EXP(-((E677-EvCenter)^2)/(2*EvSigma^2))))),"")</f>
        <v/>
      </c>
      <c r="O677">
        <f>IF(B677,ROUND(MAX(0,J677*K677*L677*M677*N677),2),"")</f>
        <v/>
      </c>
    </row>
    <row r="678">
      <c r="A678" t="n">
        <v>677</v>
      </c>
      <c r="B678">
        <f>A678&lt;=MineCount*Days</f>
        <v/>
      </c>
      <c r="C678">
        <f>IF(B678,INT((A678-1)/Days)+1,"")</f>
        <v/>
      </c>
      <c r="D678">
        <f>IF(B678,MOD(A678-1,Days),"")</f>
        <v/>
      </c>
      <c r="E678" s="16">
        <f>IF(B678,StartDate+D678,"")</f>
        <v/>
      </c>
      <c r="F678">
        <f>IF(B678,MAX(MOD(SIN(Seed*0.1373+C678*12.9898+D678*78.233)*43758.5453,1),1E-9),"")</f>
        <v/>
      </c>
      <c r="G678">
        <f>IF(B678,MOD(SIN(Seed*0.5917+C678*39.3468+D678*11.135)*24634.6345,1),"")</f>
        <v/>
      </c>
      <c r="H678">
        <f>IF(B678,SQRT(-2*LN(F678))*COS(2*PI()*G678),"")</f>
        <v/>
      </c>
      <c r="I678">
        <f>IF(B678,IF(D678=0,H678,Rho*I677+SQRT(1-Rho^2)*H678),"")</f>
        <v/>
      </c>
      <c r="J678">
        <f>IF(B678,IF(Dist="Normal",DistA+DistB*I678,DistA+(DistB-DistA)*NORMSDIST(I678)),"")</f>
        <v/>
      </c>
      <c r="K678">
        <f>IF(B678,INDEX(MineScale,C678),"")</f>
        <v/>
      </c>
      <c r="L678">
        <f>IF(B678,INDEX(Dow,1,WEEKDAY(E678,2)),"")</f>
        <v/>
      </c>
      <c r="M678">
        <f>IF(B678,(1+Trend)^D678,"")</f>
        <v/>
      </c>
      <c r="N678">
        <f>IF(B678,EXP(SUMPRODUCT(LN(1+(EvEff-1)*INDEX(Affected,0,C678)*EXP(-((E678-EvCenter)^2)/(2*EvSigma^2))))),"")</f>
        <v/>
      </c>
      <c r="O678">
        <f>IF(B678,ROUND(MAX(0,J678*K678*L678*M678*N678),2),"")</f>
        <v/>
      </c>
    </row>
    <row r="679">
      <c r="A679" t="n">
        <v>678</v>
      </c>
      <c r="B679">
        <f>A679&lt;=MineCount*Days</f>
        <v/>
      </c>
      <c r="C679">
        <f>IF(B679,INT((A679-1)/Days)+1,"")</f>
        <v/>
      </c>
      <c r="D679">
        <f>IF(B679,MOD(A679-1,Days),"")</f>
        <v/>
      </c>
      <c r="E679" s="16">
        <f>IF(B679,StartDate+D679,"")</f>
        <v/>
      </c>
      <c r="F679">
        <f>IF(B679,MAX(MOD(SIN(Seed*0.1373+C679*12.9898+D679*78.233)*43758.5453,1),1E-9),"")</f>
        <v/>
      </c>
      <c r="G679">
        <f>IF(B679,MOD(SIN(Seed*0.5917+C679*39.3468+D679*11.135)*24634.6345,1),"")</f>
        <v/>
      </c>
      <c r="H679">
        <f>IF(B679,SQRT(-2*LN(F679))*COS(2*PI()*G679),"")</f>
        <v/>
      </c>
      <c r="I679">
        <f>IF(B679,IF(D679=0,H679,Rho*I678+SQRT(1-Rho^2)*H679),"")</f>
        <v/>
      </c>
      <c r="J679">
        <f>IF(B679,IF(Dist="Normal",DistA+DistB*I679,DistA+(DistB-DistA)*NORMSDIST(I679)),"")</f>
        <v/>
      </c>
      <c r="K679">
        <f>IF(B679,INDEX(MineScale,C679),"")</f>
        <v/>
      </c>
      <c r="L679">
        <f>IF(B679,INDEX(Dow,1,WEEKDAY(E679,2)),"")</f>
        <v/>
      </c>
      <c r="M679">
        <f>IF(B679,(1+Trend)^D679,"")</f>
        <v/>
      </c>
      <c r="N679">
        <f>IF(B679,EXP(SUMPRODUCT(LN(1+(EvEff-1)*INDEX(Affected,0,C679)*EXP(-((E679-EvCenter)^2)/(2*EvSigma^2))))),"")</f>
        <v/>
      </c>
      <c r="O679">
        <f>IF(B679,ROUND(MAX(0,J679*K679*L679*M679*N679),2),"")</f>
        <v/>
      </c>
    </row>
    <row r="680">
      <c r="A680" t="n">
        <v>679</v>
      </c>
      <c r="B680">
        <f>A680&lt;=MineCount*Days</f>
        <v/>
      </c>
      <c r="C680">
        <f>IF(B680,INT((A680-1)/Days)+1,"")</f>
        <v/>
      </c>
      <c r="D680">
        <f>IF(B680,MOD(A680-1,Days),"")</f>
        <v/>
      </c>
      <c r="E680" s="16">
        <f>IF(B680,StartDate+D680,"")</f>
        <v/>
      </c>
      <c r="F680">
        <f>IF(B680,MAX(MOD(SIN(Seed*0.1373+C680*12.9898+D680*78.233)*43758.5453,1),1E-9),"")</f>
        <v/>
      </c>
      <c r="G680">
        <f>IF(B680,MOD(SIN(Seed*0.5917+C680*39.3468+D680*11.135)*24634.6345,1),"")</f>
        <v/>
      </c>
      <c r="H680">
        <f>IF(B680,SQRT(-2*LN(F680))*COS(2*PI()*G680),"")</f>
        <v/>
      </c>
      <c r="I680">
        <f>IF(B680,IF(D680=0,H680,Rho*I679+SQRT(1-Rho^2)*H680),"")</f>
        <v/>
      </c>
      <c r="J680">
        <f>IF(B680,IF(Dist="Normal",DistA+DistB*I680,DistA+(DistB-DistA)*NORMSDIST(I680)),"")</f>
        <v/>
      </c>
      <c r="K680">
        <f>IF(B680,INDEX(MineScale,C680),"")</f>
        <v/>
      </c>
      <c r="L680">
        <f>IF(B680,INDEX(Dow,1,WEEKDAY(E680,2)),"")</f>
        <v/>
      </c>
      <c r="M680">
        <f>IF(B680,(1+Trend)^D680,"")</f>
        <v/>
      </c>
      <c r="N680">
        <f>IF(B680,EXP(SUMPRODUCT(LN(1+(EvEff-1)*INDEX(Affected,0,C680)*EXP(-((E680-EvCenter)^2)/(2*EvSigma^2))))),"")</f>
        <v/>
      </c>
      <c r="O680">
        <f>IF(B680,ROUND(MAX(0,J680*K680*L680*M680*N680),2),"")</f>
        <v/>
      </c>
    </row>
    <row r="681">
      <c r="A681" t="n">
        <v>680</v>
      </c>
      <c r="B681">
        <f>A681&lt;=MineCount*Days</f>
        <v/>
      </c>
      <c r="C681">
        <f>IF(B681,INT((A681-1)/Days)+1,"")</f>
        <v/>
      </c>
      <c r="D681">
        <f>IF(B681,MOD(A681-1,Days),"")</f>
        <v/>
      </c>
      <c r="E681" s="16">
        <f>IF(B681,StartDate+D681,"")</f>
        <v/>
      </c>
      <c r="F681">
        <f>IF(B681,MAX(MOD(SIN(Seed*0.1373+C681*12.9898+D681*78.233)*43758.5453,1),1E-9),"")</f>
        <v/>
      </c>
      <c r="G681">
        <f>IF(B681,MOD(SIN(Seed*0.5917+C681*39.3468+D681*11.135)*24634.6345,1),"")</f>
        <v/>
      </c>
      <c r="H681">
        <f>IF(B681,SQRT(-2*LN(F681))*COS(2*PI()*G681),"")</f>
        <v/>
      </c>
      <c r="I681">
        <f>IF(B681,IF(D681=0,H681,Rho*I680+SQRT(1-Rho^2)*H681),"")</f>
        <v/>
      </c>
      <c r="J681">
        <f>IF(B681,IF(Dist="Normal",DistA+DistB*I681,DistA+(DistB-DistA)*NORMSDIST(I681)),"")</f>
        <v/>
      </c>
      <c r="K681">
        <f>IF(B681,INDEX(MineScale,C681),"")</f>
        <v/>
      </c>
      <c r="L681">
        <f>IF(B681,INDEX(Dow,1,WEEKDAY(E681,2)),"")</f>
        <v/>
      </c>
      <c r="M681">
        <f>IF(B681,(1+Trend)^D681,"")</f>
        <v/>
      </c>
      <c r="N681">
        <f>IF(B681,EXP(SUMPRODUCT(LN(1+(EvEff-1)*INDEX(Affected,0,C681)*EXP(-((E681-EvCenter)^2)/(2*EvSigma^2))))),"")</f>
        <v/>
      </c>
      <c r="O681">
        <f>IF(B681,ROUND(MAX(0,J681*K681*L681*M681*N681),2),"")</f>
        <v/>
      </c>
    </row>
    <row r="682">
      <c r="A682" t="n">
        <v>681</v>
      </c>
      <c r="B682">
        <f>A682&lt;=MineCount*Days</f>
        <v/>
      </c>
      <c r="C682">
        <f>IF(B682,INT((A682-1)/Days)+1,"")</f>
        <v/>
      </c>
      <c r="D682">
        <f>IF(B682,MOD(A682-1,Days),"")</f>
        <v/>
      </c>
      <c r="E682" s="16">
        <f>IF(B682,StartDate+D682,"")</f>
        <v/>
      </c>
      <c r="F682">
        <f>IF(B682,MAX(MOD(SIN(Seed*0.1373+C682*12.9898+D682*78.233)*43758.5453,1),1E-9),"")</f>
        <v/>
      </c>
      <c r="G682">
        <f>IF(B682,MOD(SIN(Seed*0.5917+C682*39.3468+D682*11.135)*24634.6345,1),"")</f>
        <v/>
      </c>
      <c r="H682">
        <f>IF(B682,SQRT(-2*LN(F682))*COS(2*PI()*G682),"")</f>
        <v/>
      </c>
      <c r="I682">
        <f>IF(B682,IF(D682=0,H682,Rho*I681+SQRT(1-Rho^2)*H682),"")</f>
        <v/>
      </c>
      <c r="J682">
        <f>IF(B682,IF(Dist="Normal",DistA+DistB*I682,DistA+(DistB-DistA)*NORMSDIST(I682)),"")</f>
        <v/>
      </c>
      <c r="K682">
        <f>IF(B682,INDEX(MineScale,C682),"")</f>
        <v/>
      </c>
      <c r="L682">
        <f>IF(B682,INDEX(Dow,1,WEEKDAY(E682,2)),"")</f>
        <v/>
      </c>
      <c r="M682">
        <f>IF(B682,(1+Trend)^D682,"")</f>
        <v/>
      </c>
      <c r="N682">
        <f>IF(B682,EXP(SUMPRODUCT(LN(1+(EvEff-1)*INDEX(Affected,0,C682)*EXP(-((E682-EvCenter)^2)/(2*EvSigma^2))))),"")</f>
        <v/>
      </c>
      <c r="O682">
        <f>IF(B682,ROUND(MAX(0,J682*K682*L682*M682*N682),2),"")</f>
        <v/>
      </c>
    </row>
    <row r="683">
      <c r="A683" t="n">
        <v>682</v>
      </c>
      <c r="B683">
        <f>A683&lt;=MineCount*Days</f>
        <v/>
      </c>
      <c r="C683">
        <f>IF(B683,INT((A683-1)/Days)+1,"")</f>
        <v/>
      </c>
      <c r="D683">
        <f>IF(B683,MOD(A683-1,Days),"")</f>
        <v/>
      </c>
      <c r="E683" s="16">
        <f>IF(B683,StartDate+D683,"")</f>
        <v/>
      </c>
      <c r="F683">
        <f>IF(B683,MAX(MOD(SIN(Seed*0.1373+C683*12.9898+D683*78.233)*43758.5453,1),1E-9),"")</f>
        <v/>
      </c>
      <c r="G683">
        <f>IF(B683,MOD(SIN(Seed*0.5917+C683*39.3468+D683*11.135)*24634.6345,1),"")</f>
        <v/>
      </c>
      <c r="H683">
        <f>IF(B683,SQRT(-2*LN(F683))*COS(2*PI()*G683),"")</f>
        <v/>
      </c>
      <c r="I683">
        <f>IF(B683,IF(D683=0,H683,Rho*I682+SQRT(1-Rho^2)*H683),"")</f>
        <v/>
      </c>
      <c r="J683">
        <f>IF(B683,IF(Dist="Normal",DistA+DistB*I683,DistA+(DistB-DistA)*NORMSDIST(I683)),"")</f>
        <v/>
      </c>
      <c r="K683">
        <f>IF(B683,INDEX(MineScale,C683),"")</f>
        <v/>
      </c>
      <c r="L683">
        <f>IF(B683,INDEX(Dow,1,WEEKDAY(E683,2)),"")</f>
        <v/>
      </c>
      <c r="M683">
        <f>IF(B683,(1+Trend)^D683,"")</f>
        <v/>
      </c>
      <c r="N683">
        <f>IF(B683,EXP(SUMPRODUCT(LN(1+(EvEff-1)*INDEX(Affected,0,C683)*EXP(-((E683-EvCenter)^2)/(2*EvSigma^2))))),"")</f>
        <v/>
      </c>
      <c r="O683">
        <f>IF(B683,ROUND(MAX(0,J683*K683*L683*M683*N683),2),"")</f>
        <v/>
      </c>
    </row>
    <row r="684">
      <c r="A684" t="n">
        <v>683</v>
      </c>
      <c r="B684">
        <f>A684&lt;=MineCount*Days</f>
        <v/>
      </c>
      <c r="C684">
        <f>IF(B684,INT((A684-1)/Days)+1,"")</f>
        <v/>
      </c>
      <c r="D684">
        <f>IF(B684,MOD(A684-1,Days),"")</f>
        <v/>
      </c>
      <c r="E684" s="16">
        <f>IF(B684,StartDate+D684,"")</f>
        <v/>
      </c>
      <c r="F684">
        <f>IF(B684,MAX(MOD(SIN(Seed*0.1373+C684*12.9898+D684*78.233)*43758.5453,1),1E-9),"")</f>
        <v/>
      </c>
      <c r="G684">
        <f>IF(B684,MOD(SIN(Seed*0.5917+C684*39.3468+D684*11.135)*24634.6345,1),"")</f>
        <v/>
      </c>
      <c r="H684">
        <f>IF(B684,SQRT(-2*LN(F684))*COS(2*PI()*G684),"")</f>
        <v/>
      </c>
      <c r="I684">
        <f>IF(B684,IF(D684=0,H684,Rho*I683+SQRT(1-Rho^2)*H684),"")</f>
        <v/>
      </c>
      <c r="J684">
        <f>IF(B684,IF(Dist="Normal",DistA+DistB*I684,DistA+(DistB-DistA)*NORMSDIST(I684)),"")</f>
        <v/>
      </c>
      <c r="K684">
        <f>IF(B684,INDEX(MineScale,C684),"")</f>
        <v/>
      </c>
      <c r="L684">
        <f>IF(B684,INDEX(Dow,1,WEEKDAY(E684,2)),"")</f>
        <v/>
      </c>
      <c r="M684">
        <f>IF(B684,(1+Trend)^D684,"")</f>
        <v/>
      </c>
      <c r="N684">
        <f>IF(B684,EXP(SUMPRODUCT(LN(1+(EvEff-1)*INDEX(Affected,0,C684)*EXP(-((E684-EvCenter)^2)/(2*EvSigma^2))))),"")</f>
        <v/>
      </c>
      <c r="O684">
        <f>IF(B684,ROUND(MAX(0,J684*K684*L684*M684*N684),2),"")</f>
        <v/>
      </c>
    </row>
    <row r="685">
      <c r="A685" t="n">
        <v>684</v>
      </c>
      <c r="B685">
        <f>A685&lt;=MineCount*Days</f>
        <v/>
      </c>
      <c r="C685">
        <f>IF(B685,INT((A685-1)/Days)+1,"")</f>
        <v/>
      </c>
      <c r="D685">
        <f>IF(B685,MOD(A685-1,Days),"")</f>
        <v/>
      </c>
      <c r="E685" s="16">
        <f>IF(B685,StartDate+D685,"")</f>
        <v/>
      </c>
      <c r="F685">
        <f>IF(B685,MAX(MOD(SIN(Seed*0.1373+C685*12.9898+D685*78.233)*43758.5453,1),1E-9),"")</f>
        <v/>
      </c>
      <c r="G685">
        <f>IF(B685,MOD(SIN(Seed*0.5917+C685*39.3468+D685*11.135)*24634.6345,1),"")</f>
        <v/>
      </c>
      <c r="H685">
        <f>IF(B685,SQRT(-2*LN(F685))*COS(2*PI()*G685),"")</f>
        <v/>
      </c>
      <c r="I685">
        <f>IF(B685,IF(D685=0,H685,Rho*I684+SQRT(1-Rho^2)*H685),"")</f>
        <v/>
      </c>
      <c r="J685">
        <f>IF(B685,IF(Dist="Normal",DistA+DistB*I685,DistA+(DistB-DistA)*NORMSDIST(I685)),"")</f>
        <v/>
      </c>
      <c r="K685">
        <f>IF(B685,INDEX(MineScale,C685),"")</f>
        <v/>
      </c>
      <c r="L685">
        <f>IF(B685,INDEX(Dow,1,WEEKDAY(E685,2)),"")</f>
        <v/>
      </c>
      <c r="M685">
        <f>IF(B685,(1+Trend)^D685,"")</f>
        <v/>
      </c>
      <c r="N685">
        <f>IF(B685,EXP(SUMPRODUCT(LN(1+(EvEff-1)*INDEX(Affected,0,C685)*EXP(-((E685-EvCenter)^2)/(2*EvSigma^2))))),"")</f>
        <v/>
      </c>
      <c r="O685">
        <f>IF(B685,ROUND(MAX(0,J685*K685*L685*M685*N685),2),"")</f>
        <v/>
      </c>
    </row>
    <row r="686">
      <c r="A686" t="n">
        <v>685</v>
      </c>
      <c r="B686">
        <f>A686&lt;=MineCount*Days</f>
        <v/>
      </c>
      <c r="C686">
        <f>IF(B686,INT((A686-1)/Days)+1,"")</f>
        <v/>
      </c>
      <c r="D686">
        <f>IF(B686,MOD(A686-1,Days),"")</f>
        <v/>
      </c>
      <c r="E686" s="16">
        <f>IF(B686,StartDate+D686,"")</f>
        <v/>
      </c>
      <c r="F686">
        <f>IF(B686,MAX(MOD(SIN(Seed*0.1373+C686*12.9898+D686*78.233)*43758.5453,1),1E-9),"")</f>
        <v/>
      </c>
      <c r="G686">
        <f>IF(B686,MOD(SIN(Seed*0.5917+C686*39.3468+D686*11.135)*24634.6345,1),"")</f>
        <v/>
      </c>
      <c r="H686">
        <f>IF(B686,SQRT(-2*LN(F686))*COS(2*PI()*G686),"")</f>
        <v/>
      </c>
      <c r="I686">
        <f>IF(B686,IF(D686=0,H686,Rho*I685+SQRT(1-Rho^2)*H686),"")</f>
        <v/>
      </c>
      <c r="J686">
        <f>IF(B686,IF(Dist="Normal",DistA+DistB*I686,DistA+(DistB-DistA)*NORMSDIST(I686)),"")</f>
        <v/>
      </c>
      <c r="K686">
        <f>IF(B686,INDEX(MineScale,C686),"")</f>
        <v/>
      </c>
      <c r="L686">
        <f>IF(B686,INDEX(Dow,1,WEEKDAY(E686,2)),"")</f>
        <v/>
      </c>
      <c r="M686">
        <f>IF(B686,(1+Trend)^D686,"")</f>
        <v/>
      </c>
      <c r="N686">
        <f>IF(B686,EXP(SUMPRODUCT(LN(1+(EvEff-1)*INDEX(Affected,0,C686)*EXP(-((E686-EvCenter)^2)/(2*EvSigma^2))))),"")</f>
        <v/>
      </c>
      <c r="O686">
        <f>IF(B686,ROUND(MAX(0,J686*K686*L686*M686*N686),2),"")</f>
        <v/>
      </c>
    </row>
    <row r="687">
      <c r="A687" t="n">
        <v>686</v>
      </c>
      <c r="B687">
        <f>A687&lt;=MineCount*Days</f>
        <v/>
      </c>
      <c r="C687">
        <f>IF(B687,INT((A687-1)/Days)+1,"")</f>
        <v/>
      </c>
      <c r="D687">
        <f>IF(B687,MOD(A687-1,Days),"")</f>
        <v/>
      </c>
      <c r="E687" s="16">
        <f>IF(B687,StartDate+D687,"")</f>
        <v/>
      </c>
      <c r="F687">
        <f>IF(B687,MAX(MOD(SIN(Seed*0.1373+C687*12.9898+D687*78.233)*43758.5453,1),1E-9),"")</f>
        <v/>
      </c>
      <c r="G687">
        <f>IF(B687,MOD(SIN(Seed*0.5917+C687*39.3468+D687*11.135)*24634.6345,1),"")</f>
        <v/>
      </c>
      <c r="H687">
        <f>IF(B687,SQRT(-2*LN(F687))*COS(2*PI()*G687),"")</f>
        <v/>
      </c>
      <c r="I687">
        <f>IF(B687,IF(D687=0,H687,Rho*I686+SQRT(1-Rho^2)*H687),"")</f>
        <v/>
      </c>
      <c r="J687">
        <f>IF(B687,IF(Dist="Normal",DistA+DistB*I687,DistA+(DistB-DistA)*NORMSDIST(I687)),"")</f>
        <v/>
      </c>
      <c r="K687">
        <f>IF(B687,INDEX(MineScale,C687),"")</f>
        <v/>
      </c>
      <c r="L687">
        <f>IF(B687,INDEX(Dow,1,WEEKDAY(E687,2)),"")</f>
        <v/>
      </c>
      <c r="M687">
        <f>IF(B687,(1+Trend)^D687,"")</f>
        <v/>
      </c>
      <c r="N687">
        <f>IF(B687,EXP(SUMPRODUCT(LN(1+(EvEff-1)*INDEX(Affected,0,C687)*EXP(-((E687-EvCenter)^2)/(2*EvSigma^2))))),"")</f>
        <v/>
      </c>
      <c r="O687">
        <f>IF(B687,ROUND(MAX(0,J687*K687*L687*M687*N687),2),"")</f>
        <v/>
      </c>
    </row>
    <row r="688">
      <c r="A688" t="n">
        <v>687</v>
      </c>
      <c r="B688">
        <f>A688&lt;=MineCount*Days</f>
        <v/>
      </c>
      <c r="C688">
        <f>IF(B688,INT((A688-1)/Days)+1,"")</f>
        <v/>
      </c>
      <c r="D688">
        <f>IF(B688,MOD(A688-1,Days),"")</f>
        <v/>
      </c>
      <c r="E688" s="16">
        <f>IF(B688,StartDate+D688,"")</f>
        <v/>
      </c>
      <c r="F688">
        <f>IF(B688,MAX(MOD(SIN(Seed*0.1373+C688*12.9898+D688*78.233)*43758.5453,1),1E-9),"")</f>
        <v/>
      </c>
      <c r="G688">
        <f>IF(B688,MOD(SIN(Seed*0.5917+C688*39.3468+D688*11.135)*24634.6345,1),"")</f>
        <v/>
      </c>
      <c r="H688">
        <f>IF(B688,SQRT(-2*LN(F688))*COS(2*PI()*G688),"")</f>
        <v/>
      </c>
      <c r="I688">
        <f>IF(B688,IF(D688=0,H688,Rho*I687+SQRT(1-Rho^2)*H688),"")</f>
        <v/>
      </c>
      <c r="J688">
        <f>IF(B688,IF(Dist="Normal",DistA+DistB*I688,DistA+(DistB-DistA)*NORMSDIST(I688)),"")</f>
        <v/>
      </c>
      <c r="K688">
        <f>IF(B688,INDEX(MineScale,C688),"")</f>
        <v/>
      </c>
      <c r="L688">
        <f>IF(B688,INDEX(Dow,1,WEEKDAY(E688,2)),"")</f>
        <v/>
      </c>
      <c r="M688">
        <f>IF(B688,(1+Trend)^D688,"")</f>
        <v/>
      </c>
      <c r="N688">
        <f>IF(B688,EXP(SUMPRODUCT(LN(1+(EvEff-1)*INDEX(Affected,0,C688)*EXP(-((E688-EvCenter)^2)/(2*EvSigma^2))))),"")</f>
        <v/>
      </c>
      <c r="O688">
        <f>IF(B688,ROUND(MAX(0,J688*K688*L688*M688*N688),2),"")</f>
        <v/>
      </c>
    </row>
    <row r="689">
      <c r="A689" t="n">
        <v>688</v>
      </c>
      <c r="B689">
        <f>A689&lt;=MineCount*Days</f>
        <v/>
      </c>
      <c r="C689">
        <f>IF(B689,INT((A689-1)/Days)+1,"")</f>
        <v/>
      </c>
      <c r="D689">
        <f>IF(B689,MOD(A689-1,Days),"")</f>
        <v/>
      </c>
      <c r="E689" s="16">
        <f>IF(B689,StartDate+D689,"")</f>
        <v/>
      </c>
      <c r="F689">
        <f>IF(B689,MAX(MOD(SIN(Seed*0.1373+C689*12.9898+D689*78.233)*43758.5453,1),1E-9),"")</f>
        <v/>
      </c>
      <c r="G689">
        <f>IF(B689,MOD(SIN(Seed*0.5917+C689*39.3468+D689*11.135)*24634.6345,1),"")</f>
        <v/>
      </c>
      <c r="H689">
        <f>IF(B689,SQRT(-2*LN(F689))*COS(2*PI()*G689),"")</f>
        <v/>
      </c>
      <c r="I689">
        <f>IF(B689,IF(D689=0,H689,Rho*I688+SQRT(1-Rho^2)*H689),"")</f>
        <v/>
      </c>
      <c r="J689">
        <f>IF(B689,IF(Dist="Normal",DistA+DistB*I689,DistA+(DistB-DistA)*NORMSDIST(I689)),"")</f>
        <v/>
      </c>
      <c r="K689">
        <f>IF(B689,INDEX(MineScale,C689),"")</f>
        <v/>
      </c>
      <c r="L689">
        <f>IF(B689,INDEX(Dow,1,WEEKDAY(E689,2)),"")</f>
        <v/>
      </c>
      <c r="M689">
        <f>IF(B689,(1+Trend)^D689,"")</f>
        <v/>
      </c>
      <c r="N689">
        <f>IF(B689,EXP(SUMPRODUCT(LN(1+(EvEff-1)*INDEX(Affected,0,C689)*EXP(-((E689-EvCenter)^2)/(2*EvSigma^2))))),"")</f>
        <v/>
      </c>
      <c r="O689">
        <f>IF(B689,ROUND(MAX(0,J689*K689*L689*M689*N689),2),"")</f>
        <v/>
      </c>
    </row>
    <row r="690">
      <c r="A690" t="n">
        <v>689</v>
      </c>
      <c r="B690">
        <f>A690&lt;=MineCount*Days</f>
        <v/>
      </c>
      <c r="C690">
        <f>IF(B690,INT((A690-1)/Days)+1,"")</f>
        <v/>
      </c>
      <c r="D690">
        <f>IF(B690,MOD(A690-1,Days),"")</f>
        <v/>
      </c>
      <c r="E690" s="16">
        <f>IF(B690,StartDate+D690,"")</f>
        <v/>
      </c>
      <c r="F690">
        <f>IF(B690,MAX(MOD(SIN(Seed*0.1373+C690*12.9898+D690*78.233)*43758.5453,1),1E-9),"")</f>
        <v/>
      </c>
      <c r="G690">
        <f>IF(B690,MOD(SIN(Seed*0.5917+C690*39.3468+D690*11.135)*24634.6345,1),"")</f>
        <v/>
      </c>
      <c r="H690">
        <f>IF(B690,SQRT(-2*LN(F690))*COS(2*PI()*G690),"")</f>
        <v/>
      </c>
      <c r="I690">
        <f>IF(B690,IF(D690=0,H690,Rho*I689+SQRT(1-Rho^2)*H690),"")</f>
        <v/>
      </c>
      <c r="J690">
        <f>IF(B690,IF(Dist="Normal",DistA+DistB*I690,DistA+(DistB-DistA)*NORMSDIST(I690)),"")</f>
        <v/>
      </c>
      <c r="K690">
        <f>IF(B690,INDEX(MineScale,C690),"")</f>
        <v/>
      </c>
      <c r="L690">
        <f>IF(B690,INDEX(Dow,1,WEEKDAY(E690,2)),"")</f>
        <v/>
      </c>
      <c r="M690">
        <f>IF(B690,(1+Trend)^D690,"")</f>
        <v/>
      </c>
      <c r="N690">
        <f>IF(B690,EXP(SUMPRODUCT(LN(1+(EvEff-1)*INDEX(Affected,0,C690)*EXP(-((E690-EvCenter)^2)/(2*EvSigma^2))))),"")</f>
        <v/>
      </c>
      <c r="O690">
        <f>IF(B690,ROUND(MAX(0,J690*K690*L690*M690*N690),2),"")</f>
        <v/>
      </c>
    </row>
    <row r="691">
      <c r="A691" t="n">
        <v>690</v>
      </c>
      <c r="B691">
        <f>A691&lt;=MineCount*Days</f>
        <v/>
      </c>
      <c r="C691">
        <f>IF(B691,INT((A691-1)/Days)+1,"")</f>
        <v/>
      </c>
      <c r="D691">
        <f>IF(B691,MOD(A691-1,Days),"")</f>
        <v/>
      </c>
      <c r="E691" s="16">
        <f>IF(B691,StartDate+D691,"")</f>
        <v/>
      </c>
      <c r="F691">
        <f>IF(B691,MAX(MOD(SIN(Seed*0.1373+C691*12.9898+D691*78.233)*43758.5453,1),1E-9),"")</f>
        <v/>
      </c>
      <c r="G691">
        <f>IF(B691,MOD(SIN(Seed*0.5917+C691*39.3468+D691*11.135)*24634.6345,1),"")</f>
        <v/>
      </c>
      <c r="H691">
        <f>IF(B691,SQRT(-2*LN(F691))*COS(2*PI()*G691),"")</f>
        <v/>
      </c>
      <c r="I691">
        <f>IF(B691,IF(D691=0,H691,Rho*I690+SQRT(1-Rho^2)*H691),"")</f>
        <v/>
      </c>
      <c r="J691">
        <f>IF(B691,IF(Dist="Normal",DistA+DistB*I691,DistA+(DistB-DistA)*NORMSDIST(I691)),"")</f>
        <v/>
      </c>
      <c r="K691">
        <f>IF(B691,INDEX(MineScale,C691),"")</f>
        <v/>
      </c>
      <c r="L691">
        <f>IF(B691,INDEX(Dow,1,WEEKDAY(E691,2)),"")</f>
        <v/>
      </c>
      <c r="M691">
        <f>IF(B691,(1+Trend)^D691,"")</f>
        <v/>
      </c>
      <c r="N691">
        <f>IF(B691,EXP(SUMPRODUCT(LN(1+(EvEff-1)*INDEX(Affected,0,C691)*EXP(-((E691-EvCenter)^2)/(2*EvSigma^2))))),"")</f>
        <v/>
      </c>
      <c r="O691">
        <f>IF(B691,ROUND(MAX(0,J691*K691*L691*M691*N691),2),"")</f>
        <v/>
      </c>
    </row>
    <row r="692">
      <c r="A692" t="n">
        <v>691</v>
      </c>
      <c r="B692">
        <f>A692&lt;=MineCount*Days</f>
        <v/>
      </c>
      <c r="C692">
        <f>IF(B692,INT((A692-1)/Days)+1,"")</f>
        <v/>
      </c>
      <c r="D692">
        <f>IF(B692,MOD(A692-1,Days),"")</f>
        <v/>
      </c>
      <c r="E692" s="16">
        <f>IF(B692,StartDate+D692,"")</f>
        <v/>
      </c>
      <c r="F692">
        <f>IF(B692,MAX(MOD(SIN(Seed*0.1373+C692*12.9898+D692*78.233)*43758.5453,1),1E-9),"")</f>
        <v/>
      </c>
      <c r="G692">
        <f>IF(B692,MOD(SIN(Seed*0.5917+C692*39.3468+D692*11.135)*24634.6345,1),"")</f>
        <v/>
      </c>
      <c r="H692">
        <f>IF(B692,SQRT(-2*LN(F692))*COS(2*PI()*G692),"")</f>
        <v/>
      </c>
      <c r="I692">
        <f>IF(B692,IF(D692=0,H692,Rho*I691+SQRT(1-Rho^2)*H692),"")</f>
        <v/>
      </c>
      <c r="J692">
        <f>IF(B692,IF(Dist="Normal",DistA+DistB*I692,DistA+(DistB-DistA)*NORMSDIST(I692)),"")</f>
        <v/>
      </c>
      <c r="K692">
        <f>IF(B692,INDEX(MineScale,C692),"")</f>
        <v/>
      </c>
      <c r="L692">
        <f>IF(B692,INDEX(Dow,1,WEEKDAY(E692,2)),"")</f>
        <v/>
      </c>
      <c r="M692">
        <f>IF(B692,(1+Trend)^D692,"")</f>
        <v/>
      </c>
      <c r="N692">
        <f>IF(B692,EXP(SUMPRODUCT(LN(1+(EvEff-1)*INDEX(Affected,0,C692)*EXP(-((E692-EvCenter)^2)/(2*EvSigma^2))))),"")</f>
        <v/>
      </c>
      <c r="O692">
        <f>IF(B692,ROUND(MAX(0,J692*K692*L692*M692*N692),2),"")</f>
        <v/>
      </c>
    </row>
    <row r="693">
      <c r="A693" t="n">
        <v>692</v>
      </c>
      <c r="B693">
        <f>A693&lt;=MineCount*Days</f>
        <v/>
      </c>
      <c r="C693">
        <f>IF(B693,INT((A693-1)/Days)+1,"")</f>
        <v/>
      </c>
      <c r="D693">
        <f>IF(B693,MOD(A693-1,Days),"")</f>
        <v/>
      </c>
      <c r="E693" s="16">
        <f>IF(B693,StartDate+D693,"")</f>
        <v/>
      </c>
      <c r="F693">
        <f>IF(B693,MAX(MOD(SIN(Seed*0.1373+C693*12.9898+D693*78.233)*43758.5453,1),1E-9),"")</f>
        <v/>
      </c>
      <c r="G693">
        <f>IF(B693,MOD(SIN(Seed*0.5917+C693*39.3468+D693*11.135)*24634.6345,1),"")</f>
        <v/>
      </c>
      <c r="H693">
        <f>IF(B693,SQRT(-2*LN(F693))*COS(2*PI()*G693),"")</f>
        <v/>
      </c>
      <c r="I693">
        <f>IF(B693,IF(D693=0,H693,Rho*I692+SQRT(1-Rho^2)*H693),"")</f>
        <v/>
      </c>
      <c r="J693">
        <f>IF(B693,IF(Dist="Normal",DistA+DistB*I693,DistA+(DistB-DistA)*NORMSDIST(I693)),"")</f>
        <v/>
      </c>
      <c r="K693">
        <f>IF(B693,INDEX(MineScale,C693),"")</f>
        <v/>
      </c>
      <c r="L693">
        <f>IF(B693,INDEX(Dow,1,WEEKDAY(E693,2)),"")</f>
        <v/>
      </c>
      <c r="M693">
        <f>IF(B693,(1+Trend)^D693,"")</f>
        <v/>
      </c>
      <c r="N693">
        <f>IF(B693,EXP(SUMPRODUCT(LN(1+(EvEff-1)*INDEX(Affected,0,C693)*EXP(-((E693-EvCenter)^2)/(2*EvSigma^2))))),"")</f>
        <v/>
      </c>
      <c r="O693">
        <f>IF(B693,ROUND(MAX(0,J693*K693*L693*M693*N693),2),"")</f>
        <v/>
      </c>
    </row>
    <row r="694">
      <c r="A694" t="n">
        <v>693</v>
      </c>
      <c r="B694">
        <f>A694&lt;=MineCount*Days</f>
        <v/>
      </c>
      <c r="C694">
        <f>IF(B694,INT((A694-1)/Days)+1,"")</f>
        <v/>
      </c>
      <c r="D694">
        <f>IF(B694,MOD(A694-1,Days),"")</f>
        <v/>
      </c>
      <c r="E694" s="16">
        <f>IF(B694,StartDate+D694,"")</f>
        <v/>
      </c>
      <c r="F694">
        <f>IF(B694,MAX(MOD(SIN(Seed*0.1373+C694*12.9898+D694*78.233)*43758.5453,1),1E-9),"")</f>
        <v/>
      </c>
      <c r="G694">
        <f>IF(B694,MOD(SIN(Seed*0.5917+C694*39.3468+D694*11.135)*24634.6345,1),"")</f>
        <v/>
      </c>
      <c r="H694">
        <f>IF(B694,SQRT(-2*LN(F694))*COS(2*PI()*G694),"")</f>
        <v/>
      </c>
      <c r="I694">
        <f>IF(B694,IF(D694=0,H694,Rho*I693+SQRT(1-Rho^2)*H694),"")</f>
        <v/>
      </c>
      <c r="J694">
        <f>IF(B694,IF(Dist="Normal",DistA+DistB*I694,DistA+(DistB-DistA)*NORMSDIST(I694)),"")</f>
        <v/>
      </c>
      <c r="K694">
        <f>IF(B694,INDEX(MineScale,C694),"")</f>
        <v/>
      </c>
      <c r="L694">
        <f>IF(B694,INDEX(Dow,1,WEEKDAY(E694,2)),"")</f>
        <v/>
      </c>
      <c r="M694">
        <f>IF(B694,(1+Trend)^D694,"")</f>
        <v/>
      </c>
      <c r="N694">
        <f>IF(B694,EXP(SUMPRODUCT(LN(1+(EvEff-1)*INDEX(Affected,0,C694)*EXP(-((E694-EvCenter)^2)/(2*EvSigma^2))))),"")</f>
        <v/>
      </c>
      <c r="O694">
        <f>IF(B694,ROUND(MAX(0,J694*K694*L694*M694*N694),2),"")</f>
        <v/>
      </c>
    </row>
    <row r="695">
      <c r="A695" t="n">
        <v>694</v>
      </c>
      <c r="B695">
        <f>A695&lt;=MineCount*Days</f>
        <v/>
      </c>
      <c r="C695">
        <f>IF(B695,INT((A695-1)/Days)+1,"")</f>
        <v/>
      </c>
      <c r="D695">
        <f>IF(B695,MOD(A695-1,Days),"")</f>
        <v/>
      </c>
      <c r="E695" s="16">
        <f>IF(B695,StartDate+D695,"")</f>
        <v/>
      </c>
      <c r="F695">
        <f>IF(B695,MAX(MOD(SIN(Seed*0.1373+C695*12.9898+D695*78.233)*43758.5453,1),1E-9),"")</f>
        <v/>
      </c>
      <c r="G695">
        <f>IF(B695,MOD(SIN(Seed*0.5917+C695*39.3468+D695*11.135)*24634.6345,1),"")</f>
        <v/>
      </c>
      <c r="H695">
        <f>IF(B695,SQRT(-2*LN(F695))*COS(2*PI()*G695),"")</f>
        <v/>
      </c>
      <c r="I695">
        <f>IF(B695,IF(D695=0,H695,Rho*I694+SQRT(1-Rho^2)*H695),"")</f>
        <v/>
      </c>
      <c r="J695">
        <f>IF(B695,IF(Dist="Normal",DistA+DistB*I695,DistA+(DistB-DistA)*NORMSDIST(I695)),"")</f>
        <v/>
      </c>
      <c r="K695">
        <f>IF(B695,INDEX(MineScale,C695),"")</f>
        <v/>
      </c>
      <c r="L695">
        <f>IF(B695,INDEX(Dow,1,WEEKDAY(E695,2)),"")</f>
        <v/>
      </c>
      <c r="M695">
        <f>IF(B695,(1+Trend)^D695,"")</f>
        <v/>
      </c>
      <c r="N695">
        <f>IF(B695,EXP(SUMPRODUCT(LN(1+(EvEff-1)*INDEX(Affected,0,C695)*EXP(-((E695-EvCenter)^2)/(2*EvSigma^2))))),"")</f>
        <v/>
      </c>
      <c r="O695">
        <f>IF(B695,ROUND(MAX(0,J695*K695*L695*M695*N695),2),"")</f>
        <v/>
      </c>
    </row>
    <row r="696">
      <c r="A696" t="n">
        <v>695</v>
      </c>
      <c r="B696">
        <f>A696&lt;=MineCount*Days</f>
        <v/>
      </c>
      <c r="C696">
        <f>IF(B696,INT((A696-1)/Days)+1,"")</f>
        <v/>
      </c>
      <c r="D696">
        <f>IF(B696,MOD(A696-1,Days),"")</f>
        <v/>
      </c>
      <c r="E696" s="16">
        <f>IF(B696,StartDate+D696,"")</f>
        <v/>
      </c>
      <c r="F696">
        <f>IF(B696,MAX(MOD(SIN(Seed*0.1373+C696*12.9898+D696*78.233)*43758.5453,1),1E-9),"")</f>
        <v/>
      </c>
      <c r="G696">
        <f>IF(B696,MOD(SIN(Seed*0.5917+C696*39.3468+D696*11.135)*24634.6345,1),"")</f>
        <v/>
      </c>
      <c r="H696">
        <f>IF(B696,SQRT(-2*LN(F696))*COS(2*PI()*G696),"")</f>
        <v/>
      </c>
      <c r="I696">
        <f>IF(B696,IF(D696=0,H696,Rho*I695+SQRT(1-Rho^2)*H696),"")</f>
        <v/>
      </c>
      <c r="J696">
        <f>IF(B696,IF(Dist="Normal",DistA+DistB*I696,DistA+(DistB-DistA)*NORMSDIST(I696)),"")</f>
        <v/>
      </c>
      <c r="K696">
        <f>IF(B696,INDEX(MineScale,C696),"")</f>
        <v/>
      </c>
      <c r="L696">
        <f>IF(B696,INDEX(Dow,1,WEEKDAY(E696,2)),"")</f>
        <v/>
      </c>
      <c r="M696">
        <f>IF(B696,(1+Trend)^D696,"")</f>
        <v/>
      </c>
      <c r="N696">
        <f>IF(B696,EXP(SUMPRODUCT(LN(1+(EvEff-1)*INDEX(Affected,0,C696)*EXP(-((E696-EvCenter)^2)/(2*EvSigma^2))))),"")</f>
        <v/>
      </c>
      <c r="O696">
        <f>IF(B696,ROUND(MAX(0,J696*K696*L696*M696*N696),2),"")</f>
        <v/>
      </c>
    </row>
    <row r="697">
      <c r="A697" t="n">
        <v>696</v>
      </c>
      <c r="B697">
        <f>A697&lt;=MineCount*Days</f>
        <v/>
      </c>
      <c r="C697">
        <f>IF(B697,INT((A697-1)/Days)+1,"")</f>
        <v/>
      </c>
      <c r="D697">
        <f>IF(B697,MOD(A697-1,Days),"")</f>
        <v/>
      </c>
      <c r="E697" s="16">
        <f>IF(B697,StartDate+D697,"")</f>
        <v/>
      </c>
      <c r="F697">
        <f>IF(B697,MAX(MOD(SIN(Seed*0.1373+C697*12.9898+D697*78.233)*43758.5453,1),1E-9),"")</f>
        <v/>
      </c>
      <c r="G697">
        <f>IF(B697,MOD(SIN(Seed*0.5917+C697*39.3468+D697*11.135)*24634.6345,1),"")</f>
        <v/>
      </c>
      <c r="H697">
        <f>IF(B697,SQRT(-2*LN(F697))*COS(2*PI()*G697),"")</f>
        <v/>
      </c>
      <c r="I697">
        <f>IF(B697,IF(D697=0,H697,Rho*I696+SQRT(1-Rho^2)*H697),"")</f>
        <v/>
      </c>
      <c r="J697">
        <f>IF(B697,IF(Dist="Normal",DistA+DistB*I697,DistA+(DistB-DistA)*NORMSDIST(I697)),"")</f>
        <v/>
      </c>
      <c r="K697">
        <f>IF(B697,INDEX(MineScale,C697),"")</f>
        <v/>
      </c>
      <c r="L697">
        <f>IF(B697,INDEX(Dow,1,WEEKDAY(E697,2)),"")</f>
        <v/>
      </c>
      <c r="M697">
        <f>IF(B697,(1+Trend)^D697,"")</f>
        <v/>
      </c>
      <c r="N697">
        <f>IF(B697,EXP(SUMPRODUCT(LN(1+(EvEff-1)*INDEX(Affected,0,C697)*EXP(-((E697-EvCenter)^2)/(2*EvSigma^2))))),"")</f>
        <v/>
      </c>
      <c r="O697">
        <f>IF(B697,ROUND(MAX(0,J697*K697*L697*M697*N697),2),"")</f>
        <v/>
      </c>
    </row>
    <row r="698">
      <c r="A698" t="n">
        <v>697</v>
      </c>
      <c r="B698">
        <f>A698&lt;=MineCount*Days</f>
        <v/>
      </c>
      <c r="C698">
        <f>IF(B698,INT((A698-1)/Days)+1,"")</f>
        <v/>
      </c>
      <c r="D698">
        <f>IF(B698,MOD(A698-1,Days),"")</f>
        <v/>
      </c>
      <c r="E698" s="16">
        <f>IF(B698,StartDate+D698,"")</f>
        <v/>
      </c>
      <c r="F698">
        <f>IF(B698,MAX(MOD(SIN(Seed*0.1373+C698*12.9898+D698*78.233)*43758.5453,1),1E-9),"")</f>
        <v/>
      </c>
      <c r="G698">
        <f>IF(B698,MOD(SIN(Seed*0.5917+C698*39.3468+D698*11.135)*24634.6345,1),"")</f>
        <v/>
      </c>
      <c r="H698">
        <f>IF(B698,SQRT(-2*LN(F698))*COS(2*PI()*G698),"")</f>
        <v/>
      </c>
      <c r="I698">
        <f>IF(B698,IF(D698=0,H698,Rho*I697+SQRT(1-Rho^2)*H698),"")</f>
        <v/>
      </c>
      <c r="J698">
        <f>IF(B698,IF(Dist="Normal",DistA+DistB*I698,DistA+(DistB-DistA)*NORMSDIST(I698)),"")</f>
        <v/>
      </c>
      <c r="K698">
        <f>IF(B698,INDEX(MineScale,C698),"")</f>
        <v/>
      </c>
      <c r="L698">
        <f>IF(B698,INDEX(Dow,1,WEEKDAY(E698,2)),"")</f>
        <v/>
      </c>
      <c r="M698">
        <f>IF(B698,(1+Trend)^D698,"")</f>
        <v/>
      </c>
      <c r="N698">
        <f>IF(B698,EXP(SUMPRODUCT(LN(1+(EvEff-1)*INDEX(Affected,0,C698)*EXP(-((E698-EvCenter)^2)/(2*EvSigma^2))))),"")</f>
        <v/>
      </c>
      <c r="O698">
        <f>IF(B698,ROUND(MAX(0,J698*K698*L698*M698*N698),2),"")</f>
        <v/>
      </c>
    </row>
    <row r="699">
      <c r="A699" t="n">
        <v>698</v>
      </c>
      <c r="B699">
        <f>A699&lt;=MineCount*Days</f>
        <v/>
      </c>
      <c r="C699">
        <f>IF(B699,INT((A699-1)/Days)+1,"")</f>
        <v/>
      </c>
      <c r="D699">
        <f>IF(B699,MOD(A699-1,Days),"")</f>
        <v/>
      </c>
      <c r="E699" s="16">
        <f>IF(B699,StartDate+D699,"")</f>
        <v/>
      </c>
      <c r="F699">
        <f>IF(B699,MAX(MOD(SIN(Seed*0.1373+C699*12.9898+D699*78.233)*43758.5453,1),1E-9),"")</f>
        <v/>
      </c>
      <c r="G699">
        <f>IF(B699,MOD(SIN(Seed*0.5917+C699*39.3468+D699*11.135)*24634.6345,1),"")</f>
        <v/>
      </c>
      <c r="H699">
        <f>IF(B699,SQRT(-2*LN(F699))*COS(2*PI()*G699),"")</f>
        <v/>
      </c>
      <c r="I699">
        <f>IF(B699,IF(D699=0,H699,Rho*I698+SQRT(1-Rho^2)*H699),"")</f>
        <v/>
      </c>
      <c r="J699">
        <f>IF(B699,IF(Dist="Normal",DistA+DistB*I699,DistA+(DistB-DistA)*NORMSDIST(I699)),"")</f>
        <v/>
      </c>
      <c r="K699">
        <f>IF(B699,INDEX(MineScale,C699),"")</f>
        <v/>
      </c>
      <c r="L699">
        <f>IF(B699,INDEX(Dow,1,WEEKDAY(E699,2)),"")</f>
        <v/>
      </c>
      <c r="M699">
        <f>IF(B699,(1+Trend)^D699,"")</f>
        <v/>
      </c>
      <c r="N699">
        <f>IF(B699,EXP(SUMPRODUCT(LN(1+(EvEff-1)*INDEX(Affected,0,C699)*EXP(-((E699-EvCenter)^2)/(2*EvSigma^2))))),"")</f>
        <v/>
      </c>
      <c r="O699">
        <f>IF(B699,ROUND(MAX(0,J699*K699*L699*M699*N699),2),"")</f>
        <v/>
      </c>
    </row>
    <row r="700">
      <c r="A700" t="n">
        <v>699</v>
      </c>
      <c r="B700">
        <f>A700&lt;=MineCount*Days</f>
        <v/>
      </c>
      <c r="C700">
        <f>IF(B700,INT((A700-1)/Days)+1,"")</f>
        <v/>
      </c>
      <c r="D700">
        <f>IF(B700,MOD(A700-1,Days),"")</f>
        <v/>
      </c>
      <c r="E700" s="16">
        <f>IF(B700,StartDate+D700,"")</f>
        <v/>
      </c>
      <c r="F700">
        <f>IF(B700,MAX(MOD(SIN(Seed*0.1373+C700*12.9898+D700*78.233)*43758.5453,1),1E-9),"")</f>
        <v/>
      </c>
      <c r="G700">
        <f>IF(B700,MOD(SIN(Seed*0.5917+C700*39.3468+D700*11.135)*24634.6345,1),"")</f>
        <v/>
      </c>
      <c r="H700">
        <f>IF(B700,SQRT(-2*LN(F700))*COS(2*PI()*G700),"")</f>
        <v/>
      </c>
      <c r="I700">
        <f>IF(B700,IF(D700=0,H700,Rho*I699+SQRT(1-Rho^2)*H700),"")</f>
        <v/>
      </c>
      <c r="J700">
        <f>IF(B700,IF(Dist="Normal",DistA+DistB*I700,DistA+(DistB-DistA)*NORMSDIST(I700)),"")</f>
        <v/>
      </c>
      <c r="K700">
        <f>IF(B700,INDEX(MineScale,C700),"")</f>
        <v/>
      </c>
      <c r="L700">
        <f>IF(B700,INDEX(Dow,1,WEEKDAY(E700,2)),"")</f>
        <v/>
      </c>
      <c r="M700">
        <f>IF(B700,(1+Trend)^D700,"")</f>
        <v/>
      </c>
      <c r="N700">
        <f>IF(B700,EXP(SUMPRODUCT(LN(1+(EvEff-1)*INDEX(Affected,0,C700)*EXP(-((E700-EvCenter)^2)/(2*EvSigma^2))))),"")</f>
        <v/>
      </c>
      <c r="O700">
        <f>IF(B700,ROUND(MAX(0,J700*K700*L700*M700*N700),2),"")</f>
        <v/>
      </c>
    </row>
    <row r="701">
      <c r="A701" t="n">
        <v>700</v>
      </c>
      <c r="B701">
        <f>A701&lt;=MineCount*Days</f>
        <v/>
      </c>
      <c r="C701">
        <f>IF(B701,INT((A701-1)/Days)+1,"")</f>
        <v/>
      </c>
      <c r="D701">
        <f>IF(B701,MOD(A701-1,Days),"")</f>
        <v/>
      </c>
      <c r="E701" s="16">
        <f>IF(B701,StartDate+D701,"")</f>
        <v/>
      </c>
      <c r="F701">
        <f>IF(B701,MAX(MOD(SIN(Seed*0.1373+C701*12.9898+D701*78.233)*43758.5453,1),1E-9),"")</f>
        <v/>
      </c>
      <c r="G701">
        <f>IF(B701,MOD(SIN(Seed*0.5917+C701*39.3468+D701*11.135)*24634.6345,1),"")</f>
        <v/>
      </c>
      <c r="H701">
        <f>IF(B701,SQRT(-2*LN(F701))*COS(2*PI()*G701),"")</f>
        <v/>
      </c>
      <c r="I701">
        <f>IF(B701,IF(D701=0,H701,Rho*I700+SQRT(1-Rho^2)*H701),"")</f>
        <v/>
      </c>
      <c r="J701">
        <f>IF(B701,IF(Dist="Normal",DistA+DistB*I701,DistA+(DistB-DistA)*NORMSDIST(I701)),"")</f>
        <v/>
      </c>
      <c r="K701">
        <f>IF(B701,INDEX(MineScale,C701),"")</f>
        <v/>
      </c>
      <c r="L701">
        <f>IF(B701,INDEX(Dow,1,WEEKDAY(E701,2)),"")</f>
        <v/>
      </c>
      <c r="M701">
        <f>IF(B701,(1+Trend)^D701,"")</f>
        <v/>
      </c>
      <c r="N701">
        <f>IF(B701,EXP(SUMPRODUCT(LN(1+(EvEff-1)*INDEX(Affected,0,C701)*EXP(-((E701-EvCenter)^2)/(2*EvSigma^2))))),"")</f>
        <v/>
      </c>
      <c r="O701">
        <f>IF(B701,ROUND(MAX(0,J701*K701*L701*M701*N701),2),"")</f>
        <v/>
      </c>
    </row>
    <row r="702">
      <c r="A702" t="n">
        <v>701</v>
      </c>
      <c r="B702">
        <f>A702&lt;=MineCount*Days</f>
        <v/>
      </c>
      <c r="C702">
        <f>IF(B702,INT((A702-1)/Days)+1,"")</f>
        <v/>
      </c>
      <c r="D702">
        <f>IF(B702,MOD(A702-1,Days),"")</f>
        <v/>
      </c>
      <c r="E702" s="16">
        <f>IF(B702,StartDate+D702,"")</f>
        <v/>
      </c>
      <c r="F702">
        <f>IF(B702,MAX(MOD(SIN(Seed*0.1373+C702*12.9898+D702*78.233)*43758.5453,1),1E-9),"")</f>
        <v/>
      </c>
      <c r="G702">
        <f>IF(B702,MOD(SIN(Seed*0.5917+C702*39.3468+D702*11.135)*24634.6345,1),"")</f>
        <v/>
      </c>
      <c r="H702">
        <f>IF(B702,SQRT(-2*LN(F702))*COS(2*PI()*G702),"")</f>
        <v/>
      </c>
      <c r="I702">
        <f>IF(B702,IF(D702=0,H702,Rho*I701+SQRT(1-Rho^2)*H702),"")</f>
        <v/>
      </c>
      <c r="J702">
        <f>IF(B702,IF(Dist="Normal",DistA+DistB*I702,DistA+(DistB-DistA)*NORMSDIST(I702)),"")</f>
        <v/>
      </c>
      <c r="K702">
        <f>IF(B702,INDEX(MineScale,C702),"")</f>
        <v/>
      </c>
      <c r="L702">
        <f>IF(B702,INDEX(Dow,1,WEEKDAY(E702,2)),"")</f>
        <v/>
      </c>
      <c r="M702">
        <f>IF(B702,(1+Trend)^D702,"")</f>
        <v/>
      </c>
      <c r="N702">
        <f>IF(B702,EXP(SUMPRODUCT(LN(1+(EvEff-1)*INDEX(Affected,0,C702)*EXP(-((E702-EvCenter)^2)/(2*EvSigma^2))))),"")</f>
        <v/>
      </c>
      <c r="O702">
        <f>IF(B702,ROUND(MAX(0,J702*K702*L702*M702*N702),2),"")</f>
        <v/>
      </c>
    </row>
    <row r="703">
      <c r="A703" t="n">
        <v>702</v>
      </c>
      <c r="B703">
        <f>A703&lt;=MineCount*Days</f>
        <v/>
      </c>
      <c r="C703">
        <f>IF(B703,INT((A703-1)/Days)+1,"")</f>
        <v/>
      </c>
      <c r="D703">
        <f>IF(B703,MOD(A703-1,Days),"")</f>
        <v/>
      </c>
      <c r="E703" s="16">
        <f>IF(B703,StartDate+D703,"")</f>
        <v/>
      </c>
      <c r="F703">
        <f>IF(B703,MAX(MOD(SIN(Seed*0.1373+C703*12.9898+D703*78.233)*43758.5453,1),1E-9),"")</f>
        <v/>
      </c>
      <c r="G703">
        <f>IF(B703,MOD(SIN(Seed*0.5917+C703*39.3468+D703*11.135)*24634.6345,1),"")</f>
        <v/>
      </c>
      <c r="H703">
        <f>IF(B703,SQRT(-2*LN(F703))*COS(2*PI()*G703),"")</f>
        <v/>
      </c>
      <c r="I703">
        <f>IF(B703,IF(D703=0,H703,Rho*I702+SQRT(1-Rho^2)*H703),"")</f>
        <v/>
      </c>
      <c r="J703">
        <f>IF(B703,IF(Dist="Normal",DistA+DistB*I703,DistA+(DistB-DistA)*NORMSDIST(I703)),"")</f>
        <v/>
      </c>
      <c r="K703">
        <f>IF(B703,INDEX(MineScale,C703),"")</f>
        <v/>
      </c>
      <c r="L703">
        <f>IF(B703,INDEX(Dow,1,WEEKDAY(E703,2)),"")</f>
        <v/>
      </c>
      <c r="M703">
        <f>IF(B703,(1+Trend)^D703,"")</f>
        <v/>
      </c>
      <c r="N703">
        <f>IF(B703,EXP(SUMPRODUCT(LN(1+(EvEff-1)*INDEX(Affected,0,C703)*EXP(-((E703-EvCenter)^2)/(2*EvSigma^2))))),"")</f>
        <v/>
      </c>
      <c r="O703">
        <f>IF(B703,ROUND(MAX(0,J703*K703*L703*M703*N703),2),"")</f>
        <v/>
      </c>
    </row>
    <row r="704">
      <c r="A704" t="n">
        <v>703</v>
      </c>
      <c r="B704">
        <f>A704&lt;=MineCount*Days</f>
        <v/>
      </c>
      <c r="C704">
        <f>IF(B704,INT((A704-1)/Days)+1,"")</f>
        <v/>
      </c>
      <c r="D704">
        <f>IF(B704,MOD(A704-1,Days),"")</f>
        <v/>
      </c>
      <c r="E704" s="16">
        <f>IF(B704,StartDate+D704,"")</f>
        <v/>
      </c>
      <c r="F704">
        <f>IF(B704,MAX(MOD(SIN(Seed*0.1373+C704*12.9898+D704*78.233)*43758.5453,1),1E-9),"")</f>
        <v/>
      </c>
      <c r="G704">
        <f>IF(B704,MOD(SIN(Seed*0.5917+C704*39.3468+D704*11.135)*24634.6345,1),"")</f>
        <v/>
      </c>
      <c r="H704">
        <f>IF(B704,SQRT(-2*LN(F704))*COS(2*PI()*G704),"")</f>
        <v/>
      </c>
      <c r="I704">
        <f>IF(B704,IF(D704=0,H704,Rho*I703+SQRT(1-Rho^2)*H704),"")</f>
        <v/>
      </c>
      <c r="J704">
        <f>IF(B704,IF(Dist="Normal",DistA+DistB*I704,DistA+(DistB-DistA)*NORMSDIST(I704)),"")</f>
        <v/>
      </c>
      <c r="K704">
        <f>IF(B704,INDEX(MineScale,C704),"")</f>
        <v/>
      </c>
      <c r="L704">
        <f>IF(B704,INDEX(Dow,1,WEEKDAY(E704,2)),"")</f>
        <v/>
      </c>
      <c r="M704">
        <f>IF(B704,(1+Trend)^D704,"")</f>
        <v/>
      </c>
      <c r="N704">
        <f>IF(B704,EXP(SUMPRODUCT(LN(1+(EvEff-1)*INDEX(Affected,0,C704)*EXP(-((E704-EvCenter)^2)/(2*EvSigma^2))))),"")</f>
        <v/>
      </c>
      <c r="O704">
        <f>IF(B704,ROUND(MAX(0,J704*K704*L704*M704*N704),2),"")</f>
        <v/>
      </c>
    </row>
    <row r="705">
      <c r="A705" t="n">
        <v>704</v>
      </c>
      <c r="B705">
        <f>A705&lt;=MineCount*Days</f>
        <v/>
      </c>
      <c r="C705">
        <f>IF(B705,INT((A705-1)/Days)+1,"")</f>
        <v/>
      </c>
      <c r="D705">
        <f>IF(B705,MOD(A705-1,Days),"")</f>
        <v/>
      </c>
      <c r="E705" s="16">
        <f>IF(B705,StartDate+D705,"")</f>
        <v/>
      </c>
      <c r="F705">
        <f>IF(B705,MAX(MOD(SIN(Seed*0.1373+C705*12.9898+D705*78.233)*43758.5453,1),1E-9),"")</f>
        <v/>
      </c>
      <c r="G705">
        <f>IF(B705,MOD(SIN(Seed*0.5917+C705*39.3468+D705*11.135)*24634.6345,1),"")</f>
        <v/>
      </c>
      <c r="H705">
        <f>IF(B705,SQRT(-2*LN(F705))*COS(2*PI()*G705),"")</f>
        <v/>
      </c>
      <c r="I705">
        <f>IF(B705,IF(D705=0,H705,Rho*I704+SQRT(1-Rho^2)*H705),"")</f>
        <v/>
      </c>
      <c r="J705">
        <f>IF(B705,IF(Dist="Normal",DistA+DistB*I705,DistA+(DistB-DistA)*NORMSDIST(I705)),"")</f>
        <v/>
      </c>
      <c r="K705">
        <f>IF(B705,INDEX(MineScale,C705),"")</f>
        <v/>
      </c>
      <c r="L705">
        <f>IF(B705,INDEX(Dow,1,WEEKDAY(E705,2)),"")</f>
        <v/>
      </c>
      <c r="M705">
        <f>IF(B705,(1+Trend)^D705,"")</f>
        <v/>
      </c>
      <c r="N705">
        <f>IF(B705,EXP(SUMPRODUCT(LN(1+(EvEff-1)*INDEX(Affected,0,C705)*EXP(-((E705-EvCenter)^2)/(2*EvSigma^2))))),"")</f>
        <v/>
      </c>
      <c r="O705">
        <f>IF(B705,ROUND(MAX(0,J705*K705*L705*M705*N705),2),"")</f>
        <v/>
      </c>
    </row>
    <row r="706">
      <c r="A706" t="n">
        <v>705</v>
      </c>
      <c r="B706">
        <f>A706&lt;=MineCount*Days</f>
        <v/>
      </c>
      <c r="C706">
        <f>IF(B706,INT((A706-1)/Days)+1,"")</f>
        <v/>
      </c>
      <c r="D706">
        <f>IF(B706,MOD(A706-1,Days),"")</f>
        <v/>
      </c>
      <c r="E706" s="16">
        <f>IF(B706,StartDate+D706,"")</f>
        <v/>
      </c>
      <c r="F706">
        <f>IF(B706,MAX(MOD(SIN(Seed*0.1373+C706*12.9898+D706*78.233)*43758.5453,1),1E-9),"")</f>
        <v/>
      </c>
      <c r="G706">
        <f>IF(B706,MOD(SIN(Seed*0.5917+C706*39.3468+D706*11.135)*24634.6345,1),"")</f>
        <v/>
      </c>
      <c r="H706">
        <f>IF(B706,SQRT(-2*LN(F706))*COS(2*PI()*G706),"")</f>
        <v/>
      </c>
      <c r="I706">
        <f>IF(B706,IF(D706=0,H706,Rho*I705+SQRT(1-Rho^2)*H706),"")</f>
        <v/>
      </c>
      <c r="J706">
        <f>IF(B706,IF(Dist="Normal",DistA+DistB*I706,DistA+(DistB-DistA)*NORMSDIST(I706)),"")</f>
        <v/>
      </c>
      <c r="K706">
        <f>IF(B706,INDEX(MineScale,C706),"")</f>
        <v/>
      </c>
      <c r="L706">
        <f>IF(B706,INDEX(Dow,1,WEEKDAY(E706,2)),"")</f>
        <v/>
      </c>
      <c r="M706">
        <f>IF(B706,(1+Trend)^D706,"")</f>
        <v/>
      </c>
      <c r="N706">
        <f>IF(B706,EXP(SUMPRODUCT(LN(1+(EvEff-1)*INDEX(Affected,0,C706)*EXP(-((E706-EvCenter)^2)/(2*EvSigma^2))))),"")</f>
        <v/>
      </c>
      <c r="O706">
        <f>IF(B706,ROUND(MAX(0,J706*K706*L706*M706*N706),2),"")</f>
        <v/>
      </c>
    </row>
    <row r="707">
      <c r="A707" t="n">
        <v>706</v>
      </c>
      <c r="B707">
        <f>A707&lt;=MineCount*Days</f>
        <v/>
      </c>
      <c r="C707">
        <f>IF(B707,INT((A707-1)/Days)+1,"")</f>
        <v/>
      </c>
      <c r="D707">
        <f>IF(B707,MOD(A707-1,Days),"")</f>
        <v/>
      </c>
      <c r="E707" s="16">
        <f>IF(B707,StartDate+D707,"")</f>
        <v/>
      </c>
      <c r="F707">
        <f>IF(B707,MAX(MOD(SIN(Seed*0.1373+C707*12.9898+D707*78.233)*43758.5453,1),1E-9),"")</f>
        <v/>
      </c>
      <c r="G707">
        <f>IF(B707,MOD(SIN(Seed*0.5917+C707*39.3468+D707*11.135)*24634.6345,1),"")</f>
        <v/>
      </c>
      <c r="H707">
        <f>IF(B707,SQRT(-2*LN(F707))*COS(2*PI()*G707),"")</f>
        <v/>
      </c>
      <c r="I707">
        <f>IF(B707,IF(D707=0,H707,Rho*I706+SQRT(1-Rho^2)*H707),"")</f>
        <v/>
      </c>
      <c r="J707">
        <f>IF(B707,IF(Dist="Normal",DistA+DistB*I707,DistA+(DistB-DistA)*NORMSDIST(I707)),"")</f>
        <v/>
      </c>
      <c r="K707">
        <f>IF(B707,INDEX(MineScale,C707),"")</f>
        <v/>
      </c>
      <c r="L707">
        <f>IF(B707,INDEX(Dow,1,WEEKDAY(E707,2)),"")</f>
        <v/>
      </c>
      <c r="M707">
        <f>IF(B707,(1+Trend)^D707,"")</f>
        <v/>
      </c>
      <c r="N707">
        <f>IF(B707,EXP(SUMPRODUCT(LN(1+(EvEff-1)*INDEX(Affected,0,C707)*EXP(-((E707-EvCenter)^2)/(2*EvSigma^2))))),"")</f>
        <v/>
      </c>
      <c r="O707">
        <f>IF(B707,ROUND(MAX(0,J707*K707*L707*M707*N707),2),"")</f>
        <v/>
      </c>
    </row>
    <row r="708">
      <c r="A708" t="n">
        <v>707</v>
      </c>
      <c r="B708">
        <f>A708&lt;=MineCount*Days</f>
        <v/>
      </c>
      <c r="C708">
        <f>IF(B708,INT((A708-1)/Days)+1,"")</f>
        <v/>
      </c>
      <c r="D708">
        <f>IF(B708,MOD(A708-1,Days),"")</f>
        <v/>
      </c>
      <c r="E708" s="16">
        <f>IF(B708,StartDate+D708,"")</f>
        <v/>
      </c>
      <c r="F708">
        <f>IF(B708,MAX(MOD(SIN(Seed*0.1373+C708*12.9898+D708*78.233)*43758.5453,1),1E-9),"")</f>
        <v/>
      </c>
      <c r="G708">
        <f>IF(B708,MOD(SIN(Seed*0.5917+C708*39.3468+D708*11.135)*24634.6345,1),"")</f>
        <v/>
      </c>
      <c r="H708">
        <f>IF(B708,SQRT(-2*LN(F708))*COS(2*PI()*G708),"")</f>
        <v/>
      </c>
      <c r="I708">
        <f>IF(B708,IF(D708=0,H708,Rho*I707+SQRT(1-Rho^2)*H708),"")</f>
        <v/>
      </c>
      <c r="J708">
        <f>IF(B708,IF(Dist="Normal",DistA+DistB*I708,DistA+(DistB-DistA)*NORMSDIST(I708)),"")</f>
        <v/>
      </c>
      <c r="K708">
        <f>IF(B708,INDEX(MineScale,C708),"")</f>
        <v/>
      </c>
      <c r="L708">
        <f>IF(B708,INDEX(Dow,1,WEEKDAY(E708,2)),"")</f>
        <v/>
      </c>
      <c r="M708">
        <f>IF(B708,(1+Trend)^D708,"")</f>
        <v/>
      </c>
      <c r="N708">
        <f>IF(B708,EXP(SUMPRODUCT(LN(1+(EvEff-1)*INDEX(Affected,0,C708)*EXP(-((E708-EvCenter)^2)/(2*EvSigma^2))))),"")</f>
        <v/>
      </c>
      <c r="O708">
        <f>IF(B708,ROUND(MAX(0,J708*K708*L708*M708*N708),2),"")</f>
        <v/>
      </c>
    </row>
    <row r="709">
      <c r="A709" t="n">
        <v>708</v>
      </c>
      <c r="B709">
        <f>A709&lt;=MineCount*Days</f>
        <v/>
      </c>
      <c r="C709">
        <f>IF(B709,INT((A709-1)/Days)+1,"")</f>
        <v/>
      </c>
      <c r="D709">
        <f>IF(B709,MOD(A709-1,Days),"")</f>
        <v/>
      </c>
      <c r="E709" s="16">
        <f>IF(B709,StartDate+D709,"")</f>
        <v/>
      </c>
      <c r="F709">
        <f>IF(B709,MAX(MOD(SIN(Seed*0.1373+C709*12.9898+D709*78.233)*43758.5453,1),1E-9),"")</f>
        <v/>
      </c>
      <c r="G709">
        <f>IF(B709,MOD(SIN(Seed*0.5917+C709*39.3468+D709*11.135)*24634.6345,1),"")</f>
        <v/>
      </c>
      <c r="H709">
        <f>IF(B709,SQRT(-2*LN(F709))*COS(2*PI()*G709),"")</f>
        <v/>
      </c>
      <c r="I709">
        <f>IF(B709,IF(D709=0,H709,Rho*I708+SQRT(1-Rho^2)*H709),"")</f>
        <v/>
      </c>
      <c r="J709">
        <f>IF(B709,IF(Dist="Normal",DistA+DistB*I709,DistA+(DistB-DistA)*NORMSDIST(I709)),"")</f>
        <v/>
      </c>
      <c r="K709">
        <f>IF(B709,INDEX(MineScale,C709),"")</f>
        <v/>
      </c>
      <c r="L709">
        <f>IF(B709,INDEX(Dow,1,WEEKDAY(E709,2)),"")</f>
        <v/>
      </c>
      <c r="M709">
        <f>IF(B709,(1+Trend)^D709,"")</f>
        <v/>
      </c>
      <c r="N709">
        <f>IF(B709,EXP(SUMPRODUCT(LN(1+(EvEff-1)*INDEX(Affected,0,C709)*EXP(-((E709-EvCenter)^2)/(2*EvSigma^2))))),"")</f>
        <v/>
      </c>
      <c r="O709">
        <f>IF(B709,ROUND(MAX(0,J709*K709*L709*M709*N709),2),"")</f>
        <v/>
      </c>
    </row>
    <row r="710">
      <c r="A710" t="n">
        <v>709</v>
      </c>
      <c r="B710">
        <f>A710&lt;=MineCount*Days</f>
        <v/>
      </c>
      <c r="C710">
        <f>IF(B710,INT((A710-1)/Days)+1,"")</f>
        <v/>
      </c>
      <c r="D710">
        <f>IF(B710,MOD(A710-1,Days),"")</f>
        <v/>
      </c>
      <c r="E710" s="16">
        <f>IF(B710,StartDate+D710,"")</f>
        <v/>
      </c>
      <c r="F710">
        <f>IF(B710,MAX(MOD(SIN(Seed*0.1373+C710*12.9898+D710*78.233)*43758.5453,1),1E-9),"")</f>
        <v/>
      </c>
      <c r="G710">
        <f>IF(B710,MOD(SIN(Seed*0.5917+C710*39.3468+D710*11.135)*24634.6345,1),"")</f>
        <v/>
      </c>
      <c r="H710">
        <f>IF(B710,SQRT(-2*LN(F710))*COS(2*PI()*G710),"")</f>
        <v/>
      </c>
      <c r="I710">
        <f>IF(B710,IF(D710=0,H710,Rho*I709+SQRT(1-Rho^2)*H710),"")</f>
        <v/>
      </c>
      <c r="J710">
        <f>IF(B710,IF(Dist="Normal",DistA+DistB*I710,DistA+(DistB-DistA)*NORMSDIST(I710)),"")</f>
        <v/>
      </c>
      <c r="K710">
        <f>IF(B710,INDEX(MineScale,C710),"")</f>
        <v/>
      </c>
      <c r="L710">
        <f>IF(B710,INDEX(Dow,1,WEEKDAY(E710,2)),"")</f>
        <v/>
      </c>
      <c r="M710">
        <f>IF(B710,(1+Trend)^D710,"")</f>
        <v/>
      </c>
      <c r="N710">
        <f>IF(B710,EXP(SUMPRODUCT(LN(1+(EvEff-1)*INDEX(Affected,0,C710)*EXP(-((E710-EvCenter)^2)/(2*EvSigma^2))))),"")</f>
        <v/>
      </c>
      <c r="O710">
        <f>IF(B710,ROUND(MAX(0,J710*K710*L710*M710*N710),2),"")</f>
        <v/>
      </c>
    </row>
    <row r="711">
      <c r="A711" t="n">
        <v>710</v>
      </c>
      <c r="B711">
        <f>A711&lt;=MineCount*Days</f>
        <v/>
      </c>
      <c r="C711">
        <f>IF(B711,INT((A711-1)/Days)+1,"")</f>
        <v/>
      </c>
      <c r="D711">
        <f>IF(B711,MOD(A711-1,Days),"")</f>
        <v/>
      </c>
      <c r="E711" s="16">
        <f>IF(B711,StartDate+D711,"")</f>
        <v/>
      </c>
      <c r="F711">
        <f>IF(B711,MAX(MOD(SIN(Seed*0.1373+C711*12.9898+D711*78.233)*43758.5453,1),1E-9),"")</f>
        <v/>
      </c>
      <c r="G711">
        <f>IF(B711,MOD(SIN(Seed*0.5917+C711*39.3468+D711*11.135)*24634.6345,1),"")</f>
        <v/>
      </c>
      <c r="H711">
        <f>IF(B711,SQRT(-2*LN(F711))*COS(2*PI()*G711),"")</f>
        <v/>
      </c>
      <c r="I711">
        <f>IF(B711,IF(D711=0,H711,Rho*I710+SQRT(1-Rho^2)*H711),"")</f>
        <v/>
      </c>
      <c r="J711">
        <f>IF(B711,IF(Dist="Normal",DistA+DistB*I711,DistA+(DistB-DistA)*NORMSDIST(I711)),"")</f>
        <v/>
      </c>
      <c r="K711">
        <f>IF(B711,INDEX(MineScale,C711),"")</f>
        <v/>
      </c>
      <c r="L711">
        <f>IF(B711,INDEX(Dow,1,WEEKDAY(E711,2)),"")</f>
        <v/>
      </c>
      <c r="M711">
        <f>IF(B711,(1+Trend)^D711,"")</f>
        <v/>
      </c>
      <c r="N711">
        <f>IF(B711,EXP(SUMPRODUCT(LN(1+(EvEff-1)*INDEX(Affected,0,C711)*EXP(-((E711-EvCenter)^2)/(2*EvSigma^2))))),"")</f>
        <v/>
      </c>
      <c r="O711">
        <f>IF(B711,ROUND(MAX(0,J711*K711*L711*M711*N711),2),"")</f>
        <v/>
      </c>
    </row>
    <row r="712">
      <c r="A712" t="n">
        <v>711</v>
      </c>
      <c r="B712">
        <f>A712&lt;=MineCount*Days</f>
        <v/>
      </c>
      <c r="C712">
        <f>IF(B712,INT((A712-1)/Days)+1,"")</f>
        <v/>
      </c>
      <c r="D712">
        <f>IF(B712,MOD(A712-1,Days),"")</f>
        <v/>
      </c>
      <c r="E712" s="16">
        <f>IF(B712,StartDate+D712,"")</f>
        <v/>
      </c>
      <c r="F712">
        <f>IF(B712,MAX(MOD(SIN(Seed*0.1373+C712*12.9898+D712*78.233)*43758.5453,1),1E-9),"")</f>
        <v/>
      </c>
      <c r="G712">
        <f>IF(B712,MOD(SIN(Seed*0.5917+C712*39.3468+D712*11.135)*24634.6345,1),"")</f>
        <v/>
      </c>
      <c r="H712">
        <f>IF(B712,SQRT(-2*LN(F712))*COS(2*PI()*G712),"")</f>
        <v/>
      </c>
      <c r="I712">
        <f>IF(B712,IF(D712=0,H712,Rho*I711+SQRT(1-Rho^2)*H712),"")</f>
        <v/>
      </c>
      <c r="J712">
        <f>IF(B712,IF(Dist="Normal",DistA+DistB*I712,DistA+(DistB-DistA)*NORMSDIST(I712)),"")</f>
        <v/>
      </c>
      <c r="K712">
        <f>IF(B712,INDEX(MineScale,C712),"")</f>
        <v/>
      </c>
      <c r="L712">
        <f>IF(B712,INDEX(Dow,1,WEEKDAY(E712,2)),"")</f>
        <v/>
      </c>
      <c r="M712">
        <f>IF(B712,(1+Trend)^D712,"")</f>
        <v/>
      </c>
      <c r="N712">
        <f>IF(B712,EXP(SUMPRODUCT(LN(1+(EvEff-1)*INDEX(Affected,0,C712)*EXP(-((E712-EvCenter)^2)/(2*EvSigma^2))))),"")</f>
        <v/>
      </c>
      <c r="O712">
        <f>IF(B712,ROUND(MAX(0,J712*K712*L712*M712*N712),2),"")</f>
        <v/>
      </c>
    </row>
    <row r="713">
      <c r="A713" t="n">
        <v>712</v>
      </c>
      <c r="B713">
        <f>A713&lt;=MineCount*Days</f>
        <v/>
      </c>
      <c r="C713">
        <f>IF(B713,INT((A713-1)/Days)+1,"")</f>
        <v/>
      </c>
      <c r="D713">
        <f>IF(B713,MOD(A713-1,Days),"")</f>
        <v/>
      </c>
      <c r="E713" s="16">
        <f>IF(B713,StartDate+D713,"")</f>
        <v/>
      </c>
      <c r="F713">
        <f>IF(B713,MAX(MOD(SIN(Seed*0.1373+C713*12.9898+D713*78.233)*43758.5453,1),1E-9),"")</f>
        <v/>
      </c>
      <c r="G713">
        <f>IF(B713,MOD(SIN(Seed*0.5917+C713*39.3468+D713*11.135)*24634.6345,1),"")</f>
        <v/>
      </c>
      <c r="H713">
        <f>IF(B713,SQRT(-2*LN(F713))*COS(2*PI()*G713),"")</f>
        <v/>
      </c>
      <c r="I713">
        <f>IF(B713,IF(D713=0,H713,Rho*I712+SQRT(1-Rho^2)*H713),"")</f>
        <v/>
      </c>
      <c r="J713">
        <f>IF(B713,IF(Dist="Normal",DistA+DistB*I713,DistA+(DistB-DistA)*NORMSDIST(I713)),"")</f>
        <v/>
      </c>
      <c r="K713">
        <f>IF(B713,INDEX(MineScale,C713),"")</f>
        <v/>
      </c>
      <c r="L713">
        <f>IF(B713,INDEX(Dow,1,WEEKDAY(E713,2)),"")</f>
        <v/>
      </c>
      <c r="M713">
        <f>IF(B713,(1+Trend)^D713,"")</f>
        <v/>
      </c>
      <c r="N713">
        <f>IF(B713,EXP(SUMPRODUCT(LN(1+(EvEff-1)*INDEX(Affected,0,C713)*EXP(-((E713-EvCenter)^2)/(2*EvSigma^2))))),"")</f>
        <v/>
      </c>
      <c r="O713">
        <f>IF(B713,ROUND(MAX(0,J713*K713*L713*M713*N713),2),"")</f>
        <v/>
      </c>
    </row>
    <row r="714">
      <c r="A714" t="n">
        <v>713</v>
      </c>
      <c r="B714">
        <f>A714&lt;=MineCount*Days</f>
        <v/>
      </c>
      <c r="C714">
        <f>IF(B714,INT((A714-1)/Days)+1,"")</f>
        <v/>
      </c>
      <c r="D714">
        <f>IF(B714,MOD(A714-1,Days),"")</f>
        <v/>
      </c>
      <c r="E714" s="16">
        <f>IF(B714,StartDate+D714,"")</f>
        <v/>
      </c>
      <c r="F714">
        <f>IF(B714,MAX(MOD(SIN(Seed*0.1373+C714*12.9898+D714*78.233)*43758.5453,1),1E-9),"")</f>
        <v/>
      </c>
      <c r="G714">
        <f>IF(B714,MOD(SIN(Seed*0.5917+C714*39.3468+D714*11.135)*24634.6345,1),"")</f>
        <v/>
      </c>
      <c r="H714">
        <f>IF(B714,SQRT(-2*LN(F714))*COS(2*PI()*G714),"")</f>
        <v/>
      </c>
      <c r="I714">
        <f>IF(B714,IF(D714=0,H714,Rho*I713+SQRT(1-Rho^2)*H714),"")</f>
        <v/>
      </c>
      <c r="J714">
        <f>IF(B714,IF(Dist="Normal",DistA+DistB*I714,DistA+(DistB-DistA)*NORMSDIST(I714)),"")</f>
        <v/>
      </c>
      <c r="K714">
        <f>IF(B714,INDEX(MineScale,C714),"")</f>
        <v/>
      </c>
      <c r="L714">
        <f>IF(B714,INDEX(Dow,1,WEEKDAY(E714,2)),"")</f>
        <v/>
      </c>
      <c r="M714">
        <f>IF(B714,(1+Trend)^D714,"")</f>
        <v/>
      </c>
      <c r="N714">
        <f>IF(B714,EXP(SUMPRODUCT(LN(1+(EvEff-1)*INDEX(Affected,0,C714)*EXP(-((E714-EvCenter)^2)/(2*EvSigma^2))))),"")</f>
        <v/>
      </c>
      <c r="O714">
        <f>IF(B714,ROUND(MAX(0,J714*K714*L714*M714*N714),2),"")</f>
        <v/>
      </c>
    </row>
    <row r="715">
      <c r="A715" t="n">
        <v>714</v>
      </c>
      <c r="B715">
        <f>A715&lt;=MineCount*Days</f>
        <v/>
      </c>
      <c r="C715">
        <f>IF(B715,INT((A715-1)/Days)+1,"")</f>
        <v/>
      </c>
      <c r="D715">
        <f>IF(B715,MOD(A715-1,Days),"")</f>
        <v/>
      </c>
      <c r="E715" s="16">
        <f>IF(B715,StartDate+D715,"")</f>
        <v/>
      </c>
      <c r="F715">
        <f>IF(B715,MAX(MOD(SIN(Seed*0.1373+C715*12.9898+D715*78.233)*43758.5453,1),1E-9),"")</f>
        <v/>
      </c>
      <c r="G715">
        <f>IF(B715,MOD(SIN(Seed*0.5917+C715*39.3468+D715*11.135)*24634.6345,1),"")</f>
        <v/>
      </c>
      <c r="H715">
        <f>IF(B715,SQRT(-2*LN(F715))*COS(2*PI()*G715),"")</f>
        <v/>
      </c>
      <c r="I715">
        <f>IF(B715,IF(D715=0,H715,Rho*I714+SQRT(1-Rho^2)*H715),"")</f>
        <v/>
      </c>
      <c r="J715">
        <f>IF(B715,IF(Dist="Normal",DistA+DistB*I715,DistA+(DistB-DistA)*NORMSDIST(I715)),"")</f>
        <v/>
      </c>
      <c r="K715">
        <f>IF(B715,INDEX(MineScale,C715),"")</f>
        <v/>
      </c>
      <c r="L715">
        <f>IF(B715,INDEX(Dow,1,WEEKDAY(E715,2)),"")</f>
        <v/>
      </c>
      <c r="M715">
        <f>IF(B715,(1+Trend)^D715,"")</f>
        <v/>
      </c>
      <c r="N715">
        <f>IF(B715,EXP(SUMPRODUCT(LN(1+(EvEff-1)*INDEX(Affected,0,C715)*EXP(-((E715-EvCenter)^2)/(2*EvSigma^2))))),"")</f>
        <v/>
      </c>
      <c r="O715">
        <f>IF(B715,ROUND(MAX(0,J715*K715*L715*M715*N715),2),"")</f>
        <v/>
      </c>
    </row>
    <row r="716">
      <c r="A716" t="n">
        <v>715</v>
      </c>
      <c r="B716">
        <f>A716&lt;=MineCount*Days</f>
        <v/>
      </c>
      <c r="C716">
        <f>IF(B716,INT((A716-1)/Days)+1,"")</f>
        <v/>
      </c>
      <c r="D716">
        <f>IF(B716,MOD(A716-1,Days),"")</f>
        <v/>
      </c>
      <c r="E716" s="16">
        <f>IF(B716,StartDate+D716,"")</f>
        <v/>
      </c>
      <c r="F716">
        <f>IF(B716,MAX(MOD(SIN(Seed*0.1373+C716*12.9898+D716*78.233)*43758.5453,1),1E-9),"")</f>
        <v/>
      </c>
      <c r="G716">
        <f>IF(B716,MOD(SIN(Seed*0.5917+C716*39.3468+D716*11.135)*24634.6345,1),"")</f>
        <v/>
      </c>
      <c r="H716">
        <f>IF(B716,SQRT(-2*LN(F716))*COS(2*PI()*G716),"")</f>
        <v/>
      </c>
      <c r="I716">
        <f>IF(B716,IF(D716=0,H716,Rho*I715+SQRT(1-Rho^2)*H716),"")</f>
        <v/>
      </c>
      <c r="J716">
        <f>IF(B716,IF(Dist="Normal",DistA+DistB*I716,DistA+(DistB-DistA)*NORMSDIST(I716)),"")</f>
        <v/>
      </c>
      <c r="K716">
        <f>IF(B716,INDEX(MineScale,C716),"")</f>
        <v/>
      </c>
      <c r="L716">
        <f>IF(B716,INDEX(Dow,1,WEEKDAY(E716,2)),"")</f>
        <v/>
      </c>
      <c r="M716">
        <f>IF(B716,(1+Trend)^D716,"")</f>
        <v/>
      </c>
      <c r="N716">
        <f>IF(B716,EXP(SUMPRODUCT(LN(1+(EvEff-1)*INDEX(Affected,0,C716)*EXP(-((E716-EvCenter)^2)/(2*EvSigma^2))))),"")</f>
        <v/>
      </c>
      <c r="O716">
        <f>IF(B716,ROUND(MAX(0,J716*K716*L716*M716*N716),2),"")</f>
        <v/>
      </c>
    </row>
    <row r="717">
      <c r="A717" t="n">
        <v>716</v>
      </c>
      <c r="B717">
        <f>A717&lt;=MineCount*Days</f>
        <v/>
      </c>
      <c r="C717">
        <f>IF(B717,INT((A717-1)/Days)+1,"")</f>
        <v/>
      </c>
      <c r="D717">
        <f>IF(B717,MOD(A717-1,Days),"")</f>
        <v/>
      </c>
      <c r="E717" s="16">
        <f>IF(B717,StartDate+D717,"")</f>
        <v/>
      </c>
      <c r="F717">
        <f>IF(B717,MAX(MOD(SIN(Seed*0.1373+C717*12.9898+D717*78.233)*43758.5453,1),1E-9),"")</f>
        <v/>
      </c>
      <c r="G717">
        <f>IF(B717,MOD(SIN(Seed*0.5917+C717*39.3468+D717*11.135)*24634.6345,1),"")</f>
        <v/>
      </c>
      <c r="H717">
        <f>IF(B717,SQRT(-2*LN(F717))*COS(2*PI()*G717),"")</f>
        <v/>
      </c>
      <c r="I717">
        <f>IF(B717,IF(D717=0,H717,Rho*I716+SQRT(1-Rho^2)*H717),"")</f>
        <v/>
      </c>
      <c r="J717">
        <f>IF(B717,IF(Dist="Normal",DistA+DistB*I717,DistA+(DistB-DistA)*NORMSDIST(I717)),"")</f>
        <v/>
      </c>
      <c r="K717">
        <f>IF(B717,INDEX(MineScale,C717),"")</f>
        <v/>
      </c>
      <c r="L717">
        <f>IF(B717,INDEX(Dow,1,WEEKDAY(E717,2)),"")</f>
        <v/>
      </c>
      <c r="M717">
        <f>IF(B717,(1+Trend)^D717,"")</f>
        <v/>
      </c>
      <c r="N717">
        <f>IF(B717,EXP(SUMPRODUCT(LN(1+(EvEff-1)*INDEX(Affected,0,C717)*EXP(-((E717-EvCenter)^2)/(2*EvSigma^2))))),"")</f>
        <v/>
      </c>
      <c r="O717">
        <f>IF(B717,ROUND(MAX(0,J717*K717*L717*M717*N717),2),"")</f>
        <v/>
      </c>
    </row>
    <row r="718">
      <c r="A718" t="n">
        <v>717</v>
      </c>
      <c r="B718">
        <f>A718&lt;=MineCount*Days</f>
        <v/>
      </c>
      <c r="C718">
        <f>IF(B718,INT((A718-1)/Days)+1,"")</f>
        <v/>
      </c>
      <c r="D718">
        <f>IF(B718,MOD(A718-1,Days),"")</f>
        <v/>
      </c>
      <c r="E718" s="16">
        <f>IF(B718,StartDate+D718,"")</f>
        <v/>
      </c>
      <c r="F718">
        <f>IF(B718,MAX(MOD(SIN(Seed*0.1373+C718*12.9898+D718*78.233)*43758.5453,1),1E-9),"")</f>
        <v/>
      </c>
      <c r="G718">
        <f>IF(B718,MOD(SIN(Seed*0.5917+C718*39.3468+D718*11.135)*24634.6345,1),"")</f>
        <v/>
      </c>
      <c r="H718">
        <f>IF(B718,SQRT(-2*LN(F718))*COS(2*PI()*G718),"")</f>
        <v/>
      </c>
      <c r="I718">
        <f>IF(B718,IF(D718=0,H718,Rho*I717+SQRT(1-Rho^2)*H718),"")</f>
        <v/>
      </c>
      <c r="J718">
        <f>IF(B718,IF(Dist="Normal",DistA+DistB*I718,DistA+(DistB-DistA)*NORMSDIST(I718)),"")</f>
        <v/>
      </c>
      <c r="K718">
        <f>IF(B718,INDEX(MineScale,C718),"")</f>
        <v/>
      </c>
      <c r="L718">
        <f>IF(B718,INDEX(Dow,1,WEEKDAY(E718,2)),"")</f>
        <v/>
      </c>
      <c r="M718">
        <f>IF(B718,(1+Trend)^D718,"")</f>
        <v/>
      </c>
      <c r="N718">
        <f>IF(B718,EXP(SUMPRODUCT(LN(1+(EvEff-1)*INDEX(Affected,0,C718)*EXP(-((E718-EvCenter)^2)/(2*EvSigma^2))))),"")</f>
        <v/>
      </c>
      <c r="O718">
        <f>IF(B718,ROUND(MAX(0,J718*K718*L718*M718*N718),2),"")</f>
        <v/>
      </c>
    </row>
    <row r="719">
      <c r="A719" t="n">
        <v>718</v>
      </c>
      <c r="B719">
        <f>A719&lt;=MineCount*Days</f>
        <v/>
      </c>
      <c r="C719">
        <f>IF(B719,INT((A719-1)/Days)+1,"")</f>
        <v/>
      </c>
      <c r="D719">
        <f>IF(B719,MOD(A719-1,Days),"")</f>
        <v/>
      </c>
      <c r="E719" s="16">
        <f>IF(B719,StartDate+D719,"")</f>
        <v/>
      </c>
      <c r="F719">
        <f>IF(B719,MAX(MOD(SIN(Seed*0.1373+C719*12.9898+D719*78.233)*43758.5453,1),1E-9),"")</f>
        <v/>
      </c>
      <c r="G719">
        <f>IF(B719,MOD(SIN(Seed*0.5917+C719*39.3468+D719*11.135)*24634.6345,1),"")</f>
        <v/>
      </c>
      <c r="H719">
        <f>IF(B719,SQRT(-2*LN(F719))*COS(2*PI()*G719),"")</f>
        <v/>
      </c>
      <c r="I719">
        <f>IF(B719,IF(D719=0,H719,Rho*I718+SQRT(1-Rho^2)*H719),"")</f>
        <v/>
      </c>
      <c r="J719">
        <f>IF(B719,IF(Dist="Normal",DistA+DistB*I719,DistA+(DistB-DistA)*NORMSDIST(I719)),"")</f>
        <v/>
      </c>
      <c r="K719">
        <f>IF(B719,INDEX(MineScale,C719),"")</f>
        <v/>
      </c>
      <c r="L719">
        <f>IF(B719,INDEX(Dow,1,WEEKDAY(E719,2)),"")</f>
        <v/>
      </c>
      <c r="M719">
        <f>IF(B719,(1+Trend)^D719,"")</f>
        <v/>
      </c>
      <c r="N719">
        <f>IF(B719,EXP(SUMPRODUCT(LN(1+(EvEff-1)*INDEX(Affected,0,C719)*EXP(-((E719-EvCenter)^2)/(2*EvSigma^2))))),"")</f>
        <v/>
      </c>
      <c r="O719">
        <f>IF(B719,ROUND(MAX(0,J719*K719*L719*M719*N719),2),"")</f>
        <v/>
      </c>
    </row>
    <row r="720">
      <c r="A720" t="n">
        <v>719</v>
      </c>
      <c r="B720">
        <f>A720&lt;=MineCount*Days</f>
        <v/>
      </c>
      <c r="C720">
        <f>IF(B720,INT((A720-1)/Days)+1,"")</f>
        <v/>
      </c>
      <c r="D720">
        <f>IF(B720,MOD(A720-1,Days),"")</f>
        <v/>
      </c>
      <c r="E720" s="16">
        <f>IF(B720,StartDate+D720,"")</f>
        <v/>
      </c>
      <c r="F720">
        <f>IF(B720,MAX(MOD(SIN(Seed*0.1373+C720*12.9898+D720*78.233)*43758.5453,1),1E-9),"")</f>
        <v/>
      </c>
      <c r="G720">
        <f>IF(B720,MOD(SIN(Seed*0.5917+C720*39.3468+D720*11.135)*24634.6345,1),"")</f>
        <v/>
      </c>
      <c r="H720">
        <f>IF(B720,SQRT(-2*LN(F720))*COS(2*PI()*G720),"")</f>
        <v/>
      </c>
      <c r="I720">
        <f>IF(B720,IF(D720=0,H720,Rho*I719+SQRT(1-Rho^2)*H720),"")</f>
        <v/>
      </c>
      <c r="J720">
        <f>IF(B720,IF(Dist="Normal",DistA+DistB*I720,DistA+(DistB-DistA)*NORMSDIST(I720)),"")</f>
        <v/>
      </c>
      <c r="K720">
        <f>IF(B720,INDEX(MineScale,C720),"")</f>
        <v/>
      </c>
      <c r="L720">
        <f>IF(B720,INDEX(Dow,1,WEEKDAY(E720,2)),"")</f>
        <v/>
      </c>
      <c r="M720">
        <f>IF(B720,(1+Trend)^D720,"")</f>
        <v/>
      </c>
      <c r="N720">
        <f>IF(B720,EXP(SUMPRODUCT(LN(1+(EvEff-1)*INDEX(Affected,0,C720)*EXP(-((E720-EvCenter)^2)/(2*EvSigma^2))))),"")</f>
        <v/>
      </c>
      <c r="O720">
        <f>IF(B720,ROUND(MAX(0,J720*K720*L720*M720*N720),2),"")</f>
        <v/>
      </c>
    </row>
    <row r="721">
      <c r="A721" t="n">
        <v>720</v>
      </c>
      <c r="B721">
        <f>A721&lt;=MineCount*Days</f>
        <v/>
      </c>
      <c r="C721">
        <f>IF(B721,INT((A721-1)/Days)+1,"")</f>
        <v/>
      </c>
      <c r="D721">
        <f>IF(B721,MOD(A721-1,Days),"")</f>
        <v/>
      </c>
      <c r="E721" s="16">
        <f>IF(B721,StartDate+D721,"")</f>
        <v/>
      </c>
      <c r="F721">
        <f>IF(B721,MAX(MOD(SIN(Seed*0.1373+C721*12.9898+D721*78.233)*43758.5453,1),1E-9),"")</f>
        <v/>
      </c>
      <c r="G721">
        <f>IF(B721,MOD(SIN(Seed*0.5917+C721*39.3468+D721*11.135)*24634.6345,1),"")</f>
        <v/>
      </c>
      <c r="H721">
        <f>IF(B721,SQRT(-2*LN(F721))*COS(2*PI()*G721),"")</f>
        <v/>
      </c>
      <c r="I721">
        <f>IF(B721,IF(D721=0,H721,Rho*I720+SQRT(1-Rho^2)*H721),"")</f>
        <v/>
      </c>
      <c r="J721">
        <f>IF(B721,IF(Dist="Normal",DistA+DistB*I721,DistA+(DistB-DistA)*NORMSDIST(I721)),"")</f>
        <v/>
      </c>
      <c r="K721">
        <f>IF(B721,INDEX(MineScale,C721),"")</f>
        <v/>
      </c>
      <c r="L721">
        <f>IF(B721,INDEX(Dow,1,WEEKDAY(E721,2)),"")</f>
        <v/>
      </c>
      <c r="M721">
        <f>IF(B721,(1+Trend)^D721,"")</f>
        <v/>
      </c>
      <c r="N721">
        <f>IF(B721,EXP(SUMPRODUCT(LN(1+(EvEff-1)*INDEX(Affected,0,C721)*EXP(-((E721-EvCenter)^2)/(2*EvSigma^2))))),"")</f>
        <v/>
      </c>
      <c r="O721">
        <f>IF(B721,ROUND(MAX(0,J721*K721*L721*M721*N721),2),"")</f>
        <v/>
      </c>
    </row>
    <row r="722">
      <c r="A722" t="n">
        <v>721</v>
      </c>
      <c r="B722">
        <f>A722&lt;=MineCount*Days</f>
        <v/>
      </c>
      <c r="C722">
        <f>IF(B722,INT((A722-1)/Days)+1,"")</f>
        <v/>
      </c>
      <c r="D722">
        <f>IF(B722,MOD(A722-1,Days),"")</f>
        <v/>
      </c>
      <c r="E722" s="16">
        <f>IF(B722,StartDate+D722,"")</f>
        <v/>
      </c>
      <c r="F722">
        <f>IF(B722,MAX(MOD(SIN(Seed*0.1373+C722*12.9898+D722*78.233)*43758.5453,1),1E-9),"")</f>
        <v/>
      </c>
      <c r="G722">
        <f>IF(B722,MOD(SIN(Seed*0.5917+C722*39.3468+D722*11.135)*24634.6345,1),"")</f>
        <v/>
      </c>
      <c r="H722">
        <f>IF(B722,SQRT(-2*LN(F722))*COS(2*PI()*G722),"")</f>
        <v/>
      </c>
      <c r="I722">
        <f>IF(B722,IF(D722=0,H722,Rho*I721+SQRT(1-Rho^2)*H722),"")</f>
        <v/>
      </c>
      <c r="J722">
        <f>IF(B722,IF(Dist="Normal",DistA+DistB*I722,DistA+(DistB-DistA)*NORMSDIST(I722)),"")</f>
        <v/>
      </c>
      <c r="K722">
        <f>IF(B722,INDEX(MineScale,C722),"")</f>
        <v/>
      </c>
      <c r="L722">
        <f>IF(B722,INDEX(Dow,1,WEEKDAY(E722,2)),"")</f>
        <v/>
      </c>
      <c r="M722">
        <f>IF(B722,(1+Trend)^D722,"")</f>
        <v/>
      </c>
      <c r="N722">
        <f>IF(B722,EXP(SUMPRODUCT(LN(1+(EvEff-1)*INDEX(Affected,0,C722)*EXP(-((E722-EvCenter)^2)/(2*EvSigma^2))))),"")</f>
        <v/>
      </c>
      <c r="O722">
        <f>IF(B722,ROUND(MAX(0,J722*K722*L722*M722*N722),2),"")</f>
        <v/>
      </c>
    </row>
    <row r="723">
      <c r="A723" t="n">
        <v>722</v>
      </c>
      <c r="B723">
        <f>A723&lt;=MineCount*Days</f>
        <v/>
      </c>
      <c r="C723">
        <f>IF(B723,INT((A723-1)/Days)+1,"")</f>
        <v/>
      </c>
      <c r="D723">
        <f>IF(B723,MOD(A723-1,Days),"")</f>
        <v/>
      </c>
      <c r="E723" s="16">
        <f>IF(B723,StartDate+D723,"")</f>
        <v/>
      </c>
      <c r="F723">
        <f>IF(B723,MAX(MOD(SIN(Seed*0.1373+C723*12.9898+D723*78.233)*43758.5453,1),1E-9),"")</f>
        <v/>
      </c>
      <c r="G723">
        <f>IF(B723,MOD(SIN(Seed*0.5917+C723*39.3468+D723*11.135)*24634.6345,1),"")</f>
        <v/>
      </c>
      <c r="H723">
        <f>IF(B723,SQRT(-2*LN(F723))*COS(2*PI()*G723),"")</f>
        <v/>
      </c>
      <c r="I723">
        <f>IF(B723,IF(D723=0,H723,Rho*I722+SQRT(1-Rho^2)*H723),"")</f>
        <v/>
      </c>
      <c r="J723">
        <f>IF(B723,IF(Dist="Normal",DistA+DistB*I723,DistA+(DistB-DistA)*NORMSDIST(I723)),"")</f>
        <v/>
      </c>
      <c r="K723">
        <f>IF(B723,INDEX(MineScale,C723),"")</f>
        <v/>
      </c>
      <c r="L723">
        <f>IF(B723,INDEX(Dow,1,WEEKDAY(E723,2)),"")</f>
        <v/>
      </c>
      <c r="M723">
        <f>IF(B723,(1+Trend)^D723,"")</f>
        <v/>
      </c>
      <c r="N723">
        <f>IF(B723,EXP(SUMPRODUCT(LN(1+(EvEff-1)*INDEX(Affected,0,C723)*EXP(-((E723-EvCenter)^2)/(2*EvSigma^2))))),"")</f>
        <v/>
      </c>
      <c r="O723">
        <f>IF(B723,ROUND(MAX(0,J723*K723*L723*M723*N723),2),"")</f>
        <v/>
      </c>
    </row>
    <row r="724">
      <c r="A724" t="n">
        <v>723</v>
      </c>
      <c r="B724">
        <f>A724&lt;=MineCount*Days</f>
        <v/>
      </c>
      <c r="C724">
        <f>IF(B724,INT((A724-1)/Days)+1,"")</f>
        <v/>
      </c>
      <c r="D724">
        <f>IF(B724,MOD(A724-1,Days),"")</f>
        <v/>
      </c>
      <c r="E724" s="16">
        <f>IF(B724,StartDate+D724,"")</f>
        <v/>
      </c>
      <c r="F724">
        <f>IF(B724,MAX(MOD(SIN(Seed*0.1373+C724*12.9898+D724*78.233)*43758.5453,1),1E-9),"")</f>
        <v/>
      </c>
      <c r="G724">
        <f>IF(B724,MOD(SIN(Seed*0.5917+C724*39.3468+D724*11.135)*24634.6345,1),"")</f>
        <v/>
      </c>
      <c r="H724">
        <f>IF(B724,SQRT(-2*LN(F724))*COS(2*PI()*G724),"")</f>
        <v/>
      </c>
      <c r="I724">
        <f>IF(B724,IF(D724=0,H724,Rho*I723+SQRT(1-Rho^2)*H724),"")</f>
        <v/>
      </c>
      <c r="J724">
        <f>IF(B724,IF(Dist="Normal",DistA+DistB*I724,DistA+(DistB-DistA)*NORMSDIST(I724)),"")</f>
        <v/>
      </c>
      <c r="K724">
        <f>IF(B724,INDEX(MineScale,C724),"")</f>
        <v/>
      </c>
      <c r="L724">
        <f>IF(B724,INDEX(Dow,1,WEEKDAY(E724,2)),"")</f>
        <v/>
      </c>
      <c r="M724">
        <f>IF(B724,(1+Trend)^D724,"")</f>
        <v/>
      </c>
      <c r="N724">
        <f>IF(B724,EXP(SUMPRODUCT(LN(1+(EvEff-1)*INDEX(Affected,0,C724)*EXP(-((E724-EvCenter)^2)/(2*EvSigma^2))))),"")</f>
        <v/>
      </c>
      <c r="O724">
        <f>IF(B724,ROUND(MAX(0,J724*K724*L724*M724*N724),2),"")</f>
        <v/>
      </c>
    </row>
    <row r="725">
      <c r="A725" t="n">
        <v>724</v>
      </c>
      <c r="B725">
        <f>A725&lt;=MineCount*Days</f>
        <v/>
      </c>
      <c r="C725">
        <f>IF(B725,INT((A725-1)/Days)+1,"")</f>
        <v/>
      </c>
      <c r="D725">
        <f>IF(B725,MOD(A725-1,Days),"")</f>
        <v/>
      </c>
      <c r="E725" s="16">
        <f>IF(B725,StartDate+D725,"")</f>
        <v/>
      </c>
      <c r="F725">
        <f>IF(B725,MAX(MOD(SIN(Seed*0.1373+C725*12.9898+D725*78.233)*43758.5453,1),1E-9),"")</f>
        <v/>
      </c>
      <c r="G725">
        <f>IF(B725,MOD(SIN(Seed*0.5917+C725*39.3468+D725*11.135)*24634.6345,1),"")</f>
        <v/>
      </c>
      <c r="H725">
        <f>IF(B725,SQRT(-2*LN(F725))*COS(2*PI()*G725),"")</f>
        <v/>
      </c>
      <c r="I725">
        <f>IF(B725,IF(D725=0,H725,Rho*I724+SQRT(1-Rho^2)*H725),"")</f>
        <v/>
      </c>
      <c r="J725">
        <f>IF(B725,IF(Dist="Normal",DistA+DistB*I725,DistA+(DistB-DistA)*NORMSDIST(I725)),"")</f>
        <v/>
      </c>
      <c r="K725">
        <f>IF(B725,INDEX(MineScale,C725),"")</f>
        <v/>
      </c>
      <c r="L725">
        <f>IF(B725,INDEX(Dow,1,WEEKDAY(E725,2)),"")</f>
        <v/>
      </c>
      <c r="M725">
        <f>IF(B725,(1+Trend)^D725,"")</f>
        <v/>
      </c>
      <c r="N725">
        <f>IF(B725,EXP(SUMPRODUCT(LN(1+(EvEff-1)*INDEX(Affected,0,C725)*EXP(-((E725-EvCenter)^2)/(2*EvSigma^2))))),"")</f>
        <v/>
      </c>
      <c r="O725">
        <f>IF(B725,ROUND(MAX(0,J725*K725*L725*M725*N725),2),"")</f>
        <v/>
      </c>
    </row>
    <row r="726">
      <c r="A726" t="n">
        <v>725</v>
      </c>
      <c r="B726">
        <f>A726&lt;=MineCount*Days</f>
        <v/>
      </c>
      <c r="C726">
        <f>IF(B726,INT((A726-1)/Days)+1,"")</f>
        <v/>
      </c>
      <c r="D726">
        <f>IF(B726,MOD(A726-1,Days),"")</f>
        <v/>
      </c>
      <c r="E726" s="16">
        <f>IF(B726,StartDate+D726,"")</f>
        <v/>
      </c>
      <c r="F726">
        <f>IF(B726,MAX(MOD(SIN(Seed*0.1373+C726*12.9898+D726*78.233)*43758.5453,1),1E-9),"")</f>
        <v/>
      </c>
      <c r="G726">
        <f>IF(B726,MOD(SIN(Seed*0.5917+C726*39.3468+D726*11.135)*24634.6345,1),"")</f>
        <v/>
      </c>
      <c r="H726">
        <f>IF(B726,SQRT(-2*LN(F726))*COS(2*PI()*G726),"")</f>
        <v/>
      </c>
      <c r="I726">
        <f>IF(B726,IF(D726=0,H726,Rho*I725+SQRT(1-Rho^2)*H726),"")</f>
        <v/>
      </c>
      <c r="J726">
        <f>IF(B726,IF(Dist="Normal",DistA+DistB*I726,DistA+(DistB-DistA)*NORMSDIST(I726)),"")</f>
        <v/>
      </c>
      <c r="K726">
        <f>IF(B726,INDEX(MineScale,C726),"")</f>
        <v/>
      </c>
      <c r="L726">
        <f>IF(B726,INDEX(Dow,1,WEEKDAY(E726,2)),"")</f>
        <v/>
      </c>
      <c r="M726">
        <f>IF(B726,(1+Trend)^D726,"")</f>
        <v/>
      </c>
      <c r="N726">
        <f>IF(B726,EXP(SUMPRODUCT(LN(1+(EvEff-1)*INDEX(Affected,0,C726)*EXP(-((E726-EvCenter)^2)/(2*EvSigma^2))))),"")</f>
        <v/>
      </c>
      <c r="O726">
        <f>IF(B726,ROUND(MAX(0,J726*K726*L726*M726*N726),2),"")</f>
        <v/>
      </c>
    </row>
    <row r="727">
      <c r="A727" t="n">
        <v>726</v>
      </c>
      <c r="B727">
        <f>A727&lt;=MineCount*Days</f>
        <v/>
      </c>
      <c r="C727">
        <f>IF(B727,INT((A727-1)/Days)+1,"")</f>
        <v/>
      </c>
      <c r="D727">
        <f>IF(B727,MOD(A727-1,Days),"")</f>
        <v/>
      </c>
      <c r="E727" s="16">
        <f>IF(B727,StartDate+D727,"")</f>
        <v/>
      </c>
      <c r="F727">
        <f>IF(B727,MAX(MOD(SIN(Seed*0.1373+C727*12.9898+D727*78.233)*43758.5453,1),1E-9),"")</f>
        <v/>
      </c>
      <c r="G727">
        <f>IF(B727,MOD(SIN(Seed*0.5917+C727*39.3468+D727*11.135)*24634.6345,1),"")</f>
        <v/>
      </c>
      <c r="H727">
        <f>IF(B727,SQRT(-2*LN(F727))*COS(2*PI()*G727),"")</f>
        <v/>
      </c>
      <c r="I727">
        <f>IF(B727,IF(D727=0,H727,Rho*I726+SQRT(1-Rho^2)*H727),"")</f>
        <v/>
      </c>
      <c r="J727">
        <f>IF(B727,IF(Dist="Normal",DistA+DistB*I727,DistA+(DistB-DistA)*NORMSDIST(I727)),"")</f>
        <v/>
      </c>
      <c r="K727">
        <f>IF(B727,INDEX(MineScale,C727),"")</f>
        <v/>
      </c>
      <c r="L727">
        <f>IF(B727,INDEX(Dow,1,WEEKDAY(E727,2)),"")</f>
        <v/>
      </c>
      <c r="M727">
        <f>IF(B727,(1+Trend)^D727,"")</f>
        <v/>
      </c>
      <c r="N727">
        <f>IF(B727,EXP(SUMPRODUCT(LN(1+(EvEff-1)*INDEX(Affected,0,C727)*EXP(-((E727-EvCenter)^2)/(2*EvSigma^2))))),"")</f>
        <v/>
      </c>
      <c r="O727">
        <f>IF(B727,ROUND(MAX(0,J727*K727*L727*M727*N727),2),"")</f>
        <v/>
      </c>
    </row>
    <row r="728">
      <c r="A728" t="n">
        <v>727</v>
      </c>
      <c r="B728">
        <f>A728&lt;=MineCount*Days</f>
        <v/>
      </c>
      <c r="C728">
        <f>IF(B728,INT((A728-1)/Days)+1,"")</f>
        <v/>
      </c>
      <c r="D728">
        <f>IF(B728,MOD(A728-1,Days),"")</f>
        <v/>
      </c>
      <c r="E728" s="16">
        <f>IF(B728,StartDate+D728,"")</f>
        <v/>
      </c>
      <c r="F728">
        <f>IF(B728,MAX(MOD(SIN(Seed*0.1373+C728*12.9898+D728*78.233)*43758.5453,1),1E-9),"")</f>
        <v/>
      </c>
      <c r="G728">
        <f>IF(B728,MOD(SIN(Seed*0.5917+C728*39.3468+D728*11.135)*24634.6345,1),"")</f>
        <v/>
      </c>
      <c r="H728">
        <f>IF(B728,SQRT(-2*LN(F728))*COS(2*PI()*G728),"")</f>
        <v/>
      </c>
      <c r="I728">
        <f>IF(B728,IF(D728=0,H728,Rho*I727+SQRT(1-Rho^2)*H728),"")</f>
        <v/>
      </c>
      <c r="J728">
        <f>IF(B728,IF(Dist="Normal",DistA+DistB*I728,DistA+(DistB-DistA)*NORMSDIST(I728)),"")</f>
        <v/>
      </c>
      <c r="K728">
        <f>IF(B728,INDEX(MineScale,C728),"")</f>
        <v/>
      </c>
      <c r="L728">
        <f>IF(B728,INDEX(Dow,1,WEEKDAY(E728,2)),"")</f>
        <v/>
      </c>
      <c r="M728">
        <f>IF(B728,(1+Trend)^D728,"")</f>
        <v/>
      </c>
      <c r="N728">
        <f>IF(B728,EXP(SUMPRODUCT(LN(1+(EvEff-1)*INDEX(Affected,0,C728)*EXP(-((E728-EvCenter)^2)/(2*EvSigma^2))))),"")</f>
        <v/>
      </c>
      <c r="O728">
        <f>IF(B728,ROUND(MAX(0,J728*K728*L728*M728*N728),2),"")</f>
        <v/>
      </c>
    </row>
    <row r="729">
      <c r="A729" t="n">
        <v>728</v>
      </c>
      <c r="B729">
        <f>A729&lt;=MineCount*Days</f>
        <v/>
      </c>
      <c r="C729">
        <f>IF(B729,INT((A729-1)/Days)+1,"")</f>
        <v/>
      </c>
      <c r="D729">
        <f>IF(B729,MOD(A729-1,Days),"")</f>
        <v/>
      </c>
      <c r="E729" s="16">
        <f>IF(B729,StartDate+D729,"")</f>
        <v/>
      </c>
      <c r="F729">
        <f>IF(B729,MAX(MOD(SIN(Seed*0.1373+C729*12.9898+D729*78.233)*43758.5453,1),1E-9),"")</f>
        <v/>
      </c>
      <c r="G729">
        <f>IF(B729,MOD(SIN(Seed*0.5917+C729*39.3468+D729*11.135)*24634.6345,1),"")</f>
        <v/>
      </c>
      <c r="H729">
        <f>IF(B729,SQRT(-2*LN(F729))*COS(2*PI()*G729),"")</f>
        <v/>
      </c>
      <c r="I729">
        <f>IF(B729,IF(D729=0,H729,Rho*I728+SQRT(1-Rho^2)*H729),"")</f>
        <v/>
      </c>
      <c r="J729">
        <f>IF(B729,IF(Dist="Normal",DistA+DistB*I729,DistA+(DistB-DistA)*NORMSDIST(I729)),"")</f>
        <v/>
      </c>
      <c r="K729">
        <f>IF(B729,INDEX(MineScale,C729),"")</f>
        <v/>
      </c>
      <c r="L729">
        <f>IF(B729,INDEX(Dow,1,WEEKDAY(E729,2)),"")</f>
        <v/>
      </c>
      <c r="M729">
        <f>IF(B729,(1+Trend)^D729,"")</f>
        <v/>
      </c>
      <c r="N729">
        <f>IF(B729,EXP(SUMPRODUCT(LN(1+(EvEff-1)*INDEX(Affected,0,C729)*EXP(-((E729-EvCenter)^2)/(2*EvSigma^2))))),"")</f>
        <v/>
      </c>
      <c r="O729">
        <f>IF(B729,ROUND(MAX(0,J729*K729*L729*M729*N729),2),"")</f>
        <v/>
      </c>
    </row>
    <row r="730">
      <c r="A730" t="n">
        <v>729</v>
      </c>
      <c r="B730">
        <f>A730&lt;=MineCount*Days</f>
        <v/>
      </c>
      <c r="C730">
        <f>IF(B730,INT((A730-1)/Days)+1,"")</f>
        <v/>
      </c>
      <c r="D730">
        <f>IF(B730,MOD(A730-1,Days),"")</f>
        <v/>
      </c>
      <c r="E730" s="16">
        <f>IF(B730,StartDate+D730,"")</f>
        <v/>
      </c>
      <c r="F730">
        <f>IF(B730,MAX(MOD(SIN(Seed*0.1373+C730*12.9898+D730*78.233)*43758.5453,1),1E-9),"")</f>
        <v/>
      </c>
      <c r="G730">
        <f>IF(B730,MOD(SIN(Seed*0.5917+C730*39.3468+D730*11.135)*24634.6345,1),"")</f>
        <v/>
      </c>
      <c r="H730">
        <f>IF(B730,SQRT(-2*LN(F730))*COS(2*PI()*G730),"")</f>
        <v/>
      </c>
      <c r="I730">
        <f>IF(B730,IF(D730=0,H730,Rho*I729+SQRT(1-Rho^2)*H730),"")</f>
        <v/>
      </c>
      <c r="J730">
        <f>IF(B730,IF(Dist="Normal",DistA+DistB*I730,DistA+(DistB-DistA)*NORMSDIST(I730)),"")</f>
        <v/>
      </c>
      <c r="K730">
        <f>IF(B730,INDEX(MineScale,C730),"")</f>
        <v/>
      </c>
      <c r="L730">
        <f>IF(B730,INDEX(Dow,1,WEEKDAY(E730,2)),"")</f>
        <v/>
      </c>
      <c r="M730">
        <f>IF(B730,(1+Trend)^D730,"")</f>
        <v/>
      </c>
      <c r="N730">
        <f>IF(B730,EXP(SUMPRODUCT(LN(1+(EvEff-1)*INDEX(Affected,0,C730)*EXP(-((E730-EvCenter)^2)/(2*EvSigma^2))))),"")</f>
        <v/>
      </c>
      <c r="O730">
        <f>IF(B730,ROUND(MAX(0,J730*K730*L730*M730*N730),2),"")</f>
        <v/>
      </c>
    </row>
    <row r="731">
      <c r="A731" t="n">
        <v>730</v>
      </c>
      <c r="B731">
        <f>A731&lt;=MineCount*Days</f>
        <v/>
      </c>
      <c r="C731">
        <f>IF(B731,INT((A731-1)/Days)+1,"")</f>
        <v/>
      </c>
      <c r="D731">
        <f>IF(B731,MOD(A731-1,Days),"")</f>
        <v/>
      </c>
      <c r="E731" s="16">
        <f>IF(B731,StartDate+D731,"")</f>
        <v/>
      </c>
      <c r="F731">
        <f>IF(B731,MAX(MOD(SIN(Seed*0.1373+C731*12.9898+D731*78.233)*43758.5453,1),1E-9),"")</f>
        <v/>
      </c>
      <c r="G731">
        <f>IF(B731,MOD(SIN(Seed*0.5917+C731*39.3468+D731*11.135)*24634.6345,1),"")</f>
        <v/>
      </c>
      <c r="H731">
        <f>IF(B731,SQRT(-2*LN(F731))*COS(2*PI()*G731),"")</f>
        <v/>
      </c>
      <c r="I731">
        <f>IF(B731,IF(D731=0,H731,Rho*I730+SQRT(1-Rho^2)*H731),"")</f>
        <v/>
      </c>
      <c r="J731">
        <f>IF(B731,IF(Dist="Normal",DistA+DistB*I731,DistA+(DistB-DistA)*NORMSDIST(I731)),"")</f>
        <v/>
      </c>
      <c r="K731">
        <f>IF(B731,INDEX(MineScale,C731),"")</f>
        <v/>
      </c>
      <c r="L731">
        <f>IF(B731,INDEX(Dow,1,WEEKDAY(E731,2)),"")</f>
        <v/>
      </c>
      <c r="M731">
        <f>IF(B731,(1+Trend)^D731,"")</f>
        <v/>
      </c>
      <c r="N731">
        <f>IF(B731,EXP(SUMPRODUCT(LN(1+(EvEff-1)*INDEX(Affected,0,C731)*EXP(-((E731-EvCenter)^2)/(2*EvSigma^2))))),"")</f>
        <v/>
      </c>
      <c r="O731">
        <f>IF(B731,ROUND(MAX(0,J731*K731*L731*M731*N731),2),"")</f>
        <v/>
      </c>
    </row>
    <row r="732">
      <c r="A732" t="n">
        <v>731</v>
      </c>
      <c r="B732">
        <f>A732&lt;=MineCount*Days</f>
        <v/>
      </c>
      <c r="C732">
        <f>IF(B732,INT((A732-1)/Days)+1,"")</f>
        <v/>
      </c>
      <c r="D732">
        <f>IF(B732,MOD(A732-1,Days),"")</f>
        <v/>
      </c>
      <c r="E732" s="16">
        <f>IF(B732,StartDate+D732,"")</f>
        <v/>
      </c>
      <c r="F732">
        <f>IF(B732,MAX(MOD(SIN(Seed*0.1373+C732*12.9898+D732*78.233)*43758.5453,1),1E-9),"")</f>
        <v/>
      </c>
      <c r="G732">
        <f>IF(B732,MOD(SIN(Seed*0.5917+C732*39.3468+D732*11.135)*24634.6345,1),"")</f>
        <v/>
      </c>
      <c r="H732">
        <f>IF(B732,SQRT(-2*LN(F732))*COS(2*PI()*G732),"")</f>
        <v/>
      </c>
      <c r="I732">
        <f>IF(B732,IF(D732=0,H732,Rho*I731+SQRT(1-Rho^2)*H732),"")</f>
        <v/>
      </c>
      <c r="J732">
        <f>IF(B732,IF(Dist="Normal",DistA+DistB*I732,DistA+(DistB-DistA)*NORMSDIST(I732)),"")</f>
        <v/>
      </c>
      <c r="K732">
        <f>IF(B732,INDEX(MineScale,C732),"")</f>
        <v/>
      </c>
      <c r="L732">
        <f>IF(B732,INDEX(Dow,1,WEEKDAY(E732,2)),"")</f>
        <v/>
      </c>
      <c r="M732">
        <f>IF(B732,(1+Trend)^D732,"")</f>
        <v/>
      </c>
      <c r="N732">
        <f>IF(B732,EXP(SUMPRODUCT(LN(1+(EvEff-1)*INDEX(Affected,0,C732)*EXP(-((E732-EvCenter)^2)/(2*EvSigma^2))))),"")</f>
        <v/>
      </c>
      <c r="O732">
        <f>IF(B732,ROUND(MAX(0,J732*K732*L732*M732*N732),2),"")</f>
        <v/>
      </c>
    </row>
    <row r="733">
      <c r="A733" t="n">
        <v>732</v>
      </c>
      <c r="B733">
        <f>A733&lt;=MineCount*Days</f>
        <v/>
      </c>
      <c r="C733">
        <f>IF(B733,INT((A733-1)/Days)+1,"")</f>
        <v/>
      </c>
      <c r="D733">
        <f>IF(B733,MOD(A733-1,Days),"")</f>
        <v/>
      </c>
      <c r="E733" s="16">
        <f>IF(B733,StartDate+D733,"")</f>
        <v/>
      </c>
      <c r="F733">
        <f>IF(B733,MAX(MOD(SIN(Seed*0.1373+C733*12.9898+D733*78.233)*43758.5453,1),1E-9),"")</f>
        <v/>
      </c>
      <c r="G733">
        <f>IF(B733,MOD(SIN(Seed*0.5917+C733*39.3468+D733*11.135)*24634.6345,1),"")</f>
        <v/>
      </c>
      <c r="H733">
        <f>IF(B733,SQRT(-2*LN(F733))*COS(2*PI()*G733),"")</f>
        <v/>
      </c>
      <c r="I733">
        <f>IF(B733,IF(D733=0,H733,Rho*I732+SQRT(1-Rho^2)*H733),"")</f>
        <v/>
      </c>
      <c r="J733">
        <f>IF(B733,IF(Dist="Normal",DistA+DistB*I733,DistA+(DistB-DistA)*NORMSDIST(I733)),"")</f>
        <v/>
      </c>
      <c r="K733">
        <f>IF(B733,INDEX(MineScale,C733),"")</f>
        <v/>
      </c>
      <c r="L733">
        <f>IF(B733,INDEX(Dow,1,WEEKDAY(E733,2)),"")</f>
        <v/>
      </c>
      <c r="M733">
        <f>IF(B733,(1+Trend)^D733,"")</f>
        <v/>
      </c>
      <c r="N733">
        <f>IF(B733,EXP(SUMPRODUCT(LN(1+(EvEff-1)*INDEX(Affected,0,C733)*EXP(-((E733-EvCenter)^2)/(2*EvSigma^2))))),"")</f>
        <v/>
      </c>
      <c r="O733">
        <f>IF(B733,ROUND(MAX(0,J733*K733*L733*M733*N733),2),"")</f>
        <v/>
      </c>
    </row>
    <row r="734">
      <c r="A734" t="n">
        <v>733</v>
      </c>
      <c r="B734">
        <f>A734&lt;=MineCount*Days</f>
        <v/>
      </c>
      <c r="C734">
        <f>IF(B734,INT((A734-1)/Days)+1,"")</f>
        <v/>
      </c>
      <c r="D734">
        <f>IF(B734,MOD(A734-1,Days),"")</f>
        <v/>
      </c>
      <c r="E734" s="16">
        <f>IF(B734,StartDate+D734,"")</f>
        <v/>
      </c>
      <c r="F734">
        <f>IF(B734,MAX(MOD(SIN(Seed*0.1373+C734*12.9898+D734*78.233)*43758.5453,1),1E-9),"")</f>
        <v/>
      </c>
      <c r="G734">
        <f>IF(B734,MOD(SIN(Seed*0.5917+C734*39.3468+D734*11.135)*24634.6345,1),"")</f>
        <v/>
      </c>
      <c r="H734">
        <f>IF(B734,SQRT(-2*LN(F734))*COS(2*PI()*G734),"")</f>
        <v/>
      </c>
      <c r="I734">
        <f>IF(B734,IF(D734=0,H734,Rho*I733+SQRT(1-Rho^2)*H734),"")</f>
        <v/>
      </c>
      <c r="J734">
        <f>IF(B734,IF(Dist="Normal",DistA+DistB*I734,DistA+(DistB-DistA)*NORMSDIST(I734)),"")</f>
        <v/>
      </c>
      <c r="K734">
        <f>IF(B734,INDEX(MineScale,C734),"")</f>
        <v/>
      </c>
      <c r="L734">
        <f>IF(B734,INDEX(Dow,1,WEEKDAY(E734,2)),"")</f>
        <v/>
      </c>
      <c r="M734">
        <f>IF(B734,(1+Trend)^D734,"")</f>
        <v/>
      </c>
      <c r="N734">
        <f>IF(B734,EXP(SUMPRODUCT(LN(1+(EvEff-1)*INDEX(Affected,0,C734)*EXP(-((E734-EvCenter)^2)/(2*EvSigma^2))))),"")</f>
        <v/>
      </c>
      <c r="O734">
        <f>IF(B734,ROUND(MAX(0,J734*K734*L734*M734*N734),2),"")</f>
        <v/>
      </c>
    </row>
    <row r="735">
      <c r="A735" t="n">
        <v>734</v>
      </c>
      <c r="B735">
        <f>A735&lt;=MineCount*Days</f>
        <v/>
      </c>
      <c r="C735">
        <f>IF(B735,INT((A735-1)/Days)+1,"")</f>
        <v/>
      </c>
      <c r="D735">
        <f>IF(B735,MOD(A735-1,Days),"")</f>
        <v/>
      </c>
      <c r="E735" s="16">
        <f>IF(B735,StartDate+D735,"")</f>
        <v/>
      </c>
      <c r="F735">
        <f>IF(B735,MAX(MOD(SIN(Seed*0.1373+C735*12.9898+D735*78.233)*43758.5453,1),1E-9),"")</f>
        <v/>
      </c>
      <c r="G735">
        <f>IF(B735,MOD(SIN(Seed*0.5917+C735*39.3468+D735*11.135)*24634.6345,1),"")</f>
        <v/>
      </c>
      <c r="H735">
        <f>IF(B735,SQRT(-2*LN(F735))*COS(2*PI()*G735),"")</f>
        <v/>
      </c>
      <c r="I735">
        <f>IF(B735,IF(D735=0,H735,Rho*I734+SQRT(1-Rho^2)*H735),"")</f>
        <v/>
      </c>
      <c r="J735">
        <f>IF(B735,IF(Dist="Normal",DistA+DistB*I735,DistA+(DistB-DistA)*NORMSDIST(I735)),"")</f>
        <v/>
      </c>
      <c r="K735">
        <f>IF(B735,INDEX(MineScale,C735),"")</f>
        <v/>
      </c>
      <c r="L735">
        <f>IF(B735,INDEX(Dow,1,WEEKDAY(E735,2)),"")</f>
        <v/>
      </c>
      <c r="M735">
        <f>IF(B735,(1+Trend)^D735,"")</f>
        <v/>
      </c>
      <c r="N735">
        <f>IF(B735,EXP(SUMPRODUCT(LN(1+(EvEff-1)*INDEX(Affected,0,C735)*EXP(-((E735-EvCenter)^2)/(2*EvSigma^2))))),"")</f>
        <v/>
      </c>
      <c r="O735">
        <f>IF(B735,ROUND(MAX(0,J735*K735*L735*M735*N735),2),"")</f>
        <v/>
      </c>
    </row>
    <row r="736">
      <c r="A736" t="n">
        <v>735</v>
      </c>
      <c r="B736">
        <f>A736&lt;=MineCount*Days</f>
        <v/>
      </c>
      <c r="C736">
        <f>IF(B736,INT((A736-1)/Days)+1,"")</f>
        <v/>
      </c>
      <c r="D736">
        <f>IF(B736,MOD(A736-1,Days),"")</f>
        <v/>
      </c>
      <c r="E736" s="16">
        <f>IF(B736,StartDate+D736,"")</f>
        <v/>
      </c>
      <c r="F736">
        <f>IF(B736,MAX(MOD(SIN(Seed*0.1373+C736*12.9898+D736*78.233)*43758.5453,1),1E-9),"")</f>
        <v/>
      </c>
      <c r="G736">
        <f>IF(B736,MOD(SIN(Seed*0.5917+C736*39.3468+D736*11.135)*24634.6345,1),"")</f>
        <v/>
      </c>
      <c r="H736">
        <f>IF(B736,SQRT(-2*LN(F736))*COS(2*PI()*G736),"")</f>
        <v/>
      </c>
      <c r="I736">
        <f>IF(B736,IF(D736=0,H736,Rho*I735+SQRT(1-Rho^2)*H736),"")</f>
        <v/>
      </c>
      <c r="J736">
        <f>IF(B736,IF(Dist="Normal",DistA+DistB*I736,DistA+(DistB-DistA)*NORMSDIST(I736)),"")</f>
        <v/>
      </c>
      <c r="K736">
        <f>IF(B736,INDEX(MineScale,C736),"")</f>
        <v/>
      </c>
      <c r="L736">
        <f>IF(B736,INDEX(Dow,1,WEEKDAY(E736,2)),"")</f>
        <v/>
      </c>
      <c r="M736">
        <f>IF(B736,(1+Trend)^D736,"")</f>
        <v/>
      </c>
      <c r="N736">
        <f>IF(B736,EXP(SUMPRODUCT(LN(1+(EvEff-1)*INDEX(Affected,0,C736)*EXP(-((E736-EvCenter)^2)/(2*EvSigma^2))))),"")</f>
        <v/>
      </c>
      <c r="O736">
        <f>IF(B736,ROUND(MAX(0,J736*K736*L736*M736*N736),2),"")</f>
        <v/>
      </c>
    </row>
    <row r="737">
      <c r="A737" t="n">
        <v>736</v>
      </c>
      <c r="B737">
        <f>A737&lt;=MineCount*Days</f>
        <v/>
      </c>
      <c r="C737">
        <f>IF(B737,INT((A737-1)/Days)+1,"")</f>
        <v/>
      </c>
      <c r="D737">
        <f>IF(B737,MOD(A737-1,Days),"")</f>
        <v/>
      </c>
      <c r="E737" s="16">
        <f>IF(B737,StartDate+D737,"")</f>
        <v/>
      </c>
      <c r="F737">
        <f>IF(B737,MAX(MOD(SIN(Seed*0.1373+C737*12.9898+D737*78.233)*43758.5453,1),1E-9),"")</f>
        <v/>
      </c>
      <c r="G737">
        <f>IF(B737,MOD(SIN(Seed*0.5917+C737*39.3468+D737*11.135)*24634.6345,1),"")</f>
        <v/>
      </c>
      <c r="H737">
        <f>IF(B737,SQRT(-2*LN(F737))*COS(2*PI()*G737),"")</f>
        <v/>
      </c>
      <c r="I737">
        <f>IF(B737,IF(D737=0,H737,Rho*I736+SQRT(1-Rho^2)*H737),"")</f>
        <v/>
      </c>
      <c r="J737">
        <f>IF(B737,IF(Dist="Normal",DistA+DistB*I737,DistA+(DistB-DistA)*NORMSDIST(I737)),"")</f>
        <v/>
      </c>
      <c r="K737">
        <f>IF(B737,INDEX(MineScale,C737),"")</f>
        <v/>
      </c>
      <c r="L737">
        <f>IF(B737,INDEX(Dow,1,WEEKDAY(E737,2)),"")</f>
        <v/>
      </c>
      <c r="M737">
        <f>IF(B737,(1+Trend)^D737,"")</f>
        <v/>
      </c>
      <c r="N737">
        <f>IF(B737,EXP(SUMPRODUCT(LN(1+(EvEff-1)*INDEX(Affected,0,C737)*EXP(-((E737-EvCenter)^2)/(2*EvSigma^2))))),"")</f>
        <v/>
      </c>
      <c r="O737">
        <f>IF(B737,ROUND(MAX(0,J737*K737*L737*M737*N737),2),"")</f>
        <v/>
      </c>
    </row>
    <row r="738">
      <c r="A738" t="n">
        <v>737</v>
      </c>
      <c r="B738">
        <f>A738&lt;=MineCount*Days</f>
        <v/>
      </c>
      <c r="C738">
        <f>IF(B738,INT((A738-1)/Days)+1,"")</f>
        <v/>
      </c>
      <c r="D738">
        <f>IF(B738,MOD(A738-1,Days),"")</f>
        <v/>
      </c>
      <c r="E738" s="16">
        <f>IF(B738,StartDate+D738,"")</f>
        <v/>
      </c>
      <c r="F738">
        <f>IF(B738,MAX(MOD(SIN(Seed*0.1373+C738*12.9898+D738*78.233)*43758.5453,1),1E-9),"")</f>
        <v/>
      </c>
      <c r="G738">
        <f>IF(B738,MOD(SIN(Seed*0.5917+C738*39.3468+D738*11.135)*24634.6345,1),"")</f>
        <v/>
      </c>
      <c r="H738">
        <f>IF(B738,SQRT(-2*LN(F738))*COS(2*PI()*G738),"")</f>
        <v/>
      </c>
      <c r="I738">
        <f>IF(B738,IF(D738=0,H738,Rho*I737+SQRT(1-Rho^2)*H738),"")</f>
        <v/>
      </c>
      <c r="J738">
        <f>IF(B738,IF(Dist="Normal",DistA+DistB*I738,DistA+(DistB-DistA)*NORMSDIST(I738)),"")</f>
        <v/>
      </c>
      <c r="K738">
        <f>IF(B738,INDEX(MineScale,C738),"")</f>
        <v/>
      </c>
      <c r="L738">
        <f>IF(B738,INDEX(Dow,1,WEEKDAY(E738,2)),"")</f>
        <v/>
      </c>
      <c r="M738">
        <f>IF(B738,(1+Trend)^D738,"")</f>
        <v/>
      </c>
      <c r="N738">
        <f>IF(B738,EXP(SUMPRODUCT(LN(1+(EvEff-1)*INDEX(Affected,0,C738)*EXP(-((E738-EvCenter)^2)/(2*EvSigma^2))))),"")</f>
        <v/>
      </c>
      <c r="O738">
        <f>IF(B738,ROUND(MAX(0,J738*K738*L738*M738*N738),2),"")</f>
        <v/>
      </c>
    </row>
    <row r="739">
      <c r="A739" t="n">
        <v>738</v>
      </c>
      <c r="B739">
        <f>A739&lt;=MineCount*Days</f>
        <v/>
      </c>
      <c r="C739">
        <f>IF(B739,INT((A739-1)/Days)+1,"")</f>
        <v/>
      </c>
      <c r="D739">
        <f>IF(B739,MOD(A739-1,Days),"")</f>
        <v/>
      </c>
      <c r="E739" s="16">
        <f>IF(B739,StartDate+D739,"")</f>
        <v/>
      </c>
      <c r="F739">
        <f>IF(B739,MAX(MOD(SIN(Seed*0.1373+C739*12.9898+D739*78.233)*43758.5453,1),1E-9),"")</f>
        <v/>
      </c>
      <c r="G739">
        <f>IF(B739,MOD(SIN(Seed*0.5917+C739*39.3468+D739*11.135)*24634.6345,1),"")</f>
        <v/>
      </c>
      <c r="H739">
        <f>IF(B739,SQRT(-2*LN(F739))*COS(2*PI()*G739),"")</f>
        <v/>
      </c>
      <c r="I739">
        <f>IF(B739,IF(D739=0,H739,Rho*I738+SQRT(1-Rho^2)*H739),"")</f>
        <v/>
      </c>
      <c r="J739">
        <f>IF(B739,IF(Dist="Normal",DistA+DistB*I739,DistA+(DistB-DistA)*NORMSDIST(I739)),"")</f>
        <v/>
      </c>
      <c r="K739">
        <f>IF(B739,INDEX(MineScale,C739),"")</f>
        <v/>
      </c>
      <c r="L739">
        <f>IF(B739,INDEX(Dow,1,WEEKDAY(E739,2)),"")</f>
        <v/>
      </c>
      <c r="M739">
        <f>IF(B739,(1+Trend)^D739,"")</f>
        <v/>
      </c>
      <c r="N739">
        <f>IF(B739,EXP(SUMPRODUCT(LN(1+(EvEff-1)*INDEX(Affected,0,C739)*EXP(-((E739-EvCenter)^2)/(2*EvSigma^2))))),"")</f>
        <v/>
      </c>
      <c r="O739">
        <f>IF(B739,ROUND(MAX(0,J739*K739*L739*M739*N739),2),"")</f>
        <v/>
      </c>
    </row>
    <row r="740">
      <c r="A740" t="n">
        <v>739</v>
      </c>
      <c r="B740">
        <f>A740&lt;=MineCount*Days</f>
        <v/>
      </c>
      <c r="C740">
        <f>IF(B740,INT((A740-1)/Days)+1,"")</f>
        <v/>
      </c>
      <c r="D740">
        <f>IF(B740,MOD(A740-1,Days),"")</f>
        <v/>
      </c>
      <c r="E740" s="16">
        <f>IF(B740,StartDate+D740,"")</f>
        <v/>
      </c>
      <c r="F740">
        <f>IF(B740,MAX(MOD(SIN(Seed*0.1373+C740*12.9898+D740*78.233)*43758.5453,1),1E-9),"")</f>
        <v/>
      </c>
      <c r="G740">
        <f>IF(B740,MOD(SIN(Seed*0.5917+C740*39.3468+D740*11.135)*24634.6345,1),"")</f>
        <v/>
      </c>
      <c r="H740">
        <f>IF(B740,SQRT(-2*LN(F740))*COS(2*PI()*G740),"")</f>
        <v/>
      </c>
      <c r="I740">
        <f>IF(B740,IF(D740=0,H740,Rho*I739+SQRT(1-Rho^2)*H740),"")</f>
        <v/>
      </c>
      <c r="J740">
        <f>IF(B740,IF(Dist="Normal",DistA+DistB*I740,DistA+(DistB-DistA)*NORMSDIST(I740)),"")</f>
        <v/>
      </c>
      <c r="K740">
        <f>IF(B740,INDEX(MineScale,C740),"")</f>
        <v/>
      </c>
      <c r="L740">
        <f>IF(B740,INDEX(Dow,1,WEEKDAY(E740,2)),"")</f>
        <v/>
      </c>
      <c r="M740">
        <f>IF(B740,(1+Trend)^D740,"")</f>
        <v/>
      </c>
      <c r="N740">
        <f>IF(B740,EXP(SUMPRODUCT(LN(1+(EvEff-1)*INDEX(Affected,0,C740)*EXP(-((E740-EvCenter)^2)/(2*EvSigma^2))))),"")</f>
        <v/>
      </c>
      <c r="O740">
        <f>IF(B740,ROUND(MAX(0,J740*K740*L740*M740*N740),2),"")</f>
        <v/>
      </c>
    </row>
    <row r="741">
      <c r="A741" t="n">
        <v>740</v>
      </c>
      <c r="B741">
        <f>A741&lt;=MineCount*Days</f>
        <v/>
      </c>
      <c r="C741">
        <f>IF(B741,INT((A741-1)/Days)+1,"")</f>
        <v/>
      </c>
      <c r="D741">
        <f>IF(B741,MOD(A741-1,Days),"")</f>
        <v/>
      </c>
      <c r="E741" s="16">
        <f>IF(B741,StartDate+D741,"")</f>
        <v/>
      </c>
      <c r="F741">
        <f>IF(B741,MAX(MOD(SIN(Seed*0.1373+C741*12.9898+D741*78.233)*43758.5453,1),1E-9),"")</f>
        <v/>
      </c>
      <c r="G741">
        <f>IF(B741,MOD(SIN(Seed*0.5917+C741*39.3468+D741*11.135)*24634.6345,1),"")</f>
        <v/>
      </c>
      <c r="H741">
        <f>IF(B741,SQRT(-2*LN(F741))*COS(2*PI()*G741),"")</f>
        <v/>
      </c>
      <c r="I741">
        <f>IF(B741,IF(D741=0,H741,Rho*I740+SQRT(1-Rho^2)*H741),"")</f>
        <v/>
      </c>
      <c r="J741">
        <f>IF(B741,IF(Dist="Normal",DistA+DistB*I741,DistA+(DistB-DistA)*NORMSDIST(I741)),"")</f>
        <v/>
      </c>
      <c r="K741">
        <f>IF(B741,INDEX(MineScale,C741),"")</f>
        <v/>
      </c>
      <c r="L741">
        <f>IF(B741,INDEX(Dow,1,WEEKDAY(E741,2)),"")</f>
        <v/>
      </c>
      <c r="M741">
        <f>IF(B741,(1+Trend)^D741,"")</f>
        <v/>
      </c>
      <c r="N741">
        <f>IF(B741,EXP(SUMPRODUCT(LN(1+(EvEff-1)*INDEX(Affected,0,C741)*EXP(-((E741-EvCenter)^2)/(2*EvSigma^2))))),"")</f>
        <v/>
      </c>
      <c r="O741">
        <f>IF(B741,ROUND(MAX(0,J741*K741*L741*M741*N741),2),"")</f>
        <v/>
      </c>
    </row>
    <row r="742">
      <c r="A742" t="n">
        <v>741</v>
      </c>
      <c r="B742">
        <f>A742&lt;=MineCount*Days</f>
        <v/>
      </c>
      <c r="C742">
        <f>IF(B742,INT((A742-1)/Days)+1,"")</f>
        <v/>
      </c>
      <c r="D742">
        <f>IF(B742,MOD(A742-1,Days),"")</f>
        <v/>
      </c>
      <c r="E742" s="16">
        <f>IF(B742,StartDate+D742,"")</f>
        <v/>
      </c>
      <c r="F742">
        <f>IF(B742,MAX(MOD(SIN(Seed*0.1373+C742*12.9898+D742*78.233)*43758.5453,1),1E-9),"")</f>
        <v/>
      </c>
      <c r="G742">
        <f>IF(B742,MOD(SIN(Seed*0.5917+C742*39.3468+D742*11.135)*24634.6345,1),"")</f>
        <v/>
      </c>
      <c r="H742">
        <f>IF(B742,SQRT(-2*LN(F742))*COS(2*PI()*G742),"")</f>
        <v/>
      </c>
      <c r="I742">
        <f>IF(B742,IF(D742=0,H742,Rho*I741+SQRT(1-Rho^2)*H742),"")</f>
        <v/>
      </c>
      <c r="J742">
        <f>IF(B742,IF(Dist="Normal",DistA+DistB*I742,DistA+(DistB-DistA)*NORMSDIST(I742)),"")</f>
        <v/>
      </c>
      <c r="K742">
        <f>IF(B742,INDEX(MineScale,C742),"")</f>
        <v/>
      </c>
      <c r="L742">
        <f>IF(B742,INDEX(Dow,1,WEEKDAY(E742,2)),"")</f>
        <v/>
      </c>
      <c r="M742">
        <f>IF(B742,(1+Trend)^D742,"")</f>
        <v/>
      </c>
      <c r="N742">
        <f>IF(B742,EXP(SUMPRODUCT(LN(1+(EvEff-1)*INDEX(Affected,0,C742)*EXP(-((E742-EvCenter)^2)/(2*EvSigma^2))))),"")</f>
        <v/>
      </c>
      <c r="O742">
        <f>IF(B742,ROUND(MAX(0,J742*K742*L742*M742*N742),2),"")</f>
        <v/>
      </c>
    </row>
    <row r="743">
      <c r="A743" t="n">
        <v>742</v>
      </c>
      <c r="B743">
        <f>A743&lt;=MineCount*Days</f>
        <v/>
      </c>
      <c r="C743">
        <f>IF(B743,INT((A743-1)/Days)+1,"")</f>
        <v/>
      </c>
      <c r="D743">
        <f>IF(B743,MOD(A743-1,Days),"")</f>
        <v/>
      </c>
      <c r="E743" s="16">
        <f>IF(B743,StartDate+D743,"")</f>
        <v/>
      </c>
      <c r="F743">
        <f>IF(B743,MAX(MOD(SIN(Seed*0.1373+C743*12.9898+D743*78.233)*43758.5453,1),1E-9),"")</f>
        <v/>
      </c>
      <c r="G743">
        <f>IF(B743,MOD(SIN(Seed*0.5917+C743*39.3468+D743*11.135)*24634.6345,1),"")</f>
        <v/>
      </c>
      <c r="H743">
        <f>IF(B743,SQRT(-2*LN(F743))*COS(2*PI()*G743),"")</f>
        <v/>
      </c>
      <c r="I743">
        <f>IF(B743,IF(D743=0,H743,Rho*I742+SQRT(1-Rho^2)*H743),"")</f>
        <v/>
      </c>
      <c r="J743">
        <f>IF(B743,IF(Dist="Normal",DistA+DistB*I743,DistA+(DistB-DistA)*NORMSDIST(I743)),"")</f>
        <v/>
      </c>
      <c r="K743">
        <f>IF(B743,INDEX(MineScale,C743),"")</f>
        <v/>
      </c>
      <c r="L743">
        <f>IF(B743,INDEX(Dow,1,WEEKDAY(E743,2)),"")</f>
        <v/>
      </c>
      <c r="M743">
        <f>IF(B743,(1+Trend)^D743,"")</f>
        <v/>
      </c>
      <c r="N743">
        <f>IF(B743,EXP(SUMPRODUCT(LN(1+(EvEff-1)*INDEX(Affected,0,C743)*EXP(-((E743-EvCenter)^2)/(2*EvSigma^2))))),"")</f>
        <v/>
      </c>
      <c r="O743">
        <f>IF(B743,ROUND(MAX(0,J743*K743*L743*M743*N743),2),"")</f>
        <v/>
      </c>
    </row>
    <row r="744">
      <c r="A744" t="n">
        <v>743</v>
      </c>
      <c r="B744">
        <f>A744&lt;=MineCount*Days</f>
        <v/>
      </c>
      <c r="C744">
        <f>IF(B744,INT((A744-1)/Days)+1,"")</f>
        <v/>
      </c>
      <c r="D744">
        <f>IF(B744,MOD(A744-1,Days),"")</f>
        <v/>
      </c>
      <c r="E744" s="16">
        <f>IF(B744,StartDate+D744,"")</f>
        <v/>
      </c>
      <c r="F744">
        <f>IF(B744,MAX(MOD(SIN(Seed*0.1373+C744*12.9898+D744*78.233)*43758.5453,1),1E-9),"")</f>
        <v/>
      </c>
      <c r="G744">
        <f>IF(B744,MOD(SIN(Seed*0.5917+C744*39.3468+D744*11.135)*24634.6345,1),"")</f>
        <v/>
      </c>
      <c r="H744">
        <f>IF(B744,SQRT(-2*LN(F744))*COS(2*PI()*G744),"")</f>
        <v/>
      </c>
      <c r="I744">
        <f>IF(B744,IF(D744=0,H744,Rho*I743+SQRT(1-Rho^2)*H744),"")</f>
        <v/>
      </c>
      <c r="J744">
        <f>IF(B744,IF(Dist="Normal",DistA+DistB*I744,DistA+(DistB-DistA)*NORMSDIST(I744)),"")</f>
        <v/>
      </c>
      <c r="K744">
        <f>IF(B744,INDEX(MineScale,C744),"")</f>
        <v/>
      </c>
      <c r="L744">
        <f>IF(B744,INDEX(Dow,1,WEEKDAY(E744,2)),"")</f>
        <v/>
      </c>
      <c r="M744">
        <f>IF(B744,(1+Trend)^D744,"")</f>
        <v/>
      </c>
      <c r="N744">
        <f>IF(B744,EXP(SUMPRODUCT(LN(1+(EvEff-1)*INDEX(Affected,0,C744)*EXP(-((E744-EvCenter)^2)/(2*EvSigma^2))))),"")</f>
        <v/>
      </c>
      <c r="O744">
        <f>IF(B744,ROUND(MAX(0,J744*K744*L744*M744*N744),2),"")</f>
        <v/>
      </c>
    </row>
    <row r="745">
      <c r="A745" t="n">
        <v>744</v>
      </c>
      <c r="B745">
        <f>A745&lt;=MineCount*Days</f>
        <v/>
      </c>
      <c r="C745">
        <f>IF(B745,INT((A745-1)/Days)+1,"")</f>
        <v/>
      </c>
      <c r="D745">
        <f>IF(B745,MOD(A745-1,Days),"")</f>
        <v/>
      </c>
      <c r="E745" s="16">
        <f>IF(B745,StartDate+D745,"")</f>
        <v/>
      </c>
      <c r="F745">
        <f>IF(B745,MAX(MOD(SIN(Seed*0.1373+C745*12.9898+D745*78.233)*43758.5453,1),1E-9),"")</f>
        <v/>
      </c>
      <c r="G745">
        <f>IF(B745,MOD(SIN(Seed*0.5917+C745*39.3468+D745*11.135)*24634.6345,1),"")</f>
        <v/>
      </c>
      <c r="H745">
        <f>IF(B745,SQRT(-2*LN(F745))*COS(2*PI()*G745),"")</f>
        <v/>
      </c>
      <c r="I745">
        <f>IF(B745,IF(D745=0,H745,Rho*I744+SQRT(1-Rho^2)*H745),"")</f>
        <v/>
      </c>
      <c r="J745">
        <f>IF(B745,IF(Dist="Normal",DistA+DistB*I745,DistA+(DistB-DistA)*NORMSDIST(I745)),"")</f>
        <v/>
      </c>
      <c r="K745">
        <f>IF(B745,INDEX(MineScale,C745),"")</f>
        <v/>
      </c>
      <c r="L745">
        <f>IF(B745,INDEX(Dow,1,WEEKDAY(E745,2)),"")</f>
        <v/>
      </c>
      <c r="M745">
        <f>IF(B745,(1+Trend)^D745,"")</f>
        <v/>
      </c>
      <c r="N745">
        <f>IF(B745,EXP(SUMPRODUCT(LN(1+(EvEff-1)*INDEX(Affected,0,C745)*EXP(-((E745-EvCenter)^2)/(2*EvSigma^2))))),"")</f>
        <v/>
      </c>
      <c r="O745">
        <f>IF(B745,ROUND(MAX(0,J745*K745*L745*M745*N745),2),"")</f>
        <v/>
      </c>
    </row>
    <row r="746">
      <c r="A746" t="n">
        <v>745</v>
      </c>
      <c r="B746">
        <f>A746&lt;=MineCount*Days</f>
        <v/>
      </c>
      <c r="C746">
        <f>IF(B746,INT((A746-1)/Days)+1,"")</f>
        <v/>
      </c>
      <c r="D746">
        <f>IF(B746,MOD(A746-1,Days),"")</f>
        <v/>
      </c>
      <c r="E746" s="16">
        <f>IF(B746,StartDate+D746,"")</f>
        <v/>
      </c>
      <c r="F746">
        <f>IF(B746,MAX(MOD(SIN(Seed*0.1373+C746*12.9898+D746*78.233)*43758.5453,1),1E-9),"")</f>
        <v/>
      </c>
      <c r="G746">
        <f>IF(B746,MOD(SIN(Seed*0.5917+C746*39.3468+D746*11.135)*24634.6345,1),"")</f>
        <v/>
      </c>
      <c r="H746">
        <f>IF(B746,SQRT(-2*LN(F746))*COS(2*PI()*G746),"")</f>
        <v/>
      </c>
      <c r="I746">
        <f>IF(B746,IF(D746=0,H746,Rho*I745+SQRT(1-Rho^2)*H746),"")</f>
        <v/>
      </c>
      <c r="J746">
        <f>IF(B746,IF(Dist="Normal",DistA+DistB*I746,DistA+(DistB-DistA)*NORMSDIST(I746)),"")</f>
        <v/>
      </c>
      <c r="K746">
        <f>IF(B746,INDEX(MineScale,C746),"")</f>
        <v/>
      </c>
      <c r="L746">
        <f>IF(B746,INDEX(Dow,1,WEEKDAY(E746,2)),"")</f>
        <v/>
      </c>
      <c r="M746">
        <f>IF(B746,(1+Trend)^D746,"")</f>
        <v/>
      </c>
      <c r="N746">
        <f>IF(B746,EXP(SUMPRODUCT(LN(1+(EvEff-1)*INDEX(Affected,0,C746)*EXP(-((E746-EvCenter)^2)/(2*EvSigma^2))))),"")</f>
        <v/>
      </c>
      <c r="O746">
        <f>IF(B746,ROUND(MAX(0,J746*K746*L746*M746*N746),2),"")</f>
        <v/>
      </c>
    </row>
    <row r="747">
      <c r="A747" t="n">
        <v>746</v>
      </c>
      <c r="B747">
        <f>A747&lt;=MineCount*Days</f>
        <v/>
      </c>
      <c r="C747">
        <f>IF(B747,INT((A747-1)/Days)+1,"")</f>
        <v/>
      </c>
      <c r="D747">
        <f>IF(B747,MOD(A747-1,Days),"")</f>
        <v/>
      </c>
      <c r="E747" s="16">
        <f>IF(B747,StartDate+D747,"")</f>
        <v/>
      </c>
      <c r="F747">
        <f>IF(B747,MAX(MOD(SIN(Seed*0.1373+C747*12.9898+D747*78.233)*43758.5453,1),1E-9),"")</f>
        <v/>
      </c>
      <c r="G747">
        <f>IF(B747,MOD(SIN(Seed*0.5917+C747*39.3468+D747*11.135)*24634.6345,1),"")</f>
        <v/>
      </c>
      <c r="H747">
        <f>IF(B747,SQRT(-2*LN(F747))*COS(2*PI()*G747),"")</f>
        <v/>
      </c>
      <c r="I747">
        <f>IF(B747,IF(D747=0,H747,Rho*I746+SQRT(1-Rho^2)*H747),"")</f>
        <v/>
      </c>
      <c r="J747">
        <f>IF(B747,IF(Dist="Normal",DistA+DistB*I747,DistA+(DistB-DistA)*NORMSDIST(I747)),"")</f>
        <v/>
      </c>
      <c r="K747">
        <f>IF(B747,INDEX(MineScale,C747),"")</f>
        <v/>
      </c>
      <c r="L747">
        <f>IF(B747,INDEX(Dow,1,WEEKDAY(E747,2)),"")</f>
        <v/>
      </c>
      <c r="M747">
        <f>IF(B747,(1+Trend)^D747,"")</f>
        <v/>
      </c>
      <c r="N747">
        <f>IF(B747,EXP(SUMPRODUCT(LN(1+(EvEff-1)*INDEX(Affected,0,C747)*EXP(-((E747-EvCenter)^2)/(2*EvSigma^2))))),"")</f>
        <v/>
      </c>
      <c r="O747">
        <f>IF(B747,ROUND(MAX(0,J747*K747*L747*M747*N747),2),"")</f>
        <v/>
      </c>
    </row>
    <row r="748">
      <c r="A748" t="n">
        <v>747</v>
      </c>
      <c r="B748">
        <f>A748&lt;=MineCount*Days</f>
        <v/>
      </c>
      <c r="C748">
        <f>IF(B748,INT((A748-1)/Days)+1,"")</f>
        <v/>
      </c>
      <c r="D748">
        <f>IF(B748,MOD(A748-1,Days),"")</f>
        <v/>
      </c>
      <c r="E748" s="16">
        <f>IF(B748,StartDate+D748,"")</f>
        <v/>
      </c>
      <c r="F748">
        <f>IF(B748,MAX(MOD(SIN(Seed*0.1373+C748*12.9898+D748*78.233)*43758.5453,1),1E-9),"")</f>
        <v/>
      </c>
      <c r="G748">
        <f>IF(B748,MOD(SIN(Seed*0.5917+C748*39.3468+D748*11.135)*24634.6345,1),"")</f>
        <v/>
      </c>
      <c r="H748">
        <f>IF(B748,SQRT(-2*LN(F748))*COS(2*PI()*G748),"")</f>
        <v/>
      </c>
      <c r="I748">
        <f>IF(B748,IF(D748=0,H748,Rho*I747+SQRT(1-Rho^2)*H748),"")</f>
        <v/>
      </c>
      <c r="J748">
        <f>IF(B748,IF(Dist="Normal",DistA+DistB*I748,DistA+(DistB-DistA)*NORMSDIST(I748)),"")</f>
        <v/>
      </c>
      <c r="K748">
        <f>IF(B748,INDEX(MineScale,C748),"")</f>
        <v/>
      </c>
      <c r="L748">
        <f>IF(B748,INDEX(Dow,1,WEEKDAY(E748,2)),"")</f>
        <v/>
      </c>
      <c r="M748">
        <f>IF(B748,(1+Trend)^D748,"")</f>
        <v/>
      </c>
      <c r="N748">
        <f>IF(B748,EXP(SUMPRODUCT(LN(1+(EvEff-1)*INDEX(Affected,0,C748)*EXP(-((E748-EvCenter)^2)/(2*EvSigma^2))))),"")</f>
        <v/>
      </c>
      <c r="O748">
        <f>IF(B748,ROUND(MAX(0,J748*K748*L748*M748*N748),2),"")</f>
        <v/>
      </c>
    </row>
    <row r="749">
      <c r="A749" t="n">
        <v>748</v>
      </c>
      <c r="B749">
        <f>A749&lt;=MineCount*Days</f>
        <v/>
      </c>
      <c r="C749">
        <f>IF(B749,INT((A749-1)/Days)+1,"")</f>
        <v/>
      </c>
      <c r="D749">
        <f>IF(B749,MOD(A749-1,Days),"")</f>
        <v/>
      </c>
      <c r="E749" s="16">
        <f>IF(B749,StartDate+D749,"")</f>
        <v/>
      </c>
      <c r="F749">
        <f>IF(B749,MAX(MOD(SIN(Seed*0.1373+C749*12.9898+D749*78.233)*43758.5453,1),1E-9),"")</f>
        <v/>
      </c>
      <c r="G749">
        <f>IF(B749,MOD(SIN(Seed*0.5917+C749*39.3468+D749*11.135)*24634.6345,1),"")</f>
        <v/>
      </c>
      <c r="H749">
        <f>IF(B749,SQRT(-2*LN(F749))*COS(2*PI()*G749),"")</f>
        <v/>
      </c>
      <c r="I749">
        <f>IF(B749,IF(D749=0,H749,Rho*I748+SQRT(1-Rho^2)*H749),"")</f>
        <v/>
      </c>
      <c r="J749">
        <f>IF(B749,IF(Dist="Normal",DistA+DistB*I749,DistA+(DistB-DistA)*NORMSDIST(I749)),"")</f>
        <v/>
      </c>
      <c r="K749">
        <f>IF(B749,INDEX(MineScale,C749),"")</f>
        <v/>
      </c>
      <c r="L749">
        <f>IF(B749,INDEX(Dow,1,WEEKDAY(E749,2)),"")</f>
        <v/>
      </c>
      <c r="M749">
        <f>IF(B749,(1+Trend)^D749,"")</f>
        <v/>
      </c>
      <c r="N749">
        <f>IF(B749,EXP(SUMPRODUCT(LN(1+(EvEff-1)*INDEX(Affected,0,C749)*EXP(-((E749-EvCenter)^2)/(2*EvSigma^2))))),"")</f>
        <v/>
      </c>
      <c r="O749">
        <f>IF(B749,ROUND(MAX(0,J749*K749*L749*M749*N749),2),"")</f>
        <v/>
      </c>
    </row>
    <row r="750">
      <c r="A750" t="n">
        <v>749</v>
      </c>
      <c r="B750">
        <f>A750&lt;=MineCount*Days</f>
        <v/>
      </c>
      <c r="C750">
        <f>IF(B750,INT((A750-1)/Days)+1,"")</f>
        <v/>
      </c>
      <c r="D750">
        <f>IF(B750,MOD(A750-1,Days),"")</f>
        <v/>
      </c>
      <c r="E750" s="16">
        <f>IF(B750,StartDate+D750,"")</f>
        <v/>
      </c>
      <c r="F750">
        <f>IF(B750,MAX(MOD(SIN(Seed*0.1373+C750*12.9898+D750*78.233)*43758.5453,1),1E-9),"")</f>
        <v/>
      </c>
      <c r="G750">
        <f>IF(B750,MOD(SIN(Seed*0.5917+C750*39.3468+D750*11.135)*24634.6345,1),"")</f>
        <v/>
      </c>
      <c r="H750">
        <f>IF(B750,SQRT(-2*LN(F750))*COS(2*PI()*G750),"")</f>
        <v/>
      </c>
      <c r="I750">
        <f>IF(B750,IF(D750=0,H750,Rho*I749+SQRT(1-Rho^2)*H750),"")</f>
        <v/>
      </c>
      <c r="J750">
        <f>IF(B750,IF(Dist="Normal",DistA+DistB*I750,DistA+(DistB-DistA)*NORMSDIST(I750)),"")</f>
        <v/>
      </c>
      <c r="K750">
        <f>IF(B750,INDEX(MineScale,C750),"")</f>
        <v/>
      </c>
      <c r="L750">
        <f>IF(B750,INDEX(Dow,1,WEEKDAY(E750,2)),"")</f>
        <v/>
      </c>
      <c r="M750">
        <f>IF(B750,(1+Trend)^D750,"")</f>
        <v/>
      </c>
      <c r="N750">
        <f>IF(B750,EXP(SUMPRODUCT(LN(1+(EvEff-1)*INDEX(Affected,0,C750)*EXP(-((E750-EvCenter)^2)/(2*EvSigma^2))))),"")</f>
        <v/>
      </c>
      <c r="O750">
        <f>IF(B750,ROUND(MAX(0,J750*K750*L750*M750*N750),2),"")</f>
        <v/>
      </c>
    </row>
    <row r="751">
      <c r="A751" t="n">
        <v>750</v>
      </c>
      <c r="B751">
        <f>A751&lt;=MineCount*Days</f>
        <v/>
      </c>
      <c r="C751">
        <f>IF(B751,INT((A751-1)/Days)+1,"")</f>
        <v/>
      </c>
      <c r="D751">
        <f>IF(B751,MOD(A751-1,Days),"")</f>
        <v/>
      </c>
      <c r="E751" s="16">
        <f>IF(B751,StartDate+D751,"")</f>
        <v/>
      </c>
      <c r="F751">
        <f>IF(B751,MAX(MOD(SIN(Seed*0.1373+C751*12.9898+D751*78.233)*43758.5453,1),1E-9),"")</f>
        <v/>
      </c>
      <c r="G751">
        <f>IF(B751,MOD(SIN(Seed*0.5917+C751*39.3468+D751*11.135)*24634.6345,1),"")</f>
        <v/>
      </c>
      <c r="H751">
        <f>IF(B751,SQRT(-2*LN(F751))*COS(2*PI()*G751),"")</f>
        <v/>
      </c>
      <c r="I751">
        <f>IF(B751,IF(D751=0,H751,Rho*I750+SQRT(1-Rho^2)*H751),"")</f>
        <v/>
      </c>
      <c r="J751">
        <f>IF(B751,IF(Dist="Normal",DistA+DistB*I751,DistA+(DistB-DistA)*NORMSDIST(I751)),"")</f>
        <v/>
      </c>
      <c r="K751">
        <f>IF(B751,INDEX(MineScale,C751),"")</f>
        <v/>
      </c>
      <c r="L751">
        <f>IF(B751,INDEX(Dow,1,WEEKDAY(E751,2)),"")</f>
        <v/>
      </c>
      <c r="M751">
        <f>IF(B751,(1+Trend)^D751,"")</f>
        <v/>
      </c>
      <c r="N751">
        <f>IF(B751,EXP(SUMPRODUCT(LN(1+(EvEff-1)*INDEX(Affected,0,C751)*EXP(-((E751-EvCenter)^2)/(2*EvSigma^2))))),"")</f>
        <v/>
      </c>
      <c r="O751">
        <f>IF(B751,ROUND(MAX(0,J751*K751*L751*M751*N751),2),"")</f>
        <v/>
      </c>
    </row>
    <row r="752">
      <c r="A752" t="n">
        <v>751</v>
      </c>
      <c r="B752">
        <f>A752&lt;=MineCount*Days</f>
        <v/>
      </c>
      <c r="C752">
        <f>IF(B752,INT((A752-1)/Days)+1,"")</f>
        <v/>
      </c>
      <c r="D752">
        <f>IF(B752,MOD(A752-1,Days),"")</f>
        <v/>
      </c>
      <c r="E752" s="16">
        <f>IF(B752,StartDate+D752,"")</f>
        <v/>
      </c>
      <c r="F752">
        <f>IF(B752,MAX(MOD(SIN(Seed*0.1373+C752*12.9898+D752*78.233)*43758.5453,1),1E-9),"")</f>
        <v/>
      </c>
      <c r="G752">
        <f>IF(B752,MOD(SIN(Seed*0.5917+C752*39.3468+D752*11.135)*24634.6345,1),"")</f>
        <v/>
      </c>
      <c r="H752">
        <f>IF(B752,SQRT(-2*LN(F752))*COS(2*PI()*G752),"")</f>
        <v/>
      </c>
      <c r="I752">
        <f>IF(B752,IF(D752=0,H752,Rho*I751+SQRT(1-Rho^2)*H752),"")</f>
        <v/>
      </c>
      <c r="J752">
        <f>IF(B752,IF(Dist="Normal",DistA+DistB*I752,DistA+(DistB-DistA)*NORMSDIST(I752)),"")</f>
        <v/>
      </c>
      <c r="K752">
        <f>IF(B752,INDEX(MineScale,C752),"")</f>
        <v/>
      </c>
      <c r="L752">
        <f>IF(B752,INDEX(Dow,1,WEEKDAY(E752,2)),"")</f>
        <v/>
      </c>
      <c r="M752">
        <f>IF(B752,(1+Trend)^D752,"")</f>
        <v/>
      </c>
      <c r="N752">
        <f>IF(B752,EXP(SUMPRODUCT(LN(1+(EvEff-1)*INDEX(Affected,0,C752)*EXP(-((E752-EvCenter)^2)/(2*EvSigma^2))))),"")</f>
        <v/>
      </c>
      <c r="O752">
        <f>IF(B752,ROUND(MAX(0,J752*K752*L752*M752*N752),2),"")</f>
        <v/>
      </c>
    </row>
    <row r="753">
      <c r="A753" t="n">
        <v>752</v>
      </c>
      <c r="B753">
        <f>A753&lt;=MineCount*Days</f>
        <v/>
      </c>
      <c r="C753">
        <f>IF(B753,INT((A753-1)/Days)+1,"")</f>
        <v/>
      </c>
      <c r="D753">
        <f>IF(B753,MOD(A753-1,Days),"")</f>
        <v/>
      </c>
      <c r="E753" s="16">
        <f>IF(B753,StartDate+D753,"")</f>
        <v/>
      </c>
      <c r="F753">
        <f>IF(B753,MAX(MOD(SIN(Seed*0.1373+C753*12.9898+D753*78.233)*43758.5453,1),1E-9),"")</f>
        <v/>
      </c>
      <c r="G753">
        <f>IF(B753,MOD(SIN(Seed*0.5917+C753*39.3468+D753*11.135)*24634.6345,1),"")</f>
        <v/>
      </c>
      <c r="H753">
        <f>IF(B753,SQRT(-2*LN(F753))*COS(2*PI()*G753),"")</f>
        <v/>
      </c>
      <c r="I753">
        <f>IF(B753,IF(D753=0,H753,Rho*I752+SQRT(1-Rho^2)*H753),"")</f>
        <v/>
      </c>
      <c r="J753">
        <f>IF(B753,IF(Dist="Normal",DistA+DistB*I753,DistA+(DistB-DistA)*NORMSDIST(I753)),"")</f>
        <v/>
      </c>
      <c r="K753">
        <f>IF(B753,INDEX(MineScale,C753),"")</f>
        <v/>
      </c>
      <c r="L753">
        <f>IF(B753,INDEX(Dow,1,WEEKDAY(E753,2)),"")</f>
        <v/>
      </c>
      <c r="M753">
        <f>IF(B753,(1+Trend)^D753,"")</f>
        <v/>
      </c>
      <c r="N753">
        <f>IF(B753,EXP(SUMPRODUCT(LN(1+(EvEff-1)*INDEX(Affected,0,C753)*EXP(-((E753-EvCenter)^2)/(2*EvSigma^2))))),"")</f>
        <v/>
      </c>
      <c r="O753">
        <f>IF(B753,ROUND(MAX(0,J753*K753*L753*M753*N753),2),"")</f>
        <v/>
      </c>
    </row>
    <row r="754">
      <c r="A754" t="n">
        <v>753</v>
      </c>
      <c r="B754">
        <f>A754&lt;=MineCount*Days</f>
        <v/>
      </c>
      <c r="C754">
        <f>IF(B754,INT((A754-1)/Days)+1,"")</f>
        <v/>
      </c>
      <c r="D754">
        <f>IF(B754,MOD(A754-1,Days),"")</f>
        <v/>
      </c>
      <c r="E754" s="16">
        <f>IF(B754,StartDate+D754,"")</f>
        <v/>
      </c>
      <c r="F754">
        <f>IF(B754,MAX(MOD(SIN(Seed*0.1373+C754*12.9898+D754*78.233)*43758.5453,1),1E-9),"")</f>
        <v/>
      </c>
      <c r="G754">
        <f>IF(B754,MOD(SIN(Seed*0.5917+C754*39.3468+D754*11.135)*24634.6345,1),"")</f>
        <v/>
      </c>
      <c r="H754">
        <f>IF(B754,SQRT(-2*LN(F754))*COS(2*PI()*G754),"")</f>
        <v/>
      </c>
      <c r="I754">
        <f>IF(B754,IF(D754=0,H754,Rho*I753+SQRT(1-Rho^2)*H754),"")</f>
        <v/>
      </c>
      <c r="J754">
        <f>IF(B754,IF(Dist="Normal",DistA+DistB*I754,DistA+(DistB-DistA)*NORMSDIST(I754)),"")</f>
        <v/>
      </c>
      <c r="K754">
        <f>IF(B754,INDEX(MineScale,C754),"")</f>
        <v/>
      </c>
      <c r="L754">
        <f>IF(B754,INDEX(Dow,1,WEEKDAY(E754,2)),"")</f>
        <v/>
      </c>
      <c r="M754">
        <f>IF(B754,(1+Trend)^D754,"")</f>
        <v/>
      </c>
      <c r="N754">
        <f>IF(B754,EXP(SUMPRODUCT(LN(1+(EvEff-1)*INDEX(Affected,0,C754)*EXP(-((E754-EvCenter)^2)/(2*EvSigma^2))))),"")</f>
        <v/>
      </c>
      <c r="O754">
        <f>IF(B754,ROUND(MAX(0,J754*K754*L754*M754*N754),2),"")</f>
        <v/>
      </c>
    </row>
    <row r="755">
      <c r="A755" t="n">
        <v>754</v>
      </c>
      <c r="B755">
        <f>A755&lt;=MineCount*Days</f>
        <v/>
      </c>
      <c r="C755">
        <f>IF(B755,INT((A755-1)/Days)+1,"")</f>
        <v/>
      </c>
      <c r="D755">
        <f>IF(B755,MOD(A755-1,Days),"")</f>
        <v/>
      </c>
      <c r="E755" s="16">
        <f>IF(B755,StartDate+D755,"")</f>
        <v/>
      </c>
      <c r="F755">
        <f>IF(B755,MAX(MOD(SIN(Seed*0.1373+C755*12.9898+D755*78.233)*43758.5453,1),1E-9),"")</f>
        <v/>
      </c>
      <c r="G755">
        <f>IF(B755,MOD(SIN(Seed*0.5917+C755*39.3468+D755*11.135)*24634.6345,1),"")</f>
        <v/>
      </c>
      <c r="H755">
        <f>IF(B755,SQRT(-2*LN(F755))*COS(2*PI()*G755),"")</f>
        <v/>
      </c>
      <c r="I755">
        <f>IF(B755,IF(D755=0,H755,Rho*I754+SQRT(1-Rho^2)*H755),"")</f>
        <v/>
      </c>
      <c r="J755">
        <f>IF(B755,IF(Dist="Normal",DistA+DistB*I755,DistA+(DistB-DistA)*NORMSDIST(I755)),"")</f>
        <v/>
      </c>
      <c r="K755">
        <f>IF(B755,INDEX(MineScale,C755),"")</f>
        <v/>
      </c>
      <c r="L755">
        <f>IF(B755,INDEX(Dow,1,WEEKDAY(E755,2)),"")</f>
        <v/>
      </c>
      <c r="M755">
        <f>IF(B755,(1+Trend)^D755,"")</f>
        <v/>
      </c>
      <c r="N755">
        <f>IF(B755,EXP(SUMPRODUCT(LN(1+(EvEff-1)*INDEX(Affected,0,C755)*EXP(-((E755-EvCenter)^2)/(2*EvSigma^2))))),"")</f>
        <v/>
      </c>
      <c r="O755">
        <f>IF(B755,ROUND(MAX(0,J755*K755*L755*M755*N755),2),"")</f>
        <v/>
      </c>
    </row>
    <row r="756">
      <c r="A756" t="n">
        <v>755</v>
      </c>
      <c r="B756">
        <f>A756&lt;=MineCount*Days</f>
        <v/>
      </c>
      <c r="C756">
        <f>IF(B756,INT((A756-1)/Days)+1,"")</f>
        <v/>
      </c>
      <c r="D756">
        <f>IF(B756,MOD(A756-1,Days),"")</f>
        <v/>
      </c>
      <c r="E756" s="16">
        <f>IF(B756,StartDate+D756,"")</f>
        <v/>
      </c>
      <c r="F756">
        <f>IF(B756,MAX(MOD(SIN(Seed*0.1373+C756*12.9898+D756*78.233)*43758.5453,1),1E-9),"")</f>
        <v/>
      </c>
      <c r="G756">
        <f>IF(B756,MOD(SIN(Seed*0.5917+C756*39.3468+D756*11.135)*24634.6345,1),"")</f>
        <v/>
      </c>
      <c r="H756">
        <f>IF(B756,SQRT(-2*LN(F756))*COS(2*PI()*G756),"")</f>
        <v/>
      </c>
      <c r="I756">
        <f>IF(B756,IF(D756=0,H756,Rho*I755+SQRT(1-Rho^2)*H756),"")</f>
        <v/>
      </c>
      <c r="J756">
        <f>IF(B756,IF(Dist="Normal",DistA+DistB*I756,DistA+(DistB-DistA)*NORMSDIST(I756)),"")</f>
        <v/>
      </c>
      <c r="K756">
        <f>IF(B756,INDEX(MineScale,C756),"")</f>
        <v/>
      </c>
      <c r="L756">
        <f>IF(B756,INDEX(Dow,1,WEEKDAY(E756,2)),"")</f>
        <v/>
      </c>
      <c r="M756">
        <f>IF(B756,(1+Trend)^D756,"")</f>
        <v/>
      </c>
      <c r="N756">
        <f>IF(B756,EXP(SUMPRODUCT(LN(1+(EvEff-1)*INDEX(Affected,0,C756)*EXP(-((E756-EvCenter)^2)/(2*EvSigma^2))))),"")</f>
        <v/>
      </c>
      <c r="O756">
        <f>IF(B756,ROUND(MAX(0,J756*K756*L756*M756*N756),2),"")</f>
        <v/>
      </c>
    </row>
    <row r="757">
      <c r="A757" t="n">
        <v>756</v>
      </c>
      <c r="B757">
        <f>A757&lt;=MineCount*Days</f>
        <v/>
      </c>
      <c r="C757">
        <f>IF(B757,INT((A757-1)/Days)+1,"")</f>
        <v/>
      </c>
      <c r="D757">
        <f>IF(B757,MOD(A757-1,Days),"")</f>
        <v/>
      </c>
      <c r="E757" s="16">
        <f>IF(B757,StartDate+D757,"")</f>
        <v/>
      </c>
      <c r="F757">
        <f>IF(B757,MAX(MOD(SIN(Seed*0.1373+C757*12.9898+D757*78.233)*43758.5453,1),1E-9),"")</f>
        <v/>
      </c>
      <c r="G757">
        <f>IF(B757,MOD(SIN(Seed*0.5917+C757*39.3468+D757*11.135)*24634.6345,1),"")</f>
        <v/>
      </c>
      <c r="H757">
        <f>IF(B757,SQRT(-2*LN(F757))*COS(2*PI()*G757),"")</f>
        <v/>
      </c>
      <c r="I757">
        <f>IF(B757,IF(D757=0,H757,Rho*I756+SQRT(1-Rho^2)*H757),"")</f>
        <v/>
      </c>
      <c r="J757">
        <f>IF(B757,IF(Dist="Normal",DistA+DistB*I757,DistA+(DistB-DistA)*NORMSDIST(I757)),"")</f>
        <v/>
      </c>
      <c r="K757">
        <f>IF(B757,INDEX(MineScale,C757),"")</f>
        <v/>
      </c>
      <c r="L757">
        <f>IF(B757,INDEX(Dow,1,WEEKDAY(E757,2)),"")</f>
        <v/>
      </c>
      <c r="M757">
        <f>IF(B757,(1+Trend)^D757,"")</f>
        <v/>
      </c>
      <c r="N757">
        <f>IF(B757,EXP(SUMPRODUCT(LN(1+(EvEff-1)*INDEX(Affected,0,C757)*EXP(-((E757-EvCenter)^2)/(2*EvSigma^2))))),"")</f>
        <v/>
      </c>
      <c r="O757">
        <f>IF(B757,ROUND(MAX(0,J757*K757*L757*M757*N757),2),"")</f>
        <v/>
      </c>
    </row>
    <row r="758">
      <c r="A758" t="n">
        <v>757</v>
      </c>
      <c r="B758">
        <f>A758&lt;=MineCount*Days</f>
        <v/>
      </c>
      <c r="C758">
        <f>IF(B758,INT((A758-1)/Days)+1,"")</f>
        <v/>
      </c>
      <c r="D758">
        <f>IF(B758,MOD(A758-1,Days),"")</f>
        <v/>
      </c>
      <c r="E758" s="16">
        <f>IF(B758,StartDate+D758,"")</f>
        <v/>
      </c>
      <c r="F758">
        <f>IF(B758,MAX(MOD(SIN(Seed*0.1373+C758*12.9898+D758*78.233)*43758.5453,1),1E-9),"")</f>
        <v/>
      </c>
      <c r="G758">
        <f>IF(B758,MOD(SIN(Seed*0.5917+C758*39.3468+D758*11.135)*24634.6345,1),"")</f>
        <v/>
      </c>
      <c r="H758">
        <f>IF(B758,SQRT(-2*LN(F758))*COS(2*PI()*G758),"")</f>
        <v/>
      </c>
      <c r="I758">
        <f>IF(B758,IF(D758=0,H758,Rho*I757+SQRT(1-Rho^2)*H758),"")</f>
        <v/>
      </c>
      <c r="J758">
        <f>IF(B758,IF(Dist="Normal",DistA+DistB*I758,DistA+(DistB-DistA)*NORMSDIST(I758)),"")</f>
        <v/>
      </c>
      <c r="K758">
        <f>IF(B758,INDEX(MineScale,C758),"")</f>
        <v/>
      </c>
      <c r="L758">
        <f>IF(B758,INDEX(Dow,1,WEEKDAY(E758,2)),"")</f>
        <v/>
      </c>
      <c r="M758">
        <f>IF(B758,(1+Trend)^D758,"")</f>
        <v/>
      </c>
      <c r="N758">
        <f>IF(B758,EXP(SUMPRODUCT(LN(1+(EvEff-1)*INDEX(Affected,0,C758)*EXP(-((E758-EvCenter)^2)/(2*EvSigma^2))))),"")</f>
        <v/>
      </c>
      <c r="O758">
        <f>IF(B758,ROUND(MAX(0,J758*K758*L758*M758*N758),2),"")</f>
        <v/>
      </c>
    </row>
    <row r="759">
      <c r="A759" t="n">
        <v>758</v>
      </c>
      <c r="B759">
        <f>A759&lt;=MineCount*Days</f>
        <v/>
      </c>
      <c r="C759">
        <f>IF(B759,INT((A759-1)/Days)+1,"")</f>
        <v/>
      </c>
      <c r="D759">
        <f>IF(B759,MOD(A759-1,Days),"")</f>
        <v/>
      </c>
      <c r="E759" s="16">
        <f>IF(B759,StartDate+D759,"")</f>
        <v/>
      </c>
      <c r="F759">
        <f>IF(B759,MAX(MOD(SIN(Seed*0.1373+C759*12.9898+D759*78.233)*43758.5453,1),1E-9),"")</f>
        <v/>
      </c>
      <c r="G759">
        <f>IF(B759,MOD(SIN(Seed*0.5917+C759*39.3468+D759*11.135)*24634.6345,1),"")</f>
        <v/>
      </c>
      <c r="H759">
        <f>IF(B759,SQRT(-2*LN(F759))*COS(2*PI()*G759),"")</f>
        <v/>
      </c>
      <c r="I759">
        <f>IF(B759,IF(D759=0,H759,Rho*I758+SQRT(1-Rho^2)*H759),"")</f>
        <v/>
      </c>
      <c r="J759">
        <f>IF(B759,IF(Dist="Normal",DistA+DistB*I759,DistA+(DistB-DistA)*NORMSDIST(I759)),"")</f>
        <v/>
      </c>
      <c r="K759">
        <f>IF(B759,INDEX(MineScale,C759),"")</f>
        <v/>
      </c>
      <c r="L759">
        <f>IF(B759,INDEX(Dow,1,WEEKDAY(E759,2)),"")</f>
        <v/>
      </c>
      <c r="M759">
        <f>IF(B759,(1+Trend)^D759,"")</f>
        <v/>
      </c>
      <c r="N759">
        <f>IF(B759,EXP(SUMPRODUCT(LN(1+(EvEff-1)*INDEX(Affected,0,C759)*EXP(-((E759-EvCenter)^2)/(2*EvSigma^2))))),"")</f>
        <v/>
      </c>
      <c r="O759">
        <f>IF(B759,ROUND(MAX(0,J759*K759*L759*M759*N759),2),"")</f>
        <v/>
      </c>
    </row>
    <row r="760">
      <c r="A760" t="n">
        <v>759</v>
      </c>
      <c r="B760">
        <f>A760&lt;=MineCount*Days</f>
        <v/>
      </c>
      <c r="C760">
        <f>IF(B760,INT((A760-1)/Days)+1,"")</f>
        <v/>
      </c>
      <c r="D760">
        <f>IF(B760,MOD(A760-1,Days),"")</f>
        <v/>
      </c>
      <c r="E760" s="16">
        <f>IF(B760,StartDate+D760,"")</f>
        <v/>
      </c>
      <c r="F760">
        <f>IF(B760,MAX(MOD(SIN(Seed*0.1373+C760*12.9898+D760*78.233)*43758.5453,1),1E-9),"")</f>
        <v/>
      </c>
      <c r="G760">
        <f>IF(B760,MOD(SIN(Seed*0.5917+C760*39.3468+D760*11.135)*24634.6345,1),"")</f>
        <v/>
      </c>
      <c r="H760">
        <f>IF(B760,SQRT(-2*LN(F760))*COS(2*PI()*G760),"")</f>
        <v/>
      </c>
      <c r="I760">
        <f>IF(B760,IF(D760=0,H760,Rho*I759+SQRT(1-Rho^2)*H760),"")</f>
        <v/>
      </c>
      <c r="J760">
        <f>IF(B760,IF(Dist="Normal",DistA+DistB*I760,DistA+(DistB-DistA)*NORMSDIST(I760)),"")</f>
        <v/>
      </c>
      <c r="K760">
        <f>IF(B760,INDEX(MineScale,C760),"")</f>
        <v/>
      </c>
      <c r="L760">
        <f>IF(B760,INDEX(Dow,1,WEEKDAY(E760,2)),"")</f>
        <v/>
      </c>
      <c r="M760">
        <f>IF(B760,(1+Trend)^D760,"")</f>
        <v/>
      </c>
      <c r="N760">
        <f>IF(B760,EXP(SUMPRODUCT(LN(1+(EvEff-1)*INDEX(Affected,0,C760)*EXP(-((E760-EvCenter)^2)/(2*EvSigma^2))))),"")</f>
        <v/>
      </c>
      <c r="O760">
        <f>IF(B760,ROUND(MAX(0,J760*K760*L760*M760*N760),2),"")</f>
        <v/>
      </c>
    </row>
    <row r="761">
      <c r="A761" t="n">
        <v>760</v>
      </c>
      <c r="B761">
        <f>A761&lt;=MineCount*Days</f>
        <v/>
      </c>
      <c r="C761">
        <f>IF(B761,INT((A761-1)/Days)+1,"")</f>
        <v/>
      </c>
      <c r="D761">
        <f>IF(B761,MOD(A761-1,Days),"")</f>
        <v/>
      </c>
      <c r="E761" s="16">
        <f>IF(B761,StartDate+D761,"")</f>
        <v/>
      </c>
      <c r="F761">
        <f>IF(B761,MAX(MOD(SIN(Seed*0.1373+C761*12.9898+D761*78.233)*43758.5453,1),1E-9),"")</f>
        <v/>
      </c>
      <c r="G761">
        <f>IF(B761,MOD(SIN(Seed*0.5917+C761*39.3468+D761*11.135)*24634.6345,1),"")</f>
        <v/>
      </c>
      <c r="H761">
        <f>IF(B761,SQRT(-2*LN(F761))*COS(2*PI()*G761),"")</f>
        <v/>
      </c>
      <c r="I761">
        <f>IF(B761,IF(D761=0,H761,Rho*I760+SQRT(1-Rho^2)*H761),"")</f>
        <v/>
      </c>
      <c r="J761">
        <f>IF(B761,IF(Dist="Normal",DistA+DistB*I761,DistA+(DistB-DistA)*NORMSDIST(I761)),"")</f>
        <v/>
      </c>
      <c r="K761">
        <f>IF(B761,INDEX(MineScale,C761),"")</f>
        <v/>
      </c>
      <c r="L761">
        <f>IF(B761,INDEX(Dow,1,WEEKDAY(E761,2)),"")</f>
        <v/>
      </c>
      <c r="M761">
        <f>IF(B761,(1+Trend)^D761,"")</f>
        <v/>
      </c>
      <c r="N761">
        <f>IF(B761,EXP(SUMPRODUCT(LN(1+(EvEff-1)*INDEX(Affected,0,C761)*EXP(-((E761-EvCenter)^2)/(2*EvSigma^2))))),"")</f>
        <v/>
      </c>
      <c r="O761">
        <f>IF(B761,ROUND(MAX(0,J761*K761*L761*M761*N761),2),"")</f>
        <v/>
      </c>
    </row>
    <row r="762">
      <c r="A762" t="n">
        <v>761</v>
      </c>
      <c r="B762">
        <f>A762&lt;=MineCount*Days</f>
        <v/>
      </c>
      <c r="C762">
        <f>IF(B762,INT((A762-1)/Days)+1,"")</f>
        <v/>
      </c>
      <c r="D762">
        <f>IF(B762,MOD(A762-1,Days),"")</f>
        <v/>
      </c>
      <c r="E762" s="16">
        <f>IF(B762,StartDate+D762,"")</f>
        <v/>
      </c>
      <c r="F762">
        <f>IF(B762,MAX(MOD(SIN(Seed*0.1373+C762*12.9898+D762*78.233)*43758.5453,1),1E-9),"")</f>
        <v/>
      </c>
      <c r="G762">
        <f>IF(B762,MOD(SIN(Seed*0.5917+C762*39.3468+D762*11.135)*24634.6345,1),"")</f>
        <v/>
      </c>
      <c r="H762">
        <f>IF(B762,SQRT(-2*LN(F762))*COS(2*PI()*G762),"")</f>
        <v/>
      </c>
      <c r="I762">
        <f>IF(B762,IF(D762=0,H762,Rho*I761+SQRT(1-Rho^2)*H762),"")</f>
        <v/>
      </c>
      <c r="J762">
        <f>IF(B762,IF(Dist="Normal",DistA+DistB*I762,DistA+(DistB-DistA)*NORMSDIST(I762)),"")</f>
        <v/>
      </c>
      <c r="K762">
        <f>IF(B762,INDEX(MineScale,C762),"")</f>
        <v/>
      </c>
      <c r="L762">
        <f>IF(B762,INDEX(Dow,1,WEEKDAY(E762,2)),"")</f>
        <v/>
      </c>
      <c r="M762">
        <f>IF(B762,(1+Trend)^D762,"")</f>
        <v/>
      </c>
      <c r="N762">
        <f>IF(B762,EXP(SUMPRODUCT(LN(1+(EvEff-1)*INDEX(Affected,0,C762)*EXP(-((E762-EvCenter)^2)/(2*EvSigma^2))))),"")</f>
        <v/>
      </c>
      <c r="O762">
        <f>IF(B762,ROUND(MAX(0,J762*K762*L762*M762*N762),2),"")</f>
        <v/>
      </c>
    </row>
    <row r="763">
      <c r="A763" t="n">
        <v>762</v>
      </c>
      <c r="B763">
        <f>A763&lt;=MineCount*Days</f>
        <v/>
      </c>
      <c r="C763">
        <f>IF(B763,INT((A763-1)/Days)+1,"")</f>
        <v/>
      </c>
      <c r="D763">
        <f>IF(B763,MOD(A763-1,Days),"")</f>
        <v/>
      </c>
      <c r="E763" s="16">
        <f>IF(B763,StartDate+D763,"")</f>
        <v/>
      </c>
      <c r="F763">
        <f>IF(B763,MAX(MOD(SIN(Seed*0.1373+C763*12.9898+D763*78.233)*43758.5453,1),1E-9),"")</f>
        <v/>
      </c>
      <c r="G763">
        <f>IF(B763,MOD(SIN(Seed*0.5917+C763*39.3468+D763*11.135)*24634.6345,1),"")</f>
        <v/>
      </c>
      <c r="H763">
        <f>IF(B763,SQRT(-2*LN(F763))*COS(2*PI()*G763),"")</f>
        <v/>
      </c>
      <c r="I763">
        <f>IF(B763,IF(D763=0,H763,Rho*I762+SQRT(1-Rho^2)*H763),"")</f>
        <v/>
      </c>
      <c r="J763">
        <f>IF(B763,IF(Dist="Normal",DistA+DistB*I763,DistA+(DistB-DistA)*NORMSDIST(I763)),"")</f>
        <v/>
      </c>
      <c r="K763">
        <f>IF(B763,INDEX(MineScale,C763),"")</f>
        <v/>
      </c>
      <c r="L763">
        <f>IF(B763,INDEX(Dow,1,WEEKDAY(E763,2)),"")</f>
        <v/>
      </c>
      <c r="M763">
        <f>IF(B763,(1+Trend)^D763,"")</f>
        <v/>
      </c>
      <c r="N763">
        <f>IF(B763,EXP(SUMPRODUCT(LN(1+(EvEff-1)*INDEX(Affected,0,C763)*EXP(-((E763-EvCenter)^2)/(2*EvSigma^2))))),"")</f>
        <v/>
      </c>
      <c r="O763">
        <f>IF(B763,ROUND(MAX(0,J763*K763*L763*M763*N763),2),"")</f>
        <v/>
      </c>
    </row>
    <row r="764">
      <c r="A764" t="n">
        <v>763</v>
      </c>
      <c r="B764">
        <f>A764&lt;=MineCount*Days</f>
        <v/>
      </c>
      <c r="C764">
        <f>IF(B764,INT((A764-1)/Days)+1,"")</f>
        <v/>
      </c>
      <c r="D764">
        <f>IF(B764,MOD(A764-1,Days),"")</f>
        <v/>
      </c>
      <c r="E764" s="16">
        <f>IF(B764,StartDate+D764,"")</f>
        <v/>
      </c>
      <c r="F764">
        <f>IF(B764,MAX(MOD(SIN(Seed*0.1373+C764*12.9898+D764*78.233)*43758.5453,1),1E-9),"")</f>
        <v/>
      </c>
      <c r="G764">
        <f>IF(B764,MOD(SIN(Seed*0.5917+C764*39.3468+D764*11.135)*24634.6345,1),"")</f>
        <v/>
      </c>
      <c r="H764">
        <f>IF(B764,SQRT(-2*LN(F764))*COS(2*PI()*G764),"")</f>
        <v/>
      </c>
      <c r="I764">
        <f>IF(B764,IF(D764=0,H764,Rho*I763+SQRT(1-Rho^2)*H764),"")</f>
        <v/>
      </c>
      <c r="J764">
        <f>IF(B764,IF(Dist="Normal",DistA+DistB*I764,DistA+(DistB-DistA)*NORMSDIST(I764)),"")</f>
        <v/>
      </c>
      <c r="K764">
        <f>IF(B764,INDEX(MineScale,C764),"")</f>
        <v/>
      </c>
      <c r="L764">
        <f>IF(B764,INDEX(Dow,1,WEEKDAY(E764,2)),"")</f>
        <v/>
      </c>
      <c r="M764">
        <f>IF(B764,(1+Trend)^D764,"")</f>
        <v/>
      </c>
      <c r="N764">
        <f>IF(B764,EXP(SUMPRODUCT(LN(1+(EvEff-1)*INDEX(Affected,0,C764)*EXP(-((E764-EvCenter)^2)/(2*EvSigma^2))))),"")</f>
        <v/>
      </c>
      <c r="O764">
        <f>IF(B764,ROUND(MAX(0,J764*K764*L764*M764*N764),2),"")</f>
        <v/>
      </c>
    </row>
    <row r="765">
      <c r="A765" t="n">
        <v>764</v>
      </c>
      <c r="B765">
        <f>A765&lt;=MineCount*Days</f>
        <v/>
      </c>
      <c r="C765">
        <f>IF(B765,INT((A765-1)/Days)+1,"")</f>
        <v/>
      </c>
      <c r="D765">
        <f>IF(B765,MOD(A765-1,Days),"")</f>
        <v/>
      </c>
      <c r="E765" s="16">
        <f>IF(B765,StartDate+D765,"")</f>
        <v/>
      </c>
      <c r="F765">
        <f>IF(B765,MAX(MOD(SIN(Seed*0.1373+C765*12.9898+D765*78.233)*43758.5453,1),1E-9),"")</f>
        <v/>
      </c>
      <c r="G765">
        <f>IF(B765,MOD(SIN(Seed*0.5917+C765*39.3468+D765*11.135)*24634.6345,1),"")</f>
        <v/>
      </c>
      <c r="H765">
        <f>IF(B765,SQRT(-2*LN(F765))*COS(2*PI()*G765),"")</f>
        <v/>
      </c>
      <c r="I765">
        <f>IF(B765,IF(D765=0,H765,Rho*I764+SQRT(1-Rho^2)*H765),"")</f>
        <v/>
      </c>
      <c r="J765">
        <f>IF(B765,IF(Dist="Normal",DistA+DistB*I765,DistA+(DistB-DistA)*NORMSDIST(I765)),"")</f>
        <v/>
      </c>
      <c r="K765">
        <f>IF(B765,INDEX(MineScale,C765),"")</f>
        <v/>
      </c>
      <c r="L765">
        <f>IF(B765,INDEX(Dow,1,WEEKDAY(E765,2)),"")</f>
        <v/>
      </c>
      <c r="M765">
        <f>IF(B765,(1+Trend)^D765,"")</f>
        <v/>
      </c>
      <c r="N765">
        <f>IF(B765,EXP(SUMPRODUCT(LN(1+(EvEff-1)*INDEX(Affected,0,C765)*EXP(-((E765-EvCenter)^2)/(2*EvSigma^2))))),"")</f>
        <v/>
      </c>
      <c r="O765">
        <f>IF(B765,ROUND(MAX(0,J765*K765*L765*M765*N765),2),"")</f>
        <v/>
      </c>
    </row>
    <row r="766">
      <c r="A766" t="n">
        <v>765</v>
      </c>
      <c r="B766">
        <f>A766&lt;=MineCount*Days</f>
        <v/>
      </c>
      <c r="C766">
        <f>IF(B766,INT((A766-1)/Days)+1,"")</f>
        <v/>
      </c>
      <c r="D766">
        <f>IF(B766,MOD(A766-1,Days),"")</f>
        <v/>
      </c>
      <c r="E766" s="16">
        <f>IF(B766,StartDate+D766,"")</f>
        <v/>
      </c>
      <c r="F766">
        <f>IF(B766,MAX(MOD(SIN(Seed*0.1373+C766*12.9898+D766*78.233)*43758.5453,1),1E-9),"")</f>
        <v/>
      </c>
      <c r="G766">
        <f>IF(B766,MOD(SIN(Seed*0.5917+C766*39.3468+D766*11.135)*24634.6345,1),"")</f>
        <v/>
      </c>
      <c r="H766">
        <f>IF(B766,SQRT(-2*LN(F766))*COS(2*PI()*G766),"")</f>
        <v/>
      </c>
      <c r="I766">
        <f>IF(B766,IF(D766=0,H766,Rho*I765+SQRT(1-Rho^2)*H766),"")</f>
        <v/>
      </c>
      <c r="J766">
        <f>IF(B766,IF(Dist="Normal",DistA+DistB*I766,DistA+(DistB-DistA)*NORMSDIST(I766)),"")</f>
        <v/>
      </c>
      <c r="K766">
        <f>IF(B766,INDEX(MineScale,C766),"")</f>
        <v/>
      </c>
      <c r="L766">
        <f>IF(B766,INDEX(Dow,1,WEEKDAY(E766,2)),"")</f>
        <v/>
      </c>
      <c r="M766">
        <f>IF(B766,(1+Trend)^D766,"")</f>
        <v/>
      </c>
      <c r="N766">
        <f>IF(B766,EXP(SUMPRODUCT(LN(1+(EvEff-1)*INDEX(Affected,0,C766)*EXP(-((E766-EvCenter)^2)/(2*EvSigma^2))))),"")</f>
        <v/>
      </c>
      <c r="O766">
        <f>IF(B766,ROUND(MAX(0,J766*K766*L766*M766*N766),2),"")</f>
        <v/>
      </c>
    </row>
    <row r="767">
      <c r="A767" t="n">
        <v>766</v>
      </c>
      <c r="B767">
        <f>A767&lt;=MineCount*Days</f>
        <v/>
      </c>
      <c r="C767">
        <f>IF(B767,INT((A767-1)/Days)+1,"")</f>
        <v/>
      </c>
      <c r="D767">
        <f>IF(B767,MOD(A767-1,Days),"")</f>
        <v/>
      </c>
      <c r="E767" s="16">
        <f>IF(B767,StartDate+D767,"")</f>
        <v/>
      </c>
      <c r="F767">
        <f>IF(B767,MAX(MOD(SIN(Seed*0.1373+C767*12.9898+D767*78.233)*43758.5453,1),1E-9),"")</f>
        <v/>
      </c>
      <c r="G767">
        <f>IF(B767,MOD(SIN(Seed*0.5917+C767*39.3468+D767*11.135)*24634.6345,1),"")</f>
        <v/>
      </c>
      <c r="H767">
        <f>IF(B767,SQRT(-2*LN(F767))*COS(2*PI()*G767),"")</f>
        <v/>
      </c>
      <c r="I767">
        <f>IF(B767,IF(D767=0,H767,Rho*I766+SQRT(1-Rho^2)*H767),"")</f>
        <v/>
      </c>
      <c r="J767">
        <f>IF(B767,IF(Dist="Normal",DistA+DistB*I767,DistA+(DistB-DistA)*NORMSDIST(I767)),"")</f>
        <v/>
      </c>
      <c r="K767">
        <f>IF(B767,INDEX(MineScale,C767),"")</f>
        <v/>
      </c>
      <c r="L767">
        <f>IF(B767,INDEX(Dow,1,WEEKDAY(E767,2)),"")</f>
        <v/>
      </c>
      <c r="M767">
        <f>IF(B767,(1+Trend)^D767,"")</f>
        <v/>
      </c>
      <c r="N767">
        <f>IF(B767,EXP(SUMPRODUCT(LN(1+(EvEff-1)*INDEX(Affected,0,C767)*EXP(-((E767-EvCenter)^2)/(2*EvSigma^2))))),"")</f>
        <v/>
      </c>
      <c r="O767">
        <f>IF(B767,ROUND(MAX(0,J767*K767*L767*M767*N767),2),"")</f>
        <v/>
      </c>
    </row>
    <row r="768">
      <c r="A768" t="n">
        <v>767</v>
      </c>
      <c r="B768">
        <f>A768&lt;=MineCount*Days</f>
        <v/>
      </c>
      <c r="C768">
        <f>IF(B768,INT((A768-1)/Days)+1,"")</f>
        <v/>
      </c>
      <c r="D768">
        <f>IF(B768,MOD(A768-1,Days),"")</f>
        <v/>
      </c>
      <c r="E768" s="16">
        <f>IF(B768,StartDate+D768,"")</f>
        <v/>
      </c>
      <c r="F768">
        <f>IF(B768,MAX(MOD(SIN(Seed*0.1373+C768*12.9898+D768*78.233)*43758.5453,1),1E-9),"")</f>
        <v/>
      </c>
      <c r="G768">
        <f>IF(B768,MOD(SIN(Seed*0.5917+C768*39.3468+D768*11.135)*24634.6345,1),"")</f>
        <v/>
      </c>
      <c r="H768">
        <f>IF(B768,SQRT(-2*LN(F768))*COS(2*PI()*G768),"")</f>
        <v/>
      </c>
      <c r="I768">
        <f>IF(B768,IF(D768=0,H768,Rho*I767+SQRT(1-Rho^2)*H768),"")</f>
        <v/>
      </c>
      <c r="J768">
        <f>IF(B768,IF(Dist="Normal",DistA+DistB*I768,DistA+(DistB-DistA)*NORMSDIST(I768)),"")</f>
        <v/>
      </c>
      <c r="K768">
        <f>IF(B768,INDEX(MineScale,C768),"")</f>
        <v/>
      </c>
      <c r="L768">
        <f>IF(B768,INDEX(Dow,1,WEEKDAY(E768,2)),"")</f>
        <v/>
      </c>
      <c r="M768">
        <f>IF(B768,(1+Trend)^D768,"")</f>
        <v/>
      </c>
      <c r="N768">
        <f>IF(B768,EXP(SUMPRODUCT(LN(1+(EvEff-1)*INDEX(Affected,0,C768)*EXP(-((E768-EvCenter)^2)/(2*EvSigma^2))))),"")</f>
        <v/>
      </c>
      <c r="O768">
        <f>IF(B768,ROUND(MAX(0,J768*K768*L768*M768*N768),2),"")</f>
        <v/>
      </c>
    </row>
    <row r="769">
      <c r="A769" t="n">
        <v>768</v>
      </c>
      <c r="B769">
        <f>A769&lt;=MineCount*Days</f>
        <v/>
      </c>
      <c r="C769">
        <f>IF(B769,INT((A769-1)/Days)+1,"")</f>
        <v/>
      </c>
      <c r="D769">
        <f>IF(B769,MOD(A769-1,Days),"")</f>
        <v/>
      </c>
      <c r="E769" s="16">
        <f>IF(B769,StartDate+D769,"")</f>
        <v/>
      </c>
      <c r="F769">
        <f>IF(B769,MAX(MOD(SIN(Seed*0.1373+C769*12.9898+D769*78.233)*43758.5453,1),1E-9),"")</f>
        <v/>
      </c>
      <c r="G769">
        <f>IF(B769,MOD(SIN(Seed*0.5917+C769*39.3468+D769*11.135)*24634.6345,1),"")</f>
        <v/>
      </c>
      <c r="H769">
        <f>IF(B769,SQRT(-2*LN(F769))*COS(2*PI()*G769),"")</f>
        <v/>
      </c>
      <c r="I769">
        <f>IF(B769,IF(D769=0,H769,Rho*I768+SQRT(1-Rho^2)*H769),"")</f>
        <v/>
      </c>
      <c r="J769">
        <f>IF(B769,IF(Dist="Normal",DistA+DistB*I769,DistA+(DistB-DistA)*NORMSDIST(I769)),"")</f>
        <v/>
      </c>
      <c r="K769">
        <f>IF(B769,INDEX(MineScale,C769),"")</f>
        <v/>
      </c>
      <c r="L769">
        <f>IF(B769,INDEX(Dow,1,WEEKDAY(E769,2)),"")</f>
        <v/>
      </c>
      <c r="M769">
        <f>IF(B769,(1+Trend)^D769,"")</f>
        <v/>
      </c>
      <c r="N769">
        <f>IF(B769,EXP(SUMPRODUCT(LN(1+(EvEff-1)*INDEX(Affected,0,C769)*EXP(-((E769-EvCenter)^2)/(2*EvSigma^2))))),"")</f>
        <v/>
      </c>
      <c r="O769">
        <f>IF(B769,ROUND(MAX(0,J769*K769*L769*M769*N769),2),"")</f>
        <v/>
      </c>
    </row>
    <row r="770">
      <c r="A770" t="n">
        <v>769</v>
      </c>
      <c r="B770">
        <f>A770&lt;=MineCount*Days</f>
        <v/>
      </c>
      <c r="C770">
        <f>IF(B770,INT((A770-1)/Days)+1,"")</f>
        <v/>
      </c>
      <c r="D770">
        <f>IF(B770,MOD(A770-1,Days),"")</f>
        <v/>
      </c>
      <c r="E770" s="16">
        <f>IF(B770,StartDate+D770,"")</f>
        <v/>
      </c>
      <c r="F770">
        <f>IF(B770,MAX(MOD(SIN(Seed*0.1373+C770*12.9898+D770*78.233)*43758.5453,1),1E-9),"")</f>
        <v/>
      </c>
      <c r="G770">
        <f>IF(B770,MOD(SIN(Seed*0.5917+C770*39.3468+D770*11.135)*24634.6345,1),"")</f>
        <v/>
      </c>
      <c r="H770">
        <f>IF(B770,SQRT(-2*LN(F770))*COS(2*PI()*G770),"")</f>
        <v/>
      </c>
      <c r="I770">
        <f>IF(B770,IF(D770=0,H770,Rho*I769+SQRT(1-Rho^2)*H770),"")</f>
        <v/>
      </c>
      <c r="J770">
        <f>IF(B770,IF(Dist="Normal",DistA+DistB*I770,DistA+(DistB-DistA)*NORMSDIST(I770)),"")</f>
        <v/>
      </c>
      <c r="K770">
        <f>IF(B770,INDEX(MineScale,C770),"")</f>
        <v/>
      </c>
      <c r="L770">
        <f>IF(B770,INDEX(Dow,1,WEEKDAY(E770,2)),"")</f>
        <v/>
      </c>
      <c r="M770">
        <f>IF(B770,(1+Trend)^D770,"")</f>
        <v/>
      </c>
      <c r="N770">
        <f>IF(B770,EXP(SUMPRODUCT(LN(1+(EvEff-1)*INDEX(Affected,0,C770)*EXP(-((E770-EvCenter)^2)/(2*EvSigma^2))))),"")</f>
        <v/>
      </c>
      <c r="O770">
        <f>IF(B770,ROUND(MAX(0,J770*K770*L770*M770*N770),2),"")</f>
        <v/>
      </c>
    </row>
    <row r="771">
      <c r="A771" t="n">
        <v>770</v>
      </c>
      <c r="B771">
        <f>A771&lt;=MineCount*Days</f>
        <v/>
      </c>
      <c r="C771">
        <f>IF(B771,INT((A771-1)/Days)+1,"")</f>
        <v/>
      </c>
      <c r="D771">
        <f>IF(B771,MOD(A771-1,Days),"")</f>
        <v/>
      </c>
      <c r="E771" s="16">
        <f>IF(B771,StartDate+D771,"")</f>
        <v/>
      </c>
      <c r="F771">
        <f>IF(B771,MAX(MOD(SIN(Seed*0.1373+C771*12.9898+D771*78.233)*43758.5453,1),1E-9),"")</f>
        <v/>
      </c>
      <c r="G771">
        <f>IF(B771,MOD(SIN(Seed*0.5917+C771*39.3468+D771*11.135)*24634.6345,1),"")</f>
        <v/>
      </c>
      <c r="H771">
        <f>IF(B771,SQRT(-2*LN(F771))*COS(2*PI()*G771),"")</f>
        <v/>
      </c>
      <c r="I771">
        <f>IF(B771,IF(D771=0,H771,Rho*I770+SQRT(1-Rho^2)*H771),"")</f>
        <v/>
      </c>
      <c r="J771">
        <f>IF(B771,IF(Dist="Normal",DistA+DistB*I771,DistA+(DistB-DistA)*NORMSDIST(I771)),"")</f>
        <v/>
      </c>
      <c r="K771">
        <f>IF(B771,INDEX(MineScale,C771),"")</f>
        <v/>
      </c>
      <c r="L771">
        <f>IF(B771,INDEX(Dow,1,WEEKDAY(E771,2)),"")</f>
        <v/>
      </c>
      <c r="M771">
        <f>IF(B771,(1+Trend)^D771,"")</f>
        <v/>
      </c>
      <c r="N771">
        <f>IF(B771,EXP(SUMPRODUCT(LN(1+(EvEff-1)*INDEX(Affected,0,C771)*EXP(-((E771-EvCenter)^2)/(2*EvSigma^2))))),"")</f>
        <v/>
      </c>
      <c r="O771">
        <f>IF(B771,ROUND(MAX(0,J771*K771*L771*M771*N771),2),"")</f>
        <v/>
      </c>
    </row>
    <row r="772">
      <c r="A772" t="n">
        <v>771</v>
      </c>
      <c r="B772">
        <f>A772&lt;=MineCount*Days</f>
        <v/>
      </c>
      <c r="C772">
        <f>IF(B772,INT((A772-1)/Days)+1,"")</f>
        <v/>
      </c>
      <c r="D772">
        <f>IF(B772,MOD(A772-1,Days),"")</f>
        <v/>
      </c>
      <c r="E772" s="16">
        <f>IF(B772,StartDate+D772,"")</f>
        <v/>
      </c>
      <c r="F772">
        <f>IF(B772,MAX(MOD(SIN(Seed*0.1373+C772*12.9898+D772*78.233)*43758.5453,1),1E-9),"")</f>
        <v/>
      </c>
      <c r="G772">
        <f>IF(B772,MOD(SIN(Seed*0.5917+C772*39.3468+D772*11.135)*24634.6345,1),"")</f>
        <v/>
      </c>
      <c r="H772">
        <f>IF(B772,SQRT(-2*LN(F772))*COS(2*PI()*G772),"")</f>
        <v/>
      </c>
      <c r="I772">
        <f>IF(B772,IF(D772=0,H772,Rho*I771+SQRT(1-Rho^2)*H772),"")</f>
        <v/>
      </c>
      <c r="J772">
        <f>IF(B772,IF(Dist="Normal",DistA+DistB*I772,DistA+(DistB-DistA)*NORMSDIST(I772)),"")</f>
        <v/>
      </c>
      <c r="K772">
        <f>IF(B772,INDEX(MineScale,C772),"")</f>
        <v/>
      </c>
      <c r="L772">
        <f>IF(B772,INDEX(Dow,1,WEEKDAY(E772,2)),"")</f>
        <v/>
      </c>
      <c r="M772">
        <f>IF(B772,(1+Trend)^D772,"")</f>
        <v/>
      </c>
      <c r="N772">
        <f>IF(B772,EXP(SUMPRODUCT(LN(1+(EvEff-1)*INDEX(Affected,0,C772)*EXP(-((E772-EvCenter)^2)/(2*EvSigma^2))))),"")</f>
        <v/>
      </c>
      <c r="O772">
        <f>IF(B772,ROUND(MAX(0,J772*K772*L772*M772*N772),2),"")</f>
        <v/>
      </c>
    </row>
    <row r="773">
      <c r="A773" t="n">
        <v>772</v>
      </c>
      <c r="B773">
        <f>A773&lt;=MineCount*Days</f>
        <v/>
      </c>
      <c r="C773">
        <f>IF(B773,INT((A773-1)/Days)+1,"")</f>
        <v/>
      </c>
      <c r="D773">
        <f>IF(B773,MOD(A773-1,Days),"")</f>
        <v/>
      </c>
      <c r="E773" s="16">
        <f>IF(B773,StartDate+D773,"")</f>
        <v/>
      </c>
      <c r="F773">
        <f>IF(B773,MAX(MOD(SIN(Seed*0.1373+C773*12.9898+D773*78.233)*43758.5453,1),1E-9),"")</f>
        <v/>
      </c>
      <c r="G773">
        <f>IF(B773,MOD(SIN(Seed*0.5917+C773*39.3468+D773*11.135)*24634.6345,1),"")</f>
        <v/>
      </c>
      <c r="H773">
        <f>IF(B773,SQRT(-2*LN(F773))*COS(2*PI()*G773),"")</f>
        <v/>
      </c>
      <c r="I773">
        <f>IF(B773,IF(D773=0,H773,Rho*I772+SQRT(1-Rho^2)*H773),"")</f>
        <v/>
      </c>
      <c r="J773">
        <f>IF(B773,IF(Dist="Normal",DistA+DistB*I773,DistA+(DistB-DistA)*NORMSDIST(I773)),"")</f>
        <v/>
      </c>
      <c r="K773">
        <f>IF(B773,INDEX(MineScale,C773),"")</f>
        <v/>
      </c>
      <c r="L773">
        <f>IF(B773,INDEX(Dow,1,WEEKDAY(E773,2)),"")</f>
        <v/>
      </c>
      <c r="M773">
        <f>IF(B773,(1+Trend)^D773,"")</f>
        <v/>
      </c>
      <c r="N773">
        <f>IF(B773,EXP(SUMPRODUCT(LN(1+(EvEff-1)*INDEX(Affected,0,C773)*EXP(-((E773-EvCenter)^2)/(2*EvSigma^2))))),"")</f>
        <v/>
      </c>
      <c r="O773">
        <f>IF(B773,ROUND(MAX(0,J773*K773*L773*M773*N773),2),"")</f>
        <v/>
      </c>
    </row>
    <row r="774">
      <c r="A774" t="n">
        <v>773</v>
      </c>
      <c r="B774">
        <f>A774&lt;=MineCount*Days</f>
        <v/>
      </c>
      <c r="C774">
        <f>IF(B774,INT((A774-1)/Days)+1,"")</f>
        <v/>
      </c>
      <c r="D774">
        <f>IF(B774,MOD(A774-1,Days),"")</f>
        <v/>
      </c>
      <c r="E774" s="16">
        <f>IF(B774,StartDate+D774,"")</f>
        <v/>
      </c>
      <c r="F774">
        <f>IF(B774,MAX(MOD(SIN(Seed*0.1373+C774*12.9898+D774*78.233)*43758.5453,1),1E-9),"")</f>
        <v/>
      </c>
      <c r="G774">
        <f>IF(B774,MOD(SIN(Seed*0.5917+C774*39.3468+D774*11.135)*24634.6345,1),"")</f>
        <v/>
      </c>
      <c r="H774">
        <f>IF(B774,SQRT(-2*LN(F774))*COS(2*PI()*G774),"")</f>
        <v/>
      </c>
      <c r="I774">
        <f>IF(B774,IF(D774=0,H774,Rho*I773+SQRT(1-Rho^2)*H774),"")</f>
        <v/>
      </c>
      <c r="J774">
        <f>IF(B774,IF(Dist="Normal",DistA+DistB*I774,DistA+(DistB-DistA)*NORMSDIST(I774)),"")</f>
        <v/>
      </c>
      <c r="K774">
        <f>IF(B774,INDEX(MineScale,C774),"")</f>
        <v/>
      </c>
      <c r="L774">
        <f>IF(B774,INDEX(Dow,1,WEEKDAY(E774,2)),"")</f>
        <v/>
      </c>
      <c r="M774">
        <f>IF(B774,(1+Trend)^D774,"")</f>
        <v/>
      </c>
      <c r="N774">
        <f>IF(B774,EXP(SUMPRODUCT(LN(1+(EvEff-1)*INDEX(Affected,0,C774)*EXP(-((E774-EvCenter)^2)/(2*EvSigma^2))))),"")</f>
        <v/>
      </c>
      <c r="O774">
        <f>IF(B774,ROUND(MAX(0,J774*K774*L774*M774*N774),2),"")</f>
        <v/>
      </c>
    </row>
    <row r="775">
      <c r="A775" t="n">
        <v>774</v>
      </c>
      <c r="B775">
        <f>A775&lt;=MineCount*Days</f>
        <v/>
      </c>
      <c r="C775">
        <f>IF(B775,INT((A775-1)/Days)+1,"")</f>
        <v/>
      </c>
      <c r="D775">
        <f>IF(B775,MOD(A775-1,Days),"")</f>
        <v/>
      </c>
      <c r="E775" s="16">
        <f>IF(B775,StartDate+D775,"")</f>
        <v/>
      </c>
      <c r="F775">
        <f>IF(B775,MAX(MOD(SIN(Seed*0.1373+C775*12.9898+D775*78.233)*43758.5453,1),1E-9),"")</f>
        <v/>
      </c>
      <c r="G775">
        <f>IF(B775,MOD(SIN(Seed*0.5917+C775*39.3468+D775*11.135)*24634.6345,1),"")</f>
        <v/>
      </c>
      <c r="H775">
        <f>IF(B775,SQRT(-2*LN(F775))*COS(2*PI()*G775),"")</f>
        <v/>
      </c>
      <c r="I775">
        <f>IF(B775,IF(D775=0,H775,Rho*I774+SQRT(1-Rho^2)*H775),"")</f>
        <v/>
      </c>
      <c r="J775">
        <f>IF(B775,IF(Dist="Normal",DistA+DistB*I775,DistA+(DistB-DistA)*NORMSDIST(I775)),"")</f>
        <v/>
      </c>
      <c r="K775">
        <f>IF(B775,INDEX(MineScale,C775),"")</f>
        <v/>
      </c>
      <c r="L775">
        <f>IF(B775,INDEX(Dow,1,WEEKDAY(E775,2)),"")</f>
        <v/>
      </c>
      <c r="M775">
        <f>IF(B775,(1+Trend)^D775,"")</f>
        <v/>
      </c>
      <c r="N775">
        <f>IF(B775,EXP(SUMPRODUCT(LN(1+(EvEff-1)*INDEX(Affected,0,C775)*EXP(-((E775-EvCenter)^2)/(2*EvSigma^2))))),"")</f>
        <v/>
      </c>
      <c r="O775">
        <f>IF(B775,ROUND(MAX(0,J775*K775*L775*M775*N775),2),"")</f>
        <v/>
      </c>
    </row>
    <row r="776">
      <c r="A776" t="n">
        <v>775</v>
      </c>
      <c r="B776">
        <f>A776&lt;=MineCount*Days</f>
        <v/>
      </c>
      <c r="C776">
        <f>IF(B776,INT((A776-1)/Days)+1,"")</f>
        <v/>
      </c>
      <c r="D776">
        <f>IF(B776,MOD(A776-1,Days),"")</f>
        <v/>
      </c>
      <c r="E776" s="16">
        <f>IF(B776,StartDate+D776,"")</f>
        <v/>
      </c>
      <c r="F776">
        <f>IF(B776,MAX(MOD(SIN(Seed*0.1373+C776*12.9898+D776*78.233)*43758.5453,1),1E-9),"")</f>
        <v/>
      </c>
      <c r="G776">
        <f>IF(B776,MOD(SIN(Seed*0.5917+C776*39.3468+D776*11.135)*24634.6345,1),"")</f>
        <v/>
      </c>
      <c r="H776">
        <f>IF(B776,SQRT(-2*LN(F776))*COS(2*PI()*G776),"")</f>
        <v/>
      </c>
      <c r="I776">
        <f>IF(B776,IF(D776=0,H776,Rho*I775+SQRT(1-Rho^2)*H776),"")</f>
        <v/>
      </c>
      <c r="J776">
        <f>IF(B776,IF(Dist="Normal",DistA+DistB*I776,DistA+(DistB-DistA)*NORMSDIST(I776)),"")</f>
        <v/>
      </c>
      <c r="K776">
        <f>IF(B776,INDEX(MineScale,C776),"")</f>
        <v/>
      </c>
      <c r="L776">
        <f>IF(B776,INDEX(Dow,1,WEEKDAY(E776,2)),"")</f>
        <v/>
      </c>
      <c r="M776">
        <f>IF(B776,(1+Trend)^D776,"")</f>
        <v/>
      </c>
      <c r="N776">
        <f>IF(B776,EXP(SUMPRODUCT(LN(1+(EvEff-1)*INDEX(Affected,0,C776)*EXP(-((E776-EvCenter)^2)/(2*EvSigma^2))))),"")</f>
        <v/>
      </c>
      <c r="O776">
        <f>IF(B776,ROUND(MAX(0,J776*K776*L776*M776*N776),2),"")</f>
        <v/>
      </c>
    </row>
    <row r="777">
      <c r="A777" t="n">
        <v>776</v>
      </c>
      <c r="B777">
        <f>A777&lt;=MineCount*Days</f>
        <v/>
      </c>
      <c r="C777">
        <f>IF(B777,INT((A777-1)/Days)+1,"")</f>
        <v/>
      </c>
      <c r="D777">
        <f>IF(B777,MOD(A777-1,Days),"")</f>
        <v/>
      </c>
      <c r="E777" s="16">
        <f>IF(B777,StartDate+D777,"")</f>
        <v/>
      </c>
      <c r="F777">
        <f>IF(B777,MAX(MOD(SIN(Seed*0.1373+C777*12.9898+D777*78.233)*43758.5453,1),1E-9),"")</f>
        <v/>
      </c>
      <c r="G777">
        <f>IF(B777,MOD(SIN(Seed*0.5917+C777*39.3468+D777*11.135)*24634.6345,1),"")</f>
        <v/>
      </c>
      <c r="H777">
        <f>IF(B777,SQRT(-2*LN(F777))*COS(2*PI()*G777),"")</f>
        <v/>
      </c>
      <c r="I777">
        <f>IF(B777,IF(D777=0,H777,Rho*I776+SQRT(1-Rho^2)*H777),"")</f>
        <v/>
      </c>
      <c r="J777">
        <f>IF(B777,IF(Dist="Normal",DistA+DistB*I777,DistA+(DistB-DistA)*NORMSDIST(I777)),"")</f>
        <v/>
      </c>
      <c r="K777">
        <f>IF(B777,INDEX(MineScale,C777),"")</f>
        <v/>
      </c>
      <c r="L777">
        <f>IF(B777,INDEX(Dow,1,WEEKDAY(E777,2)),"")</f>
        <v/>
      </c>
      <c r="M777">
        <f>IF(B777,(1+Trend)^D777,"")</f>
        <v/>
      </c>
      <c r="N777">
        <f>IF(B777,EXP(SUMPRODUCT(LN(1+(EvEff-1)*INDEX(Affected,0,C777)*EXP(-((E777-EvCenter)^2)/(2*EvSigma^2))))),"")</f>
        <v/>
      </c>
      <c r="O777">
        <f>IF(B777,ROUND(MAX(0,J777*K777*L777*M777*N777),2),"")</f>
        <v/>
      </c>
    </row>
    <row r="778">
      <c r="A778" t="n">
        <v>777</v>
      </c>
      <c r="B778">
        <f>A778&lt;=MineCount*Days</f>
        <v/>
      </c>
      <c r="C778">
        <f>IF(B778,INT((A778-1)/Days)+1,"")</f>
        <v/>
      </c>
      <c r="D778">
        <f>IF(B778,MOD(A778-1,Days),"")</f>
        <v/>
      </c>
      <c r="E778" s="16">
        <f>IF(B778,StartDate+D778,"")</f>
        <v/>
      </c>
      <c r="F778">
        <f>IF(B778,MAX(MOD(SIN(Seed*0.1373+C778*12.9898+D778*78.233)*43758.5453,1),1E-9),"")</f>
        <v/>
      </c>
      <c r="G778">
        <f>IF(B778,MOD(SIN(Seed*0.5917+C778*39.3468+D778*11.135)*24634.6345,1),"")</f>
        <v/>
      </c>
      <c r="H778">
        <f>IF(B778,SQRT(-2*LN(F778))*COS(2*PI()*G778),"")</f>
        <v/>
      </c>
      <c r="I778">
        <f>IF(B778,IF(D778=0,H778,Rho*I777+SQRT(1-Rho^2)*H778),"")</f>
        <v/>
      </c>
      <c r="J778">
        <f>IF(B778,IF(Dist="Normal",DistA+DistB*I778,DistA+(DistB-DistA)*NORMSDIST(I778)),"")</f>
        <v/>
      </c>
      <c r="K778">
        <f>IF(B778,INDEX(MineScale,C778),"")</f>
        <v/>
      </c>
      <c r="L778">
        <f>IF(B778,INDEX(Dow,1,WEEKDAY(E778,2)),"")</f>
        <v/>
      </c>
      <c r="M778">
        <f>IF(B778,(1+Trend)^D778,"")</f>
        <v/>
      </c>
      <c r="N778">
        <f>IF(B778,EXP(SUMPRODUCT(LN(1+(EvEff-1)*INDEX(Affected,0,C778)*EXP(-((E778-EvCenter)^2)/(2*EvSigma^2))))),"")</f>
        <v/>
      </c>
      <c r="O778">
        <f>IF(B778,ROUND(MAX(0,J778*K778*L778*M778*N778),2),"")</f>
        <v/>
      </c>
    </row>
    <row r="779">
      <c r="A779" t="n">
        <v>778</v>
      </c>
      <c r="B779">
        <f>A779&lt;=MineCount*Days</f>
        <v/>
      </c>
      <c r="C779">
        <f>IF(B779,INT((A779-1)/Days)+1,"")</f>
        <v/>
      </c>
      <c r="D779">
        <f>IF(B779,MOD(A779-1,Days),"")</f>
        <v/>
      </c>
      <c r="E779" s="16">
        <f>IF(B779,StartDate+D779,"")</f>
        <v/>
      </c>
      <c r="F779">
        <f>IF(B779,MAX(MOD(SIN(Seed*0.1373+C779*12.9898+D779*78.233)*43758.5453,1),1E-9),"")</f>
        <v/>
      </c>
      <c r="G779">
        <f>IF(B779,MOD(SIN(Seed*0.5917+C779*39.3468+D779*11.135)*24634.6345,1),"")</f>
        <v/>
      </c>
      <c r="H779">
        <f>IF(B779,SQRT(-2*LN(F779))*COS(2*PI()*G779),"")</f>
        <v/>
      </c>
      <c r="I779">
        <f>IF(B779,IF(D779=0,H779,Rho*I778+SQRT(1-Rho^2)*H779),"")</f>
        <v/>
      </c>
      <c r="J779">
        <f>IF(B779,IF(Dist="Normal",DistA+DistB*I779,DistA+(DistB-DistA)*NORMSDIST(I779)),"")</f>
        <v/>
      </c>
      <c r="K779">
        <f>IF(B779,INDEX(MineScale,C779),"")</f>
        <v/>
      </c>
      <c r="L779">
        <f>IF(B779,INDEX(Dow,1,WEEKDAY(E779,2)),"")</f>
        <v/>
      </c>
      <c r="M779">
        <f>IF(B779,(1+Trend)^D779,"")</f>
        <v/>
      </c>
      <c r="N779">
        <f>IF(B779,EXP(SUMPRODUCT(LN(1+(EvEff-1)*INDEX(Affected,0,C779)*EXP(-((E779-EvCenter)^2)/(2*EvSigma^2))))),"")</f>
        <v/>
      </c>
      <c r="O779">
        <f>IF(B779,ROUND(MAX(0,J779*K779*L779*M779*N779),2),"")</f>
        <v/>
      </c>
    </row>
    <row r="780">
      <c r="A780" t="n">
        <v>779</v>
      </c>
      <c r="B780">
        <f>A780&lt;=MineCount*Days</f>
        <v/>
      </c>
      <c r="C780">
        <f>IF(B780,INT((A780-1)/Days)+1,"")</f>
        <v/>
      </c>
      <c r="D780">
        <f>IF(B780,MOD(A780-1,Days),"")</f>
        <v/>
      </c>
      <c r="E780" s="16">
        <f>IF(B780,StartDate+D780,"")</f>
        <v/>
      </c>
      <c r="F780">
        <f>IF(B780,MAX(MOD(SIN(Seed*0.1373+C780*12.9898+D780*78.233)*43758.5453,1),1E-9),"")</f>
        <v/>
      </c>
      <c r="G780">
        <f>IF(B780,MOD(SIN(Seed*0.5917+C780*39.3468+D780*11.135)*24634.6345,1),"")</f>
        <v/>
      </c>
      <c r="H780">
        <f>IF(B780,SQRT(-2*LN(F780))*COS(2*PI()*G780),"")</f>
        <v/>
      </c>
      <c r="I780">
        <f>IF(B780,IF(D780=0,H780,Rho*I779+SQRT(1-Rho^2)*H780),"")</f>
        <v/>
      </c>
      <c r="J780">
        <f>IF(B780,IF(Dist="Normal",DistA+DistB*I780,DistA+(DistB-DistA)*NORMSDIST(I780)),"")</f>
        <v/>
      </c>
      <c r="K780">
        <f>IF(B780,INDEX(MineScale,C780),"")</f>
        <v/>
      </c>
      <c r="L780">
        <f>IF(B780,INDEX(Dow,1,WEEKDAY(E780,2)),"")</f>
        <v/>
      </c>
      <c r="M780">
        <f>IF(B780,(1+Trend)^D780,"")</f>
        <v/>
      </c>
      <c r="N780">
        <f>IF(B780,EXP(SUMPRODUCT(LN(1+(EvEff-1)*INDEX(Affected,0,C780)*EXP(-((E780-EvCenter)^2)/(2*EvSigma^2))))),"")</f>
        <v/>
      </c>
      <c r="O780">
        <f>IF(B780,ROUND(MAX(0,J780*K780*L780*M780*N780),2),"")</f>
        <v/>
      </c>
    </row>
    <row r="781">
      <c r="A781" t="n">
        <v>780</v>
      </c>
      <c r="B781">
        <f>A781&lt;=MineCount*Days</f>
        <v/>
      </c>
      <c r="C781">
        <f>IF(B781,INT((A781-1)/Days)+1,"")</f>
        <v/>
      </c>
      <c r="D781">
        <f>IF(B781,MOD(A781-1,Days),"")</f>
        <v/>
      </c>
      <c r="E781" s="16">
        <f>IF(B781,StartDate+D781,"")</f>
        <v/>
      </c>
      <c r="F781">
        <f>IF(B781,MAX(MOD(SIN(Seed*0.1373+C781*12.9898+D781*78.233)*43758.5453,1),1E-9),"")</f>
        <v/>
      </c>
      <c r="G781">
        <f>IF(B781,MOD(SIN(Seed*0.5917+C781*39.3468+D781*11.135)*24634.6345,1),"")</f>
        <v/>
      </c>
      <c r="H781">
        <f>IF(B781,SQRT(-2*LN(F781))*COS(2*PI()*G781),"")</f>
        <v/>
      </c>
      <c r="I781">
        <f>IF(B781,IF(D781=0,H781,Rho*I780+SQRT(1-Rho^2)*H781),"")</f>
        <v/>
      </c>
      <c r="J781">
        <f>IF(B781,IF(Dist="Normal",DistA+DistB*I781,DistA+(DistB-DistA)*NORMSDIST(I781)),"")</f>
        <v/>
      </c>
      <c r="K781">
        <f>IF(B781,INDEX(MineScale,C781),"")</f>
        <v/>
      </c>
      <c r="L781">
        <f>IF(B781,INDEX(Dow,1,WEEKDAY(E781,2)),"")</f>
        <v/>
      </c>
      <c r="M781">
        <f>IF(B781,(1+Trend)^D781,"")</f>
        <v/>
      </c>
      <c r="N781">
        <f>IF(B781,EXP(SUMPRODUCT(LN(1+(EvEff-1)*INDEX(Affected,0,C781)*EXP(-((E781-EvCenter)^2)/(2*EvSigma^2))))),"")</f>
        <v/>
      </c>
      <c r="O781">
        <f>IF(B781,ROUND(MAX(0,J781*K781*L781*M781*N781),2),"")</f>
        <v/>
      </c>
    </row>
    <row r="782">
      <c r="A782" t="n">
        <v>781</v>
      </c>
      <c r="B782">
        <f>A782&lt;=MineCount*Days</f>
        <v/>
      </c>
      <c r="C782">
        <f>IF(B782,INT((A782-1)/Days)+1,"")</f>
        <v/>
      </c>
      <c r="D782">
        <f>IF(B782,MOD(A782-1,Days),"")</f>
        <v/>
      </c>
      <c r="E782" s="16">
        <f>IF(B782,StartDate+D782,"")</f>
        <v/>
      </c>
      <c r="F782">
        <f>IF(B782,MAX(MOD(SIN(Seed*0.1373+C782*12.9898+D782*78.233)*43758.5453,1),1E-9),"")</f>
        <v/>
      </c>
      <c r="G782">
        <f>IF(B782,MOD(SIN(Seed*0.5917+C782*39.3468+D782*11.135)*24634.6345,1),"")</f>
        <v/>
      </c>
      <c r="H782">
        <f>IF(B782,SQRT(-2*LN(F782))*COS(2*PI()*G782),"")</f>
        <v/>
      </c>
      <c r="I782">
        <f>IF(B782,IF(D782=0,H782,Rho*I781+SQRT(1-Rho^2)*H782),"")</f>
        <v/>
      </c>
      <c r="J782">
        <f>IF(B782,IF(Dist="Normal",DistA+DistB*I782,DistA+(DistB-DistA)*NORMSDIST(I782)),"")</f>
        <v/>
      </c>
      <c r="K782">
        <f>IF(B782,INDEX(MineScale,C782),"")</f>
        <v/>
      </c>
      <c r="L782">
        <f>IF(B782,INDEX(Dow,1,WEEKDAY(E782,2)),"")</f>
        <v/>
      </c>
      <c r="M782">
        <f>IF(B782,(1+Trend)^D782,"")</f>
        <v/>
      </c>
      <c r="N782">
        <f>IF(B782,EXP(SUMPRODUCT(LN(1+(EvEff-1)*INDEX(Affected,0,C782)*EXP(-((E782-EvCenter)^2)/(2*EvSigma^2))))),"")</f>
        <v/>
      </c>
      <c r="O782">
        <f>IF(B782,ROUND(MAX(0,J782*K782*L782*M782*N782),2),"")</f>
        <v/>
      </c>
    </row>
    <row r="783">
      <c r="A783" t="n">
        <v>782</v>
      </c>
      <c r="B783">
        <f>A783&lt;=MineCount*Days</f>
        <v/>
      </c>
      <c r="C783">
        <f>IF(B783,INT((A783-1)/Days)+1,"")</f>
        <v/>
      </c>
      <c r="D783">
        <f>IF(B783,MOD(A783-1,Days),"")</f>
        <v/>
      </c>
      <c r="E783" s="16">
        <f>IF(B783,StartDate+D783,"")</f>
        <v/>
      </c>
      <c r="F783">
        <f>IF(B783,MAX(MOD(SIN(Seed*0.1373+C783*12.9898+D783*78.233)*43758.5453,1),1E-9),"")</f>
        <v/>
      </c>
      <c r="G783">
        <f>IF(B783,MOD(SIN(Seed*0.5917+C783*39.3468+D783*11.135)*24634.6345,1),"")</f>
        <v/>
      </c>
      <c r="H783">
        <f>IF(B783,SQRT(-2*LN(F783))*COS(2*PI()*G783),"")</f>
        <v/>
      </c>
      <c r="I783">
        <f>IF(B783,IF(D783=0,H783,Rho*I782+SQRT(1-Rho^2)*H783),"")</f>
        <v/>
      </c>
      <c r="J783">
        <f>IF(B783,IF(Dist="Normal",DistA+DistB*I783,DistA+(DistB-DistA)*NORMSDIST(I783)),"")</f>
        <v/>
      </c>
      <c r="K783">
        <f>IF(B783,INDEX(MineScale,C783),"")</f>
        <v/>
      </c>
      <c r="L783">
        <f>IF(B783,INDEX(Dow,1,WEEKDAY(E783,2)),"")</f>
        <v/>
      </c>
      <c r="M783">
        <f>IF(B783,(1+Trend)^D783,"")</f>
        <v/>
      </c>
      <c r="N783">
        <f>IF(B783,EXP(SUMPRODUCT(LN(1+(EvEff-1)*INDEX(Affected,0,C783)*EXP(-((E783-EvCenter)^2)/(2*EvSigma^2))))),"")</f>
        <v/>
      </c>
      <c r="O783">
        <f>IF(B783,ROUND(MAX(0,J783*K783*L783*M783*N783),2),"")</f>
        <v/>
      </c>
    </row>
    <row r="784">
      <c r="A784" t="n">
        <v>783</v>
      </c>
      <c r="B784">
        <f>A784&lt;=MineCount*Days</f>
        <v/>
      </c>
      <c r="C784">
        <f>IF(B784,INT((A784-1)/Days)+1,"")</f>
        <v/>
      </c>
      <c r="D784">
        <f>IF(B784,MOD(A784-1,Days),"")</f>
        <v/>
      </c>
      <c r="E784" s="16">
        <f>IF(B784,StartDate+D784,"")</f>
        <v/>
      </c>
      <c r="F784">
        <f>IF(B784,MAX(MOD(SIN(Seed*0.1373+C784*12.9898+D784*78.233)*43758.5453,1),1E-9),"")</f>
        <v/>
      </c>
      <c r="G784">
        <f>IF(B784,MOD(SIN(Seed*0.5917+C784*39.3468+D784*11.135)*24634.6345,1),"")</f>
        <v/>
      </c>
      <c r="H784">
        <f>IF(B784,SQRT(-2*LN(F784))*COS(2*PI()*G784),"")</f>
        <v/>
      </c>
      <c r="I784">
        <f>IF(B784,IF(D784=0,H784,Rho*I783+SQRT(1-Rho^2)*H784),"")</f>
        <v/>
      </c>
      <c r="J784">
        <f>IF(B784,IF(Dist="Normal",DistA+DistB*I784,DistA+(DistB-DistA)*NORMSDIST(I784)),"")</f>
        <v/>
      </c>
      <c r="K784">
        <f>IF(B784,INDEX(MineScale,C784),"")</f>
        <v/>
      </c>
      <c r="L784">
        <f>IF(B784,INDEX(Dow,1,WEEKDAY(E784,2)),"")</f>
        <v/>
      </c>
      <c r="M784">
        <f>IF(B784,(1+Trend)^D784,"")</f>
        <v/>
      </c>
      <c r="N784">
        <f>IF(B784,EXP(SUMPRODUCT(LN(1+(EvEff-1)*INDEX(Affected,0,C784)*EXP(-((E784-EvCenter)^2)/(2*EvSigma^2))))),"")</f>
        <v/>
      </c>
      <c r="O784">
        <f>IF(B784,ROUND(MAX(0,J784*K784*L784*M784*N784),2),"")</f>
        <v/>
      </c>
    </row>
    <row r="785">
      <c r="A785" t="n">
        <v>784</v>
      </c>
      <c r="B785">
        <f>A785&lt;=MineCount*Days</f>
        <v/>
      </c>
      <c r="C785">
        <f>IF(B785,INT((A785-1)/Days)+1,"")</f>
        <v/>
      </c>
      <c r="D785">
        <f>IF(B785,MOD(A785-1,Days),"")</f>
        <v/>
      </c>
      <c r="E785" s="16">
        <f>IF(B785,StartDate+D785,"")</f>
        <v/>
      </c>
      <c r="F785">
        <f>IF(B785,MAX(MOD(SIN(Seed*0.1373+C785*12.9898+D785*78.233)*43758.5453,1),1E-9),"")</f>
        <v/>
      </c>
      <c r="G785">
        <f>IF(B785,MOD(SIN(Seed*0.5917+C785*39.3468+D785*11.135)*24634.6345,1),"")</f>
        <v/>
      </c>
      <c r="H785">
        <f>IF(B785,SQRT(-2*LN(F785))*COS(2*PI()*G785),"")</f>
        <v/>
      </c>
      <c r="I785">
        <f>IF(B785,IF(D785=0,H785,Rho*I784+SQRT(1-Rho^2)*H785),"")</f>
        <v/>
      </c>
      <c r="J785">
        <f>IF(B785,IF(Dist="Normal",DistA+DistB*I785,DistA+(DistB-DistA)*NORMSDIST(I785)),"")</f>
        <v/>
      </c>
      <c r="K785">
        <f>IF(B785,INDEX(MineScale,C785),"")</f>
        <v/>
      </c>
      <c r="L785">
        <f>IF(B785,INDEX(Dow,1,WEEKDAY(E785,2)),"")</f>
        <v/>
      </c>
      <c r="M785">
        <f>IF(B785,(1+Trend)^D785,"")</f>
        <v/>
      </c>
      <c r="N785">
        <f>IF(B785,EXP(SUMPRODUCT(LN(1+(EvEff-1)*INDEX(Affected,0,C785)*EXP(-((E785-EvCenter)^2)/(2*EvSigma^2))))),"")</f>
        <v/>
      </c>
      <c r="O785">
        <f>IF(B785,ROUND(MAX(0,J785*K785*L785*M785*N785),2),"")</f>
        <v/>
      </c>
    </row>
    <row r="786">
      <c r="A786" t="n">
        <v>785</v>
      </c>
      <c r="B786">
        <f>A786&lt;=MineCount*Days</f>
        <v/>
      </c>
      <c r="C786">
        <f>IF(B786,INT((A786-1)/Days)+1,"")</f>
        <v/>
      </c>
      <c r="D786">
        <f>IF(B786,MOD(A786-1,Days),"")</f>
        <v/>
      </c>
      <c r="E786" s="16">
        <f>IF(B786,StartDate+D786,"")</f>
        <v/>
      </c>
      <c r="F786">
        <f>IF(B786,MAX(MOD(SIN(Seed*0.1373+C786*12.9898+D786*78.233)*43758.5453,1),1E-9),"")</f>
        <v/>
      </c>
      <c r="G786">
        <f>IF(B786,MOD(SIN(Seed*0.5917+C786*39.3468+D786*11.135)*24634.6345,1),"")</f>
        <v/>
      </c>
      <c r="H786">
        <f>IF(B786,SQRT(-2*LN(F786))*COS(2*PI()*G786),"")</f>
        <v/>
      </c>
      <c r="I786">
        <f>IF(B786,IF(D786=0,H786,Rho*I785+SQRT(1-Rho^2)*H786),"")</f>
        <v/>
      </c>
      <c r="J786">
        <f>IF(B786,IF(Dist="Normal",DistA+DistB*I786,DistA+(DistB-DistA)*NORMSDIST(I786)),"")</f>
        <v/>
      </c>
      <c r="K786">
        <f>IF(B786,INDEX(MineScale,C786),"")</f>
        <v/>
      </c>
      <c r="L786">
        <f>IF(B786,INDEX(Dow,1,WEEKDAY(E786,2)),"")</f>
        <v/>
      </c>
      <c r="M786">
        <f>IF(B786,(1+Trend)^D786,"")</f>
        <v/>
      </c>
      <c r="N786">
        <f>IF(B786,EXP(SUMPRODUCT(LN(1+(EvEff-1)*INDEX(Affected,0,C786)*EXP(-((E786-EvCenter)^2)/(2*EvSigma^2))))),"")</f>
        <v/>
      </c>
      <c r="O786">
        <f>IF(B786,ROUND(MAX(0,J786*K786*L786*M786*N786),2),"")</f>
        <v/>
      </c>
    </row>
    <row r="787">
      <c r="A787" t="n">
        <v>786</v>
      </c>
      <c r="B787">
        <f>A787&lt;=MineCount*Days</f>
        <v/>
      </c>
      <c r="C787">
        <f>IF(B787,INT((A787-1)/Days)+1,"")</f>
        <v/>
      </c>
      <c r="D787">
        <f>IF(B787,MOD(A787-1,Days),"")</f>
        <v/>
      </c>
      <c r="E787" s="16">
        <f>IF(B787,StartDate+D787,"")</f>
        <v/>
      </c>
      <c r="F787">
        <f>IF(B787,MAX(MOD(SIN(Seed*0.1373+C787*12.9898+D787*78.233)*43758.5453,1),1E-9),"")</f>
        <v/>
      </c>
      <c r="G787">
        <f>IF(B787,MOD(SIN(Seed*0.5917+C787*39.3468+D787*11.135)*24634.6345,1),"")</f>
        <v/>
      </c>
      <c r="H787">
        <f>IF(B787,SQRT(-2*LN(F787))*COS(2*PI()*G787),"")</f>
        <v/>
      </c>
      <c r="I787">
        <f>IF(B787,IF(D787=0,H787,Rho*I786+SQRT(1-Rho^2)*H787),"")</f>
        <v/>
      </c>
      <c r="J787">
        <f>IF(B787,IF(Dist="Normal",DistA+DistB*I787,DistA+(DistB-DistA)*NORMSDIST(I787)),"")</f>
        <v/>
      </c>
      <c r="K787">
        <f>IF(B787,INDEX(MineScale,C787),"")</f>
        <v/>
      </c>
      <c r="L787">
        <f>IF(B787,INDEX(Dow,1,WEEKDAY(E787,2)),"")</f>
        <v/>
      </c>
      <c r="M787">
        <f>IF(B787,(1+Trend)^D787,"")</f>
        <v/>
      </c>
      <c r="N787">
        <f>IF(B787,EXP(SUMPRODUCT(LN(1+(EvEff-1)*INDEX(Affected,0,C787)*EXP(-((E787-EvCenter)^2)/(2*EvSigma^2))))),"")</f>
        <v/>
      </c>
      <c r="O787">
        <f>IF(B787,ROUND(MAX(0,J787*K787*L787*M787*N787),2),"")</f>
        <v/>
      </c>
    </row>
    <row r="788">
      <c r="A788" t="n">
        <v>787</v>
      </c>
      <c r="B788">
        <f>A788&lt;=MineCount*Days</f>
        <v/>
      </c>
      <c r="C788">
        <f>IF(B788,INT((A788-1)/Days)+1,"")</f>
        <v/>
      </c>
      <c r="D788">
        <f>IF(B788,MOD(A788-1,Days),"")</f>
        <v/>
      </c>
      <c r="E788" s="16">
        <f>IF(B788,StartDate+D788,"")</f>
        <v/>
      </c>
      <c r="F788">
        <f>IF(B788,MAX(MOD(SIN(Seed*0.1373+C788*12.9898+D788*78.233)*43758.5453,1),1E-9),"")</f>
        <v/>
      </c>
      <c r="G788">
        <f>IF(B788,MOD(SIN(Seed*0.5917+C788*39.3468+D788*11.135)*24634.6345,1),"")</f>
        <v/>
      </c>
      <c r="H788">
        <f>IF(B788,SQRT(-2*LN(F788))*COS(2*PI()*G788),"")</f>
        <v/>
      </c>
      <c r="I788">
        <f>IF(B788,IF(D788=0,H788,Rho*I787+SQRT(1-Rho^2)*H788),"")</f>
        <v/>
      </c>
      <c r="J788">
        <f>IF(B788,IF(Dist="Normal",DistA+DistB*I788,DistA+(DistB-DistA)*NORMSDIST(I788)),"")</f>
        <v/>
      </c>
      <c r="K788">
        <f>IF(B788,INDEX(MineScale,C788),"")</f>
        <v/>
      </c>
      <c r="L788">
        <f>IF(B788,INDEX(Dow,1,WEEKDAY(E788,2)),"")</f>
        <v/>
      </c>
      <c r="M788">
        <f>IF(B788,(1+Trend)^D788,"")</f>
        <v/>
      </c>
      <c r="N788">
        <f>IF(B788,EXP(SUMPRODUCT(LN(1+(EvEff-1)*INDEX(Affected,0,C788)*EXP(-((E788-EvCenter)^2)/(2*EvSigma^2))))),"")</f>
        <v/>
      </c>
      <c r="O788">
        <f>IF(B788,ROUND(MAX(0,J788*K788*L788*M788*N788),2),"")</f>
        <v/>
      </c>
    </row>
    <row r="789">
      <c r="A789" t="n">
        <v>788</v>
      </c>
      <c r="B789">
        <f>A789&lt;=MineCount*Days</f>
        <v/>
      </c>
      <c r="C789">
        <f>IF(B789,INT((A789-1)/Days)+1,"")</f>
        <v/>
      </c>
      <c r="D789">
        <f>IF(B789,MOD(A789-1,Days),"")</f>
        <v/>
      </c>
      <c r="E789" s="16">
        <f>IF(B789,StartDate+D789,"")</f>
        <v/>
      </c>
      <c r="F789">
        <f>IF(B789,MAX(MOD(SIN(Seed*0.1373+C789*12.9898+D789*78.233)*43758.5453,1),1E-9),"")</f>
        <v/>
      </c>
      <c r="G789">
        <f>IF(B789,MOD(SIN(Seed*0.5917+C789*39.3468+D789*11.135)*24634.6345,1),"")</f>
        <v/>
      </c>
      <c r="H789">
        <f>IF(B789,SQRT(-2*LN(F789))*COS(2*PI()*G789),"")</f>
        <v/>
      </c>
      <c r="I789">
        <f>IF(B789,IF(D789=0,H789,Rho*I788+SQRT(1-Rho^2)*H789),"")</f>
        <v/>
      </c>
      <c r="J789">
        <f>IF(B789,IF(Dist="Normal",DistA+DistB*I789,DistA+(DistB-DistA)*NORMSDIST(I789)),"")</f>
        <v/>
      </c>
      <c r="K789">
        <f>IF(B789,INDEX(MineScale,C789),"")</f>
        <v/>
      </c>
      <c r="L789">
        <f>IF(B789,INDEX(Dow,1,WEEKDAY(E789,2)),"")</f>
        <v/>
      </c>
      <c r="M789">
        <f>IF(B789,(1+Trend)^D789,"")</f>
        <v/>
      </c>
      <c r="N789">
        <f>IF(B789,EXP(SUMPRODUCT(LN(1+(EvEff-1)*INDEX(Affected,0,C789)*EXP(-((E789-EvCenter)^2)/(2*EvSigma^2))))),"")</f>
        <v/>
      </c>
      <c r="O789">
        <f>IF(B789,ROUND(MAX(0,J789*K789*L789*M789*N789),2),"")</f>
        <v/>
      </c>
    </row>
    <row r="790">
      <c r="A790" t="n">
        <v>789</v>
      </c>
      <c r="B790">
        <f>A790&lt;=MineCount*Days</f>
        <v/>
      </c>
      <c r="C790">
        <f>IF(B790,INT((A790-1)/Days)+1,"")</f>
        <v/>
      </c>
      <c r="D790">
        <f>IF(B790,MOD(A790-1,Days),"")</f>
        <v/>
      </c>
      <c r="E790" s="16">
        <f>IF(B790,StartDate+D790,"")</f>
        <v/>
      </c>
      <c r="F790">
        <f>IF(B790,MAX(MOD(SIN(Seed*0.1373+C790*12.9898+D790*78.233)*43758.5453,1),1E-9),"")</f>
        <v/>
      </c>
      <c r="G790">
        <f>IF(B790,MOD(SIN(Seed*0.5917+C790*39.3468+D790*11.135)*24634.6345,1),"")</f>
        <v/>
      </c>
      <c r="H790">
        <f>IF(B790,SQRT(-2*LN(F790))*COS(2*PI()*G790),"")</f>
        <v/>
      </c>
      <c r="I790">
        <f>IF(B790,IF(D790=0,H790,Rho*I789+SQRT(1-Rho^2)*H790),"")</f>
        <v/>
      </c>
      <c r="J790">
        <f>IF(B790,IF(Dist="Normal",DistA+DistB*I790,DistA+(DistB-DistA)*NORMSDIST(I790)),"")</f>
        <v/>
      </c>
      <c r="K790">
        <f>IF(B790,INDEX(MineScale,C790),"")</f>
        <v/>
      </c>
      <c r="L790">
        <f>IF(B790,INDEX(Dow,1,WEEKDAY(E790,2)),"")</f>
        <v/>
      </c>
      <c r="M790">
        <f>IF(B790,(1+Trend)^D790,"")</f>
        <v/>
      </c>
      <c r="N790">
        <f>IF(B790,EXP(SUMPRODUCT(LN(1+(EvEff-1)*INDEX(Affected,0,C790)*EXP(-((E790-EvCenter)^2)/(2*EvSigma^2))))),"")</f>
        <v/>
      </c>
      <c r="O790">
        <f>IF(B790,ROUND(MAX(0,J790*K790*L790*M790*N790),2),"")</f>
        <v/>
      </c>
    </row>
    <row r="791">
      <c r="A791" t="n">
        <v>790</v>
      </c>
      <c r="B791">
        <f>A791&lt;=MineCount*Days</f>
        <v/>
      </c>
      <c r="C791">
        <f>IF(B791,INT((A791-1)/Days)+1,"")</f>
        <v/>
      </c>
      <c r="D791">
        <f>IF(B791,MOD(A791-1,Days),"")</f>
        <v/>
      </c>
      <c r="E791" s="16">
        <f>IF(B791,StartDate+D791,"")</f>
        <v/>
      </c>
      <c r="F791">
        <f>IF(B791,MAX(MOD(SIN(Seed*0.1373+C791*12.9898+D791*78.233)*43758.5453,1),1E-9),"")</f>
        <v/>
      </c>
      <c r="G791">
        <f>IF(B791,MOD(SIN(Seed*0.5917+C791*39.3468+D791*11.135)*24634.6345,1),"")</f>
        <v/>
      </c>
      <c r="H791">
        <f>IF(B791,SQRT(-2*LN(F791))*COS(2*PI()*G791),"")</f>
        <v/>
      </c>
      <c r="I791">
        <f>IF(B791,IF(D791=0,H791,Rho*I790+SQRT(1-Rho^2)*H791),"")</f>
        <v/>
      </c>
      <c r="J791">
        <f>IF(B791,IF(Dist="Normal",DistA+DistB*I791,DistA+(DistB-DistA)*NORMSDIST(I791)),"")</f>
        <v/>
      </c>
      <c r="K791">
        <f>IF(B791,INDEX(MineScale,C791),"")</f>
        <v/>
      </c>
      <c r="L791">
        <f>IF(B791,INDEX(Dow,1,WEEKDAY(E791,2)),"")</f>
        <v/>
      </c>
      <c r="M791">
        <f>IF(B791,(1+Trend)^D791,"")</f>
        <v/>
      </c>
      <c r="N791">
        <f>IF(B791,EXP(SUMPRODUCT(LN(1+(EvEff-1)*INDEX(Affected,0,C791)*EXP(-((E791-EvCenter)^2)/(2*EvSigma^2))))),"")</f>
        <v/>
      </c>
      <c r="O791">
        <f>IF(B791,ROUND(MAX(0,J791*K791*L791*M791*N791),2),"")</f>
        <v/>
      </c>
    </row>
    <row r="792">
      <c r="A792" t="n">
        <v>791</v>
      </c>
      <c r="B792">
        <f>A792&lt;=MineCount*Days</f>
        <v/>
      </c>
      <c r="C792">
        <f>IF(B792,INT((A792-1)/Days)+1,"")</f>
        <v/>
      </c>
      <c r="D792">
        <f>IF(B792,MOD(A792-1,Days),"")</f>
        <v/>
      </c>
      <c r="E792" s="16">
        <f>IF(B792,StartDate+D792,"")</f>
        <v/>
      </c>
      <c r="F792">
        <f>IF(B792,MAX(MOD(SIN(Seed*0.1373+C792*12.9898+D792*78.233)*43758.5453,1),1E-9),"")</f>
        <v/>
      </c>
      <c r="G792">
        <f>IF(B792,MOD(SIN(Seed*0.5917+C792*39.3468+D792*11.135)*24634.6345,1),"")</f>
        <v/>
      </c>
      <c r="H792">
        <f>IF(B792,SQRT(-2*LN(F792))*COS(2*PI()*G792),"")</f>
        <v/>
      </c>
      <c r="I792">
        <f>IF(B792,IF(D792=0,H792,Rho*I791+SQRT(1-Rho^2)*H792),"")</f>
        <v/>
      </c>
      <c r="J792">
        <f>IF(B792,IF(Dist="Normal",DistA+DistB*I792,DistA+(DistB-DistA)*NORMSDIST(I792)),"")</f>
        <v/>
      </c>
      <c r="K792">
        <f>IF(B792,INDEX(MineScale,C792),"")</f>
        <v/>
      </c>
      <c r="L792">
        <f>IF(B792,INDEX(Dow,1,WEEKDAY(E792,2)),"")</f>
        <v/>
      </c>
      <c r="M792">
        <f>IF(B792,(1+Trend)^D792,"")</f>
        <v/>
      </c>
      <c r="N792">
        <f>IF(B792,EXP(SUMPRODUCT(LN(1+(EvEff-1)*INDEX(Affected,0,C792)*EXP(-((E792-EvCenter)^2)/(2*EvSigma^2))))),"")</f>
        <v/>
      </c>
      <c r="O792">
        <f>IF(B792,ROUND(MAX(0,J792*K792*L792*M792*N792),2),"")</f>
        <v/>
      </c>
    </row>
    <row r="793">
      <c r="A793" t="n">
        <v>792</v>
      </c>
      <c r="B793">
        <f>A793&lt;=MineCount*Days</f>
        <v/>
      </c>
      <c r="C793">
        <f>IF(B793,INT((A793-1)/Days)+1,"")</f>
        <v/>
      </c>
      <c r="D793">
        <f>IF(B793,MOD(A793-1,Days),"")</f>
        <v/>
      </c>
      <c r="E793" s="16">
        <f>IF(B793,StartDate+D793,"")</f>
        <v/>
      </c>
      <c r="F793">
        <f>IF(B793,MAX(MOD(SIN(Seed*0.1373+C793*12.9898+D793*78.233)*43758.5453,1),1E-9),"")</f>
        <v/>
      </c>
      <c r="G793">
        <f>IF(B793,MOD(SIN(Seed*0.5917+C793*39.3468+D793*11.135)*24634.6345,1),"")</f>
        <v/>
      </c>
      <c r="H793">
        <f>IF(B793,SQRT(-2*LN(F793))*COS(2*PI()*G793),"")</f>
        <v/>
      </c>
      <c r="I793">
        <f>IF(B793,IF(D793=0,H793,Rho*I792+SQRT(1-Rho^2)*H793),"")</f>
        <v/>
      </c>
      <c r="J793">
        <f>IF(B793,IF(Dist="Normal",DistA+DistB*I793,DistA+(DistB-DistA)*NORMSDIST(I793)),"")</f>
        <v/>
      </c>
      <c r="K793">
        <f>IF(B793,INDEX(MineScale,C793),"")</f>
        <v/>
      </c>
      <c r="L793">
        <f>IF(B793,INDEX(Dow,1,WEEKDAY(E793,2)),"")</f>
        <v/>
      </c>
      <c r="M793">
        <f>IF(B793,(1+Trend)^D793,"")</f>
        <v/>
      </c>
      <c r="N793">
        <f>IF(B793,EXP(SUMPRODUCT(LN(1+(EvEff-1)*INDEX(Affected,0,C793)*EXP(-((E793-EvCenter)^2)/(2*EvSigma^2))))),"")</f>
        <v/>
      </c>
      <c r="O793">
        <f>IF(B793,ROUND(MAX(0,J793*K793*L793*M793*N793),2),"")</f>
        <v/>
      </c>
    </row>
    <row r="794">
      <c r="A794" t="n">
        <v>793</v>
      </c>
      <c r="B794">
        <f>A794&lt;=MineCount*Days</f>
        <v/>
      </c>
      <c r="C794">
        <f>IF(B794,INT((A794-1)/Days)+1,"")</f>
        <v/>
      </c>
      <c r="D794">
        <f>IF(B794,MOD(A794-1,Days),"")</f>
        <v/>
      </c>
      <c r="E794" s="16">
        <f>IF(B794,StartDate+D794,"")</f>
        <v/>
      </c>
      <c r="F794">
        <f>IF(B794,MAX(MOD(SIN(Seed*0.1373+C794*12.9898+D794*78.233)*43758.5453,1),1E-9),"")</f>
        <v/>
      </c>
      <c r="G794">
        <f>IF(B794,MOD(SIN(Seed*0.5917+C794*39.3468+D794*11.135)*24634.6345,1),"")</f>
        <v/>
      </c>
      <c r="H794">
        <f>IF(B794,SQRT(-2*LN(F794))*COS(2*PI()*G794),"")</f>
        <v/>
      </c>
      <c r="I794">
        <f>IF(B794,IF(D794=0,H794,Rho*I793+SQRT(1-Rho^2)*H794),"")</f>
        <v/>
      </c>
      <c r="J794">
        <f>IF(B794,IF(Dist="Normal",DistA+DistB*I794,DistA+(DistB-DistA)*NORMSDIST(I794)),"")</f>
        <v/>
      </c>
      <c r="K794">
        <f>IF(B794,INDEX(MineScale,C794),"")</f>
        <v/>
      </c>
      <c r="L794">
        <f>IF(B794,INDEX(Dow,1,WEEKDAY(E794,2)),"")</f>
        <v/>
      </c>
      <c r="M794">
        <f>IF(B794,(1+Trend)^D794,"")</f>
        <v/>
      </c>
      <c r="N794">
        <f>IF(B794,EXP(SUMPRODUCT(LN(1+(EvEff-1)*INDEX(Affected,0,C794)*EXP(-((E794-EvCenter)^2)/(2*EvSigma^2))))),"")</f>
        <v/>
      </c>
      <c r="O794">
        <f>IF(B794,ROUND(MAX(0,J794*K794*L794*M794*N794),2),"")</f>
        <v/>
      </c>
    </row>
    <row r="795">
      <c r="A795" t="n">
        <v>794</v>
      </c>
      <c r="B795">
        <f>A795&lt;=MineCount*Days</f>
        <v/>
      </c>
      <c r="C795">
        <f>IF(B795,INT((A795-1)/Days)+1,"")</f>
        <v/>
      </c>
      <c r="D795">
        <f>IF(B795,MOD(A795-1,Days),"")</f>
        <v/>
      </c>
      <c r="E795" s="16">
        <f>IF(B795,StartDate+D795,"")</f>
        <v/>
      </c>
      <c r="F795">
        <f>IF(B795,MAX(MOD(SIN(Seed*0.1373+C795*12.9898+D795*78.233)*43758.5453,1),1E-9),"")</f>
        <v/>
      </c>
      <c r="G795">
        <f>IF(B795,MOD(SIN(Seed*0.5917+C795*39.3468+D795*11.135)*24634.6345,1),"")</f>
        <v/>
      </c>
      <c r="H795">
        <f>IF(B795,SQRT(-2*LN(F795))*COS(2*PI()*G795),"")</f>
        <v/>
      </c>
      <c r="I795">
        <f>IF(B795,IF(D795=0,H795,Rho*I794+SQRT(1-Rho^2)*H795),"")</f>
        <v/>
      </c>
      <c r="J795">
        <f>IF(B795,IF(Dist="Normal",DistA+DistB*I795,DistA+(DistB-DistA)*NORMSDIST(I795)),"")</f>
        <v/>
      </c>
      <c r="K795">
        <f>IF(B795,INDEX(MineScale,C795),"")</f>
        <v/>
      </c>
      <c r="L795">
        <f>IF(B795,INDEX(Dow,1,WEEKDAY(E795,2)),"")</f>
        <v/>
      </c>
      <c r="M795">
        <f>IF(B795,(1+Trend)^D795,"")</f>
        <v/>
      </c>
      <c r="N795">
        <f>IF(B795,EXP(SUMPRODUCT(LN(1+(EvEff-1)*INDEX(Affected,0,C795)*EXP(-((E795-EvCenter)^2)/(2*EvSigma^2))))),"")</f>
        <v/>
      </c>
      <c r="O795">
        <f>IF(B795,ROUND(MAX(0,J795*K795*L795*M795*N795),2),"")</f>
        <v/>
      </c>
    </row>
    <row r="796">
      <c r="A796" t="n">
        <v>795</v>
      </c>
      <c r="B796">
        <f>A796&lt;=MineCount*Days</f>
        <v/>
      </c>
      <c r="C796">
        <f>IF(B796,INT((A796-1)/Days)+1,"")</f>
        <v/>
      </c>
      <c r="D796">
        <f>IF(B796,MOD(A796-1,Days),"")</f>
        <v/>
      </c>
      <c r="E796" s="16">
        <f>IF(B796,StartDate+D796,"")</f>
        <v/>
      </c>
      <c r="F796">
        <f>IF(B796,MAX(MOD(SIN(Seed*0.1373+C796*12.9898+D796*78.233)*43758.5453,1),1E-9),"")</f>
        <v/>
      </c>
      <c r="G796">
        <f>IF(B796,MOD(SIN(Seed*0.5917+C796*39.3468+D796*11.135)*24634.6345,1),"")</f>
        <v/>
      </c>
      <c r="H796">
        <f>IF(B796,SQRT(-2*LN(F796))*COS(2*PI()*G796),"")</f>
        <v/>
      </c>
      <c r="I796">
        <f>IF(B796,IF(D796=0,H796,Rho*I795+SQRT(1-Rho^2)*H796),"")</f>
        <v/>
      </c>
      <c r="J796">
        <f>IF(B796,IF(Dist="Normal",DistA+DistB*I796,DistA+(DistB-DistA)*NORMSDIST(I796)),"")</f>
        <v/>
      </c>
      <c r="K796">
        <f>IF(B796,INDEX(MineScale,C796),"")</f>
        <v/>
      </c>
      <c r="L796">
        <f>IF(B796,INDEX(Dow,1,WEEKDAY(E796,2)),"")</f>
        <v/>
      </c>
      <c r="M796">
        <f>IF(B796,(1+Trend)^D796,"")</f>
        <v/>
      </c>
      <c r="N796">
        <f>IF(B796,EXP(SUMPRODUCT(LN(1+(EvEff-1)*INDEX(Affected,0,C796)*EXP(-((E796-EvCenter)^2)/(2*EvSigma^2))))),"")</f>
        <v/>
      </c>
      <c r="O796">
        <f>IF(B796,ROUND(MAX(0,J796*K796*L796*M796*N796),2),"")</f>
        <v/>
      </c>
    </row>
    <row r="797">
      <c r="A797" t="n">
        <v>796</v>
      </c>
      <c r="B797">
        <f>A797&lt;=MineCount*Days</f>
        <v/>
      </c>
      <c r="C797">
        <f>IF(B797,INT((A797-1)/Days)+1,"")</f>
        <v/>
      </c>
      <c r="D797">
        <f>IF(B797,MOD(A797-1,Days),"")</f>
        <v/>
      </c>
      <c r="E797" s="16">
        <f>IF(B797,StartDate+D797,"")</f>
        <v/>
      </c>
      <c r="F797">
        <f>IF(B797,MAX(MOD(SIN(Seed*0.1373+C797*12.9898+D797*78.233)*43758.5453,1),1E-9),"")</f>
        <v/>
      </c>
      <c r="G797">
        <f>IF(B797,MOD(SIN(Seed*0.5917+C797*39.3468+D797*11.135)*24634.6345,1),"")</f>
        <v/>
      </c>
      <c r="H797">
        <f>IF(B797,SQRT(-2*LN(F797))*COS(2*PI()*G797),"")</f>
        <v/>
      </c>
      <c r="I797">
        <f>IF(B797,IF(D797=0,H797,Rho*I796+SQRT(1-Rho^2)*H797),"")</f>
        <v/>
      </c>
      <c r="J797">
        <f>IF(B797,IF(Dist="Normal",DistA+DistB*I797,DistA+(DistB-DistA)*NORMSDIST(I797)),"")</f>
        <v/>
      </c>
      <c r="K797">
        <f>IF(B797,INDEX(MineScale,C797),"")</f>
        <v/>
      </c>
      <c r="L797">
        <f>IF(B797,INDEX(Dow,1,WEEKDAY(E797,2)),"")</f>
        <v/>
      </c>
      <c r="M797">
        <f>IF(B797,(1+Trend)^D797,"")</f>
        <v/>
      </c>
      <c r="N797">
        <f>IF(B797,EXP(SUMPRODUCT(LN(1+(EvEff-1)*INDEX(Affected,0,C797)*EXP(-((E797-EvCenter)^2)/(2*EvSigma^2))))),"")</f>
        <v/>
      </c>
      <c r="O797">
        <f>IF(B797,ROUND(MAX(0,J797*K797*L797*M797*N797),2),"")</f>
        <v/>
      </c>
    </row>
    <row r="798">
      <c r="A798" t="n">
        <v>797</v>
      </c>
      <c r="B798">
        <f>A798&lt;=MineCount*Days</f>
        <v/>
      </c>
      <c r="C798">
        <f>IF(B798,INT((A798-1)/Days)+1,"")</f>
        <v/>
      </c>
      <c r="D798">
        <f>IF(B798,MOD(A798-1,Days),"")</f>
        <v/>
      </c>
      <c r="E798" s="16">
        <f>IF(B798,StartDate+D798,"")</f>
        <v/>
      </c>
      <c r="F798">
        <f>IF(B798,MAX(MOD(SIN(Seed*0.1373+C798*12.9898+D798*78.233)*43758.5453,1),1E-9),"")</f>
        <v/>
      </c>
      <c r="G798">
        <f>IF(B798,MOD(SIN(Seed*0.5917+C798*39.3468+D798*11.135)*24634.6345,1),"")</f>
        <v/>
      </c>
      <c r="H798">
        <f>IF(B798,SQRT(-2*LN(F798))*COS(2*PI()*G798),"")</f>
        <v/>
      </c>
      <c r="I798">
        <f>IF(B798,IF(D798=0,H798,Rho*I797+SQRT(1-Rho^2)*H798),"")</f>
        <v/>
      </c>
      <c r="J798">
        <f>IF(B798,IF(Dist="Normal",DistA+DistB*I798,DistA+(DistB-DistA)*NORMSDIST(I798)),"")</f>
        <v/>
      </c>
      <c r="K798">
        <f>IF(B798,INDEX(MineScale,C798),"")</f>
        <v/>
      </c>
      <c r="L798">
        <f>IF(B798,INDEX(Dow,1,WEEKDAY(E798,2)),"")</f>
        <v/>
      </c>
      <c r="M798">
        <f>IF(B798,(1+Trend)^D798,"")</f>
        <v/>
      </c>
      <c r="N798">
        <f>IF(B798,EXP(SUMPRODUCT(LN(1+(EvEff-1)*INDEX(Affected,0,C798)*EXP(-((E798-EvCenter)^2)/(2*EvSigma^2))))),"")</f>
        <v/>
      </c>
      <c r="O798">
        <f>IF(B798,ROUND(MAX(0,J798*K798*L798*M798*N798),2),"")</f>
        <v/>
      </c>
    </row>
    <row r="799">
      <c r="A799" t="n">
        <v>798</v>
      </c>
      <c r="B799">
        <f>A799&lt;=MineCount*Days</f>
        <v/>
      </c>
      <c r="C799">
        <f>IF(B799,INT((A799-1)/Days)+1,"")</f>
        <v/>
      </c>
      <c r="D799">
        <f>IF(B799,MOD(A799-1,Days),"")</f>
        <v/>
      </c>
      <c r="E799" s="16">
        <f>IF(B799,StartDate+D799,"")</f>
        <v/>
      </c>
      <c r="F799">
        <f>IF(B799,MAX(MOD(SIN(Seed*0.1373+C799*12.9898+D799*78.233)*43758.5453,1),1E-9),"")</f>
        <v/>
      </c>
      <c r="G799">
        <f>IF(B799,MOD(SIN(Seed*0.5917+C799*39.3468+D799*11.135)*24634.6345,1),"")</f>
        <v/>
      </c>
      <c r="H799">
        <f>IF(B799,SQRT(-2*LN(F799))*COS(2*PI()*G799),"")</f>
        <v/>
      </c>
      <c r="I799">
        <f>IF(B799,IF(D799=0,H799,Rho*I798+SQRT(1-Rho^2)*H799),"")</f>
        <v/>
      </c>
      <c r="J799">
        <f>IF(B799,IF(Dist="Normal",DistA+DistB*I799,DistA+(DistB-DistA)*NORMSDIST(I799)),"")</f>
        <v/>
      </c>
      <c r="K799">
        <f>IF(B799,INDEX(MineScale,C799),"")</f>
        <v/>
      </c>
      <c r="L799">
        <f>IF(B799,INDEX(Dow,1,WEEKDAY(E799,2)),"")</f>
        <v/>
      </c>
      <c r="M799">
        <f>IF(B799,(1+Trend)^D799,"")</f>
        <v/>
      </c>
      <c r="N799">
        <f>IF(B799,EXP(SUMPRODUCT(LN(1+(EvEff-1)*INDEX(Affected,0,C799)*EXP(-((E799-EvCenter)^2)/(2*EvSigma^2))))),"")</f>
        <v/>
      </c>
      <c r="O799">
        <f>IF(B799,ROUND(MAX(0,J799*K799*L799*M799*N799),2),"")</f>
        <v/>
      </c>
    </row>
    <row r="800">
      <c r="A800" t="n">
        <v>799</v>
      </c>
      <c r="B800">
        <f>A800&lt;=MineCount*Days</f>
        <v/>
      </c>
      <c r="C800">
        <f>IF(B800,INT((A800-1)/Days)+1,"")</f>
        <v/>
      </c>
      <c r="D800">
        <f>IF(B800,MOD(A800-1,Days),"")</f>
        <v/>
      </c>
      <c r="E800" s="16">
        <f>IF(B800,StartDate+D800,"")</f>
        <v/>
      </c>
      <c r="F800">
        <f>IF(B800,MAX(MOD(SIN(Seed*0.1373+C800*12.9898+D800*78.233)*43758.5453,1),1E-9),"")</f>
        <v/>
      </c>
      <c r="G800">
        <f>IF(B800,MOD(SIN(Seed*0.5917+C800*39.3468+D800*11.135)*24634.6345,1),"")</f>
        <v/>
      </c>
      <c r="H800">
        <f>IF(B800,SQRT(-2*LN(F800))*COS(2*PI()*G800),"")</f>
        <v/>
      </c>
      <c r="I800">
        <f>IF(B800,IF(D800=0,H800,Rho*I799+SQRT(1-Rho^2)*H800),"")</f>
        <v/>
      </c>
      <c r="J800">
        <f>IF(B800,IF(Dist="Normal",DistA+DistB*I800,DistA+(DistB-DistA)*NORMSDIST(I800)),"")</f>
        <v/>
      </c>
      <c r="K800">
        <f>IF(B800,INDEX(MineScale,C800),"")</f>
        <v/>
      </c>
      <c r="L800">
        <f>IF(B800,INDEX(Dow,1,WEEKDAY(E800,2)),"")</f>
        <v/>
      </c>
      <c r="M800">
        <f>IF(B800,(1+Trend)^D800,"")</f>
        <v/>
      </c>
      <c r="N800">
        <f>IF(B800,EXP(SUMPRODUCT(LN(1+(EvEff-1)*INDEX(Affected,0,C800)*EXP(-((E800-EvCenter)^2)/(2*EvSigma^2))))),"")</f>
        <v/>
      </c>
      <c r="O800">
        <f>IF(B800,ROUND(MAX(0,J800*K800*L800*M800*N800),2),"")</f>
        <v/>
      </c>
    </row>
    <row r="801">
      <c r="A801" t="n">
        <v>800</v>
      </c>
      <c r="B801">
        <f>A801&lt;=MineCount*Days</f>
        <v/>
      </c>
      <c r="C801">
        <f>IF(B801,INT((A801-1)/Days)+1,"")</f>
        <v/>
      </c>
      <c r="D801">
        <f>IF(B801,MOD(A801-1,Days),"")</f>
        <v/>
      </c>
      <c r="E801" s="16">
        <f>IF(B801,StartDate+D801,"")</f>
        <v/>
      </c>
      <c r="F801">
        <f>IF(B801,MAX(MOD(SIN(Seed*0.1373+C801*12.9898+D801*78.233)*43758.5453,1),1E-9),"")</f>
        <v/>
      </c>
      <c r="G801">
        <f>IF(B801,MOD(SIN(Seed*0.5917+C801*39.3468+D801*11.135)*24634.6345,1),"")</f>
        <v/>
      </c>
      <c r="H801">
        <f>IF(B801,SQRT(-2*LN(F801))*COS(2*PI()*G801),"")</f>
        <v/>
      </c>
      <c r="I801">
        <f>IF(B801,IF(D801=0,H801,Rho*I800+SQRT(1-Rho^2)*H801),"")</f>
        <v/>
      </c>
      <c r="J801">
        <f>IF(B801,IF(Dist="Normal",DistA+DistB*I801,DistA+(DistB-DistA)*NORMSDIST(I801)),"")</f>
        <v/>
      </c>
      <c r="K801">
        <f>IF(B801,INDEX(MineScale,C801),"")</f>
        <v/>
      </c>
      <c r="L801">
        <f>IF(B801,INDEX(Dow,1,WEEKDAY(E801,2)),"")</f>
        <v/>
      </c>
      <c r="M801">
        <f>IF(B801,(1+Trend)^D801,"")</f>
        <v/>
      </c>
      <c r="N801">
        <f>IF(B801,EXP(SUMPRODUCT(LN(1+(EvEff-1)*INDEX(Affected,0,C801)*EXP(-((E801-EvCenter)^2)/(2*EvSigma^2))))),"")</f>
        <v/>
      </c>
      <c r="O801">
        <f>IF(B801,ROUND(MAX(0,J801*K801*L801*M801*N801),2),"")</f>
        <v/>
      </c>
    </row>
    <row r="802">
      <c r="A802" t="n">
        <v>801</v>
      </c>
      <c r="B802">
        <f>A802&lt;=MineCount*Days</f>
        <v/>
      </c>
      <c r="C802">
        <f>IF(B802,INT((A802-1)/Days)+1,"")</f>
        <v/>
      </c>
      <c r="D802">
        <f>IF(B802,MOD(A802-1,Days),"")</f>
        <v/>
      </c>
      <c r="E802" s="16">
        <f>IF(B802,StartDate+D802,"")</f>
        <v/>
      </c>
      <c r="F802">
        <f>IF(B802,MAX(MOD(SIN(Seed*0.1373+C802*12.9898+D802*78.233)*43758.5453,1),1E-9),"")</f>
        <v/>
      </c>
      <c r="G802">
        <f>IF(B802,MOD(SIN(Seed*0.5917+C802*39.3468+D802*11.135)*24634.6345,1),"")</f>
        <v/>
      </c>
      <c r="H802">
        <f>IF(B802,SQRT(-2*LN(F802))*COS(2*PI()*G802),"")</f>
        <v/>
      </c>
      <c r="I802">
        <f>IF(B802,IF(D802=0,H802,Rho*I801+SQRT(1-Rho^2)*H802),"")</f>
        <v/>
      </c>
      <c r="J802">
        <f>IF(B802,IF(Dist="Normal",DistA+DistB*I802,DistA+(DistB-DistA)*NORMSDIST(I802)),"")</f>
        <v/>
      </c>
      <c r="K802">
        <f>IF(B802,INDEX(MineScale,C802),"")</f>
        <v/>
      </c>
      <c r="L802">
        <f>IF(B802,INDEX(Dow,1,WEEKDAY(E802,2)),"")</f>
        <v/>
      </c>
      <c r="M802">
        <f>IF(B802,(1+Trend)^D802,"")</f>
        <v/>
      </c>
      <c r="N802">
        <f>IF(B802,EXP(SUMPRODUCT(LN(1+(EvEff-1)*INDEX(Affected,0,C802)*EXP(-((E802-EvCenter)^2)/(2*EvSigma^2))))),"")</f>
        <v/>
      </c>
      <c r="O802">
        <f>IF(B802,ROUND(MAX(0,J802*K802*L802*M802*N802),2),"")</f>
        <v/>
      </c>
    </row>
    <row r="803">
      <c r="A803" t="n">
        <v>802</v>
      </c>
      <c r="B803">
        <f>A803&lt;=MineCount*Days</f>
        <v/>
      </c>
      <c r="C803">
        <f>IF(B803,INT((A803-1)/Days)+1,"")</f>
        <v/>
      </c>
      <c r="D803">
        <f>IF(B803,MOD(A803-1,Days),"")</f>
        <v/>
      </c>
      <c r="E803" s="16">
        <f>IF(B803,StartDate+D803,"")</f>
        <v/>
      </c>
      <c r="F803">
        <f>IF(B803,MAX(MOD(SIN(Seed*0.1373+C803*12.9898+D803*78.233)*43758.5453,1),1E-9),"")</f>
        <v/>
      </c>
      <c r="G803">
        <f>IF(B803,MOD(SIN(Seed*0.5917+C803*39.3468+D803*11.135)*24634.6345,1),"")</f>
        <v/>
      </c>
      <c r="H803">
        <f>IF(B803,SQRT(-2*LN(F803))*COS(2*PI()*G803),"")</f>
        <v/>
      </c>
      <c r="I803">
        <f>IF(B803,IF(D803=0,H803,Rho*I802+SQRT(1-Rho^2)*H803),"")</f>
        <v/>
      </c>
      <c r="J803">
        <f>IF(B803,IF(Dist="Normal",DistA+DistB*I803,DistA+(DistB-DistA)*NORMSDIST(I803)),"")</f>
        <v/>
      </c>
      <c r="K803">
        <f>IF(B803,INDEX(MineScale,C803),"")</f>
        <v/>
      </c>
      <c r="L803">
        <f>IF(B803,INDEX(Dow,1,WEEKDAY(E803,2)),"")</f>
        <v/>
      </c>
      <c r="M803">
        <f>IF(B803,(1+Trend)^D803,"")</f>
        <v/>
      </c>
      <c r="N803">
        <f>IF(B803,EXP(SUMPRODUCT(LN(1+(EvEff-1)*INDEX(Affected,0,C803)*EXP(-((E803-EvCenter)^2)/(2*EvSigma^2))))),"")</f>
        <v/>
      </c>
      <c r="O803">
        <f>IF(B803,ROUND(MAX(0,J803*K803*L803*M803*N803),2),"")</f>
        <v/>
      </c>
    </row>
    <row r="804">
      <c r="A804" t="n">
        <v>803</v>
      </c>
      <c r="B804">
        <f>A804&lt;=MineCount*Days</f>
        <v/>
      </c>
      <c r="C804">
        <f>IF(B804,INT((A804-1)/Days)+1,"")</f>
        <v/>
      </c>
      <c r="D804">
        <f>IF(B804,MOD(A804-1,Days),"")</f>
        <v/>
      </c>
      <c r="E804" s="16">
        <f>IF(B804,StartDate+D804,"")</f>
        <v/>
      </c>
      <c r="F804">
        <f>IF(B804,MAX(MOD(SIN(Seed*0.1373+C804*12.9898+D804*78.233)*43758.5453,1),1E-9),"")</f>
        <v/>
      </c>
      <c r="G804">
        <f>IF(B804,MOD(SIN(Seed*0.5917+C804*39.3468+D804*11.135)*24634.6345,1),"")</f>
        <v/>
      </c>
      <c r="H804">
        <f>IF(B804,SQRT(-2*LN(F804))*COS(2*PI()*G804),"")</f>
        <v/>
      </c>
      <c r="I804">
        <f>IF(B804,IF(D804=0,H804,Rho*I803+SQRT(1-Rho^2)*H804),"")</f>
        <v/>
      </c>
      <c r="J804">
        <f>IF(B804,IF(Dist="Normal",DistA+DistB*I804,DistA+(DistB-DistA)*NORMSDIST(I804)),"")</f>
        <v/>
      </c>
      <c r="K804">
        <f>IF(B804,INDEX(MineScale,C804),"")</f>
        <v/>
      </c>
      <c r="L804">
        <f>IF(B804,INDEX(Dow,1,WEEKDAY(E804,2)),"")</f>
        <v/>
      </c>
      <c r="M804">
        <f>IF(B804,(1+Trend)^D804,"")</f>
        <v/>
      </c>
      <c r="N804">
        <f>IF(B804,EXP(SUMPRODUCT(LN(1+(EvEff-1)*INDEX(Affected,0,C804)*EXP(-((E804-EvCenter)^2)/(2*EvSigma^2))))),"")</f>
        <v/>
      </c>
      <c r="O804">
        <f>IF(B804,ROUND(MAX(0,J804*K804*L804*M804*N804),2),"")</f>
        <v/>
      </c>
    </row>
    <row r="805">
      <c r="A805" t="n">
        <v>804</v>
      </c>
      <c r="B805">
        <f>A805&lt;=MineCount*Days</f>
        <v/>
      </c>
      <c r="C805">
        <f>IF(B805,INT((A805-1)/Days)+1,"")</f>
        <v/>
      </c>
      <c r="D805">
        <f>IF(B805,MOD(A805-1,Days),"")</f>
        <v/>
      </c>
      <c r="E805" s="16">
        <f>IF(B805,StartDate+D805,"")</f>
        <v/>
      </c>
      <c r="F805">
        <f>IF(B805,MAX(MOD(SIN(Seed*0.1373+C805*12.9898+D805*78.233)*43758.5453,1),1E-9),"")</f>
        <v/>
      </c>
      <c r="G805">
        <f>IF(B805,MOD(SIN(Seed*0.5917+C805*39.3468+D805*11.135)*24634.6345,1),"")</f>
        <v/>
      </c>
      <c r="H805">
        <f>IF(B805,SQRT(-2*LN(F805))*COS(2*PI()*G805),"")</f>
        <v/>
      </c>
      <c r="I805">
        <f>IF(B805,IF(D805=0,H805,Rho*I804+SQRT(1-Rho^2)*H805),"")</f>
        <v/>
      </c>
      <c r="J805">
        <f>IF(B805,IF(Dist="Normal",DistA+DistB*I805,DistA+(DistB-DistA)*NORMSDIST(I805)),"")</f>
        <v/>
      </c>
      <c r="K805">
        <f>IF(B805,INDEX(MineScale,C805),"")</f>
        <v/>
      </c>
      <c r="L805">
        <f>IF(B805,INDEX(Dow,1,WEEKDAY(E805,2)),"")</f>
        <v/>
      </c>
      <c r="M805">
        <f>IF(B805,(1+Trend)^D805,"")</f>
        <v/>
      </c>
      <c r="N805">
        <f>IF(B805,EXP(SUMPRODUCT(LN(1+(EvEff-1)*INDEX(Affected,0,C805)*EXP(-((E805-EvCenter)^2)/(2*EvSigma^2))))),"")</f>
        <v/>
      </c>
      <c r="O805">
        <f>IF(B805,ROUND(MAX(0,J805*K805*L805*M805*N805),2),"")</f>
        <v/>
      </c>
    </row>
    <row r="806">
      <c r="A806" t="n">
        <v>805</v>
      </c>
      <c r="B806">
        <f>A806&lt;=MineCount*Days</f>
        <v/>
      </c>
      <c r="C806">
        <f>IF(B806,INT((A806-1)/Days)+1,"")</f>
        <v/>
      </c>
      <c r="D806">
        <f>IF(B806,MOD(A806-1,Days),"")</f>
        <v/>
      </c>
      <c r="E806" s="16">
        <f>IF(B806,StartDate+D806,"")</f>
        <v/>
      </c>
      <c r="F806">
        <f>IF(B806,MAX(MOD(SIN(Seed*0.1373+C806*12.9898+D806*78.233)*43758.5453,1),1E-9),"")</f>
        <v/>
      </c>
      <c r="G806">
        <f>IF(B806,MOD(SIN(Seed*0.5917+C806*39.3468+D806*11.135)*24634.6345,1),"")</f>
        <v/>
      </c>
      <c r="H806">
        <f>IF(B806,SQRT(-2*LN(F806))*COS(2*PI()*G806),"")</f>
        <v/>
      </c>
      <c r="I806">
        <f>IF(B806,IF(D806=0,H806,Rho*I805+SQRT(1-Rho^2)*H806),"")</f>
        <v/>
      </c>
      <c r="J806">
        <f>IF(B806,IF(Dist="Normal",DistA+DistB*I806,DistA+(DistB-DistA)*NORMSDIST(I806)),"")</f>
        <v/>
      </c>
      <c r="K806">
        <f>IF(B806,INDEX(MineScale,C806),"")</f>
        <v/>
      </c>
      <c r="L806">
        <f>IF(B806,INDEX(Dow,1,WEEKDAY(E806,2)),"")</f>
        <v/>
      </c>
      <c r="M806">
        <f>IF(B806,(1+Trend)^D806,"")</f>
        <v/>
      </c>
      <c r="N806">
        <f>IF(B806,EXP(SUMPRODUCT(LN(1+(EvEff-1)*INDEX(Affected,0,C806)*EXP(-((E806-EvCenter)^2)/(2*EvSigma^2))))),"")</f>
        <v/>
      </c>
      <c r="O806">
        <f>IF(B806,ROUND(MAX(0,J806*K806*L806*M806*N806),2),"")</f>
        <v/>
      </c>
    </row>
    <row r="807">
      <c r="A807" t="n">
        <v>806</v>
      </c>
      <c r="B807">
        <f>A807&lt;=MineCount*Days</f>
        <v/>
      </c>
      <c r="C807">
        <f>IF(B807,INT((A807-1)/Days)+1,"")</f>
        <v/>
      </c>
      <c r="D807">
        <f>IF(B807,MOD(A807-1,Days),"")</f>
        <v/>
      </c>
      <c r="E807" s="16">
        <f>IF(B807,StartDate+D807,"")</f>
        <v/>
      </c>
      <c r="F807">
        <f>IF(B807,MAX(MOD(SIN(Seed*0.1373+C807*12.9898+D807*78.233)*43758.5453,1),1E-9),"")</f>
        <v/>
      </c>
      <c r="G807">
        <f>IF(B807,MOD(SIN(Seed*0.5917+C807*39.3468+D807*11.135)*24634.6345,1),"")</f>
        <v/>
      </c>
      <c r="H807">
        <f>IF(B807,SQRT(-2*LN(F807))*COS(2*PI()*G807),"")</f>
        <v/>
      </c>
      <c r="I807">
        <f>IF(B807,IF(D807=0,H807,Rho*I806+SQRT(1-Rho^2)*H807),"")</f>
        <v/>
      </c>
      <c r="J807">
        <f>IF(B807,IF(Dist="Normal",DistA+DistB*I807,DistA+(DistB-DistA)*NORMSDIST(I807)),"")</f>
        <v/>
      </c>
      <c r="K807">
        <f>IF(B807,INDEX(MineScale,C807),"")</f>
        <v/>
      </c>
      <c r="L807">
        <f>IF(B807,INDEX(Dow,1,WEEKDAY(E807,2)),"")</f>
        <v/>
      </c>
      <c r="M807">
        <f>IF(B807,(1+Trend)^D807,"")</f>
        <v/>
      </c>
      <c r="N807">
        <f>IF(B807,EXP(SUMPRODUCT(LN(1+(EvEff-1)*INDEX(Affected,0,C807)*EXP(-((E807-EvCenter)^2)/(2*EvSigma^2))))),"")</f>
        <v/>
      </c>
      <c r="O807">
        <f>IF(B807,ROUND(MAX(0,J807*K807*L807*M807*N807),2),"")</f>
        <v/>
      </c>
    </row>
    <row r="808">
      <c r="A808" t="n">
        <v>807</v>
      </c>
      <c r="B808">
        <f>A808&lt;=MineCount*Days</f>
        <v/>
      </c>
      <c r="C808">
        <f>IF(B808,INT((A808-1)/Days)+1,"")</f>
        <v/>
      </c>
      <c r="D808">
        <f>IF(B808,MOD(A808-1,Days),"")</f>
        <v/>
      </c>
      <c r="E808" s="16">
        <f>IF(B808,StartDate+D808,"")</f>
        <v/>
      </c>
      <c r="F808">
        <f>IF(B808,MAX(MOD(SIN(Seed*0.1373+C808*12.9898+D808*78.233)*43758.5453,1),1E-9),"")</f>
        <v/>
      </c>
      <c r="G808">
        <f>IF(B808,MOD(SIN(Seed*0.5917+C808*39.3468+D808*11.135)*24634.6345,1),"")</f>
        <v/>
      </c>
      <c r="H808">
        <f>IF(B808,SQRT(-2*LN(F808))*COS(2*PI()*G808),"")</f>
        <v/>
      </c>
      <c r="I808">
        <f>IF(B808,IF(D808=0,H808,Rho*I807+SQRT(1-Rho^2)*H808),"")</f>
        <v/>
      </c>
      <c r="J808">
        <f>IF(B808,IF(Dist="Normal",DistA+DistB*I808,DistA+(DistB-DistA)*NORMSDIST(I808)),"")</f>
        <v/>
      </c>
      <c r="K808">
        <f>IF(B808,INDEX(MineScale,C808),"")</f>
        <v/>
      </c>
      <c r="L808">
        <f>IF(B808,INDEX(Dow,1,WEEKDAY(E808,2)),"")</f>
        <v/>
      </c>
      <c r="M808">
        <f>IF(B808,(1+Trend)^D808,"")</f>
        <v/>
      </c>
      <c r="N808">
        <f>IF(B808,EXP(SUMPRODUCT(LN(1+(EvEff-1)*INDEX(Affected,0,C808)*EXP(-((E808-EvCenter)^2)/(2*EvSigma^2))))),"")</f>
        <v/>
      </c>
      <c r="O808">
        <f>IF(B808,ROUND(MAX(0,J808*K808*L808*M808*N808),2),"")</f>
        <v/>
      </c>
    </row>
    <row r="809">
      <c r="A809" t="n">
        <v>808</v>
      </c>
      <c r="B809">
        <f>A809&lt;=MineCount*Days</f>
        <v/>
      </c>
      <c r="C809">
        <f>IF(B809,INT((A809-1)/Days)+1,"")</f>
        <v/>
      </c>
      <c r="D809">
        <f>IF(B809,MOD(A809-1,Days),"")</f>
        <v/>
      </c>
      <c r="E809" s="16">
        <f>IF(B809,StartDate+D809,"")</f>
        <v/>
      </c>
      <c r="F809">
        <f>IF(B809,MAX(MOD(SIN(Seed*0.1373+C809*12.9898+D809*78.233)*43758.5453,1),1E-9),"")</f>
        <v/>
      </c>
      <c r="G809">
        <f>IF(B809,MOD(SIN(Seed*0.5917+C809*39.3468+D809*11.135)*24634.6345,1),"")</f>
        <v/>
      </c>
      <c r="H809">
        <f>IF(B809,SQRT(-2*LN(F809))*COS(2*PI()*G809),"")</f>
        <v/>
      </c>
      <c r="I809">
        <f>IF(B809,IF(D809=0,H809,Rho*I808+SQRT(1-Rho^2)*H809),"")</f>
        <v/>
      </c>
      <c r="J809">
        <f>IF(B809,IF(Dist="Normal",DistA+DistB*I809,DistA+(DistB-DistA)*NORMSDIST(I809)),"")</f>
        <v/>
      </c>
      <c r="K809">
        <f>IF(B809,INDEX(MineScale,C809),"")</f>
        <v/>
      </c>
      <c r="L809">
        <f>IF(B809,INDEX(Dow,1,WEEKDAY(E809,2)),"")</f>
        <v/>
      </c>
      <c r="M809">
        <f>IF(B809,(1+Trend)^D809,"")</f>
        <v/>
      </c>
      <c r="N809">
        <f>IF(B809,EXP(SUMPRODUCT(LN(1+(EvEff-1)*INDEX(Affected,0,C809)*EXP(-((E809-EvCenter)^2)/(2*EvSigma^2))))),"")</f>
        <v/>
      </c>
      <c r="O809">
        <f>IF(B809,ROUND(MAX(0,J809*K809*L809*M809*N809),2),"")</f>
        <v/>
      </c>
    </row>
    <row r="810">
      <c r="A810" t="n">
        <v>809</v>
      </c>
      <c r="B810">
        <f>A810&lt;=MineCount*Days</f>
        <v/>
      </c>
      <c r="C810">
        <f>IF(B810,INT((A810-1)/Days)+1,"")</f>
        <v/>
      </c>
      <c r="D810">
        <f>IF(B810,MOD(A810-1,Days),"")</f>
        <v/>
      </c>
      <c r="E810" s="16">
        <f>IF(B810,StartDate+D810,"")</f>
        <v/>
      </c>
      <c r="F810">
        <f>IF(B810,MAX(MOD(SIN(Seed*0.1373+C810*12.9898+D810*78.233)*43758.5453,1),1E-9),"")</f>
        <v/>
      </c>
      <c r="G810">
        <f>IF(B810,MOD(SIN(Seed*0.5917+C810*39.3468+D810*11.135)*24634.6345,1),"")</f>
        <v/>
      </c>
      <c r="H810">
        <f>IF(B810,SQRT(-2*LN(F810))*COS(2*PI()*G810),"")</f>
        <v/>
      </c>
      <c r="I810">
        <f>IF(B810,IF(D810=0,H810,Rho*I809+SQRT(1-Rho^2)*H810),"")</f>
        <v/>
      </c>
      <c r="J810">
        <f>IF(B810,IF(Dist="Normal",DistA+DistB*I810,DistA+(DistB-DistA)*NORMSDIST(I810)),"")</f>
        <v/>
      </c>
      <c r="K810">
        <f>IF(B810,INDEX(MineScale,C810),"")</f>
        <v/>
      </c>
      <c r="L810">
        <f>IF(B810,INDEX(Dow,1,WEEKDAY(E810,2)),"")</f>
        <v/>
      </c>
      <c r="M810">
        <f>IF(B810,(1+Trend)^D810,"")</f>
        <v/>
      </c>
      <c r="N810">
        <f>IF(B810,EXP(SUMPRODUCT(LN(1+(EvEff-1)*INDEX(Affected,0,C810)*EXP(-((E810-EvCenter)^2)/(2*EvSigma^2))))),"")</f>
        <v/>
      </c>
      <c r="O810">
        <f>IF(B810,ROUND(MAX(0,J810*K810*L810*M810*N810),2),"")</f>
        <v/>
      </c>
    </row>
    <row r="811">
      <c r="A811" t="n">
        <v>810</v>
      </c>
      <c r="B811">
        <f>A811&lt;=MineCount*Days</f>
        <v/>
      </c>
      <c r="C811">
        <f>IF(B811,INT((A811-1)/Days)+1,"")</f>
        <v/>
      </c>
      <c r="D811">
        <f>IF(B811,MOD(A811-1,Days),"")</f>
        <v/>
      </c>
      <c r="E811" s="16">
        <f>IF(B811,StartDate+D811,"")</f>
        <v/>
      </c>
      <c r="F811">
        <f>IF(B811,MAX(MOD(SIN(Seed*0.1373+C811*12.9898+D811*78.233)*43758.5453,1),1E-9),"")</f>
        <v/>
      </c>
      <c r="G811">
        <f>IF(B811,MOD(SIN(Seed*0.5917+C811*39.3468+D811*11.135)*24634.6345,1),"")</f>
        <v/>
      </c>
      <c r="H811">
        <f>IF(B811,SQRT(-2*LN(F811))*COS(2*PI()*G811),"")</f>
        <v/>
      </c>
      <c r="I811">
        <f>IF(B811,IF(D811=0,H811,Rho*I810+SQRT(1-Rho^2)*H811),"")</f>
        <v/>
      </c>
      <c r="J811">
        <f>IF(B811,IF(Dist="Normal",DistA+DistB*I811,DistA+(DistB-DistA)*NORMSDIST(I811)),"")</f>
        <v/>
      </c>
      <c r="K811">
        <f>IF(B811,INDEX(MineScale,C811),"")</f>
        <v/>
      </c>
      <c r="L811">
        <f>IF(B811,INDEX(Dow,1,WEEKDAY(E811,2)),"")</f>
        <v/>
      </c>
      <c r="M811">
        <f>IF(B811,(1+Trend)^D811,"")</f>
        <v/>
      </c>
      <c r="N811">
        <f>IF(B811,EXP(SUMPRODUCT(LN(1+(EvEff-1)*INDEX(Affected,0,C811)*EXP(-((E811-EvCenter)^2)/(2*EvSigma^2))))),"")</f>
        <v/>
      </c>
      <c r="O811">
        <f>IF(B811,ROUND(MAX(0,J811*K811*L811*M811*N811),2),"")</f>
        <v/>
      </c>
    </row>
    <row r="812">
      <c r="A812" t="n">
        <v>811</v>
      </c>
      <c r="B812">
        <f>A812&lt;=MineCount*Days</f>
        <v/>
      </c>
      <c r="C812">
        <f>IF(B812,INT((A812-1)/Days)+1,"")</f>
        <v/>
      </c>
      <c r="D812">
        <f>IF(B812,MOD(A812-1,Days),"")</f>
        <v/>
      </c>
      <c r="E812" s="16">
        <f>IF(B812,StartDate+D812,"")</f>
        <v/>
      </c>
      <c r="F812">
        <f>IF(B812,MAX(MOD(SIN(Seed*0.1373+C812*12.9898+D812*78.233)*43758.5453,1),1E-9),"")</f>
        <v/>
      </c>
      <c r="G812">
        <f>IF(B812,MOD(SIN(Seed*0.5917+C812*39.3468+D812*11.135)*24634.6345,1),"")</f>
        <v/>
      </c>
      <c r="H812">
        <f>IF(B812,SQRT(-2*LN(F812))*COS(2*PI()*G812),"")</f>
        <v/>
      </c>
      <c r="I812">
        <f>IF(B812,IF(D812=0,H812,Rho*I811+SQRT(1-Rho^2)*H812),"")</f>
        <v/>
      </c>
      <c r="J812">
        <f>IF(B812,IF(Dist="Normal",DistA+DistB*I812,DistA+(DistB-DistA)*NORMSDIST(I812)),"")</f>
        <v/>
      </c>
      <c r="K812">
        <f>IF(B812,INDEX(MineScale,C812),"")</f>
        <v/>
      </c>
      <c r="L812">
        <f>IF(B812,INDEX(Dow,1,WEEKDAY(E812,2)),"")</f>
        <v/>
      </c>
      <c r="M812">
        <f>IF(B812,(1+Trend)^D812,"")</f>
        <v/>
      </c>
      <c r="N812">
        <f>IF(B812,EXP(SUMPRODUCT(LN(1+(EvEff-1)*INDEX(Affected,0,C812)*EXP(-((E812-EvCenter)^2)/(2*EvSigma^2))))),"")</f>
        <v/>
      </c>
      <c r="O812">
        <f>IF(B812,ROUND(MAX(0,J812*K812*L812*M812*N812),2),"")</f>
        <v/>
      </c>
    </row>
    <row r="813">
      <c r="A813" t="n">
        <v>812</v>
      </c>
      <c r="B813">
        <f>A813&lt;=MineCount*Days</f>
        <v/>
      </c>
      <c r="C813">
        <f>IF(B813,INT((A813-1)/Days)+1,"")</f>
        <v/>
      </c>
      <c r="D813">
        <f>IF(B813,MOD(A813-1,Days),"")</f>
        <v/>
      </c>
      <c r="E813" s="16">
        <f>IF(B813,StartDate+D813,"")</f>
        <v/>
      </c>
      <c r="F813">
        <f>IF(B813,MAX(MOD(SIN(Seed*0.1373+C813*12.9898+D813*78.233)*43758.5453,1),1E-9),"")</f>
        <v/>
      </c>
      <c r="G813">
        <f>IF(B813,MOD(SIN(Seed*0.5917+C813*39.3468+D813*11.135)*24634.6345,1),"")</f>
        <v/>
      </c>
      <c r="H813">
        <f>IF(B813,SQRT(-2*LN(F813))*COS(2*PI()*G813),"")</f>
        <v/>
      </c>
      <c r="I813">
        <f>IF(B813,IF(D813=0,H813,Rho*I812+SQRT(1-Rho^2)*H813),"")</f>
        <v/>
      </c>
      <c r="J813">
        <f>IF(B813,IF(Dist="Normal",DistA+DistB*I813,DistA+(DistB-DistA)*NORMSDIST(I813)),"")</f>
        <v/>
      </c>
      <c r="K813">
        <f>IF(B813,INDEX(MineScale,C813),"")</f>
        <v/>
      </c>
      <c r="L813">
        <f>IF(B813,INDEX(Dow,1,WEEKDAY(E813,2)),"")</f>
        <v/>
      </c>
      <c r="M813">
        <f>IF(B813,(1+Trend)^D813,"")</f>
        <v/>
      </c>
      <c r="N813">
        <f>IF(B813,EXP(SUMPRODUCT(LN(1+(EvEff-1)*INDEX(Affected,0,C813)*EXP(-((E813-EvCenter)^2)/(2*EvSigma^2))))),"")</f>
        <v/>
      </c>
      <c r="O813">
        <f>IF(B813,ROUND(MAX(0,J813*K813*L813*M813*N813),2),"")</f>
        <v/>
      </c>
    </row>
    <row r="814">
      <c r="A814" t="n">
        <v>813</v>
      </c>
      <c r="B814">
        <f>A814&lt;=MineCount*Days</f>
        <v/>
      </c>
      <c r="C814">
        <f>IF(B814,INT((A814-1)/Days)+1,"")</f>
        <v/>
      </c>
      <c r="D814">
        <f>IF(B814,MOD(A814-1,Days),"")</f>
        <v/>
      </c>
      <c r="E814" s="16">
        <f>IF(B814,StartDate+D814,"")</f>
        <v/>
      </c>
      <c r="F814">
        <f>IF(B814,MAX(MOD(SIN(Seed*0.1373+C814*12.9898+D814*78.233)*43758.5453,1),1E-9),"")</f>
        <v/>
      </c>
      <c r="G814">
        <f>IF(B814,MOD(SIN(Seed*0.5917+C814*39.3468+D814*11.135)*24634.6345,1),"")</f>
        <v/>
      </c>
      <c r="H814">
        <f>IF(B814,SQRT(-2*LN(F814))*COS(2*PI()*G814),"")</f>
        <v/>
      </c>
      <c r="I814">
        <f>IF(B814,IF(D814=0,H814,Rho*I813+SQRT(1-Rho^2)*H814),"")</f>
        <v/>
      </c>
      <c r="J814">
        <f>IF(B814,IF(Dist="Normal",DistA+DistB*I814,DistA+(DistB-DistA)*NORMSDIST(I814)),"")</f>
        <v/>
      </c>
      <c r="K814">
        <f>IF(B814,INDEX(MineScale,C814),"")</f>
        <v/>
      </c>
      <c r="L814">
        <f>IF(B814,INDEX(Dow,1,WEEKDAY(E814,2)),"")</f>
        <v/>
      </c>
      <c r="M814">
        <f>IF(B814,(1+Trend)^D814,"")</f>
        <v/>
      </c>
      <c r="N814">
        <f>IF(B814,EXP(SUMPRODUCT(LN(1+(EvEff-1)*INDEX(Affected,0,C814)*EXP(-((E814-EvCenter)^2)/(2*EvSigma^2))))),"")</f>
        <v/>
      </c>
      <c r="O814">
        <f>IF(B814,ROUND(MAX(0,J814*K814*L814*M814*N814),2),"")</f>
        <v/>
      </c>
    </row>
    <row r="815">
      <c r="A815" t="n">
        <v>814</v>
      </c>
      <c r="B815">
        <f>A815&lt;=MineCount*Days</f>
        <v/>
      </c>
      <c r="C815">
        <f>IF(B815,INT((A815-1)/Days)+1,"")</f>
        <v/>
      </c>
      <c r="D815">
        <f>IF(B815,MOD(A815-1,Days),"")</f>
        <v/>
      </c>
      <c r="E815" s="16">
        <f>IF(B815,StartDate+D815,"")</f>
        <v/>
      </c>
      <c r="F815">
        <f>IF(B815,MAX(MOD(SIN(Seed*0.1373+C815*12.9898+D815*78.233)*43758.5453,1),1E-9),"")</f>
        <v/>
      </c>
      <c r="G815">
        <f>IF(B815,MOD(SIN(Seed*0.5917+C815*39.3468+D815*11.135)*24634.6345,1),"")</f>
        <v/>
      </c>
      <c r="H815">
        <f>IF(B815,SQRT(-2*LN(F815))*COS(2*PI()*G815),"")</f>
        <v/>
      </c>
      <c r="I815">
        <f>IF(B815,IF(D815=0,H815,Rho*I814+SQRT(1-Rho^2)*H815),"")</f>
        <v/>
      </c>
      <c r="J815">
        <f>IF(B815,IF(Dist="Normal",DistA+DistB*I815,DistA+(DistB-DistA)*NORMSDIST(I815)),"")</f>
        <v/>
      </c>
      <c r="K815">
        <f>IF(B815,INDEX(MineScale,C815),"")</f>
        <v/>
      </c>
      <c r="L815">
        <f>IF(B815,INDEX(Dow,1,WEEKDAY(E815,2)),"")</f>
        <v/>
      </c>
      <c r="M815">
        <f>IF(B815,(1+Trend)^D815,"")</f>
        <v/>
      </c>
      <c r="N815">
        <f>IF(B815,EXP(SUMPRODUCT(LN(1+(EvEff-1)*INDEX(Affected,0,C815)*EXP(-((E815-EvCenter)^2)/(2*EvSigma^2))))),"")</f>
        <v/>
      </c>
      <c r="O815">
        <f>IF(B815,ROUND(MAX(0,J815*K815*L815*M815*N815),2),"")</f>
        <v/>
      </c>
    </row>
    <row r="816">
      <c r="A816" t="n">
        <v>815</v>
      </c>
      <c r="B816">
        <f>A816&lt;=MineCount*Days</f>
        <v/>
      </c>
      <c r="C816">
        <f>IF(B816,INT((A816-1)/Days)+1,"")</f>
        <v/>
      </c>
      <c r="D816">
        <f>IF(B816,MOD(A816-1,Days),"")</f>
        <v/>
      </c>
      <c r="E816" s="16">
        <f>IF(B816,StartDate+D816,"")</f>
        <v/>
      </c>
      <c r="F816">
        <f>IF(B816,MAX(MOD(SIN(Seed*0.1373+C816*12.9898+D816*78.233)*43758.5453,1),1E-9),"")</f>
        <v/>
      </c>
      <c r="G816">
        <f>IF(B816,MOD(SIN(Seed*0.5917+C816*39.3468+D816*11.135)*24634.6345,1),"")</f>
        <v/>
      </c>
      <c r="H816">
        <f>IF(B816,SQRT(-2*LN(F816))*COS(2*PI()*G816),"")</f>
        <v/>
      </c>
      <c r="I816">
        <f>IF(B816,IF(D816=0,H816,Rho*I815+SQRT(1-Rho^2)*H816),"")</f>
        <v/>
      </c>
      <c r="J816">
        <f>IF(B816,IF(Dist="Normal",DistA+DistB*I816,DistA+(DistB-DistA)*NORMSDIST(I816)),"")</f>
        <v/>
      </c>
      <c r="K816">
        <f>IF(B816,INDEX(MineScale,C816),"")</f>
        <v/>
      </c>
      <c r="L816">
        <f>IF(B816,INDEX(Dow,1,WEEKDAY(E816,2)),"")</f>
        <v/>
      </c>
      <c r="M816">
        <f>IF(B816,(1+Trend)^D816,"")</f>
        <v/>
      </c>
      <c r="N816">
        <f>IF(B816,EXP(SUMPRODUCT(LN(1+(EvEff-1)*INDEX(Affected,0,C816)*EXP(-((E816-EvCenter)^2)/(2*EvSigma^2))))),"")</f>
        <v/>
      </c>
      <c r="O816">
        <f>IF(B816,ROUND(MAX(0,J816*K816*L816*M816*N816),2),"")</f>
        <v/>
      </c>
    </row>
    <row r="817">
      <c r="A817" t="n">
        <v>816</v>
      </c>
      <c r="B817">
        <f>A817&lt;=MineCount*Days</f>
        <v/>
      </c>
      <c r="C817">
        <f>IF(B817,INT((A817-1)/Days)+1,"")</f>
        <v/>
      </c>
      <c r="D817">
        <f>IF(B817,MOD(A817-1,Days),"")</f>
        <v/>
      </c>
      <c r="E817" s="16">
        <f>IF(B817,StartDate+D817,"")</f>
        <v/>
      </c>
      <c r="F817">
        <f>IF(B817,MAX(MOD(SIN(Seed*0.1373+C817*12.9898+D817*78.233)*43758.5453,1),1E-9),"")</f>
        <v/>
      </c>
      <c r="G817">
        <f>IF(B817,MOD(SIN(Seed*0.5917+C817*39.3468+D817*11.135)*24634.6345,1),"")</f>
        <v/>
      </c>
      <c r="H817">
        <f>IF(B817,SQRT(-2*LN(F817))*COS(2*PI()*G817),"")</f>
        <v/>
      </c>
      <c r="I817">
        <f>IF(B817,IF(D817=0,H817,Rho*I816+SQRT(1-Rho^2)*H817),"")</f>
        <v/>
      </c>
      <c r="J817">
        <f>IF(B817,IF(Dist="Normal",DistA+DistB*I817,DistA+(DistB-DistA)*NORMSDIST(I817)),"")</f>
        <v/>
      </c>
      <c r="K817">
        <f>IF(B817,INDEX(MineScale,C817),"")</f>
        <v/>
      </c>
      <c r="L817">
        <f>IF(B817,INDEX(Dow,1,WEEKDAY(E817,2)),"")</f>
        <v/>
      </c>
      <c r="M817">
        <f>IF(B817,(1+Trend)^D817,"")</f>
        <v/>
      </c>
      <c r="N817">
        <f>IF(B817,EXP(SUMPRODUCT(LN(1+(EvEff-1)*INDEX(Affected,0,C817)*EXP(-((E817-EvCenter)^2)/(2*EvSigma^2))))),"")</f>
        <v/>
      </c>
      <c r="O817">
        <f>IF(B817,ROUND(MAX(0,J817*K817*L817*M817*N817),2),"")</f>
        <v/>
      </c>
    </row>
    <row r="818">
      <c r="A818" t="n">
        <v>817</v>
      </c>
      <c r="B818">
        <f>A818&lt;=MineCount*Days</f>
        <v/>
      </c>
      <c r="C818">
        <f>IF(B818,INT((A818-1)/Days)+1,"")</f>
        <v/>
      </c>
      <c r="D818">
        <f>IF(B818,MOD(A818-1,Days),"")</f>
        <v/>
      </c>
      <c r="E818" s="16">
        <f>IF(B818,StartDate+D818,"")</f>
        <v/>
      </c>
      <c r="F818">
        <f>IF(B818,MAX(MOD(SIN(Seed*0.1373+C818*12.9898+D818*78.233)*43758.5453,1),1E-9),"")</f>
        <v/>
      </c>
      <c r="G818">
        <f>IF(B818,MOD(SIN(Seed*0.5917+C818*39.3468+D818*11.135)*24634.6345,1),"")</f>
        <v/>
      </c>
      <c r="H818">
        <f>IF(B818,SQRT(-2*LN(F818))*COS(2*PI()*G818),"")</f>
        <v/>
      </c>
      <c r="I818">
        <f>IF(B818,IF(D818=0,H818,Rho*I817+SQRT(1-Rho^2)*H818),"")</f>
        <v/>
      </c>
      <c r="J818">
        <f>IF(B818,IF(Dist="Normal",DistA+DistB*I818,DistA+(DistB-DistA)*NORMSDIST(I818)),"")</f>
        <v/>
      </c>
      <c r="K818">
        <f>IF(B818,INDEX(MineScale,C818),"")</f>
        <v/>
      </c>
      <c r="L818">
        <f>IF(B818,INDEX(Dow,1,WEEKDAY(E818,2)),"")</f>
        <v/>
      </c>
      <c r="M818">
        <f>IF(B818,(1+Trend)^D818,"")</f>
        <v/>
      </c>
      <c r="N818">
        <f>IF(B818,EXP(SUMPRODUCT(LN(1+(EvEff-1)*INDEX(Affected,0,C818)*EXP(-((E818-EvCenter)^2)/(2*EvSigma^2))))),"")</f>
        <v/>
      </c>
      <c r="O818">
        <f>IF(B818,ROUND(MAX(0,J818*K818*L818*M818*N818),2),"")</f>
        <v/>
      </c>
    </row>
    <row r="819">
      <c r="A819" t="n">
        <v>818</v>
      </c>
      <c r="B819">
        <f>A819&lt;=MineCount*Days</f>
        <v/>
      </c>
      <c r="C819">
        <f>IF(B819,INT((A819-1)/Days)+1,"")</f>
        <v/>
      </c>
      <c r="D819">
        <f>IF(B819,MOD(A819-1,Days),"")</f>
        <v/>
      </c>
      <c r="E819" s="16">
        <f>IF(B819,StartDate+D819,"")</f>
        <v/>
      </c>
      <c r="F819">
        <f>IF(B819,MAX(MOD(SIN(Seed*0.1373+C819*12.9898+D819*78.233)*43758.5453,1),1E-9),"")</f>
        <v/>
      </c>
      <c r="G819">
        <f>IF(B819,MOD(SIN(Seed*0.5917+C819*39.3468+D819*11.135)*24634.6345,1),"")</f>
        <v/>
      </c>
      <c r="H819">
        <f>IF(B819,SQRT(-2*LN(F819))*COS(2*PI()*G819),"")</f>
        <v/>
      </c>
      <c r="I819">
        <f>IF(B819,IF(D819=0,H819,Rho*I818+SQRT(1-Rho^2)*H819),"")</f>
        <v/>
      </c>
      <c r="J819">
        <f>IF(B819,IF(Dist="Normal",DistA+DistB*I819,DistA+(DistB-DistA)*NORMSDIST(I819)),"")</f>
        <v/>
      </c>
      <c r="K819">
        <f>IF(B819,INDEX(MineScale,C819),"")</f>
        <v/>
      </c>
      <c r="L819">
        <f>IF(B819,INDEX(Dow,1,WEEKDAY(E819,2)),"")</f>
        <v/>
      </c>
      <c r="M819">
        <f>IF(B819,(1+Trend)^D819,"")</f>
        <v/>
      </c>
      <c r="N819">
        <f>IF(B819,EXP(SUMPRODUCT(LN(1+(EvEff-1)*INDEX(Affected,0,C819)*EXP(-((E819-EvCenter)^2)/(2*EvSigma^2))))),"")</f>
        <v/>
      </c>
      <c r="O819">
        <f>IF(B819,ROUND(MAX(0,J819*K819*L819*M819*N819),2),"")</f>
        <v/>
      </c>
    </row>
    <row r="820">
      <c r="A820" t="n">
        <v>819</v>
      </c>
      <c r="B820">
        <f>A820&lt;=MineCount*Days</f>
        <v/>
      </c>
      <c r="C820">
        <f>IF(B820,INT((A820-1)/Days)+1,"")</f>
        <v/>
      </c>
      <c r="D820">
        <f>IF(B820,MOD(A820-1,Days),"")</f>
        <v/>
      </c>
      <c r="E820" s="16">
        <f>IF(B820,StartDate+D820,"")</f>
        <v/>
      </c>
      <c r="F820">
        <f>IF(B820,MAX(MOD(SIN(Seed*0.1373+C820*12.9898+D820*78.233)*43758.5453,1),1E-9),"")</f>
        <v/>
      </c>
      <c r="G820">
        <f>IF(B820,MOD(SIN(Seed*0.5917+C820*39.3468+D820*11.135)*24634.6345,1),"")</f>
        <v/>
      </c>
      <c r="H820">
        <f>IF(B820,SQRT(-2*LN(F820))*COS(2*PI()*G820),"")</f>
        <v/>
      </c>
      <c r="I820">
        <f>IF(B820,IF(D820=0,H820,Rho*I819+SQRT(1-Rho^2)*H820),"")</f>
        <v/>
      </c>
      <c r="J820">
        <f>IF(B820,IF(Dist="Normal",DistA+DistB*I820,DistA+(DistB-DistA)*NORMSDIST(I820)),"")</f>
        <v/>
      </c>
      <c r="K820">
        <f>IF(B820,INDEX(MineScale,C820),"")</f>
        <v/>
      </c>
      <c r="L820">
        <f>IF(B820,INDEX(Dow,1,WEEKDAY(E820,2)),"")</f>
        <v/>
      </c>
      <c r="M820">
        <f>IF(B820,(1+Trend)^D820,"")</f>
        <v/>
      </c>
      <c r="N820">
        <f>IF(B820,EXP(SUMPRODUCT(LN(1+(EvEff-1)*INDEX(Affected,0,C820)*EXP(-((E820-EvCenter)^2)/(2*EvSigma^2))))),"")</f>
        <v/>
      </c>
      <c r="O820">
        <f>IF(B820,ROUND(MAX(0,J820*K820*L820*M820*N820),2),"")</f>
        <v/>
      </c>
    </row>
    <row r="821">
      <c r="A821" t="n">
        <v>820</v>
      </c>
      <c r="B821">
        <f>A821&lt;=MineCount*Days</f>
        <v/>
      </c>
      <c r="C821">
        <f>IF(B821,INT((A821-1)/Days)+1,"")</f>
        <v/>
      </c>
      <c r="D821">
        <f>IF(B821,MOD(A821-1,Days),"")</f>
        <v/>
      </c>
      <c r="E821" s="16">
        <f>IF(B821,StartDate+D821,"")</f>
        <v/>
      </c>
      <c r="F821">
        <f>IF(B821,MAX(MOD(SIN(Seed*0.1373+C821*12.9898+D821*78.233)*43758.5453,1),1E-9),"")</f>
        <v/>
      </c>
      <c r="G821">
        <f>IF(B821,MOD(SIN(Seed*0.5917+C821*39.3468+D821*11.135)*24634.6345,1),"")</f>
        <v/>
      </c>
      <c r="H821">
        <f>IF(B821,SQRT(-2*LN(F821))*COS(2*PI()*G821),"")</f>
        <v/>
      </c>
      <c r="I821">
        <f>IF(B821,IF(D821=0,H821,Rho*I820+SQRT(1-Rho^2)*H821),"")</f>
        <v/>
      </c>
      <c r="J821">
        <f>IF(B821,IF(Dist="Normal",DistA+DistB*I821,DistA+(DistB-DistA)*NORMSDIST(I821)),"")</f>
        <v/>
      </c>
      <c r="K821">
        <f>IF(B821,INDEX(MineScale,C821),"")</f>
        <v/>
      </c>
      <c r="L821">
        <f>IF(B821,INDEX(Dow,1,WEEKDAY(E821,2)),"")</f>
        <v/>
      </c>
      <c r="M821">
        <f>IF(B821,(1+Trend)^D821,"")</f>
        <v/>
      </c>
      <c r="N821">
        <f>IF(B821,EXP(SUMPRODUCT(LN(1+(EvEff-1)*INDEX(Affected,0,C821)*EXP(-((E821-EvCenter)^2)/(2*EvSigma^2))))),"")</f>
        <v/>
      </c>
      <c r="O821">
        <f>IF(B821,ROUND(MAX(0,J821*K821*L821*M821*N821),2),"")</f>
        <v/>
      </c>
    </row>
    <row r="822">
      <c r="A822" t="n">
        <v>821</v>
      </c>
      <c r="B822">
        <f>A822&lt;=MineCount*Days</f>
        <v/>
      </c>
      <c r="C822">
        <f>IF(B822,INT((A822-1)/Days)+1,"")</f>
        <v/>
      </c>
      <c r="D822">
        <f>IF(B822,MOD(A822-1,Days),"")</f>
        <v/>
      </c>
      <c r="E822" s="16">
        <f>IF(B822,StartDate+D822,"")</f>
        <v/>
      </c>
      <c r="F822">
        <f>IF(B822,MAX(MOD(SIN(Seed*0.1373+C822*12.9898+D822*78.233)*43758.5453,1),1E-9),"")</f>
        <v/>
      </c>
      <c r="G822">
        <f>IF(B822,MOD(SIN(Seed*0.5917+C822*39.3468+D822*11.135)*24634.6345,1),"")</f>
        <v/>
      </c>
      <c r="H822">
        <f>IF(B822,SQRT(-2*LN(F822))*COS(2*PI()*G822),"")</f>
        <v/>
      </c>
      <c r="I822">
        <f>IF(B822,IF(D822=0,H822,Rho*I821+SQRT(1-Rho^2)*H822),"")</f>
        <v/>
      </c>
      <c r="J822">
        <f>IF(B822,IF(Dist="Normal",DistA+DistB*I822,DistA+(DistB-DistA)*NORMSDIST(I822)),"")</f>
        <v/>
      </c>
      <c r="K822">
        <f>IF(B822,INDEX(MineScale,C822),"")</f>
        <v/>
      </c>
      <c r="L822">
        <f>IF(B822,INDEX(Dow,1,WEEKDAY(E822,2)),"")</f>
        <v/>
      </c>
      <c r="M822">
        <f>IF(B822,(1+Trend)^D822,"")</f>
        <v/>
      </c>
      <c r="N822">
        <f>IF(B822,EXP(SUMPRODUCT(LN(1+(EvEff-1)*INDEX(Affected,0,C822)*EXP(-((E822-EvCenter)^2)/(2*EvSigma^2))))),"")</f>
        <v/>
      </c>
      <c r="O822">
        <f>IF(B822,ROUND(MAX(0,J822*K822*L822*M822*N822),2),"")</f>
        <v/>
      </c>
    </row>
    <row r="823">
      <c r="A823" t="n">
        <v>822</v>
      </c>
      <c r="B823">
        <f>A823&lt;=MineCount*Days</f>
        <v/>
      </c>
      <c r="C823">
        <f>IF(B823,INT((A823-1)/Days)+1,"")</f>
        <v/>
      </c>
      <c r="D823">
        <f>IF(B823,MOD(A823-1,Days),"")</f>
        <v/>
      </c>
      <c r="E823" s="16">
        <f>IF(B823,StartDate+D823,"")</f>
        <v/>
      </c>
      <c r="F823">
        <f>IF(B823,MAX(MOD(SIN(Seed*0.1373+C823*12.9898+D823*78.233)*43758.5453,1),1E-9),"")</f>
        <v/>
      </c>
      <c r="G823">
        <f>IF(B823,MOD(SIN(Seed*0.5917+C823*39.3468+D823*11.135)*24634.6345,1),"")</f>
        <v/>
      </c>
      <c r="H823">
        <f>IF(B823,SQRT(-2*LN(F823))*COS(2*PI()*G823),"")</f>
        <v/>
      </c>
      <c r="I823">
        <f>IF(B823,IF(D823=0,H823,Rho*I822+SQRT(1-Rho^2)*H823),"")</f>
        <v/>
      </c>
      <c r="J823">
        <f>IF(B823,IF(Dist="Normal",DistA+DistB*I823,DistA+(DistB-DistA)*NORMSDIST(I823)),"")</f>
        <v/>
      </c>
      <c r="K823">
        <f>IF(B823,INDEX(MineScale,C823),"")</f>
        <v/>
      </c>
      <c r="L823">
        <f>IF(B823,INDEX(Dow,1,WEEKDAY(E823,2)),"")</f>
        <v/>
      </c>
      <c r="M823">
        <f>IF(B823,(1+Trend)^D823,"")</f>
        <v/>
      </c>
      <c r="N823">
        <f>IF(B823,EXP(SUMPRODUCT(LN(1+(EvEff-1)*INDEX(Affected,0,C823)*EXP(-((E823-EvCenter)^2)/(2*EvSigma^2))))),"")</f>
        <v/>
      </c>
      <c r="O823">
        <f>IF(B823,ROUND(MAX(0,J823*K823*L823*M823*N823),2),"")</f>
        <v/>
      </c>
    </row>
    <row r="824">
      <c r="A824" t="n">
        <v>823</v>
      </c>
      <c r="B824">
        <f>A824&lt;=MineCount*Days</f>
        <v/>
      </c>
      <c r="C824">
        <f>IF(B824,INT((A824-1)/Days)+1,"")</f>
        <v/>
      </c>
      <c r="D824">
        <f>IF(B824,MOD(A824-1,Days),"")</f>
        <v/>
      </c>
      <c r="E824" s="16">
        <f>IF(B824,StartDate+D824,"")</f>
        <v/>
      </c>
      <c r="F824">
        <f>IF(B824,MAX(MOD(SIN(Seed*0.1373+C824*12.9898+D824*78.233)*43758.5453,1),1E-9),"")</f>
        <v/>
      </c>
      <c r="G824">
        <f>IF(B824,MOD(SIN(Seed*0.5917+C824*39.3468+D824*11.135)*24634.6345,1),"")</f>
        <v/>
      </c>
      <c r="H824">
        <f>IF(B824,SQRT(-2*LN(F824))*COS(2*PI()*G824),"")</f>
        <v/>
      </c>
      <c r="I824">
        <f>IF(B824,IF(D824=0,H824,Rho*I823+SQRT(1-Rho^2)*H824),"")</f>
        <v/>
      </c>
      <c r="J824">
        <f>IF(B824,IF(Dist="Normal",DistA+DistB*I824,DistA+(DistB-DistA)*NORMSDIST(I824)),"")</f>
        <v/>
      </c>
      <c r="K824">
        <f>IF(B824,INDEX(MineScale,C824),"")</f>
        <v/>
      </c>
      <c r="L824">
        <f>IF(B824,INDEX(Dow,1,WEEKDAY(E824,2)),"")</f>
        <v/>
      </c>
      <c r="M824">
        <f>IF(B824,(1+Trend)^D824,"")</f>
        <v/>
      </c>
      <c r="N824">
        <f>IF(B824,EXP(SUMPRODUCT(LN(1+(EvEff-1)*INDEX(Affected,0,C824)*EXP(-((E824-EvCenter)^2)/(2*EvSigma^2))))),"")</f>
        <v/>
      </c>
      <c r="O824">
        <f>IF(B824,ROUND(MAX(0,J824*K824*L824*M824*N824),2),"")</f>
        <v/>
      </c>
    </row>
    <row r="825">
      <c r="A825" t="n">
        <v>824</v>
      </c>
      <c r="B825">
        <f>A825&lt;=MineCount*Days</f>
        <v/>
      </c>
      <c r="C825">
        <f>IF(B825,INT((A825-1)/Days)+1,"")</f>
        <v/>
      </c>
      <c r="D825">
        <f>IF(B825,MOD(A825-1,Days),"")</f>
        <v/>
      </c>
      <c r="E825" s="16">
        <f>IF(B825,StartDate+D825,"")</f>
        <v/>
      </c>
      <c r="F825">
        <f>IF(B825,MAX(MOD(SIN(Seed*0.1373+C825*12.9898+D825*78.233)*43758.5453,1),1E-9),"")</f>
        <v/>
      </c>
      <c r="G825">
        <f>IF(B825,MOD(SIN(Seed*0.5917+C825*39.3468+D825*11.135)*24634.6345,1),"")</f>
        <v/>
      </c>
      <c r="H825">
        <f>IF(B825,SQRT(-2*LN(F825))*COS(2*PI()*G825),"")</f>
        <v/>
      </c>
      <c r="I825">
        <f>IF(B825,IF(D825=0,H825,Rho*I824+SQRT(1-Rho^2)*H825),"")</f>
        <v/>
      </c>
      <c r="J825">
        <f>IF(B825,IF(Dist="Normal",DistA+DistB*I825,DistA+(DistB-DistA)*NORMSDIST(I825)),"")</f>
        <v/>
      </c>
      <c r="K825">
        <f>IF(B825,INDEX(MineScale,C825),"")</f>
        <v/>
      </c>
      <c r="L825">
        <f>IF(B825,INDEX(Dow,1,WEEKDAY(E825,2)),"")</f>
        <v/>
      </c>
      <c r="M825">
        <f>IF(B825,(1+Trend)^D825,"")</f>
        <v/>
      </c>
      <c r="N825">
        <f>IF(B825,EXP(SUMPRODUCT(LN(1+(EvEff-1)*INDEX(Affected,0,C825)*EXP(-((E825-EvCenter)^2)/(2*EvSigma^2))))),"")</f>
        <v/>
      </c>
      <c r="O825">
        <f>IF(B825,ROUND(MAX(0,J825*K825*L825*M825*N825),2),"")</f>
        <v/>
      </c>
    </row>
    <row r="826">
      <c r="A826" t="n">
        <v>825</v>
      </c>
      <c r="B826">
        <f>A826&lt;=MineCount*Days</f>
        <v/>
      </c>
      <c r="C826">
        <f>IF(B826,INT((A826-1)/Days)+1,"")</f>
        <v/>
      </c>
      <c r="D826">
        <f>IF(B826,MOD(A826-1,Days),"")</f>
        <v/>
      </c>
      <c r="E826" s="16">
        <f>IF(B826,StartDate+D826,"")</f>
        <v/>
      </c>
      <c r="F826">
        <f>IF(B826,MAX(MOD(SIN(Seed*0.1373+C826*12.9898+D826*78.233)*43758.5453,1),1E-9),"")</f>
        <v/>
      </c>
      <c r="G826">
        <f>IF(B826,MOD(SIN(Seed*0.5917+C826*39.3468+D826*11.135)*24634.6345,1),"")</f>
        <v/>
      </c>
      <c r="H826">
        <f>IF(B826,SQRT(-2*LN(F826))*COS(2*PI()*G826),"")</f>
        <v/>
      </c>
      <c r="I826">
        <f>IF(B826,IF(D826=0,H826,Rho*I825+SQRT(1-Rho^2)*H826),"")</f>
        <v/>
      </c>
      <c r="J826">
        <f>IF(B826,IF(Dist="Normal",DistA+DistB*I826,DistA+(DistB-DistA)*NORMSDIST(I826)),"")</f>
        <v/>
      </c>
      <c r="K826">
        <f>IF(B826,INDEX(MineScale,C826),"")</f>
        <v/>
      </c>
      <c r="L826">
        <f>IF(B826,INDEX(Dow,1,WEEKDAY(E826,2)),"")</f>
        <v/>
      </c>
      <c r="M826">
        <f>IF(B826,(1+Trend)^D826,"")</f>
        <v/>
      </c>
      <c r="N826">
        <f>IF(B826,EXP(SUMPRODUCT(LN(1+(EvEff-1)*INDEX(Affected,0,C826)*EXP(-((E826-EvCenter)^2)/(2*EvSigma^2))))),"")</f>
        <v/>
      </c>
      <c r="O826">
        <f>IF(B826,ROUND(MAX(0,J826*K826*L826*M826*N826),2),"")</f>
        <v/>
      </c>
    </row>
    <row r="827">
      <c r="A827" t="n">
        <v>826</v>
      </c>
      <c r="B827">
        <f>A827&lt;=MineCount*Days</f>
        <v/>
      </c>
      <c r="C827">
        <f>IF(B827,INT((A827-1)/Days)+1,"")</f>
        <v/>
      </c>
      <c r="D827">
        <f>IF(B827,MOD(A827-1,Days),"")</f>
        <v/>
      </c>
      <c r="E827" s="16">
        <f>IF(B827,StartDate+D827,"")</f>
        <v/>
      </c>
      <c r="F827">
        <f>IF(B827,MAX(MOD(SIN(Seed*0.1373+C827*12.9898+D827*78.233)*43758.5453,1),1E-9),"")</f>
        <v/>
      </c>
      <c r="G827">
        <f>IF(B827,MOD(SIN(Seed*0.5917+C827*39.3468+D827*11.135)*24634.6345,1),"")</f>
        <v/>
      </c>
      <c r="H827">
        <f>IF(B827,SQRT(-2*LN(F827))*COS(2*PI()*G827),"")</f>
        <v/>
      </c>
      <c r="I827">
        <f>IF(B827,IF(D827=0,H827,Rho*I826+SQRT(1-Rho^2)*H827),"")</f>
        <v/>
      </c>
      <c r="J827">
        <f>IF(B827,IF(Dist="Normal",DistA+DistB*I827,DistA+(DistB-DistA)*NORMSDIST(I827)),"")</f>
        <v/>
      </c>
      <c r="K827">
        <f>IF(B827,INDEX(MineScale,C827),"")</f>
        <v/>
      </c>
      <c r="L827">
        <f>IF(B827,INDEX(Dow,1,WEEKDAY(E827,2)),"")</f>
        <v/>
      </c>
      <c r="M827">
        <f>IF(B827,(1+Trend)^D827,"")</f>
        <v/>
      </c>
      <c r="N827">
        <f>IF(B827,EXP(SUMPRODUCT(LN(1+(EvEff-1)*INDEX(Affected,0,C827)*EXP(-((E827-EvCenter)^2)/(2*EvSigma^2))))),"")</f>
        <v/>
      </c>
      <c r="O827">
        <f>IF(B827,ROUND(MAX(0,J827*K827*L827*M827*N827),2),"")</f>
        <v/>
      </c>
    </row>
    <row r="828">
      <c r="A828" t="n">
        <v>827</v>
      </c>
      <c r="B828">
        <f>A828&lt;=MineCount*Days</f>
        <v/>
      </c>
      <c r="C828">
        <f>IF(B828,INT((A828-1)/Days)+1,"")</f>
        <v/>
      </c>
      <c r="D828">
        <f>IF(B828,MOD(A828-1,Days),"")</f>
        <v/>
      </c>
      <c r="E828" s="16">
        <f>IF(B828,StartDate+D828,"")</f>
        <v/>
      </c>
      <c r="F828">
        <f>IF(B828,MAX(MOD(SIN(Seed*0.1373+C828*12.9898+D828*78.233)*43758.5453,1),1E-9),"")</f>
        <v/>
      </c>
      <c r="G828">
        <f>IF(B828,MOD(SIN(Seed*0.5917+C828*39.3468+D828*11.135)*24634.6345,1),"")</f>
        <v/>
      </c>
      <c r="H828">
        <f>IF(B828,SQRT(-2*LN(F828))*COS(2*PI()*G828),"")</f>
        <v/>
      </c>
      <c r="I828">
        <f>IF(B828,IF(D828=0,H828,Rho*I827+SQRT(1-Rho^2)*H828),"")</f>
        <v/>
      </c>
      <c r="J828">
        <f>IF(B828,IF(Dist="Normal",DistA+DistB*I828,DistA+(DistB-DistA)*NORMSDIST(I828)),"")</f>
        <v/>
      </c>
      <c r="K828">
        <f>IF(B828,INDEX(MineScale,C828),"")</f>
        <v/>
      </c>
      <c r="L828">
        <f>IF(B828,INDEX(Dow,1,WEEKDAY(E828,2)),"")</f>
        <v/>
      </c>
      <c r="M828">
        <f>IF(B828,(1+Trend)^D828,"")</f>
        <v/>
      </c>
      <c r="N828">
        <f>IF(B828,EXP(SUMPRODUCT(LN(1+(EvEff-1)*INDEX(Affected,0,C828)*EXP(-((E828-EvCenter)^2)/(2*EvSigma^2))))),"")</f>
        <v/>
      </c>
      <c r="O828">
        <f>IF(B828,ROUND(MAX(0,J828*K828*L828*M828*N828),2),"")</f>
        <v/>
      </c>
    </row>
    <row r="829">
      <c r="A829" t="n">
        <v>828</v>
      </c>
      <c r="B829">
        <f>A829&lt;=MineCount*Days</f>
        <v/>
      </c>
      <c r="C829">
        <f>IF(B829,INT((A829-1)/Days)+1,"")</f>
        <v/>
      </c>
      <c r="D829">
        <f>IF(B829,MOD(A829-1,Days),"")</f>
        <v/>
      </c>
      <c r="E829" s="16">
        <f>IF(B829,StartDate+D829,"")</f>
        <v/>
      </c>
      <c r="F829">
        <f>IF(B829,MAX(MOD(SIN(Seed*0.1373+C829*12.9898+D829*78.233)*43758.5453,1),1E-9),"")</f>
        <v/>
      </c>
      <c r="G829">
        <f>IF(B829,MOD(SIN(Seed*0.5917+C829*39.3468+D829*11.135)*24634.6345,1),"")</f>
        <v/>
      </c>
      <c r="H829">
        <f>IF(B829,SQRT(-2*LN(F829))*COS(2*PI()*G829),"")</f>
        <v/>
      </c>
      <c r="I829">
        <f>IF(B829,IF(D829=0,H829,Rho*I828+SQRT(1-Rho^2)*H829),"")</f>
        <v/>
      </c>
      <c r="J829">
        <f>IF(B829,IF(Dist="Normal",DistA+DistB*I829,DistA+(DistB-DistA)*NORMSDIST(I829)),"")</f>
        <v/>
      </c>
      <c r="K829">
        <f>IF(B829,INDEX(MineScale,C829),"")</f>
        <v/>
      </c>
      <c r="L829">
        <f>IF(B829,INDEX(Dow,1,WEEKDAY(E829,2)),"")</f>
        <v/>
      </c>
      <c r="M829">
        <f>IF(B829,(1+Trend)^D829,"")</f>
        <v/>
      </c>
      <c r="N829">
        <f>IF(B829,EXP(SUMPRODUCT(LN(1+(EvEff-1)*INDEX(Affected,0,C829)*EXP(-((E829-EvCenter)^2)/(2*EvSigma^2))))),"")</f>
        <v/>
      </c>
      <c r="O829">
        <f>IF(B829,ROUND(MAX(0,J829*K829*L829*M829*N829),2),"")</f>
        <v/>
      </c>
    </row>
    <row r="830">
      <c r="A830" t="n">
        <v>829</v>
      </c>
      <c r="B830">
        <f>A830&lt;=MineCount*Days</f>
        <v/>
      </c>
      <c r="C830">
        <f>IF(B830,INT((A830-1)/Days)+1,"")</f>
        <v/>
      </c>
      <c r="D830">
        <f>IF(B830,MOD(A830-1,Days),"")</f>
        <v/>
      </c>
      <c r="E830" s="16">
        <f>IF(B830,StartDate+D830,"")</f>
        <v/>
      </c>
      <c r="F830">
        <f>IF(B830,MAX(MOD(SIN(Seed*0.1373+C830*12.9898+D830*78.233)*43758.5453,1),1E-9),"")</f>
        <v/>
      </c>
      <c r="G830">
        <f>IF(B830,MOD(SIN(Seed*0.5917+C830*39.3468+D830*11.135)*24634.6345,1),"")</f>
        <v/>
      </c>
      <c r="H830">
        <f>IF(B830,SQRT(-2*LN(F830))*COS(2*PI()*G830),"")</f>
        <v/>
      </c>
      <c r="I830">
        <f>IF(B830,IF(D830=0,H830,Rho*I829+SQRT(1-Rho^2)*H830),"")</f>
        <v/>
      </c>
      <c r="J830">
        <f>IF(B830,IF(Dist="Normal",DistA+DistB*I830,DistA+(DistB-DistA)*NORMSDIST(I830)),"")</f>
        <v/>
      </c>
      <c r="K830">
        <f>IF(B830,INDEX(MineScale,C830),"")</f>
        <v/>
      </c>
      <c r="L830">
        <f>IF(B830,INDEX(Dow,1,WEEKDAY(E830,2)),"")</f>
        <v/>
      </c>
      <c r="M830">
        <f>IF(B830,(1+Trend)^D830,"")</f>
        <v/>
      </c>
      <c r="N830">
        <f>IF(B830,EXP(SUMPRODUCT(LN(1+(EvEff-1)*INDEX(Affected,0,C830)*EXP(-((E830-EvCenter)^2)/(2*EvSigma^2))))),"")</f>
        <v/>
      </c>
      <c r="O830">
        <f>IF(B830,ROUND(MAX(0,J830*K830*L830*M830*N830),2),"")</f>
        <v/>
      </c>
    </row>
    <row r="831">
      <c r="A831" t="n">
        <v>830</v>
      </c>
      <c r="B831">
        <f>A831&lt;=MineCount*Days</f>
        <v/>
      </c>
      <c r="C831">
        <f>IF(B831,INT((A831-1)/Days)+1,"")</f>
        <v/>
      </c>
      <c r="D831">
        <f>IF(B831,MOD(A831-1,Days),"")</f>
        <v/>
      </c>
      <c r="E831" s="16">
        <f>IF(B831,StartDate+D831,"")</f>
        <v/>
      </c>
      <c r="F831">
        <f>IF(B831,MAX(MOD(SIN(Seed*0.1373+C831*12.9898+D831*78.233)*43758.5453,1),1E-9),"")</f>
        <v/>
      </c>
      <c r="G831">
        <f>IF(B831,MOD(SIN(Seed*0.5917+C831*39.3468+D831*11.135)*24634.6345,1),"")</f>
        <v/>
      </c>
      <c r="H831">
        <f>IF(B831,SQRT(-2*LN(F831))*COS(2*PI()*G831),"")</f>
        <v/>
      </c>
      <c r="I831">
        <f>IF(B831,IF(D831=0,H831,Rho*I830+SQRT(1-Rho^2)*H831),"")</f>
        <v/>
      </c>
      <c r="J831">
        <f>IF(B831,IF(Dist="Normal",DistA+DistB*I831,DistA+(DistB-DistA)*NORMSDIST(I831)),"")</f>
        <v/>
      </c>
      <c r="K831">
        <f>IF(B831,INDEX(MineScale,C831),"")</f>
        <v/>
      </c>
      <c r="L831">
        <f>IF(B831,INDEX(Dow,1,WEEKDAY(E831,2)),"")</f>
        <v/>
      </c>
      <c r="M831">
        <f>IF(B831,(1+Trend)^D831,"")</f>
        <v/>
      </c>
      <c r="N831">
        <f>IF(B831,EXP(SUMPRODUCT(LN(1+(EvEff-1)*INDEX(Affected,0,C831)*EXP(-((E831-EvCenter)^2)/(2*EvSigma^2))))),"")</f>
        <v/>
      </c>
      <c r="O831">
        <f>IF(B831,ROUND(MAX(0,J831*K831*L831*M831*N831),2),"")</f>
        <v/>
      </c>
    </row>
    <row r="832">
      <c r="A832" t="n">
        <v>831</v>
      </c>
      <c r="B832">
        <f>A832&lt;=MineCount*Days</f>
        <v/>
      </c>
      <c r="C832">
        <f>IF(B832,INT((A832-1)/Days)+1,"")</f>
        <v/>
      </c>
      <c r="D832">
        <f>IF(B832,MOD(A832-1,Days),"")</f>
        <v/>
      </c>
      <c r="E832" s="16">
        <f>IF(B832,StartDate+D832,"")</f>
        <v/>
      </c>
      <c r="F832">
        <f>IF(B832,MAX(MOD(SIN(Seed*0.1373+C832*12.9898+D832*78.233)*43758.5453,1),1E-9),"")</f>
        <v/>
      </c>
      <c r="G832">
        <f>IF(B832,MOD(SIN(Seed*0.5917+C832*39.3468+D832*11.135)*24634.6345,1),"")</f>
        <v/>
      </c>
      <c r="H832">
        <f>IF(B832,SQRT(-2*LN(F832))*COS(2*PI()*G832),"")</f>
        <v/>
      </c>
      <c r="I832">
        <f>IF(B832,IF(D832=0,H832,Rho*I831+SQRT(1-Rho^2)*H832),"")</f>
        <v/>
      </c>
      <c r="J832">
        <f>IF(B832,IF(Dist="Normal",DistA+DistB*I832,DistA+(DistB-DistA)*NORMSDIST(I832)),"")</f>
        <v/>
      </c>
      <c r="K832">
        <f>IF(B832,INDEX(MineScale,C832),"")</f>
        <v/>
      </c>
      <c r="L832">
        <f>IF(B832,INDEX(Dow,1,WEEKDAY(E832,2)),"")</f>
        <v/>
      </c>
      <c r="M832">
        <f>IF(B832,(1+Trend)^D832,"")</f>
        <v/>
      </c>
      <c r="N832">
        <f>IF(B832,EXP(SUMPRODUCT(LN(1+(EvEff-1)*INDEX(Affected,0,C832)*EXP(-((E832-EvCenter)^2)/(2*EvSigma^2))))),"")</f>
        <v/>
      </c>
      <c r="O832">
        <f>IF(B832,ROUND(MAX(0,J832*K832*L832*M832*N832),2),"")</f>
        <v/>
      </c>
    </row>
    <row r="833">
      <c r="A833" t="n">
        <v>832</v>
      </c>
      <c r="B833">
        <f>A833&lt;=MineCount*Days</f>
        <v/>
      </c>
      <c r="C833">
        <f>IF(B833,INT((A833-1)/Days)+1,"")</f>
        <v/>
      </c>
      <c r="D833">
        <f>IF(B833,MOD(A833-1,Days),"")</f>
        <v/>
      </c>
      <c r="E833" s="16">
        <f>IF(B833,StartDate+D833,"")</f>
        <v/>
      </c>
      <c r="F833">
        <f>IF(B833,MAX(MOD(SIN(Seed*0.1373+C833*12.9898+D833*78.233)*43758.5453,1),1E-9),"")</f>
        <v/>
      </c>
      <c r="G833">
        <f>IF(B833,MOD(SIN(Seed*0.5917+C833*39.3468+D833*11.135)*24634.6345,1),"")</f>
        <v/>
      </c>
      <c r="H833">
        <f>IF(B833,SQRT(-2*LN(F833))*COS(2*PI()*G833),"")</f>
        <v/>
      </c>
      <c r="I833">
        <f>IF(B833,IF(D833=0,H833,Rho*I832+SQRT(1-Rho^2)*H833),"")</f>
        <v/>
      </c>
      <c r="J833">
        <f>IF(B833,IF(Dist="Normal",DistA+DistB*I833,DistA+(DistB-DistA)*NORMSDIST(I833)),"")</f>
        <v/>
      </c>
      <c r="K833">
        <f>IF(B833,INDEX(MineScale,C833),"")</f>
        <v/>
      </c>
      <c r="L833">
        <f>IF(B833,INDEX(Dow,1,WEEKDAY(E833,2)),"")</f>
        <v/>
      </c>
      <c r="M833">
        <f>IF(B833,(1+Trend)^D833,"")</f>
        <v/>
      </c>
      <c r="N833">
        <f>IF(B833,EXP(SUMPRODUCT(LN(1+(EvEff-1)*INDEX(Affected,0,C833)*EXP(-((E833-EvCenter)^2)/(2*EvSigma^2))))),"")</f>
        <v/>
      </c>
      <c r="O833">
        <f>IF(B833,ROUND(MAX(0,J833*K833*L833*M833*N833),2),"")</f>
        <v/>
      </c>
    </row>
    <row r="834">
      <c r="A834" t="n">
        <v>833</v>
      </c>
      <c r="B834">
        <f>A834&lt;=MineCount*Days</f>
        <v/>
      </c>
      <c r="C834">
        <f>IF(B834,INT((A834-1)/Days)+1,"")</f>
        <v/>
      </c>
      <c r="D834">
        <f>IF(B834,MOD(A834-1,Days),"")</f>
        <v/>
      </c>
      <c r="E834" s="16">
        <f>IF(B834,StartDate+D834,"")</f>
        <v/>
      </c>
      <c r="F834">
        <f>IF(B834,MAX(MOD(SIN(Seed*0.1373+C834*12.9898+D834*78.233)*43758.5453,1),1E-9),"")</f>
        <v/>
      </c>
      <c r="G834">
        <f>IF(B834,MOD(SIN(Seed*0.5917+C834*39.3468+D834*11.135)*24634.6345,1),"")</f>
        <v/>
      </c>
      <c r="H834">
        <f>IF(B834,SQRT(-2*LN(F834))*COS(2*PI()*G834),"")</f>
        <v/>
      </c>
      <c r="I834">
        <f>IF(B834,IF(D834=0,H834,Rho*I833+SQRT(1-Rho^2)*H834),"")</f>
        <v/>
      </c>
      <c r="J834">
        <f>IF(B834,IF(Dist="Normal",DistA+DistB*I834,DistA+(DistB-DistA)*NORMSDIST(I834)),"")</f>
        <v/>
      </c>
      <c r="K834">
        <f>IF(B834,INDEX(MineScale,C834),"")</f>
        <v/>
      </c>
      <c r="L834">
        <f>IF(B834,INDEX(Dow,1,WEEKDAY(E834,2)),"")</f>
        <v/>
      </c>
      <c r="M834">
        <f>IF(B834,(1+Trend)^D834,"")</f>
        <v/>
      </c>
      <c r="N834">
        <f>IF(B834,EXP(SUMPRODUCT(LN(1+(EvEff-1)*INDEX(Affected,0,C834)*EXP(-((E834-EvCenter)^2)/(2*EvSigma^2))))),"")</f>
        <v/>
      </c>
      <c r="O834">
        <f>IF(B834,ROUND(MAX(0,J834*K834*L834*M834*N834),2),"")</f>
        <v/>
      </c>
    </row>
    <row r="835">
      <c r="A835" t="n">
        <v>834</v>
      </c>
      <c r="B835">
        <f>A835&lt;=MineCount*Days</f>
        <v/>
      </c>
      <c r="C835">
        <f>IF(B835,INT((A835-1)/Days)+1,"")</f>
        <v/>
      </c>
      <c r="D835">
        <f>IF(B835,MOD(A835-1,Days),"")</f>
        <v/>
      </c>
      <c r="E835" s="16">
        <f>IF(B835,StartDate+D835,"")</f>
        <v/>
      </c>
      <c r="F835">
        <f>IF(B835,MAX(MOD(SIN(Seed*0.1373+C835*12.9898+D835*78.233)*43758.5453,1),1E-9),"")</f>
        <v/>
      </c>
      <c r="G835">
        <f>IF(B835,MOD(SIN(Seed*0.5917+C835*39.3468+D835*11.135)*24634.6345,1),"")</f>
        <v/>
      </c>
      <c r="H835">
        <f>IF(B835,SQRT(-2*LN(F835))*COS(2*PI()*G835),"")</f>
        <v/>
      </c>
      <c r="I835">
        <f>IF(B835,IF(D835=0,H835,Rho*I834+SQRT(1-Rho^2)*H835),"")</f>
        <v/>
      </c>
      <c r="J835">
        <f>IF(B835,IF(Dist="Normal",DistA+DistB*I835,DistA+(DistB-DistA)*NORMSDIST(I835)),"")</f>
        <v/>
      </c>
      <c r="K835">
        <f>IF(B835,INDEX(MineScale,C835),"")</f>
        <v/>
      </c>
      <c r="L835">
        <f>IF(B835,INDEX(Dow,1,WEEKDAY(E835,2)),"")</f>
        <v/>
      </c>
      <c r="M835">
        <f>IF(B835,(1+Trend)^D835,"")</f>
        <v/>
      </c>
      <c r="N835">
        <f>IF(B835,EXP(SUMPRODUCT(LN(1+(EvEff-1)*INDEX(Affected,0,C835)*EXP(-((E835-EvCenter)^2)/(2*EvSigma^2))))),"")</f>
        <v/>
      </c>
      <c r="O835">
        <f>IF(B835,ROUND(MAX(0,J835*K835*L835*M835*N835),2),"")</f>
        <v/>
      </c>
    </row>
    <row r="836">
      <c r="A836" t="n">
        <v>835</v>
      </c>
      <c r="B836">
        <f>A836&lt;=MineCount*Days</f>
        <v/>
      </c>
      <c r="C836">
        <f>IF(B836,INT((A836-1)/Days)+1,"")</f>
        <v/>
      </c>
      <c r="D836">
        <f>IF(B836,MOD(A836-1,Days),"")</f>
        <v/>
      </c>
      <c r="E836" s="16">
        <f>IF(B836,StartDate+D836,"")</f>
        <v/>
      </c>
      <c r="F836">
        <f>IF(B836,MAX(MOD(SIN(Seed*0.1373+C836*12.9898+D836*78.233)*43758.5453,1),1E-9),"")</f>
        <v/>
      </c>
      <c r="G836">
        <f>IF(B836,MOD(SIN(Seed*0.5917+C836*39.3468+D836*11.135)*24634.6345,1),"")</f>
        <v/>
      </c>
      <c r="H836">
        <f>IF(B836,SQRT(-2*LN(F836))*COS(2*PI()*G836),"")</f>
        <v/>
      </c>
      <c r="I836">
        <f>IF(B836,IF(D836=0,H836,Rho*I835+SQRT(1-Rho^2)*H836),"")</f>
        <v/>
      </c>
      <c r="J836">
        <f>IF(B836,IF(Dist="Normal",DistA+DistB*I836,DistA+(DistB-DistA)*NORMSDIST(I836)),"")</f>
        <v/>
      </c>
      <c r="K836">
        <f>IF(B836,INDEX(MineScale,C836),"")</f>
        <v/>
      </c>
      <c r="L836">
        <f>IF(B836,INDEX(Dow,1,WEEKDAY(E836,2)),"")</f>
        <v/>
      </c>
      <c r="M836">
        <f>IF(B836,(1+Trend)^D836,"")</f>
        <v/>
      </c>
      <c r="N836">
        <f>IF(B836,EXP(SUMPRODUCT(LN(1+(EvEff-1)*INDEX(Affected,0,C836)*EXP(-((E836-EvCenter)^2)/(2*EvSigma^2))))),"")</f>
        <v/>
      </c>
      <c r="O836">
        <f>IF(B836,ROUND(MAX(0,J836*K836*L836*M836*N836),2),"")</f>
        <v/>
      </c>
    </row>
    <row r="837">
      <c r="A837" t="n">
        <v>836</v>
      </c>
      <c r="B837">
        <f>A837&lt;=MineCount*Days</f>
        <v/>
      </c>
      <c r="C837">
        <f>IF(B837,INT((A837-1)/Days)+1,"")</f>
        <v/>
      </c>
      <c r="D837">
        <f>IF(B837,MOD(A837-1,Days),"")</f>
        <v/>
      </c>
      <c r="E837" s="16">
        <f>IF(B837,StartDate+D837,"")</f>
        <v/>
      </c>
      <c r="F837">
        <f>IF(B837,MAX(MOD(SIN(Seed*0.1373+C837*12.9898+D837*78.233)*43758.5453,1),1E-9),"")</f>
        <v/>
      </c>
      <c r="G837">
        <f>IF(B837,MOD(SIN(Seed*0.5917+C837*39.3468+D837*11.135)*24634.6345,1),"")</f>
        <v/>
      </c>
      <c r="H837">
        <f>IF(B837,SQRT(-2*LN(F837))*COS(2*PI()*G837),"")</f>
        <v/>
      </c>
      <c r="I837">
        <f>IF(B837,IF(D837=0,H837,Rho*I836+SQRT(1-Rho^2)*H837),"")</f>
        <v/>
      </c>
      <c r="J837">
        <f>IF(B837,IF(Dist="Normal",DistA+DistB*I837,DistA+(DistB-DistA)*NORMSDIST(I837)),"")</f>
        <v/>
      </c>
      <c r="K837">
        <f>IF(B837,INDEX(MineScale,C837),"")</f>
        <v/>
      </c>
      <c r="L837">
        <f>IF(B837,INDEX(Dow,1,WEEKDAY(E837,2)),"")</f>
        <v/>
      </c>
      <c r="M837">
        <f>IF(B837,(1+Trend)^D837,"")</f>
        <v/>
      </c>
      <c r="N837">
        <f>IF(B837,EXP(SUMPRODUCT(LN(1+(EvEff-1)*INDEX(Affected,0,C837)*EXP(-((E837-EvCenter)^2)/(2*EvSigma^2))))),"")</f>
        <v/>
      </c>
      <c r="O837">
        <f>IF(B837,ROUND(MAX(0,J837*K837*L837*M837*N837),2),"")</f>
        <v/>
      </c>
    </row>
    <row r="838">
      <c r="A838" t="n">
        <v>837</v>
      </c>
      <c r="B838">
        <f>A838&lt;=MineCount*Days</f>
        <v/>
      </c>
      <c r="C838">
        <f>IF(B838,INT((A838-1)/Days)+1,"")</f>
        <v/>
      </c>
      <c r="D838">
        <f>IF(B838,MOD(A838-1,Days),"")</f>
        <v/>
      </c>
      <c r="E838" s="16">
        <f>IF(B838,StartDate+D838,"")</f>
        <v/>
      </c>
      <c r="F838">
        <f>IF(B838,MAX(MOD(SIN(Seed*0.1373+C838*12.9898+D838*78.233)*43758.5453,1),1E-9),"")</f>
        <v/>
      </c>
      <c r="G838">
        <f>IF(B838,MOD(SIN(Seed*0.5917+C838*39.3468+D838*11.135)*24634.6345,1),"")</f>
        <v/>
      </c>
      <c r="H838">
        <f>IF(B838,SQRT(-2*LN(F838))*COS(2*PI()*G838),"")</f>
        <v/>
      </c>
      <c r="I838">
        <f>IF(B838,IF(D838=0,H838,Rho*I837+SQRT(1-Rho^2)*H838),"")</f>
        <v/>
      </c>
      <c r="J838">
        <f>IF(B838,IF(Dist="Normal",DistA+DistB*I838,DistA+(DistB-DistA)*NORMSDIST(I838)),"")</f>
        <v/>
      </c>
      <c r="K838">
        <f>IF(B838,INDEX(MineScale,C838),"")</f>
        <v/>
      </c>
      <c r="L838">
        <f>IF(B838,INDEX(Dow,1,WEEKDAY(E838,2)),"")</f>
        <v/>
      </c>
      <c r="M838">
        <f>IF(B838,(1+Trend)^D838,"")</f>
        <v/>
      </c>
      <c r="N838">
        <f>IF(B838,EXP(SUMPRODUCT(LN(1+(EvEff-1)*INDEX(Affected,0,C838)*EXP(-((E838-EvCenter)^2)/(2*EvSigma^2))))),"")</f>
        <v/>
      </c>
      <c r="O838">
        <f>IF(B838,ROUND(MAX(0,J838*K838*L838*M838*N838),2),"")</f>
        <v/>
      </c>
    </row>
    <row r="839">
      <c r="A839" t="n">
        <v>838</v>
      </c>
      <c r="B839">
        <f>A839&lt;=MineCount*Days</f>
        <v/>
      </c>
      <c r="C839">
        <f>IF(B839,INT((A839-1)/Days)+1,"")</f>
        <v/>
      </c>
      <c r="D839">
        <f>IF(B839,MOD(A839-1,Days),"")</f>
        <v/>
      </c>
      <c r="E839" s="16">
        <f>IF(B839,StartDate+D839,"")</f>
        <v/>
      </c>
      <c r="F839">
        <f>IF(B839,MAX(MOD(SIN(Seed*0.1373+C839*12.9898+D839*78.233)*43758.5453,1),1E-9),"")</f>
        <v/>
      </c>
      <c r="G839">
        <f>IF(B839,MOD(SIN(Seed*0.5917+C839*39.3468+D839*11.135)*24634.6345,1),"")</f>
        <v/>
      </c>
      <c r="H839">
        <f>IF(B839,SQRT(-2*LN(F839))*COS(2*PI()*G839),"")</f>
        <v/>
      </c>
      <c r="I839">
        <f>IF(B839,IF(D839=0,H839,Rho*I838+SQRT(1-Rho^2)*H839),"")</f>
        <v/>
      </c>
      <c r="J839">
        <f>IF(B839,IF(Dist="Normal",DistA+DistB*I839,DistA+(DistB-DistA)*NORMSDIST(I839)),"")</f>
        <v/>
      </c>
      <c r="K839">
        <f>IF(B839,INDEX(MineScale,C839),"")</f>
        <v/>
      </c>
      <c r="L839">
        <f>IF(B839,INDEX(Dow,1,WEEKDAY(E839,2)),"")</f>
        <v/>
      </c>
      <c r="M839">
        <f>IF(B839,(1+Trend)^D839,"")</f>
        <v/>
      </c>
      <c r="N839">
        <f>IF(B839,EXP(SUMPRODUCT(LN(1+(EvEff-1)*INDEX(Affected,0,C839)*EXP(-((E839-EvCenter)^2)/(2*EvSigma^2))))),"")</f>
        <v/>
      </c>
      <c r="O839">
        <f>IF(B839,ROUND(MAX(0,J839*K839*L839*M839*N839),2),"")</f>
        <v/>
      </c>
    </row>
    <row r="840">
      <c r="A840" t="n">
        <v>839</v>
      </c>
      <c r="B840">
        <f>A840&lt;=MineCount*Days</f>
        <v/>
      </c>
      <c r="C840">
        <f>IF(B840,INT((A840-1)/Days)+1,"")</f>
        <v/>
      </c>
      <c r="D840">
        <f>IF(B840,MOD(A840-1,Days),"")</f>
        <v/>
      </c>
      <c r="E840" s="16">
        <f>IF(B840,StartDate+D840,"")</f>
        <v/>
      </c>
      <c r="F840">
        <f>IF(B840,MAX(MOD(SIN(Seed*0.1373+C840*12.9898+D840*78.233)*43758.5453,1),1E-9),"")</f>
        <v/>
      </c>
      <c r="G840">
        <f>IF(B840,MOD(SIN(Seed*0.5917+C840*39.3468+D840*11.135)*24634.6345,1),"")</f>
        <v/>
      </c>
      <c r="H840">
        <f>IF(B840,SQRT(-2*LN(F840))*COS(2*PI()*G840),"")</f>
        <v/>
      </c>
      <c r="I840">
        <f>IF(B840,IF(D840=0,H840,Rho*I839+SQRT(1-Rho^2)*H840),"")</f>
        <v/>
      </c>
      <c r="J840">
        <f>IF(B840,IF(Dist="Normal",DistA+DistB*I840,DistA+(DistB-DistA)*NORMSDIST(I840)),"")</f>
        <v/>
      </c>
      <c r="K840">
        <f>IF(B840,INDEX(MineScale,C840),"")</f>
        <v/>
      </c>
      <c r="L840">
        <f>IF(B840,INDEX(Dow,1,WEEKDAY(E840,2)),"")</f>
        <v/>
      </c>
      <c r="M840">
        <f>IF(B840,(1+Trend)^D840,"")</f>
        <v/>
      </c>
      <c r="N840">
        <f>IF(B840,EXP(SUMPRODUCT(LN(1+(EvEff-1)*INDEX(Affected,0,C840)*EXP(-((E840-EvCenter)^2)/(2*EvSigma^2))))),"")</f>
        <v/>
      </c>
      <c r="O840">
        <f>IF(B840,ROUND(MAX(0,J840*K840*L840*M840*N840),2),"")</f>
        <v/>
      </c>
    </row>
    <row r="841">
      <c r="A841" t="n">
        <v>840</v>
      </c>
      <c r="B841">
        <f>A841&lt;=MineCount*Days</f>
        <v/>
      </c>
      <c r="C841">
        <f>IF(B841,INT((A841-1)/Days)+1,"")</f>
        <v/>
      </c>
      <c r="D841">
        <f>IF(B841,MOD(A841-1,Days),"")</f>
        <v/>
      </c>
      <c r="E841" s="16">
        <f>IF(B841,StartDate+D841,"")</f>
        <v/>
      </c>
      <c r="F841">
        <f>IF(B841,MAX(MOD(SIN(Seed*0.1373+C841*12.9898+D841*78.233)*43758.5453,1),1E-9),"")</f>
        <v/>
      </c>
      <c r="G841">
        <f>IF(B841,MOD(SIN(Seed*0.5917+C841*39.3468+D841*11.135)*24634.6345,1),"")</f>
        <v/>
      </c>
      <c r="H841">
        <f>IF(B841,SQRT(-2*LN(F841))*COS(2*PI()*G841),"")</f>
        <v/>
      </c>
      <c r="I841">
        <f>IF(B841,IF(D841=0,H841,Rho*I840+SQRT(1-Rho^2)*H841),"")</f>
        <v/>
      </c>
      <c r="J841">
        <f>IF(B841,IF(Dist="Normal",DistA+DistB*I841,DistA+(DistB-DistA)*NORMSDIST(I841)),"")</f>
        <v/>
      </c>
      <c r="K841">
        <f>IF(B841,INDEX(MineScale,C841),"")</f>
        <v/>
      </c>
      <c r="L841">
        <f>IF(B841,INDEX(Dow,1,WEEKDAY(E841,2)),"")</f>
        <v/>
      </c>
      <c r="M841">
        <f>IF(B841,(1+Trend)^D841,"")</f>
        <v/>
      </c>
      <c r="N841">
        <f>IF(B841,EXP(SUMPRODUCT(LN(1+(EvEff-1)*INDEX(Affected,0,C841)*EXP(-((E841-EvCenter)^2)/(2*EvSigma^2))))),"")</f>
        <v/>
      </c>
      <c r="O841">
        <f>IF(B841,ROUND(MAX(0,J841*K841*L841*M841*N841),2),"")</f>
        <v/>
      </c>
    </row>
    <row r="842">
      <c r="A842" t="n">
        <v>841</v>
      </c>
      <c r="B842">
        <f>A842&lt;=MineCount*Days</f>
        <v/>
      </c>
      <c r="C842">
        <f>IF(B842,INT((A842-1)/Days)+1,"")</f>
        <v/>
      </c>
      <c r="D842">
        <f>IF(B842,MOD(A842-1,Days),"")</f>
        <v/>
      </c>
      <c r="E842" s="16">
        <f>IF(B842,StartDate+D842,"")</f>
        <v/>
      </c>
      <c r="F842">
        <f>IF(B842,MAX(MOD(SIN(Seed*0.1373+C842*12.9898+D842*78.233)*43758.5453,1),1E-9),"")</f>
        <v/>
      </c>
      <c r="G842">
        <f>IF(B842,MOD(SIN(Seed*0.5917+C842*39.3468+D842*11.135)*24634.6345,1),"")</f>
        <v/>
      </c>
      <c r="H842">
        <f>IF(B842,SQRT(-2*LN(F842))*COS(2*PI()*G842),"")</f>
        <v/>
      </c>
      <c r="I842">
        <f>IF(B842,IF(D842=0,H842,Rho*I841+SQRT(1-Rho^2)*H842),"")</f>
        <v/>
      </c>
      <c r="J842">
        <f>IF(B842,IF(Dist="Normal",DistA+DistB*I842,DistA+(DistB-DistA)*NORMSDIST(I842)),"")</f>
        <v/>
      </c>
      <c r="K842">
        <f>IF(B842,INDEX(MineScale,C842),"")</f>
        <v/>
      </c>
      <c r="L842">
        <f>IF(B842,INDEX(Dow,1,WEEKDAY(E842,2)),"")</f>
        <v/>
      </c>
      <c r="M842">
        <f>IF(B842,(1+Trend)^D842,"")</f>
        <v/>
      </c>
      <c r="N842">
        <f>IF(B842,EXP(SUMPRODUCT(LN(1+(EvEff-1)*INDEX(Affected,0,C842)*EXP(-((E842-EvCenter)^2)/(2*EvSigma^2))))),"")</f>
        <v/>
      </c>
      <c r="O842">
        <f>IF(B842,ROUND(MAX(0,J842*K842*L842*M842*N842),2),"")</f>
        <v/>
      </c>
    </row>
    <row r="843">
      <c r="A843" t="n">
        <v>842</v>
      </c>
      <c r="B843">
        <f>A843&lt;=MineCount*Days</f>
        <v/>
      </c>
      <c r="C843">
        <f>IF(B843,INT((A843-1)/Days)+1,"")</f>
        <v/>
      </c>
      <c r="D843">
        <f>IF(B843,MOD(A843-1,Days),"")</f>
        <v/>
      </c>
      <c r="E843" s="16">
        <f>IF(B843,StartDate+D843,"")</f>
        <v/>
      </c>
      <c r="F843">
        <f>IF(B843,MAX(MOD(SIN(Seed*0.1373+C843*12.9898+D843*78.233)*43758.5453,1),1E-9),"")</f>
        <v/>
      </c>
      <c r="G843">
        <f>IF(B843,MOD(SIN(Seed*0.5917+C843*39.3468+D843*11.135)*24634.6345,1),"")</f>
        <v/>
      </c>
      <c r="H843">
        <f>IF(B843,SQRT(-2*LN(F843))*COS(2*PI()*G843),"")</f>
        <v/>
      </c>
      <c r="I843">
        <f>IF(B843,IF(D843=0,H843,Rho*I842+SQRT(1-Rho^2)*H843),"")</f>
        <v/>
      </c>
      <c r="J843">
        <f>IF(B843,IF(Dist="Normal",DistA+DistB*I843,DistA+(DistB-DistA)*NORMSDIST(I843)),"")</f>
        <v/>
      </c>
      <c r="K843">
        <f>IF(B843,INDEX(MineScale,C843),"")</f>
        <v/>
      </c>
      <c r="L843">
        <f>IF(B843,INDEX(Dow,1,WEEKDAY(E843,2)),"")</f>
        <v/>
      </c>
      <c r="M843">
        <f>IF(B843,(1+Trend)^D843,"")</f>
        <v/>
      </c>
      <c r="N843">
        <f>IF(B843,EXP(SUMPRODUCT(LN(1+(EvEff-1)*INDEX(Affected,0,C843)*EXP(-((E843-EvCenter)^2)/(2*EvSigma^2))))),"")</f>
        <v/>
      </c>
      <c r="O843">
        <f>IF(B843,ROUND(MAX(0,J843*K843*L843*M843*N843),2),"")</f>
        <v/>
      </c>
    </row>
    <row r="844">
      <c r="A844" t="n">
        <v>843</v>
      </c>
      <c r="B844">
        <f>A844&lt;=MineCount*Days</f>
        <v/>
      </c>
      <c r="C844">
        <f>IF(B844,INT((A844-1)/Days)+1,"")</f>
        <v/>
      </c>
      <c r="D844">
        <f>IF(B844,MOD(A844-1,Days),"")</f>
        <v/>
      </c>
      <c r="E844" s="16">
        <f>IF(B844,StartDate+D844,"")</f>
        <v/>
      </c>
      <c r="F844">
        <f>IF(B844,MAX(MOD(SIN(Seed*0.1373+C844*12.9898+D844*78.233)*43758.5453,1),1E-9),"")</f>
        <v/>
      </c>
      <c r="G844">
        <f>IF(B844,MOD(SIN(Seed*0.5917+C844*39.3468+D844*11.135)*24634.6345,1),"")</f>
        <v/>
      </c>
      <c r="H844">
        <f>IF(B844,SQRT(-2*LN(F844))*COS(2*PI()*G844),"")</f>
        <v/>
      </c>
      <c r="I844">
        <f>IF(B844,IF(D844=0,H844,Rho*I843+SQRT(1-Rho^2)*H844),"")</f>
        <v/>
      </c>
      <c r="J844">
        <f>IF(B844,IF(Dist="Normal",DistA+DistB*I844,DistA+(DistB-DistA)*NORMSDIST(I844)),"")</f>
        <v/>
      </c>
      <c r="K844">
        <f>IF(B844,INDEX(MineScale,C844),"")</f>
        <v/>
      </c>
      <c r="L844">
        <f>IF(B844,INDEX(Dow,1,WEEKDAY(E844,2)),"")</f>
        <v/>
      </c>
      <c r="M844">
        <f>IF(B844,(1+Trend)^D844,"")</f>
        <v/>
      </c>
      <c r="N844">
        <f>IF(B844,EXP(SUMPRODUCT(LN(1+(EvEff-1)*INDEX(Affected,0,C844)*EXP(-((E844-EvCenter)^2)/(2*EvSigma^2))))),"")</f>
        <v/>
      </c>
      <c r="O844">
        <f>IF(B844,ROUND(MAX(0,J844*K844*L844*M844*N844),2),"")</f>
        <v/>
      </c>
    </row>
    <row r="845">
      <c r="A845" t="n">
        <v>844</v>
      </c>
      <c r="B845">
        <f>A845&lt;=MineCount*Days</f>
        <v/>
      </c>
      <c r="C845">
        <f>IF(B845,INT((A845-1)/Days)+1,"")</f>
        <v/>
      </c>
      <c r="D845">
        <f>IF(B845,MOD(A845-1,Days),"")</f>
        <v/>
      </c>
      <c r="E845" s="16">
        <f>IF(B845,StartDate+D845,"")</f>
        <v/>
      </c>
      <c r="F845">
        <f>IF(B845,MAX(MOD(SIN(Seed*0.1373+C845*12.9898+D845*78.233)*43758.5453,1),1E-9),"")</f>
        <v/>
      </c>
      <c r="G845">
        <f>IF(B845,MOD(SIN(Seed*0.5917+C845*39.3468+D845*11.135)*24634.6345,1),"")</f>
        <v/>
      </c>
      <c r="H845">
        <f>IF(B845,SQRT(-2*LN(F845))*COS(2*PI()*G845),"")</f>
        <v/>
      </c>
      <c r="I845">
        <f>IF(B845,IF(D845=0,H845,Rho*I844+SQRT(1-Rho^2)*H845),"")</f>
        <v/>
      </c>
      <c r="J845">
        <f>IF(B845,IF(Dist="Normal",DistA+DistB*I845,DistA+(DistB-DistA)*NORMSDIST(I845)),"")</f>
        <v/>
      </c>
      <c r="K845">
        <f>IF(B845,INDEX(MineScale,C845),"")</f>
        <v/>
      </c>
      <c r="L845">
        <f>IF(B845,INDEX(Dow,1,WEEKDAY(E845,2)),"")</f>
        <v/>
      </c>
      <c r="M845">
        <f>IF(B845,(1+Trend)^D845,"")</f>
        <v/>
      </c>
      <c r="N845">
        <f>IF(B845,EXP(SUMPRODUCT(LN(1+(EvEff-1)*INDEX(Affected,0,C845)*EXP(-((E845-EvCenter)^2)/(2*EvSigma^2))))),"")</f>
        <v/>
      </c>
      <c r="O845">
        <f>IF(B845,ROUND(MAX(0,J845*K845*L845*M845*N845),2),"")</f>
        <v/>
      </c>
    </row>
    <row r="846">
      <c r="A846" t="n">
        <v>845</v>
      </c>
      <c r="B846">
        <f>A846&lt;=MineCount*Days</f>
        <v/>
      </c>
      <c r="C846">
        <f>IF(B846,INT((A846-1)/Days)+1,"")</f>
        <v/>
      </c>
      <c r="D846">
        <f>IF(B846,MOD(A846-1,Days),"")</f>
        <v/>
      </c>
      <c r="E846" s="16">
        <f>IF(B846,StartDate+D846,"")</f>
        <v/>
      </c>
      <c r="F846">
        <f>IF(B846,MAX(MOD(SIN(Seed*0.1373+C846*12.9898+D846*78.233)*43758.5453,1),1E-9),"")</f>
        <v/>
      </c>
      <c r="G846">
        <f>IF(B846,MOD(SIN(Seed*0.5917+C846*39.3468+D846*11.135)*24634.6345,1),"")</f>
        <v/>
      </c>
      <c r="H846">
        <f>IF(B846,SQRT(-2*LN(F846))*COS(2*PI()*G846),"")</f>
        <v/>
      </c>
      <c r="I846">
        <f>IF(B846,IF(D846=0,H846,Rho*I845+SQRT(1-Rho^2)*H846),"")</f>
        <v/>
      </c>
      <c r="J846">
        <f>IF(B846,IF(Dist="Normal",DistA+DistB*I846,DistA+(DistB-DistA)*NORMSDIST(I846)),"")</f>
        <v/>
      </c>
      <c r="K846">
        <f>IF(B846,INDEX(MineScale,C846),"")</f>
        <v/>
      </c>
      <c r="L846">
        <f>IF(B846,INDEX(Dow,1,WEEKDAY(E846,2)),"")</f>
        <v/>
      </c>
      <c r="M846">
        <f>IF(B846,(1+Trend)^D846,"")</f>
        <v/>
      </c>
      <c r="N846">
        <f>IF(B846,EXP(SUMPRODUCT(LN(1+(EvEff-1)*INDEX(Affected,0,C846)*EXP(-((E846-EvCenter)^2)/(2*EvSigma^2))))),"")</f>
        <v/>
      </c>
      <c r="O846">
        <f>IF(B846,ROUND(MAX(0,J846*K846*L846*M846*N846),2),"")</f>
        <v/>
      </c>
    </row>
    <row r="847">
      <c r="A847" t="n">
        <v>846</v>
      </c>
      <c r="B847">
        <f>A847&lt;=MineCount*Days</f>
        <v/>
      </c>
      <c r="C847">
        <f>IF(B847,INT((A847-1)/Days)+1,"")</f>
        <v/>
      </c>
      <c r="D847">
        <f>IF(B847,MOD(A847-1,Days),"")</f>
        <v/>
      </c>
      <c r="E847" s="16">
        <f>IF(B847,StartDate+D847,"")</f>
        <v/>
      </c>
      <c r="F847">
        <f>IF(B847,MAX(MOD(SIN(Seed*0.1373+C847*12.9898+D847*78.233)*43758.5453,1),1E-9),"")</f>
        <v/>
      </c>
      <c r="G847">
        <f>IF(B847,MOD(SIN(Seed*0.5917+C847*39.3468+D847*11.135)*24634.6345,1),"")</f>
        <v/>
      </c>
      <c r="H847">
        <f>IF(B847,SQRT(-2*LN(F847))*COS(2*PI()*G847),"")</f>
        <v/>
      </c>
      <c r="I847">
        <f>IF(B847,IF(D847=0,H847,Rho*I846+SQRT(1-Rho^2)*H847),"")</f>
        <v/>
      </c>
      <c r="J847">
        <f>IF(B847,IF(Dist="Normal",DistA+DistB*I847,DistA+(DistB-DistA)*NORMSDIST(I847)),"")</f>
        <v/>
      </c>
      <c r="K847">
        <f>IF(B847,INDEX(MineScale,C847),"")</f>
        <v/>
      </c>
      <c r="L847">
        <f>IF(B847,INDEX(Dow,1,WEEKDAY(E847,2)),"")</f>
        <v/>
      </c>
      <c r="M847">
        <f>IF(B847,(1+Trend)^D847,"")</f>
        <v/>
      </c>
      <c r="N847">
        <f>IF(B847,EXP(SUMPRODUCT(LN(1+(EvEff-1)*INDEX(Affected,0,C847)*EXP(-((E847-EvCenter)^2)/(2*EvSigma^2))))),"")</f>
        <v/>
      </c>
      <c r="O847">
        <f>IF(B847,ROUND(MAX(0,J847*K847*L847*M847*N847),2),"")</f>
        <v/>
      </c>
    </row>
    <row r="848">
      <c r="A848" t="n">
        <v>847</v>
      </c>
      <c r="B848">
        <f>A848&lt;=MineCount*Days</f>
        <v/>
      </c>
      <c r="C848">
        <f>IF(B848,INT((A848-1)/Days)+1,"")</f>
        <v/>
      </c>
      <c r="D848">
        <f>IF(B848,MOD(A848-1,Days),"")</f>
        <v/>
      </c>
      <c r="E848" s="16">
        <f>IF(B848,StartDate+D848,"")</f>
        <v/>
      </c>
      <c r="F848">
        <f>IF(B848,MAX(MOD(SIN(Seed*0.1373+C848*12.9898+D848*78.233)*43758.5453,1),1E-9),"")</f>
        <v/>
      </c>
      <c r="G848">
        <f>IF(B848,MOD(SIN(Seed*0.5917+C848*39.3468+D848*11.135)*24634.6345,1),"")</f>
        <v/>
      </c>
      <c r="H848">
        <f>IF(B848,SQRT(-2*LN(F848))*COS(2*PI()*G848),"")</f>
        <v/>
      </c>
      <c r="I848">
        <f>IF(B848,IF(D848=0,H848,Rho*I847+SQRT(1-Rho^2)*H848),"")</f>
        <v/>
      </c>
      <c r="J848">
        <f>IF(B848,IF(Dist="Normal",DistA+DistB*I848,DistA+(DistB-DistA)*NORMSDIST(I848)),"")</f>
        <v/>
      </c>
      <c r="K848">
        <f>IF(B848,INDEX(MineScale,C848),"")</f>
        <v/>
      </c>
      <c r="L848">
        <f>IF(B848,INDEX(Dow,1,WEEKDAY(E848,2)),"")</f>
        <v/>
      </c>
      <c r="M848">
        <f>IF(B848,(1+Trend)^D848,"")</f>
        <v/>
      </c>
      <c r="N848">
        <f>IF(B848,EXP(SUMPRODUCT(LN(1+(EvEff-1)*INDEX(Affected,0,C848)*EXP(-((E848-EvCenter)^2)/(2*EvSigma^2))))),"")</f>
        <v/>
      </c>
      <c r="O848">
        <f>IF(B848,ROUND(MAX(0,J848*K848*L848*M848*N848),2),"")</f>
        <v/>
      </c>
    </row>
    <row r="849">
      <c r="A849" t="n">
        <v>848</v>
      </c>
      <c r="B849">
        <f>A849&lt;=MineCount*Days</f>
        <v/>
      </c>
      <c r="C849">
        <f>IF(B849,INT((A849-1)/Days)+1,"")</f>
        <v/>
      </c>
      <c r="D849">
        <f>IF(B849,MOD(A849-1,Days),"")</f>
        <v/>
      </c>
      <c r="E849" s="16">
        <f>IF(B849,StartDate+D849,"")</f>
        <v/>
      </c>
      <c r="F849">
        <f>IF(B849,MAX(MOD(SIN(Seed*0.1373+C849*12.9898+D849*78.233)*43758.5453,1),1E-9),"")</f>
        <v/>
      </c>
      <c r="G849">
        <f>IF(B849,MOD(SIN(Seed*0.5917+C849*39.3468+D849*11.135)*24634.6345,1),"")</f>
        <v/>
      </c>
      <c r="H849">
        <f>IF(B849,SQRT(-2*LN(F849))*COS(2*PI()*G849),"")</f>
        <v/>
      </c>
      <c r="I849">
        <f>IF(B849,IF(D849=0,H849,Rho*I848+SQRT(1-Rho^2)*H849),"")</f>
        <v/>
      </c>
      <c r="J849">
        <f>IF(B849,IF(Dist="Normal",DistA+DistB*I849,DistA+(DistB-DistA)*NORMSDIST(I849)),"")</f>
        <v/>
      </c>
      <c r="K849">
        <f>IF(B849,INDEX(MineScale,C849),"")</f>
        <v/>
      </c>
      <c r="L849">
        <f>IF(B849,INDEX(Dow,1,WEEKDAY(E849,2)),"")</f>
        <v/>
      </c>
      <c r="M849">
        <f>IF(B849,(1+Trend)^D849,"")</f>
        <v/>
      </c>
      <c r="N849">
        <f>IF(B849,EXP(SUMPRODUCT(LN(1+(EvEff-1)*INDEX(Affected,0,C849)*EXP(-((E849-EvCenter)^2)/(2*EvSigma^2))))),"")</f>
        <v/>
      </c>
      <c r="O849">
        <f>IF(B849,ROUND(MAX(0,J849*K849*L849*M849*N849),2),"")</f>
        <v/>
      </c>
    </row>
    <row r="850">
      <c r="A850" t="n">
        <v>849</v>
      </c>
      <c r="B850">
        <f>A850&lt;=MineCount*Days</f>
        <v/>
      </c>
      <c r="C850">
        <f>IF(B850,INT((A850-1)/Days)+1,"")</f>
        <v/>
      </c>
      <c r="D850">
        <f>IF(B850,MOD(A850-1,Days),"")</f>
        <v/>
      </c>
      <c r="E850" s="16">
        <f>IF(B850,StartDate+D850,"")</f>
        <v/>
      </c>
      <c r="F850">
        <f>IF(B850,MAX(MOD(SIN(Seed*0.1373+C850*12.9898+D850*78.233)*43758.5453,1),1E-9),"")</f>
        <v/>
      </c>
      <c r="G850">
        <f>IF(B850,MOD(SIN(Seed*0.5917+C850*39.3468+D850*11.135)*24634.6345,1),"")</f>
        <v/>
      </c>
      <c r="H850">
        <f>IF(B850,SQRT(-2*LN(F850))*COS(2*PI()*G850),"")</f>
        <v/>
      </c>
      <c r="I850">
        <f>IF(B850,IF(D850=0,H850,Rho*I849+SQRT(1-Rho^2)*H850),"")</f>
        <v/>
      </c>
      <c r="J850">
        <f>IF(B850,IF(Dist="Normal",DistA+DistB*I850,DistA+(DistB-DistA)*NORMSDIST(I850)),"")</f>
        <v/>
      </c>
      <c r="K850">
        <f>IF(B850,INDEX(MineScale,C850),"")</f>
        <v/>
      </c>
      <c r="L850">
        <f>IF(B850,INDEX(Dow,1,WEEKDAY(E850,2)),"")</f>
        <v/>
      </c>
      <c r="M850">
        <f>IF(B850,(1+Trend)^D850,"")</f>
        <v/>
      </c>
      <c r="N850">
        <f>IF(B850,EXP(SUMPRODUCT(LN(1+(EvEff-1)*INDEX(Affected,0,C850)*EXP(-((E850-EvCenter)^2)/(2*EvSigma^2))))),"")</f>
        <v/>
      </c>
      <c r="O850">
        <f>IF(B850,ROUND(MAX(0,J850*K850*L850*M850*N850),2),"")</f>
        <v/>
      </c>
    </row>
    <row r="851">
      <c r="A851" t="n">
        <v>850</v>
      </c>
      <c r="B851">
        <f>A851&lt;=MineCount*Days</f>
        <v/>
      </c>
      <c r="C851">
        <f>IF(B851,INT((A851-1)/Days)+1,"")</f>
        <v/>
      </c>
      <c r="D851">
        <f>IF(B851,MOD(A851-1,Days),"")</f>
        <v/>
      </c>
      <c r="E851" s="16">
        <f>IF(B851,StartDate+D851,"")</f>
        <v/>
      </c>
      <c r="F851">
        <f>IF(B851,MAX(MOD(SIN(Seed*0.1373+C851*12.9898+D851*78.233)*43758.5453,1),1E-9),"")</f>
        <v/>
      </c>
      <c r="G851">
        <f>IF(B851,MOD(SIN(Seed*0.5917+C851*39.3468+D851*11.135)*24634.6345,1),"")</f>
        <v/>
      </c>
      <c r="H851">
        <f>IF(B851,SQRT(-2*LN(F851))*COS(2*PI()*G851),"")</f>
        <v/>
      </c>
      <c r="I851">
        <f>IF(B851,IF(D851=0,H851,Rho*I850+SQRT(1-Rho^2)*H851),"")</f>
        <v/>
      </c>
      <c r="J851">
        <f>IF(B851,IF(Dist="Normal",DistA+DistB*I851,DistA+(DistB-DistA)*NORMSDIST(I851)),"")</f>
        <v/>
      </c>
      <c r="K851">
        <f>IF(B851,INDEX(MineScale,C851),"")</f>
        <v/>
      </c>
      <c r="L851">
        <f>IF(B851,INDEX(Dow,1,WEEKDAY(E851,2)),"")</f>
        <v/>
      </c>
      <c r="M851">
        <f>IF(B851,(1+Trend)^D851,"")</f>
        <v/>
      </c>
      <c r="N851">
        <f>IF(B851,EXP(SUMPRODUCT(LN(1+(EvEff-1)*INDEX(Affected,0,C851)*EXP(-((E851-EvCenter)^2)/(2*EvSigma^2))))),"")</f>
        <v/>
      </c>
      <c r="O851">
        <f>IF(B851,ROUND(MAX(0,J851*K851*L851*M851*N851),2),"")</f>
        <v/>
      </c>
    </row>
    <row r="852">
      <c r="A852" t="n">
        <v>851</v>
      </c>
      <c r="B852">
        <f>A852&lt;=MineCount*Days</f>
        <v/>
      </c>
      <c r="C852">
        <f>IF(B852,INT((A852-1)/Days)+1,"")</f>
        <v/>
      </c>
      <c r="D852">
        <f>IF(B852,MOD(A852-1,Days),"")</f>
        <v/>
      </c>
      <c r="E852" s="16">
        <f>IF(B852,StartDate+D852,"")</f>
        <v/>
      </c>
      <c r="F852">
        <f>IF(B852,MAX(MOD(SIN(Seed*0.1373+C852*12.9898+D852*78.233)*43758.5453,1),1E-9),"")</f>
        <v/>
      </c>
      <c r="G852">
        <f>IF(B852,MOD(SIN(Seed*0.5917+C852*39.3468+D852*11.135)*24634.6345,1),"")</f>
        <v/>
      </c>
      <c r="H852">
        <f>IF(B852,SQRT(-2*LN(F852))*COS(2*PI()*G852),"")</f>
        <v/>
      </c>
      <c r="I852">
        <f>IF(B852,IF(D852=0,H852,Rho*I851+SQRT(1-Rho^2)*H852),"")</f>
        <v/>
      </c>
      <c r="J852">
        <f>IF(B852,IF(Dist="Normal",DistA+DistB*I852,DistA+(DistB-DistA)*NORMSDIST(I852)),"")</f>
        <v/>
      </c>
      <c r="K852">
        <f>IF(B852,INDEX(MineScale,C852),"")</f>
        <v/>
      </c>
      <c r="L852">
        <f>IF(B852,INDEX(Dow,1,WEEKDAY(E852,2)),"")</f>
        <v/>
      </c>
      <c r="M852">
        <f>IF(B852,(1+Trend)^D852,"")</f>
        <v/>
      </c>
      <c r="N852">
        <f>IF(B852,EXP(SUMPRODUCT(LN(1+(EvEff-1)*INDEX(Affected,0,C852)*EXP(-((E852-EvCenter)^2)/(2*EvSigma^2))))),"")</f>
        <v/>
      </c>
      <c r="O852">
        <f>IF(B852,ROUND(MAX(0,J852*K852*L852*M852*N852),2),"")</f>
        <v/>
      </c>
    </row>
    <row r="853">
      <c r="A853" t="n">
        <v>852</v>
      </c>
      <c r="B853">
        <f>A853&lt;=MineCount*Days</f>
        <v/>
      </c>
      <c r="C853">
        <f>IF(B853,INT((A853-1)/Days)+1,"")</f>
        <v/>
      </c>
      <c r="D853">
        <f>IF(B853,MOD(A853-1,Days),"")</f>
        <v/>
      </c>
      <c r="E853" s="16">
        <f>IF(B853,StartDate+D853,"")</f>
        <v/>
      </c>
      <c r="F853">
        <f>IF(B853,MAX(MOD(SIN(Seed*0.1373+C853*12.9898+D853*78.233)*43758.5453,1),1E-9),"")</f>
        <v/>
      </c>
      <c r="G853">
        <f>IF(B853,MOD(SIN(Seed*0.5917+C853*39.3468+D853*11.135)*24634.6345,1),"")</f>
        <v/>
      </c>
      <c r="H853">
        <f>IF(B853,SQRT(-2*LN(F853))*COS(2*PI()*G853),"")</f>
        <v/>
      </c>
      <c r="I853">
        <f>IF(B853,IF(D853=0,H853,Rho*I852+SQRT(1-Rho^2)*H853),"")</f>
        <v/>
      </c>
      <c r="J853">
        <f>IF(B853,IF(Dist="Normal",DistA+DistB*I853,DistA+(DistB-DistA)*NORMSDIST(I853)),"")</f>
        <v/>
      </c>
      <c r="K853">
        <f>IF(B853,INDEX(MineScale,C853),"")</f>
        <v/>
      </c>
      <c r="L853">
        <f>IF(B853,INDEX(Dow,1,WEEKDAY(E853,2)),"")</f>
        <v/>
      </c>
      <c r="M853">
        <f>IF(B853,(1+Trend)^D853,"")</f>
        <v/>
      </c>
      <c r="N853">
        <f>IF(B853,EXP(SUMPRODUCT(LN(1+(EvEff-1)*INDEX(Affected,0,C853)*EXP(-((E853-EvCenter)^2)/(2*EvSigma^2))))),"")</f>
        <v/>
      </c>
      <c r="O853">
        <f>IF(B853,ROUND(MAX(0,J853*K853*L853*M853*N853),2),"")</f>
        <v/>
      </c>
    </row>
    <row r="854">
      <c r="A854" t="n">
        <v>853</v>
      </c>
      <c r="B854">
        <f>A854&lt;=MineCount*Days</f>
        <v/>
      </c>
      <c r="C854">
        <f>IF(B854,INT((A854-1)/Days)+1,"")</f>
        <v/>
      </c>
      <c r="D854">
        <f>IF(B854,MOD(A854-1,Days),"")</f>
        <v/>
      </c>
      <c r="E854" s="16">
        <f>IF(B854,StartDate+D854,"")</f>
        <v/>
      </c>
      <c r="F854">
        <f>IF(B854,MAX(MOD(SIN(Seed*0.1373+C854*12.9898+D854*78.233)*43758.5453,1),1E-9),"")</f>
        <v/>
      </c>
      <c r="G854">
        <f>IF(B854,MOD(SIN(Seed*0.5917+C854*39.3468+D854*11.135)*24634.6345,1),"")</f>
        <v/>
      </c>
      <c r="H854">
        <f>IF(B854,SQRT(-2*LN(F854))*COS(2*PI()*G854),"")</f>
        <v/>
      </c>
      <c r="I854">
        <f>IF(B854,IF(D854=0,H854,Rho*I853+SQRT(1-Rho^2)*H854),"")</f>
        <v/>
      </c>
      <c r="J854">
        <f>IF(B854,IF(Dist="Normal",DistA+DistB*I854,DistA+(DistB-DistA)*NORMSDIST(I854)),"")</f>
        <v/>
      </c>
      <c r="K854">
        <f>IF(B854,INDEX(MineScale,C854),"")</f>
        <v/>
      </c>
      <c r="L854">
        <f>IF(B854,INDEX(Dow,1,WEEKDAY(E854,2)),"")</f>
        <v/>
      </c>
      <c r="M854">
        <f>IF(B854,(1+Trend)^D854,"")</f>
        <v/>
      </c>
      <c r="N854">
        <f>IF(B854,EXP(SUMPRODUCT(LN(1+(EvEff-1)*INDEX(Affected,0,C854)*EXP(-((E854-EvCenter)^2)/(2*EvSigma^2))))),"")</f>
        <v/>
      </c>
      <c r="O854">
        <f>IF(B854,ROUND(MAX(0,J854*K854*L854*M854*N854),2),"")</f>
        <v/>
      </c>
    </row>
    <row r="855">
      <c r="A855" t="n">
        <v>854</v>
      </c>
      <c r="B855">
        <f>A855&lt;=MineCount*Days</f>
        <v/>
      </c>
      <c r="C855">
        <f>IF(B855,INT((A855-1)/Days)+1,"")</f>
        <v/>
      </c>
      <c r="D855">
        <f>IF(B855,MOD(A855-1,Days),"")</f>
        <v/>
      </c>
      <c r="E855" s="16">
        <f>IF(B855,StartDate+D855,"")</f>
        <v/>
      </c>
      <c r="F855">
        <f>IF(B855,MAX(MOD(SIN(Seed*0.1373+C855*12.9898+D855*78.233)*43758.5453,1),1E-9),"")</f>
        <v/>
      </c>
      <c r="G855">
        <f>IF(B855,MOD(SIN(Seed*0.5917+C855*39.3468+D855*11.135)*24634.6345,1),"")</f>
        <v/>
      </c>
      <c r="H855">
        <f>IF(B855,SQRT(-2*LN(F855))*COS(2*PI()*G855),"")</f>
        <v/>
      </c>
      <c r="I855">
        <f>IF(B855,IF(D855=0,H855,Rho*I854+SQRT(1-Rho^2)*H855),"")</f>
        <v/>
      </c>
      <c r="J855">
        <f>IF(B855,IF(Dist="Normal",DistA+DistB*I855,DistA+(DistB-DistA)*NORMSDIST(I855)),"")</f>
        <v/>
      </c>
      <c r="K855">
        <f>IF(B855,INDEX(MineScale,C855),"")</f>
        <v/>
      </c>
      <c r="L855">
        <f>IF(B855,INDEX(Dow,1,WEEKDAY(E855,2)),"")</f>
        <v/>
      </c>
      <c r="M855">
        <f>IF(B855,(1+Trend)^D855,"")</f>
        <v/>
      </c>
      <c r="N855">
        <f>IF(B855,EXP(SUMPRODUCT(LN(1+(EvEff-1)*INDEX(Affected,0,C855)*EXP(-((E855-EvCenter)^2)/(2*EvSigma^2))))),"")</f>
        <v/>
      </c>
      <c r="O855">
        <f>IF(B855,ROUND(MAX(0,J855*K855*L855*M855*N855),2),"")</f>
        <v/>
      </c>
    </row>
    <row r="856">
      <c r="A856" t="n">
        <v>855</v>
      </c>
      <c r="B856">
        <f>A856&lt;=MineCount*Days</f>
        <v/>
      </c>
      <c r="C856">
        <f>IF(B856,INT((A856-1)/Days)+1,"")</f>
        <v/>
      </c>
      <c r="D856">
        <f>IF(B856,MOD(A856-1,Days),"")</f>
        <v/>
      </c>
      <c r="E856" s="16">
        <f>IF(B856,StartDate+D856,"")</f>
        <v/>
      </c>
      <c r="F856">
        <f>IF(B856,MAX(MOD(SIN(Seed*0.1373+C856*12.9898+D856*78.233)*43758.5453,1),1E-9),"")</f>
        <v/>
      </c>
      <c r="G856">
        <f>IF(B856,MOD(SIN(Seed*0.5917+C856*39.3468+D856*11.135)*24634.6345,1),"")</f>
        <v/>
      </c>
      <c r="H856">
        <f>IF(B856,SQRT(-2*LN(F856))*COS(2*PI()*G856),"")</f>
        <v/>
      </c>
      <c r="I856">
        <f>IF(B856,IF(D856=0,H856,Rho*I855+SQRT(1-Rho^2)*H856),"")</f>
        <v/>
      </c>
      <c r="J856">
        <f>IF(B856,IF(Dist="Normal",DistA+DistB*I856,DistA+(DistB-DistA)*NORMSDIST(I856)),"")</f>
        <v/>
      </c>
      <c r="K856">
        <f>IF(B856,INDEX(MineScale,C856),"")</f>
        <v/>
      </c>
      <c r="L856">
        <f>IF(B856,INDEX(Dow,1,WEEKDAY(E856,2)),"")</f>
        <v/>
      </c>
      <c r="M856">
        <f>IF(B856,(1+Trend)^D856,"")</f>
        <v/>
      </c>
      <c r="N856">
        <f>IF(B856,EXP(SUMPRODUCT(LN(1+(EvEff-1)*INDEX(Affected,0,C856)*EXP(-((E856-EvCenter)^2)/(2*EvSigma^2))))),"")</f>
        <v/>
      </c>
      <c r="O856">
        <f>IF(B856,ROUND(MAX(0,J856*K856*L856*M856*N856),2),"")</f>
        <v/>
      </c>
    </row>
    <row r="857">
      <c r="A857" t="n">
        <v>856</v>
      </c>
      <c r="B857">
        <f>A857&lt;=MineCount*Days</f>
        <v/>
      </c>
      <c r="C857">
        <f>IF(B857,INT((A857-1)/Days)+1,"")</f>
        <v/>
      </c>
      <c r="D857">
        <f>IF(B857,MOD(A857-1,Days),"")</f>
        <v/>
      </c>
      <c r="E857" s="16">
        <f>IF(B857,StartDate+D857,"")</f>
        <v/>
      </c>
      <c r="F857">
        <f>IF(B857,MAX(MOD(SIN(Seed*0.1373+C857*12.9898+D857*78.233)*43758.5453,1),1E-9),"")</f>
        <v/>
      </c>
      <c r="G857">
        <f>IF(B857,MOD(SIN(Seed*0.5917+C857*39.3468+D857*11.135)*24634.6345,1),"")</f>
        <v/>
      </c>
      <c r="H857">
        <f>IF(B857,SQRT(-2*LN(F857))*COS(2*PI()*G857),"")</f>
        <v/>
      </c>
      <c r="I857">
        <f>IF(B857,IF(D857=0,H857,Rho*I856+SQRT(1-Rho^2)*H857),"")</f>
        <v/>
      </c>
      <c r="J857">
        <f>IF(B857,IF(Dist="Normal",DistA+DistB*I857,DistA+(DistB-DistA)*NORMSDIST(I857)),"")</f>
        <v/>
      </c>
      <c r="K857">
        <f>IF(B857,INDEX(MineScale,C857),"")</f>
        <v/>
      </c>
      <c r="L857">
        <f>IF(B857,INDEX(Dow,1,WEEKDAY(E857,2)),"")</f>
        <v/>
      </c>
      <c r="M857">
        <f>IF(B857,(1+Trend)^D857,"")</f>
        <v/>
      </c>
      <c r="N857">
        <f>IF(B857,EXP(SUMPRODUCT(LN(1+(EvEff-1)*INDEX(Affected,0,C857)*EXP(-((E857-EvCenter)^2)/(2*EvSigma^2))))),"")</f>
        <v/>
      </c>
      <c r="O857">
        <f>IF(B857,ROUND(MAX(0,J857*K857*L857*M857*N857),2),"")</f>
        <v/>
      </c>
    </row>
    <row r="858">
      <c r="A858" t="n">
        <v>857</v>
      </c>
      <c r="B858">
        <f>A858&lt;=MineCount*Days</f>
        <v/>
      </c>
      <c r="C858">
        <f>IF(B858,INT((A858-1)/Days)+1,"")</f>
        <v/>
      </c>
      <c r="D858">
        <f>IF(B858,MOD(A858-1,Days),"")</f>
        <v/>
      </c>
      <c r="E858" s="16">
        <f>IF(B858,StartDate+D858,"")</f>
        <v/>
      </c>
      <c r="F858">
        <f>IF(B858,MAX(MOD(SIN(Seed*0.1373+C858*12.9898+D858*78.233)*43758.5453,1),1E-9),"")</f>
        <v/>
      </c>
      <c r="G858">
        <f>IF(B858,MOD(SIN(Seed*0.5917+C858*39.3468+D858*11.135)*24634.6345,1),"")</f>
        <v/>
      </c>
      <c r="H858">
        <f>IF(B858,SQRT(-2*LN(F858))*COS(2*PI()*G858),"")</f>
        <v/>
      </c>
      <c r="I858">
        <f>IF(B858,IF(D858=0,H858,Rho*I857+SQRT(1-Rho^2)*H858),"")</f>
        <v/>
      </c>
      <c r="J858">
        <f>IF(B858,IF(Dist="Normal",DistA+DistB*I858,DistA+(DistB-DistA)*NORMSDIST(I858)),"")</f>
        <v/>
      </c>
      <c r="K858">
        <f>IF(B858,INDEX(MineScale,C858),"")</f>
        <v/>
      </c>
      <c r="L858">
        <f>IF(B858,INDEX(Dow,1,WEEKDAY(E858,2)),"")</f>
        <v/>
      </c>
      <c r="M858">
        <f>IF(B858,(1+Trend)^D858,"")</f>
        <v/>
      </c>
      <c r="N858">
        <f>IF(B858,EXP(SUMPRODUCT(LN(1+(EvEff-1)*INDEX(Affected,0,C858)*EXP(-((E858-EvCenter)^2)/(2*EvSigma^2))))),"")</f>
        <v/>
      </c>
      <c r="O858">
        <f>IF(B858,ROUND(MAX(0,J858*K858*L858*M858*N858),2),"")</f>
        <v/>
      </c>
    </row>
    <row r="859">
      <c r="A859" t="n">
        <v>858</v>
      </c>
      <c r="B859">
        <f>A859&lt;=MineCount*Days</f>
        <v/>
      </c>
      <c r="C859">
        <f>IF(B859,INT((A859-1)/Days)+1,"")</f>
        <v/>
      </c>
      <c r="D859">
        <f>IF(B859,MOD(A859-1,Days),"")</f>
        <v/>
      </c>
      <c r="E859" s="16">
        <f>IF(B859,StartDate+D859,"")</f>
        <v/>
      </c>
      <c r="F859">
        <f>IF(B859,MAX(MOD(SIN(Seed*0.1373+C859*12.9898+D859*78.233)*43758.5453,1),1E-9),"")</f>
        <v/>
      </c>
      <c r="G859">
        <f>IF(B859,MOD(SIN(Seed*0.5917+C859*39.3468+D859*11.135)*24634.6345,1),"")</f>
        <v/>
      </c>
      <c r="H859">
        <f>IF(B859,SQRT(-2*LN(F859))*COS(2*PI()*G859),"")</f>
        <v/>
      </c>
      <c r="I859">
        <f>IF(B859,IF(D859=0,H859,Rho*I858+SQRT(1-Rho^2)*H859),"")</f>
        <v/>
      </c>
      <c r="J859">
        <f>IF(B859,IF(Dist="Normal",DistA+DistB*I859,DistA+(DistB-DistA)*NORMSDIST(I859)),"")</f>
        <v/>
      </c>
      <c r="K859">
        <f>IF(B859,INDEX(MineScale,C859),"")</f>
        <v/>
      </c>
      <c r="L859">
        <f>IF(B859,INDEX(Dow,1,WEEKDAY(E859,2)),"")</f>
        <v/>
      </c>
      <c r="M859">
        <f>IF(B859,(1+Trend)^D859,"")</f>
        <v/>
      </c>
      <c r="N859">
        <f>IF(B859,EXP(SUMPRODUCT(LN(1+(EvEff-1)*INDEX(Affected,0,C859)*EXP(-((E859-EvCenter)^2)/(2*EvSigma^2))))),"")</f>
        <v/>
      </c>
      <c r="O859">
        <f>IF(B859,ROUND(MAX(0,J859*K859*L859*M859*N859),2),"")</f>
        <v/>
      </c>
    </row>
    <row r="860">
      <c r="A860" t="n">
        <v>859</v>
      </c>
      <c r="B860">
        <f>A860&lt;=MineCount*Days</f>
        <v/>
      </c>
      <c r="C860">
        <f>IF(B860,INT((A860-1)/Days)+1,"")</f>
        <v/>
      </c>
      <c r="D860">
        <f>IF(B860,MOD(A860-1,Days),"")</f>
        <v/>
      </c>
      <c r="E860" s="16">
        <f>IF(B860,StartDate+D860,"")</f>
        <v/>
      </c>
      <c r="F860">
        <f>IF(B860,MAX(MOD(SIN(Seed*0.1373+C860*12.9898+D860*78.233)*43758.5453,1),1E-9),"")</f>
        <v/>
      </c>
      <c r="G860">
        <f>IF(B860,MOD(SIN(Seed*0.5917+C860*39.3468+D860*11.135)*24634.6345,1),"")</f>
        <v/>
      </c>
      <c r="H860">
        <f>IF(B860,SQRT(-2*LN(F860))*COS(2*PI()*G860),"")</f>
        <v/>
      </c>
      <c r="I860">
        <f>IF(B860,IF(D860=0,H860,Rho*I859+SQRT(1-Rho^2)*H860),"")</f>
        <v/>
      </c>
      <c r="J860">
        <f>IF(B860,IF(Dist="Normal",DistA+DistB*I860,DistA+(DistB-DistA)*NORMSDIST(I860)),"")</f>
        <v/>
      </c>
      <c r="K860">
        <f>IF(B860,INDEX(MineScale,C860),"")</f>
        <v/>
      </c>
      <c r="L860">
        <f>IF(B860,INDEX(Dow,1,WEEKDAY(E860,2)),"")</f>
        <v/>
      </c>
      <c r="M860">
        <f>IF(B860,(1+Trend)^D860,"")</f>
        <v/>
      </c>
      <c r="N860">
        <f>IF(B860,EXP(SUMPRODUCT(LN(1+(EvEff-1)*INDEX(Affected,0,C860)*EXP(-((E860-EvCenter)^2)/(2*EvSigma^2))))),"")</f>
        <v/>
      </c>
      <c r="O860">
        <f>IF(B860,ROUND(MAX(0,J860*K860*L860*M860*N860),2),"")</f>
        <v/>
      </c>
    </row>
    <row r="861">
      <c r="A861" t="n">
        <v>860</v>
      </c>
      <c r="B861">
        <f>A861&lt;=MineCount*Days</f>
        <v/>
      </c>
      <c r="C861">
        <f>IF(B861,INT((A861-1)/Days)+1,"")</f>
        <v/>
      </c>
      <c r="D861">
        <f>IF(B861,MOD(A861-1,Days),"")</f>
        <v/>
      </c>
      <c r="E861" s="16">
        <f>IF(B861,StartDate+D861,"")</f>
        <v/>
      </c>
      <c r="F861">
        <f>IF(B861,MAX(MOD(SIN(Seed*0.1373+C861*12.9898+D861*78.233)*43758.5453,1),1E-9),"")</f>
        <v/>
      </c>
      <c r="G861">
        <f>IF(B861,MOD(SIN(Seed*0.5917+C861*39.3468+D861*11.135)*24634.6345,1),"")</f>
        <v/>
      </c>
      <c r="H861">
        <f>IF(B861,SQRT(-2*LN(F861))*COS(2*PI()*G861),"")</f>
        <v/>
      </c>
      <c r="I861">
        <f>IF(B861,IF(D861=0,H861,Rho*I860+SQRT(1-Rho^2)*H861),"")</f>
        <v/>
      </c>
      <c r="J861">
        <f>IF(B861,IF(Dist="Normal",DistA+DistB*I861,DistA+(DistB-DistA)*NORMSDIST(I861)),"")</f>
        <v/>
      </c>
      <c r="K861">
        <f>IF(B861,INDEX(MineScale,C861),"")</f>
        <v/>
      </c>
      <c r="L861">
        <f>IF(B861,INDEX(Dow,1,WEEKDAY(E861,2)),"")</f>
        <v/>
      </c>
      <c r="M861">
        <f>IF(B861,(1+Trend)^D861,"")</f>
        <v/>
      </c>
      <c r="N861">
        <f>IF(B861,EXP(SUMPRODUCT(LN(1+(EvEff-1)*INDEX(Affected,0,C861)*EXP(-((E861-EvCenter)^2)/(2*EvSigma^2))))),"")</f>
        <v/>
      </c>
      <c r="O861">
        <f>IF(B861,ROUND(MAX(0,J861*K861*L861*M861*N861),2),"")</f>
        <v/>
      </c>
    </row>
    <row r="862">
      <c r="A862" t="n">
        <v>861</v>
      </c>
      <c r="B862">
        <f>A862&lt;=MineCount*Days</f>
        <v/>
      </c>
      <c r="C862">
        <f>IF(B862,INT((A862-1)/Days)+1,"")</f>
        <v/>
      </c>
      <c r="D862">
        <f>IF(B862,MOD(A862-1,Days),"")</f>
        <v/>
      </c>
      <c r="E862" s="16">
        <f>IF(B862,StartDate+D862,"")</f>
        <v/>
      </c>
      <c r="F862">
        <f>IF(B862,MAX(MOD(SIN(Seed*0.1373+C862*12.9898+D862*78.233)*43758.5453,1),1E-9),"")</f>
        <v/>
      </c>
      <c r="G862">
        <f>IF(B862,MOD(SIN(Seed*0.5917+C862*39.3468+D862*11.135)*24634.6345,1),"")</f>
        <v/>
      </c>
      <c r="H862">
        <f>IF(B862,SQRT(-2*LN(F862))*COS(2*PI()*G862),"")</f>
        <v/>
      </c>
      <c r="I862">
        <f>IF(B862,IF(D862=0,H862,Rho*I861+SQRT(1-Rho^2)*H862),"")</f>
        <v/>
      </c>
      <c r="J862">
        <f>IF(B862,IF(Dist="Normal",DistA+DistB*I862,DistA+(DistB-DistA)*NORMSDIST(I862)),"")</f>
        <v/>
      </c>
      <c r="K862">
        <f>IF(B862,INDEX(MineScale,C862),"")</f>
        <v/>
      </c>
      <c r="L862">
        <f>IF(B862,INDEX(Dow,1,WEEKDAY(E862,2)),"")</f>
        <v/>
      </c>
      <c r="M862">
        <f>IF(B862,(1+Trend)^D862,"")</f>
        <v/>
      </c>
      <c r="N862">
        <f>IF(B862,EXP(SUMPRODUCT(LN(1+(EvEff-1)*INDEX(Affected,0,C862)*EXP(-((E862-EvCenter)^2)/(2*EvSigma^2))))),"")</f>
        <v/>
      </c>
      <c r="O862">
        <f>IF(B862,ROUND(MAX(0,J862*K862*L862*M862*N862),2),"")</f>
        <v/>
      </c>
    </row>
    <row r="863">
      <c r="A863" t="n">
        <v>862</v>
      </c>
      <c r="B863">
        <f>A863&lt;=MineCount*Days</f>
        <v/>
      </c>
      <c r="C863">
        <f>IF(B863,INT((A863-1)/Days)+1,"")</f>
        <v/>
      </c>
      <c r="D863">
        <f>IF(B863,MOD(A863-1,Days),"")</f>
        <v/>
      </c>
      <c r="E863" s="16">
        <f>IF(B863,StartDate+D863,"")</f>
        <v/>
      </c>
      <c r="F863">
        <f>IF(B863,MAX(MOD(SIN(Seed*0.1373+C863*12.9898+D863*78.233)*43758.5453,1),1E-9),"")</f>
        <v/>
      </c>
      <c r="G863">
        <f>IF(B863,MOD(SIN(Seed*0.5917+C863*39.3468+D863*11.135)*24634.6345,1),"")</f>
        <v/>
      </c>
      <c r="H863">
        <f>IF(B863,SQRT(-2*LN(F863))*COS(2*PI()*G863),"")</f>
        <v/>
      </c>
      <c r="I863">
        <f>IF(B863,IF(D863=0,H863,Rho*I862+SQRT(1-Rho^2)*H863),"")</f>
        <v/>
      </c>
      <c r="J863">
        <f>IF(B863,IF(Dist="Normal",DistA+DistB*I863,DistA+(DistB-DistA)*NORMSDIST(I863)),"")</f>
        <v/>
      </c>
      <c r="K863">
        <f>IF(B863,INDEX(MineScale,C863),"")</f>
        <v/>
      </c>
      <c r="L863">
        <f>IF(B863,INDEX(Dow,1,WEEKDAY(E863,2)),"")</f>
        <v/>
      </c>
      <c r="M863">
        <f>IF(B863,(1+Trend)^D863,"")</f>
        <v/>
      </c>
      <c r="N863">
        <f>IF(B863,EXP(SUMPRODUCT(LN(1+(EvEff-1)*INDEX(Affected,0,C863)*EXP(-((E863-EvCenter)^2)/(2*EvSigma^2))))),"")</f>
        <v/>
      </c>
      <c r="O863">
        <f>IF(B863,ROUND(MAX(0,J863*K863*L863*M863*N863),2),"")</f>
        <v/>
      </c>
    </row>
    <row r="864">
      <c r="A864" t="n">
        <v>863</v>
      </c>
      <c r="B864">
        <f>A864&lt;=MineCount*Days</f>
        <v/>
      </c>
      <c r="C864">
        <f>IF(B864,INT((A864-1)/Days)+1,"")</f>
        <v/>
      </c>
      <c r="D864">
        <f>IF(B864,MOD(A864-1,Days),"")</f>
        <v/>
      </c>
      <c r="E864" s="16">
        <f>IF(B864,StartDate+D864,"")</f>
        <v/>
      </c>
      <c r="F864">
        <f>IF(B864,MAX(MOD(SIN(Seed*0.1373+C864*12.9898+D864*78.233)*43758.5453,1),1E-9),"")</f>
        <v/>
      </c>
      <c r="G864">
        <f>IF(B864,MOD(SIN(Seed*0.5917+C864*39.3468+D864*11.135)*24634.6345,1),"")</f>
        <v/>
      </c>
      <c r="H864">
        <f>IF(B864,SQRT(-2*LN(F864))*COS(2*PI()*G864),"")</f>
        <v/>
      </c>
      <c r="I864">
        <f>IF(B864,IF(D864=0,H864,Rho*I863+SQRT(1-Rho^2)*H864),"")</f>
        <v/>
      </c>
      <c r="J864">
        <f>IF(B864,IF(Dist="Normal",DistA+DistB*I864,DistA+(DistB-DistA)*NORMSDIST(I864)),"")</f>
        <v/>
      </c>
      <c r="K864">
        <f>IF(B864,INDEX(MineScale,C864),"")</f>
        <v/>
      </c>
      <c r="L864">
        <f>IF(B864,INDEX(Dow,1,WEEKDAY(E864,2)),"")</f>
        <v/>
      </c>
      <c r="M864">
        <f>IF(B864,(1+Trend)^D864,"")</f>
        <v/>
      </c>
      <c r="N864">
        <f>IF(B864,EXP(SUMPRODUCT(LN(1+(EvEff-1)*INDEX(Affected,0,C864)*EXP(-((E864-EvCenter)^2)/(2*EvSigma^2))))),"")</f>
        <v/>
      </c>
      <c r="O864">
        <f>IF(B864,ROUND(MAX(0,J864*K864*L864*M864*N864),2),"")</f>
        <v/>
      </c>
    </row>
    <row r="865">
      <c r="A865" t="n">
        <v>864</v>
      </c>
      <c r="B865">
        <f>A865&lt;=MineCount*Days</f>
        <v/>
      </c>
      <c r="C865">
        <f>IF(B865,INT((A865-1)/Days)+1,"")</f>
        <v/>
      </c>
      <c r="D865">
        <f>IF(B865,MOD(A865-1,Days),"")</f>
        <v/>
      </c>
      <c r="E865" s="16">
        <f>IF(B865,StartDate+D865,"")</f>
        <v/>
      </c>
      <c r="F865">
        <f>IF(B865,MAX(MOD(SIN(Seed*0.1373+C865*12.9898+D865*78.233)*43758.5453,1),1E-9),"")</f>
        <v/>
      </c>
      <c r="G865">
        <f>IF(B865,MOD(SIN(Seed*0.5917+C865*39.3468+D865*11.135)*24634.6345,1),"")</f>
        <v/>
      </c>
      <c r="H865">
        <f>IF(B865,SQRT(-2*LN(F865))*COS(2*PI()*G865),"")</f>
        <v/>
      </c>
      <c r="I865">
        <f>IF(B865,IF(D865=0,H865,Rho*I864+SQRT(1-Rho^2)*H865),"")</f>
        <v/>
      </c>
      <c r="J865">
        <f>IF(B865,IF(Dist="Normal",DistA+DistB*I865,DistA+(DistB-DistA)*NORMSDIST(I865)),"")</f>
        <v/>
      </c>
      <c r="K865">
        <f>IF(B865,INDEX(MineScale,C865),"")</f>
        <v/>
      </c>
      <c r="L865">
        <f>IF(B865,INDEX(Dow,1,WEEKDAY(E865,2)),"")</f>
        <v/>
      </c>
      <c r="M865">
        <f>IF(B865,(1+Trend)^D865,"")</f>
        <v/>
      </c>
      <c r="N865">
        <f>IF(B865,EXP(SUMPRODUCT(LN(1+(EvEff-1)*INDEX(Affected,0,C865)*EXP(-((E865-EvCenter)^2)/(2*EvSigma^2))))),"")</f>
        <v/>
      </c>
      <c r="O865">
        <f>IF(B865,ROUND(MAX(0,J865*K865*L865*M865*N865),2),"")</f>
        <v/>
      </c>
    </row>
    <row r="866">
      <c r="A866" t="n">
        <v>865</v>
      </c>
      <c r="B866">
        <f>A866&lt;=MineCount*Days</f>
        <v/>
      </c>
      <c r="C866">
        <f>IF(B866,INT((A866-1)/Days)+1,"")</f>
        <v/>
      </c>
      <c r="D866">
        <f>IF(B866,MOD(A866-1,Days),"")</f>
        <v/>
      </c>
      <c r="E866" s="16">
        <f>IF(B866,StartDate+D866,"")</f>
        <v/>
      </c>
      <c r="F866">
        <f>IF(B866,MAX(MOD(SIN(Seed*0.1373+C866*12.9898+D866*78.233)*43758.5453,1),1E-9),"")</f>
        <v/>
      </c>
      <c r="G866">
        <f>IF(B866,MOD(SIN(Seed*0.5917+C866*39.3468+D866*11.135)*24634.6345,1),"")</f>
        <v/>
      </c>
      <c r="H866">
        <f>IF(B866,SQRT(-2*LN(F866))*COS(2*PI()*G866),"")</f>
        <v/>
      </c>
      <c r="I866">
        <f>IF(B866,IF(D866=0,H866,Rho*I865+SQRT(1-Rho^2)*H866),"")</f>
        <v/>
      </c>
      <c r="J866">
        <f>IF(B866,IF(Dist="Normal",DistA+DistB*I866,DistA+(DistB-DistA)*NORMSDIST(I866)),"")</f>
        <v/>
      </c>
      <c r="K866">
        <f>IF(B866,INDEX(MineScale,C866),"")</f>
        <v/>
      </c>
      <c r="L866">
        <f>IF(B866,INDEX(Dow,1,WEEKDAY(E866,2)),"")</f>
        <v/>
      </c>
      <c r="M866">
        <f>IF(B866,(1+Trend)^D866,"")</f>
        <v/>
      </c>
      <c r="N866">
        <f>IF(B866,EXP(SUMPRODUCT(LN(1+(EvEff-1)*INDEX(Affected,0,C866)*EXP(-((E866-EvCenter)^2)/(2*EvSigma^2))))),"")</f>
        <v/>
      </c>
      <c r="O866">
        <f>IF(B866,ROUND(MAX(0,J866*K866*L866*M866*N866),2),"")</f>
        <v/>
      </c>
    </row>
    <row r="867">
      <c r="A867" t="n">
        <v>866</v>
      </c>
      <c r="B867">
        <f>A867&lt;=MineCount*Days</f>
        <v/>
      </c>
      <c r="C867">
        <f>IF(B867,INT((A867-1)/Days)+1,"")</f>
        <v/>
      </c>
      <c r="D867">
        <f>IF(B867,MOD(A867-1,Days),"")</f>
        <v/>
      </c>
      <c r="E867" s="16">
        <f>IF(B867,StartDate+D867,"")</f>
        <v/>
      </c>
      <c r="F867">
        <f>IF(B867,MAX(MOD(SIN(Seed*0.1373+C867*12.9898+D867*78.233)*43758.5453,1),1E-9),"")</f>
        <v/>
      </c>
      <c r="G867">
        <f>IF(B867,MOD(SIN(Seed*0.5917+C867*39.3468+D867*11.135)*24634.6345,1),"")</f>
        <v/>
      </c>
      <c r="H867">
        <f>IF(B867,SQRT(-2*LN(F867))*COS(2*PI()*G867),"")</f>
        <v/>
      </c>
      <c r="I867">
        <f>IF(B867,IF(D867=0,H867,Rho*I866+SQRT(1-Rho^2)*H867),"")</f>
        <v/>
      </c>
      <c r="J867">
        <f>IF(B867,IF(Dist="Normal",DistA+DistB*I867,DistA+(DistB-DistA)*NORMSDIST(I867)),"")</f>
        <v/>
      </c>
      <c r="K867">
        <f>IF(B867,INDEX(MineScale,C867),"")</f>
        <v/>
      </c>
      <c r="L867">
        <f>IF(B867,INDEX(Dow,1,WEEKDAY(E867,2)),"")</f>
        <v/>
      </c>
      <c r="M867">
        <f>IF(B867,(1+Trend)^D867,"")</f>
        <v/>
      </c>
      <c r="N867">
        <f>IF(B867,EXP(SUMPRODUCT(LN(1+(EvEff-1)*INDEX(Affected,0,C867)*EXP(-((E867-EvCenter)^2)/(2*EvSigma^2))))),"")</f>
        <v/>
      </c>
      <c r="O867">
        <f>IF(B867,ROUND(MAX(0,J867*K867*L867*M867*N867),2),"")</f>
        <v/>
      </c>
    </row>
    <row r="868">
      <c r="A868" t="n">
        <v>867</v>
      </c>
      <c r="B868">
        <f>A868&lt;=MineCount*Days</f>
        <v/>
      </c>
      <c r="C868">
        <f>IF(B868,INT((A868-1)/Days)+1,"")</f>
        <v/>
      </c>
      <c r="D868">
        <f>IF(B868,MOD(A868-1,Days),"")</f>
        <v/>
      </c>
      <c r="E868" s="16">
        <f>IF(B868,StartDate+D868,"")</f>
        <v/>
      </c>
      <c r="F868">
        <f>IF(B868,MAX(MOD(SIN(Seed*0.1373+C868*12.9898+D868*78.233)*43758.5453,1),1E-9),"")</f>
        <v/>
      </c>
      <c r="G868">
        <f>IF(B868,MOD(SIN(Seed*0.5917+C868*39.3468+D868*11.135)*24634.6345,1),"")</f>
        <v/>
      </c>
      <c r="H868">
        <f>IF(B868,SQRT(-2*LN(F868))*COS(2*PI()*G868),"")</f>
        <v/>
      </c>
      <c r="I868">
        <f>IF(B868,IF(D868=0,H868,Rho*I867+SQRT(1-Rho^2)*H868),"")</f>
        <v/>
      </c>
      <c r="J868">
        <f>IF(B868,IF(Dist="Normal",DistA+DistB*I868,DistA+(DistB-DistA)*NORMSDIST(I868)),"")</f>
        <v/>
      </c>
      <c r="K868">
        <f>IF(B868,INDEX(MineScale,C868),"")</f>
        <v/>
      </c>
      <c r="L868">
        <f>IF(B868,INDEX(Dow,1,WEEKDAY(E868,2)),"")</f>
        <v/>
      </c>
      <c r="M868">
        <f>IF(B868,(1+Trend)^D868,"")</f>
        <v/>
      </c>
      <c r="N868">
        <f>IF(B868,EXP(SUMPRODUCT(LN(1+(EvEff-1)*INDEX(Affected,0,C868)*EXP(-((E868-EvCenter)^2)/(2*EvSigma^2))))),"")</f>
        <v/>
      </c>
      <c r="O868">
        <f>IF(B868,ROUND(MAX(0,J868*K868*L868*M868*N868),2),"")</f>
        <v/>
      </c>
    </row>
    <row r="869">
      <c r="A869" t="n">
        <v>868</v>
      </c>
      <c r="B869">
        <f>A869&lt;=MineCount*Days</f>
        <v/>
      </c>
      <c r="C869">
        <f>IF(B869,INT((A869-1)/Days)+1,"")</f>
        <v/>
      </c>
      <c r="D869">
        <f>IF(B869,MOD(A869-1,Days),"")</f>
        <v/>
      </c>
      <c r="E869" s="16">
        <f>IF(B869,StartDate+D869,"")</f>
        <v/>
      </c>
      <c r="F869">
        <f>IF(B869,MAX(MOD(SIN(Seed*0.1373+C869*12.9898+D869*78.233)*43758.5453,1),1E-9),"")</f>
        <v/>
      </c>
      <c r="G869">
        <f>IF(B869,MOD(SIN(Seed*0.5917+C869*39.3468+D869*11.135)*24634.6345,1),"")</f>
        <v/>
      </c>
      <c r="H869">
        <f>IF(B869,SQRT(-2*LN(F869))*COS(2*PI()*G869),"")</f>
        <v/>
      </c>
      <c r="I869">
        <f>IF(B869,IF(D869=0,H869,Rho*I868+SQRT(1-Rho^2)*H869),"")</f>
        <v/>
      </c>
      <c r="J869">
        <f>IF(B869,IF(Dist="Normal",DistA+DistB*I869,DistA+(DistB-DistA)*NORMSDIST(I869)),"")</f>
        <v/>
      </c>
      <c r="K869">
        <f>IF(B869,INDEX(MineScale,C869),"")</f>
        <v/>
      </c>
      <c r="L869">
        <f>IF(B869,INDEX(Dow,1,WEEKDAY(E869,2)),"")</f>
        <v/>
      </c>
      <c r="M869">
        <f>IF(B869,(1+Trend)^D869,"")</f>
        <v/>
      </c>
      <c r="N869">
        <f>IF(B869,EXP(SUMPRODUCT(LN(1+(EvEff-1)*INDEX(Affected,0,C869)*EXP(-((E869-EvCenter)^2)/(2*EvSigma^2))))),"")</f>
        <v/>
      </c>
      <c r="O869">
        <f>IF(B869,ROUND(MAX(0,J869*K869*L869*M869*N869),2),"")</f>
        <v/>
      </c>
    </row>
    <row r="870">
      <c r="A870" t="n">
        <v>869</v>
      </c>
      <c r="B870">
        <f>A870&lt;=MineCount*Days</f>
        <v/>
      </c>
      <c r="C870">
        <f>IF(B870,INT((A870-1)/Days)+1,"")</f>
        <v/>
      </c>
      <c r="D870">
        <f>IF(B870,MOD(A870-1,Days),"")</f>
        <v/>
      </c>
      <c r="E870" s="16">
        <f>IF(B870,StartDate+D870,"")</f>
        <v/>
      </c>
      <c r="F870">
        <f>IF(B870,MAX(MOD(SIN(Seed*0.1373+C870*12.9898+D870*78.233)*43758.5453,1),1E-9),"")</f>
        <v/>
      </c>
      <c r="G870">
        <f>IF(B870,MOD(SIN(Seed*0.5917+C870*39.3468+D870*11.135)*24634.6345,1),"")</f>
        <v/>
      </c>
      <c r="H870">
        <f>IF(B870,SQRT(-2*LN(F870))*COS(2*PI()*G870),"")</f>
        <v/>
      </c>
      <c r="I870">
        <f>IF(B870,IF(D870=0,H870,Rho*I869+SQRT(1-Rho^2)*H870),"")</f>
        <v/>
      </c>
      <c r="J870">
        <f>IF(B870,IF(Dist="Normal",DistA+DistB*I870,DistA+(DistB-DistA)*NORMSDIST(I870)),"")</f>
        <v/>
      </c>
      <c r="K870">
        <f>IF(B870,INDEX(MineScale,C870),"")</f>
        <v/>
      </c>
      <c r="L870">
        <f>IF(B870,INDEX(Dow,1,WEEKDAY(E870,2)),"")</f>
        <v/>
      </c>
      <c r="M870">
        <f>IF(B870,(1+Trend)^D870,"")</f>
        <v/>
      </c>
      <c r="N870">
        <f>IF(B870,EXP(SUMPRODUCT(LN(1+(EvEff-1)*INDEX(Affected,0,C870)*EXP(-((E870-EvCenter)^2)/(2*EvSigma^2))))),"")</f>
        <v/>
      </c>
      <c r="O870">
        <f>IF(B870,ROUND(MAX(0,J870*K870*L870*M870*N870),2),"")</f>
        <v/>
      </c>
    </row>
    <row r="871">
      <c r="A871" t="n">
        <v>870</v>
      </c>
      <c r="B871">
        <f>A871&lt;=MineCount*Days</f>
        <v/>
      </c>
      <c r="C871">
        <f>IF(B871,INT((A871-1)/Days)+1,"")</f>
        <v/>
      </c>
      <c r="D871">
        <f>IF(B871,MOD(A871-1,Days),"")</f>
        <v/>
      </c>
      <c r="E871" s="16">
        <f>IF(B871,StartDate+D871,"")</f>
        <v/>
      </c>
      <c r="F871">
        <f>IF(B871,MAX(MOD(SIN(Seed*0.1373+C871*12.9898+D871*78.233)*43758.5453,1),1E-9),"")</f>
        <v/>
      </c>
      <c r="G871">
        <f>IF(B871,MOD(SIN(Seed*0.5917+C871*39.3468+D871*11.135)*24634.6345,1),"")</f>
        <v/>
      </c>
      <c r="H871">
        <f>IF(B871,SQRT(-2*LN(F871))*COS(2*PI()*G871),"")</f>
        <v/>
      </c>
      <c r="I871">
        <f>IF(B871,IF(D871=0,H871,Rho*I870+SQRT(1-Rho^2)*H871),"")</f>
        <v/>
      </c>
      <c r="J871">
        <f>IF(B871,IF(Dist="Normal",DistA+DistB*I871,DistA+(DistB-DistA)*NORMSDIST(I871)),"")</f>
        <v/>
      </c>
      <c r="K871">
        <f>IF(B871,INDEX(MineScale,C871),"")</f>
        <v/>
      </c>
      <c r="L871">
        <f>IF(B871,INDEX(Dow,1,WEEKDAY(E871,2)),"")</f>
        <v/>
      </c>
      <c r="M871">
        <f>IF(B871,(1+Trend)^D871,"")</f>
        <v/>
      </c>
      <c r="N871">
        <f>IF(B871,EXP(SUMPRODUCT(LN(1+(EvEff-1)*INDEX(Affected,0,C871)*EXP(-((E871-EvCenter)^2)/(2*EvSigma^2))))),"")</f>
        <v/>
      </c>
      <c r="O871">
        <f>IF(B871,ROUND(MAX(0,J871*K871*L871*M871*N871),2),"")</f>
        <v/>
      </c>
    </row>
    <row r="872">
      <c r="A872" t="n">
        <v>871</v>
      </c>
      <c r="B872">
        <f>A872&lt;=MineCount*Days</f>
        <v/>
      </c>
      <c r="C872">
        <f>IF(B872,INT((A872-1)/Days)+1,"")</f>
        <v/>
      </c>
      <c r="D872">
        <f>IF(B872,MOD(A872-1,Days),"")</f>
        <v/>
      </c>
      <c r="E872" s="16">
        <f>IF(B872,StartDate+D872,"")</f>
        <v/>
      </c>
      <c r="F872">
        <f>IF(B872,MAX(MOD(SIN(Seed*0.1373+C872*12.9898+D872*78.233)*43758.5453,1),1E-9),"")</f>
        <v/>
      </c>
      <c r="G872">
        <f>IF(B872,MOD(SIN(Seed*0.5917+C872*39.3468+D872*11.135)*24634.6345,1),"")</f>
        <v/>
      </c>
      <c r="H872">
        <f>IF(B872,SQRT(-2*LN(F872))*COS(2*PI()*G872),"")</f>
        <v/>
      </c>
      <c r="I872">
        <f>IF(B872,IF(D872=0,H872,Rho*I871+SQRT(1-Rho^2)*H872),"")</f>
        <v/>
      </c>
      <c r="J872">
        <f>IF(B872,IF(Dist="Normal",DistA+DistB*I872,DistA+(DistB-DistA)*NORMSDIST(I872)),"")</f>
        <v/>
      </c>
      <c r="K872">
        <f>IF(B872,INDEX(MineScale,C872),"")</f>
        <v/>
      </c>
      <c r="L872">
        <f>IF(B872,INDEX(Dow,1,WEEKDAY(E872,2)),"")</f>
        <v/>
      </c>
      <c r="M872">
        <f>IF(B872,(1+Trend)^D872,"")</f>
        <v/>
      </c>
      <c r="N872">
        <f>IF(B872,EXP(SUMPRODUCT(LN(1+(EvEff-1)*INDEX(Affected,0,C872)*EXP(-((E872-EvCenter)^2)/(2*EvSigma^2))))),"")</f>
        <v/>
      </c>
      <c r="O872">
        <f>IF(B872,ROUND(MAX(0,J872*K872*L872*M872*N872),2),"")</f>
        <v/>
      </c>
    </row>
    <row r="873">
      <c r="A873" t="n">
        <v>872</v>
      </c>
      <c r="B873">
        <f>A873&lt;=MineCount*Days</f>
        <v/>
      </c>
      <c r="C873">
        <f>IF(B873,INT((A873-1)/Days)+1,"")</f>
        <v/>
      </c>
      <c r="D873">
        <f>IF(B873,MOD(A873-1,Days),"")</f>
        <v/>
      </c>
      <c r="E873" s="16">
        <f>IF(B873,StartDate+D873,"")</f>
        <v/>
      </c>
      <c r="F873">
        <f>IF(B873,MAX(MOD(SIN(Seed*0.1373+C873*12.9898+D873*78.233)*43758.5453,1),1E-9),"")</f>
        <v/>
      </c>
      <c r="G873">
        <f>IF(B873,MOD(SIN(Seed*0.5917+C873*39.3468+D873*11.135)*24634.6345,1),"")</f>
        <v/>
      </c>
      <c r="H873">
        <f>IF(B873,SQRT(-2*LN(F873))*COS(2*PI()*G873),"")</f>
        <v/>
      </c>
      <c r="I873">
        <f>IF(B873,IF(D873=0,H873,Rho*I872+SQRT(1-Rho^2)*H873),"")</f>
        <v/>
      </c>
      <c r="J873">
        <f>IF(B873,IF(Dist="Normal",DistA+DistB*I873,DistA+(DistB-DistA)*NORMSDIST(I873)),"")</f>
        <v/>
      </c>
      <c r="K873">
        <f>IF(B873,INDEX(MineScale,C873),"")</f>
        <v/>
      </c>
      <c r="L873">
        <f>IF(B873,INDEX(Dow,1,WEEKDAY(E873,2)),"")</f>
        <v/>
      </c>
      <c r="M873">
        <f>IF(B873,(1+Trend)^D873,"")</f>
        <v/>
      </c>
      <c r="N873">
        <f>IF(B873,EXP(SUMPRODUCT(LN(1+(EvEff-1)*INDEX(Affected,0,C873)*EXP(-((E873-EvCenter)^2)/(2*EvSigma^2))))),"")</f>
        <v/>
      </c>
      <c r="O873">
        <f>IF(B873,ROUND(MAX(0,J873*K873*L873*M873*N873),2),"")</f>
        <v/>
      </c>
    </row>
    <row r="874">
      <c r="A874" t="n">
        <v>873</v>
      </c>
      <c r="B874">
        <f>A874&lt;=MineCount*Days</f>
        <v/>
      </c>
      <c r="C874">
        <f>IF(B874,INT((A874-1)/Days)+1,"")</f>
        <v/>
      </c>
      <c r="D874">
        <f>IF(B874,MOD(A874-1,Days),"")</f>
        <v/>
      </c>
      <c r="E874" s="16">
        <f>IF(B874,StartDate+D874,"")</f>
        <v/>
      </c>
      <c r="F874">
        <f>IF(B874,MAX(MOD(SIN(Seed*0.1373+C874*12.9898+D874*78.233)*43758.5453,1),1E-9),"")</f>
        <v/>
      </c>
      <c r="G874">
        <f>IF(B874,MOD(SIN(Seed*0.5917+C874*39.3468+D874*11.135)*24634.6345,1),"")</f>
        <v/>
      </c>
      <c r="H874">
        <f>IF(B874,SQRT(-2*LN(F874))*COS(2*PI()*G874),"")</f>
        <v/>
      </c>
      <c r="I874">
        <f>IF(B874,IF(D874=0,H874,Rho*I873+SQRT(1-Rho^2)*H874),"")</f>
        <v/>
      </c>
      <c r="J874">
        <f>IF(B874,IF(Dist="Normal",DistA+DistB*I874,DistA+(DistB-DistA)*NORMSDIST(I874)),"")</f>
        <v/>
      </c>
      <c r="K874">
        <f>IF(B874,INDEX(MineScale,C874),"")</f>
        <v/>
      </c>
      <c r="L874">
        <f>IF(B874,INDEX(Dow,1,WEEKDAY(E874,2)),"")</f>
        <v/>
      </c>
      <c r="M874">
        <f>IF(B874,(1+Trend)^D874,"")</f>
        <v/>
      </c>
      <c r="N874">
        <f>IF(B874,EXP(SUMPRODUCT(LN(1+(EvEff-1)*INDEX(Affected,0,C874)*EXP(-((E874-EvCenter)^2)/(2*EvSigma^2))))),"")</f>
        <v/>
      </c>
      <c r="O874">
        <f>IF(B874,ROUND(MAX(0,J874*K874*L874*M874*N874),2),"")</f>
        <v/>
      </c>
    </row>
    <row r="875">
      <c r="A875" t="n">
        <v>874</v>
      </c>
      <c r="B875">
        <f>A875&lt;=MineCount*Days</f>
        <v/>
      </c>
      <c r="C875">
        <f>IF(B875,INT((A875-1)/Days)+1,"")</f>
        <v/>
      </c>
      <c r="D875">
        <f>IF(B875,MOD(A875-1,Days),"")</f>
        <v/>
      </c>
      <c r="E875" s="16">
        <f>IF(B875,StartDate+D875,"")</f>
        <v/>
      </c>
      <c r="F875">
        <f>IF(B875,MAX(MOD(SIN(Seed*0.1373+C875*12.9898+D875*78.233)*43758.5453,1),1E-9),"")</f>
        <v/>
      </c>
      <c r="G875">
        <f>IF(B875,MOD(SIN(Seed*0.5917+C875*39.3468+D875*11.135)*24634.6345,1),"")</f>
        <v/>
      </c>
      <c r="H875">
        <f>IF(B875,SQRT(-2*LN(F875))*COS(2*PI()*G875),"")</f>
        <v/>
      </c>
      <c r="I875">
        <f>IF(B875,IF(D875=0,H875,Rho*I874+SQRT(1-Rho^2)*H875),"")</f>
        <v/>
      </c>
      <c r="J875">
        <f>IF(B875,IF(Dist="Normal",DistA+DistB*I875,DistA+(DistB-DistA)*NORMSDIST(I875)),"")</f>
        <v/>
      </c>
      <c r="K875">
        <f>IF(B875,INDEX(MineScale,C875),"")</f>
        <v/>
      </c>
      <c r="L875">
        <f>IF(B875,INDEX(Dow,1,WEEKDAY(E875,2)),"")</f>
        <v/>
      </c>
      <c r="M875">
        <f>IF(B875,(1+Trend)^D875,"")</f>
        <v/>
      </c>
      <c r="N875">
        <f>IF(B875,EXP(SUMPRODUCT(LN(1+(EvEff-1)*INDEX(Affected,0,C875)*EXP(-((E875-EvCenter)^2)/(2*EvSigma^2))))),"")</f>
        <v/>
      </c>
      <c r="O875">
        <f>IF(B875,ROUND(MAX(0,J875*K875*L875*M875*N875),2),"")</f>
        <v/>
      </c>
    </row>
    <row r="876">
      <c r="A876" t="n">
        <v>875</v>
      </c>
      <c r="B876">
        <f>A876&lt;=MineCount*Days</f>
        <v/>
      </c>
      <c r="C876">
        <f>IF(B876,INT((A876-1)/Days)+1,"")</f>
        <v/>
      </c>
      <c r="D876">
        <f>IF(B876,MOD(A876-1,Days),"")</f>
        <v/>
      </c>
      <c r="E876" s="16">
        <f>IF(B876,StartDate+D876,"")</f>
        <v/>
      </c>
      <c r="F876">
        <f>IF(B876,MAX(MOD(SIN(Seed*0.1373+C876*12.9898+D876*78.233)*43758.5453,1),1E-9),"")</f>
        <v/>
      </c>
      <c r="G876">
        <f>IF(B876,MOD(SIN(Seed*0.5917+C876*39.3468+D876*11.135)*24634.6345,1),"")</f>
        <v/>
      </c>
      <c r="H876">
        <f>IF(B876,SQRT(-2*LN(F876))*COS(2*PI()*G876),"")</f>
        <v/>
      </c>
      <c r="I876">
        <f>IF(B876,IF(D876=0,H876,Rho*I875+SQRT(1-Rho^2)*H876),"")</f>
        <v/>
      </c>
      <c r="J876">
        <f>IF(B876,IF(Dist="Normal",DistA+DistB*I876,DistA+(DistB-DistA)*NORMSDIST(I876)),"")</f>
        <v/>
      </c>
      <c r="K876">
        <f>IF(B876,INDEX(MineScale,C876),"")</f>
        <v/>
      </c>
      <c r="L876">
        <f>IF(B876,INDEX(Dow,1,WEEKDAY(E876,2)),"")</f>
        <v/>
      </c>
      <c r="M876">
        <f>IF(B876,(1+Trend)^D876,"")</f>
        <v/>
      </c>
      <c r="N876">
        <f>IF(B876,EXP(SUMPRODUCT(LN(1+(EvEff-1)*INDEX(Affected,0,C876)*EXP(-((E876-EvCenter)^2)/(2*EvSigma^2))))),"")</f>
        <v/>
      </c>
      <c r="O876">
        <f>IF(B876,ROUND(MAX(0,J876*K876*L876*M876*N876),2),"")</f>
        <v/>
      </c>
    </row>
    <row r="877">
      <c r="A877" t="n">
        <v>876</v>
      </c>
      <c r="B877">
        <f>A877&lt;=MineCount*Days</f>
        <v/>
      </c>
      <c r="C877">
        <f>IF(B877,INT((A877-1)/Days)+1,"")</f>
        <v/>
      </c>
      <c r="D877">
        <f>IF(B877,MOD(A877-1,Days),"")</f>
        <v/>
      </c>
      <c r="E877" s="16">
        <f>IF(B877,StartDate+D877,"")</f>
        <v/>
      </c>
      <c r="F877">
        <f>IF(B877,MAX(MOD(SIN(Seed*0.1373+C877*12.9898+D877*78.233)*43758.5453,1),1E-9),"")</f>
        <v/>
      </c>
      <c r="G877">
        <f>IF(B877,MOD(SIN(Seed*0.5917+C877*39.3468+D877*11.135)*24634.6345,1),"")</f>
        <v/>
      </c>
      <c r="H877">
        <f>IF(B877,SQRT(-2*LN(F877))*COS(2*PI()*G877),"")</f>
        <v/>
      </c>
      <c r="I877">
        <f>IF(B877,IF(D877=0,H877,Rho*I876+SQRT(1-Rho^2)*H877),"")</f>
        <v/>
      </c>
      <c r="J877">
        <f>IF(B877,IF(Dist="Normal",DistA+DistB*I877,DistA+(DistB-DistA)*NORMSDIST(I877)),"")</f>
        <v/>
      </c>
      <c r="K877">
        <f>IF(B877,INDEX(MineScale,C877),"")</f>
        <v/>
      </c>
      <c r="L877">
        <f>IF(B877,INDEX(Dow,1,WEEKDAY(E877,2)),"")</f>
        <v/>
      </c>
      <c r="M877">
        <f>IF(B877,(1+Trend)^D877,"")</f>
        <v/>
      </c>
      <c r="N877">
        <f>IF(B877,EXP(SUMPRODUCT(LN(1+(EvEff-1)*INDEX(Affected,0,C877)*EXP(-((E877-EvCenter)^2)/(2*EvSigma^2))))),"")</f>
        <v/>
      </c>
      <c r="O877">
        <f>IF(B877,ROUND(MAX(0,J877*K877*L877*M877*N877),2),"")</f>
        <v/>
      </c>
    </row>
    <row r="878">
      <c r="A878" t="n">
        <v>877</v>
      </c>
      <c r="B878">
        <f>A878&lt;=MineCount*Days</f>
        <v/>
      </c>
      <c r="C878">
        <f>IF(B878,INT((A878-1)/Days)+1,"")</f>
        <v/>
      </c>
      <c r="D878">
        <f>IF(B878,MOD(A878-1,Days),"")</f>
        <v/>
      </c>
      <c r="E878" s="16">
        <f>IF(B878,StartDate+D878,"")</f>
        <v/>
      </c>
      <c r="F878">
        <f>IF(B878,MAX(MOD(SIN(Seed*0.1373+C878*12.9898+D878*78.233)*43758.5453,1),1E-9),"")</f>
        <v/>
      </c>
      <c r="G878">
        <f>IF(B878,MOD(SIN(Seed*0.5917+C878*39.3468+D878*11.135)*24634.6345,1),"")</f>
        <v/>
      </c>
      <c r="H878">
        <f>IF(B878,SQRT(-2*LN(F878))*COS(2*PI()*G878),"")</f>
        <v/>
      </c>
      <c r="I878">
        <f>IF(B878,IF(D878=0,H878,Rho*I877+SQRT(1-Rho^2)*H878),"")</f>
        <v/>
      </c>
      <c r="J878">
        <f>IF(B878,IF(Dist="Normal",DistA+DistB*I878,DistA+(DistB-DistA)*NORMSDIST(I878)),"")</f>
        <v/>
      </c>
      <c r="K878">
        <f>IF(B878,INDEX(MineScale,C878),"")</f>
        <v/>
      </c>
      <c r="L878">
        <f>IF(B878,INDEX(Dow,1,WEEKDAY(E878,2)),"")</f>
        <v/>
      </c>
      <c r="M878">
        <f>IF(B878,(1+Trend)^D878,"")</f>
        <v/>
      </c>
      <c r="N878">
        <f>IF(B878,EXP(SUMPRODUCT(LN(1+(EvEff-1)*INDEX(Affected,0,C878)*EXP(-((E878-EvCenter)^2)/(2*EvSigma^2))))),"")</f>
        <v/>
      </c>
      <c r="O878">
        <f>IF(B878,ROUND(MAX(0,J878*K878*L878*M878*N878),2),"")</f>
        <v/>
      </c>
    </row>
    <row r="879">
      <c r="A879" t="n">
        <v>878</v>
      </c>
      <c r="B879">
        <f>A879&lt;=MineCount*Days</f>
        <v/>
      </c>
      <c r="C879">
        <f>IF(B879,INT((A879-1)/Days)+1,"")</f>
        <v/>
      </c>
      <c r="D879">
        <f>IF(B879,MOD(A879-1,Days),"")</f>
        <v/>
      </c>
      <c r="E879" s="16">
        <f>IF(B879,StartDate+D879,"")</f>
        <v/>
      </c>
      <c r="F879">
        <f>IF(B879,MAX(MOD(SIN(Seed*0.1373+C879*12.9898+D879*78.233)*43758.5453,1),1E-9),"")</f>
        <v/>
      </c>
      <c r="G879">
        <f>IF(B879,MOD(SIN(Seed*0.5917+C879*39.3468+D879*11.135)*24634.6345,1),"")</f>
        <v/>
      </c>
      <c r="H879">
        <f>IF(B879,SQRT(-2*LN(F879))*COS(2*PI()*G879),"")</f>
        <v/>
      </c>
      <c r="I879">
        <f>IF(B879,IF(D879=0,H879,Rho*I878+SQRT(1-Rho^2)*H879),"")</f>
        <v/>
      </c>
      <c r="J879">
        <f>IF(B879,IF(Dist="Normal",DistA+DistB*I879,DistA+(DistB-DistA)*NORMSDIST(I879)),"")</f>
        <v/>
      </c>
      <c r="K879">
        <f>IF(B879,INDEX(MineScale,C879),"")</f>
        <v/>
      </c>
      <c r="L879">
        <f>IF(B879,INDEX(Dow,1,WEEKDAY(E879,2)),"")</f>
        <v/>
      </c>
      <c r="M879">
        <f>IF(B879,(1+Trend)^D879,"")</f>
        <v/>
      </c>
      <c r="N879">
        <f>IF(B879,EXP(SUMPRODUCT(LN(1+(EvEff-1)*INDEX(Affected,0,C879)*EXP(-((E879-EvCenter)^2)/(2*EvSigma^2))))),"")</f>
        <v/>
      </c>
      <c r="O879">
        <f>IF(B879,ROUND(MAX(0,J879*K879*L879*M879*N879),2),"")</f>
        <v/>
      </c>
    </row>
    <row r="880">
      <c r="A880" t="n">
        <v>879</v>
      </c>
      <c r="B880">
        <f>A880&lt;=MineCount*Days</f>
        <v/>
      </c>
      <c r="C880">
        <f>IF(B880,INT((A880-1)/Days)+1,"")</f>
        <v/>
      </c>
      <c r="D880">
        <f>IF(B880,MOD(A880-1,Days),"")</f>
        <v/>
      </c>
      <c r="E880" s="16">
        <f>IF(B880,StartDate+D880,"")</f>
        <v/>
      </c>
      <c r="F880">
        <f>IF(B880,MAX(MOD(SIN(Seed*0.1373+C880*12.9898+D880*78.233)*43758.5453,1),1E-9),"")</f>
        <v/>
      </c>
      <c r="G880">
        <f>IF(B880,MOD(SIN(Seed*0.5917+C880*39.3468+D880*11.135)*24634.6345,1),"")</f>
        <v/>
      </c>
      <c r="H880">
        <f>IF(B880,SQRT(-2*LN(F880))*COS(2*PI()*G880),"")</f>
        <v/>
      </c>
      <c r="I880">
        <f>IF(B880,IF(D880=0,H880,Rho*I879+SQRT(1-Rho^2)*H880),"")</f>
        <v/>
      </c>
      <c r="J880">
        <f>IF(B880,IF(Dist="Normal",DistA+DistB*I880,DistA+(DistB-DistA)*NORMSDIST(I880)),"")</f>
        <v/>
      </c>
      <c r="K880">
        <f>IF(B880,INDEX(MineScale,C880),"")</f>
        <v/>
      </c>
      <c r="L880">
        <f>IF(B880,INDEX(Dow,1,WEEKDAY(E880,2)),"")</f>
        <v/>
      </c>
      <c r="M880">
        <f>IF(B880,(1+Trend)^D880,"")</f>
        <v/>
      </c>
      <c r="N880">
        <f>IF(B880,EXP(SUMPRODUCT(LN(1+(EvEff-1)*INDEX(Affected,0,C880)*EXP(-((E880-EvCenter)^2)/(2*EvSigma^2))))),"")</f>
        <v/>
      </c>
      <c r="O880">
        <f>IF(B880,ROUND(MAX(0,J880*K880*L880*M880*N880),2),"")</f>
        <v/>
      </c>
    </row>
    <row r="881">
      <c r="A881" t="n">
        <v>880</v>
      </c>
      <c r="B881">
        <f>A881&lt;=MineCount*Days</f>
        <v/>
      </c>
      <c r="C881">
        <f>IF(B881,INT((A881-1)/Days)+1,"")</f>
        <v/>
      </c>
      <c r="D881">
        <f>IF(B881,MOD(A881-1,Days),"")</f>
        <v/>
      </c>
      <c r="E881" s="16">
        <f>IF(B881,StartDate+D881,"")</f>
        <v/>
      </c>
      <c r="F881">
        <f>IF(B881,MAX(MOD(SIN(Seed*0.1373+C881*12.9898+D881*78.233)*43758.5453,1),1E-9),"")</f>
        <v/>
      </c>
      <c r="G881">
        <f>IF(B881,MOD(SIN(Seed*0.5917+C881*39.3468+D881*11.135)*24634.6345,1),"")</f>
        <v/>
      </c>
      <c r="H881">
        <f>IF(B881,SQRT(-2*LN(F881))*COS(2*PI()*G881),"")</f>
        <v/>
      </c>
      <c r="I881">
        <f>IF(B881,IF(D881=0,H881,Rho*I880+SQRT(1-Rho^2)*H881),"")</f>
        <v/>
      </c>
      <c r="J881">
        <f>IF(B881,IF(Dist="Normal",DistA+DistB*I881,DistA+(DistB-DistA)*NORMSDIST(I881)),"")</f>
        <v/>
      </c>
      <c r="K881">
        <f>IF(B881,INDEX(MineScale,C881),"")</f>
        <v/>
      </c>
      <c r="L881">
        <f>IF(B881,INDEX(Dow,1,WEEKDAY(E881,2)),"")</f>
        <v/>
      </c>
      <c r="M881">
        <f>IF(B881,(1+Trend)^D881,"")</f>
        <v/>
      </c>
      <c r="N881">
        <f>IF(B881,EXP(SUMPRODUCT(LN(1+(EvEff-1)*INDEX(Affected,0,C881)*EXP(-((E881-EvCenter)^2)/(2*EvSigma^2))))),"")</f>
        <v/>
      </c>
      <c r="O881">
        <f>IF(B881,ROUND(MAX(0,J881*K881*L881*M881*N881),2),"")</f>
        <v/>
      </c>
    </row>
    <row r="882">
      <c r="A882" t="n">
        <v>881</v>
      </c>
      <c r="B882">
        <f>A882&lt;=MineCount*Days</f>
        <v/>
      </c>
      <c r="C882">
        <f>IF(B882,INT((A882-1)/Days)+1,"")</f>
        <v/>
      </c>
      <c r="D882">
        <f>IF(B882,MOD(A882-1,Days),"")</f>
        <v/>
      </c>
      <c r="E882" s="16">
        <f>IF(B882,StartDate+D882,"")</f>
        <v/>
      </c>
      <c r="F882">
        <f>IF(B882,MAX(MOD(SIN(Seed*0.1373+C882*12.9898+D882*78.233)*43758.5453,1),1E-9),"")</f>
        <v/>
      </c>
      <c r="G882">
        <f>IF(B882,MOD(SIN(Seed*0.5917+C882*39.3468+D882*11.135)*24634.6345,1),"")</f>
        <v/>
      </c>
      <c r="H882">
        <f>IF(B882,SQRT(-2*LN(F882))*COS(2*PI()*G882),"")</f>
        <v/>
      </c>
      <c r="I882">
        <f>IF(B882,IF(D882=0,H882,Rho*I881+SQRT(1-Rho^2)*H882),"")</f>
        <v/>
      </c>
      <c r="J882">
        <f>IF(B882,IF(Dist="Normal",DistA+DistB*I882,DistA+(DistB-DistA)*NORMSDIST(I882)),"")</f>
        <v/>
      </c>
      <c r="K882">
        <f>IF(B882,INDEX(MineScale,C882),"")</f>
        <v/>
      </c>
      <c r="L882">
        <f>IF(B882,INDEX(Dow,1,WEEKDAY(E882,2)),"")</f>
        <v/>
      </c>
      <c r="M882">
        <f>IF(B882,(1+Trend)^D882,"")</f>
        <v/>
      </c>
      <c r="N882">
        <f>IF(B882,EXP(SUMPRODUCT(LN(1+(EvEff-1)*INDEX(Affected,0,C882)*EXP(-((E882-EvCenter)^2)/(2*EvSigma^2))))),"")</f>
        <v/>
      </c>
      <c r="O882">
        <f>IF(B882,ROUND(MAX(0,J882*K882*L882*M882*N882),2),"")</f>
        <v/>
      </c>
    </row>
    <row r="883">
      <c r="A883" t="n">
        <v>882</v>
      </c>
      <c r="B883">
        <f>A883&lt;=MineCount*Days</f>
        <v/>
      </c>
      <c r="C883">
        <f>IF(B883,INT((A883-1)/Days)+1,"")</f>
        <v/>
      </c>
      <c r="D883">
        <f>IF(B883,MOD(A883-1,Days),"")</f>
        <v/>
      </c>
      <c r="E883" s="16">
        <f>IF(B883,StartDate+D883,"")</f>
        <v/>
      </c>
      <c r="F883">
        <f>IF(B883,MAX(MOD(SIN(Seed*0.1373+C883*12.9898+D883*78.233)*43758.5453,1),1E-9),"")</f>
        <v/>
      </c>
      <c r="G883">
        <f>IF(B883,MOD(SIN(Seed*0.5917+C883*39.3468+D883*11.135)*24634.6345,1),"")</f>
        <v/>
      </c>
      <c r="H883">
        <f>IF(B883,SQRT(-2*LN(F883))*COS(2*PI()*G883),"")</f>
        <v/>
      </c>
      <c r="I883">
        <f>IF(B883,IF(D883=0,H883,Rho*I882+SQRT(1-Rho^2)*H883),"")</f>
        <v/>
      </c>
      <c r="J883">
        <f>IF(B883,IF(Dist="Normal",DistA+DistB*I883,DistA+(DistB-DistA)*NORMSDIST(I883)),"")</f>
        <v/>
      </c>
      <c r="K883">
        <f>IF(B883,INDEX(MineScale,C883),"")</f>
        <v/>
      </c>
      <c r="L883">
        <f>IF(B883,INDEX(Dow,1,WEEKDAY(E883,2)),"")</f>
        <v/>
      </c>
      <c r="M883">
        <f>IF(B883,(1+Trend)^D883,"")</f>
        <v/>
      </c>
      <c r="N883">
        <f>IF(B883,EXP(SUMPRODUCT(LN(1+(EvEff-1)*INDEX(Affected,0,C883)*EXP(-((E883-EvCenter)^2)/(2*EvSigma^2))))),"")</f>
        <v/>
      </c>
      <c r="O883">
        <f>IF(B883,ROUND(MAX(0,J883*K883*L883*M883*N883),2),"")</f>
        <v/>
      </c>
    </row>
    <row r="884">
      <c r="A884" t="n">
        <v>883</v>
      </c>
      <c r="B884">
        <f>A884&lt;=MineCount*Days</f>
        <v/>
      </c>
      <c r="C884">
        <f>IF(B884,INT((A884-1)/Days)+1,"")</f>
        <v/>
      </c>
      <c r="D884">
        <f>IF(B884,MOD(A884-1,Days),"")</f>
        <v/>
      </c>
      <c r="E884" s="16">
        <f>IF(B884,StartDate+D884,"")</f>
        <v/>
      </c>
      <c r="F884">
        <f>IF(B884,MAX(MOD(SIN(Seed*0.1373+C884*12.9898+D884*78.233)*43758.5453,1),1E-9),"")</f>
        <v/>
      </c>
      <c r="G884">
        <f>IF(B884,MOD(SIN(Seed*0.5917+C884*39.3468+D884*11.135)*24634.6345,1),"")</f>
        <v/>
      </c>
      <c r="H884">
        <f>IF(B884,SQRT(-2*LN(F884))*COS(2*PI()*G884),"")</f>
        <v/>
      </c>
      <c r="I884">
        <f>IF(B884,IF(D884=0,H884,Rho*I883+SQRT(1-Rho^2)*H884),"")</f>
        <v/>
      </c>
      <c r="J884">
        <f>IF(B884,IF(Dist="Normal",DistA+DistB*I884,DistA+(DistB-DistA)*NORMSDIST(I884)),"")</f>
        <v/>
      </c>
      <c r="K884">
        <f>IF(B884,INDEX(MineScale,C884),"")</f>
        <v/>
      </c>
      <c r="L884">
        <f>IF(B884,INDEX(Dow,1,WEEKDAY(E884,2)),"")</f>
        <v/>
      </c>
      <c r="M884">
        <f>IF(B884,(1+Trend)^D884,"")</f>
        <v/>
      </c>
      <c r="N884">
        <f>IF(B884,EXP(SUMPRODUCT(LN(1+(EvEff-1)*INDEX(Affected,0,C884)*EXP(-((E884-EvCenter)^2)/(2*EvSigma^2))))),"")</f>
        <v/>
      </c>
      <c r="O884">
        <f>IF(B884,ROUND(MAX(0,J884*K884*L884*M884*N884),2),"")</f>
        <v/>
      </c>
    </row>
    <row r="885">
      <c r="A885" t="n">
        <v>884</v>
      </c>
      <c r="B885">
        <f>A885&lt;=MineCount*Days</f>
        <v/>
      </c>
      <c r="C885">
        <f>IF(B885,INT((A885-1)/Days)+1,"")</f>
        <v/>
      </c>
      <c r="D885">
        <f>IF(B885,MOD(A885-1,Days),"")</f>
        <v/>
      </c>
      <c r="E885" s="16">
        <f>IF(B885,StartDate+D885,"")</f>
        <v/>
      </c>
      <c r="F885">
        <f>IF(B885,MAX(MOD(SIN(Seed*0.1373+C885*12.9898+D885*78.233)*43758.5453,1),1E-9),"")</f>
        <v/>
      </c>
      <c r="G885">
        <f>IF(B885,MOD(SIN(Seed*0.5917+C885*39.3468+D885*11.135)*24634.6345,1),"")</f>
        <v/>
      </c>
      <c r="H885">
        <f>IF(B885,SQRT(-2*LN(F885))*COS(2*PI()*G885),"")</f>
        <v/>
      </c>
      <c r="I885">
        <f>IF(B885,IF(D885=0,H885,Rho*I884+SQRT(1-Rho^2)*H885),"")</f>
        <v/>
      </c>
      <c r="J885">
        <f>IF(B885,IF(Dist="Normal",DistA+DistB*I885,DistA+(DistB-DistA)*NORMSDIST(I885)),"")</f>
        <v/>
      </c>
      <c r="K885">
        <f>IF(B885,INDEX(MineScale,C885),"")</f>
        <v/>
      </c>
      <c r="L885">
        <f>IF(B885,INDEX(Dow,1,WEEKDAY(E885,2)),"")</f>
        <v/>
      </c>
      <c r="M885">
        <f>IF(B885,(1+Trend)^D885,"")</f>
        <v/>
      </c>
      <c r="N885">
        <f>IF(B885,EXP(SUMPRODUCT(LN(1+(EvEff-1)*INDEX(Affected,0,C885)*EXP(-((E885-EvCenter)^2)/(2*EvSigma^2))))),"")</f>
        <v/>
      </c>
      <c r="O885">
        <f>IF(B885,ROUND(MAX(0,J885*K885*L885*M885*N885),2),"")</f>
        <v/>
      </c>
    </row>
    <row r="886">
      <c r="A886" t="n">
        <v>885</v>
      </c>
      <c r="B886">
        <f>A886&lt;=MineCount*Days</f>
        <v/>
      </c>
      <c r="C886">
        <f>IF(B886,INT((A886-1)/Days)+1,"")</f>
        <v/>
      </c>
      <c r="D886">
        <f>IF(B886,MOD(A886-1,Days),"")</f>
        <v/>
      </c>
      <c r="E886" s="16">
        <f>IF(B886,StartDate+D886,"")</f>
        <v/>
      </c>
      <c r="F886">
        <f>IF(B886,MAX(MOD(SIN(Seed*0.1373+C886*12.9898+D886*78.233)*43758.5453,1),1E-9),"")</f>
        <v/>
      </c>
      <c r="G886">
        <f>IF(B886,MOD(SIN(Seed*0.5917+C886*39.3468+D886*11.135)*24634.6345,1),"")</f>
        <v/>
      </c>
      <c r="H886">
        <f>IF(B886,SQRT(-2*LN(F886))*COS(2*PI()*G886),"")</f>
        <v/>
      </c>
      <c r="I886">
        <f>IF(B886,IF(D886=0,H886,Rho*I885+SQRT(1-Rho^2)*H886),"")</f>
        <v/>
      </c>
      <c r="J886">
        <f>IF(B886,IF(Dist="Normal",DistA+DistB*I886,DistA+(DistB-DistA)*NORMSDIST(I886)),"")</f>
        <v/>
      </c>
      <c r="K886">
        <f>IF(B886,INDEX(MineScale,C886),"")</f>
        <v/>
      </c>
      <c r="L886">
        <f>IF(B886,INDEX(Dow,1,WEEKDAY(E886,2)),"")</f>
        <v/>
      </c>
      <c r="M886">
        <f>IF(B886,(1+Trend)^D886,"")</f>
        <v/>
      </c>
      <c r="N886">
        <f>IF(B886,EXP(SUMPRODUCT(LN(1+(EvEff-1)*INDEX(Affected,0,C886)*EXP(-((E886-EvCenter)^2)/(2*EvSigma^2))))),"")</f>
        <v/>
      </c>
      <c r="O886">
        <f>IF(B886,ROUND(MAX(0,J886*K886*L886*M886*N886),2),"")</f>
        <v/>
      </c>
    </row>
    <row r="887">
      <c r="A887" t="n">
        <v>886</v>
      </c>
      <c r="B887">
        <f>A887&lt;=MineCount*Days</f>
        <v/>
      </c>
      <c r="C887">
        <f>IF(B887,INT((A887-1)/Days)+1,"")</f>
        <v/>
      </c>
      <c r="D887">
        <f>IF(B887,MOD(A887-1,Days),"")</f>
        <v/>
      </c>
      <c r="E887" s="16">
        <f>IF(B887,StartDate+D887,"")</f>
        <v/>
      </c>
      <c r="F887">
        <f>IF(B887,MAX(MOD(SIN(Seed*0.1373+C887*12.9898+D887*78.233)*43758.5453,1),1E-9),"")</f>
        <v/>
      </c>
      <c r="G887">
        <f>IF(B887,MOD(SIN(Seed*0.5917+C887*39.3468+D887*11.135)*24634.6345,1),"")</f>
        <v/>
      </c>
      <c r="H887">
        <f>IF(B887,SQRT(-2*LN(F887))*COS(2*PI()*G887),"")</f>
        <v/>
      </c>
      <c r="I887">
        <f>IF(B887,IF(D887=0,H887,Rho*I886+SQRT(1-Rho^2)*H887),"")</f>
        <v/>
      </c>
      <c r="J887">
        <f>IF(B887,IF(Dist="Normal",DistA+DistB*I887,DistA+(DistB-DistA)*NORMSDIST(I887)),"")</f>
        <v/>
      </c>
      <c r="K887">
        <f>IF(B887,INDEX(MineScale,C887),"")</f>
        <v/>
      </c>
      <c r="L887">
        <f>IF(B887,INDEX(Dow,1,WEEKDAY(E887,2)),"")</f>
        <v/>
      </c>
      <c r="M887">
        <f>IF(B887,(1+Trend)^D887,"")</f>
        <v/>
      </c>
      <c r="N887">
        <f>IF(B887,EXP(SUMPRODUCT(LN(1+(EvEff-1)*INDEX(Affected,0,C887)*EXP(-((E887-EvCenter)^2)/(2*EvSigma^2))))),"")</f>
        <v/>
      </c>
      <c r="O887">
        <f>IF(B887,ROUND(MAX(0,J887*K887*L887*M887*N887),2),"")</f>
        <v/>
      </c>
    </row>
    <row r="888">
      <c r="A888" t="n">
        <v>887</v>
      </c>
      <c r="B888">
        <f>A888&lt;=MineCount*Days</f>
        <v/>
      </c>
      <c r="C888">
        <f>IF(B888,INT((A888-1)/Days)+1,"")</f>
        <v/>
      </c>
      <c r="D888">
        <f>IF(B888,MOD(A888-1,Days),"")</f>
        <v/>
      </c>
      <c r="E888" s="16">
        <f>IF(B888,StartDate+D888,"")</f>
        <v/>
      </c>
      <c r="F888">
        <f>IF(B888,MAX(MOD(SIN(Seed*0.1373+C888*12.9898+D888*78.233)*43758.5453,1),1E-9),"")</f>
        <v/>
      </c>
      <c r="G888">
        <f>IF(B888,MOD(SIN(Seed*0.5917+C888*39.3468+D888*11.135)*24634.6345,1),"")</f>
        <v/>
      </c>
      <c r="H888">
        <f>IF(B888,SQRT(-2*LN(F888))*COS(2*PI()*G888),"")</f>
        <v/>
      </c>
      <c r="I888">
        <f>IF(B888,IF(D888=0,H888,Rho*I887+SQRT(1-Rho^2)*H888),"")</f>
        <v/>
      </c>
      <c r="J888">
        <f>IF(B888,IF(Dist="Normal",DistA+DistB*I888,DistA+(DistB-DistA)*NORMSDIST(I888)),"")</f>
        <v/>
      </c>
      <c r="K888">
        <f>IF(B888,INDEX(MineScale,C888),"")</f>
        <v/>
      </c>
      <c r="L888">
        <f>IF(B888,INDEX(Dow,1,WEEKDAY(E888,2)),"")</f>
        <v/>
      </c>
      <c r="M888">
        <f>IF(B888,(1+Trend)^D888,"")</f>
        <v/>
      </c>
      <c r="N888">
        <f>IF(B888,EXP(SUMPRODUCT(LN(1+(EvEff-1)*INDEX(Affected,0,C888)*EXP(-((E888-EvCenter)^2)/(2*EvSigma^2))))),"")</f>
        <v/>
      </c>
      <c r="O888">
        <f>IF(B888,ROUND(MAX(0,J888*K888*L888*M888*N888),2),"")</f>
        <v/>
      </c>
    </row>
    <row r="889">
      <c r="A889" t="n">
        <v>888</v>
      </c>
      <c r="B889">
        <f>A889&lt;=MineCount*Days</f>
        <v/>
      </c>
      <c r="C889">
        <f>IF(B889,INT((A889-1)/Days)+1,"")</f>
        <v/>
      </c>
      <c r="D889">
        <f>IF(B889,MOD(A889-1,Days),"")</f>
        <v/>
      </c>
      <c r="E889" s="16">
        <f>IF(B889,StartDate+D889,"")</f>
        <v/>
      </c>
      <c r="F889">
        <f>IF(B889,MAX(MOD(SIN(Seed*0.1373+C889*12.9898+D889*78.233)*43758.5453,1),1E-9),"")</f>
        <v/>
      </c>
      <c r="G889">
        <f>IF(B889,MOD(SIN(Seed*0.5917+C889*39.3468+D889*11.135)*24634.6345,1),"")</f>
        <v/>
      </c>
      <c r="H889">
        <f>IF(B889,SQRT(-2*LN(F889))*COS(2*PI()*G889),"")</f>
        <v/>
      </c>
      <c r="I889">
        <f>IF(B889,IF(D889=0,H889,Rho*I888+SQRT(1-Rho^2)*H889),"")</f>
        <v/>
      </c>
      <c r="J889">
        <f>IF(B889,IF(Dist="Normal",DistA+DistB*I889,DistA+(DistB-DistA)*NORMSDIST(I889)),"")</f>
        <v/>
      </c>
      <c r="K889">
        <f>IF(B889,INDEX(MineScale,C889),"")</f>
        <v/>
      </c>
      <c r="L889">
        <f>IF(B889,INDEX(Dow,1,WEEKDAY(E889,2)),"")</f>
        <v/>
      </c>
      <c r="M889">
        <f>IF(B889,(1+Trend)^D889,"")</f>
        <v/>
      </c>
      <c r="N889">
        <f>IF(B889,EXP(SUMPRODUCT(LN(1+(EvEff-1)*INDEX(Affected,0,C889)*EXP(-((E889-EvCenter)^2)/(2*EvSigma^2))))),"")</f>
        <v/>
      </c>
      <c r="O889">
        <f>IF(B889,ROUND(MAX(0,J889*K889*L889*M889*N889),2),"")</f>
        <v/>
      </c>
    </row>
    <row r="890">
      <c r="A890" t="n">
        <v>889</v>
      </c>
      <c r="B890">
        <f>A890&lt;=MineCount*Days</f>
        <v/>
      </c>
      <c r="C890">
        <f>IF(B890,INT((A890-1)/Days)+1,"")</f>
        <v/>
      </c>
      <c r="D890">
        <f>IF(B890,MOD(A890-1,Days),"")</f>
        <v/>
      </c>
      <c r="E890" s="16">
        <f>IF(B890,StartDate+D890,"")</f>
        <v/>
      </c>
      <c r="F890">
        <f>IF(B890,MAX(MOD(SIN(Seed*0.1373+C890*12.9898+D890*78.233)*43758.5453,1),1E-9),"")</f>
        <v/>
      </c>
      <c r="G890">
        <f>IF(B890,MOD(SIN(Seed*0.5917+C890*39.3468+D890*11.135)*24634.6345,1),"")</f>
        <v/>
      </c>
      <c r="H890">
        <f>IF(B890,SQRT(-2*LN(F890))*COS(2*PI()*G890),"")</f>
        <v/>
      </c>
      <c r="I890">
        <f>IF(B890,IF(D890=0,H890,Rho*I889+SQRT(1-Rho^2)*H890),"")</f>
        <v/>
      </c>
      <c r="J890">
        <f>IF(B890,IF(Dist="Normal",DistA+DistB*I890,DistA+(DistB-DistA)*NORMSDIST(I890)),"")</f>
        <v/>
      </c>
      <c r="K890">
        <f>IF(B890,INDEX(MineScale,C890),"")</f>
        <v/>
      </c>
      <c r="L890">
        <f>IF(B890,INDEX(Dow,1,WEEKDAY(E890,2)),"")</f>
        <v/>
      </c>
      <c r="M890">
        <f>IF(B890,(1+Trend)^D890,"")</f>
        <v/>
      </c>
      <c r="N890">
        <f>IF(B890,EXP(SUMPRODUCT(LN(1+(EvEff-1)*INDEX(Affected,0,C890)*EXP(-((E890-EvCenter)^2)/(2*EvSigma^2))))),"")</f>
        <v/>
      </c>
      <c r="O890">
        <f>IF(B890,ROUND(MAX(0,J890*K890*L890*M890*N890),2),"")</f>
        <v/>
      </c>
    </row>
    <row r="891">
      <c r="A891" t="n">
        <v>890</v>
      </c>
      <c r="B891">
        <f>A891&lt;=MineCount*Days</f>
        <v/>
      </c>
      <c r="C891">
        <f>IF(B891,INT((A891-1)/Days)+1,"")</f>
        <v/>
      </c>
      <c r="D891">
        <f>IF(B891,MOD(A891-1,Days),"")</f>
        <v/>
      </c>
      <c r="E891" s="16">
        <f>IF(B891,StartDate+D891,"")</f>
        <v/>
      </c>
      <c r="F891">
        <f>IF(B891,MAX(MOD(SIN(Seed*0.1373+C891*12.9898+D891*78.233)*43758.5453,1),1E-9),"")</f>
        <v/>
      </c>
      <c r="G891">
        <f>IF(B891,MOD(SIN(Seed*0.5917+C891*39.3468+D891*11.135)*24634.6345,1),"")</f>
        <v/>
      </c>
      <c r="H891">
        <f>IF(B891,SQRT(-2*LN(F891))*COS(2*PI()*G891),"")</f>
        <v/>
      </c>
      <c r="I891">
        <f>IF(B891,IF(D891=0,H891,Rho*I890+SQRT(1-Rho^2)*H891),"")</f>
        <v/>
      </c>
      <c r="J891">
        <f>IF(B891,IF(Dist="Normal",DistA+DistB*I891,DistA+(DistB-DistA)*NORMSDIST(I891)),"")</f>
        <v/>
      </c>
      <c r="K891">
        <f>IF(B891,INDEX(MineScale,C891),"")</f>
        <v/>
      </c>
      <c r="L891">
        <f>IF(B891,INDEX(Dow,1,WEEKDAY(E891,2)),"")</f>
        <v/>
      </c>
      <c r="M891">
        <f>IF(B891,(1+Trend)^D891,"")</f>
        <v/>
      </c>
      <c r="N891">
        <f>IF(B891,EXP(SUMPRODUCT(LN(1+(EvEff-1)*INDEX(Affected,0,C891)*EXP(-((E891-EvCenter)^2)/(2*EvSigma^2))))),"")</f>
        <v/>
      </c>
      <c r="O891">
        <f>IF(B891,ROUND(MAX(0,J891*K891*L891*M891*N891),2),"")</f>
        <v/>
      </c>
    </row>
    <row r="892">
      <c r="A892" t="n">
        <v>891</v>
      </c>
      <c r="B892">
        <f>A892&lt;=MineCount*Days</f>
        <v/>
      </c>
      <c r="C892">
        <f>IF(B892,INT((A892-1)/Days)+1,"")</f>
        <v/>
      </c>
      <c r="D892">
        <f>IF(B892,MOD(A892-1,Days),"")</f>
        <v/>
      </c>
      <c r="E892" s="16">
        <f>IF(B892,StartDate+D892,"")</f>
        <v/>
      </c>
      <c r="F892">
        <f>IF(B892,MAX(MOD(SIN(Seed*0.1373+C892*12.9898+D892*78.233)*43758.5453,1),1E-9),"")</f>
        <v/>
      </c>
      <c r="G892">
        <f>IF(B892,MOD(SIN(Seed*0.5917+C892*39.3468+D892*11.135)*24634.6345,1),"")</f>
        <v/>
      </c>
      <c r="H892">
        <f>IF(B892,SQRT(-2*LN(F892))*COS(2*PI()*G892),"")</f>
        <v/>
      </c>
      <c r="I892">
        <f>IF(B892,IF(D892=0,H892,Rho*I891+SQRT(1-Rho^2)*H892),"")</f>
        <v/>
      </c>
      <c r="J892">
        <f>IF(B892,IF(Dist="Normal",DistA+DistB*I892,DistA+(DistB-DistA)*NORMSDIST(I892)),"")</f>
        <v/>
      </c>
      <c r="K892">
        <f>IF(B892,INDEX(MineScale,C892),"")</f>
        <v/>
      </c>
      <c r="L892">
        <f>IF(B892,INDEX(Dow,1,WEEKDAY(E892,2)),"")</f>
        <v/>
      </c>
      <c r="M892">
        <f>IF(B892,(1+Trend)^D892,"")</f>
        <v/>
      </c>
      <c r="N892">
        <f>IF(B892,EXP(SUMPRODUCT(LN(1+(EvEff-1)*INDEX(Affected,0,C892)*EXP(-((E892-EvCenter)^2)/(2*EvSigma^2))))),"")</f>
        <v/>
      </c>
      <c r="O892">
        <f>IF(B892,ROUND(MAX(0,J892*K892*L892*M892*N892),2),"")</f>
        <v/>
      </c>
    </row>
    <row r="893">
      <c r="A893" t="n">
        <v>892</v>
      </c>
      <c r="B893">
        <f>A893&lt;=MineCount*Days</f>
        <v/>
      </c>
      <c r="C893">
        <f>IF(B893,INT((A893-1)/Days)+1,"")</f>
        <v/>
      </c>
      <c r="D893">
        <f>IF(B893,MOD(A893-1,Days),"")</f>
        <v/>
      </c>
      <c r="E893" s="16">
        <f>IF(B893,StartDate+D893,"")</f>
        <v/>
      </c>
      <c r="F893">
        <f>IF(B893,MAX(MOD(SIN(Seed*0.1373+C893*12.9898+D893*78.233)*43758.5453,1),1E-9),"")</f>
        <v/>
      </c>
      <c r="G893">
        <f>IF(B893,MOD(SIN(Seed*0.5917+C893*39.3468+D893*11.135)*24634.6345,1),"")</f>
        <v/>
      </c>
      <c r="H893">
        <f>IF(B893,SQRT(-2*LN(F893))*COS(2*PI()*G893),"")</f>
        <v/>
      </c>
      <c r="I893">
        <f>IF(B893,IF(D893=0,H893,Rho*I892+SQRT(1-Rho^2)*H893),"")</f>
        <v/>
      </c>
      <c r="J893">
        <f>IF(B893,IF(Dist="Normal",DistA+DistB*I893,DistA+(DistB-DistA)*NORMSDIST(I893)),"")</f>
        <v/>
      </c>
      <c r="K893">
        <f>IF(B893,INDEX(MineScale,C893),"")</f>
        <v/>
      </c>
      <c r="L893">
        <f>IF(B893,INDEX(Dow,1,WEEKDAY(E893,2)),"")</f>
        <v/>
      </c>
      <c r="M893">
        <f>IF(B893,(1+Trend)^D893,"")</f>
        <v/>
      </c>
      <c r="N893">
        <f>IF(B893,EXP(SUMPRODUCT(LN(1+(EvEff-1)*INDEX(Affected,0,C893)*EXP(-((E893-EvCenter)^2)/(2*EvSigma^2))))),"")</f>
        <v/>
      </c>
      <c r="O893">
        <f>IF(B893,ROUND(MAX(0,J893*K893*L893*M893*N893),2),"")</f>
        <v/>
      </c>
    </row>
    <row r="894">
      <c r="A894" t="n">
        <v>893</v>
      </c>
      <c r="B894">
        <f>A894&lt;=MineCount*Days</f>
        <v/>
      </c>
      <c r="C894">
        <f>IF(B894,INT((A894-1)/Days)+1,"")</f>
        <v/>
      </c>
      <c r="D894">
        <f>IF(B894,MOD(A894-1,Days),"")</f>
        <v/>
      </c>
      <c r="E894" s="16">
        <f>IF(B894,StartDate+D894,"")</f>
        <v/>
      </c>
      <c r="F894">
        <f>IF(B894,MAX(MOD(SIN(Seed*0.1373+C894*12.9898+D894*78.233)*43758.5453,1),1E-9),"")</f>
        <v/>
      </c>
      <c r="G894">
        <f>IF(B894,MOD(SIN(Seed*0.5917+C894*39.3468+D894*11.135)*24634.6345,1),"")</f>
        <v/>
      </c>
      <c r="H894">
        <f>IF(B894,SQRT(-2*LN(F894))*COS(2*PI()*G894),"")</f>
        <v/>
      </c>
      <c r="I894">
        <f>IF(B894,IF(D894=0,H894,Rho*I893+SQRT(1-Rho^2)*H894),"")</f>
        <v/>
      </c>
      <c r="J894">
        <f>IF(B894,IF(Dist="Normal",DistA+DistB*I894,DistA+(DistB-DistA)*NORMSDIST(I894)),"")</f>
        <v/>
      </c>
      <c r="K894">
        <f>IF(B894,INDEX(MineScale,C894),"")</f>
        <v/>
      </c>
      <c r="L894">
        <f>IF(B894,INDEX(Dow,1,WEEKDAY(E894,2)),"")</f>
        <v/>
      </c>
      <c r="M894">
        <f>IF(B894,(1+Trend)^D894,"")</f>
        <v/>
      </c>
      <c r="N894">
        <f>IF(B894,EXP(SUMPRODUCT(LN(1+(EvEff-1)*INDEX(Affected,0,C894)*EXP(-((E894-EvCenter)^2)/(2*EvSigma^2))))),"")</f>
        <v/>
      </c>
      <c r="O894">
        <f>IF(B894,ROUND(MAX(0,J894*K894*L894*M894*N894),2),"")</f>
        <v/>
      </c>
    </row>
    <row r="895">
      <c r="A895" t="n">
        <v>894</v>
      </c>
      <c r="B895">
        <f>A895&lt;=MineCount*Days</f>
        <v/>
      </c>
      <c r="C895">
        <f>IF(B895,INT((A895-1)/Days)+1,"")</f>
        <v/>
      </c>
      <c r="D895">
        <f>IF(B895,MOD(A895-1,Days),"")</f>
        <v/>
      </c>
      <c r="E895" s="16">
        <f>IF(B895,StartDate+D895,"")</f>
        <v/>
      </c>
      <c r="F895">
        <f>IF(B895,MAX(MOD(SIN(Seed*0.1373+C895*12.9898+D895*78.233)*43758.5453,1),1E-9),"")</f>
        <v/>
      </c>
      <c r="G895">
        <f>IF(B895,MOD(SIN(Seed*0.5917+C895*39.3468+D895*11.135)*24634.6345,1),"")</f>
        <v/>
      </c>
      <c r="H895">
        <f>IF(B895,SQRT(-2*LN(F895))*COS(2*PI()*G895),"")</f>
        <v/>
      </c>
      <c r="I895">
        <f>IF(B895,IF(D895=0,H895,Rho*I894+SQRT(1-Rho^2)*H895),"")</f>
        <v/>
      </c>
      <c r="J895">
        <f>IF(B895,IF(Dist="Normal",DistA+DistB*I895,DistA+(DistB-DistA)*NORMSDIST(I895)),"")</f>
        <v/>
      </c>
      <c r="K895">
        <f>IF(B895,INDEX(MineScale,C895),"")</f>
        <v/>
      </c>
      <c r="L895">
        <f>IF(B895,INDEX(Dow,1,WEEKDAY(E895,2)),"")</f>
        <v/>
      </c>
      <c r="M895">
        <f>IF(B895,(1+Trend)^D895,"")</f>
        <v/>
      </c>
      <c r="N895">
        <f>IF(B895,EXP(SUMPRODUCT(LN(1+(EvEff-1)*INDEX(Affected,0,C895)*EXP(-((E895-EvCenter)^2)/(2*EvSigma^2))))),"")</f>
        <v/>
      </c>
      <c r="O895">
        <f>IF(B895,ROUND(MAX(0,J895*K895*L895*M895*N895),2),"")</f>
        <v/>
      </c>
    </row>
    <row r="896">
      <c r="A896" t="n">
        <v>895</v>
      </c>
      <c r="B896">
        <f>A896&lt;=MineCount*Days</f>
        <v/>
      </c>
      <c r="C896">
        <f>IF(B896,INT((A896-1)/Days)+1,"")</f>
        <v/>
      </c>
      <c r="D896">
        <f>IF(B896,MOD(A896-1,Days),"")</f>
        <v/>
      </c>
      <c r="E896" s="16">
        <f>IF(B896,StartDate+D896,"")</f>
        <v/>
      </c>
      <c r="F896">
        <f>IF(B896,MAX(MOD(SIN(Seed*0.1373+C896*12.9898+D896*78.233)*43758.5453,1),1E-9),"")</f>
        <v/>
      </c>
      <c r="G896">
        <f>IF(B896,MOD(SIN(Seed*0.5917+C896*39.3468+D896*11.135)*24634.6345,1),"")</f>
        <v/>
      </c>
      <c r="H896">
        <f>IF(B896,SQRT(-2*LN(F896))*COS(2*PI()*G896),"")</f>
        <v/>
      </c>
      <c r="I896">
        <f>IF(B896,IF(D896=0,H896,Rho*I895+SQRT(1-Rho^2)*H896),"")</f>
        <v/>
      </c>
      <c r="J896">
        <f>IF(B896,IF(Dist="Normal",DistA+DistB*I896,DistA+(DistB-DistA)*NORMSDIST(I896)),"")</f>
        <v/>
      </c>
      <c r="K896">
        <f>IF(B896,INDEX(MineScale,C896),"")</f>
        <v/>
      </c>
      <c r="L896">
        <f>IF(B896,INDEX(Dow,1,WEEKDAY(E896,2)),"")</f>
        <v/>
      </c>
      <c r="M896">
        <f>IF(B896,(1+Trend)^D896,"")</f>
        <v/>
      </c>
      <c r="N896">
        <f>IF(B896,EXP(SUMPRODUCT(LN(1+(EvEff-1)*INDEX(Affected,0,C896)*EXP(-((E896-EvCenter)^2)/(2*EvSigma^2))))),"")</f>
        <v/>
      </c>
      <c r="O896">
        <f>IF(B896,ROUND(MAX(0,J896*K896*L896*M896*N896),2),"")</f>
        <v/>
      </c>
    </row>
    <row r="897">
      <c r="A897" t="n">
        <v>896</v>
      </c>
      <c r="B897">
        <f>A897&lt;=MineCount*Days</f>
        <v/>
      </c>
      <c r="C897">
        <f>IF(B897,INT((A897-1)/Days)+1,"")</f>
        <v/>
      </c>
      <c r="D897">
        <f>IF(B897,MOD(A897-1,Days),"")</f>
        <v/>
      </c>
      <c r="E897" s="16">
        <f>IF(B897,StartDate+D897,"")</f>
        <v/>
      </c>
      <c r="F897">
        <f>IF(B897,MAX(MOD(SIN(Seed*0.1373+C897*12.9898+D897*78.233)*43758.5453,1),1E-9),"")</f>
        <v/>
      </c>
      <c r="G897">
        <f>IF(B897,MOD(SIN(Seed*0.5917+C897*39.3468+D897*11.135)*24634.6345,1),"")</f>
        <v/>
      </c>
      <c r="H897">
        <f>IF(B897,SQRT(-2*LN(F897))*COS(2*PI()*G897),"")</f>
        <v/>
      </c>
      <c r="I897">
        <f>IF(B897,IF(D897=0,H897,Rho*I896+SQRT(1-Rho^2)*H897),"")</f>
        <v/>
      </c>
      <c r="J897">
        <f>IF(B897,IF(Dist="Normal",DistA+DistB*I897,DistA+(DistB-DistA)*NORMSDIST(I897)),"")</f>
        <v/>
      </c>
      <c r="K897">
        <f>IF(B897,INDEX(MineScale,C897),"")</f>
        <v/>
      </c>
      <c r="L897">
        <f>IF(B897,INDEX(Dow,1,WEEKDAY(E897,2)),"")</f>
        <v/>
      </c>
      <c r="M897">
        <f>IF(B897,(1+Trend)^D897,"")</f>
        <v/>
      </c>
      <c r="N897">
        <f>IF(B897,EXP(SUMPRODUCT(LN(1+(EvEff-1)*INDEX(Affected,0,C897)*EXP(-((E897-EvCenter)^2)/(2*EvSigma^2))))),"")</f>
        <v/>
      </c>
      <c r="O897">
        <f>IF(B897,ROUND(MAX(0,J897*K897*L897*M897*N897),2),"")</f>
        <v/>
      </c>
    </row>
    <row r="898">
      <c r="A898" t="n">
        <v>897</v>
      </c>
      <c r="B898">
        <f>A898&lt;=MineCount*Days</f>
        <v/>
      </c>
      <c r="C898">
        <f>IF(B898,INT((A898-1)/Days)+1,"")</f>
        <v/>
      </c>
      <c r="D898">
        <f>IF(B898,MOD(A898-1,Days),"")</f>
        <v/>
      </c>
      <c r="E898" s="16">
        <f>IF(B898,StartDate+D898,"")</f>
        <v/>
      </c>
      <c r="F898">
        <f>IF(B898,MAX(MOD(SIN(Seed*0.1373+C898*12.9898+D898*78.233)*43758.5453,1),1E-9),"")</f>
        <v/>
      </c>
      <c r="G898">
        <f>IF(B898,MOD(SIN(Seed*0.5917+C898*39.3468+D898*11.135)*24634.6345,1),"")</f>
        <v/>
      </c>
      <c r="H898">
        <f>IF(B898,SQRT(-2*LN(F898))*COS(2*PI()*G898),"")</f>
        <v/>
      </c>
      <c r="I898">
        <f>IF(B898,IF(D898=0,H898,Rho*I897+SQRT(1-Rho^2)*H898),"")</f>
        <v/>
      </c>
      <c r="J898">
        <f>IF(B898,IF(Dist="Normal",DistA+DistB*I898,DistA+(DistB-DistA)*NORMSDIST(I898)),"")</f>
        <v/>
      </c>
      <c r="K898">
        <f>IF(B898,INDEX(MineScale,C898),"")</f>
        <v/>
      </c>
      <c r="L898">
        <f>IF(B898,INDEX(Dow,1,WEEKDAY(E898,2)),"")</f>
        <v/>
      </c>
      <c r="M898">
        <f>IF(B898,(1+Trend)^D898,"")</f>
        <v/>
      </c>
      <c r="N898">
        <f>IF(B898,EXP(SUMPRODUCT(LN(1+(EvEff-1)*INDEX(Affected,0,C898)*EXP(-((E898-EvCenter)^2)/(2*EvSigma^2))))),"")</f>
        <v/>
      </c>
      <c r="O898">
        <f>IF(B898,ROUND(MAX(0,J898*K898*L898*M898*N898),2),"")</f>
        <v/>
      </c>
    </row>
    <row r="899">
      <c r="A899" t="n">
        <v>898</v>
      </c>
      <c r="B899">
        <f>A899&lt;=MineCount*Days</f>
        <v/>
      </c>
      <c r="C899">
        <f>IF(B899,INT((A899-1)/Days)+1,"")</f>
        <v/>
      </c>
      <c r="D899">
        <f>IF(B899,MOD(A899-1,Days),"")</f>
        <v/>
      </c>
      <c r="E899" s="16">
        <f>IF(B899,StartDate+D899,"")</f>
        <v/>
      </c>
      <c r="F899">
        <f>IF(B899,MAX(MOD(SIN(Seed*0.1373+C899*12.9898+D899*78.233)*43758.5453,1),1E-9),"")</f>
        <v/>
      </c>
      <c r="G899">
        <f>IF(B899,MOD(SIN(Seed*0.5917+C899*39.3468+D899*11.135)*24634.6345,1),"")</f>
        <v/>
      </c>
      <c r="H899">
        <f>IF(B899,SQRT(-2*LN(F899))*COS(2*PI()*G899),"")</f>
        <v/>
      </c>
      <c r="I899">
        <f>IF(B899,IF(D899=0,H899,Rho*I898+SQRT(1-Rho^2)*H899),"")</f>
        <v/>
      </c>
      <c r="J899">
        <f>IF(B899,IF(Dist="Normal",DistA+DistB*I899,DistA+(DistB-DistA)*NORMSDIST(I899)),"")</f>
        <v/>
      </c>
      <c r="K899">
        <f>IF(B899,INDEX(MineScale,C899),"")</f>
        <v/>
      </c>
      <c r="L899">
        <f>IF(B899,INDEX(Dow,1,WEEKDAY(E899,2)),"")</f>
        <v/>
      </c>
      <c r="M899">
        <f>IF(B899,(1+Trend)^D899,"")</f>
        <v/>
      </c>
      <c r="N899">
        <f>IF(B899,EXP(SUMPRODUCT(LN(1+(EvEff-1)*INDEX(Affected,0,C899)*EXP(-((E899-EvCenter)^2)/(2*EvSigma^2))))),"")</f>
        <v/>
      </c>
      <c r="O899">
        <f>IF(B899,ROUND(MAX(0,J899*K899*L899*M899*N899),2),"")</f>
        <v/>
      </c>
    </row>
    <row r="900">
      <c r="A900" t="n">
        <v>899</v>
      </c>
      <c r="B900">
        <f>A900&lt;=MineCount*Days</f>
        <v/>
      </c>
      <c r="C900">
        <f>IF(B900,INT((A900-1)/Days)+1,"")</f>
        <v/>
      </c>
      <c r="D900">
        <f>IF(B900,MOD(A900-1,Days),"")</f>
        <v/>
      </c>
      <c r="E900" s="16">
        <f>IF(B900,StartDate+D900,"")</f>
        <v/>
      </c>
      <c r="F900">
        <f>IF(B900,MAX(MOD(SIN(Seed*0.1373+C900*12.9898+D900*78.233)*43758.5453,1),1E-9),"")</f>
        <v/>
      </c>
      <c r="G900">
        <f>IF(B900,MOD(SIN(Seed*0.5917+C900*39.3468+D900*11.135)*24634.6345,1),"")</f>
        <v/>
      </c>
      <c r="H900">
        <f>IF(B900,SQRT(-2*LN(F900))*COS(2*PI()*G900),"")</f>
        <v/>
      </c>
      <c r="I900">
        <f>IF(B900,IF(D900=0,H900,Rho*I899+SQRT(1-Rho^2)*H900),"")</f>
        <v/>
      </c>
      <c r="J900">
        <f>IF(B900,IF(Dist="Normal",DistA+DistB*I900,DistA+(DistB-DistA)*NORMSDIST(I900)),"")</f>
        <v/>
      </c>
      <c r="K900">
        <f>IF(B900,INDEX(MineScale,C900),"")</f>
        <v/>
      </c>
      <c r="L900">
        <f>IF(B900,INDEX(Dow,1,WEEKDAY(E900,2)),"")</f>
        <v/>
      </c>
      <c r="M900">
        <f>IF(B900,(1+Trend)^D900,"")</f>
        <v/>
      </c>
      <c r="N900">
        <f>IF(B900,EXP(SUMPRODUCT(LN(1+(EvEff-1)*INDEX(Affected,0,C900)*EXP(-((E900-EvCenter)^2)/(2*EvSigma^2))))),"")</f>
        <v/>
      </c>
      <c r="O900">
        <f>IF(B900,ROUND(MAX(0,J900*K900*L900*M900*N900),2),"")</f>
        <v/>
      </c>
    </row>
    <row r="901">
      <c r="A901" t="n">
        <v>900</v>
      </c>
      <c r="B901">
        <f>A901&lt;=MineCount*Days</f>
        <v/>
      </c>
      <c r="C901">
        <f>IF(B901,INT((A901-1)/Days)+1,"")</f>
        <v/>
      </c>
      <c r="D901">
        <f>IF(B901,MOD(A901-1,Days),"")</f>
        <v/>
      </c>
      <c r="E901" s="16">
        <f>IF(B901,StartDate+D901,"")</f>
        <v/>
      </c>
      <c r="F901">
        <f>IF(B901,MAX(MOD(SIN(Seed*0.1373+C901*12.9898+D901*78.233)*43758.5453,1),1E-9),"")</f>
        <v/>
      </c>
      <c r="G901">
        <f>IF(B901,MOD(SIN(Seed*0.5917+C901*39.3468+D901*11.135)*24634.6345,1),"")</f>
        <v/>
      </c>
      <c r="H901">
        <f>IF(B901,SQRT(-2*LN(F901))*COS(2*PI()*G901),"")</f>
        <v/>
      </c>
      <c r="I901">
        <f>IF(B901,IF(D901=0,H901,Rho*I900+SQRT(1-Rho^2)*H901),"")</f>
        <v/>
      </c>
      <c r="J901">
        <f>IF(B901,IF(Dist="Normal",DistA+DistB*I901,DistA+(DistB-DistA)*NORMSDIST(I901)),"")</f>
        <v/>
      </c>
      <c r="K901">
        <f>IF(B901,INDEX(MineScale,C901),"")</f>
        <v/>
      </c>
      <c r="L901">
        <f>IF(B901,INDEX(Dow,1,WEEKDAY(E901,2)),"")</f>
        <v/>
      </c>
      <c r="M901">
        <f>IF(B901,(1+Trend)^D901,"")</f>
        <v/>
      </c>
      <c r="N901">
        <f>IF(B901,EXP(SUMPRODUCT(LN(1+(EvEff-1)*INDEX(Affected,0,C901)*EXP(-((E901-EvCenter)^2)/(2*EvSigma^2))))),"")</f>
        <v/>
      </c>
      <c r="O901">
        <f>IF(B901,ROUND(MAX(0,J901*K901*L901*M901*N901),2),"")</f>
        <v/>
      </c>
    </row>
    <row r="902">
      <c r="A902" t="n">
        <v>901</v>
      </c>
      <c r="B902">
        <f>A902&lt;=MineCount*Days</f>
        <v/>
      </c>
      <c r="C902">
        <f>IF(B902,INT((A902-1)/Days)+1,"")</f>
        <v/>
      </c>
      <c r="D902">
        <f>IF(B902,MOD(A902-1,Days),"")</f>
        <v/>
      </c>
      <c r="E902" s="16">
        <f>IF(B902,StartDate+D902,"")</f>
        <v/>
      </c>
      <c r="F902">
        <f>IF(B902,MAX(MOD(SIN(Seed*0.1373+C902*12.9898+D902*78.233)*43758.5453,1),1E-9),"")</f>
        <v/>
      </c>
      <c r="G902">
        <f>IF(B902,MOD(SIN(Seed*0.5917+C902*39.3468+D902*11.135)*24634.6345,1),"")</f>
        <v/>
      </c>
      <c r="H902">
        <f>IF(B902,SQRT(-2*LN(F902))*COS(2*PI()*G902),"")</f>
        <v/>
      </c>
      <c r="I902">
        <f>IF(B902,IF(D902=0,H902,Rho*I901+SQRT(1-Rho^2)*H902),"")</f>
        <v/>
      </c>
      <c r="J902">
        <f>IF(B902,IF(Dist="Normal",DistA+DistB*I902,DistA+(DistB-DistA)*NORMSDIST(I902)),"")</f>
        <v/>
      </c>
      <c r="K902">
        <f>IF(B902,INDEX(MineScale,C902),"")</f>
        <v/>
      </c>
      <c r="L902">
        <f>IF(B902,INDEX(Dow,1,WEEKDAY(E902,2)),"")</f>
        <v/>
      </c>
      <c r="M902">
        <f>IF(B902,(1+Trend)^D902,"")</f>
        <v/>
      </c>
      <c r="N902">
        <f>IF(B902,EXP(SUMPRODUCT(LN(1+(EvEff-1)*INDEX(Affected,0,C902)*EXP(-((E902-EvCenter)^2)/(2*EvSigma^2))))),"")</f>
        <v/>
      </c>
      <c r="O902">
        <f>IF(B902,ROUND(MAX(0,J902*K902*L902*M902*N902),2),"")</f>
        <v/>
      </c>
    </row>
    <row r="903">
      <c r="A903" t="n">
        <v>902</v>
      </c>
      <c r="B903">
        <f>A903&lt;=MineCount*Days</f>
        <v/>
      </c>
      <c r="C903">
        <f>IF(B903,INT((A903-1)/Days)+1,"")</f>
        <v/>
      </c>
      <c r="D903">
        <f>IF(B903,MOD(A903-1,Days),"")</f>
        <v/>
      </c>
      <c r="E903" s="16">
        <f>IF(B903,StartDate+D903,"")</f>
        <v/>
      </c>
      <c r="F903">
        <f>IF(B903,MAX(MOD(SIN(Seed*0.1373+C903*12.9898+D903*78.233)*43758.5453,1),1E-9),"")</f>
        <v/>
      </c>
      <c r="G903">
        <f>IF(B903,MOD(SIN(Seed*0.5917+C903*39.3468+D903*11.135)*24634.6345,1),"")</f>
        <v/>
      </c>
      <c r="H903">
        <f>IF(B903,SQRT(-2*LN(F903))*COS(2*PI()*G903),"")</f>
        <v/>
      </c>
      <c r="I903">
        <f>IF(B903,IF(D903=0,H903,Rho*I902+SQRT(1-Rho^2)*H903),"")</f>
        <v/>
      </c>
      <c r="J903">
        <f>IF(B903,IF(Dist="Normal",DistA+DistB*I903,DistA+(DistB-DistA)*NORMSDIST(I903)),"")</f>
        <v/>
      </c>
      <c r="K903">
        <f>IF(B903,INDEX(MineScale,C903),"")</f>
        <v/>
      </c>
      <c r="L903">
        <f>IF(B903,INDEX(Dow,1,WEEKDAY(E903,2)),"")</f>
        <v/>
      </c>
      <c r="M903">
        <f>IF(B903,(1+Trend)^D903,"")</f>
        <v/>
      </c>
      <c r="N903">
        <f>IF(B903,EXP(SUMPRODUCT(LN(1+(EvEff-1)*INDEX(Affected,0,C903)*EXP(-((E903-EvCenter)^2)/(2*EvSigma^2))))),"")</f>
        <v/>
      </c>
      <c r="O903">
        <f>IF(B903,ROUND(MAX(0,J903*K903*L903*M903*N903),2),"")</f>
        <v/>
      </c>
    </row>
    <row r="904">
      <c r="A904" t="n">
        <v>903</v>
      </c>
      <c r="B904">
        <f>A904&lt;=MineCount*Days</f>
        <v/>
      </c>
      <c r="C904">
        <f>IF(B904,INT((A904-1)/Days)+1,"")</f>
        <v/>
      </c>
      <c r="D904">
        <f>IF(B904,MOD(A904-1,Days),"")</f>
        <v/>
      </c>
      <c r="E904" s="16">
        <f>IF(B904,StartDate+D904,"")</f>
        <v/>
      </c>
      <c r="F904">
        <f>IF(B904,MAX(MOD(SIN(Seed*0.1373+C904*12.9898+D904*78.233)*43758.5453,1),1E-9),"")</f>
        <v/>
      </c>
      <c r="G904">
        <f>IF(B904,MOD(SIN(Seed*0.5917+C904*39.3468+D904*11.135)*24634.6345,1),"")</f>
        <v/>
      </c>
      <c r="H904">
        <f>IF(B904,SQRT(-2*LN(F904))*COS(2*PI()*G904),"")</f>
        <v/>
      </c>
      <c r="I904">
        <f>IF(B904,IF(D904=0,H904,Rho*I903+SQRT(1-Rho^2)*H904),"")</f>
        <v/>
      </c>
      <c r="J904">
        <f>IF(B904,IF(Dist="Normal",DistA+DistB*I904,DistA+(DistB-DistA)*NORMSDIST(I904)),"")</f>
        <v/>
      </c>
      <c r="K904">
        <f>IF(B904,INDEX(MineScale,C904),"")</f>
        <v/>
      </c>
      <c r="L904">
        <f>IF(B904,INDEX(Dow,1,WEEKDAY(E904,2)),"")</f>
        <v/>
      </c>
      <c r="M904">
        <f>IF(B904,(1+Trend)^D904,"")</f>
        <v/>
      </c>
      <c r="N904">
        <f>IF(B904,EXP(SUMPRODUCT(LN(1+(EvEff-1)*INDEX(Affected,0,C904)*EXP(-((E904-EvCenter)^2)/(2*EvSigma^2))))),"")</f>
        <v/>
      </c>
      <c r="O904">
        <f>IF(B904,ROUND(MAX(0,J904*K904*L904*M904*N904),2),"")</f>
        <v/>
      </c>
    </row>
    <row r="905">
      <c r="A905" t="n">
        <v>904</v>
      </c>
      <c r="B905">
        <f>A905&lt;=MineCount*Days</f>
        <v/>
      </c>
      <c r="C905">
        <f>IF(B905,INT((A905-1)/Days)+1,"")</f>
        <v/>
      </c>
      <c r="D905">
        <f>IF(B905,MOD(A905-1,Days),"")</f>
        <v/>
      </c>
      <c r="E905" s="16">
        <f>IF(B905,StartDate+D905,"")</f>
        <v/>
      </c>
      <c r="F905">
        <f>IF(B905,MAX(MOD(SIN(Seed*0.1373+C905*12.9898+D905*78.233)*43758.5453,1),1E-9),"")</f>
        <v/>
      </c>
      <c r="G905">
        <f>IF(B905,MOD(SIN(Seed*0.5917+C905*39.3468+D905*11.135)*24634.6345,1),"")</f>
        <v/>
      </c>
      <c r="H905">
        <f>IF(B905,SQRT(-2*LN(F905))*COS(2*PI()*G905),"")</f>
        <v/>
      </c>
      <c r="I905">
        <f>IF(B905,IF(D905=0,H905,Rho*I904+SQRT(1-Rho^2)*H905),"")</f>
        <v/>
      </c>
      <c r="J905">
        <f>IF(B905,IF(Dist="Normal",DistA+DistB*I905,DistA+(DistB-DistA)*NORMSDIST(I905)),"")</f>
        <v/>
      </c>
      <c r="K905">
        <f>IF(B905,INDEX(MineScale,C905),"")</f>
        <v/>
      </c>
      <c r="L905">
        <f>IF(B905,INDEX(Dow,1,WEEKDAY(E905,2)),"")</f>
        <v/>
      </c>
      <c r="M905">
        <f>IF(B905,(1+Trend)^D905,"")</f>
        <v/>
      </c>
      <c r="N905">
        <f>IF(B905,EXP(SUMPRODUCT(LN(1+(EvEff-1)*INDEX(Affected,0,C905)*EXP(-((E905-EvCenter)^2)/(2*EvSigma^2))))),"")</f>
        <v/>
      </c>
      <c r="O905">
        <f>IF(B905,ROUND(MAX(0,J905*K905*L905*M905*N905),2),"")</f>
        <v/>
      </c>
    </row>
    <row r="906">
      <c r="A906" t="n">
        <v>905</v>
      </c>
      <c r="B906">
        <f>A906&lt;=MineCount*Days</f>
        <v/>
      </c>
      <c r="C906">
        <f>IF(B906,INT((A906-1)/Days)+1,"")</f>
        <v/>
      </c>
      <c r="D906">
        <f>IF(B906,MOD(A906-1,Days),"")</f>
        <v/>
      </c>
      <c r="E906" s="16">
        <f>IF(B906,StartDate+D906,"")</f>
        <v/>
      </c>
      <c r="F906">
        <f>IF(B906,MAX(MOD(SIN(Seed*0.1373+C906*12.9898+D906*78.233)*43758.5453,1),1E-9),"")</f>
        <v/>
      </c>
      <c r="G906">
        <f>IF(B906,MOD(SIN(Seed*0.5917+C906*39.3468+D906*11.135)*24634.6345,1),"")</f>
        <v/>
      </c>
      <c r="H906">
        <f>IF(B906,SQRT(-2*LN(F906))*COS(2*PI()*G906),"")</f>
        <v/>
      </c>
      <c r="I906">
        <f>IF(B906,IF(D906=0,H906,Rho*I905+SQRT(1-Rho^2)*H906),"")</f>
        <v/>
      </c>
      <c r="J906">
        <f>IF(B906,IF(Dist="Normal",DistA+DistB*I906,DistA+(DistB-DistA)*NORMSDIST(I906)),"")</f>
        <v/>
      </c>
      <c r="K906">
        <f>IF(B906,INDEX(MineScale,C906),"")</f>
        <v/>
      </c>
      <c r="L906">
        <f>IF(B906,INDEX(Dow,1,WEEKDAY(E906,2)),"")</f>
        <v/>
      </c>
      <c r="M906">
        <f>IF(B906,(1+Trend)^D906,"")</f>
        <v/>
      </c>
      <c r="N906">
        <f>IF(B906,EXP(SUMPRODUCT(LN(1+(EvEff-1)*INDEX(Affected,0,C906)*EXP(-((E906-EvCenter)^2)/(2*EvSigma^2))))),"")</f>
        <v/>
      </c>
      <c r="O906">
        <f>IF(B906,ROUND(MAX(0,J906*K906*L906*M906*N906),2),"")</f>
        <v/>
      </c>
    </row>
    <row r="907">
      <c r="A907" t="n">
        <v>906</v>
      </c>
      <c r="B907">
        <f>A907&lt;=MineCount*Days</f>
        <v/>
      </c>
      <c r="C907">
        <f>IF(B907,INT((A907-1)/Days)+1,"")</f>
        <v/>
      </c>
      <c r="D907">
        <f>IF(B907,MOD(A907-1,Days),"")</f>
        <v/>
      </c>
      <c r="E907" s="16">
        <f>IF(B907,StartDate+D907,"")</f>
        <v/>
      </c>
      <c r="F907">
        <f>IF(B907,MAX(MOD(SIN(Seed*0.1373+C907*12.9898+D907*78.233)*43758.5453,1),1E-9),"")</f>
        <v/>
      </c>
      <c r="G907">
        <f>IF(B907,MOD(SIN(Seed*0.5917+C907*39.3468+D907*11.135)*24634.6345,1),"")</f>
        <v/>
      </c>
      <c r="H907">
        <f>IF(B907,SQRT(-2*LN(F907))*COS(2*PI()*G907),"")</f>
        <v/>
      </c>
      <c r="I907">
        <f>IF(B907,IF(D907=0,H907,Rho*I906+SQRT(1-Rho^2)*H907),"")</f>
        <v/>
      </c>
      <c r="J907">
        <f>IF(B907,IF(Dist="Normal",DistA+DistB*I907,DistA+(DistB-DistA)*NORMSDIST(I907)),"")</f>
        <v/>
      </c>
      <c r="K907">
        <f>IF(B907,INDEX(MineScale,C907),"")</f>
        <v/>
      </c>
      <c r="L907">
        <f>IF(B907,INDEX(Dow,1,WEEKDAY(E907,2)),"")</f>
        <v/>
      </c>
      <c r="M907">
        <f>IF(B907,(1+Trend)^D907,"")</f>
        <v/>
      </c>
      <c r="N907">
        <f>IF(B907,EXP(SUMPRODUCT(LN(1+(EvEff-1)*INDEX(Affected,0,C907)*EXP(-((E907-EvCenter)^2)/(2*EvSigma^2))))),"")</f>
        <v/>
      </c>
      <c r="O907">
        <f>IF(B907,ROUND(MAX(0,J907*K907*L907*M907*N907),2),"")</f>
        <v/>
      </c>
    </row>
    <row r="908">
      <c r="A908" t="n">
        <v>907</v>
      </c>
      <c r="B908">
        <f>A908&lt;=MineCount*Days</f>
        <v/>
      </c>
      <c r="C908">
        <f>IF(B908,INT((A908-1)/Days)+1,"")</f>
        <v/>
      </c>
      <c r="D908">
        <f>IF(B908,MOD(A908-1,Days),"")</f>
        <v/>
      </c>
      <c r="E908" s="16">
        <f>IF(B908,StartDate+D908,"")</f>
        <v/>
      </c>
      <c r="F908">
        <f>IF(B908,MAX(MOD(SIN(Seed*0.1373+C908*12.9898+D908*78.233)*43758.5453,1),1E-9),"")</f>
        <v/>
      </c>
      <c r="G908">
        <f>IF(B908,MOD(SIN(Seed*0.5917+C908*39.3468+D908*11.135)*24634.6345,1),"")</f>
        <v/>
      </c>
      <c r="H908">
        <f>IF(B908,SQRT(-2*LN(F908))*COS(2*PI()*G908),"")</f>
        <v/>
      </c>
      <c r="I908">
        <f>IF(B908,IF(D908=0,H908,Rho*I907+SQRT(1-Rho^2)*H908),"")</f>
        <v/>
      </c>
      <c r="J908">
        <f>IF(B908,IF(Dist="Normal",DistA+DistB*I908,DistA+(DistB-DistA)*NORMSDIST(I908)),"")</f>
        <v/>
      </c>
      <c r="K908">
        <f>IF(B908,INDEX(MineScale,C908),"")</f>
        <v/>
      </c>
      <c r="L908">
        <f>IF(B908,INDEX(Dow,1,WEEKDAY(E908,2)),"")</f>
        <v/>
      </c>
      <c r="M908">
        <f>IF(B908,(1+Trend)^D908,"")</f>
        <v/>
      </c>
      <c r="N908">
        <f>IF(B908,EXP(SUMPRODUCT(LN(1+(EvEff-1)*INDEX(Affected,0,C908)*EXP(-((E908-EvCenter)^2)/(2*EvSigma^2))))),"")</f>
        <v/>
      </c>
      <c r="O908">
        <f>IF(B908,ROUND(MAX(0,J908*K908*L908*M908*N908),2),"")</f>
        <v/>
      </c>
    </row>
    <row r="909">
      <c r="A909" t="n">
        <v>908</v>
      </c>
      <c r="B909">
        <f>A909&lt;=MineCount*Days</f>
        <v/>
      </c>
      <c r="C909">
        <f>IF(B909,INT((A909-1)/Days)+1,"")</f>
        <v/>
      </c>
      <c r="D909">
        <f>IF(B909,MOD(A909-1,Days),"")</f>
        <v/>
      </c>
      <c r="E909" s="16">
        <f>IF(B909,StartDate+D909,"")</f>
        <v/>
      </c>
      <c r="F909">
        <f>IF(B909,MAX(MOD(SIN(Seed*0.1373+C909*12.9898+D909*78.233)*43758.5453,1),1E-9),"")</f>
        <v/>
      </c>
      <c r="G909">
        <f>IF(B909,MOD(SIN(Seed*0.5917+C909*39.3468+D909*11.135)*24634.6345,1),"")</f>
        <v/>
      </c>
      <c r="H909">
        <f>IF(B909,SQRT(-2*LN(F909))*COS(2*PI()*G909),"")</f>
        <v/>
      </c>
      <c r="I909">
        <f>IF(B909,IF(D909=0,H909,Rho*I908+SQRT(1-Rho^2)*H909),"")</f>
        <v/>
      </c>
      <c r="J909">
        <f>IF(B909,IF(Dist="Normal",DistA+DistB*I909,DistA+(DistB-DistA)*NORMSDIST(I909)),"")</f>
        <v/>
      </c>
      <c r="K909">
        <f>IF(B909,INDEX(MineScale,C909),"")</f>
        <v/>
      </c>
      <c r="L909">
        <f>IF(B909,INDEX(Dow,1,WEEKDAY(E909,2)),"")</f>
        <v/>
      </c>
      <c r="M909">
        <f>IF(B909,(1+Trend)^D909,"")</f>
        <v/>
      </c>
      <c r="N909">
        <f>IF(B909,EXP(SUMPRODUCT(LN(1+(EvEff-1)*INDEX(Affected,0,C909)*EXP(-((E909-EvCenter)^2)/(2*EvSigma^2))))),"")</f>
        <v/>
      </c>
      <c r="O909">
        <f>IF(B909,ROUND(MAX(0,J909*K909*L909*M909*N909),2),"")</f>
        <v/>
      </c>
    </row>
    <row r="910">
      <c r="A910" t="n">
        <v>909</v>
      </c>
      <c r="B910">
        <f>A910&lt;=MineCount*Days</f>
        <v/>
      </c>
      <c r="C910">
        <f>IF(B910,INT((A910-1)/Days)+1,"")</f>
        <v/>
      </c>
      <c r="D910">
        <f>IF(B910,MOD(A910-1,Days),"")</f>
        <v/>
      </c>
      <c r="E910" s="16">
        <f>IF(B910,StartDate+D910,"")</f>
        <v/>
      </c>
      <c r="F910">
        <f>IF(B910,MAX(MOD(SIN(Seed*0.1373+C910*12.9898+D910*78.233)*43758.5453,1),1E-9),"")</f>
        <v/>
      </c>
      <c r="G910">
        <f>IF(B910,MOD(SIN(Seed*0.5917+C910*39.3468+D910*11.135)*24634.6345,1),"")</f>
        <v/>
      </c>
      <c r="H910">
        <f>IF(B910,SQRT(-2*LN(F910))*COS(2*PI()*G910),"")</f>
        <v/>
      </c>
      <c r="I910">
        <f>IF(B910,IF(D910=0,H910,Rho*I909+SQRT(1-Rho^2)*H910),"")</f>
        <v/>
      </c>
      <c r="J910">
        <f>IF(B910,IF(Dist="Normal",DistA+DistB*I910,DistA+(DistB-DistA)*NORMSDIST(I910)),"")</f>
        <v/>
      </c>
      <c r="K910">
        <f>IF(B910,INDEX(MineScale,C910),"")</f>
        <v/>
      </c>
      <c r="L910">
        <f>IF(B910,INDEX(Dow,1,WEEKDAY(E910,2)),"")</f>
        <v/>
      </c>
      <c r="M910">
        <f>IF(B910,(1+Trend)^D910,"")</f>
        <v/>
      </c>
      <c r="N910">
        <f>IF(B910,EXP(SUMPRODUCT(LN(1+(EvEff-1)*INDEX(Affected,0,C910)*EXP(-((E910-EvCenter)^2)/(2*EvSigma^2))))),"")</f>
        <v/>
      </c>
      <c r="O910">
        <f>IF(B910,ROUND(MAX(0,J910*K910*L910*M910*N910),2),"")</f>
        <v/>
      </c>
    </row>
    <row r="911">
      <c r="A911" t="n">
        <v>910</v>
      </c>
      <c r="B911">
        <f>A911&lt;=MineCount*Days</f>
        <v/>
      </c>
      <c r="C911">
        <f>IF(B911,INT((A911-1)/Days)+1,"")</f>
        <v/>
      </c>
      <c r="D911">
        <f>IF(B911,MOD(A911-1,Days),"")</f>
        <v/>
      </c>
      <c r="E911" s="16">
        <f>IF(B911,StartDate+D911,"")</f>
        <v/>
      </c>
      <c r="F911">
        <f>IF(B911,MAX(MOD(SIN(Seed*0.1373+C911*12.9898+D911*78.233)*43758.5453,1),1E-9),"")</f>
        <v/>
      </c>
      <c r="G911">
        <f>IF(B911,MOD(SIN(Seed*0.5917+C911*39.3468+D911*11.135)*24634.6345,1),"")</f>
        <v/>
      </c>
      <c r="H911">
        <f>IF(B911,SQRT(-2*LN(F911))*COS(2*PI()*G911),"")</f>
        <v/>
      </c>
      <c r="I911">
        <f>IF(B911,IF(D911=0,H911,Rho*I910+SQRT(1-Rho^2)*H911),"")</f>
        <v/>
      </c>
      <c r="J911">
        <f>IF(B911,IF(Dist="Normal",DistA+DistB*I911,DistA+(DistB-DistA)*NORMSDIST(I911)),"")</f>
        <v/>
      </c>
      <c r="K911">
        <f>IF(B911,INDEX(MineScale,C911),"")</f>
        <v/>
      </c>
      <c r="L911">
        <f>IF(B911,INDEX(Dow,1,WEEKDAY(E911,2)),"")</f>
        <v/>
      </c>
      <c r="M911">
        <f>IF(B911,(1+Trend)^D911,"")</f>
        <v/>
      </c>
      <c r="N911">
        <f>IF(B911,EXP(SUMPRODUCT(LN(1+(EvEff-1)*INDEX(Affected,0,C911)*EXP(-((E911-EvCenter)^2)/(2*EvSigma^2))))),"")</f>
        <v/>
      </c>
      <c r="O911">
        <f>IF(B911,ROUND(MAX(0,J911*K911*L911*M911*N911),2),"")</f>
        <v/>
      </c>
    </row>
    <row r="912">
      <c r="A912" t="n">
        <v>911</v>
      </c>
      <c r="B912">
        <f>A912&lt;=MineCount*Days</f>
        <v/>
      </c>
      <c r="C912">
        <f>IF(B912,INT((A912-1)/Days)+1,"")</f>
        <v/>
      </c>
      <c r="D912">
        <f>IF(B912,MOD(A912-1,Days),"")</f>
        <v/>
      </c>
      <c r="E912" s="16">
        <f>IF(B912,StartDate+D912,"")</f>
        <v/>
      </c>
      <c r="F912">
        <f>IF(B912,MAX(MOD(SIN(Seed*0.1373+C912*12.9898+D912*78.233)*43758.5453,1),1E-9),"")</f>
        <v/>
      </c>
      <c r="G912">
        <f>IF(B912,MOD(SIN(Seed*0.5917+C912*39.3468+D912*11.135)*24634.6345,1),"")</f>
        <v/>
      </c>
      <c r="H912">
        <f>IF(B912,SQRT(-2*LN(F912))*COS(2*PI()*G912),"")</f>
        <v/>
      </c>
      <c r="I912">
        <f>IF(B912,IF(D912=0,H912,Rho*I911+SQRT(1-Rho^2)*H912),"")</f>
        <v/>
      </c>
      <c r="J912">
        <f>IF(B912,IF(Dist="Normal",DistA+DistB*I912,DistA+(DistB-DistA)*NORMSDIST(I912)),"")</f>
        <v/>
      </c>
      <c r="K912">
        <f>IF(B912,INDEX(MineScale,C912),"")</f>
        <v/>
      </c>
      <c r="L912">
        <f>IF(B912,INDEX(Dow,1,WEEKDAY(E912,2)),"")</f>
        <v/>
      </c>
      <c r="M912">
        <f>IF(B912,(1+Trend)^D912,"")</f>
        <v/>
      </c>
      <c r="N912">
        <f>IF(B912,EXP(SUMPRODUCT(LN(1+(EvEff-1)*INDEX(Affected,0,C912)*EXP(-((E912-EvCenter)^2)/(2*EvSigma^2))))),"")</f>
        <v/>
      </c>
      <c r="O912">
        <f>IF(B912,ROUND(MAX(0,J912*K912*L912*M912*N912),2),"")</f>
        <v/>
      </c>
    </row>
    <row r="913">
      <c r="A913" t="n">
        <v>912</v>
      </c>
      <c r="B913">
        <f>A913&lt;=MineCount*Days</f>
        <v/>
      </c>
      <c r="C913">
        <f>IF(B913,INT((A913-1)/Days)+1,"")</f>
        <v/>
      </c>
      <c r="D913">
        <f>IF(B913,MOD(A913-1,Days),"")</f>
        <v/>
      </c>
      <c r="E913" s="16">
        <f>IF(B913,StartDate+D913,"")</f>
        <v/>
      </c>
      <c r="F913">
        <f>IF(B913,MAX(MOD(SIN(Seed*0.1373+C913*12.9898+D913*78.233)*43758.5453,1),1E-9),"")</f>
        <v/>
      </c>
      <c r="G913">
        <f>IF(B913,MOD(SIN(Seed*0.5917+C913*39.3468+D913*11.135)*24634.6345,1),"")</f>
        <v/>
      </c>
      <c r="H913">
        <f>IF(B913,SQRT(-2*LN(F913))*COS(2*PI()*G913),"")</f>
        <v/>
      </c>
      <c r="I913">
        <f>IF(B913,IF(D913=0,H913,Rho*I912+SQRT(1-Rho^2)*H913),"")</f>
        <v/>
      </c>
      <c r="J913">
        <f>IF(B913,IF(Dist="Normal",DistA+DistB*I913,DistA+(DistB-DistA)*NORMSDIST(I913)),"")</f>
        <v/>
      </c>
      <c r="K913">
        <f>IF(B913,INDEX(MineScale,C913),"")</f>
        <v/>
      </c>
      <c r="L913">
        <f>IF(B913,INDEX(Dow,1,WEEKDAY(E913,2)),"")</f>
        <v/>
      </c>
      <c r="M913">
        <f>IF(B913,(1+Trend)^D913,"")</f>
        <v/>
      </c>
      <c r="N913">
        <f>IF(B913,EXP(SUMPRODUCT(LN(1+(EvEff-1)*INDEX(Affected,0,C913)*EXP(-((E913-EvCenter)^2)/(2*EvSigma^2))))),"")</f>
        <v/>
      </c>
      <c r="O913">
        <f>IF(B913,ROUND(MAX(0,J913*K913*L913*M913*N913),2),"")</f>
        <v/>
      </c>
    </row>
    <row r="914">
      <c r="A914" t="n">
        <v>913</v>
      </c>
      <c r="B914">
        <f>A914&lt;=MineCount*Days</f>
        <v/>
      </c>
      <c r="C914">
        <f>IF(B914,INT((A914-1)/Days)+1,"")</f>
        <v/>
      </c>
      <c r="D914">
        <f>IF(B914,MOD(A914-1,Days),"")</f>
        <v/>
      </c>
      <c r="E914" s="16">
        <f>IF(B914,StartDate+D914,"")</f>
        <v/>
      </c>
      <c r="F914">
        <f>IF(B914,MAX(MOD(SIN(Seed*0.1373+C914*12.9898+D914*78.233)*43758.5453,1),1E-9),"")</f>
        <v/>
      </c>
      <c r="G914">
        <f>IF(B914,MOD(SIN(Seed*0.5917+C914*39.3468+D914*11.135)*24634.6345,1),"")</f>
        <v/>
      </c>
      <c r="H914">
        <f>IF(B914,SQRT(-2*LN(F914))*COS(2*PI()*G914),"")</f>
        <v/>
      </c>
      <c r="I914">
        <f>IF(B914,IF(D914=0,H914,Rho*I913+SQRT(1-Rho^2)*H914),"")</f>
        <v/>
      </c>
      <c r="J914">
        <f>IF(B914,IF(Dist="Normal",DistA+DistB*I914,DistA+(DistB-DistA)*NORMSDIST(I914)),"")</f>
        <v/>
      </c>
      <c r="K914">
        <f>IF(B914,INDEX(MineScale,C914),"")</f>
        <v/>
      </c>
      <c r="L914">
        <f>IF(B914,INDEX(Dow,1,WEEKDAY(E914,2)),"")</f>
        <v/>
      </c>
      <c r="M914">
        <f>IF(B914,(1+Trend)^D914,"")</f>
        <v/>
      </c>
      <c r="N914">
        <f>IF(B914,EXP(SUMPRODUCT(LN(1+(EvEff-1)*INDEX(Affected,0,C914)*EXP(-((E914-EvCenter)^2)/(2*EvSigma^2))))),"")</f>
        <v/>
      </c>
      <c r="O914">
        <f>IF(B914,ROUND(MAX(0,J914*K914*L914*M914*N914),2),"")</f>
        <v/>
      </c>
    </row>
    <row r="915">
      <c r="A915" t="n">
        <v>914</v>
      </c>
      <c r="B915">
        <f>A915&lt;=MineCount*Days</f>
        <v/>
      </c>
      <c r="C915">
        <f>IF(B915,INT((A915-1)/Days)+1,"")</f>
        <v/>
      </c>
      <c r="D915">
        <f>IF(B915,MOD(A915-1,Days),"")</f>
        <v/>
      </c>
      <c r="E915" s="16">
        <f>IF(B915,StartDate+D915,"")</f>
        <v/>
      </c>
      <c r="F915">
        <f>IF(B915,MAX(MOD(SIN(Seed*0.1373+C915*12.9898+D915*78.233)*43758.5453,1),1E-9),"")</f>
        <v/>
      </c>
      <c r="G915">
        <f>IF(B915,MOD(SIN(Seed*0.5917+C915*39.3468+D915*11.135)*24634.6345,1),"")</f>
        <v/>
      </c>
      <c r="H915">
        <f>IF(B915,SQRT(-2*LN(F915))*COS(2*PI()*G915),"")</f>
        <v/>
      </c>
      <c r="I915">
        <f>IF(B915,IF(D915=0,H915,Rho*I914+SQRT(1-Rho^2)*H915),"")</f>
        <v/>
      </c>
      <c r="J915">
        <f>IF(B915,IF(Dist="Normal",DistA+DistB*I915,DistA+(DistB-DistA)*NORMSDIST(I915)),"")</f>
        <v/>
      </c>
      <c r="K915">
        <f>IF(B915,INDEX(MineScale,C915),"")</f>
        <v/>
      </c>
      <c r="L915">
        <f>IF(B915,INDEX(Dow,1,WEEKDAY(E915,2)),"")</f>
        <v/>
      </c>
      <c r="M915">
        <f>IF(B915,(1+Trend)^D915,"")</f>
        <v/>
      </c>
      <c r="N915">
        <f>IF(B915,EXP(SUMPRODUCT(LN(1+(EvEff-1)*INDEX(Affected,0,C915)*EXP(-((E915-EvCenter)^2)/(2*EvSigma^2))))),"")</f>
        <v/>
      </c>
      <c r="O915">
        <f>IF(B915,ROUND(MAX(0,J915*K915*L915*M915*N915),2),"")</f>
        <v/>
      </c>
    </row>
    <row r="916">
      <c r="A916" t="n">
        <v>915</v>
      </c>
      <c r="B916">
        <f>A916&lt;=MineCount*Days</f>
        <v/>
      </c>
      <c r="C916">
        <f>IF(B916,INT((A916-1)/Days)+1,"")</f>
        <v/>
      </c>
      <c r="D916">
        <f>IF(B916,MOD(A916-1,Days),"")</f>
        <v/>
      </c>
      <c r="E916" s="16">
        <f>IF(B916,StartDate+D916,"")</f>
        <v/>
      </c>
      <c r="F916">
        <f>IF(B916,MAX(MOD(SIN(Seed*0.1373+C916*12.9898+D916*78.233)*43758.5453,1),1E-9),"")</f>
        <v/>
      </c>
      <c r="G916">
        <f>IF(B916,MOD(SIN(Seed*0.5917+C916*39.3468+D916*11.135)*24634.6345,1),"")</f>
        <v/>
      </c>
      <c r="H916">
        <f>IF(B916,SQRT(-2*LN(F916))*COS(2*PI()*G916),"")</f>
        <v/>
      </c>
      <c r="I916">
        <f>IF(B916,IF(D916=0,H916,Rho*I915+SQRT(1-Rho^2)*H916),"")</f>
        <v/>
      </c>
      <c r="J916">
        <f>IF(B916,IF(Dist="Normal",DistA+DistB*I916,DistA+(DistB-DistA)*NORMSDIST(I916)),"")</f>
        <v/>
      </c>
      <c r="K916">
        <f>IF(B916,INDEX(MineScale,C916),"")</f>
        <v/>
      </c>
      <c r="L916">
        <f>IF(B916,INDEX(Dow,1,WEEKDAY(E916,2)),"")</f>
        <v/>
      </c>
      <c r="M916">
        <f>IF(B916,(1+Trend)^D916,"")</f>
        <v/>
      </c>
      <c r="N916">
        <f>IF(B916,EXP(SUMPRODUCT(LN(1+(EvEff-1)*INDEX(Affected,0,C916)*EXP(-((E916-EvCenter)^2)/(2*EvSigma^2))))),"")</f>
        <v/>
      </c>
      <c r="O916">
        <f>IF(B916,ROUND(MAX(0,J916*K916*L916*M916*N916),2),"")</f>
        <v/>
      </c>
    </row>
    <row r="917">
      <c r="A917" t="n">
        <v>916</v>
      </c>
      <c r="B917">
        <f>A917&lt;=MineCount*Days</f>
        <v/>
      </c>
      <c r="C917">
        <f>IF(B917,INT((A917-1)/Days)+1,"")</f>
        <v/>
      </c>
      <c r="D917">
        <f>IF(B917,MOD(A917-1,Days),"")</f>
        <v/>
      </c>
      <c r="E917" s="16">
        <f>IF(B917,StartDate+D917,"")</f>
        <v/>
      </c>
      <c r="F917">
        <f>IF(B917,MAX(MOD(SIN(Seed*0.1373+C917*12.9898+D917*78.233)*43758.5453,1),1E-9),"")</f>
        <v/>
      </c>
      <c r="G917">
        <f>IF(B917,MOD(SIN(Seed*0.5917+C917*39.3468+D917*11.135)*24634.6345,1),"")</f>
        <v/>
      </c>
      <c r="H917">
        <f>IF(B917,SQRT(-2*LN(F917))*COS(2*PI()*G917),"")</f>
        <v/>
      </c>
      <c r="I917">
        <f>IF(B917,IF(D917=0,H917,Rho*I916+SQRT(1-Rho^2)*H917),"")</f>
        <v/>
      </c>
      <c r="J917">
        <f>IF(B917,IF(Dist="Normal",DistA+DistB*I917,DistA+(DistB-DistA)*NORMSDIST(I917)),"")</f>
        <v/>
      </c>
      <c r="K917">
        <f>IF(B917,INDEX(MineScale,C917),"")</f>
        <v/>
      </c>
      <c r="L917">
        <f>IF(B917,INDEX(Dow,1,WEEKDAY(E917,2)),"")</f>
        <v/>
      </c>
      <c r="M917">
        <f>IF(B917,(1+Trend)^D917,"")</f>
        <v/>
      </c>
      <c r="N917">
        <f>IF(B917,EXP(SUMPRODUCT(LN(1+(EvEff-1)*INDEX(Affected,0,C917)*EXP(-((E917-EvCenter)^2)/(2*EvSigma^2))))),"")</f>
        <v/>
      </c>
      <c r="O917">
        <f>IF(B917,ROUND(MAX(0,J917*K917*L917*M917*N917),2),"")</f>
        <v/>
      </c>
    </row>
    <row r="918">
      <c r="A918" t="n">
        <v>917</v>
      </c>
      <c r="B918">
        <f>A918&lt;=MineCount*Days</f>
        <v/>
      </c>
      <c r="C918">
        <f>IF(B918,INT((A918-1)/Days)+1,"")</f>
        <v/>
      </c>
      <c r="D918">
        <f>IF(B918,MOD(A918-1,Days),"")</f>
        <v/>
      </c>
      <c r="E918" s="16">
        <f>IF(B918,StartDate+D918,"")</f>
        <v/>
      </c>
      <c r="F918">
        <f>IF(B918,MAX(MOD(SIN(Seed*0.1373+C918*12.9898+D918*78.233)*43758.5453,1),1E-9),"")</f>
        <v/>
      </c>
      <c r="G918">
        <f>IF(B918,MOD(SIN(Seed*0.5917+C918*39.3468+D918*11.135)*24634.6345,1),"")</f>
        <v/>
      </c>
      <c r="H918">
        <f>IF(B918,SQRT(-2*LN(F918))*COS(2*PI()*G918),"")</f>
        <v/>
      </c>
      <c r="I918">
        <f>IF(B918,IF(D918=0,H918,Rho*I917+SQRT(1-Rho^2)*H918),"")</f>
        <v/>
      </c>
      <c r="J918">
        <f>IF(B918,IF(Dist="Normal",DistA+DistB*I918,DistA+(DistB-DistA)*NORMSDIST(I918)),"")</f>
        <v/>
      </c>
      <c r="K918">
        <f>IF(B918,INDEX(MineScale,C918),"")</f>
        <v/>
      </c>
      <c r="L918">
        <f>IF(B918,INDEX(Dow,1,WEEKDAY(E918,2)),"")</f>
        <v/>
      </c>
      <c r="M918">
        <f>IF(B918,(1+Trend)^D918,"")</f>
        <v/>
      </c>
      <c r="N918">
        <f>IF(B918,EXP(SUMPRODUCT(LN(1+(EvEff-1)*INDEX(Affected,0,C918)*EXP(-((E918-EvCenter)^2)/(2*EvSigma^2))))),"")</f>
        <v/>
      </c>
      <c r="O918">
        <f>IF(B918,ROUND(MAX(0,J918*K918*L918*M918*N918),2),"")</f>
        <v/>
      </c>
    </row>
    <row r="919">
      <c r="A919" t="n">
        <v>918</v>
      </c>
      <c r="B919">
        <f>A919&lt;=MineCount*Days</f>
        <v/>
      </c>
      <c r="C919">
        <f>IF(B919,INT((A919-1)/Days)+1,"")</f>
        <v/>
      </c>
      <c r="D919">
        <f>IF(B919,MOD(A919-1,Days),"")</f>
        <v/>
      </c>
      <c r="E919" s="16">
        <f>IF(B919,StartDate+D919,"")</f>
        <v/>
      </c>
      <c r="F919">
        <f>IF(B919,MAX(MOD(SIN(Seed*0.1373+C919*12.9898+D919*78.233)*43758.5453,1),1E-9),"")</f>
        <v/>
      </c>
      <c r="G919">
        <f>IF(B919,MOD(SIN(Seed*0.5917+C919*39.3468+D919*11.135)*24634.6345,1),"")</f>
        <v/>
      </c>
      <c r="H919">
        <f>IF(B919,SQRT(-2*LN(F919))*COS(2*PI()*G919),"")</f>
        <v/>
      </c>
      <c r="I919">
        <f>IF(B919,IF(D919=0,H919,Rho*I918+SQRT(1-Rho^2)*H919),"")</f>
        <v/>
      </c>
      <c r="J919">
        <f>IF(B919,IF(Dist="Normal",DistA+DistB*I919,DistA+(DistB-DistA)*NORMSDIST(I919)),"")</f>
        <v/>
      </c>
      <c r="K919">
        <f>IF(B919,INDEX(MineScale,C919),"")</f>
        <v/>
      </c>
      <c r="L919">
        <f>IF(B919,INDEX(Dow,1,WEEKDAY(E919,2)),"")</f>
        <v/>
      </c>
      <c r="M919">
        <f>IF(B919,(1+Trend)^D919,"")</f>
        <v/>
      </c>
      <c r="N919">
        <f>IF(B919,EXP(SUMPRODUCT(LN(1+(EvEff-1)*INDEX(Affected,0,C919)*EXP(-((E919-EvCenter)^2)/(2*EvSigma^2))))),"")</f>
        <v/>
      </c>
      <c r="O919">
        <f>IF(B919,ROUND(MAX(0,J919*K919*L919*M919*N919),2),"")</f>
        <v/>
      </c>
    </row>
    <row r="920">
      <c r="A920" t="n">
        <v>919</v>
      </c>
      <c r="B920">
        <f>A920&lt;=MineCount*Days</f>
        <v/>
      </c>
      <c r="C920">
        <f>IF(B920,INT((A920-1)/Days)+1,"")</f>
        <v/>
      </c>
      <c r="D920">
        <f>IF(B920,MOD(A920-1,Days),"")</f>
        <v/>
      </c>
      <c r="E920" s="16">
        <f>IF(B920,StartDate+D920,"")</f>
        <v/>
      </c>
      <c r="F920">
        <f>IF(B920,MAX(MOD(SIN(Seed*0.1373+C920*12.9898+D920*78.233)*43758.5453,1),1E-9),"")</f>
        <v/>
      </c>
      <c r="G920">
        <f>IF(B920,MOD(SIN(Seed*0.5917+C920*39.3468+D920*11.135)*24634.6345,1),"")</f>
        <v/>
      </c>
      <c r="H920">
        <f>IF(B920,SQRT(-2*LN(F920))*COS(2*PI()*G920),"")</f>
        <v/>
      </c>
      <c r="I920">
        <f>IF(B920,IF(D920=0,H920,Rho*I919+SQRT(1-Rho^2)*H920),"")</f>
        <v/>
      </c>
      <c r="J920">
        <f>IF(B920,IF(Dist="Normal",DistA+DistB*I920,DistA+(DistB-DistA)*NORMSDIST(I920)),"")</f>
        <v/>
      </c>
      <c r="K920">
        <f>IF(B920,INDEX(MineScale,C920),"")</f>
        <v/>
      </c>
      <c r="L920">
        <f>IF(B920,INDEX(Dow,1,WEEKDAY(E920,2)),"")</f>
        <v/>
      </c>
      <c r="M920">
        <f>IF(B920,(1+Trend)^D920,"")</f>
        <v/>
      </c>
      <c r="N920">
        <f>IF(B920,EXP(SUMPRODUCT(LN(1+(EvEff-1)*INDEX(Affected,0,C920)*EXP(-((E920-EvCenter)^2)/(2*EvSigma^2))))),"")</f>
        <v/>
      </c>
      <c r="O920">
        <f>IF(B920,ROUND(MAX(0,J920*K920*L920*M920*N920),2),"")</f>
        <v/>
      </c>
    </row>
    <row r="921">
      <c r="A921" t="n">
        <v>920</v>
      </c>
      <c r="B921">
        <f>A921&lt;=MineCount*Days</f>
        <v/>
      </c>
      <c r="C921">
        <f>IF(B921,INT((A921-1)/Days)+1,"")</f>
        <v/>
      </c>
      <c r="D921">
        <f>IF(B921,MOD(A921-1,Days),"")</f>
        <v/>
      </c>
      <c r="E921" s="16">
        <f>IF(B921,StartDate+D921,"")</f>
        <v/>
      </c>
      <c r="F921">
        <f>IF(B921,MAX(MOD(SIN(Seed*0.1373+C921*12.9898+D921*78.233)*43758.5453,1),1E-9),"")</f>
        <v/>
      </c>
      <c r="G921">
        <f>IF(B921,MOD(SIN(Seed*0.5917+C921*39.3468+D921*11.135)*24634.6345,1),"")</f>
        <v/>
      </c>
      <c r="H921">
        <f>IF(B921,SQRT(-2*LN(F921))*COS(2*PI()*G921),"")</f>
        <v/>
      </c>
      <c r="I921">
        <f>IF(B921,IF(D921=0,H921,Rho*I920+SQRT(1-Rho^2)*H921),"")</f>
        <v/>
      </c>
      <c r="J921">
        <f>IF(B921,IF(Dist="Normal",DistA+DistB*I921,DistA+(DistB-DistA)*NORMSDIST(I921)),"")</f>
        <v/>
      </c>
      <c r="K921">
        <f>IF(B921,INDEX(MineScale,C921),"")</f>
        <v/>
      </c>
      <c r="L921">
        <f>IF(B921,INDEX(Dow,1,WEEKDAY(E921,2)),"")</f>
        <v/>
      </c>
      <c r="M921">
        <f>IF(B921,(1+Trend)^D921,"")</f>
        <v/>
      </c>
      <c r="N921">
        <f>IF(B921,EXP(SUMPRODUCT(LN(1+(EvEff-1)*INDEX(Affected,0,C921)*EXP(-((E921-EvCenter)^2)/(2*EvSigma^2))))),"")</f>
        <v/>
      </c>
      <c r="O921">
        <f>IF(B921,ROUND(MAX(0,J921*K921*L921*M921*N921),2),"")</f>
        <v/>
      </c>
    </row>
    <row r="922">
      <c r="A922" t="n">
        <v>921</v>
      </c>
      <c r="B922">
        <f>A922&lt;=MineCount*Days</f>
        <v/>
      </c>
      <c r="C922">
        <f>IF(B922,INT((A922-1)/Days)+1,"")</f>
        <v/>
      </c>
      <c r="D922">
        <f>IF(B922,MOD(A922-1,Days),"")</f>
        <v/>
      </c>
      <c r="E922" s="16">
        <f>IF(B922,StartDate+D922,"")</f>
        <v/>
      </c>
      <c r="F922">
        <f>IF(B922,MAX(MOD(SIN(Seed*0.1373+C922*12.9898+D922*78.233)*43758.5453,1),1E-9),"")</f>
        <v/>
      </c>
      <c r="G922">
        <f>IF(B922,MOD(SIN(Seed*0.5917+C922*39.3468+D922*11.135)*24634.6345,1),"")</f>
        <v/>
      </c>
      <c r="H922">
        <f>IF(B922,SQRT(-2*LN(F922))*COS(2*PI()*G922),"")</f>
        <v/>
      </c>
      <c r="I922">
        <f>IF(B922,IF(D922=0,H922,Rho*I921+SQRT(1-Rho^2)*H922),"")</f>
        <v/>
      </c>
      <c r="J922">
        <f>IF(B922,IF(Dist="Normal",DistA+DistB*I922,DistA+(DistB-DistA)*NORMSDIST(I922)),"")</f>
        <v/>
      </c>
      <c r="K922">
        <f>IF(B922,INDEX(MineScale,C922),"")</f>
        <v/>
      </c>
      <c r="L922">
        <f>IF(B922,INDEX(Dow,1,WEEKDAY(E922,2)),"")</f>
        <v/>
      </c>
      <c r="M922">
        <f>IF(B922,(1+Trend)^D922,"")</f>
        <v/>
      </c>
      <c r="N922">
        <f>IF(B922,EXP(SUMPRODUCT(LN(1+(EvEff-1)*INDEX(Affected,0,C922)*EXP(-((E922-EvCenter)^2)/(2*EvSigma^2))))),"")</f>
        <v/>
      </c>
      <c r="O922">
        <f>IF(B922,ROUND(MAX(0,J922*K922*L922*M922*N922),2),"")</f>
        <v/>
      </c>
    </row>
    <row r="923">
      <c r="A923" t="n">
        <v>922</v>
      </c>
      <c r="B923">
        <f>A923&lt;=MineCount*Days</f>
        <v/>
      </c>
      <c r="C923">
        <f>IF(B923,INT((A923-1)/Days)+1,"")</f>
        <v/>
      </c>
      <c r="D923">
        <f>IF(B923,MOD(A923-1,Days),"")</f>
        <v/>
      </c>
      <c r="E923" s="16">
        <f>IF(B923,StartDate+D923,"")</f>
        <v/>
      </c>
      <c r="F923">
        <f>IF(B923,MAX(MOD(SIN(Seed*0.1373+C923*12.9898+D923*78.233)*43758.5453,1),1E-9),"")</f>
        <v/>
      </c>
      <c r="G923">
        <f>IF(B923,MOD(SIN(Seed*0.5917+C923*39.3468+D923*11.135)*24634.6345,1),"")</f>
        <v/>
      </c>
      <c r="H923">
        <f>IF(B923,SQRT(-2*LN(F923))*COS(2*PI()*G923),"")</f>
        <v/>
      </c>
      <c r="I923">
        <f>IF(B923,IF(D923=0,H923,Rho*I922+SQRT(1-Rho^2)*H923),"")</f>
        <v/>
      </c>
      <c r="J923">
        <f>IF(B923,IF(Dist="Normal",DistA+DistB*I923,DistA+(DistB-DistA)*NORMSDIST(I923)),"")</f>
        <v/>
      </c>
      <c r="K923">
        <f>IF(B923,INDEX(MineScale,C923),"")</f>
        <v/>
      </c>
      <c r="L923">
        <f>IF(B923,INDEX(Dow,1,WEEKDAY(E923,2)),"")</f>
        <v/>
      </c>
      <c r="M923">
        <f>IF(B923,(1+Trend)^D923,"")</f>
        <v/>
      </c>
      <c r="N923">
        <f>IF(B923,EXP(SUMPRODUCT(LN(1+(EvEff-1)*INDEX(Affected,0,C923)*EXP(-((E923-EvCenter)^2)/(2*EvSigma^2))))),"")</f>
        <v/>
      </c>
      <c r="O923">
        <f>IF(B923,ROUND(MAX(0,J923*K923*L923*M923*N923),2),"")</f>
        <v/>
      </c>
    </row>
    <row r="924">
      <c r="A924" t="n">
        <v>923</v>
      </c>
      <c r="B924">
        <f>A924&lt;=MineCount*Days</f>
        <v/>
      </c>
      <c r="C924">
        <f>IF(B924,INT((A924-1)/Days)+1,"")</f>
        <v/>
      </c>
      <c r="D924">
        <f>IF(B924,MOD(A924-1,Days),"")</f>
        <v/>
      </c>
      <c r="E924" s="16">
        <f>IF(B924,StartDate+D924,"")</f>
        <v/>
      </c>
      <c r="F924">
        <f>IF(B924,MAX(MOD(SIN(Seed*0.1373+C924*12.9898+D924*78.233)*43758.5453,1),1E-9),"")</f>
        <v/>
      </c>
      <c r="G924">
        <f>IF(B924,MOD(SIN(Seed*0.5917+C924*39.3468+D924*11.135)*24634.6345,1),"")</f>
        <v/>
      </c>
      <c r="H924">
        <f>IF(B924,SQRT(-2*LN(F924))*COS(2*PI()*G924),"")</f>
        <v/>
      </c>
      <c r="I924">
        <f>IF(B924,IF(D924=0,H924,Rho*I923+SQRT(1-Rho^2)*H924),"")</f>
        <v/>
      </c>
      <c r="J924">
        <f>IF(B924,IF(Dist="Normal",DistA+DistB*I924,DistA+(DistB-DistA)*NORMSDIST(I924)),"")</f>
        <v/>
      </c>
      <c r="K924">
        <f>IF(B924,INDEX(MineScale,C924),"")</f>
        <v/>
      </c>
      <c r="L924">
        <f>IF(B924,INDEX(Dow,1,WEEKDAY(E924,2)),"")</f>
        <v/>
      </c>
      <c r="M924">
        <f>IF(B924,(1+Trend)^D924,"")</f>
        <v/>
      </c>
      <c r="N924">
        <f>IF(B924,EXP(SUMPRODUCT(LN(1+(EvEff-1)*INDEX(Affected,0,C924)*EXP(-((E924-EvCenter)^2)/(2*EvSigma^2))))),"")</f>
        <v/>
      </c>
      <c r="O924">
        <f>IF(B924,ROUND(MAX(0,J924*K924*L924*M924*N924),2),"")</f>
        <v/>
      </c>
    </row>
    <row r="925">
      <c r="A925" t="n">
        <v>924</v>
      </c>
      <c r="B925">
        <f>A925&lt;=MineCount*Days</f>
        <v/>
      </c>
      <c r="C925">
        <f>IF(B925,INT((A925-1)/Days)+1,"")</f>
        <v/>
      </c>
      <c r="D925">
        <f>IF(B925,MOD(A925-1,Days),"")</f>
        <v/>
      </c>
      <c r="E925" s="16">
        <f>IF(B925,StartDate+D925,"")</f>
        <v/>
      </c>
      <c r="F925">
        <f>IF(B925,MAX(MOD(SIN(Seed*0.1373+C925*12.9898+D925*78.233)*43758.5453,1),1E-9),"")</f>
        <v/>
      </c>
      <c r="G925">
        <f>IF(B925,MOD(SIN(Seed*0.5917+C925*39.3468+D925*11.135)*24634.6345,1),"")</f>
        <v/>
      </c>
      <c r="H925">
        <f>IF(B925,SQRT(-2*LN(F925))*COS(2*PI()*G925),"")</f>
        <v/>
      </c>
      <c r="I925">
        <f>IF(B925,IF(D925=0,H925,Rho*I924+SQRT(1-Rho^2)*H925),"")</f>
        <v/>
      </c>
      <c r="J925">
        <f>IF(B925,IF(Dist="Normal",DistA+DistB*I925,DistA+(DistB-DistA)*NORMSDIST(I925)),"")</f>
        <v/>
      </c>
      <c r="K925">
        <f>IF(B925,INDEX(MineScale,C925),"")</f>
        <v/>
      </c>
      <c r="L925">
        <f>IF(B925,INDEX(Dow,1,WEEKDAY(E925,2)),"")</f>
        <v/>
      </c>
      <c r="M925">
        <f>IF(B925,(1+Trend)^D925,"")</f>
        <v/>
      </c>
      <c r="N925">
        <f>IF(B925,EXP(SUMPRODUCT(LN(1+(EvEff-1)*INDEX(Affected,0,C925)*EXP(-((E925-EvCenter)^2)/(2*EvSigma^2))))),"")</f>
        <v/>
      </c>
      <c r="O925">
        <f>IF(B925,ROUND(MAX(0,J925*K925*L925*M925*N925),2),"")</f>
        <v/>
      </c>
    </row>
    <row r="926">
      <c r="A926" t="n">
        <v>925</v>
      </c>
      <c r="B926">
        <f>A926&lt;=MineCount*Days</f>
        <v/>
      </c>
      <c r="C926">
        <f>IF(B926,INT((A926-1)/Days)+1,"")</f>
        <v/>
      </c>
      <c r="D926">
        <f>IF(B926,MOD(A926-1,Days),"")</f>
        <v/>
      </c>
      <c r="E926" s="16">
        <f>IF(B926,StartDate+D926,"")</f>
        <v/>
      </c>
      <c r="F926">
        <f>IF(B926,MAX(MOD(SIN(Seed*0.1373+C926*12.9898+D926*78.233)*43758.5453,1),1E-9),"")</f>
        <v/>
      </c>
      <c r="G926">
        <f>IF(B926,MOD(SIN(Seed*0.5917+C926*39.3468+D926*11.135)*24634.6345,1),"")</f>
        <v/>
      </c>
      <c r="H926">
        <f>IF(B926,SQRT(-2*LN(F926))*COS(2*PI()*G926),"")</f>
        <v/>
      </c>
      <c r="I926">
        <f>IF(B926,IF(D926=0,H926,Rho*I925+SQRT(1-Rho^2)*H926),"")</f>
        <v/>
      </c>
      <c r="J926">
        <f>IF(B926,IF(Dist="Normal",DistA+DistB*I926,DistA+(DistB-DistA)*NORMSDIST(I926)),"")</f>
        <v/>
      </c>
      <c r="K926">
        <f>IF(B926,INDEX(MineScale,C926),"")</f>
        <v/>
      </c>
      <c r="L926">
        <f>IF(B926,INDEX(Dow,1,WEEKDAY(E926,2)),"")</f>
        <v/>
      </c>
      <c r="M926">
        <f>IF(B926,(1+Trend)^D926,"")</f>
        <v/>
      </c>
      <c r="N926">
        <f>IF(B926,EXP(SUMPRODUCT(LN(1+(EvEff-1)*INDEX(Affected,0,C926)*EXP(-((E926-EvCenter)^2)/(2*EvSigma^2))))),"")</f>
        <v/>
      </c>
      <c r="O926">
        <f>IF(B926,ROUND(MAX(0,J926*K926*L926*M926*N926),2),"")</f>
        <v/>
      </c>
    </row>
    <row r="927">
      <c r="A927" t="n">
        <v>926</v>
      </c>
      <c r="B927">
        <f>A927&lt;=MineCount*Days</f>
        <v/>
      </c>
      <c r="C927">
        <f>IF(B927,INT((A927-1)/Days)+1,"")</f>
        <v/>
      </c>
      <c r="D927">
        <f>IF(B927,MOD(A927-1,Days),"")</f>
        <v/>
      </c>
      <c r="E927" s="16">
        <f>IF(B927,StartDate+D927,"")</f>
        <v/>
      </c>
      <c r="F927">
        <f>IF(B927,MAX(MOD(SIN(Seed*0.1373+C927*12.9898+D927*78.233)*43758.5453,1),1E-9),"")</f>
        <v/>
      </c>
      <c r="G927">
        <f>IF(B927,MOD(SIN(Seed*0.5917+C927*39.3468+D927*11.135)*24634.6345,1),"")</f>
        <v/>
      </c>
      <c r="H927">
        <f>IF(B927,SQRT(-2*LN(F927))*COS(2*PI()*G927),"")</f>
        <v/>
      </c>
      <c r="I927">
        <f>IF(B927,IF(D927=0,H927,Rho*I926+SQRT(1-Rho^2)*H927),"")</f>
        <v/>
      </c>
      <c r="J927">
        <f>IF(B927,IF(Dist="Normal",DistA+DistB*I927,DistA+(DistB-DistA)*NORMSDIST(I927)),"")</f>
        <v/>
      </c>
      <c r="K927">
        <f>IF(B927,INDEX(MineScale,C927),"")</f>
        <v/>
      </c>
      <c r="L927">
        <f>IF(B927,INDEX(Dow,1,WEEKDAY(E927,2)),"")</f>
        <v/>
      </c>
      <c r="M927">
        <f>IF(B927,(1+Trend)^D927,"")</f>
        <v/>
      </c>
      <c r="N927">
        <f>IF(B927,EXP(SUMPRODUCT(LN(1+(EvEff-1)*INDEX(Affected,0,C927)*EXP(-((E927-EvCenter)^2)/(2*EvSigma^2))))),"")</f>
        <v/>
      </c>
      <c r="O927">
        <f>IF(B927,ROUND(MAX(0,J927*K927*L927*M927*N927),2),"")</f>
        <v/>
      </c>
    </row>
    <row r="928">
      <c r="A928" t="n">
        <v>927</v>
      </c>
      <c r="B928">
        <f>A928&lt;=MineCount*Days</f>
        <v/>
      </c>
      <c r="C928">
        <f>IF(B928,INT((A928-1)/Days)+1,"")</f>
        <v/>
      </c>
      <c r="D928">
        <f>IF(B928,MOD(A928-1,Days),"")</f>
        <v/>
      </c>
      <c r="E928" s="16">
        <f>IF(B928,StartDate+D928,"")</f>
        <v/>
      </c>
      <c r="F928">
        <f>IF(B928,MAX(MOD(SIN(Seed*0.1373+C928*12.9898+D928*78.233)*43758.5453,1),1E-9),"")</f>
        <v/>
      </c>
      <c r="G928">
        <f>IF(B928,MOD(SIN(Seed*0.5917+C928*39.3468+D928*11.135)*24634.6345,1),"")</f>
        <v/>
      </c>
      <c r="H928">
        <f>IF(B928,SQRT(-2*LN(F928))*COS(2*PI()*G928),"")</f>
        <v/>
      </c>
      <c r="I928">
        <f>IF(B928,IF(D928=0,H928,Rho*I927+SQRT(1-Rho^2)*H928),"")</f>
        <v/>
      </c>
      <c r="J928">
        <f>IF(B928,IF(Dist="Normal",DistA+DistB*I928,DistA+(DistB-DistA)*NORMSDIST(I928)),"")</f>
        <v/>
      </c>
      <c r="K928">
        <f>IF(B928,INDEX(MineScale,C928),"")</f>
        <v/>
      </c>
      <c r="L928">
        <f>IF(B928,INDEX(Dow,1,WEEKDAY(E928,2)),"")</f>
        <v/>
      </c>
      <c r="M928">
        <f>IF(B928,(1+Trend)^D928,"")</f>
        <v/>
      </c>
      <c r="N928">
        <f>IF(B928,EXP(SUMPRODUCT(LN(1+(EvEff-1)*INDEX(Affected,0,C928)*EXP(-((E928-EvCenter)^2)/(2*EvSigma^2))))),"")</f>
        <v/>
      </c>
      <c r="O928">
        <f>IF(B928,ROUND(MAX(0,J928*K928*L928*M928*N928),2),"")</f>
        <v/>
      </c>
    </row>
    <row r="929">
      <c r="A929" t="n">
        <v>928</v>
      </c>
      <c r="B929">
        <f>A929&lt;=MineCount*Days</f>
        <v/>
      </c>
      <c r="C929">
        <f>IF(B929,INT((A929-1)/Days)+1,"")</f>
        <v/>
      </c>
      <c r="D929">
        <f>IF(B929,MOD(A929-1,Days),"")</f>
        <v/>
      </c>
      <c r="E929" s="16">
        <f>IF(B929,StartDate+D929,"")</f>
        <v/>
      </c>
      <c r="F929">
        <f>IF(B929,MAX(MOD(SIN(Seed*0.1373+C929*12.9898+D929*78.233)*43758.5453,1),1E-9),"")</f>
        <v/>
      </c>
      <c r="G929">
        <f>IF(B929,MOD(SIN(Seed*0.5917+C929*39.3468+D929*11.135)*24634.6345,1),"")</f>
        <v/>
      </c>
      <c r="H929">
        <f>IF(B929,SQRT(-2*LN(F929))*COS(2*PI()*G929),"")</f>
        <v/>
      </c>
      <c r="I929">
        <f>IF(B929,IF(D929=0,H929,Rho*I928+SQRT(1-Rho^2)*H929),"")</f>
        <v/>
      </c>
      <c r="J929">
        <f>IF(B929,IF(Dist="Normal",DistA+DistB*I929,DistA+(DistB-DistA)*NORMSDIST(I929)),"")</f>
        <v/>
      </c>
      <c r="K929">
        <f>IF(B929,INDEX(MineScale,C929),"")</f>
        <v/>
      </c>
      <c r="L929">
        <f>IF(B929,INDEX(Dow,1,WEEKDAY(E929,2)),"")</f>
        <v/>
      </c>
      <c r="M929">
        <f>IF(B929,(1+Trend)^D929,"")</f>
        <v/>
      </c>
      <c r="N929">
        <f>IF(B929,EXP(SUMPRODUCT(LN(1+(EvEff-1)*INDEX(Affected,0,C929)*EXP(-((E929-EvCenter)^2)/(2*EvSigma^2))))),"")</f>
        <v/>
      </c>
      <c r="O929">
        <f>IF(B929,ROUND(MAX(0,J929*K929*L929*M929*N929),2),"")</f>
        <v/>
      </c>
    </row>
    <row r="930">
      <c r="A930" t="n">
        <v>929</v>
      </c>
      <c r="B930">
        <f>A930&lt;=MineCount*Days</f>
        <v/>
      </c>
      <c r="C930">
        <f>IF(B930,INT((A930-1)/Days)+1,"")</f>
        <v/>
      </c>
      <c r="D930">
        <f>IF(B930,MOD(A930-1,Days),"")</f>
        <v/>
      </c>
      <c r="E930" s="16">
        <f>IF(B930,StartDate+D930,"")</f>
        <v/>
      </c>
      <c r="F930">
        <f>IF(B930,MAX(MOD(SIN(Seed*0.1373+C930*12.9898+D930*78.233)*43758.5453,1),1E-9),"")</f>
        <v/>
      </c>
      <c r="G930">
        <f>IF(B930,MOD(SIN(Seed*0.5917+C930*39.3468+D930*11.135)*24634.6345,1),"")</f>
        <v/>
      </c>
      <c r="H930">
        <f>IF(B930,SQRT(-2*LN(F930))*COS(2*PI()*G930),"")</f>
        <v/>
      </c>
      <c r="I930">
        <f>IF(B930,IF(D930=0,H930,Rho*I929+SQRT(1-Rho^2)*H930),"")</f>
        <v/>
      </c>
      <c r="J930">
        <f>IF(B930,IF(Dist="Normal",DistA+DistB*I930,DistA+(DistB-DistA)*NORMSDIST(I930)),"")</f>
        <v/>
      </c>
      <c r="K930">
        <f>IF(B930,INDEX(MineScale,C930),"")</f>
        <v/>
      </c>
      <c r="L930">
        <f>IF(B930,INDEX(Dow,1,WEEKDAY(E930,2)),"")</f>
        <v/>
      </c>
      <c r="M930">
        <f>IF(B930,(1+Trend)^D930,"")</f>
        <v/>
      </c>
      <c r="N930">
        <f>IF(B930,EXP(SUMPRODUCT(LN(1+(EvEff-1)*INDEX(Affected,0,C930)*EXP(-((E930-EvCenter)^2)/(2*EvSigma^2))))),"")</f>
        <v/>
      </c>
      <c r="O930">
        <f>IF(B930,ROUND(MAX(0,J930*K930*L930*M930*N930),2),"")</f>
        <v/>
      </c>
    </row>
    <row r="931">
      <c r="A931" t="n">
        <v>930</v>
      </c>
      <c r="B931">
        <f>A931&lt;=MineCount*Days</f>
        <v/>
      </c>
      <c r="C931">
        <f>IF(B931,INT((A931-1)/Days)+1,"")</f>
        <v/>
      </c>
      <c r="D931">
        <f>IF(B931,MOD(A931-1,Days),"")</f>
        <v/>
      </c>
      <c r="E931" s="16">
        <f>IF(B931,StartDate+D931,"")</f>
        <v/>
      </c>
      <c r="F931">
        <f>IF(B931,MAX(MOD(SIN(Seed*0.1373+C931*12.9898+D931*78.233)*43758.5453,1),1E-9),"")</f>
        <v/>
      </c>
      <c r="G931">
        <f>IF(B931,MOD(SIN(Seed*0.5917+C931*39.3468+D931*11.135)*24634.6345,1),"")</f>
        <v/>
      </c>
      <c r="H931">
        <f>IF(B931,SQRT(-2*LN(F931))*COS(2*PI()*G931),"")</f>
        <v/>
      </c>
      <c r="I931">
        <f>IF(B931,IF(D931=0,H931,Rho*I930+SQRT(1-Rho^2)*H931),"")</f>
        <v/>
      </c>
      <c r="J931">
        <f>IF(B931,IF(Dist="Normal",DistA+DistB*I931,DistA+(DistB-DistA)*NORMSDIST(I931)),"")</f>
        <v/>
      </c>
      <c r="K931">
        <f>IF(B931,INDEX(MineScale,C931),"")</f>
        <v/>
      </c>
      <c r="L931">
        <f>IF(B931,INDEX(Dow,1,WEEKDAY(E931,2)),"")</f>
        <v/>
      </c>
      <c r="M931">
        <f>IF(B931,(1+Trend)^D931,"")</f>
        <v/>
      </c>
      <c r="N931">
        <f>IF(B931,EXP(SUMPRODUCT(LN(1+(EvEff-1)*INDEX(Affected,0,C931)*EXP(-((E931-EvCenter)^2)/(2*EvSigma^2))))),"")</f>
        <v/>
      </c>
      <c r="O931">
        <f>IF(B931,ROUND(MAX(0,J931*K931*L931*M931*N931),2),"")</f>
        <v/>
      </c>
    </row>
    <row r="932">
      <c r="A932" t="n">
        <v>931</v>
      </c>
      <c r="B932">
        <f>A932&lt;=MineCount*Days</f>
        <v/>
      </c>
      <c r="C932">
        <f>IF(B932,INT((A932-1)/Days)+1,"")</f>
        <v/>
      </c>
      <c r="D932">
        <f>IF(B932,MOD(A932-1,Days),"")</f>
        <v/>
      </c>
      <c r="E932" s="16">
        <f>IF(B932,StartDate+D932,"")</f>
        <v/>
      </c>
      <c r="F932">
        <f>IF(B932,MAX(MOD(SIN(Seed*0.1373+C932*12.9898+D932*78.233)*43758.5453,1),1E-9),"")</f>
        <v/>
      </c>
      <c r="G932">
        <f>IF(B932,MOD(SIN(Seed*0.5917+C932*39.3468+D932*11.135)*24634.6345,1),"")</f>
        <v/>
      </c>
      <c r="H932">
        <f>IF(B932,SQRT(-2*LN(F932))*COS(2*PI()*G932),"")</f>
        <v/>
      </c>
      <c r="I932">
        <f>IF(B932,IF(D932=0,H932,Rho*I931+SQRT(1-Rho^2)*H932),"")</f>
        <v/>
      </c>
      <c r="J932">
        <f>IF(B932,IF(Dist="Normal",DistA+DistB*I932,DistA+(DistB-DistA)*NORMSDIST(I932)),"")</f>
        <v/>
      </c>
      <c r="K932">
        <f>IF(B932,INDEX(MineScale,C932),"")</f>
        <v/>
      </c>
      <c r="L932">
        <f>IF(B932,INDEX(Dow,1,WEEKDAY(E932,2)),"")</f>
        <v/>
      </c>
      <c r="M932">
        <f>IF(B932,(1+Trend)^D932,"")</f>
        <v/>
      </c>
      <c r="N932">
        <f>IF(B932,EXP(SUMPRODUCT(LN(1+(EvEff-1)*INDEX(Affected,0,C932)*EXP(-((E932-EvCenter)^2)/(2*EvSigma^2))))),"")</f>
        <v/>
      </c>
      <c r="O932">
        <f>IF(B932,ROUND(MAX(0,J932*K932*L932*M932*N932),2),"")</f>
        <v/>
      </c>
    </row>
    <row r="933">
      <c r="A933" t="n">
        <v>932</v>
      </c>
      <c r="B933">
        <f>A933&lt;=MineCount*Days</f>
        <v/>
      </c>
      <c r="C933">
        <f>IF(B933,INT((A933-1)/Days)+1,"")</f>
        <v/>
      </c>
      <c r="D933">
        <f>IF(B933,MOD(A933-1,Days),"")</f>
        <v/>
      </c>
      <c r="E933" s="16">
        <f>IF(B933,StartDate+D933,"")</f>
        <v/>
      </c>
      <c r="F933">
        <f>IF(B933,MAX(MOD(SIN(Seed*0.1373+C933*12.9898+D933*78.233)*43758.5453,1),1E-9),"")</f>
        <v/>
      </c>
      <c r="G933">
        <f>IF(B933,MOD(SIN(Seed*0.5917+C933*39.3468+D933*11.135)*24634.6345,1),"")</f>
        <v/>
      </c>
      <c r="H933">
        <f>IF(B933,SQRT(-2*LN(F933))*COS(2*PI()*G933),"")</f>
        <v/>
      </c>
      <c r="I933">
        <f>IF(B933,IF(D933=0,H933,Rho*I932+SQRT(1-Rho^2)*H933),"")</f>
        <v/>
      </c>
      <c r="J933">
        <f>IF(B933,IF(Dist="Normal",DistA+DistB*I933,DistA+(DistB-DistA)*NORMSDIST(I933)),"")</f>
        <v/>
      </c>
      <c r="K933">
        <f>IF(B933,INDEX(MineScale,C933),"")</f>
        <v/>
      </c>
      <c r="L933">
        <f>IF(B933,INDEX(Dow,1,WEEKDAY(E933,2)),"")</f>
        <v/>
      </c>
      <c r="M933">
        <f>IF(B933,(1+Trend)^D933,"")</f>
        <v/>
      </c>
      <c r="N933">
        <f>IF(B933,EXP(SUMPRODUCT(LN(1+(EvEff-1)*INDEX(Affected,0,C933)*EXP(-((E933-EvCenter)^2)/(2*EvSigma^2))))),"")</f>
        <v/>
      </c>
      <c r="O933">
        <f>IF(B933,ROUND(MAX(0,J933*K933*L933*M933*N933),2),"")</f>
        <v/>
      </c>
    </row>
    <row r="934">
      <c r="A934" t="n">
        <v>933</v>
      </c>
      <c r="B934">
        <f>A934&lt;=MineCount*Days</f>
        <v/>
      </c>
      <c r="C934">
        <f>IF(B934,INT((A934-1)/Days)+1,"")</f>
        <v/>
      </c>
      <c r="D934">
        <f>IF(B934,MOD(A934-1,Days),"")</f>
        <v/>
      </c>
      <c r="E934" s="16">
        <f>IF(B934,StartDate+D934,"")</f>
        <v/>
      </c>
      <c r="F934">
        <f>IF(B934,MAX(MOD(SIN(Seed*0.1373+C934*12.9898+D934*78.233)*43758.5453,1),1E-9),"")</f>
        <v/>
      </c>
      <c r="G934">
        <f>IF(B934,MOD(SIN(Seed*0.5917+C934*39.3468+D934*11.135)*24634.6345,1),"")</f>
        <v/>
      </c>
      <c r="H934">
        <f>IF(B934,SQRT(-2*LN(F934))*COS(2*PI()*G934),"")</f>
        <v/>
      </c>
      <c r="I934">
        <f>IF(B934,IF(D934=0,H934,Rho*I933+SQRT(1-Rho^2)*H934),"")</f>
        <v/>
      </c>
      <c r="J934">
        <f>IF(B934,IF(Dist="Normal",DistA+DistB*I934,DistA+(DistB-DistA)*NORMSDIST(I934)),"")</f>
        <v/>
      </c>
      <c r="K934">
        <f>IF(B934,INDEX(MineScale,C934),"")</f>
        <v/>
      </c>
      <c r="L934">
        <f>IF(B934,INDEX(Dow,1,WEEKDAY(E934,2)),"")</f>
        <v/>
      </c>
      <c r="M934">
        <f>IF(B934,(1+Trend)^D934,"")</f>
        <v/>
      </c>
      <c r="N934">
        <f>IF(B934,EXP(SUMPRODUCT(LN(1+(EvEff-1)*INDEX(Affected,0,C934)*EXP(-((E934-EvCenter)^2)/(2*EvSigma^2))))),"")</f>
        <v/>
      </c>
      <c r="O934">
        <f>IF(B934,ROUND(MAX(0,J934*K934*L934*M934*N934),2),"")</f>
        <v/>
      </c>
    </row>
    <row r="935">
      <c r="A935" t="n">
        <v>934</v>
      </c>
      <c r="B935">
        <f>A935&lt;=MineCount*Days</f>
        <v/>
      </c>
      <c r="C935">
        <f>IF(B935,INT((A935-1)/Days)+1,"")</f>
        <v/>
      </c>
      <c r="D935">
        <f>IF(B935,MOD(A935-1,Days),"")</f>
        <v/>
      </c>
      <c r="E935" s="16">
        <f>IF(B935,StartDate+D935,"")</f>
        <v/>
      </c>
      <c r="F935">
        <f>IF(B935,MAX(MOD(SIN(Seed*0.1373+C935*12.9898+D935*78.233)*43758.5453,1),1E-9),"")</f>
        <v/>
      </c>
      <c r="G935">
        <f>IF(B935,MOD(SIN(Seed*0.5917+C935*39.3468+D935*11.135)*24634.6345,1),"")</f>
        <v/>
      </c>
      <c r="H935">
        <f>IF(B935,SQRT(-2*LN(F935))*COS(2*PI()*G935),"")</f>
        <v/>
      </c>
      <c r="I935">
        <f>IF(B935,IF(D935=0,H935,Rho*I934+SQRT(1-Rho^2)*H935),"")</f>
        <v/>
      </c>
      <c r="J935">
        <f>IF(B935,IF(Dist="Normal",DistA+DistB*I935,DistA+(DistB-DistA)*NORMSDIST(I935)),"")</f>
        <v/>
      </c>
      <c r="K935">
        <f>IF(B935,INDEX(MineScale,C935),"")</f>
        <v/>
      </c>
      <c r="L935">
        <f>IF(B935,INDEX(Dow,1,WEEKDAY(E935,2)),"")</f>
        <v/>
      </c>
      <c r="M935">
        <f>IF(B935,(1+Trend)^D935,"")</f>
        <v/>
      </c>
      <c r="N935">
        <f>IF(B935,EXP(SUMPRODUCT(LN(1+(EvEff-1)*INDEX(Affected,0,C935)*EXP(-((E935-EvCenter)^2)/(2*EvSigma^2))))),"")</f>
        <v/>
      </c>
      <c r="O935">
        <f>IF(B935,ROUND(MAX(0,J935*K935*L935*M935*N935),2),"")</f>
        <v/>
      </c>
    </row>
    <row r="936">
      <c r="A936" t="n">
        <v>935</v>
      </c>
      <c r="B936">
        <f>A936&lt;=MineCount*Days</f>
        <v/>
      </c>
      <c r="C936">
        <f>IF(B936,INT((A936-1)/Days)+1,"")</f>
        <v/>
      </c>
      <c r="D936">
        <f>IF(B936,MOD(A936-1,Days),"")</f>
        <v/>
      </c>
      <c r="E936" s="16">
        <f>IF(B936,StartDate+D936,"")</f>
        <v/>
      </c>
      <c r="F936">
        <f>IF(B936,MAX(MOD(SIN(Seed*0.1373+C936*12.9898+D936*78.233)*43758.5453,1),1E-9),"")</f>
        <v/>
      </c>
      <c r="G936">
        <f>IF(B936,MOD(SIN(Seed*0.5917+C936*39.3468+D936*11.135)*24634.6345,1),"")</f>
        <v/>
      </c>
      <c r="H936">
        <f>IF(B936,SQRT(-2*LN(F936))*COS(2*PI()*G936),"")</f>
        <v/>
      </c>
      <c r="I936">
        <f>IF(B936,IF(D936=0,H936,Rho*I935+SQRT(1-Rho^2)*H936),"")</f>
        <v/>
      </c>
      <c r="J936">
        <f>IF(B936,IF(Dist="Normal",DistA+DistB*I936,DistA+(DistB-DistA)*NORMSDIST(I936)),"")</f>
        <v/>
      </c>
      <c r="K936">
        <f>IF(B936,INDEX(MineScale,C936),"")</f>
        <v/>
      </c>
      <c r="L936">
        <f>IF(B936,INDEX(Dow,1,WEEKDAY(E936,2)),"")</f>
        <v/>
      </c>
      <c r="M936">
        <f>IF(B936,(1+Trend)^D936,"")</f>
        <v/>
      </c>
      <c r="N936">
        <f>IF(B936,EXP(SUMPRODUCT(LN(1+(EvEff-1)*INDEX(Affected,0,C936)*EXP(-((E936-EvCenter)^2)/(2*EvSigma^2))))),"")</f>
        <v/>
      </c>
      <c r="O936">
        <f>IF(B936,ROUND(MAX(0,J936*K936*L936*M936*N936),2),"")</f>
        <v/>
      </c>
    </row>
    <row r="937">
      <c r="A937" t="n">
        <v>936</v>
      </c>
      <c r="B937">
        <f>A937&lt;=MineCount*Days</f>
        <v/>
      </c>
      <c r="C937">
        <f>IF(B937,INT((A937-1)/Days)+1,"")</f>
        <v/>
      </c>
      <c r="D937">
        <f>IF(B937,MOD(A937-1,Days),"")</f>
        <v/>
      </c>
      <c r="E937" s="16">
        <f>IF(B937,StartDate+D937,"")</f>
        <v/>
      </c>
      <c r="F937">
        <f>IF(B937,MAX(MOD(SIN(Seed*0.1373+C937*12.9898+D937*78.233)*43758.5453,1),1E-9),"")</f>
        <v/>
      </c>
      <c r="G937">
        <f>IF(B937,MOD(SIN(Seed*0.5917+C937*39.3468+D937*11.135)*24634.6345,1),"")</f>
        <v/>
      </c>
      <c r="H937">
        <f>IF(B937,SQRT(-2*LN(F937))*COS(2*PI()*G937),"")</f>
        <v/>
      </c>
      <c r="I937">
        <f>IF(B937,IF(D937=0,H937,Rho*I936+SQRT(1-Rho^2)*H937),"")</f>
        <v/>
      </c>
      <c r="J937">
        <f>IF(B937,IF(Dist="Normal",DistA+DistB*I937,DistA+(DistB-DistA)*NORMSDIST(I937)),"")</f>
        <v/>
      </c>
      <c r="K937">
        <f>IF(B937,INDEX(MineScale,C937),"")</f>
        <v/>
      </c>
      <c r="L937">
        <f>IF(B937,INDEX(Dow,1,WEEKDAY(E937,2)),"")</f>
        <v/>
      </c>
      <c r="M937">
        <f>IF(B937,(1+Trend)^D937,"")</f>
        <v/>
      </c>
      <c r="N937">
        <f>IF(B937,EXP(SUMPRODUCT(LN(1+(EvEff-1)*INDEX(Affected,0,C937)*EXP(-((E937-EvCenter)^2)/(2*EvSigma^2))))),"")</f>
        <v/>
      </c>
      <c r="O937">
        <f>IF(B937,ROUND(MAX(0,J937*K937*L937*M937*N937),2),"")</f>
        <v/>
      </c>
    </row>
    <row r="938">
      <c r="A938" t="n">
        <v>937</v>
      </c>
      <c r="B938">
        <f>A938&lt;=MineCount*Days</f>
        <v/>
      </c>
      <c r="C938">
        <f>IF(B938,INT((A938-1)/Days)+1,"")</f>
        <v/>
      </c>
      <c r="D938">
        <f>IF(B938,MOD(A938-1,Days),"")</f>
        <v/>
      </c>
      <c r="E938" s="16">
        <f>IF(B938,StartDate+D938,"")</f>
        <v/>
      </c>
      <c r="F938">
        <f>IF(B938,MAX(MOD(SIN(Seed*0.1373+C938*12.9898+D938*78.233)*43758.5453,1),1E-9),"")</f>
        <v/>
      </c>
      <c r="G938">
        <f>IF(B938,MOD(SIN(Seed*0.5917+C938*39.3468+D938*11.135)*24634.6345,1),"")</f>
        <v/>
      </c>
      <c r="H938">
        <f>IF(B938,SQRT(-2*LN(F938))*COS(2*PI()*G938),"")</f>
        <v/>
      </c>
      <c r="I938">
        <f>IF(B938,IF(D938=0,H938,Rho*I937+SQRT(1-Rho^2)*H938),"")</f>
        <v/>
      </c>
      <c r="J938">
        <f>IF(B938,IF(Dist="Normal",DistA+DistB*I938,DistA+(DistB-DistA)*NORMSDIST(I938)),"")</f>
        <v/>
      </c>
      <c r="K938">
        <f>IF(B938,INDEX(MineScale,C938),"")</f>
        <v/>
      </c>
      <c r="L938">
        <f>IF(B938,INDEX(Dow,1,WEEKDAY(E938,2)),"")</f>
        <v/>
      </c>
      <c r="M938">
        <f>IF(B938,(1+Trend)^D938,"")</f>
        <v/>
      </c>
      <c r="N938">
        <f>IF(B938,EXP(SUMPRODUCT(LN(1+(EvEff-1)*INDEX(Affected,0,C938)*EXP(-((E938-EvCenter)^2)/(2*EvSigma^2))))),"")</f>
        <v/>
      </c>
      <c r="O938">
        <f>IF(B938,ROUND(MAX(0,J938*K938*L938*M938*N938),2),"")</f>
        <v/>
      </c>
    </row>
    <row r="939">
      <c r="A939" t="n">
        <v>938</v>
      </c>
      <c r="B939">
        <f>A939&lt;=MineCount*Days</f>
        <v/>
      </c>
      <c r="C939">
        <f>IF(B939,INT((A939-1)/Days)+1,"")</f>
        <v/>
      </c>
      <c r="D939">
        <f>IF(B939,MOD(A939-1,Days),"")</f>
        <v/>
      </c>
      <c r="E939" s="16">
        <f>IF(B939,StartDate+D939,"")</f>
        <v/>
      </c>
      <c r="F939">
        <f>IF(B939,MAX(MOD(SIN(Seed*0.1373+C939*12.9898+D939*78.233)*43758.5453,1),1E-9),"")</f>
        <v/>
      </c>
      <c r="G939">
        <f>IF(B939,MOD(SIN(Seed*0.5917+C939*39.3468+D939*11.135)*24634.6345,1),"")</f>
        <v/>
      </c>
      <c r="H939">
        <f>IF(B939,SQRT(-2*LN(F939))*COS(2*PI()*G939),"")</f>
        <v/>
      </c>
      <c r="I939">
        <f>IF(B939,IF(D939=0,H939,Rho*I938+SQRT(1-Rho^2)*H939),"")</f>
        <v/>
      </c>
      <c r="J939">
        <f>IF(B939,IF(Dist="Normal",DistA+DistB*I939,DistA+(DistB-DistA)*NORMSDIST(I939)),"")</f>
        <v/>
      </c>
      <c r="K939">
        <f>IF(B939,INDEX(MineScale,C939),"")</f>
        <v/>
      </c>
      <c r="L939">
        <f>IF(B939,INDEX(Dow,1,WEEKDAY(E939,2)),"")</f>
        <v/>
      </c>
      <c r="M939">
        <f>IF(B939,(1+Trend)^D939,"")</f>
        <v/>
      </c>
      <c r="N939">
        <f>IF(B939,EXP(SUMPRODUCT(LN(1+(EvEff-1)*INDEX(Affected,0,C939)*EXP(-((E939-EvCenter)^2)/(2*EvSigma^2))))),"")</f>
        <v/>
      </c>
      <c r="O939">
        <f>IF(B939,ROUND(MAX(0,J939*K939*L939*M939*N939),2),"")</f>
        <v/>
      </c>
    </row>
    <row r="940">
      <c r="A940" t="n">
        <v>939</v>
      </c>
      <c r="B940">
        <f>A940&lt;=MineCount*Days</f>
        <v/>
      </c>
      <c r="C940">
        <f>IF(B940,INT((A940-1)/Days)+1,"")</f>
        <v/>
      </c>
      <c r="D940">
        <f>IF(B940,MOD(A940-1,Days),"")</f>
        <v/>
      </c>
      <c r="E940" s="16">
        <f>IF(B940,StartDate+D940,"")</f>
        <v/>
      </c>
      <c r="F940">
        <f>IF(B940,MAX(MOD(SIN(Seed*0.1373+C940*12.9898+D940*78.233)*43758.5453,1),1E-9),"")</f>
        <v/>
      </c>
      <c r="G940">
        <f>IF(B940,MOD(SIN(Seed*0.5917+C940*39.3468+D940*11.135)*24634.6345,1),"")</f>
        <v/>
      </c>
      <c r="H940">
        <f>IF(B940,SQRT(-2*LN(F940))*COS(2*PI()*G940),"")</f>
        <v/>
      </c>
      <c r="I940">
        <f>IF(B940,IF(D940=0,H940,Rho*I939+SQRT(1-Rho^2)*H940),"")</f>
        <v/>
      </c>
      <c r="J940">
        <f>IF(B940,IF(Dist="Normal",DistA+DistB*I940,DistA+(DistB-DistA)*NORMSDIST(I940)),"")</f>
        <v/>
      </c>
      <c r="K940">
        <f>IF(B940,INDEX(MineScale,C940),"")</f>
        <v/>
      </c>
      <c r="L940">
        <f>IF(B940,INDEX(Dow,1,WEEKDAY(E940,2)),"")</f>
        <v/>
      </c>
      <c r="M940">
        <f>IF(B940,(1+Trend)^D940,"")</f>
        <v/>
      </c>
      <c r="N940">
        <f>IF(B940,EXP(SUMPRODUCT(LN(1+(EvEff-1)*INDEX(Affected,0,C940)*EXP(-((E940-EvCenter)^2)/(2*EvSigma^2))))),"")</f>
        <v/>
      </c>
      <c r="O940">
        <f>IF(B940,ROUND(MAX(0,J940*K940*L940*M940*N940),2),"")</f>
        <v/>
      </c>
    </row>
    <row r="941">
      <c r="A941" t="n">
        <v>940</v>
      </c>
      <c r="B941">
        <f>A941&lt;=MineCount*Days</f>
        <v/>
      </c>
      <c r="C941">
        <f>IF(B941,INT((A941-1)/Days)+1,"")</f>
        <v/>
      </c>
      <c r="D941">
        <f>IF(B941,MOD(A941-1,Days),"")</f>
        <v/>
      </c>
      <c r="E941" s="16">
        <f>IF(B941,StartDate+D941,"")</f>
        <v/>
      </c>
      <c r="F941">
        <f>IF(B941,MAX(MOD(SIN(Seed*0.1373+C941*12.9898+D941*78.233)*43758.5453,1),1E-9),"")</f>
        <v/>
      </c>
      <c r="G941">
        <f>IF(B941,MOD(SIN(Seed*0.5917+C941*39.3468+D941*11.135)*24634.6345,1),"")</f>
        <v/>
      </c>
      <c r="H941">
        <f>IF(B941,SQRT(-2*LN(F941))*COS(2*PI()*G941),"")</f>
        <v/>
      </c>
      <c r="I941">
        <f>IF(B941,IF(D941=0,H941,Rho*I940+SQRT(1-Rho^2)*H941),"")</f>
        <v/>
      </c>
      <c r="J941">
        <f>IF(B941,IF(Dist="Normal",DistA+DistB*I941,DistA+(DistB-DistA)*NORMSDIST(I941)),"")</f>
        <v/>
      </c>
      <c r="K941">
        <f>IF(B941,INDEX(MineScale,C941),"")</f>
        <v/>
      </c>
      <c r="L941">
        <f>IF(B941,INDEX(Dow,1,WEEKDAY(E941,2)),"")</f>
        <v/>
      </c>
      <c r="M941">
        <f>IF(B941,(1+Trend)^D941,"")</f>
        <v/>
      </c>
      <c r="N941">
        <f>IF(B941,EXP(SUMPRODUCT(LN(1+(EvEff-1)*INDEX(Affected,0,C941)*EXP(-((E941-EvCenter)^2)/(2*EvSigma^2))))),"")</f>
        <v/>
      </c>
      <c r="O941">
        <f>IF(B941,ROUND(MAX(0,J941*K941*L941*M941*N941),2),"")</f>
        <v/>
      </c>
    </row>
    <row r="942">
      <c r="A942" t="n">
        <v>941</v>
      </c>
      <c r="B942">
        <f>A942&lt;=MineCount*Days</f>
        <v/>
      </c>
      <c r="C942">
        <f>IF(B942,INT((A942-1)/Days)+1,"")</f>
        <v/>
      </c>
      <c r="D942">
        <f>IF(B942,MOD(A942-1,Days),"")</f>
        <v/>
      </c>
      <c r="E942" s="16">
        <f>IF(B942,StartDate+D942,"")</f>
        <v/>
      </c>
      <c r="F942">
        <f>IF(B942,MAX(MOD(SIN(Seed*0.1373+C942*12.9898+D942*78.233)*43758.5453,1),1E-9),"")</f>
        <v/>
      </c>
      <c r="G942">
        <f>IF(B942,MOD(SIN(Seed*0.5917+C942*39.3468+D942*11.135)*24634.6345,1),"")</f>
        <v/>
      </c>
      <c r="H942">
        <f>IF(B942,SQRT(-2*LN(F942))*COS(2*PI()*G942),"")</f>
        <v/>
      </c>
      <c r="I942">
        <f>IF(B942,IF(D942=0,H942,Rho*I941+SQRT(1-Rho^2)*H942),"")</f>
        <v/>
      </c>
      <c r="J942">
        <f>IF(B942,IF(Dist="Normal",DistA+DistB*I942,DistA+(DistB-DistA)*NORMSDIST(I942)),"")</f>
        <v/>
      </c>
      <c r="K942">
        <f>IF(B942,INDEX(MineScale,C942),"")</f>
        <v/>
      </c>
      <c r="L942">
        <f>IF(B942,INDEX(Dow,1,WEEKDAY(E942,2)),"")</f>
        <v/>
      </c>
      <c r="M942">
        <f>IF(B942,(1+Trend)^D942,"")</f>
        <v/>
      </c>
      <c r="N942">
        <f>IF(B942,EXP(SUMPRODUCT(LN(1+(EvEff-1)*INDEX(Affected,0,C942)*EXP(-((E942-EvCenter)^2)/(2*EvSigma^2))))),"")</f>
        <v/>
      </c>
      <c r="O942">
        <f>IF(B942,ROUND(MAX(0,J942*K942*L942*M942*N942),2),"")</f>
        <v/>
      </c>
    </row>
    <row r="943">
      <c r="A943" t="n">
        <v>942</v>
      </c>
      <c r="B943">
        <f>A943&lt;=MineCount*Days</f>
        <v/>
      </c>
      <c r="C943">
        <f>IF(B943,INT((A943-1)/Days)+1,"")</f>
        <v/>
      </c>
      <c r="D943">
        <f>IF(B943,MOD(A943-1,Days),"")</f>
        <v/>
      </c>
      <c r="E943" s="16">
        <f>IF(B943,StartDate+D943,"")</f>
        <v/>
      </c>
      <c r="F943">
        <f>IF(B943,MAX(MOD(SIN(Seed*0.1373+C943*12.9898+D943*78.233)*43758.5453,1),1E-9),"")</f>
        <v/>
      </c>
      <c r="G943">
        <f>IF(B943,MOD(SIN(Seed*0.5917+C943*39.3468+D943*11.135)*24634.6345,1),"")</f>
        <v/>
      </c>
      <c r="H943">
        <f>IF(B943,SQRT(-2*LN(F943))*COS(2*PI()*G943),"")</f>
        <v/>
      </c>
      <c r="I943">
        <f>IF(B943,IF(D943=0,H943,Rho*I942+SQRT(1-Rho^2)*H943),"")</f>
        <v/>
      </c>
      <c r="J943">
        <f>IF(B943,IF(Dist="Normal",DistA+DistB*I943,DistA+(DistB-DistA)*NORMSDIST(I943)),"")</f>
        <v/>
      </c>
      <c r="K943">
        <f>IF(B943,INDEX(MineScale,C943),"")</f>
        <v/>
      </c>
      <c r="L943">
        <f>IF(B943,INDEX(Dow,1,WEEKDAY(E943,2)),"")</f>
        <v/>
      </c>
      <c r="M943">
        <f>IF(B943,(1+Trend)^D943,"")</f>
        <v/>
      </c>
      <c r="N943">
        <f>IF(B943,EXP(SUMPRODUCT(LN(1+(EvEff-1)*INDEX(Affected,0,C943)*EXP(-((E943-EvCenter)^2)/(2*EvSigma^2))))),"")</f>
        <v/>
      </c>
      <c r="O943">
        <f>IF(B943,ROUND(MAX(0,J943*K943*L943*M943*N943),2),"")</f>
        <v/>
      </c>
    </row>
    <row r="944">
      <c r="A944" t="n">
        <v>943</v>
      </c>
      <c r="B944">
        <f>A944&lt;=MineCount*Days</f>
        <v/>
      </c>
      <c r="C944">
        <f>IF(B944,INT((A944-1)/Days)+1,"")</f>
        <v/>
      </c>
      <c r="D944">
        <f>IF(B944,MOD(A944-1,Days),"")</f>
        <v/>
      </c>
      <c r="E944" s="16">
        <f>IF(B944,StartDate+D944,"")</f>
        <v/>
      </c>
      <c r="F944">
        <f>IF(B944,MAX(MOD(SIN(Seed*0.1373+C944*12.9898+D944*78.233)*43758.5453,1),1E-9),"")</f>
        <v/>
      </c>
      <c r="G944">
        <f>IF(B944,MOD(SIN(Seed*0.5917+C944*39.3468+D944*11.135)*24634.6345,1),"")</f>
        <v/>
      </c>
      <c r="H944">
        <f>IF(B944,SQRT(-2*LN(F944))*COS(2*PI()*G944),"")</f>
        <v/>
      </c>
      <c r="I944">
        <f>IF(B944,IF(D944=0,H944,Rho*I943+SQRT(1-Rho^2)*H944),"")</f>
        <v/>
      </c>
      <c r="J944">
        <f>IF(B944,IF(Dist="Normal",DistA+DistB*I944,DistA+(DistB-DistA)*NORMSDIST(I944)),"")</f>
        <v/>
      </c>
      <c r="K944">
        <f>IF(B944,INDEX(MineScale,C944),"")</f>
        <v/>
      </c>
      <c r="L944">
        <f>IF(B944,INDEX(Dow,1,WEEKDAY(E944,2)),"")</f>
        <v/>
      </c>
      <c r="M944">
        <f>IF(B944,(1+Trend)^D944,"")</f>
        <v/>
      </c>
      <c r="N944">
        <f>IF(B944,EXP(SUMPRODUCT(LN(1+(EvEff-1)*INDEX(Affected,0,C944)*EXP(-((E944-EvCenter)^2)/(2*EvSigma^2))))),"")</f>
        <v/>
      </c>
      <c r="O944">
        <f>IF(B944,ROUND(MAX(0,J944*K944*L944*M944*N944),2),"")</f>
        <v/>
      </c>
    </row>
    <row r="945">
      <c r="A945" t="n">
        <v>944</v>
      </c>
      <c r="B945">
        <f>A945&lt;=MineCount*Days</f>
        <v/>
      </c>
      <c r="C945">
        <f>IF(B945,INT((A945-1)/Days)+1,"")</f>
        <v/>
      </c>
      <c r="D945">
        <f>IF(B945,MOD(A945-1,Days),"")</f>
        <v/>
      </c>
      <c r="E945" s="16">
        <f>IF(B945,StartDate+D945,"")</f>
        <v/>
      </c>
      <c r="F945">
        <f>IF(B945,MAX(MOD(SIN(Seed*0.1373+C945*12.9898+D945*78.233)*43758.5453,1),1E-9),"")</f>
        <v/>
      </c>
      <c r="G945">
        <f>IF(B945,MOD(SIN(Seed*0.5917+C945*39.3468+D945*11.135)*24634.6345,1),"")</f>
        <v/>
      </c>
      <c r="H945">
        <f>IF(B945,SQRT(-2*LN(F945))*COS(2*PI()*G945),"")</f>
        <v/>
      </c>
      <c r="I945">
        <f>IF(B945,IF(D945=0,H945,Rho*I944+SQRT(1-Rho^2)*H945),"")</f>
        <v/>
      </c>
      <c r="J945">
        <f>IF(B945,IF(Dist="Normal",DistA+DistB*I945,DistA+(DistB-DistA)*NORMSDIST(I945)),"")</f>
        <v/>
      </c>
      <c r="K945">
        <f>IF(B945,INDEX(MineScale,C945),"")</f>
        <v/>
      </c>
      <c r="L945">
        <f>IF(B945,INDEX(Dow,1,WEEKDAY(E945,2)),"")</f>
        <v/>
      </c>
      <c r="M945">
        <f>IF(B945,(1+Trend)^D945,"")</f>
        <v/>
      </c>
      <c r="N945">
        <f>IF(B945,EXP(SUMPRODUCT(LN(1+(EvEff-1)*INDEX(Affected,0,C945)*EXP(-((E945-EvCenter)^2)/(2*EvSigma^2))))),"")</f>
        <v/>
      </c>
      <c r="O945">
        <f>IF(B945,ROUND(MAX(0,J945*K945*L945*M945*N945),2),"")</f>
        <v/>
      </c>
    </row>
    <row r="946">
      <c r="A946" t="n">
        <v>945</v>
      </c>
      <c r="B946">
        <f>A946&lt;=MineCount*Days</f>
        <v/>
      </c>
      <c r="C946">
        <f>IF(B946,INT((A946-1)/Days)+1,"")</f>
        <v/>
      </c>
      <c r="D946">
        <f>IF(B946,MOD(A946-1,Days),"")</f>
        <v/>
      </c>
      <c r="E946" s="16">
        <f>IF(B946,StartDate+D946,"")</f>
        <v/>
      </c>
      <c r="F946">
        <f>IF(B946,MAX(MOD(SIN(Seed*0.1373+C946*12.9898+D946*78.233)*43758.5453,1),1E-9),"")</f>
        <v/>
      </c>
      <c r="G946">
        <f>IF(B946,MOD(SIN(Seed*0.5917+C946*39.3468+D946*11.135)*24634.6345,1),"")</f>
        <v/>
      </c>
      <c r="H946">
        <f>IF(B946,SQRT(-2*LN(F946))*COS(2*PI()*G946),"")</f>
        <v/>
      </c>
      <c r="I946">
        <f>IF(B946,IF(D946=0,H946,Rho*I945+SQRT(1-Rho^2)*H946),"")</f>
        <v/>
      </c>
      <c r="J946">
        <f>IF(B946,IF(Dist="Normal",DistA+DistB*I946,DistA+(DistB-DistA)*NORMSDIST(I946)),"")</f>
        <v/>
      </c>
      <c r="K946">
        <f>IF(B946,INDEX(MineScale,C946),"")</f>
        <v/>
      </c>
      <c r="L946">
        <f>IF(B946,INDEX(Dow,1,WEEKDAY(E946,2)),"")</f>
        <v/>
      </c>
      <c r="M946">
        <f>IF(B946,(1+Trend)^D946,"")</f>
        <v/>
      </c>
      <c r="N946">
        <f>IF(B946,EXP(SUMPRODUCT(LN(1+(EvEff-1)*INDEX(Affected,0,C946)*EXP(-((E946-EvCenter)^2)/(2*EvSigma^2))))),"")</f>
        <v/>
      </c>
      <c r="O946">
        <f>IF(B946,ROUND(MAX(0,J946*K946*L946*M946*N946),2),"")</f>
        <v/>
      </c>
    </row>
    <row r="947">
      <c r="A947" t="n">
        <v>946</v>
      </c>
      <c r="B947">
        <f>A947&lt;=MineCount*Days</f>
        <v/>
      </c>
      <c r="C947">
        <f>IF(B947,INT((A947-1)/Days)+1,"")</f>
        <v/>
      </c>
      <c r="D947">
        <f>IF(B947,MOD(A947-1,Days),"")</f>
        <v/>
      </c>
      <c r="E947" s="16">
        <f>IF(B947,StartDate+D947,"")</f>
        <v/>
      </c>
      <c r="F947">
        <f>IF(B947,MAX(MOD(SIN(Seed*0.1373+C947*12.9898+D947*78.233)*43758.5453,1),1E-9),"")</f>
        <v/>
      </c>
      <c r="G947">
        <f>IF(B947,MOD(SIN(Seed*0.5917+C947*39.3468+D947*11.135)*24634.6345,1),"")</f>
        <v/>
      </c>
      <c r="H947">
        <f>IF(B947,SQRT(-2*LN(F947))*COS(2*PI()*G947),"")</f>
        <v/>
      </c>
      <c r="I947">
        <f>IF(B947,IF(D947=0,H947,Rho*I946+SQRT(1-Rho^2)*H947),"")</f>
        <v/>
      </c>
      <c r="J947">
        <f>IF(B947,IF(Dist="Normal",DistA+DistB*I947,DistA+(DistB-DistA)*NORMSDIST(I947)),"")</f>
        <v/>
      </c>
      <c r="K947">
        <f>IF(B947,INDEX(MineScale,C947),"")</f>
        <v/>
      </c>
      <c r="L947">
        <f>IF(B947,INDEX(Dow,1,WEEKDAY(E947,2)),"")</f>
        <v/>
      </c>
      <c r="M947">
        <f>IF(B947,(1+Trend)^D947,"")</f>
        <v/>
      </c>
      <c r="N947">
        <f>IF(B947,EXP(SUMPRODUCT(LN(1+(EvEff-1)*INDEX(Affected,0,C947)*EXP(-((E947-EvCenter)^2)/(2*EvSigma^2))))),"")</f>
        <v/>
      </c>
      <c r="O947">
        <f>IF(B947,ROUND(MAX(0,J947*K947*L947*M947*N947),2),"")</f>
        <v/>
      </c>
    </row>
    <row r="948">
      <c r="A948" t="n">
        <v>947</v>
      </c>
      <c r="B948">
        <f>A948&lt;=MineCount*Days</f>
        <v/>
      </c>
      <c r="C948">
        <f>IF(B948,INT((A948-1)/Days)+1,"")</f>
        <v/>
      </c>
      <c r="D948">
        <f>IF(B948,MOD(A948-1,Days),"")</f>
        <v/>
      </c>
      <c r="E948" s="16">
        <f>IF(B948,StartDate+D948,"")</f>
        <v/>
      </c>
      <c r="F948">
        <f>IF(B948,MAX(MOD(SIN(Seed*0.1373+C948*12.9898+D948*78.233)*43758.5453,1),1E-9),"")</f>
        <v/>
      </c>
      <c r="G948">
        <f>IF(B948,MOD(SIN(Seed*0.5917+C948*39.3468+D948*11.135)*24634.6345,1),"")</f>
        <v/>
      </c>
      <c r="H948">
        <f>IF(B948,SQRT(-2*LN(F948))*COS(2*PI()*G948),"")</f>
        <v/>
      </c>
      <c r="I948">
        <f>IF(B948,IF(D948=0,H948,Rho*I947+SQRT(1-Rho^2)*H948),"")</f>
        <v/>
      </c>
      <c r="J948">
        <f>IF(B948,IF(Dist="Normal",DistA+DistB*I948,DistA+(DistB-DistA)*NORMSDIST(I948)),"")</f>
        <v/>
      </c>
      <c r="K948">
        <f>IF(B948,INDEX(MineScale,C948),"")</f>
        <v/>
      </c>
      <c r="L948">
        <f>IF(B948,INDEX(Dow,1,WEEKDAY(E948,2)),"")</f>
        <v/>
      </c>
      <c r="M948">
        <f>IF(B948,(1+Trend)^D948,"")</f>
        <v/>
      </c>
      <c r="N948">
        <f>IF(B948,EXP(SUMPRODUCT(LN(1+(EvEff-1)*INDEX(Affected,0,C948)*EXP(-((E948-EvCenter)^2)/(2*EvSigma^2))))),"")</f>
        <v/>
      </c>
      <c r="O948">
        <f>IF(B948,ROUND(MAX(0,J948*K948*L948*M948*N948),2),"")</f>
        <v/>
      </c>
    </row>
    <row r="949">
      <c r="A949" t="n">
        <v>948</v>
      </c>
      <c r="B949">
        <f>A949&lt;=MineCount*Days</f>
        <v/>
      </c>
      <c r="C949">
        <f>IF(B949,INT((A949-1)/Days)+1,"")</f>
        <v/>
      </c>
      <c r="D949">
        <f>IF(B949,MOD(A949-1,Days),"")</f>
        <v/>
      </c>
      <c r="E949" s="16">
        <f>IF(B949,StartDate+D949,"")</f>
        <v/>
      </c>
      <c r="F949">
        <f>IF(B949,MAX(MOD(SIN(Seed*0.1373+C949*12.9898+D949*78.233)*43758.5453,1),1E-9),"")</f>
        <v/>
      </c>
      <c r="G949">
        <f>IF(B949,MOD(SIN(Seed*0.5917+C949*39.3468+D949*11.135)*24634.6345,1),"")</f>
        <v/>
      </c>
      <c r="H949">
        <f>IF(B949,SQRT(-2*LN(F949))*COS(2*PI()*G949),"")</f>
        <v/>
      </c>
      <c r="I949">
        <f>IF(B949,IF(D949=0,H949,Rho*I948+SQRT(1-Rho^2)*H949),"")</f>
        <v/>
      </c>
      <c r="J949">
        <f>IF(B949,IF(Dist="Normal",DistA+DistB*I949,DistA+(DistB-DistA)*NORMSDIST(I949)),"")</f>
        <v/>
      </c>
      <c r="K949">
        <f>IF(B949,INDEX(MineScale,C949),"")</f>
        <v/>
      </c>
      <c r="L949">
        <f>IF(B949,INDEX(Dow,1,WEEKDAY(E949,2)),"")</f>
        <v/>
      </c>
      <c r="M949">
        <f>IF(B949,(1+Trend)^D949,"")</f>
        <v/>
      </c>
      <c r="N949">
        <f>IF(B949,EXP(SUMPRODUCT(LN(1+(EvEff-1)*INDEX(Affected,0,C949)*EXP(-((E949-EvCenter)^2)/(2*EvSigma^2))))),"")</f>
        <v/>
      </c>
      <c r="O949">
        <f>IF(B949,ROUND(MAX(0,J949*K949*L949*M949*N949),2),"")</f>
        <v/>
      </c>
    </row>
    <row r="950">
      <c r="A950" t="n">
        <v>949</v>
      </c>
      <c r="B950">
        <f>A950&lt;=MineCount*Days</f>
        <v/>
      </c>
      <c r="C950">
        <f>IF(B950,INT((A950-1)/Days)+1,"")</f>
        <v/>
      </c>
      <c r="D950">
        <f>IF(B950,MOD(A950-1,Days),"")</f>
        <v/>
      </c>
      <c r="E950" s="16">
        <f>IF(B950,StartDate+D950,"")</f>
        <v/>
      </c>
      <c r="F950">
        <f>IF(B950,MAX(MOD(SIN(Seed*0.1373+C950*12.9898+D950*78.233)*43758.5453,1),1E-9),"")</f>
        <v/>
      </c>
      <c r="G950">
        <f>IF(B950,MOD(SIN(Seed*0.5917+C950*39.3468+D950*11.135)*24634.6345,1),"")</f>
        <v/>
      </c>
      <c r="H950">
        <f>IF(B950,SQRT(-2*LN(F950))*COS(2*PI()*G950),"")</f>
        <v/>
      </c>
      <c r="I950">
        <f>IF(B950,IF(D950=0,H950,Rho*I949+SQRT(1-Rho^2)*H950),"")</f>
        <v/>
      </c>
      <c r="J950">
        <f>IF(B950,IF(Dist="Normal",DistA+DistB*I950,DistA+(DistB-DistA)*NORMSDIST(I950)),"")</f>
        <v/>
      </c>
      <c r="K950">
        <f>IF(B950,INDEX(MineScale,C950),"")</f>
        <v/>
      </c>
      <c r="L950">
        <f>IF(B950,INDEX(Dow,1,WEEKDAY(E950,2)),"")</f>
        <v/>
      </c>
      <c r="M950">
        <f>IF(B950,(1+Trend)^D950,"")</f>
        <v/>
      </c>
      <c r="N950">
        <f>IF(B950,EXP(SUMPRODUCT(LN(1+(EvEff-1)*INDEX(Affected,0,C950)*EXP(-((E950-EvCenter)^2)/(2*EvSigma^2))))),"")</f>
        <v/>
      </c>
      <c r="O950">
        <f>IF(B950,ROUND(MAX(0,J950*K950*L950*M950*N950),2),"")</f>
        <v/>
      </c>
    </row>
    <row r="951">
      <c r="A951" t="n">
        <v>950</v>
      </c>
      <c r="B951">
        <f>A951&lt;=MineCount*Days</f>
        <v/>
      </c>
      <c r="C951">
        <f>IF(B951,INT((A951-1)/Days)+1,"")</f>
        <v/>
      </c>
      <c r="D951">
        <f>IF(B951,MOD(A951-1,Days),"")</f>
        <v/>
      </c>
      <c r="E951" s="16">
        <f>IF(B951,StartDate+D951,"")</f>
        <v/>
      </c>
      <c r="F951">
        <f>IF(B951,MAX(MOD(SIN(Seed*0.1373+C951*12.9898+D951*78.233)*43758.5453,1),1E-9),"")</f>
        <v/>
      </c>
      <c r="G951">
        <f>IF(B951,MOD(SIN(Seed*0.5917+C951*39.3468+D951*11.135)*24634.6345,1),"")</f>
        <v/>
      </c>
      <c r="H951">
        <f>IF(B951,SQRT(-2*LN(F951))*COS(2*PI()*G951),"")</f>
        <v/>
      </c>
      <c r="I951">
        <f>IF(B951,IF(D951=0,H951,Rho*I950+SQRT(1-Rho^2)*H951),"")</f>
        <v/>
      </c>
      <c r="J951">
        <f>IF(B951,IF(Dist="Normal",DistA+DistB*I951,DistA+(DistB-DistA)*NORMSDIST(I951)),"")</f>
        <v/>
      </c>
      <c r="K951">
        <f>IF(B951,INDEX(MineScale,C951),"")</f>
        <v/>
      </c>
      <c r="L951">
        <f>IF(B951,INDEX(Dow,1,WEEKDAY(E951,2)),"")</f>
        <v/>
      </c>
      <c r="M951">
        <f>IF(B951,(1+Trend)^D951,"")</f>
        <v/>
      </c>
      <c r="N951">
        <f>IF(B951,EXP(SUMPRODUCT(LN(1+(EvEff-1)*INDEX(Affected,0,C951)*EXP(-((E951-EvCenter)^2)/(2*EvSigma^2))))),"")</f>
        <v/>
      </c>
      <c r="O951">
        <f>IF(B951,ROUND(MAX(0,J951*K951*L951*M951*N951),2),"")</f>
        <v/>
      </c>
    </row>
    <row r="952">
      <c r="A952" t="n">
        <v>951</v>
      </c>
      <c r="B952">
        <f>A952&lt;=MineCount*Days</f>
        <v/>
      </c>
      <c r="C952">
        <f>IF(B952,INT((A952-1)/Days)+1,"")</f>
        <v/>
      </c>
      <c r="D952">
        <f>IF(B952,MOD(A952-1,Days),"")</f>
        <v/>
      </c>
      <c r="E952" s="16">
        <f>IF(B952,StartDate+D952,"")</f>
        <v/>
      </c>
      <c r="F952">
        <f>IF(B952,MAX(MOD(SIN(Seed*0.1373+C952*12.9898+D952*78.233)*43758.5453,1),1E-9),"")</f>
        <v/>
      </c>
      <c r="G952">
        <f>IF(B952,MOD(SIN(Seed*0.5917+C952*39.3468+D952*11.135)*24634.6345,1),"")</f>
        <v/>
      </c>
      <c r="H952">
        <f>IF(B952,SQRT(-2*LN(F952))*COS(2*PI()*G952),"")</f>
        <v/>
      </c>
      <c r="I952">
        <f>IF(B952,IF(D952=0,H952,Rho*I951+SQRT(1-Rho^2)*H952),"")</f>
        <v/>
      </c>
      <c r="J952">
        <f>IF(B952,IF(Dist="Normal",DistA+DistB*I952,DistA+(DistB-DistA)*NORMSDIST(I952)),"")</f>
        <v/>
      </c>
      <c r="K952">
        <f>IF(B952,INDEX(MineScale,C952),"")</f>
        <v/>
      </c>
      <c r="L952">
        <f>IF(B952,INDEX(Dow,1,WEEKDAY(E952,2)),"")</f>
        <v/>
      </c>
      <c r="M952">
        <f>IF(B952,(1+Trend)^D952,"")</f>
        <v/>
      </c>
      <c r="N952">
        <f>IF(B952,EXP(SUMPRODUCT(LN(1+(EvEff-1)*INDEX(Affected,0,C952)*EXP(-((E952-EvCenter)^2)/(2*EvSigma^2))))),"")</f>
        <v/>
      </c>
      <c r="O952">
        <f>IF(B952,ROUND(MAX(0,J952*K952*L952*M952*N952),2),"")</f>
        <v/>
      </c>
    </row>
    <row r="953">
      <c r="A953" t="n">
        <v>952</v>
      </c>
      <c r="B953">
        <f>A953&lt;=MineCount*Days</f>
        <v/>
      </c>
      <c r="C953">
        <f>IF(B953,INT((A953-1)/Days)+1,"")</f>
        <v/>
      </c>
      <c r="D953">
        <f>IF(B953,MOD(A953-1,Days),"")</f>
        <v/>
      </c>
      <c r="E953" s="16">
        <f>IF(B953,StartDate+D953,"")</f>
        <v/>
      </c>
      <c r="F953">
        <f>IF(B953,MAX(MOD(SIN(Seed*0.1373+C953*12.9898+D953*78.233)*43758.5453,1),1E-9),"")</f>
        <v/>
      </c>
      <c r="G953">
        <f>IF(B953,MOD(SIN(Seed*0.5917+C953*39.3468+D953*11.135)*24634.6345,1),"")</f>
        <v/>
      </c>
      <c r="H953">
        <f>IF(B953,SQRT(-2*LN(F953))*COS(2*PI()*G953),"")</f>
        <v/>
      </c>
      <c r="I953">
        <f>IF(B953,IF(D953=0,H953,Rho*I952+SQRT(1-Rho^2)*H953),"")</f>
        <v/>
      </c>
      <c r="J953">
        <f>IF(B953,IF(Dist="Normal",DistA+DistB*I953,DistA+(DistB-DistA)*NORMSDIST(I953)),"")</f>
        <v/>
      </c>
      <c r="K953">
        <f>IF(B953,INDEX(MineScale,C953),"")</f>
        <v/>
      </c>
      <c r="L953">
        <f>IF(B953,INDEX(Dow,1,WEEKDAY(E953,2)),"")</f>
        <v/>
      </c>
      <c r="M953">
        <f>IF(B953,(1+Trend)^D953,"")</f>
        <v/>
      </c>
      <c r="N953">
        <f>IF(B953,EXP(SUMPRODUCT(LN(1+(EvEff-1)*INDEX(Affected,0,C953)*EXP(-((E953-EvCenter)^2)/(2*EvSigma^2))))),"")</f>
        <v/>
      </c>
      <c r="O953">
        <f>IF(B953,ROUND(MAX(0,J953*K953*L953*M953*N953),2),"")</f>
        <v/>
      </c>
    </row>
    <row r="954">
      <c r="A954" t="n">
        <v>953</v>
      </c>
      <c r="B954">
        <f>A954&lt;=MineCount*Days</f>
        <v/>
      </c>
      <c r="C954">
        <f>IF(B954,INT((A954-1)/Days)+1,"")</f>
        <v/>
      </c>
      <c r="D954">
        <f>IF(B954,MOD(A954-1,Days),"")</f>
        <v/>
      </c>
      <c r="E954" s="16">
        <f>IF(B954,StartDate+D954,"")</f>
        <v/>
      </c>
      <c r="F954">
        <f>IF(B954,MAX(MOD(SIN(Seed*0.1373+C954*12.9898+D954*78.233)*43758.5453,1),1E-9),"")</f>
        <v/>
      </c>
      <c r="G954">
        <f>IF(B954,MOD(SIN(Seed*0.5917+C954*39.3468+D954*11.135)*24634.6345,1),"")</f>
        <v/>
      </c>
      <c r="H954">
        <f>IF(B954,SQRT(-2*LN(F954))*COS(2*PI()*G954),"")</f>
        <v/>
      </c>
      <c r="I954">
        <f>IF(B954,IF(D954=0,H954,Rho*I953+SQRT(1-Rho^2)*H954),"")</f>
        <v/>
      </c>
      <c r="J954">
        <f>IF(B954,IF(Dist="Normal",DistA+DistB*I954,DistA+(DistB-DistA)*NORMSDIST(I954)),"")</f>
        <v/>
      </c>
      <c r="K954">
        <f>IF(B954,INDEX(MineScale,C954),"")</f>
        <v/>
      </c>
      <c r="L954">
        <f>IF(B954,INDEX(Dow,1,WEEKDAY(E954,2)),"")</f>
        <v/>
      </c>
      <c r="M954">
        <f>IF(B954,(1+Trend)^D954,"")</f>
        <v/>
      </c>
      <c r="N954">
        <f>IF(B954,EXP(SUMPRODUCT(LN(1+(EvEff-1)*INDEX(Affected,0,C954)*EXP(-((E954-EvCenter)^2)/(2*EvSigma^2))))),"")</f>
        <v/>
      </c>
      <c r="O954">
        <f>IF(B954,ROUND(MAX(0,J954*K954*L954*M954*N954),2),"")</f>
        <v/>
      </c>
    </row>
    <row r="955">
      <c r="A955" t="n">
        <v>954</v>
      </c>
      <c r="B955">
        <f>A955&lt;=MineCount*Days</f>
        <v/>
      </c>
      <c r="C955">
        <f>IF(B955,INT((A955-1)/Days)+1,"")</f>
        <v/>
      </c>
      <c r="D955">
        <f>IF(B955,MOD(A955-1,Days),"")</f>
        <v/>
      </c>
      <c r="E955" s="16">
        <f>IF(B955,StartDate+D955,"")</f>
        <v/>
      </c>
      <c r="F955">
        <f>IF(B955,MAX(MOD(SIN(Seed*0.1373+C955*12.9898+D955*78.233)*43758.5453,1),1E-9),"")</f>
        <v/>
      </c>
      <c r="G955">
        <f>IF(B955,MOD(SIN(Seed*0.5917+C955*39.3468+D955*11.135)*24634.6345,1),"")</f>
        <v/>
      </c>
      <c r="H955">
        <f>IF(B955,SQRT(-2*LN(F955))*COS(2*PI()*G955),"")</f>
        <v/>
      </c>
      <c r="I955">
        <f>IF(B955,IF(D955=0,H955,Rho*I954+SQRT(1-Rho^2)*H955),"")</f>
        <v/>
      </c>
      <c r="J955">
        <f>IF(B955,IF(Dist="Normal",DistA+DistB*I955,DistA+(DistB-DistA)*NORMSDIST(I955)),"")</f>
        <v/>
      </c>
      <c r="K955">
        <f>IF(B955,INDEX(MineScale,C955),"")</f>
        <v/>
      </c>
      <c r="L955">
        <f>IF(B955,INDEX(Dow,1,WEEKDAY(E955,2)),"")</f>
        <v/>
      </c>
      <c r="M955">
        <f>IF(B955,(1+Trend)^D955,"")</f>
        <v/>
      </c>
      <c r="N955">
        <f>IF(B955,EXP(SUMPRODUCT(LN(1+(EvEff-1)*INDEX(Affected,0,C955)*EXP(-((E955-EvCenter)^2)/(2*EvSigma^2))))),"")</f>
        <v/>
      </c>
      <c r="O955">
        <f>IF(B955,ROUND(MAX(0,J955*K955*L955*M955*N955),2),"")</f>
        <v/>
      </c>
    </row>
    <row r="956">
      <c r="A956" t="n">
        <v>955</v>
      </c>
      <c r="B956">
        <f>A956&lt;=MineCount*Days</f>
        <v/>
      </c>
      <c r="C956">
        <f>IF(B956,INT((A956-1)/Days)+1,"")</f>
        <v/>
      </c>
      <c r="D956">
        <f>IF(B956,MOD(A956-1,Days),"")</f>
        <v/>
      </c>
      <c r="E956" s="16">
        <f>IF(B956,StartDate+D956,"")</f>
        <v/>
      </c>
      <c r="F956">
        <f>IF(B956,MAX(MOD(SIN(Seed*0.1373+C956*12.9898+D956*78.233)*43758.5453,1),1E-9),"")</f>
        <v/>
      </c>
      <c r="G956">
        <f>IF(B956,MOD(SIN(Seed*0.5917+C956*39.3468+D956*11.135)*24634.6345,1),"")</f>
        <v/>
      </c>
      <c r="H956">
        <f>IF(B956,SQRT(-2*LN(F956))*COS(2*PI()*G956),"")</f>
        <v/>
      </c>
      <c r="I956">
        <f>IF(B956,IF(D956=0,H956,Rho*I955+SQRT(1-Rho^2)*H956),"")</f>
        <v/>
      </c>
      <c r="J956">
        <f>IF(B956,IF(Dist="Normal",DistA+DistB*I956,DistA+(DistB-DistA)*NORMSDIST(I956)),"")</f>
        <v/>
      </c>
      <c r="K956">
        <f>IF(B956,INDEX(MineScale,C956),"")</f>
        <v/>
      </c>
      <c r="L956">
        <f>IF(B956,INDEX(Dow,1,WEEKDAY(E956,2)),"")</f>
        <v/>
      </c>
      <c r="M956">
        <f>IF(B956,(1+Trend)^D956,"")</f>
        <v/>
      </c>
      <c r="N956">
        <f>IF(B956,EXP(SUMPRODUCT(LN(1+(EvEff-1)*INDEX(Affected,0,C956)*EXP(-((E956-EvCenter)^2)/(2*EvSigma^2))))),"")</f>
        <v/>
      </c>
      <c r="O956">
        <f>IF(B956,ROUND(MAX(0,J956*K956*L956*M956*N956),2),"")</f>
        <v/>
      </c>
    </row>
    <row r="957">
      <c r="A957" t="n">
        <v>956</v>
      </c>
      <c r="B957">
        <f>A957&lt;=MineCount*Days</f>
        <v/>
      </c>
      <c r="C957">
        <f>IF(B957,INT((A957-1)/Days)+1,"")</f>
        <v/>
      </c>
      <c r="D957">
        <f>IF(B957,MOD(A957-1,Days),"")</f>
        <v/>
      </c>
      <c r="E957" s="16">
        <f>IF(B957,StartDate+D957,"")</f>
        <v/>
      </c>
      <c r="F957">
        <f>IF(B957,MAX(MOD(SIN(Seed*0.1373+C957*12.9898+D957*78.233)*43758.5453,1),1E-9),"")</f>
        <v/>
      </c>
      <c r="G957">
        <f>IF(B957,MOD(SIN(Seed*0.5917+C957*39.3468+D957*11.135)*24634.6345,1),"")</f>
        <v/>
      </c>
      <c r="H957">
        <f>IF(B957,SQRT(-2*LN(F957))*COS(2*PI()*G957),"")</f>
        <v/>
      </c>
      <c r="I957">
        <f>IF(B957,IF(D957=0,H957,Rho*I956+SQRT(1-Rho^2)*H957),"")</f>
        <v/>
      </c>
      <c r="J957">
        <f>IF(B957,IF(Dist="Normal",DistA+DistB*I957,DistA+(DistB-DistA)*NORMSDIST(I957)),"")</f>
        <v/>
      </c>
      <c r="K957">
        <f>IF(B957,INDEX(MineScale,C957),"")</f>
        <v/>
      </c>
      <c r="L957">
        <f>IF(B957,INDEX(Dow,1,WEEKDAY(E957,2)),"")</f>
        <v/>
      </c>
      <c r="M957">
        <f>IF(B957,(1+Trend)^D957,"")</f>
        <v/>
      </c>
      <c r="N957">
        <f>IF(B957,EXP(SUMPRODUCT(LN(1+(EvEff-1)*INDEX(Affected,0,C957)*EXP(-((E957-EvCenter)^2)/(2*EvSigma^2))))),"")</f>
        <v/>
      </c>
      <c r="O957">
        <f>IF(B957,ROUND(MAX(0,J957*K957*L957*M957*N957),2),"")</f>
        <v/>
      </c>
    </row>
    <row r="958">
      <c r="A958" t="n">
        <v>957</v>
      </c>
      <c r="B958">
        <f>A958&lt;=MineCount*Days</f>
        <v/>
      </c>
      <c r="C958">
        <f>IF(B958,INT((A958-1)/Days)+1,"")</f>
        <v/>
      </c>
      <c r="D958">
        <f>IF(B958,MOD(A958-1,Days),"")</f>
        <v/>
      </c>
      <c r="E958" s="16">
        <f>IF(B958,StartDate+D958,"")</f>
        <v/>
      </c>
      <c r="F958">
        <f>IF(B958,MAX(MOD(SIN(Seed*0.1373+C958*12.9898+D958*78.233)*43758.5453,1),1E-9),"")</f>
        <v/>
      </c>
      <c r="G958">
        <f>IF(B958,MOD(SIN(Seed*0.5917+C958*39.3468+D958*11.135)*24634.6345,1),"")</f>
        <v/>
      </c>
      <c r="H958">
        <f>IF(B958,SQRT(-2*LN(F958))*COS(2*PI()*G958),"")</f>
        <v/>
      </c>
      <c r="I958">
        <f>IF(B958,IF(D958=0,H958,Rho*I957+SQRT(1-Rho^2)*H958),"")</f>
        <v/>
      </c>
      <c r="J958">
        <f>IF(B958,IF(Dist="Normal",DistA+DistB*I958,DistA+(DistB-DistA)*NORMSDIST(I958)),"")</f>
        <v/>
      </c>
      <c r="K958">
        <f>IF(B958,INDEX(MineScale,C958),"")</f>
        <v/>
      </c>
      <c r="L958">
        <f>IF(B958,INDEX(Dow,1,WEEKDAY(E958,2)),"")</f>
        <v/>
      </c>
      <c r="M958">
        <f>IF(B958,(1+Trend)^D958,"")</f>
        <v/>
      </c>
      <c r="N958">
        <f>IF(B958,EXP(SUMPRODUCT(LN(1+(EvEff-1)*INDEX(Affected,0,C958)*EXP(-((E958-EvCenter)^2)/(2*EvSigma^2))))),"")</f>
        <v/>
      </c>
      <c r="O958">
        <f>IF(B958,ROUND(MAX(0,J958*K958*L958*M958*N958),2),"")</f>
        <v/>
      </c>
    </row>
    <row r="959">
      <c r="A959" t="n">
        <v>958</v>
      </c>
      <c r="B959">
        <f>A959&lt;=MineCount*Days</f>
        <v/>
      </c>
      <c r="C959">
        <f>IF(B959,INT((A959-1)/Days)+1,"")</f>
        <v/>
      </c>
      <c r="D959">
        <f>IF(B959,MOD(A959-1,Days),"")</f>
        <v/>
      </c>
      <c r="E959" s="16">
        <f>IF(B959,StartDate+D959,"")</f>
        <v/>
      </c>
      <c r="F959">
        <f>IF(B959,MAX(MOD(SIN(Seed*0.1373+C959*12.9898+D959*78.233)*43758.5453,1),1E-9),"")</f>
        <v/>
      </c>
      <c r="G959">
        <f>IF(B959,MOD(SIN(Seed*0.5917+C959*39.3468+D959*11.135)*24634.6345,1),"")</f>
        <v/>
      </c>
      <c r="H959">
        <f>IF(B959,SQRT(-2*LN(F959))*COS(2*PI()*G959),"")</f>
        <v/>
      </c>
      <c r="I959">
        <f>IF(B959,IF(D959=0,H959,Rho*I958+SQRT(1-Rho^2)*H959),"")</f>
        <v/>
      </c>
      <c r="J959">
        <f>IF(B959,IF(Dist="Normal",DistA+DistB*I959,DistA+(DistB-DistA)*NORMSDIST(I959)),"")</f>
        <v/>
      </c>
      <c r="K959">
        <f>IF(B959,INDEX(MineScale,C959),"")</f>
        <v/>
      </c>
      <c r="L959">
        <f>IF(B959,INDEX(Dow,1,WEEKDAY(E959,2)),"")</f>
        <v/>
      </c>
      <c r="M959">
        <f>IF(B959,(1+Trend)^D959,"")</f>
        <v/>
      </c>
      <c r="N959">
        <f>IF(B959,EXP(SUMPRODUCT(LN(1+(EvEff-1)*INDEX(Affected,0,C959)*EXP(-((E959-EvCenter)^2)/(2*EvSigma^2))))),"")</f>
        <v/>
      </c>
      <c r="O959">
        <f>IF(B959,ROUND(MAX(0,J959*K959*L959*M959*N959),2),"")</f>
        <v/>
      </c>
    </row>
    <row r="960">
      <c r="A960" t="n">
        <v>959</v>
      </c>
      <c r="B960">
        <f>A960&lt;=MineCount*Days</f>
        <v/>
      </c>
      <c r="C960">
        <f>IF(B960,INT((A960-1)/Days)+1,"")</f>
        <v/>
      </c>
      <c r="D960">
        <f>IF(B960,MOD(A960-1,Days),"")</f>
        <v/>
      </c>
      <c r="E960" s="16">
        <f>IF(B960,StartDate+D960,"")</f>
        <v/>
      </c>
      <c r="F960">
        <f>IF(B960,MAX(MOD(SIN(Seed*0.1373+C960*12.9898+D960*78.233)*43758.5453,1),1E-9),"")</f>
        <v/>
      </c>
      <c r="G960">
        <f>IF(B960,MOD(SIN(Seed*0.5917+C960*39.3468+D960*11.135)*24634.6345,1),"")</f>
        <v/>
      </c>
      <c r="H960">
        <f>IF(B960,SQRT(-2*LN(F960))*COS(2*PI()*G960),"")</f>
        <v/>
      </c>
      <c r="I960">
        <f>IF(B960,IF(D960=0,H960,Rho*I959+SQRT(1-Rho^2)*H960),"")</f>
        <v/>
      </c>
      <c r="J960">
        <f>IF(B960,IF(Dist="Normal",DistA+DistB*I960,DistA+(DistB-DistA)*NORMSDIST(I960)),"")</f>
        <v/>
      </c>
      <c r="K960">
        <f>IF(B960,INDEX(MineScale,C960),"")</f>
        <v/>
      </c>
      <c r="L960">
        <f>IF(B960,INDEX(Dow,1,WEEKDAY(E960,2)),"")</f>
        <v/>
      </c>
      <c r="M960">
        <f>IF(B960,(1+Trend)^D960,"")</f>
        <v/>
      </c>
      <c r="N960">
        <f>IF(B960,EXP(SUMPRODUCT(LN(1+(EvEff-1)*INDEX(Affected,0,C960)*EXP(-((E960-EvCenter)^2)/(2*EvSigma^2))))),"")</f>
        <v/>
      </c>
      <c r="O960">
        <f>IF(B960,ROUND(MAX(0,J960*K960*L960*M960*N960),2),"")</f>
        <v/>
      </c>
    </row>
    <row r="961">
      <c r="A961" t="n">
        <v>960</v>
      </c>
      <c r="B961">
        <f>A961&lt;=MineCount*Days</f>
        <v/>
      </c>
      <c r="C961">
        <f>IF(B961,INT((A961-1)/Days)+1,"")</f>
        <v/>
      </c>
      <c r="D961">
        <f>IF(B961,MOD(A961-1,Days),"")</f>
        <v/>
      </c>
      <c r="E961" s="16">
        <f>IF(B961,StartDate+D961,"")</f>
        <v/>
      </c>
      <c r="F961">
        <f>IF(B961,MAX(MOD(SIN(Seed*0.1373+C961*12.9898+D961*78.233)*43758.5453,1),1E-9),"")</f>
        <v/>
      </c>
      <c r="G961">
        <f>IF(B961,MOD(SIN(Seed*0.5917+C961*39.3468+D961*11.135)*24634.6345,1),"")</f>
        <v/>
      </c>
      <c r="H961">
        <f>IF(B961,SQRT(-2*LN(F961))*COS(2*PI()*G961),"")</f>
        <v/>
      </c>
      <c r="I961">
        <f>IF(B961,IF(D961=0,H961,Rho*I960+SQRT(1-Rho^2)*H961),"")</f>
        <v/>
      </c>
      <c r="J961">
        <f>IF(B961,IF(Dist="Normal",DistA+DistB*I961,DistA+(DistB-DistA)*NORMSDIST(I961)),"")</f>
        <v/>
      </c>
      <c r="K961">
        <f>IF(B961,INDEX(MineScale,C961),"")</f>
        <v/>
      </c>
      <c r="L961">
        <f>IF(B961,INDEX(Dow,1,WEEKDAY(E961,2)),"")</f>
        <v/>
      </c>
      <c r="M961">
        <f>IF(B961,(1+Trend)^D961,"")</f>
        <v/>
      </c>
      <c r="N961">
        <f>IF(B961,EXP(SUMPRODUCT(LN(1+(EvEff-1)*INDEX(Affected,0,C961)*EXP(-((E961-EvCenter)^2)/(2*EvSigma^2))))),"")</f>
        <v/>
      </c>
      <c r="O961">
        <f>IF(B961,ROUND(MAX(0,J961*K961*L961*M961*N961),2),"")</f>
        <v/>
      </c>
    </row>
    <row r="962">
      <c r="A962" t="n">
        <v>961</v>
      </c>
      <c r="B962">
        <f>A962&lt;=MineCount*Days</f>
        <v/>
      </c>
      <c r="C962">
        <f>IF(B962,INT((A962-1)/Days)+1,"")</f>
        <v/>
      </c>
      <c r="D962">
        <f>IF(B962,MOD(A962-1,Days),"")</f>
        <v/>
      </c>
      <c r="E962" s="16">
        <f>IF(B962,StartDate+D962,"")</f>
        <v/>
      </c>
      <c r="F962">
        <f>IF(B962,MAX(MOD(SIN(Seed*0.1373+C962*12.9898+D962*78.233)*43758.5453,1),1E-9),"")</f>
        <v/>
      </c>
      <c r="G962">
        <f>IF(B962,MOD(SIN(Seed*0.5917+C962*39.3468+D962*11.135)*24634.6345,1),"")</f>
        <v/>
      </c>
      <c r="H962">
        <f>IF(B962,SQRT(-2*LN(F962))*COS(2*PI()*G962),"")</f>
        <v/>
      </c>
      <c r="I962">
        <f>IF(B962,IF(D962=0,H962,Rho*I961+SQRT(1-Rho^2)*H962),"")</f>
        <v/>
      </c>
      <c r="J962">
        <f>IF(B962,IF(Dist="Normal",DistA+DistB*I962,DistA+(DistB-DistA)*NORMSDIST(I962)),"")</f>
        <v/>
      </c>
      <c r="K962">
        <f>IF(B962,INDEX(MineScale,C962),"")</f>
        <v/>
      </c>
      <c r="L962">
        <f>IF(B962,INDEX(Dow,1,WEEKDAY(E962,2)),"")</f>
        <v/>
      </c>
      <c r="M962">
        <f>IF(B962,(1+Trend)^D962,"")</f>
        <v/>
      </c>
      <c r="N962">
        <f>IF(B962,EXP(SUMPRODUCT(LN(1+(EvEff-1)*INDEX(Affected,0,C962)*EXP(-((E962-EvCenter)^2)/(2*EvSigma^2))))),"")</f>
        <v/>
      </c>
      <c r="O962">
        <f>IF(B962,ROUND(MAX(0,J962*K962*L962*M962*N962),2),"")</f>
        <v/>
      </c>
    </row>
    <row r="963">
      <c r="A963" t="n">
        <v>962</v>
      </c>
      <c r="B963">
        <f>A963&lt;=MineCount*Days</f>
        <v/>
      </c>
      <c r="C963">
        <f>IF(B963,INT((A963-1)/Days)+1,"")</f>
        <v/>
      </c>
      <c r="D963">
        <f>IF(B963,MOD(A963-1,Days),"")</f>
        <v/>
      </c>
      <c r="E963" s="16">
        <f>IF(B963,StartDate+D963,"")</f>
        <v/>
      </c>
      <c r="F963">
        <f>IF(B963,MAX(MOD(SIN(Seed*0.1373+C963*12.9898+D963*78.233)*43758.5453,1),1E-9),"")</f>
        <v/>
      </c>
      <c r="G963">
        <f>IF(B963,MOD(SIN(Seed*0.5917+C963*39.3468+D963*11.135)*24634.6345,1),"")</f>
        <v/>
      </c>
      <c r="H963">
        <f>IF(B963,SQRT(-2*LN(F963))*COS(2*PI()*G963),"")</f>
        <v/>
      </c>
      <c r="I963">
        <f>IF(B963,IF(D963=0,H963,Rho*I962+SQRT(1-Rho^2)*H963),"")</f>
        <v/>
      </c>
      <c r="J963">
        <f>IF(B963,IF(Dist="Normal",DistA+DistB*I963,DistA+(DistB-DistA)*NORMSDIST(I963)),"")</f>
        <v/>
      </c>
      <c r="K963">
        <f>IF(B963,INDEX(MineScale,C963),"")</f>
        <v/>
      </c>
      <c r="L963">
        <f>IF(B963,INDEX(Dow,1,WEEKDAY(E963,2)),"")</f>
        <v/>
      </c>
      <c r="M963">
        <f>IF(B963,(1+Trend)^D963,"")</f>
        <v/>
      </c>
      <c r="N963">
        <f>IF(B963,EXP(SUMPRODUCT(LN(1+(EvEff-1)*INDEX(Affected,0,C963)*EXP(-((E963-EvCenter)^2)/(2*EvSigma^2))))),"")</f>
        <v/>
      </c>
      <c r="O963">
        <f>IF(B963,ROUND(MAX(0,J963*K963*L963*M963*N963),2),"")</f>
        <v/>
      </c>
    </row>
    <row r="964">
      <c r="A964" t="n">
        <v>963</v>
      </c>
      <c r="B964">
        <f>A964&lt;=MineCount*Days</f>
        <v/>
      </c>
      <c r="C964">
        <f>IF(B964,INT((A964-1)/Days)+1,"")</f>
        <v/>
      </c>
      <c r="D964">
        <f>IF(B964,MOD(A964-1,Days),"")</f>
        <v/>
      </c>
      <c r="E964" s="16">
        <f>IF(B964,StartDate+D964,"")</f>
        <v/>
      </c>
      <c r="F964">
        <f>IF(B964,MAX(MOD(SIN(Seed*0.1373+C964*12.9898+D964*78.233)*43758.5453,1),1E-9),"")</f>
        <v/>
      </c>
      <c r="G964">
        <f>IF(B964,MOD(SIN(Seed*0.5917+C964*39.3468+D964*11.135)*24634.6345,1),"")</f>
        <v/>
      </c>
      <c r="H964">
        <f>IF(B964,SQRT(-2*LN(F964))*COS(2*PI()*G964),"")</f>
        <v/>
      </c>
      <c r="I964">
        <f>IF(B964,IF(D964=0,H964,Rho*I963+SQRT(1-Rho^2)*H964),"")</f>
        <v/>
      </c>
      <c r="J964">
        <f>IF(B964,IF(Dist="Normal",DistA+DistB*I964,DistA+(DistB-DistA)*NORMSDIST(I964)),"")</f>
        <v/>
      </c>
      <c r="K964">
        <f>IF(B964,INDEX(MineScale,C964),"")</f>
        <v/>
      </c>
      <c r="L964">
        <f>IF(B964,INDEX(Dow,1,WEEKDAY(E964,2)),"")</f>
        <v/>
      </c>
      <c r="M964">
        <f>IF(B964,(1+Trend)^D964,"")</f>
        <v/>
      </c>
      <c r="N964">
        <f>IF(B964,EXP(SUMPRODUCT(LN(1+(EvEff-1)*INDEX(Affected,0,C964)*EXP(-((E964-EvCenter)^2)/(2*EvSigma^2))))),"")</f>
        <v/>
      </c>
      <c r="O964">
        <f>IF(B964,ROUND(MAX(0,J964*K964*L964*M964*N964),2),"")</f>
        <v/>
      </c>
    </row>
    <row r="965">
      <c r="A965" t="n">
        <v>964</v>
      </c>
      <c r="B965">
        <f>A965&lt;=MineCount*Days</f>
        <v/>
      </c>
      <c r="C965">
        <f>IF(B965,INT((A965-1)/Days)+1,"")</f>
        <v/>
      </c>
      <c r="D965">
        <f>IF(B965,MOD(A965-1,Days),"")</f>
        <v/>
      </c>
      <c r="E965" s="16">
        <f>IF(B965,StartDate+D965,"")</f>
        <v/>
      </c>
      <c r="F965">
        <f>IF(B965,MAX(MOD(SIN(Seed*0.1373+C965*12.9898+D965*78.233)*43758.5453,1),1E-9),"")</f>
        <v/>
      </c>
      <c r="G965">
        <f>IF(B965,MOD(SIN(Seed*0.5917+C965*39.3468+D965*11.135)*24634.6345,1),"")</f>
        <v/>
      </c>
      <c r="H965">
        <f>IF(B965,SQRT(-2*LN(F965))*COS(2*PI()*G965),"")</f>
        <v/>
      </c>
      <c r="I965">
        <f>IF(B965,IF(D965=0,H965,Rho*I964+SQRT(1-Rho^2)*H965),"")</f>
        <v/>
      </c>
      <c r="J965">
        <f>IF(B965,IF(Dist="Normal",DistA+DistB*I965,DistA+(DistB-DistA)*NORMSDIST(I965)),"")</f>
        <v/>
      </c>
      <c r="K965">
        <f>IF(B965,INDEX(MineScale,C965),"")</f>
        <v/>
      </c>
      <c r="L965">
        <f>IF(B965,INDEX(Dow,1,WEEKDAY(E965,2)),"")</f>
        <v/>
      </c>
      <c r="M965">
        <f>IF(B965,(1+Trend)^D965,"")</f>
        <v/>
      </c>
      <c r="N965">
        <f>IF(B965,EXP(SUMPRODUCT(LN(1+(EvEff-1)*INDEX(Affected,0,C965)*EXP(-((E965-EvCenter)^2)/(2*EvSigma^2))))),"")</f>
        <v/>
      </c>
      <c r="O965">
        <f>IF(B965,ROUND(MAX(0,J965*K965*L965*M965*N965),2),"")</f>
        <v/>
      </c>
    </row>
    <row r="966">
      <c r="A966" t="n">
        <v>965</v>
      </c>
      <c r="B966">
        <f>A966&lt;=MineCount*Days</f>
        <v/>
      </c>
      <c r="C966">
        <f>IF(B966,INT((A966-1)/Days)+1,"")</f>
        <v/>
      </c>
      <c r="D966">
        <f>IF(B966,MOD(A966-1,Days),"")</f>
        <v/>
      </c>
      <c r="E966" s="16">
        <f>IF(B966,StartDate+D966,"")</f>
        <v/>
      </c>
      <c r="F966">
        <f>IF(B966,MAX(MOD(SIN(Seed*0.1373+C966*12.9898+D966*78.233)*43758.5453,1),1E-9),"")</f>
        <v/>
      </c>
      <c r="G966">
        <f>IF(B966,MOD(SIN(Seed*0.5917+C966*39.3468+D966*11.135)*24634.6345,1),"")</f>
        <v/>
      </c>
      <c r="H966">
        <f>IF(B966,SQRT(-2*LN(F966))*COS(2*PI()*G966),"")</f>
        <v/>
      </c>
      <c r="I966">
        <f>IF(B966,IF(D966=0,H966,Rho*I965+SQRT(1-Rho^2)*H966),"")</f>
        <v/>
      </c>
      <c r="J966">
        <f>IF(B966,IF(Dist="Normal",DistA+DistB*I966,DistA+(DistB-DistA)*NORMSDIST(I966)),"")</f>
        <v/>
      </c>
      <c r="K966">
        <f>IF(B966,INDEX(MineScale,C966),"")</f>
        <v/>
      </c>
      <c r="L966">
        <f>IF(B966,INDEX(Dow,1,WEEKDAY(E966,2)),"")</f>
        <v/>
      </c>
      <c r="M966">
        <f>IF(B966,(1+Trend)^D966,"")</f>
        <v/>
      </c>
      <c r="N966">
        <f>IF(B966,EXP(SUMPRODUCT(LN(1+(EvEff-1)*INDEX(Affected,0,C966)*EXP(-((E966-EvCenter)^2)/(2*EvSigma^2))))),"")</f>
        <v/>
      </c>
      <c r="O966">
        <f>IF(B966,ROUND(MAX(0,J966*K966*L966*M966*N966),2),"")</f>
        <v/>
      </c>
    </row>
    <row r="967">
      <c r="A967" t="n">
        <v>966</v>
      </c>
      <c r="B967">
        <f>A967&lt;=MineCount*Days</f>
        <v/>
      </c>
      <c r="C967">
        <f>IF(B967,INT((A967-1)/Days)+1,"")</f>
        <v/>
      </c>
      <c r="D967">
        <f>IF(B967,MOD(A967-1,Days),"")</f>
        <v/>
      </c>
      <c r="E967" s="16">
        <f>IF(B967,StartDate+D967,"")</f>
        <v/>
      </c>
      <c r="F967">
        <f>IF(B967,MAX(MOD(SIN(Seed*0.1373+C967*12.9898+D967*78.233)*43758.5453,1),1E-9),"")</f>
        <v/>
      </c>
      <c r="G967">
        <f>IF(B967,MOD(SIN(Seed*0.5917+C967*39.3468+D967*11.135)*24634.6345,1),"")</f>
        <v/>
      </c>
      <c r="H967">
        <f>IF(B967,SQRT(-2*LN(F967))*COS(2*PI()*G967),"")</f>
        <v/>
      </c>
      <c r="I967">
        <f>IF(B967,IF(D967=0,H967,Rho*I966+SQRT(1-Rho^2)*H967),"")</f>
        <v/>
      </c>
      <c r="J967">
        <f>IF(B967,IF(Dist="Normal",DistA+DistB*I967,DistA+(DistB-DistA)*NORMSDIST(I967)),"")</f>
        <v/>
      </c>
      <c r="K967">
        <f>IF(B967,INDEX(MineScale,C967),"")</f>
        <v/>
      </c>
      <c r="L967">
        <f>IF(B967,INDEX(Dow,1,WEEKDAY(E967,2)),"")</f>
        <v/>
      </c>
      <c r="M967">
        <f>IF(B967,(1+Trend)^D967,"")</f>
        <v/>
      </c>
      <c r="N967">
        <f>IF(B967,EXP(SUMPRODUCT(LN(1+(EvEff-1)*INDEX(Affected,0,C967)*EXP(-((E967-EvCenter)^2)/(2*EvSigma^2))))),"")</f>
        <v/>
      </c>
      <c r="O967">
        <f>IF(B967,ROUND(MAX(0,J967*K967*L967*M967*N967),2),"")</f>
        <v/>
      </c>
    </row>
    <row r="968">
      <c r="A968" t="n">
        <v>967</v>
      </c>
      <c r="B968">
        <f>A968&lt;=MineCount*Days</f>
        <v/>
      </c>
      <c r="C968">
        <f>IF(B968,INT((A968-1)/Days)+1,"")</f>
        <v/>
      </c>
      <c r="D968">
        <f>IF(B968,MOD(A968-1,Days),"")</f>
        <v/>
      </c>
      <c r="E968" s="16">
        <f>IF(B968,StartDate+D968,"")</f>
        <v/>
      </c>
      <c r="F968">
        <f>IF(B968,MAX(MOD(SIN(Seed*0.1373+C968*12.9898+D968*78.233)*43758.5453,1),1E-9),"")</f>
        <v/>
      </c>
      <c r="G968">
        <f>IF(B968,MOD(SIN(Seed*0.5917+C968*39.3468+D968*11.135)*24634.6345,1),"")</f>
        <v/>
      </c>
      <c r="H968">
        <f>IF(B968,SQRT(-2*LN(F968))*COS(2*PI()*G968),"")</f>
        <v/>
      </c>
      <c r="I968">
        <f>IF(B968,IF(D968=0,H968,Rho*I967+SQRT(1-Rho^2)*H968),"")</f>
        <v/>
      </c>
      <c r="J968">
        <f>IF(B968,IF(Dist="Normal",DistA+DistB*I968,DistA+(DistB-DistA)*NORMSDIST(I968)),"")</f>
        <v/>
      </c>
      <c r="K968">
        <f>IF(B968,INDEX(MineScale,C968),"")</f>
        <v/>
      </c>
      <c r="L968">
        <f>IF(B968,INDEX(Dow,1,WEEKDAY(E968,2)),"")</f>
        <v/>
      </c>
      <c r="M968">
        <f>IF(B968,(1+Trend)^D968,"")</f>
        <v/>
      </c>
      <c r="N968">
        <f>IF(B968,EXP(SUMPRODUCT(LN(1+(EvEff-1)*INDEX(Affected,0,C968)*EXP(-((E968-EvCenter)^2)/(2*EvSigma^2))))),"")</f>
        <v/>
      </c>
      <c r="O968">
        <f>IF(B968,ROUND(MAX(0,J968*K968*L968*M968*N968),2),"")</f>
        <v/>
      </c>
    </row>
    <row r="969">
      <c r="A969" t="n">
        <v>968</v>
      </c>
      <c r="B969">
        <f>A969&lt;=MineCount*Days</f>
        <v/>
      </c>
      <c r="C969">
        <f>IF(B969,INT((A969-1)/Days)+1,"")</f>
        <v/>
      </c>
      <c r="D969">
        <f>IF(B969,MOD(A969-1,Days),"")</f>
        <v/>
      </c>
      <c r="E969" s="16">
        <f>IF(B969,StartDate+D969,"")</f>
        <v/>
      </c>
      <c r="F969">
        <f>IF(B969,MAX(MOD(SIN(Seed*0.1373+C969*12.9898+D969*78.233)*43758.5453,1),1E-9),"")</f>
        <v/>
      </c>
      <c r="G969">
        <f>IF(B969,MOD(SIN(Seed*0.5917+C969*39.3468+D969*11.135)*24634.6345,1),"")</f>
        <v/>
      </c>
      <c r="H969">
        <f>IF(B969,SQRT(-2*LN(F969))*COS(2*PI()*G969),"")</f>
        <v/>
      </c>
      <c r="I969">
        <f>IF(B969,IF(D969=0,H969,Rho*I968+SQRT(1-Rho^2)*H969),"")</f>
        <v/>
      </c>
      <c r="J969">
        <f>IF(B969,IF(Dist="Normal",DistA+DistB*I969,DistA+(DistB-DistA)*NORMSDIST(I969)),"")</f>
        <v/>
      </c>
      <c r="K969">
        <f>IF(B969,INDEX(MineScale,C969),"")</f>
        <v/>
      </c>
      <c r="L969">
        <f>IF(B969,INDEX(Dow,1,WEEKDAY(E969,2)),"")</f>
        <v/>
      </c>
      <c r="M969">
        <f>IF(B969,(1+Trend)^D969,"")</f>
        <v/>
      </c>
      <c r="N969">
        <f>IF(B969,EXP(SUMPRODUCT(LN(1+(EvEff-1)*INDEX(Affected,0,C969)*EXP(-((E969-EvCenter)^2)/(2*EvSigma^2))))),"")</f>
        <v/>
      </c>
      <c r="O969">
        <f>IF(B969,ROUND(MAX(0,J969*K969*L969*M969*N969),2),"")</f>
        <v/>
      </c>
    </row>
    <row r="970">
      <c r="A970" t="n">
        <v>969</v>
      </c>
      <c r="B970">
        <f>A970&lt;=MineCount*Days</f>
        <v/>
      </c>
      <c r="C970">
        <f>IF(B970,INT((A970-1)/Days)+1,"")</f>
        <v/>
      </c>
      <c r="D970">
        <f>IF(B970,MOD(A970-1,Days),"")</f>
        <v/>
      </c>
      <c r="E970" s="16">
        <f>IF(B970,StartDate+D970,"")</f>
        <v/>
      </c>
      <c r="F970">
        <f>IF(B970,MAX(MOD(SIN(Seed*0.1373+C970*12.9898+D970*78.233)*43758.5453,1),1E-9),"")</f>
        <v/>
      </c>
      <c r="G970">
        <f>IF(B970,MOD(SIN(Seed*0.5917+C970*39.3468+D970*11.135)*24634.6345,1),"")</f>
        <v/>
      </c>
      <c r="H970">
        <f>IF(B970,SQRT(-2*LN(F970))*COS(2*PI()*G970),"")</f>
        <v/>
      </c>
      <c r="I970">
        <f>IF(B970,IF(D970=0,H970,Rho*I969+SQRT(1-Rho^2)*H970),"")</f>
        <v/>
      </c>
      <c r="J970">
        <f>IF(B970,IF(Dist="Normal",DistA+DistB*I970,DistA+(DistB-DistA)*NORMSDIST(I970)),"")</f>
        <v/>
      </c>
      <c r="K970">
        <f>IF(B970,INDEX(MineScale,C970),"")</f>
        <v/>
      </c>
      <c r="L970">
        <f>IF(B970,INDEX(Dow,1,WEEKDAY(E970,2)),"")</f>
        <v/>
      </c>
      <c r="M970">
        <f>IF(B970,(1+Trend)^D970,"")</f>
        <v/>
      </c>
      <c r="N970">
        <f>IF(B970,EXP(SUMPRODUCT(LN(1+(EvEff-1)*INDEX(Affected,0,C970)*EXP(-((E970-EvCenter)^2)/(2*EvSigma^2))))),"")</f>
        <v/>
      </c>
      <c r="O970">
        <f>IF(B970,ROUND(MAX(0,J970*K970*L970*M970*N970),2),"")</f>
        <v/>
      </c>
    </row>
    <row r="971">
      <c r="A971" t="n">
        <v>970</v>
      </c>
      <c r="B971">
        <f>A971&lt;=MineCount*Days</f>
        <v/>
      </c>
      <c r="C971">
        <f>IF(B971,INT((A971-1)/Days)+1,"")</f>
        <v/>
      </c>
      <c r="D971">
        <f>IF(B971,MOD(A971-1,Days),"")</f>
        <v/>
      </c>
      <c r="E971" s="16">
        <f>IF(B971,StartDate+D971,"")</f>
        <v/>
      </c>
      <c r="F971">
        <f>IF(B971,MAX(MOD(SIN(Seed*0.1373+C971*12.9898+D971*78.233)*43758.5453,1),1E-9),"")</f>
        <v/>
      </c>
      <c r="G971">
        <f>IF(B971,MOD(SIN(Seed*0.5917+C971*39.3468+D971*11.135)*24634.6345,1),"")</f>
        <v/>
      </c>
      <c r="H971">
        <f>IF(B971,SQRT(-2*LN(F971))*COS(2*PI()*G971),"")</f>
        <v/>
      </c>
      <c r="I971">
        <f>IF(B971,IF(D971=0,H971,Rho*I970+SQRT(1-Rho^2)*H971),"")</f>
        <v/>
      </c>
      <c r="J971">
        <f>IF(B971,IF(Dist="Normal",DistA+DistB*I971,DistA+(DistB-DistA)*NORMSDIST(I971)),"")</f>
        <v/>
      </c>
      <c r="K971">
        <f>IF(B971,INDEX(MineScale,C971),"")</f>
        <v/>
      </c>
      <c r="L971">
        <f>IF(B971,INDEX(Dow,1,WEEKDAY(E971,2)),"")</f>
        <v/>
      </c>
      <c r="M971">
        <f>IF(B971,(1+Trend)^D971,"")</f>
        <v/>
      </c>
      <c r="N971">
        <f>IF(B971,EXP(SUMPRODUCT(LN(1+(EvEff-1)*INDEX(Affected,0,C971)*EXP(-((E971-EvCenter)^2)/(2*EvSigma^2))))),"")</f>
        <v/>
      </c>
      <c r="O971">
        <f>IF(B971,ROUND(MAX(0,J971*K971*L971*M971*N971),2),"")</f>
        <v/>
      </c>
    </row>
    <row r="972">
      <c r="A972" t="n">
        <v>971</v>
      </c>
      <c r="B972">
        <f>A972&lt;=MineCount*Days</f>
        <v/>
      </c>
      <c r="C972">
        <f>IF(B972,INT((A972-1)/Days)+1,"")</f>
        <v/>
      </c>
      <c r="D972">
        <f>IF(B972,MOD(A972-1,Days),"")</f>
        <v/>
      </c>
      <c r="E972" s="16">
        <f>IF(B972,StartDate+D972,"")</f>
        <v/>
      </c>
      <c r="F972">
        <f>IF(B972,MAX(MOD(SIN(Seed*0.1373+C972*12.9898+D972*78.233)*43758.5453,1),1E-9),"")</f>
        <v/>
      </c>
      <c r="G972">
        <f>IF(B972,MOD(SIN(Seed*0.5917+C972*39.3468+D972*11.135)*24634.6345,1),"")</f>
        <v/>
      </c>
      <c r="H972">
        <f>IF(B972,SQRT(-2*LN(F972))*COS(2*PI()*G972),"")</f>
        <v/>
      </c>
      <c r="I972">
        <f>IF(B972,IF(D972=0,H972,Rho*I971+SQRT(1-Rho^2)*H972),"")</f>
        <v/>
      </c>
      <c r="J972">
        <f>IF(B972,IF(Dist="Normal",DistA+DistB*I972,DistA+(DistB-DistA)*NORMSDIST(I972)),"")</f>
        <v/>
      </c>
      <c r="K972">
        <f>IF(B972,INDEX(MineScale,C972),"")</f>
        <v/>
      </c>
      <c r="L972">
        <f>IF(B972,INDEX(Dow,1,WEEKDAY(E972,2)),"")</f>
        <v/>
      </c>
      <c r="M972">
        <f>IF(B972,(1+Trend)^D972,"")</f>
        <v/>
      </c>
      <c r="N972">
        <f>IF(B972,EXP(SUMPRODUCT(LN(1+(EvEff-1)*INDEX(Affected,0,C972)*EXP(-((E972-EvCenter)^2)/(2*EvSigma^2))))),"")</f>
        <v/>
      </c>
      <c r="O972">
        <f>IF(B972,ROUND(MAX(0,J972*K972*L972*M972*N972),2),"")</f>
        <v/>
      </c>
    </row>
    <row r="973">
      <c r="A973" t="n">
        <v>972</v>
      </c>
      <c r="B973">
        <f>A973&lt;=MineCount*Days</f>
        <v/>
      </c>
      <c r="C973">
        <f>IF(B973,INT((A973-1)/Days)+1,"")</f>
        <v/>
      </c>
      <c r="D973">
        <f>IF(B973,MOD(A973-1,Days),"")</f>
        <v/>
      </c>
      <c r="E973" s="16">
        <f>IF(B973,StartDate+D973,"")</f>
        <v/>
      </c>
      <c r="F973">
        <f>IF(B973,MAX(MOD(SIN(Seed*0.1373+C973*12.9898+D973*78.233)*43758.5453,1),1E-9),"")</f>
        <v/>
      </c>
      <c r="G973">
        <f>IF(B973,MOD(SIN(Seed*0.5917+C973*39.3468+D973*11.135)*24634.6345,1),"")</f>
        <v/>
      </c>
      <c r="H973">
        <f>IF(B973,SQRT(-2*LN(F973))*COS(2*PI()*G973),"")</f>
        <v/>
      </c>
      <c r="I973">
        <f>IF(B973,IF(D973=0,H973,Rho*I972+SQRT(1-Rho^2)*H973),"")</f>
        <v/>
      </c>
      <c r="J973">
        <f>IF(B973,IF(Dist="Normal",DistA+DistB*I973,DistA+(DistB-DistA)*NORMSDIST(I973)),"")</f>
        <v/>
      </c>
      <c r="K973">
        <f>IF(B973,INDEX(MineScale,C973),"")</f>
        <v/>
      </c>
      <c r="L973">
        <f>IF(B973,INDEX(Dow,1,WEEKDAY(E973,2)),"")</f>
        <v/>
      </c>
      <c r="M973">
        <f>IF(B973,(1+Trend)^D973,"")</f>
        <v/>
      </c>
      <c r="N973">
        <f>IF(B973,EXP(SUMPRODUCT(LN(1+(EvEff-1)*INDEX(Affected,0,C973)*EXP(-((E973-EvCenter)^2)/(2*EvSigma^2))))),"")</f>
        <v/>
      </c>
      <c r="O973">
        <f>IF(B973,ROUND(MAX(0,J973*K973*L973*M973*N973),2),"")</f>
        <v/>
      </c>
    </row>
    <row r="974">
      <c r="A974" t="n">
        <v>973</v>
      </c>
      <c r="B974">
        <f>A974&lt;=MineCount*Days</f>
        <v/>
      </c>
      <c r="C974">
        <f>IF(B974,INT((A974-1)/Days)+1,"")</f>
        <v/>
      </c>
      <c r="D974">
        <f>IF(B974,MOD(A974-1,Days),"")</f>
        <v/>
      </c>
      <c r="E974" s="16">
        <f>IF(B974,StartDate+D974,"")</f>
        <v/>
      </c>
      <c r="F974">
        <f>IF(B974,MAX(MOD(SIN(Seed*0.1373+C974*12.9898+D974*78.233)*43758.5453,1),1E-9),"")</f>
        <v/>
      </c>
      <c r="G974">
        <f>IF(B974,MOD(SIN(Seed*0.5917+C974*39.3468+D974*11.135)*24634.6345,1),"")</f>
        <v/>
      </c>
      <c r="H974">
        <f>IF(B974,SQRT(-2*LN(F974))*COS(2*PI()*G974),"")</f>
        <v/>
      </c>
      <c r="I974">
        <f>IF(B974,IF(D974=0,H974,Rho*I973+SQRT(1-Rho^2)*H974),"")</f>
        <v/>
      </c>
      <c r="J974">
        <f>IF(B974,IF(Dist="Normal",DistA+DistB*I974,DistA+(DistB-DistA)*NORMSDIST(I974)),"")</f>
        <v/>
      </c>
      <c r="K974">
        <f>IF(B974,INDEX(MineScale,C974),"")</f>
        <v/>
      </c>
      <c r="L974">
        <f>IF(B974,INDEX(Dow,1,WEEKDAY(E974,2)),"")</f>
        <v/>
      </c>
      <c r="M974">
        <f>IF(B974,(1+Trend)^D974,"")</f>
        <v/>
      </c>
      <c r="N974">
        <f>IF(B974,EXP(SUMPRODUCT(LN(1+(EvEff-1)*INDEX(Affected,0,C974)*EXP(-((E974-EvCenter)^2)/(2*EvSigma^2))))),"")</f>
        <v/>
      </c>
      <c r="O974">
        <f>IF(B974,ROUND(MAX(0,J974*K974*L974*M974*N974),2),"")</f>
        <v/>
      </c>
    </row>
    <row r="975">
      <c r="A975" t="n">
        <v>974</v>
      </c>
      <c r="B975">
        <f>A975&lt;=MineCount*Days</f>
        <v/>
      </c>
      <c r="C975">
        <f>IF(B975,INT((A975-1)/Days)+1,"")</f>
        <v/>
      </c>
      <c r="D975">
        <f>IF(B975,MOD(A975-1,Days),"")</f>
        <v/>
      </c>
      <c r="E975" s="16">
        <f>IF(B975,StartDate+D975,"")</f>
        <v/>
      </c>
      <c r="F975">
        <f>IF(B975,MAX(MOD(SIN(Seed*0.1373+C975*12.9898+D975*78.233)*43758.5453,1),1E-9),"")</f>
        <v/>
      </c>
      <c r="G975">
        <f>IF(B975,MOD(SIN(Seed*0.5917+C975*39.3468+D975*11.135)*24634.6345,1),"")</f>
        <v/>
      </c>
      <c r="H975">
        <f>IF(B975,SQRT(-2*LN(F975))*COS(2*PI()*G975),"")</f>
        <v/>
      </c>
      <c r="I975">
        <f>IF(B975,IF(D975=0,H975,Rho*I974+SQRT(1-Rho^2)*H975),"")</f>
        <v/>
      </c>
      <c r="J975">
        <f>IF(B975,IF(Dist="Normal",DistA+DistB*I975,DistA+(DistB-DistA)*NORMSDIST(I975)),"")</f>
        <v/>
      </c>
      <c r="K975">
        <f>IF(B975,INDEX(MineScale,C975),"")</f>
        <v/>
      </c>
      <c r="L975">
        <f>IF(B975,INDEX(Dow,1,WEEKDAY(E975,2)),"")</f>
        <v/>
      </c>
      <c r="M975">
        <f>IF(B975,(1+Trend)^D975,"")</f>
        <v/>
      </c>
      <c r="N975">
        <f>IF(B975,EXP(SUMPRODUCT(LN(1+(EvEff-1)*INDEX(Affected,0,C975)*EXP(-((E975-EvCenter)^2)/(2*EvSigma^2))))),"")</f>
        <v/>
      </c>
      <c r="O975">
        <f>IF(B975,ROUND(MAX(0,J975*K975*L975*M975*N975),2),"")</f>
        <v/>
      </c>
    </row>
    <row r="976">
      <c r="A976" t="n">
        <v>975</v>
      </c>
      <c r="B976">
        <f>A976&lt;=MineCount*Days</f>
        <v/>
      </c>
      <c r="C976">
        <f>IF(B976,INT((A976-1)/Days)+1,"")</f>
        <v/>
      </c>
      <c r="D976">
        <f>IF(B976,MOD(A976-1,Days),"")</f>
        <v/>
      </c>
      <c r="E976" s="16">
        <f>IF(B976,StartDate+D976,"")</f>
        <v/>
      </c>
      <c r="F976">
        <f>IF(B976,MAX(MOD(SIN(Seed*0.1373+C976*12.9898+D976*78.233)*43758.5453,1),1E-9),"")</f>
        <v/>
      </c>
      <c r="G976">
        <f>IF(B976,MOD(SIN(Seed*0.5917+C976*39.3468+D976*11.135)*24634.6345,1),"")</f>
        <v/>
      </c>
      <c r="H976">
        <f>IF(B976,SQRT(-2*LN(F976))*COS(2*PI()*G976),"")</f>
        <v/>
      </c>
      <c r="I976">
        <f>IF(B976,IF(D976=0,H976,Rho*I975+SQRT(1-Rho^2)*H976),"")</f>
        <v/>
      </c>
      <c r="J976">
        <f>IF(B976,IF(Dist="Normal",DistA+DistB*I976,DistA+(DistB-DistA)*NORMSDIST(I976)),"")</f>
        <v/>
      </c>
      <c r="K976">
        <f>IF(B976,INDEX(MineScale,C976),"")</f>
        <v/>
      </c>
      <c r="L976">
        <f>IF(B976,INDEX(Dow,1,WEEKDAY(E976,2)),"")</f>
        <v/>
      </c>
      <c r="M976">
        <f>IF(B976,(1+Trend)^D976,"")</f>
        <v/>
      </c>
      <c r="N976">
        <f>IF(B976,EXP(SUMPRODUCT(LN(1+(EvEff-1)*INDEX(Affected,0,C976)*EXP(-((E976-EvCenter)^2)/(2*EvSigma^2))))),"")</f>
        <v/>
      </c>
      <c r="O976">
        <f>IF(B976,ROUND(MAX(0,J976*K976*L976*M976*N976),2),"")</f>
        <v/>
      </c>
    </row>
    <row r="977">
      <c r="A977" t="n">
        <v>976</v>
      </c>
      <c r="B977">
        <f>A977&lt;=MineCount*Days</f>
        <v/>
      </c>
      <c r="C977">
        <f>IF(B977,INT((A977-1)/Days)+1,"")</f>
        <v/>
      </c>
      <c r="D977">
        <f>IF(B977,MOD(A977-1,Days),"")</f>
        <v/>
      </c>
      <c r="E977" s="16">
        <f>IF(B977,StartDate+D977,"")</f>
        <v/>
      </c>
      <c r="F977">
        <f>IF(B977,MAX(MOD(SIN(Seed*0.1373+C977*12.9898+D977*78.233)*43758.5453,1),1E-9),"")</f>
        <v/>
      </c>
      <c r="G977">
        <f>IF(B977,MOD(SIN(Seed*0.5917+C977*39.3468+D977*11.135)*24634.6345,1),"")</f>
        <v/>
      </c>
      <c r="H977">
        <f>IF(B977,SQRT(-2*LN(F977))*COS(2*PI()*G977),"")</f>
        <v/>
      </c>
      <c r="I977">
        <f>IF(B977,IF(D977=0,H977,Rho*I976+SQRT(1-Rho^2)*H977),"")</f>
        <v/>
      </c>
      <c r="J977">
        <f>IF(B977,IF(Dist="Normal",DistA+DistB*I977,DistA+(DistB-DistA)*NORMSDIST(I977)),"")</f>
        <v/>
      </c>
      <c r="K977">
        <f>IF(B977,INDEX(MineScale,C977),"")</f>
        <v/>
      </c>
      <c r="L977">
        <f>IF(B977,INDEX(Dow,1,WEEKDAY(E977,2)),"")</f>
        <v/>
      </c>
      <c r="M977">
        <f>IF(B977,(1+Trend)^D977,"")</f>
        <v/>
      </c>
      <c r="N977">
        <f>IF(B977,EXP(SUMPRODUCT(LN(1+(EvEff-1)*INDEX(Affected,0,C977)*EXP(-((E977-EvCenter)^2)/(2*EvSigma^2))))),"")</f>
        <v/>
      </c>
      <c r="O977">
        <f>IF(B977,ROUND(MAX(0,J977*K977*L977*M977*N977),2),"")</f>
        <v/>
      </c>
    </row>
    <row r="978">
      <c r="A978" t="n">
        <v>977</v>
      </c>
      <c r="B978">
        <f>A978&lt;=MineCount*Days</f>
        <v/>
      </c>
      <c r="C978">
        <f>IF(B978,INT((A978-1)/Days)+1,"")</f>
        <v/>
      </c>
      <c r="D978">
        <f>IF(B978,MOD(A978-1,Days),"")</f>
        <v/>
      </c>
      <c r="E978" s="16">
        <f>IF(B978,StartDate+D978,"")</f>
        <v/>
      </c>
      <c r="F978">
        <f>IF(B978,MAX(MOD(SIN(Seed*0.1373+C978*12.9898+D978*78.233)*43758.5453,1),1E-9),"")</f>
        <v/>
      </c>
      <c r="G978">
        <f>IF(B978,MOD(SIN(Seed*0.5917+C978*39.3468+D978*11.135)*24634.6345,1),"")</f>
        <v/>
      </c>
      <c r="H978">
        <f>IF(B978,SQRT(-2*LN(F978))*COS(2*PI()*G978),"")</f>
        <v/>
      </c>
      <c r="I978">
        <f>IF(B978,IF(D978=0,H978,Rho*I977+SQRT(1-Rho^2)*H978),"")</f>
        <v/>
      </c>
      <c r="J978">
        <f>IF(B978,IF(Dist="Normal",DistA+DistB*I978,DistA+(DistB-DistA)*NORMSDIST(I978)),"")</f>
        <v/>
      </c>
      <c r="K978">
        <f>IF(B978,INDEX(MineScale,C978),"")</f>
        <v/>
      </c>
      <c r="L978">
        <f>IF(B978,INDEX(Dow,1,WEEKDAY(E978,2)),"")</f>
        <v/>
      </c>
      <c r="M978">
        <f>IF(B978,(1+Trend)^D978,"")</f>
        <v/>
      </c>
      <c r="N978">
        <f>IF(B978,EXP(SUMPRODUCT(LN(1+(EvEff-1)*INDEX(Affected,0,C978)*EXP(-((E978-EvCenter)^2)/(2*EvSigma^2))))),"")</f>
        <v/>
      </c>
      <c r="O978">
        <f>IF(B978,ROUND(MAX(0,J978*K978*L978*M978*N978),2),"")</f>
        <v/>
      </c>
    </row>
    <row r="979">
      <c r="A979" t="n">
        <v>978</v>
      </c>
      <c r="B979">
        <f>A979&lt;=MineCount*Days</f>
        <v/>
      </c>
      <c r="C979">
        <f>IF(B979,INT((A979-1)/Days)+1,"")</f>
        <v/>
      </c>
      <c r="D979">
        <f>IF(B979,MOD(A979-1,Days),"")</f>
        <v/>
      </c>
      <c r="E979" s="16">
        <f>IF(B979,StartDate+D979,"")</f>
        <v/>
      </c>
      <c r="F979">
        <f>IF(B979,MAX(MOD(SIN(Seed*0.1373+C979*12.9898+D979*78.233)*43758.5453,1),1E-9),"")</f>
        <v/>
      </c>
      <c r="G979">
        <f>IF(B979,MOD(SIN(Seed*0.5917+C979*39.3468+D979*11.135)*24634.6345,1),"")</f>
        <v/>
      </c>
      <c r="H979">
        <f>IF(B979,SQRT(-2*LN(F979))*COS(2*PI()*G979),"")</f>
        <v/>
      </c>
      <c r="I979">
        <f>IF(B979,IF(D979=0,H979,Rho*I978+SQRT(1-Rho^2)*H979),"")</f>
        <v/>
      </c>
      <c r="J979">
        <f>IF(B979,IF(Dist="Normal",DistA+DistB*I979,DistA+(DistB-DistA)*NORMSDIST(I979)),"")</f>
        <v/>
      </c>
      <c r="K979">
        <f>IF(B979,INDEX(MineScale,C979),"")</f>
        <v/>
      </c>
      <c r="L979">
        <f>IF(B979,INDEX(Dow,1,WEEKDAY(E979,2)),"")</f>
        <v/>
      </c>
      <c r="M979">
        <f>IF(B979,(1+Trend)^D979,"")</f>
        <v/>
      </c>
      <c r="N979">
        <f>IF(B979,EXP(SUMPRODUCT(LN(1+(EvEff-1)*INDEX(Affected,0,C979)*EXP(-((E979-EvCenter)^2)/(2*EvSigma^2))))),"")</f>
        <v/>
      </c>
      <c r="O979">
        <f>IF(B979,ROUND(MAX(0,J979*K979*L979*M979*N979),2),"")</f>
        <v/>
      </c>
    </row>
    <row r="980">
      <c r="A980" t="n">
        <v>979</v>
      </c>
      <c r="B980">
        <f>A980&lt;=MineCount*Days</f>
        <v/>
      </c>
      <c r="C980">
        <f>IF(B980,INT((A980-1)/Days)+1,"")</f>
        <v/>
      </c>
      <c r="D980">
        <f>IF(B980,MOD(A980-1,Days),"")</f>
        <v/>
      </c>
      <c r="E980" s="16">
        <f>IF(B980,StartDate+D980,"")</f>
        <v/>
      </c>
      <c r="F980">
        <f>IF(B980,MAX(MOD(SIN(Seed*0.1373+C980*12.9898+D980*78.233)*43758.5453,1),1E-9),"")</f>
        <v/>
      </c>
      <c r="G980">
        <f>IF(B980,MOD(SIN(Seed*0.5917+C980*39.3468+D980*11.135)*24634.6345,1),"")</f>
        <v/>
      </c>
      <c r="H980">
        <f>IF(B980,SQRT(-2*LN(F980))*COS(2*PI()*G980),"")</f>
        <v/>
      </c>
      <c r="I980">
        <f>IF(B980,IF(D980=0,H980,Rho*I979+SQRT(1-Rho^2)*H980),"")</f>
        <v/>
      </c>
      <c r="J980">
        <f>IF(B980,IF(Dist="Normal",DistA+DistB*I980,DistA+(DistB-DistA)*NORMSDIST(I980)),"")</f>
        <v/>
      </c>
      <c r="K980">
        <f>IF(B980,INDEX(MineScale,C980),"")</f>
        <v/>
      </c>
      <c r="L980">
        <f>IF(B980,INDEX(Dow,1,WEEKDAY(E980,2)),"")</f>
        <v/>
      </c>
      <c r="M980">
        <f>IF(B980,(1+Trend)^D980,"")</f>
        <v/>
      </c>
      <c r="N980">
        <f>IF(B980,EXP(SUMPRODUCT(LN(1+(EvEff-1)*INDEX(Affected,0,C980)*EXP(-((E980-EvCenter)^2)/(2*EvSigma^2))))),"")</f>
        <v/>
      </c>
      <c r="O980">
        <f>IF(B980,ROUND(MAX(0,J980*K980*L980*M980*N980),2),"")</f>
        <v/>
      </c>
    </row>
    <row r="981">
      <c r="A981" t="n">
        <v>980</v>
      </c>
      <c r="B981">
        <f>A981&lt;=MineCount*Days</f>
        <v/>
      </c>
      <c r="C981">
        <f>IF(B981,INT((A981-1)/Days)+1,"")</f>
        <v/>
      </c>
      <c r="D981">
        <f>IF(B981,MOD(A981-1,Days),"")</f>
        <v/>
      </c>
      <c r="E981" s="16">
        <f>IF(B981,StartDate+D981,"")</f>
        <v/>
      </c>
      <c r="F981">
        <f>IF(B981,MAX(MOD(SIN(Seed*0.1373+C981*12.9898+D981*78.233)*43758.5453,1),1E-9),"")</f>
        <v/>
      </c>
      <c r="G981">
        <f>IF(B981,MOD(SIN(Seed*0.5917+C981*39.3468+D981*11.135)*24634.6345,1),"")</f>
        <v/>
      </c>
      <c r="H981">
        <f>IF(B981,SQRT(-2*LN(F981))*COS(2*PI()*G981),"")</f>
        <v/>
      </c>
      <c r="I981">
        <f>IF(B981,IF(D981=0,H981,Rho*I980+SQRT(1-Rho^2)*H981),"")</f>
        <v/>
      </c>
      <c r="J981">
        <f>IF(B981,IF(Dist="Normal",DistA+DistB*I981,DistA+(DistB-DistA)*NORMSDIST(I981)),"")</f>
        <v/>
      </c>
      <c r="K981">
        <f>IF(B981,INDEX(MineScale,C981),"")</f>
        <v/>
      </c>
      <c r="L981">
        <f>IF(B981,INDEX(Dow,1,WEEKDAY(E981,2)),"")</f>
        <v/>
      </c>
      <c r="M981">
        <f>IF(B981,(1+Trend)^D981,"")</f>
        <v/>
      </c>
      <c r="N981">
        <f>IF(B981,EXP(SUMPRODUCT(LN(1+(EvEff-1)*INDEX(Affected,0,C981)*EXP(-((E981-EvCenter)^2)/(2*EvSigma^2))))),"")</f>
        <v/>
      </c>
      <c r="O981">
        <f>IF(B981,ROUND(MAX(0,J981*K981*L981*M981*N981),2),"")</f>
        <v/>
      </c>
    </row>
    <row r="982">
      <c r="A982" t="n">
        <v>981</v>
      </c>
      <c r="B982">
        <f>A982&lt;=MineCount*Days</f>
        <v/>
      </c>
      <c r="C982">
        <f>IF(B982,INT((A982-1)/Days)+1,"")</f>
        <v/>
      </c>
      <c r="D982">
        <f>IF(B982,MOD(A982-1,Days),"")</f>
        <v/>
      </c>
      <c r="E982" s="16">
        <f>IF(B982,StartDate+D982,"")</f>
        <v/>
      </c>
      <c r="F982">
        <f>IF(B982,MAX(MOD(SIN(Seed*0.1373+C982*12.9898+D982*78.233)*43758.5453,1),1E-9),"")</f>
        <v/>
      </c>
      <c r="G982">
        <f>IF(B982,MOD(SIN(Seed*0.5917+C982*39.3468+D982*11.135)*24634.6345,1),"")</f>
        <v/>
      </c>
      <c r="H982">
        <f>IF(B982,SQRT(-2*LN(F982))*COS(2*PI()*G982),"")</f>
        <v/>
      </c>
      <c r="I982">
        <f>IF(B982,IF(D982=0,H982,Rho*I981+SQRT(1-Rho^2)*H982),"")</f>
        <v/>
      </c>
      <c r="J982">
        <f>IF(B982,IF(Dist="Normal",DistA+DistB*I982,DistA+(DistB-DistA)*NORMSDIST(I982)),"")</f>
        <v/>
      </c>
      <c r="K982">
        <f>IF(B982,INDEX(MineScale,C982),"")</f>
        <v/>
      </c>
      <c r="L982">
        <f>IF(B982,INDEX(Dow,1,WEEKDAY(E982,2)),"")</f>
        <v/>
      </c>
      <c r="M982">
        <f>IF(B982,(1+Trend)^D982,"")</f>
        <v/>
      </c>
      <c r="N982">
        <f>IF(B982,EXP(SUMPRODUCT(LN(1+(EvEff-1)*INDEX(Affected,0,C982)*EXP(-((E982-EvCenter)^2)/(2*EvSigma^2))))),"")</f>
        <v/>
      </c>
      <c r="O982">
        <f>IF(B982,ROUND(MAX(0,J982*K982*L982*M982*N982),2),"")</f>
        <v/>
      </c>
    </row>
    <row r="983">
      <c r="A983" t="n">
        <v>982</v>
      </c>
      <c r="B983">
        <f>A983&lt;=MineCount*Days</f>
        <v/>
      </c>
      <c r="C983">
        <f>IF(B983,INT((A983-1)/Days)+1,"")</f>
        <v/>
      </c>
      <c r="D983">
        <f>IF(B983,MOD(A983-1,Days),"")</f>
        <v/>
      </c>
      <c r="E983" s="16">
        <f>IF(B983,StartDate+D983,"")</f>
        <v/>
      </c>
      <c r="F983">
        <f>IF(B983,MAX(MOD(SIN(Seed*0.1373+C983*12.9898+D983*78.233)*43758.5453,1),1E-9),"")</f>
        <v/>
      </c>
      <c r="G983">
        <f>IF(B983,MOD(SIN(Seed*0.5917+C983*39.3468+D983*11.135)*24634.6345,1),"")</f>
        <v/>
      </c>
      <c r="H983">
        <f>IF(B983,SQRT(-2*LN(F983))*COS(2*PI()*G983),"")</f>
        <v/>
      </c>
      <c r="I983">
        <f>IF(B983,IF(D983=0,H983,Rho*I982+SQRT(1-Rho^2)*H983),"")</f>
        <v/>
      </c>
      <c r="J983">
        <f>IF(B983,IF(Dist="Normal",DistA+DistB*I983,DistA+(DistB-DistA)*NORMSDIST(I983)),"")</f>
        <v/>
      </c>
      <c r="K983">
        <f>IF(B983,INDEX(MineScale,C983),"")</f>
        <v/>
      </c>
      <c r="L983">
        <f>IF(B983,INDEX(Dow,1,WEEKDAY(E983,2)),"")</f>
        <v/>
      </c>
      <c r="M983">
        <f>IF(B983,(1+Trend)^D983,"")</f>
        <v/>
      </c>
      <c r="N983">
        <f>IF(B983,EXP(SUMPRODUCT(LN(1+(EvEff-1)*INDEX(Affected,0,C983)*EXP(-((E983-EvCenter)^2)/(2*EvSigma^2))))),"")</f>
        <v/>
      </c>
      <c r="O983">
        <f>IF(B983,ROUND(MAX(0,J983*K983*L983*M983*N983),2),"")</f>
        <v/>
      </c>
    </row>
    <row r="984">
      <c r="A984" t="n">
        <v>983</v>
      </c>
      <c r="B984">
        <f>A984&lt;=MineCount*Days</f>
        <v/>
      </c>
      <c r="C984">
        <f>IF(B984,INT((A984-1)/Days)+1,"")</f>
        <v/>
      </c>
      <c r="D984">
        <f>IF(B984,MOD(A984-1,Days),"")</f>
        <v/>
      </c>
      <c r="E984" s="16">
        <f>IF(B984,StartDate+D984,"")</f>
        <v/>
      </c>
      <c r="F984">
        <f>IF(B984,MAX(MOD(SIN(Seed*0.1373+C984*12.9898+D984*78.233)*43758.5453,1),1E-9),"")</f>
        <v/>
      </c>
      <c r="G984">
        <f>IF(B984,MOD(SIN(Seed*0.5917+C984*39.3468+D984*11.135)*24634.6345,1),"")</f>
        <v/>
      </c>
      <c r="H984">
        <f>IF(B984,SQRT(-2*LN(F984))*COS(2*PI()*G984),"")</f>
        <v/>
      </c>
      <c r="I984">
        <f>IF(B984,IF(D984=0,H984,Rho*I983+SQRT(1-Rho^2)*H984),"")</f>
        <v/>
      </c>
      <c r="J984">
        <f>IF(B984,IF(Dist="Normal",DistA+DistB*I984,DistA+(DistB-DistA)*NORMSDIST(I984)),"")</f>
        <v/>
      </c>
      <c r="K984">
        <f>IF(B984,INDEX(MineScale,C984),"")</f>
        <v/>
      </c>
      <c r="L984">
        <f>IF(B984,INDEX(Dow,1,WEEKDAY(E984,2)),"")</f>
        <v/>
      </c>
      <c r="M984">
        <f>IF(B984,(1+Trend)^D984,"")</f>
        <v/>
      </c>
      <c r="N984">
        <f>IF(B984,EXP(SUMPRODUCT(LN(1+(EvEff-1)*INDEX(Affected,0,C984)*EXP(-((E984-EvCenter)^2)/(2*EvSigma^2))))),"")</f>
        <v/>
      </c>
      <c r="O984">
        <f>IF(B984,ROUND(MAX(0,J984*K984*L984*M984*N984),2),"")</f>
        <v/>
      </c>
    </row>
    <row r="985">
      <c r="A985" t="n">
        <v>984</v>
      </c>
      <c r="B985">
        <f>A985&lt;=MineCount*Days</f>
        <v/>
      </c>
      <c r="C985">
        <f>IF(B985,INT((A985-1)/Days)+1,"")</f>
        <v/>
      </c>
      <c r="D985">
        <f>IF(B985,MOD(A985-1,Days),"")</f>
        <v/>
      </c>
      <c r="E985" s="16">
        <f>IF(B985,StartDate+D985,"")</f>
        <v/>
      </c>
      <c r="F985">
        <f>IF(B985,MAX(MOD(SIN(Seed*0.1373+C985*12.9898+D985*78.233)*43758.5453,1),1E-9),"")</f>
        <v/>
      </c>
      <c r="G985">
        <f>IF(B985,MOD(SIN(Seed*0.5917+C985*39.3468+D985*11.135)*24634.6345,1),"")</f>
        <v/>
      </c>
      <c r="H985">
        <f>IF(B985,SQRT(-2*LN(F985))*COS(2*PI()*G985),"")</f>
        <v/>
      </c>
      <c r="I985">
        <f>IF(B985,IF(D985=0,H985,Rho*I984+SQRT(1-Rho^2)*H985),"")</f>
        <v/>
      </c>
      <c r="J985">
        <f>IF(B985,IF(Dist="Normal",DistA+DistB*I985,DistA+(DistB-DistA)*NORMSDIST(I985)),"")</f>
        <v/>
      </c>
      <c r="K985">
        <f>IF(B985,INDEX(MineScale,C985),"")</f>
        <v/>
      </c>
      <c r="L985">
        <f>IF(B985,INDEX(Dow,1,WEEKDAY(E985,2)),"")</f>
        <v/>
      </c>
      <c r="M985">
        <f>IF(B985,(1+Trend)^D985,"")</f>
        <v/>
      </c>
      <c r="N985">
        <f>IF(B985,EXP(SUMPRODUCT(LN(1+(EvEff-1)*INDEX(Affected,0,C985)*EXP(-((E985-EvCenter)^2)/(2*EvSigma^2))))),"")</f>
        <v/>
      </c>
      <c r="O985">
        <f>IF(B985,ROUND(MAX(0,J985*K985*L985*M985*N985),2),"")</f>
        <v/>
      </c>
    </row>
    <row r="986">
      <c r="A986" t="n">
        <v>985</v>
      </c>
      <c r="B986">
        <f>A986&lt;=MineCount*Days</f>
        <v/>
      </c>
      <c r="C986">
        <f>IF(B986,INT((A986-1)/Days)+1,"")</f>
        <v/>
      </c>
      <c r="D986">
        <f>IF(B986,MOD(A986-1,Days),"")</f>
        <v/>
      </c>
      <c r="E986" s="16">
        <f>IF(B986,StartDate+D986,"")</f>
        <v/>
      </c>
      <c r="F986">
        <f>IF(B986,MAX(MOD(SIN(Seed*0.1373+C986*12.9898+D986*78.233)*43758.5453,1),1E-9),"")</f>
        <v/>
      </c>
      <c r="G986">
        <f>IF(B986,MOD(SIN(Seed*0.5917+C986*39.3468+D986*11.135)*24634.6345,1),"")</f>
        <v/>
      </c>
      <c r="H986">
        <f>IF(B986,SQRT(-2*LN(F986))*COS(2*PI()*G986),"")</f>
        <v/>
      </c>
      <c r="I986">
        <f>IF(B986,IF(D986=0,H986,Rho*I985+SQRT(1-Rho^2)*H986),"")</f>
        <v/>
      </c>
      <c r="J986">
        <f>IF(B986,IF(Dist="Normal",DistA+DistB*I986,DistA+(DistB-DistA)*NORMSDIST(I986)),"")</f>
        <v/>
      </c>
      <c r="K986">
        <f>IF(B986,INDEX(MineScale,C986),"")</f>
        <v/>
      </c>
      <c r="L986">
        <f>IF(B986,INDEX(Dow,1,WEEKDAY(E986,2)),"")</f>
        <v/>
      </c>
      <c r="M986">
        <f>IF(B986,(1+Trend)^D986,"")</f>
        <v/>
      </c>
      <c r="N986">
        <f>IF(B986,EXP(SUMPRODUCT(LN(1+(EvEff-1)*INDEX(Affected,0,C986)*EXP(-((E986-EvCenter)^2)/(2*EvSigma^2))))),"")</f>
        <v/>
      </c>
      <c r="O986">
        <f>IF(B986,ROUND(MAX(0,J986*K986*L986*M986*N986),2),"")</f>
        <v/>
      </c>
    </row>
    <row r="987">
      <c r="A987" t="n">
        <v>986</v>
      </c>
      <c r="B987">
        <f>A987&lt;=MineCount*Days</f>
        <v/>
      </c>
      <c r="C987">
        <f>IF(B987,INT((A987-1)/Days)+1,"")</f>
        <v/>
      </c>
      <c r="D987">
        <f>IF(B987,MOD(A987-1,Days),"")</f>
        <v/>
      </c>
      <c r="E987" s="16">
        <f>IF(B987,StartDate+D987,"")</f>
        <v/>
      </c>
      <c r="F987">
        <f>IF(B987,MAX(MOD(SIN(Seed*0.1373+C987*12.9898+D987*78.233)*43758.5453,1),1E-9),"")</f>
        <v/>
      </c>
      <c r="G987">
        <f>IF(B987,MOD(SIN(Seed*0.5917+C987*39.3468+D987*11.135)*24634.6345,1),"")</f>
        <v/>
      </c>
      <c r="H987">
        <f>IF(B987,SQRT(-2*LN(F987))*COS(2*PI()*G987),"")</f>
        <v/>
      </c>
      <c r="I987">
        <f>IF(B987,IF(D987=0,H987,Rho*I986+SQRT(1-Rho^2)*H987),"")</f>
        <v/>
      </c>
      <c r="J987">
        <f>IF(B987,IF(Dist="Normal",DistA+DistB*I987,DistA+(DistB-DistA)*NORMSDIST(I987)),"")</f>
        <v/>
      </c>
      <c r="K987">
        <f>IF(B987,INDEX(MineScale,C987),"")</f>
        <v/>
      </c>
      <c r="L987">
        <f>IF(B987,INDEX(Dow,1,WEEKDAY(E987,2)),"")</f>
        <v/>
      </c>
      <c r="M987">
        <f>IF(B987,(1+Trend)^D987,"")</f>
        <v/>
      </c>
      <c r="N987">
        <f>IF(B987,EXP(SUMPRODUCT(LN(1+(EvEff-1)*INDEX(Affected,0,C987)*EXP(-((E987-EvCenter)^2)/(2*EvSigma^2))))),"")</f>
        <v/>
      </c>
      <c r="O987">
        <f>IF(B987,ROUND(MAX(0,J987*K987*L987*M987*N987),2),"")</f>
        <v/>
      </c>
    </row>
    <row r="988">
      <c r="A988" t="n">
        <v>987</v>
      </c>
      <c r="B988">
        <f>A988&lt;=MineCount*Days</f>
        <v/>
      </c>
      <c r="C988">
        <f>IF(B988,INT((A988-1)/Days)+1,"")</f>
        <v/>
      </c>
      <c r="D988">
        <f>IF(B988,MOD(A988-1,Days),"")</f>
        <v/>
      </c>
      <c r="E988" s="16">
        <f>IF(B988,StartDate+D988,"")</f>
        <v/>
      </c>
      <c r="F988">
        <f>IF(B988,MAX(MOD(SIN(Seed*0.1373+C988*12.9898+D988*78.233)*43758.5453,1),1E-9),"")</f>
        <v/>
      </c>
      <c r="G988">
        <f>IF(B988,MOD(SIN(Seed*0.5917+C988*39.3468+D988*11.135)*24634.6345,1),"")</f>
        <v/>
      </c>
      <c r="H988">
        <f>IF(B988,SQRT(-2*LN(F988))*COS(2*PI()*G988),"")</f>
        <v/>
      </c>
      <c r="I988">
        <f>IF(B988,IF(D988=0,H988,Rho*I987+SQRT(1-Rho^2)*H988),"")</f>
        <v/>
      </c>
      <c r="J988">
        <f>IF(B988,IF(Dist="Normal",DistA+DistB*I988,DistA+(DistB-DistA)*NORMSDIST(I988)),"")</f>
        <v/>
      </c>
      <c r="K988">
        <f>IF(B988,INDEX(MineScale,C988),"")</f>
        <v/>
      </c>
      <c r="L988">
        <f>IF(B988,INDEX(Dow,1,WEEKDAY(E988,2)),"")</f>
        <v/>
      </c>
      <c r="M988">
        <f>IF(B988,(1+Trend)^D988,"")</f>
        <v/>
      </c>
      <c r="N988">
        <f>IF(B988,EXP(SUMPRODUCT(LN(1+(EvEff-1)*INDEX(Affected,0,C988)*EXP(-((E988-EvCenter)^2)/(2*EvSigma^2))))),"")</f>
        <v/>
      </c>
      <c r="O988">
        <f>IF(B988,ROUND(MAX(0,J988*K988*L988*M988*N988),2),"")</f>
        <v/>
      </c>
    </row>
    <row r="989">
      <c r="A989" t="n">
        <v>988</v>
      </c>
      <c r="B989">
        <f>A989&lt;=MineCount*Days</f>
        <v/>
      </c>
      <c r="C989">
        <f>IF(B989,INT((A989-1)/Days)+1,"")</f>
        <v/>
      </c>
      <c r="D989">
        <f>IF(B989,MOD(A989-1,Days),"")</f>
        <v/>
      </c>
      <c r="E989" s="16">
        <f>IF(B989,StartDate+D989,"")</f>
        <v/>
      </c>
      <c r="F989">
        <f>IF(B989,MAX(MOD(SIN(Seed*0.1373+C989*12.9898+D989*78.233)*43758.5453,1),1E-9),"")</f>
        <v/>
      </c>
      <c r="G989">
        <f>IF(B989,MOD(SIN(Seed*0.5917+C989*39.3468+D989*11.135)*24634.6345,1),"")</f>
        <v/>
      </c>
      <c r="H989">
        <f>IF(B989,SQRT(-2*LN(F989))*COS(2*PI()*G989),"")</f>
        <v/>
      </c>
      <c r="I989">
        <f>IF(B989,IF(D989=0,H989,Rho*I988+SQRT(1-Rho^2)*H989),"")</f>
        <v/>
      </c>
      <c r="J989">
        <f>IF(B989,IF(Dist="Normal",DistA+DistB*I989,DistA+(DistB-DistA)*NORMSDIST(I989)),"")</f>
        <v/>
      </c>
      <c r="K989">
        <f>IF(B989,INDEX(MineScale,C989),"")</f>
        <v/>
      </c>
      <c r="L989">
        <f>IF(B989,INDEX(Dow,1,WEEKDAY(E989,2)),"")</f>
        <v/>
      </c>
      <c r="M989">
        <f>IF(B989,(1+Trend)^D989,"")</f>
        <v/>
      </c>
      <c r="N989">
        <f>IF(B989,EXP(SUMPRODUCT(LN(1+(EvEff-1)*INDEX(Affected,0,C989)*EXP(-((E989-EvCenter)^2)/(2*EvSigma^2))))),"")</f>
        <v/>
      </c>
      <c r="O989">
        <f>IF(B989,ROUND(MAX(0,J989*K989*L989*M989*N989),2),"")</f>
        <v/>
      </c>
    </row>
    <row r="990">
      <c r="A990" t="n">
        <v>989</v>
      </c>
      <c r="B990">
        <f>A990&lt;=MineCount*Days</f>
        <v/>
      </c>
      <c r="C990">
        <f>IF(B990,INT((A990-1)/Days)+1,"")</f>
        <v/>
      </c>
      <c r="D990">
        <f>IF(B990,MOD(A990-1,Days),"")</f>
        <v/>
      </c>
      <c r="E990" s="16">
        <f>IF(B990,StartDate+D990,"")</f>
        <v/>
      </c>
      <c r="F990">
        <f>IF(B990,MAX(MOD(SIN(Seed*0.1373+C990*12.9898+D990*78.233)*43758.5453,1),1E-9),"")</f>
        <v/>
      </c>
      <c r="G990">
        <f>IF(B990,MOD(SIN(Seed*0.5917+C990*39.3468+D990*11.135)*24634.6345,1),"")</f>
        <v/>
      </c>
      <c r="H990">
        <f>IF(B990,SQRT(-2*LN(F990))*COS(2*PI()*G990),"")</f>
        <v/>
      </c>
      <c r="I990">
        <f>IF(B990,IF(D990=0,H990,Rho*I989+SQRT(1-Rho^2)*H990),"")</f>
        <v/>
      </c>
      <c r="J990">
        <f>IF(B990,IF(Dist="Normal",DistA+DistB*I990,DistA+(DistB-DistA)*NORMSDIST(I990)),"")</f>
        <v/>
      </c>
      <c r="K990">
        <f>IF(B990,INDEX(MineScale,C990),"")</f>
        <v/>
      </c>
      <c r="L990">
        <f>IF(B990,INDEX(Dow,1,WEEKDAY(E990,2)),"")</f>
        <v/>
      </c>
      <c r="M990">
        <f>IF(B990,(1+Trend)^D990,"")</f>
        <v/>
      </c>
      <c r="N990">
        <f>IF(B990,EXP(SUMPRODUCT(LN(1+(EvEff-1)*INDEX(Affected,0,C990)*EXP(-((E990-EvCenter)^2)/(2*EvSigma^2))))),"")</f>
        <v/>
      </c>
      <c r="O990">
        <f>IF(B990,ROUND(MAX(0,J990*K990*L990*M990*N990),2),"")</f>
        <v/>
      </c>
    </row>
    <row r="991">
      <c r="A991" t="n">
        <v>990</v>
      </c>
      <c r="B991">
        <f>A991&lt;=MineCount*Days</f>
        <v/>
      </c>
      <c r="C991">
        <f>IF(B991,INT((A991-1)/Days)+1,"")</f>
        <v/>
      </c>
      <c r="D991">
        <f>IF(B991,MOD(A991-1,Days),"")</f>
        <v/>
      </c>
      <c r="E991" s="16">
        <f>IF(B991,StartDate+D991,"")</f>
        <v/>
      </c>
      <c r="F991">
        <f>IF(B991,MAX(MOD(SIN(Seed*0.1373+C991*12.9898+D991*78.233)*43758.5453,1),1E-9),"")</f>
        <v/>
      </c>
      <c r="G991">
        <f>IF(B991,MOD(SIN(Seed*0.5917+C991*39.3468+D991*11.135)*24634.6345,1),"")</f>
        <v/>
      </c>
      <c r="H991">
        <f>IF(B991,SQRT(-2*LN(F991))*COS(2*PI()*G991),"")</f>
        <v/>
      </c>
      <c r="I991">
        <f>IF(B991,IF(D991=0,H991,Rho*I990+SQRT(1-Rho^2)*H991),"")</f>
        <v/>
      </c>
      <c r="J991">
        <f>IF(B991,IF(Dist="Normal",DistA+DistB*I991,DistA+(DistB-DistA)*NORMSDIST(I991)),"")</f>
        <v/>
      </c>
      <c r="K991">
        <f>IF(B991,INDEX(MineScale,C991),"")</f>
        <v/>
      </c>
      <c r="L991">
        <f>IF(B991,INDEX(Dow,1,WEEKDAY(E991,2)),"")</f>
        <v/>
      </c>
      <c r="M991">
        <f>IF(B991,(1+Trend)^D991,"")</f>
        <v/>
      </c>
      <c r="N991">
        <f>IF(B991,EXP(SUMPRODUCT(LN(1+(EvEff-1)*INDEX(Affected,0,C991)*EXP(-((E991-EvCenter)^2)/(2*EvSigma^2))))),"")</f>
        <v/>
      </c>
      <c r="O991">
        <f>IF(B991,ROUND(MAX(0,J991*K991*L991*M991*N991),2),"")</f>
        <v/>
      </c>
    </row>
    <row r="992">
      <c r="A992" t="n">
        <v>991</v>
      </c>
      <c r="B992">
        <f>A992&lt;=MineCount*Days</f>
        <v/>
      </c>
      <c r="C992">
        <f>IF(B992,INT((A992-1)/Days)+1,"")</f>
        <v/>
      </c>
      <c r="D992">
        <f>IF(B992,MOD(A992-1,Days),"")</f>
        <v/>
      </c>
      <c r="E992" s="16">
        <f>IF(B992,StartDate+D992,"")</f>
        <v/>
      </c>
      <c r="F992">
        <f>IF(B992,MAX(MOD(SIN(Seed*0.1373+C992*12.9898+D992*78.233)*43758.5453,1),1E-9),"")</f>
        <v/>
      </c>
      <c r="G992">
        <f>IF(B992,MOD(SIN(Seed*0.5917+C992*39.3468+D992*11.135)*24634.6345,1),"")</f>
        <v/>
      </c>
      <c r="H992">
        <f>IF(B992,SQRT(-2*LN(F992))*COS(2*PI()*G992),"")</f>
        <v/>
      </c>
      <c r="I992">
        <f>IF(B992,IF(D992=0,H992,Rho*I991+SQRT(1-Rho^2)*H992),"")</f>
        <v/>
      </c>
      <c r="J992">
        <f>IF(B992,IF(Dist="Normal",DistA+DistB*I992,DistA+(DistB-DistA)*NORMSDIST(I992)),"")</f>
        <v/>
      </c>
      <c r="K992">
        <f>IF(B992,INDEX(MineScale,C992),"")</f>
        <v/>
      </c>
      <c r="L992">
        <f>IF(B992,INDEX(Dow,1,WEEKDAY(E992,2)),"")</f>
        <v/>
      </c>
      <c r="M992">
        <f>IF(B992,(1+Trend)^D992,"")</f>
        <v/>
      </c>
      <c r="N992">
        <f>IF(B992,EXP(SUMPRODUCT(LN(1+(EvEff-1)*INDEX(Affected,0,C992)*EXP(-((E992-EvCenter)^2)/(2*EvSigma^2))))),"")</f>
        <v/>
      </c>
      <c r="O992">
        <f>IF(B992,ROUND(MAX(0,J992*K992*L992*M992*N992),2),"")</f>
        <v/>
      </c>
    </row>
    <row r="993">
      <c r="A993" t="n">
        <v>992</v>
      </c>
      <c r="B993">
        <f>A993&lt;=MineCount*Days</f>
        <v/>
      </c>
      <c r="C993">
        <f>IF(B993,INT((A993-1)/Days)+1,"")</f>
        <v/>
      </c>
      <c r="D993">
        <f>IF(B993,MOD(A993-1,Days),"")</f>
        <v/>
      </c>
      <c r="E993" s="16">
        <f>IF(B993,StartDate+D993,"")</f>
        <v/>
      </c>
      <c r="F993">
        <f>IF(B993,MAX(MOD(SIN(Seed*0.1373+C993*12.9898+D993*78.233)*43758.5453,1),1E-9),"")</f>
        <v/>
      </c>
      <c r="G993">
        <f>IF(B993,MOD(SIN(Seed*0.5917+C993*39.3468+D993*11.135)*24634.6345,1),"")</f>
        <v/>
      </c>
      <c r="H993">
        <f>IF(B993,SQRT(-2*LN(F993))*COS(2*PI()*G993),"")</f>
        <v/>
      </c>
      <c r="I993">
        <f>IF(B993,IF(D993=0,H993,Rho*I992+SQRT(1-Rho^2)*H993),"")</f>
        <v/>
      </c>
      <c r="J993">
        <f>IF(B993,IF(Dist="Normal",DistA+DistB*I993,DistA+(DistB-DistA)*NORMSDIST(I993)),"")</f>
        <v/>
      </c>
      <c r="K993">
        <f>IF(B993,INDEX(MineScale,C993),"")</f>
        <v/>
      </c>
      <c r="L993">
        <f>IF(B993,INDEX(Dow,1,WEEKDAY(E993,2)),"")</f>
        <v/>
      </c>
      <c r="M993">
        <f>IF(B993,(1+Trend)^D993,"")</f>
        <v/>
      </c>
      <c r="N993">
        <f>IF(B993,EXP(SUMPRODUCT(LN(1+(EvEff-1)*INDEX(Affected,0,C993)*EXP(-((E993-EvCenter)^2)/(2*EvSigma^2))))),"")</f>
        <v/>
      </c>
      <c r="O993">
        <f>IF(B993,ROUND(MAX(0,J993*K993*L993*M993*N993),2),"")</f>
        <v/>
      </c>
    </row>
    <row r="994">
      <c r="A994" t="n">
        <v>993</v>
      </c>
      <c r="B994">
        <f>A994&lt;=MineCount*Days</f>
        <v/>
      </c>
      <c r="C994">
        <f>IF(B994,INT((A994-1)/Days)+1,"")</f>
        <v/>
      </c>
      <c r="D994">
        <f>IF(B994,MOD(A994-1,Days),"")</f>
        <v/>
      </c>
      <c r="E994" s="16">
        <f>IF(B994,StartDate+D994,"")</f>
        <v/>
      </c>
      <c r="F994">
        <f>IF(B994,MAX(MOD(SIN(Seed*0.1373+C994*12.9898+D994*78.233)*43758.5453,1),1E-9),"")</f>
        <v/>
      </c>
      <c r="G994">
        <f>IF(B994,MOD(SIN(Seed*0.5917+C994*39.3468+D994*11.135)*24634.6345,1),"")</f>
        <v/>
      </c>
      <c r="H994">
        <f>IF(B994,SQRT(-2*LN(F994))*COS(2*PI()*G994),"")</f>
        <v/>
      </c>
      <c r="I994">
        <f>IF(B994,IF(D994=0,H994,Rho*I993+SQRT(1-Rho^2)*H994),"")</f>
        <v/>
      </c>
      <c r="J994">
        <f>IF(B994,IF(Dist="Normal",DistA+DistB*I994,DistA+(DistB-DistA)*NORMSDIST(I994)),"")</f>
        <v/>
      </c>
      <c r="K994">
        <f>IF(B994,INDEX(MineScale,C994),"")</f>
        <v/>
      </c>
      <c r="L994">
        <f>IF(B994,INDEX(Dow,1,WEEKDAY(E994,2)),"")</f>
        <v/>
      </c>
      <c r="M994">
        <f>IF(B994,(1+Trend)^D994,"")</f>
        <v/>
      </c>
      <c r="N994">
        <f>IF(B994,EXP(SUMPRODUCT(LN(1+(EvEff-1)*INDEX(Affected,0,C994)*EXP(-((E994-EvCenter)^2)/(2*EvSigma^2))))),"")</f>
        <v/>
      </c>
      <c r="O994">
        <f>IF(B994,ROUND(MAX(0,J994*K994*L994*M994*N994),2),"")</f>
        <v/>
      </c>
    </row>
    <row r="995">
      <c r="A995" t="n">
        <v>994</v>
      </c>
      <c r="B995">
        <f>A995&lt;=MineCount*Days</f>
        <v/>
      </c>
      <c r="C995">
        <f>IF(B995,INT((A995-1)/Days)+1,"")</f>
        <v/>
      </c>
      <c r="D995">
        <f>IF(B995,MOD(A995-1,Days),"")</f>
        <v/>
      </c>
      <c r="E995" s="16">
        <f>IF(B995,StartDate+D995,"")</f>
        <v/>
      </c>
      <c r="F995">
        <f>IF(B995,MAX(MOD(SIN(Seed*0.1373+C995*12.9898+D995*78.233)*43758.5453,1),1E-9),"")</f>
        <v/>
      </c>
      <c r="G995">
        <f>IF(B995,MOD(SIN(Seed*0.5917+C995*39.3468+D995*11.135)*24634.6345,1),"")</f>
        <v/>
      </c>
      <c r="H995">
        <f>IF(B995,SQRT(-2*LN(F995))*COS(2*PI()*G995),"")</f>
        <v/>
      </c>
      <c r="I995">
        <f>IF(B995,IF(D995=0,H995,Rho*I994+SQRT(1-Rho^2)*H995),"")</f>
        <v/>
      </c>
      <c r="J995">
        <f>IF(B995,IF(Dist="Normal",DistA+DistB*I995,DistA+(DistB-DistA)*NORMSDIST(I995)),"")</f>
        <v/>
      </c>
      <c r="K995">
        <f>IF(B995,INDEX(MineScale,C995),"")</f>
        <v/>
      </c>
      <c r="L995">
        <f>IF(B995,INDEX(Dow,1,WEEKDAY(E995,2)),"")</f>
        <v/>
      </c>
      <c r="M995">
        <f>IF(B995,(1+Trend)^D995,"")</f>
        <v/>
      </c>
      <c r="N995">
        <f>IF(B995,EXP(SUMPRODUCT(LN(1+(EvEff-1)*INDEX(Affected,0,C995)*EXP(-((E995-EvCenter)^2)/(2*EvSigma^2))))),"")</f>
        <v/>
      </c>
      <c r="O995">
        <f>IF(B995,ROUND(MAX(0,J995*K995*L995*M995*N995),2),"")</f>
        <v/>
      </c>
    </row>
    <row r="996">
      <c r="A996" t="n">
        <v>995</v>
      </c>
      <c r="B996">
        <f>A996&lt;=MineCount*Days</f>
        <v/>
      </c>
      <c r="C996">
        <f>IF(B996,INT((A996-1)/Days)+1,"")</f>
        <v/>
      </c>
      <c r="D996">
        <f>IF(B996,MOD(A996-1,Days),"")</f>
        <v/>
      </c>
      <c r="E996" s="16">
        <f>IF(B996,StartDate+D996,"")</f>
        <v/>
      </c>
      <c r="F996">
        <f>IF(B996,MAX(MOD(SIN(Seed*0.1373+C996*12.9898+D996*78.233)*43758.5453,1),1E-9),"")</f>
        <v/>
      </c>
      <c r="G996">
        <f>IF(B996,MOD(SIN(Seed*0.5917+C996*39.3468+D996*11.135)*24634.6345,1),"")</f>
        <v/>
      </c>
      <c r="H996">
        <f>IF(B996,SQRT(-2*LN(F996))*COS(2*PI()*G996),"")</f>
        <v/>
      </c>
      <c r="I996">
        <f>IF(B996,IF(D996=0,H996,Rho*I995+SQRT(1-Rho^2)*H996),"")</f>
        <v/>
      </c>
      <c r="J996">
        <f>IF(B996,IF(Dist="Normal",DistA+DistB*I996,DistA+(DistB-DistA)*NORMSDIST(I996)),"")</f>
        <v/>
      </c>
      <c r="K996">
        <f>IF(B996,INDEX(MineScale,C996),"")</f>
        <v/>
      </c>
      <c r="L996">
        <f>IF(B996,INDEX(Dow,1,WEEKDAY(E996,2)),"")</f>
        <v/>
      </c>
      <c r="M996">
        <f>IF(B996,(1+Trend)^D996,"")</f>
        <v/>
      </c>
      <c r="N996">
        <f>IF(B996,EXP(SUMPRODUCT(LN(1+(EvEff-1)*INDEX(Affected,0,C996)*EXP(-((E996-EvCenter)^2)/(2*EvSigma^2))))),"")</f>
        <v/>
      </c>
      <c r="O996">
        <f>IF(B996,ROUND(MAX(0,J996*K996*L996*M996*N996),2),"")</f>
        <v/>
      </c>
    </row>
    <row r="997">
      <c r="A997" t="n">
        <v>996</v>
      </c>
      <c r="B997">
        <f>A997&lt;=MineCount*Days</f>
        <v/>
      </c>
      <c r="C997">
        <f>IF(B997,INT((A997-1)/Days)+1,"")</f>
        <v/>
      </c>
      <c r="D997">
        <f>IF(B997,MOD(A997-1,Days),"")</f>
        <v/>
      </c>
      <c r="E997" s="16">
        <f>IF(B997,StartDate+D997,"")</f>
        <v/>
      </c>
      <c r="F997">
        <f>IF(B997,MAX(MOD(SIN(Seed*0.1373+C997*12.9898+D997*78.233)*43758.5453,1),1E-9),"")</f>
        <v/>
      </c>
      <c r="G997">
        <f>IF(B997,MOD(SIN(Seed*0.5917+C997*39.3468+D997*11.135)*24634.6345,1),"")</f>
        <v/>
      </c>
      <c r="H997">
        <f>IF(B997,SQRT(-2*LN(F997))*COS(2*PI()*G997),"")</f>
        <v/>
      </c>
      <c r="I997">
        <f>IF(B997,IF(D997=0,H997,Rho*I996+SQRT(1-Rho^2)*H997),"")</f>
        <v/>
      </c>
      <c r="J997">
        <f>IF(B997,IF(Dist="Normal",DistA+DistB*I997,DistA+(DistB-DistA)*NORMSDIST(I997)),"")</f>
        <v/>
      </c>
      <c r="K997">
        <f>IF(B997,INDEX(MineScale,C997),"")</f>
        <v/>
      </c>
      <c r="L997">
        <f>IF(B997,INDEX(Dow,1,WEEKDAY(E997,2)),"")</f>
        <v/>
      </c>
      <c r="M997">
        <f>IF(B997,(1+Trend)^D997,"")</f>
        <v/>
      </c>
      <c r="N997">
        <f>IF(B997,EXP(SUMPRODUCT(LN(1+(EvEff-1)*INDEX(Affected,0,C997)*EXP(-((E997-EvCenter)^2)/(2*EvSigma^2))))),"")</f>
        <v/>
      </c>
      <c r="O997">
        <f>IF(B997,ROUND(MAX(0,J997*K997*L997*M997*N997),2),"")</f>
        <v/>
      </c>
    </row>
    <row r="998">
      <c r="A998" t="n">
        <v>997</v>
      </c>
      <c r="B998">
        <f>A998&lt;=MineCount*Days</f>
        <v/>
      </c>
      <c r="C998">
        <f>IF(B998,INT((A998-1)/Days)+1,"")</f>
        <v/>
      </c>
      <c r="D998">
        <f>IF(B998,MOD(A998-1,Days),"")</f>
        <v/>
      </c>
      <c r="E998" s="16">
        <f>IF(B998,StartDate+D998,"")</f>
        <v/>
      </c>
      <c r="F998">
        <f>IF(B998,MAX(MOD(SIN(Seed*0.1373+C998*12.9898+D998*78.233)*43758.5453,1),1E-9),"")</f>
        <v/>
      </c>
      <c r="G998">
        <f>IF(B998,MOD(SIN(Seed*0.5917+C998*39.3468+D998*11.135)*24634.6345,1),"")</f>
        <v/>
      </c>
      <c r="H998">
        <f>IF(B998,SQRT(-2*LN(F998))*COS(2*PI()*G998),"")</f>
        <v/>
      </c>
      <c r="I998">
        <f>IF(B998,IF(D998=0,H998,Rho*I997+SQRT(1-Rho^2)*H998),"")</f>
        <v/>
      </c>
      <c r="J998">
        <f>IF(B998,IF(Dist="Normal",DistA+DistB*I998,DistA+(DistB-DistA)*NORMSDIST(I998)),"")</f>
        <v/>
      </c>
      <c r="K998">
        <f>IF(B998,INDEX(MineScale,C998),"")</f>
        <v/>
      </c>
      <c r="L998">
        <f>IF(B998,INDEX(Dow,1,WEEKDAY(E998,2)),"")</f>
        <v/>
      </c>
      <c r="M998">
        <f>IF(B998,(1+Trend)^D998,"")</f>
        <v/>
      </c>
      <c r="N998">
        <f>IF(B998,EXP(SUMPRODUCT(LN(1+(EvEff-1)*INDEX(Affected,0,C998)*EXP(-((E998-EvCenter)^2)/(2*EvSigma^2))))),"")</f>
        <v/>
      </c>
      <c r="O998">
        <f>IF(B998,ROUND(MAX(0,J998*K998*L998*M998*N998),2),"")</f>
        <v/>
      </c>
    </row>
    <row r="999">
      <c r="A999" t="n">
        <v>998</v>
      </c>
      <c r="B999">
        <f>A999&lt;=MineCount*Days</f>
        <v/>
      </c>
      <c r="C999">
        <f>IF(B999,INT((A999-1)/Days)+1,"")</f>
        <v/>
      </c>
      <c r="D999">
        <f>IF(B999,MOD(A999-1,Days),"")</f>
        <v/>
      </c>
      <c r="E999" s="16">
        <f>IF(B999,StartDate+D999,"")</f>
        <v/>
      </c>
      <c r="F999">
        <f>IF(B999,MAX(MOD(SIN(Seed*0.1373+C999*12.9898+D999*78.233)*43758.5453,1),1E-9),"")</f>
        <v/>
      </c>
      <c r="G999">
        <f>IF(B999,MOD(SIN(Seed*0.5917+C999*39.3468+D999*11.135)*24634.6345,1),"")</f>
        <v/>
      </c>
      <c r="H999">
        <f>IF(B999,SQRT(-2*LN(F999))*COS(2*PI()*G999),"")</f>
        <v/>
      </c>
      <c r="I999">
        <f>IF(B999,IF(D999=0,H999,Rho*I998+SQRT(1-Rho^2)*H999),"")</f>
        <v/>
      </c>
      <c r="J999">
        <f>IF(B999,IF(Dist="Normal",DistA+DistB*I999,DistA+(DistB-DistA)*NORMSDIST(I999)),"")</f>
        <v/>
      </c>
      <c r="K999">
        <f>IF(B999,INDEX(MineScale,C999),"")</f>
        <v/>
      </c>
      <c r="L999">
        <f>IF(B999,INDEX(Dow,1,WEEKDAY(E999,2)),"")</f>
        <v/>
      </c>
      <c r="M999">
        <f>IF(B999,(1+Trend)^D999,"")</f>
        <v/>
      </c>
      <c r="N999">
        <f>IF(B999,EXP(SUMPRODUCT(LN(1+(EvEff-1)*INDEX(Affected,0,C999)*EXP(-((E999-EvCenter)^2)/(2*EvSigma^2))))),"")</f>
        <v/>
      </c>
      <c r="O999">
        <f>IF(B999,ROUND(MAX(0,J999*K999*L999*M999*N999),2),"")</f>
        <v/>
      </c>
    </row>
    <row r="1000">
      <c r="A1000" t="n">
        <v>999</v>
      </c>
      <c r="B1000">
        <f>A1000&lt;=MineCount*Days</f>
        <v/>
      </c>
      <c r="C1000">
        <f>IF(B1000,INT((A1000-1)/Days)+1,"")</f>
        <v/>
      </c>
      <c r="D1000">
        <f>IF(B1000,MOD(A1000-1,Days),"")</f>
        <v/>
      </c>
      <c r="E1000" s="16">
        <f>IF(B1000,StartDate+D1000,"")</f>
        <v/>
      </c>
      <c r="F1000">
        <f>IF(B1000,MAX(MOD(SIN(Seed*0.1373+C1000*12.9898+D1000*78.233)*43758.5453,1),1E-9),"")</f>
        <v/>
      </c>
      <c r="G1000">
        <f>IF(B1000,MOD(SIN(Seed*0.5917+C1000*39.3468+D1000*11.135)*24634.6345,1),"")</f>
        <v/>
      </c>
      <c r="H1000">
        <f>IF(B1000,SQRT(-2*LN(F1000))*COS(2*PI()*G1000),"")</f>
        <v/>
      </c>
      <c r="I1000">
        <f>IF(B1000,IF(D1000=0,H1000,Rho*I999+SQRT(1-Rho^2)*H1000),"")</f>
        <v/>
      </c>
      <c r="J1000">
        <f>IF(B1000,IF(Dist="Normal",DistA+DistB*I1000,DistA+(DistB-DistA)*NORMSDIST(I1000)),"")</f>
        <v/>
      </c>
      <c r="K1000">
        <f>IF(B1000,INDEX(MineScale,C1000),"")</f>
        <v/>
      </c>
      <c r="L1000">
        <f>IF(B1000,INDEX(Dow,1,WEEKDAY(E1000,2)),"")</f>
        <v/>
      </c>
      <c r="M1000">
        <f>IF(B1000,(1+Trend)^D1000,"")</f>
        <v/>
      </c>
      <c r="N1000">
        <f>IF(B1000,EXP(SUMPRODUCT(LN(1+(EvEff-1)*INDEX(Affected,0,C1000)*EXP(-((E1000-EvCenter)^2)/(2*EvSigma^2))))),"")</f>
        <v/>
      </c>
      <c r="O1000">
        <f>IF(B1000,ROUND(MAX(0,J1000*K1000*L1000*M1000*N1000),2),"")</f>
        <v/>
      </c>
    </row>
    <row r="1001">
      <c r="A1001" t="n">
        <v>1000</v>
      </c>
      <c r="B1001">
        <f>A1001&lt;=MineCount*Days</f>
        <v/>
      </c>
      <c r="C1001">
        <f>IF(B1001,INT((A1001-1)/Days)+1,"")</f>
        <v/>
      </c>
      <c r="D1001">
        <f>IF(B1001,MOD(A1001-1,Days),"")</f>
        <v/>
      </c>
      <c r="E1001" s="16">
        <f>IF(B1001,StartDate+D1001,"")</f>
        <v/>
      </c>
      <c r="F1001">
        <f>IF(B1001,MAX(MOD(SIN(Seed*0.1373+C1001*12.9898+D1001*78.233)*43758.5453,1),1E-9),"")</f>
        <v/>
      </c>
      <c r="G1001">
        <f>IF(B1001,MOD(SIN(Seed*0.5917+C1001*39.3468+D1001*11.135)*24634.6345,1),"")</f>
        <v/>
      </c>
      <c r="H1001">
        <f>IF(B1001,SQRT(-2*LN(F1001))*COS(2*PI()*G1001),"")</f>
        <v/>
      </c>
      <c r="I1001">
        <f>IF(B1001,IF(D1001=0,H1001,Rho*I1000+SQRT(1-Rho^2)*H1001),"")</f>
        <v/>
      </c>
      <c r="J1001">
        <f>IF(B1001,IF(Dist="Normal",DistA+DistB*I1001,DistA+(DistB-DistA)*NORMSDIST(I1001)),"")</f>
        <v/>
      </c>
      <c r="K1001">
        <f>IF(B1001,INDEX(MineScale,C1001),"")</f>
        <v/>
      </c>
      <c r="L1001">
        <f>IF(B1001,INDEX(Dow,1,WEEKDAY(E1001,2)),"")</f>
        <v/>
      </c>
      <c r="M1001">
        <f>IF(B1001,(1+Trend)^D1001,"")</f>
        <v/>
      </c>
      <c r="N1001">
        <f>IF(B1001,EXP(SUMPRODUCT(LN(1+(EvEff-1)*INDEX(Affected,0,C1001)*EXP(-((E1001-EvCenter)^2)/(2*EvSigma^2))))),"")</f>
        <v/>
      </c>
      <c r="O1001">
        <f>IF(B1001,ROUND(MAX(0,J1001*K1001*L1001*M1001*N1001),2),"")</f>
        <v/>
      </c>
    </row>
    <row r="1002">
      <c r="A1002" t="n">
        <v>1001</v>
      </c>
      <c r="B1002">
        <f>A1002&lt;=MineCount*Days</f>
        <v/>
      </c>
      <c r="C1002">
        <f>IF(B1002,INT((A1002-1)/Days)+1,"")</f>
        <v/>
      </c>
      <c r="D1002">
        <f>IF(B1002,MOD(A1002-1,Days),"")</f>
        <v/>
      </c>
      <c r="E1002" s="16">
        <f>IF(B1002,StartDate+D1002,"")</f>
        <v/>
      </c>
      <c r="F1002">
        <f>IF(B1002,MAX(MOD(SIN(Seed*0.1373+C1002*12.9898+D1002*78.233)*43758.5453,1),1E-9),"")</f>
        <v/>
      </c>
      <c r="G1002">
        <f>IF(B1002,MOD(SIN(Seed*0.5917+C1002*39.3468+D1002*11.135)*24634.6345,1),"")</f>
        <v/>
      </c>
      <c r="H1002">
        <f>IF(B1002,SQRT(-2*LN(F1002))*COS(2*PI()*G1002),"")</f>
        <v/>
      </c>
      <c r="I1002">
        <f>IF(B1002,IF(D1002=0,H1002,Rho*I1001+SQRT(1-Rho^2)*H1002),"")</f>
        <v/>
      </c>
      <c r="J1002">
        <f>IF(B1002,IF(Dist="Normal",DistA+DistB*I1002,DistA+(DistB-DistA)*NORMSDIST(I1002)),"")</f>
        <v/>
      </c>
      <c r="K1002">
        <f>IF(B1002,INDEX(MineScale,C1002),"")</f>
        <v/>
      </c>
      <c r="L1002">
        <f>IF(B1002,INDEX(Dow,1,WEEKDAY(E1002,2)),"")</f>
        <v/>
      </c>
      <c r="M1002">
        <f>IF(B1002,(1+Trend)^D1002,"")</f>
        <v/>
      </c>
      <c r="N1002">
        <f>IF(B1002,EXP(SUMPRODUCT(LN(1+(EvEff-1)*INDEX(Affected,0,C1002)*EXP(-((E1002-EvCenter)^2)/(2*EvSigma^2))))),"")</f>
        <v/>
      </c>
      <c r="O1002">
        <f>IF(B1002,ROUND(MAX(0,J1002*K1002*L1002*M1002*N1002),2),"")</f>
        <v/>
      </c>
    </row>
    <row r="1003">
      <c r="A1003" t="n">
        <v>1002</v>
      </c>
      <c r="B1003">
        <f>A1003&lt;=MineCount*Days</f>
        <v/>
      </c>
      <c r="C1003">
        <f>IF(B1003,INT((A1003-1)/Days)+1,"")</f>
        <v/>
      </c>
      <c r="D1003">
        <f>IF(B1003,MOD(A1003-1,Days),"")</f>
        <v/>
      </c>
      <c r="E1003" s="16">
        <f>IF(B1003,StartDate+D1003,"")</f>
        <v/>
      </c>
      <c r="F1003">
        <f>IF(B1003,MAX(MOD(SIN(Seed*0.1373+C1003*12.9898+D1003*78.233)*43758.5453,1),1E-9),"")</f>
        <v/>
      </c>
      <c r="G1003">
        <f>IF(B1003,MOD(SIN(Seed*0.5917+C1003*39.3468+D1003*11.135)*24634.6345,1),"")</f>
        <v/>
      </c>
      <c r="H1003">
        <f>IF(B1003,SQRT(-2*LN(F1003))*COS(2*PI()*G1003),"")</f>
        <v/>
      </c>
      <c r="I1003">
        <f>IF(B1003,IF(D1003=0,H1003,Rho*I1002+SQRT(1-Rho^2)*H1003),"")</f>
        <v/>
      </c>
      <c r="J1003">
        <f>IF(B1003,IF(Dist="Normal",DistA+DistB*I1003,DistA+(DistB-DistA)*NORMSDIST(I1003)),"")</f>
        <v/>
      </c>
      <c r="K1003">
        <f>IF(B1003,INDEX(MineScale,C1003),"")</f>
        <v/>
      </c>
      <c r="L1003">
        <f>IF(B1003,INDEX(Dow,1,WEEKDAY(E1003,2)),"")</f>
        <v/>
      </c>
      <c r="M1003">
        <f>IF(B1003,(1+Trend)^D1003,"")</f>
        <v/>
      </c>
      <c r="N1003">
        <f>IF(B1003,EXP(SUMPRODUCT(LN(1+(EvEff-1)*INDEX(Affected,0,C1003)*EXP(-((E1003-EvCenter)^2)/(2*EvSigma^2))))),"")</f>
        <v/>
      </c>
      <c r="O1003">
        <f>IF(B1003,ROUND(MAX(0,J1003*K1003*L1003*M1003*N1003),2),"")</f>
        <v/>
      </c>
    </row>
    <row r="1004">
      <c r="A1004" t="n">
        <v>1003</v>
      </c>
      <c r="B1004">
        <f>A1004&lt;=MineCount*Days</f>
        <v/>
      </c>
      <c r="C1004">
        <f>IF(B1004,INT((A1004-1)/Days)+1,"")</f>
        <v/>
      </c>
      <c r="D1004">
        <f>IF(B1004,MOD(A1004-1,Days),"")</f>
        <v/>
      </c>
      <c r="E1004" s="16">
        <f>IF(B1004,StartDate+D1004,"")</f>
        <v/>
      </c>
      <c r="F1004">
        <f>IF(B1004,MAX(MOD(SIN(Seed*0.1373+C1004*12.9898+D1004*78.233)*43758.5453,1),1E-9),"")</f>
        <v/>
      </c>
      <c r="G1004">
        <f>IF(B1004,MOD(SIN(Seed*0.5917+C1004*39.3468+D1004*11.135)*24634.6345,1),"")</f>
        <v/>
      </c>
      <c r="H1004">
        <f>IF(B1004,SQRT(-2*LN(F1004))*COS(2*PI()*G1004),"")</f>
        <v/>
      </c>
      <c r="I1004">
        <f>IF(B1004,IF(D1004=0,H1004,Rho*I1003+SQRT(1-Rho^2)*H1004),"")</f>
        <v/>
      </c>
      <c r="J1004">
        <f>IF(B1004,IF(Dist="Normal",DistA+DistB*I1004,DistA+(DistB-DistA)*NORMSDIST(I1004)),"")</f>
        <v/>
      </c>
      <c r="K1004">
        <f>IF(B1004,INDEX(MineScale,C1004),"")</f>
        <v/>
      </c>
      <c r="L1004">
        <f>IF(B1004,INDEX(Dow,1,WEEKDAY(E1004,2)),"")</f>
        <v/>
      </c>
      <c r="M1004">
        <f>IF(B1004,(1+Trend)^D1004,"")</f>
        <v/>
      </c>
      <c r="N1004">
        <f>IF(B1004,EXP(SUMPRODUCT(LN(1+(EvEff-1)*INDEX(Affected,0,C1004)*EXP(-((E1004-EvCenter)^2)/(2*EvSigma^2))))),"")</f>
        <v/>
      </c>
      <c r="O1004">
        <f>IF(B1004,ROUND(MAX(0,J1004*K1004*L1004*M1004*N1004),2),"")</f>
        <v/>
      </c>
    </row>
    <row r="1005">
      <c r="A1005" t="n">
        <v>1004</v>
      </c>
      <c r="B1005">
        <f>A1005&lt;=MineCount*Days</f>
        <v/>
      </c>
      <c r="C1005">
        <f>IF(B1005,INT((A1005-1)/Days)+1,"")</f>
        <v/>
      </c>
      <c r="D1005">
        <f>IF(B1005,MOD(A1005-1,Days),"")</f>
        <v/>
      </c>
      <c r="E1005" s="16">
        <f>IF(B1005,StartDate+D1005,"")</f>
        <v/>
      </c>
      <c r="F1005">
        <f>IF(B1005,MAX(MOD(SIN(Seed*0.1373+C1005*12.9898+D1005*78.233)*43758.5453,1),1E-9),"")</f>
        <v/>
      </c>
      <c r="G1005">
        <f>IF(B1005,MOD(SIN(Seed*0.5917+C1005*39.3468+D1005*11.135)*24634.6345,1),"")</f>
        <v/>
      </c>
      <c r="H1005">
        <f>IF(B1005,SQRT(-2*LN(F1005))*COS(2*PI()*G1005),"")</f>
        <v/>
      </c>
      <c r="I1005">
        <f>IF(B1005,IF(D1005=0,H1005,Rho*I1004+SQRT(1-Rho^2)*H1005),"")</f>
        <v/>
      </c>
      <c r="J1005">
        <f>IF(B1005,IF(Dist="Normal",DistA+DistB*I1005,DistA+(DistB-DistA)*NORMSDIST(I1005)),"")</f>
        <v/>
      </c>
      <c r="K1005">
        <f>IF(B1005,INDEX(MineScale,C1005),"")</f>
        <v/>
      </c>
      <c r="L1005">
        <f>IF(B1005,INDEX(Dow,1,WEEKDAY(E1005,2)),"")</f>
        <v/>
      </c>
      <c r="M1005">
        <f>IF(B1005,(1+Trend)^D1005,"")</f>
        <v/>
      </c>
      <c r="N1005">
        <f>IF(B1005,EXP(SUMPRODUCT(LN(1+(EvEff-1)*INDEX(Affected,0,C1005)*EXP(-((E1005-EvCenter)^2)/(2*EvSigma^2))))),"")</f>
        <v/>
      </c>
      <c r="O1005">
        <f>IF(B1005,ROUND(MAX(0,J1005*K1005*L1005*M1005*N1005),2),"")</f>
        <v/>
      </c>
    </row>
    <row r="1006">
      <c r="A1006" t="n">
        <v>1005</v>
      </c>
      <c r="B1006">
        <f>A1006&lt;=MineCount*Days</f>
        <v/>
      </c>
      <c r="C1006">
        <f>IF(B1006,INT((A1006-1)/Days)+1,"")</f>
        <v/>
      </c>
      <c r="D1006">
        <f>IF(B1006,MOD(A1006-1,Days),"")</f>
        <v/>
      </c>
      <c r="E1006" s="16">
        <f>IF(B1006,StartDate+D1006,"")</f>
        <v/>
      </c>
      <c r="F1006">
        <f>IF(B1006,MAX(MOD(SIN(Seed*0.1373+C1006*12.9898+D1006*78.233)*43758.5453,1),1E-9),"")</f>
        <v/>
      </c>
      <c r="G1006">
        <f>IF(B1006,MOD(SIN(Seed*0.5917+C1006*39.3468+D1006*11.135)*24634.6345,1),"")</f>
        <v/>
      </c>
      <c r="H1006">
        <f>IF(B1006,SQRT(-2*LN(F1006))*COS(2*PI()*G1006),"")</f>
        <v/>
      </c>
      <c r="I1006">
        <f>IF(B1006,IF(D1006=0,H1006,Rho*I1005+SQRT(1-Rho^2)*H1006),"")</f>
        <v/>
      </c>
      <c r="J1006">
        <f>IF(B1006,IF(Dist="Normal",DistA+DistB*I1006,DistA+(DistB-DistA)*NORMSDIST(I1006)),"")</f>
        <v/>
      </c>
      <c r="K1006">
        <f>IF(B1006,INDEX(MineScale,C1006),"")</f>
        <v/>
      </c>
      <c r="L1006">
        <f>IF(B1006,INDEX(Dow,1,WEEKDAY(E1006,2)),"")</f>
        <v/>
      </c>
      <c r="M1006">
        <f>IF(B1006,(1+Trend)^D1006,"")</f>
        <v/>
      </c>
      <c r="N1006">
        <f>IF(B1006,EXP(SUMPRODUCT(LN(1+(EvEff-1)*INDEX(Affected,0,C1006)*EXP(-((E1006-EvCenter)^2)/(2*EvSigma^2))))),"")</f>
        <v/>
      </c>
      <c r="O1006">
        <f>IF(B1006,ROUND(MAX(0,J1006*K1006*L1006*M1006*N1006),2),"")</f>
        <v/>
      </c>
    </row>
    <row r="1007">
      <c r="A1007" t="n">
        <v>1006</v>
      </c>
      <c r="B1007">
        <f>A1007&lt;=MineCount*Days</f>
        <v/>
      </c>
      <c r="C1007">
        <f>IF(B1007,INT((A1007-1)/Days)+1,"")</f>
        <v/>
      </c>
      <c r="D1007">
        <f>IF(B1007,MOD(A1007-1,Days),"")</f>
        <v/>
      </c>
      <c r="E1007" s="16">
        <f>IF(B1007,StartDate+D1007,"")</f>
        <v/>
      </c>
      <c r="F1007">
        <f>IF(B1007,MAX(MOD(SIN(Seed*0.1373+C1007*12.9898+D1007*78.233)*43758.5453,1),1E-9),"")</f>
        <v/>
      </c>
      <c r="G1007">
        <f>IF(B1007,MOD(SIN(Seed*0.5917+C1007*39.3468+D1007*11.135)*24634.6345,1),"")</f>
        <v/>
      </c>
      <c r="H1007">
        <f>IF(B1007,SQRT(-2*LN(F1007))*COS(2*PI()*G1007),"")</f>
        <v/>
      </c>
      <c r="I1007">
        <f>IF(B1007,IF(D1007=0,H1007,Rho*I1006+SQRT(1-Rho^2)*H1007),"")</f>
        <v/>
      </c>
      <c r="J1007">
        <f>IF(B1007,IF(Dist="Normal",DistA+DistB*I1007,DistA+(DistB-DistA)*NORMSDIST(I1007)),"")</f>
        <v/>
      </c>
      <c r="K1007">
        <f>IF(B1007,INDEX(MineScale,C1007),"")</f>
        <v/>
      </c>
      <c r="L1007">
        <f>IF(B1007,INDEX(Dow,1,WEEKDAY(E1007,2)),"")</f>
        <v/>
      </c>
      <c r="M1007">
        <f>IF(B1007,(1+Trend)^D1007,"")</f>
        <v/>
      </c>
      <c r="N1007">
        <f>IF(B1007,EXP(SUMPRODUCT(LN(1+(EvEff-1)*INDEX(Affected,0,C1007)*EXP(-((E1007-EvCenter)^2)/(2*EvSigma^2))))),"")</f>
        <v/>
      </c>
      <c r="O1007">
        <f>IF(B1007,ROUND(MAX(0,J1007*K1007*L1007*M1007*N1007),2),"")</f>
        <v/>
      </c>
    </row>
    <row r="1008">
      <c r="A1008" t="n">
        <v>1007</v>
      </c>
      <c r="B1008">
        <f>A1008&lt;=MineCount*Days</f>
        <v/>
      </c>
      <c r="C1008">
        <f>IF(B1008,INT((A1008-1)/Days)+1,"")</f>
        <v/>
      </c>
      <c r="D1008">
        <f>IF(B1008,MOD(A1008-1,Days),"")</f>
        <v/>
      </c>
      <c r="E1008" s="16">
        <f>IF(B1008,StartDate+D1008,"")</f>
        <v/>
      </c>
      <c r="F1008">
        <f>IF(B1008,MAX(MOD(SIN(Seed*0.1373+C1008*12.9898+D1008*78.233)*43758.5453,1),1E-9),"")</f>
        <v/>
      </c>
      <c r="G1008">
        <f>IF(B1008,MOD(SIN(Seed*0.5917+C1008*39.3468+D1008*11.135)*24634.6345,1),"")</f>
        <v/>
      </c>
      <c r="H1008">
        <f>IF(B1008,SQRT(-2*LN(F1008))*COS(2*PI()*G1008),"")</f>
        <v/>
      </c>
      <c r="I1008">
        <f>IF(B1008,IF(D1008=0,H1008,Rho*I1007+SQRT(1-Rho^2)*H1008),"")</f>
        <v/>
      </c>
      <c r="J1008">
        <f>IF(B1008,IF(Dist="Normal",DistA+DistB*I1008,DistA+(DistB-DistA)*NORMSDIST(I1008)),"")</f>
        <v/>
      </c>
      <c r="K1008">
        <f>IF(B1008,INDEX(MineScale,C1008),"")</f>
        <v/>
      </c>
      <c r="L1008">
        <f>IF(B1008,INDEX(Dow,1,WEEKDAY(E1008,2)),"")</f>
        <v/>
      </c>
      <c r="M1008">
        <f>IF(B1008,(1+Trend)^D1008,"")</f>
        <v/>
      </c>
      <c r="N1008">
        <f>IF(B1008,EXP(SUMPRODUCT(LN(1+(EvEff-1)*INDEX(Affected,0,C1008)*EXP(-((E1008-EvCenter)^2)/(2*EvSigma^2))))),"")</f>
        <v/>
      </c>
      <c r="O1008">
        <f>IF(B1008,ROUND(MAX(0,J1008*K1008*L1008*M1008*N1008),2),"")</f>
        <v/>
      </c>
    </row>
    <row r="1009">
      <c r="A1009" t="n">
        <v>1008</v>
      </c>
      <c r="B1009">
        <f>A1009&lt;=MineCount*Days</f>
        <v/>
      </c>
      <c r="C1009">
        <f>IF(B1009,INT((A1009-1)/Days)+1,"")</f>
        <v/>
      </c>
      <c r="D1009">
        <f>IF(B1009,MOD(A1009-1,Days),"")</f>
        <v/>
      </c>
      <c r="E1009" s="16">
        <f>IF(B1009,StartDate+D1009,"")</f>
        <v/>
      </c>
      <c r="F1009">
        <f>IF(B1009,MAX(MOD(SIN(Seed*0.1373+C1009*12.9898+D1009*78.233)*43758.5453,1),1E-9),"")</f>
        <v/>
      </c>
      <c r="G1009">
        <f>IF(B1009,MOD(SIN(Seed*0.5917+C1009*39.3468+D1009*11.135)*24634.6345,1),"")</f>
        <v/>
      </c>
      <c r="H1009">
        <f>IF(B1009,SQRT(-2*LN(F1009))*COS(2*PI()*G1009),"")</f>
        <v/>
      </c>
      <c r="I1009">
        <f>IF(B1009,IF(D1009=0,H1009,Rho*I1008+SQRT(1-Rho^2)*H1009),"")</f>
        <v/>
      </c>
      <c r="J1009">
        <f>IF(B1009,IF(Dist="Normal",DistA+DistB*I1009,DistA+(DistB-DistA)*NORMSDIST(I1009)),"")</f>
        <v/>
      </c>
      <c r="K1009">
        <f>IF(B1009,INDEX(MineScale,C1009),"")</f>
        <v/>
      </c>
      <c r="L1009">
        <f>IF(B1009,INDEX(Dow,1,WEEKDAY(E1009,2)),"")</f>
        <v/>
      </c>
      <c r="M1009">
        <f>IF(B1009,(1+Trend)^D1009,"")</f>
        <v/>
      </c>
      <c r="N1009">
        <f>IF(B1009,EXP(SUMPRODUCT(LN(1+(EvEff-1)*INDEX(Affected,0,C1009)*EXP(-((E1009-EvCenter)^2)/(2*EvSigma^2))))),"")</f>
        <v/>
      </c>
      <c r="O1009">
        <f>IF(B1009,ROUND(MAX(0,J1009*K1009*L1009*M1009*N1009),2),"")</f>
        <v/>
      </c>
    </row>
    <row r="1010">
      <c r="A1010" t="n">
        <v>1009</v>
      </c>
      <c r="B1010">
        <f>A1010&lt;=MineCount*Days</f>
        <v/>
      </c>
      <c r="C1010">
        <f>IF(B1010,INT((A1010-1)/Days)+1,"")</f>
        <v/>
      </c>
      <c r="D1010">
        <f>IF(B1010,MOD(A1010-1,Days),"")</f>
        <v/>
      </c>
      <c r="E1010" s="16">
        <f>IF(B1010,StartDate+D1010,"")</f>
        <v/>
      </c>
      <c r="F1010">
        <f>IF(B1010,MAX(MOD(SIN(Seed*0.1373+C1010*12.9898+D1010*78.233)*43758.5453,1),1E-9),"")</f>
        <v/>
      </c>
      <c r="G1010">
        <f>IF(B1010,MOD(SIN(Seed*0.5917+C1010*39.3468+D1010*11.135)*24634.6345,1),"")</f>
        <v/>
      </c>
      <c r="H1010">
        <f>IF(B1010,SQRT(-2*LN(F1010))*COS(2*PI()*G1010),"")</f>
        <v/>
      </c>
      <c r="I1010">
        <f>IF(B1010,IF(D1010=0,H1010,Rho*I1009+SQRT(1-Rho^2)*H1010),"")</f>
        <v/>
      </c>
      <c r="J1010">
        <f>IF(B1010,IF(Dist="Normal",DistA+DistB*I1010,DistA+(DistB-DistA)*NORMSDIST(I1010)),"")</f>
        <v/>
      </c>
      <c r="K1010">
        <f>IF(B1010,INDEX(MineScale,C1010),"")</f>
        <v/>
      </c>
      <c r="L1010">
        <f>IF(B1010,INDEX(Dow,1,WEEKDAY(E1010,2)),"")</f>
        <v/>
      </c>
      <c r="M1010">
        <f>IF(B1010,(1+Trend)^D1010,"")</f>
        <v/>
      </c>
      <c r="N1010">
        <f>IF(B1010,EXP(SUMPRODUCT(LN(1+(EvEff-1)*INDEX(Affected,0,C1010)*EXP(-((E1010-EvCenter)^2)/(2*EvSigma^2))))),"")</f>
        <v/>
      </c>
      <c r="O1010">
        <f>IF(B1010,ROUND(MAX(0,J1010*K1010*L1010*M1010*N1010),2),"")</f>
        <v/>
      </c>
    </row>
    <row r="1011">
      <c r="A1011" t="n">
        <v>1010</v>
      </c>
      <c r="B1011">
        <f>A1011&lt;=MineCount*Days</f>
        <v/>
      </c>
      <c r="C1011">
        <f>IF(B1011,INT((A1011-1)/Days)+1,"")</f>
        <v/>
      </c>
      <c r="D1011">
        <f>IF(B1011,MOD(A1011-1,Days),"")</f>
        <v/>
      </c>
      <c r="E1011" s="16">
        <f>IF(B1011,StartDate+D1011,"")</f>
        <v/>
      </c>
      <c r="F1011">
        <f>IF(B1011,MAX(MOD(SIN(Seed*0.1373+C1011*12.9898+D1011*78.233)*43758.5453,1),1E-9),"")</f>
        <v/>
      </c>
      <c r="G1011">
        <f>IF(B1011,MOD(SIN(Seed*0.5917+C1011*39.3468+D1011*11.135)*24634.6345,1),"")</f>
        <v/>
      </c>
      <c r="H1011">
        <f>IF(B1011,SQRT(-2*LN(F1011))*COS(2*PI()*G1011),"")</f>
        <v/>
      </c>
      <c r="I1011">
        <f>IF(B1011,IF(D1011=0,H1011,Rho*I1010+SQRT(1-Rho^2)*H1011),"")</f>
        <v/>
      </c>
      <c r="J1011">
        <f>IF(B1011,IF(Dist="Normal",DistA+DistB*I1011,DistA+(DistB-DistA)*NORMSDIST(I1011)),"")</f>
        <v/>
      </c>
      <c r="K1011">
        <f>IF(B1011,INDEX(MineScale,C1011),"")</f>
        <v/>
      </c>
      <c r="L1011">
        <f>IF(B1011,INDEX(Dow,1,WEEKDAY(E1011,2)),"")</f>
        <v/>
      </c>
      <c r="M1011">
        <f>IF(B1011,(1+Trend)^D1011,"")</f>
        <v/>
      </c>
      <c r="N1011">
        <f>IF(B1011,EXP(SUMPRODUCT(LN(1+(EvEff-1)*INDEX(Affected,0,C1011)*EXP(-((E1011-EvCenter)^2)/(2*EvSigma^2))))),"")</f>
        <v/>
      </c>
      <c r="O1011">
        <f>IF(B1011,ROUND(MAX(0,J1011*K1011*L1011*M1011*N1011),2),"")</f>
        <v/>
      </c>
    </row>
    <row r="1012">
      <c r="A1012" t="n">
        <v>1011</v>
      </c>
      <c r="B1012">
        <f>A1012&lt;=MineCount*Days</f>
        <v/>
      </c>
      <c r="C1012">
        <f>IF(B1012,INT((A1012-1)/Days)+1,"")</f>
        <v/>
      </c>
      <c r="D1012">
        <f>IF(B1012,MOD(A1012-1,Days),"")</f>
        <v/>
      </c>
      <c r="E1012" s="16">
        <f>IF(B1012,StartDate+D1012,"")</f>
        <v/>
      </c>
      <c r="F1012">
        <f>IF(B1012,MAX(MOD(SIN(Seed*0.1373+C1012*12.9898+D1012*78.233)*43758.5453,1),1E-9),"")</f>
        <v/>
      </c>
      <c r="G1012">
        <f>IF(B1012,MOD(SIN(Seed*0.5917+C1012*39.3468+D1012*11.135)*24634.6345,1),"")</f>
        <v/>
      </c>
      <c r="H1012">
        <f>IF(B1012,SQRT(-2*LN(F1012))*COS(2*PI()*G1012),"")</f>
        <v/>
      </c>
      <c r="I1012">
        <f>IF(B1012,IF(D1012=0,H1012,Rho*I1011+SQRT(1-Rho^2)*H1012),"")</f>
        <v/>
      </c>
      <c r="J1012">
        <f>IF(B1012,IF(Dist="Normal",DistA+DistB*I1012,DistA+(DistB-DistA)*NORMSDIST(I1012)),"")</f>
        <v/>
      </c>
      <c r="K1012">
        <f>IF(B1012,INDEX(MineScale,C1012),"")</f>
        <v/>
      </c>
      <c r="L1012">
        <f>IF(B1012,INDEX(Dow,1,WEEKDAY(E1012,2)),"")</f>
        <v/>
      </c>
      <c r="M1012">
        <f>IF(B1012,(1+Trend)^D1012,"")</f>
        <v/>
      </c>
      <c r="N1012">
        <f>IF(B1012,EXP(SUMPRODUCT(LN(1+(EvEff-1)*INDEX(Affected,0,C1012)*EXP(-((E1012-EvCenter)^2)/(2*EvSigma^2))))),"")</f>
        <v/>
      </c>
      <c r="O1012">
        <f>IF(B1012,ROUND(MAX(0,J1012*K1012*L1012*M1012*N1012),2),"")</f>
        <v/>
      </c>
    </row>
    <row r="1013">
      <c r="A1013" t="n">
        <v>1012</v>
      </c>
      <c r="B1013">
        <f>A1013&lt;=MineCount*Days</f>
        <v/>
      </c>
      <c r="C1013">
        <f>IF(B1013,INT((A1013-1)/Days)+1,"")</f>
        <v/>
      </c>
      <c r="D1013">
        <f>IF(B1013,MOD(A1013-1,Days),"")</f>
        <v/>
      </c>
      <c r="E1013" s="16">
        <f>IF(B1013,StartDate+D1013,"")</f>
        <v/>
      </c>
      <c r="F1013">
        <f>IF(B1013,MAX(MOD(SIN(Seed*0.1373+C1013*12.9898+D1013*78.233)*43758.5453,1),1E-9),"")</f>
        <v/>
      </c>
      <c r="G1013">
        <f>IF(B1013,MOD(SIN(Seed*0.5917+C1013*39.3468+D1013*11.135)*24634.6345,1),"")</f>
        <v/>
      </c>
      <c r="H1013">
        <f>IF(B1013,SQRT(-2*LN(F1013))*COS(2*PI()*G1013),"")</f>
        <v/>
      </c>
      <c r="I1013">
        <f>IF(B1013,IF(D1013=0,H1013,Rho*I1012+SQRT(1-Rho^2)*H1013),"")</f>
        <v/>
      </c>
      <c r="J1013">
        <f>IF(B1013,IF(Dist="Normal",DistA+DistB*I1013,DistA+(DistB-DistA)*NORMSDIST(I1013)),"")</f>
        <v/>
      </c>
      <c r="K1013">
        <f>IF(B1013,INDEX(MineScale,C1013),"")</f>
        <v/>
      </c>
      <c r="L1013">
        <f>IF(B1013,INDEX(Dow,1,WEEKDAY(E1013,2)),"")</f>
        <v/>
      </c>
      <c r="M1013">
        <f>IF(B1013,(1+Trend)^D1013,"")</f>
        <v/>
      </c>
      <c r="N1013">
        <f>IF(B1013,EXP(SUMPRODUCT(LN(1+(EvEff-1)*INDEX(Affected,0,C1013)*EXP(-((E1013-EvCenter)^2)/(2*EvSigma^2))))),"")</f>
        <v/>
      </c>
      <c r="O1013">
        <f>IF(B1013,ROUND(MAX(0,J1013*K1013*L1013*M1013*N1013),2),"")</f>
        <v/>
      </c>
    </row>
    <row r="1014">
      <c r="A1014" t="n">
        <v>1013</v>
      </c>
      <c r="B1014">
        <f>A1014&lt;=MineCount*Days</f>
        <v/>
      </c>
      <c r="C1014">
        <f>IF(B1014,INT((A1014-1)/Days)+1,"")</f>
        <v/>
      </c>
      <c r="D1014">
        <f>IF(B1014,MOD(A1014-1,Days),"")</f>
        <v/>
      </c>
      <c r="E1014" s="16">
        <f>IF(B1014,StartDate+D1014,"")</f>
        <v/>
      </c>
      <c r="F1014">
        <f>IF(B1014,MAX(MOD(SIN(Seed*0.1373+C1014*12.9898+D1014*78.233)*43758.5453,1),1E-9),"")</f>
        <v/>
      </c>
      <c r="G1014">
        <f>IF(B1014,MOD(SIN(Seed*0.5917+C1014*39.3468+D1014*11.135)*24634.6345,1),"")</f>
        <v/>
      </c>
      <c r="H1014">
        <f>IF(B1014,SQRT(-2*LN(F1014))*COS(2*PI()*G1014),"")</f>
        <v/>
      </c>
      <c r="I1014">
        <f>IF(B1014,IF(D1014=0,H1014,Rho*I1013+SQRT(1-Rho^2)*H1014),"")</f>
        <v/>
      </c>
      <c r="J1014">
        <f>IF(B1014,IF(Dist="Normal",DistA+DistB*I1014,DistA+(DistB-DistA)*NORMSDIST(I1014)),"")</f>
        <v/>
      </c>
      <c r="K1014">
        <f>IF(B1014,INDEX(MineScale,C1014),"")</f>
        <v/>
      </c>
      <c r="L1014">
        <f>IF(B1014,INDEX(Dow,1,WEEKDAY(E1014,2)),"")</f>
        <v/>
      </c>
      <c r="M1014">
        <f>IF(B1014,(1+Trend)^D1014,"")</f>
        <v/>
      </c>
      <c r="N1014">
        <f>IF(B1014,EXP(SUMPRODUCT(LN(1+(EvEff-1)*INDEX(Affected,0,C1014)*EXP(-((E1014-EvCenter)^2)/(2*EvSigma^2))))),"")</f>
        <v/>
      </c>
      <c r="O1014">
        <f>IF(B1014,ROUND(MAX(0,J1014*K1014*L1014*M1014*N1014),2),"")</f>
        <v/>
      </c>
    </row>
    <row r="1015">
      <c r="A1015" t="n">
        <v>1014</v>
      </c>
      <c r="B1015">
        <f>A1015&lt;=MineCount*Days</f>
        <v/>
      </c>
      <c r="C1015">
        <f>IF(B1015,INT((A1015-1)/Days)+1,"")</f>
        <v/>
      </c>
      <c r="D1015">
        <f>IF(B1015,MOD(A1015-1,Days),"")</f>
        <v/>
      </c>
      <c r="E1015" s="16">
        <f>IF(B1015,StartDate+D1015,"")</f>
        <v/>
      </c>
      <c r="F1015">
        <f>IF(B1015,MAX(MOD(SIN(Seed*0.1373+C1015*12.9898+D1015*78.233)*43758.5453,1),1E-9),"")</f>
        <v/>
      </c>
      <c r="G1015">
        <f>IF(B1015,MOD(SIN(Seed*0.5917+C1015*39.3468+D1015*11.135)*24634.6345,1),"")</f>
        <v/>
      </c>
      <c r="H1015">
        <f>IF(B1015,SQRT(-2*LN(F1015))*COS(2*PI()*G1015),"")</f>
        <v/>
      </c>
      <c r="I1015">
        <f>IF(B1015,IF(D1015=0,H1015,Rho*I1014+SQRT(1-Rho^2)*H1015),"")</f>
        <v/>
      </c>
      <c r="J1015">
        <f>IF(B1015,IF(Dist="Normal",DistA+DistB*I1015,DistA+(DistB-DistA)*NORMSDIST(I1015)),"")</f>
        <v/>
      </c>
      <c r="K1015">
        <f>IF(B1015,INDEX(MineScale,C1015),"")</f>
        <v/>
      </c>
      <c r="L1015">
        <f>IF(B1015,INDEX(Dow,1,WEEKDAY(E1015,2)),"")</f>
        <v/>
      </c>
      <c r="M1015">
        <f>IF(B1015,(1+Trend)^D1015,"")</f>
        <v/>
      </c>
      <c r="N1015">
        <f>IF(B1015,EXP(SUMPRODUCT(LN(1+(EvEff-1)*INDEX(Affected,0,C1015)*EXP(-((E1015-EvCenter)^2)/(2*EvSigma^2))))),"")</f>
        <v/>
      </c>
      <c r="O1015">
        <f>IF(B1015,ROUND(MAX(0,J1015*K1015*L1015*M1015*N1015),2),"")</f>
        <v/>
      </c>
    </row>
    <row r="1016">
      <c r="A1016" t="n">
        <v>1015</v>
      </c>
      <c r="B1016">
        <f>A1016&lt;=MineCount*Days</f>
        <v/>
      </c>
      <c r="C1016">
        <f>IF(B1016,INT((A1016-1)/Days)+1,"")</f>
        <v/>
      </c>
      <c r="D1016">
        <f>IF(B1016,MOD(A1016-1,Days),"")</f>
        <v/>
      </c>
      <c r="E1016" s="16">
        <f>IF(B1016,StartDate+D1016,"")</f>
        <v/>
      </c>
      <c r="F1016">
        <f>IF(B1016,MAX(MOD(SIN(Seed*0.1373+C1016*12.9898+D1016*78.233)*43758.5453,1),1E-9),"")</f>
        <v/>
      </c>
      <c r="G1016">
        <f>IF(B1016,MOD(SIN(Seed*0.5917+C1016*39.3468+D1016*11.135)*24634.6345,1),"")</f>
        <v/>
      </c>
      <c r="H1016">
        <f>IF(B1016,SQRT(-2*LN(F1016))*COS(2*PI()*G1016),"")</f>
        <v/>
      </c>
      <c r="I1016">
        <f>IF(B1016,IF(D1016=0,H1016,Rho*I1015+SQRT(1-Rho^2)*H1016),"")</f>
        <v/>
      </c>
      <c r="J1016">
        <f>IF(B1016,IF(Dist="Normal",DistA+DistB*I1016,DistA+(DistB-DistA)*NORMSDIST(I1016)),"")</f>
        <v/>
      </c>
      <c r="K1016">
        <f>IF(B1016,INDEX(MineScale,C1016),"")</f>
        <v/>
      </c>
      <c r="L1016">
        <f>IF(B1016,INDEX(Dow,1,WEEKDAY(E1016,2)),"")</f>
        <v/>
      </c>
      <c r="M1016">
        <f>IF(B1016,(1+Trend)^D1016,"")</f>
        <v/>
      </c>
      <c r="N1016">
        <f>IF(B1016,EXP(SUMPRODUCT(LN(1+(EvEff-1)*INDEX(Affected,0,C1016)*EXP(-((E1016-EvCenter)^2)/(2*EvSigma^2))))),"")</f>
        <v/>
      </c>
      <c r="O1016">
        <f>IF(B1016,ROUND(MAX(0,J1016*K1016*L1016*M1016*N1016),2),"")</f>
        <v/>
      </c>
    </row>
    <row r="1017">
      <c r="A1017" t="n">
        <v>1016</v>
      </c>
      <c r="B1017">
        <f>A1017&lt;=MineCount*Days</f>
        <v/>
      </c>
      <c r="C1017">
        <f>IF(B1017,INT((A1017-1)/Days)+1,"")</f>
        <v/>
      </c>
      <c r="D1017">
        <f>IF(B1017,MOD(A1017-1,Days),"")</f>
        <v/>
      </c>
      <c r="E1017" s="16">
        <f>IF(B1017,StartDate+D1017,"")</f>
        <v/>
      </c>
      <c r="F1017">
        <f>IF(B1017,MAX(MOD(SIN(Seed*0.1373+C1017*12.9898+D1017*78.233)*43758.5453,1),1E-9),"")</f>
        <v/>
      </c>
      <c r="G1017">
        <f>IF(B1017,MOD(SIN(Seed*0.5917+C1017*39.3468+D1017*11.135)*24634.6345,1),"")</f>
        <v/>
      </c>
      <c r="H1017">
        <f>IF(B1017,SQRT(-2*LN(F1017))*COS(2*PI()*G1017),"")</f>
        <v/>
      </c>
      <c r="I1017">
        <f>IF(B1017,IF(D1017=0,H1017,Rho*I1016+SQRT(1-Rho^2)*H1017),"")</f>
        <v/>
      </c>
      <c r="J1017">
        <f>IF(B1017,IF(Dist="Normal",DistA+DistB*I1017,DistA+(DistB-DistA)*NORMSDIST(I1017)),"")</f>
        <v/>
      </c>
      <c r="K1017">
        <f>IF(B1017,INDEX(MineScale,C1017),"")</f>
        <v/>
      </c>
      <c r="L1017">
        <f>IF(B1017,INDEX(Dow,1,WEEKDAY(E1017,2)),"")</f>
        <v/>
      </c>
      <c r="M1017">
        <f>IF(B1017,(1+Trend)^D1017,"")</f>
        <v/>
      </c>
      <c r="N1017">
        <f>IF(B1017,EXP(SUMPRODUCT(LN(1+(EvEff-1)*INDEX(Affected,0,C1017)*EXP(-((E1017-EvCenter)^2)/(2*EvSigma^2))))),"")</f>
        <v/>
      </c>
      <c r="O1017">
        <f>IF(B1017,ROUND(MAX(0,J1017*K1017*L1017*M1017*N1017),2),"")</f>
        <v/>
      </c>
    </row>
    <row r="1018">
      <c r="A1018" t="n">
        <v>1017</v>
      </c>
      <c r="B1018">
        <f>A1018&lt;=MineCount*Days</f>
        <v/>
      </c>
      <c r="C1018">
        <f>IF(B1018,INT((A1018-1)/Days)+1,"")</f>
        <v/>
      </c>
      <c r="D1018">
        <f>IF(B1018,MOD(A1018-1,Days),"")</f>
        <v/>
      </c>
      <c r="E1018" s="16">
        <f>IF(B1018,StartDate+D1018,"")</f>
        <v/>
      </c>
      <c r="F1018">
        <f>IF(B1018,MAX(MOD(SIN(Seed*0.1373+C1018*12.9898+D1018*78.233)*43758.5453,1),1E-9),"")</f>
        <v/>
      </c>
      <c r="G1018">
        <f>IF(B1018,MOD(SIN(Seed*0.5917+C1018*39.3468+D1018*11.135)*24634.6345,1),"")</f>
        <v/>
      </c>
      <c r="H1018">
        <f>IF(B1018,SQRT(-2*LN(F1018))*COS(2*PI()*G1018),"")</f>
        <v/>
      </c>
      <c r="I1018">
        <f>IF(B1018,IF(D1018=0,H1018,Rho*I1017+SQRT(1-Rho^2)*H1018),"")</f>
        <v/>
      </c>
      <c r="J1018">
        <f>IF(B1018,IF(Dist="Normal",DistA+DistB*I1018,DistA+(DistB-DistA)*NORMSDIST(I1018)),"")</f>
        <v/>
      </c>
      <c r="K1018">
        <f>IF(B1018,INDEX(MineScale,C1018),"")</f>
        <v/>
      </c>
      <c r="L1018">
        <f>IF(B1018,INDEX(Dow,1,WEEKDAY(E1018,2)),"")</f>
        <v/>
      </c>
      <c r="M1018">
        <f>IF(B1018,(1+Trend)^D1018,"")</f>
        <v/>
      </c>
      <c r="N1018">
        <f>IF(B1018,EXP(SUMPRODUCT(LN(1+(EvEff-1)*INDEX(Affected,0,C1018)*EXP(-((E1018-EvCenter)^2)/(2*EvSigma^2))))),"")</f>
        <v/>
      </c>
      <c r="O1018">
        <f>IF(B1018,ROUND(MAX(0,J1018*K1018*L1018*M1018*N1018),2),"")</f>
        <v/>
      </c>
    </row>
    <row r="1019">
      <c r="A1019" t="n">
        <v>1018</v>
      </c>
      <c r="B1019">
        <f>A1019&lt;=MineCount*Days</f>
        <v/>
      </c>
      <c r="C1019">
        <f>IF(B1019,INT((A1019-1)/Days)+1,"")</f>
        <v/>
      </c>
      <c r="D1019">
        <f>IF(B1019,MOD(A1019-1,Days),"")</f>
        <v/>
      </c>
      <c r="E1019" s="16">
        <f>IF(B1019,StartDate+D1019,"")</f>
        <v/>
      </c>
      <c r="F1019">
        <f>IF(B1019,MAX(MOD(SIN(Seed*0.1373+C1019*12.9898+D1019*78.233)*43758.5453,1),1E-9),"")</f>
        <v/>
      </c>
      <c r="G1019">
        <f>IF(B1019,MOD(SIN(Seed*0.5917+C1019*39.3468+D1019*11.135)*24634.6345,1),"")</f>
        <v/>
      </c>
      <c r="H1019">
        <f>IF(B1019,SQRT(-2*LN(F1019))*COS(2*PI()*G1019),"")</f>
        <v/>
      </c>
      <c r="I1019">
        <f>IF(B1019,IF(D1019=0,H1019,Rho*I1018+SQRT(1-Rho^2)*H1019),"")</f>
        <v/>
      </c>
      <c r="J1019">
        <f>IF(B1019,IF(Dist="Normal",DistA+DistB*I1019,DistA+(DistB-DistA)*NORMSDIST(I1019)),"")</f>
        <v/>
      </c>
      <c r="K1019">
        <f>IF(B1019,INDEX(MineScale,C1019),"")</f>
        <v/>
      </c>
      <c r="L1019">
        <f>IF(B1019,INDEX(Dow,1,WEEKDAY(E1019,2)),"")</f>
        <v/>
      </c>
      <c r="M1019">
        <f>IF(B1019,(1+Trend)^D1019,"")</f>
        <v/>
      </c>
      <c r="N1019">
        <f>IF(B1019,EXP(SUMPRODUCT(LN(1+(EvEff-1)*INDEX(Affected,0,C1019)*EXP(-((E1019-EvCenter)^2)/(2*EvSigma^2))))),"")</f>
        <v/>
      </c>
      <c r="O1019">
        <f>IF(B1019,ROUND(MAX(0,J1019*K1019*L1019*M1019*N1019),2),"")</f>
        <v/>
      </c>
    </row>
    <row r="1020">
      <c r="A1020" t="n">
        <v>1019</v>
      </c>
      <c r="B1020">
        <f>A1020&lt;=MineCount*Days</f>
        <v/>
      </c>
      <c r="C1020">
        <f>IF(B1020,INT((A1020-1)/Days)+1,"")</f>
        <v/>
      </c>
      <c r="D1020">
        <f>IF(B1020,MOD(A1020-1,Days),"")</f>
        <v/>
      </c>
      <c r="E1020" s="16">
        <f>IF(B1020,StartDate+D1020,"")</f>
        <v/>
      </c>
      <c r="F1020">
        <f>IF(B1020,MAX(MOD(SIN(Seed*0.1373+C1020*12.9898+D1020*78.233)*43758.5453,1),1E-9),"")</f>
        <v/>
      </c>
      <c r="G1020">
        <f>IF(B1020,MOD(SIN(Seed*0.5917+C1020*39.3468+D1020*11.135)*24634.6345,1),"")</f>
        <v/>
      </c>
      <c r="H1020">
        <f>IF(B1020,SQRT(-2*LN(F1020))*COS(2*PI()*G1020),"")</f>
        <v/>
      </c>
      <c r="I1020">
        <f>IF(B1020,IF(D1020=0,H1020,Rho*I1019+SQRT(1-Rho^2)*H1020),"")</f>
        <v/>
      </c>
      <c r="J1020">
        <f>IF(B1020,IF(Dist="Normal",DistA+DistB*I1020,DistA+(DistB-DistA)*NORMSDIST(I1020)),"")</f>
        <v/>
      </c>
      <c r="K1020">
        <f>IF(B1020,INDEX(MineScale,C1020),"")</f>
        <v/>
      </c>
      <c r="L1020">
        <f>IF(B1020,INDEX(Dow,1,WEEKDAY(E1020,2)),"")</f>
        <v/>
      </c>
      <c r="M1020">
        <f>IF(B1020,(1+Trend)^D1020,"")</f>
        <v/>
      </c>
      <c r="N1020">
        <f>IF(B1020,EXP(SUMPRODUCT(LN(1+(EvEff-1)*INDEX(Affected,0,C1020)*EXP(-((E1020-EvCenter)^2)/(2*EvSigma^2))))),"")</f>
        <v/>
      </c>
      <c r="O1020">
        <f>IF(B1020,ROUND(MAX(0,J1020*K1020*L1020*M1020*N1020),2),"")</f>
        <v/>
      </c>
    </row>
    <row r="1021">
      <c r="A1021" t="n">
        <v>1020</v>
      </c>
      <c r="B1021">
        <f>A1021&lt;=MineCount*Days</f>
        <v/>
      </c>
      <c r="C1021">
        <f>IF(B1021,INT((A1021-1)/Days)+1,"")</f>
        <v/>
      </c>
      <c r="D1021">
        <f>IF(B1021,MOD(A1021-1,Days),"")</f>
        <v/>
      </c>
      <c r="E1021" s="16">
        <f>IF(B1021,StartDate+D1021,"")</f>
        <v/>
      </c>
      <c r="F1021">
        <f>IF(B1021,MAX(MOD(SIN(Seed*0.1373+C1021*12.9898+D1021*78.233)*43758.5453,1),1E-9),"")</f>
        <v/>
      </c>
      <c r="G1021">
        <f>IF(B1021,MOD(SIN(Seed*0.5917+C1021*39.3468+D1021*11.135)*24634.6345,1),"")</f>
        <v/>
      </c>
      <c r="H1021">
        <f>IF(B1021,SQRT(-2*LN(F1021))*COS(2*PI()*G1021),"")</f>
        <v/>
      </c>
      <c r="I1021">
        <f>IF(B1021,IF(D1021=0,H1021,Rho*I1020+SQRT(1-Rho^2)*H1021),"")</f>
        <v/>
      </c>
      <c r="J1021">
        <f>IF(B1021,IF(Dist="Normal",DistA+DistB*I1021,DistA+(DistB-DistA)*NORMSDIST(I1021)),"")</f>
        <v/>
      </c>
      <c r="K1021">
        <f>IF(B1021,INDEX(MineScale,C1021),"")</f>
        <v/>
      </c>
      <c r="L1021">
        <f>IF(B1021,INDEX(Dow,1,WEEKDAY(E1021,2)),"")</f>
        <v/>
      </c>
      <c r="M1021">
        <f>IF(B1021,(1+Trend)^D1021,"")</f>
        <v/>
      </c>
      <c r="N1021">
        <f>IF(B1021,EXP(SUMPRODUCT(LN(1+(EvEff-1)*INDEX(Affected,0,C1021)*EXP(-((E1021-EvCenter)^2)/(2*EvSigma^2))))),"")</f>
        <v/>
      </c>
      <c r="O1021">
        <f>IF(B1021,ROUND(MAX(0,J1021*K1021*L1021*M1021*N1021),2),"")</f>
        <v/>
      </c>
    </row>
    <row r="1022">
      <c r="A1022" t="n">
        <v>1021</v>
      </c>
      <c r="B1022">
        <f>A1022&lt;=MineCount*Days</f>
        <v/>
      </c>
      <c r="C1022">
        <f>IF(B1022,INT((A1022-1)/Days)+1,"")</f>
        <v/>
      </c>
      <c r="D1022">
        <f>IF(B1022,MOD(A1022-1,Days),"")</f>
        <v/>
      </c>
      <c r="E1022" s="16">
        <f>IF(B1022,StartDate+D1022,"")</f>
        <v/>
      </c>
      <c r="F1022">
        <f>IF(B1022,MAX(MOD(SIN(Seed*0.1373+C1022*12.9898+D1022*78.233)*43758.5453,1),1E-9),"")</f>
        <v/>
      </c>
      <c r="G1022">
        <f>IF(B1022,MOD(SIN(Seed*0.5917+C1022*39.3468+D1022*11.135)*24634.6345,1),"")</f>
        <v/>
      </c>
      <c r="H1022">
        <f>IF(B1022,SQRT(-2*LN(F1022))*COS(2*PI()*G1022),"")</f>
        <v/>
      </c>
      <c r="I1022">
        <f>IF(B1022,IF(D1022=0,H1022,Rho*I1021+SQRT(1-Rho^2)*H1022),"")</f>
        <v/>
      </c>
      <c r="J1022">
        <f>IF(B1022,IF(Dist="Normal",DistA+DistB*I1022,DistA+(DistB-DistA)*NORMSDIST(I1022)),"")</f>
        <v/>
      </c>
      <c r="K1022">
        <f>IF(B1022,INDEX(MineScale,C1022),"")</f>
        <v/>
      </c>
      <c r="L1022">
        <f>IF(B1022,INDEX(Dow,1,WEEKDAY(E1022,2)),"")</f>
        <v/>
      </c>
      <c r="M1022">
        <f>IF(B1022,(1+Trend)^D1022,"")</f>
        <v/>
      </c>
      <c r="N1022">
        <f>IF(B1022,EXP(SUMPRODUCT(LN(1+(EvEff-1)*INDEX(Affected,0,C1022)*EXP(-((E1022-EvCenter)^2)/(2*EvSigma^2))))),"")</f>
        <v/>
      </c>
      <c r="O1022">
        <f>IF(B1022,ROUND(MAX(0,J1022*K1022*L1022*M1022*N1022),2),"")</f>
        <v/>
      </c>
    </row>
    <row r="1023">
      <c r="A1023" t="n">
        <v>1022</v>
      </c>
      <c r="B1023">
        <f>A1023&lt;=MineCount*Days</f>
        <v/>
      </c>
      <c r="C1023">
        <f>IF(B1023,INT((A1023-1)/Days)+1,"")</f>
        <v/>
      </c>
      <c r="D1023">
        <f>IF(B1023,MOD(A1023-1,Days),"")</f>
        <v/>
      </c>
      <c r="E1023" s="16">
        <f>IF(B1023,StartDate+D1023,"")</f>
        <v/>
      </c>
      <c r="F1023">
        <f>IF(B1023,MAX(MOD(SIN(Seed*0.1373+C1023*12.9898+D1023*78.233)*43758.5453,1),1E-9),"")</f>
        <v/>
      </c>
      <c r="G1023">
        <f>IF(B1023,MOD(SIN(Seed*0.5917+C1023*39.3468+D1023*11.135)*24634.6345,1),"")</f>
        <v/>
      </c>
      <c r="H1023">
        <f>IF(B1023,SQRT(-2*LN(F1023))*COS(2*PI()*G1023),"")</f>
        <v/>
      </c>
      <c r="I1023">
        <f>IF(B1023,IF(D1023=0,H1023,Rho*I1022+SQRT(1-Rho^2)*H1023),"")</f>
        <v/>
      </c>
      <c r="J1023">
        <f>IF(B1023,IF(Dist="Normal",DistA+DistB*I1023,DistA+(DistB-DistA)*NORMSDIST(I1023)),"")</f>
        <v/>
      </c>
      <c r="K1023">
        <f>IF(B1023,INDEX(MineScale,C1023),"")</f>
        <v/>
      </c>
      <c r="L1023">
        <f>IF(B1023,INDEX(Dow,1,WEEKDAY(E1023,2)),"")</f>
        <v/>
      </c>
      <c r="M1023">
        <f>IF(B1023,(1+Trend)^D1023,"")</f>
        <v/>
      </c>
      <c r="N1023">
        <f>IF(B1023,EXP(SUMPRODUCT(LN(1+(EvEff-1)*INDEX(Affected,0,C1023)*EXP(-((E1023-EvCenter)^2)/(2*EvSigma^2))))),"")</f>
        <v/>
      </c>
      <c r="O1023">
        <f>IF(B1023,ROUND(MAX(0,J1023*K1023*L1023*M1023*N1023),2),"")</f>
        <v/>
      </c>
    </row>
    <row r="1024">
      <c r="A1024" t="n">
        <v>1023</v>
      </c>
      <c r="B1024">
        <f>A1024&lt;=MineCount*Days</f>
        <v/>
      </c>
      <c r="C1024">
        <f>IF(B1024,INT((A1024-1)/Days)+1,"")</f>
        <v/>
      </c>
      <c r="D1024">
        <f>IF(B1024,MOD(A1024-1,Days),"")</f>
        <v/>
      </c>
      <c r="E1024" s="16">
        <f>IF(B1024,StartDate+D1024,"")</f>
        <v/>
      </c>
      <c r="F1024">
        <f>IF(B1024,MAX(MOD(SIN(Seed*0.1373+C1024*12.9898+D1024*78.233)*43758.5453,1),1E-9),"")</f>
        <v/>
      </c>
      <c r="G1024">
        <f>IF(B1024,MOD(SIN(Seed*0.5917+C1024*39.3468+D1024*11.135)*24634.6345,1),"")</f>
        <v/>
      </c>
      <c r="H1024">
        <f>IF(B1024,SQRT(-2*LN(F1024))*COS(2*PI()*G1024),"")</f>
        <v/>
      </c>
      <c r="I1024">
        <f>IF(B1024,IF(D1024=0,H1024,Rho*I1023+SQRT(1-Rho^2)*H1024),"")</f>
        <v/>
      </c>
      <c r="J1024">
        <f>IF(B1024,IF(Dist="Normal",DistA+DistB*I1024,DistA+(DistB-DistA)*NORMSDIST(I1024)),"")</f>
        <v/>
      </c>
      <c r="K1024">
        <f>IF(B1024,INDEX(MineScale,C1024),"")</f>
        <v/>
      </c>
      <c r="L1024">
        <f>IF(B1024,INDEX(Dow,1,WEEKDAY(E1024,2)),"")</f>
        <v/>
      </c>
      <c r="M1024">
        <f>IF(B1024,(1+Trend)^D1024,"")</f>
        <v/>
      </c>
      <c r="N1024">
        <f>IF(B1024,EXP(SUMPRODUCT(LN(1+(EvEff-1)*INDEX(Affected,0,C1024)*EXP(-((E1024-EvCenter)^2)/(2*EvSigma^2))))),"")</f>
        <v/>
      </c>
      <c r="O1024">
        <f>IF(B1024,ROUND(MAX(0,J1024*K1024*L1024*M1024*N1024),2),"")</f>
        <v/>
      </c>
    </row>
    <row r="1025">
      <c r="A1025" t="n">
        <v>1024</v>
      </c>
      <c r="B1025">
        <f>A1025&lt;=MineCount*Days</f>
        <v/>
      </c>
      <c r="C1025">
        <f>IF(B1025,INT((A1025-1)/Days)+1,"")</f>
        <v/>
      </c>
      <c r="D1025">
        <f>IF(B1025,MOD(A1025-1,Days),"")</f>
        <v/>
      </c>
      <c r="E1025" s="16">
        <f>IF(B1025,StartDate+D1025,"")</f>
        <v/>
      </c>
      <c r="F1025">
        <f>IF(B1025,MAX(MOD(SIN(Seed*0.1373+C1025*12.9898+D1025*78.233)*43758.5453,1),1E-9),"")</f>
        <v/>
      </c>
      <c r="G1025">
        <f>IF(B1025,MOD(SIN(Seed*0.5917+C1025*39.3468+D1025*11.135)*24634.6345,1),"")</f>
        <v/>
      </c>
      <c r="H1025">
        <f>IF(B1025,SQRT(-2*LN(F1025))*COS(2*PI()*G1025),"")</f>
        <v/>
      </c>
      <c r="I1025">
        <f>IF(B1025,IF(D1025=0,H1025,Rho*I1024+SQRT(1-Rho^2)*H1025),"")</f>
        <v/>
      </c>
      <c r="J1025">
        <f>IF(B1025,IF(Dist="Normal",DistA+DistB*I1025,DistA+(DistB-DistA)*NORMSDIST(I1025)),"")</f>
        <v/>
      </c>
      <c r="K1025">
        <f>IF(B1025,INDEX(MineScale,C1025),"")</f>
        <v/>
      </c>
      <c r="L1025">
        <f>IF(B1025,INDEX(Dow,1,WEEKDAY(E1025,2)),"")</f>
        <v/>
      </c>
      <c r="M1025">
        <f>IF(B1025,(1+Trend)^D1025,"")</f>
        <v/>
      </c>
      <c r="N1025">
        <f>IF(B1025,EXP(SUMPRODUCT(LN(1+(EvEff-1)*INDEX(Affected,0,C1025)*EXP(-((E1025-EvCenter)^2)/(2*EvSigma^2))))),"")</f>
        <v/>
      </c>
      <c r="O1025">
        <f>IF(B1025,ROUND(MAX(0,J1025*K1025*L1025*M1025*N1025),2),"")</f>
        <v/>
      </c>
    </row>
    <row r="1026">
      <c r="A1026" t="n">
        <v>1025</v>
      </c>
      <c r="B1026">
        <f>A1026&lt;=MineCount*Days</f>
        <v/>
      </c>
      <c r="C1026">
        <f>IF(B1026,INT((A1026-1)/Days)+1,"")</f>
        <v/>
      </c>
      <c r="D1026">
        <f>IF(B1026,MOD(A1026-1,Days),"")</f>
        <v/>
      </c>
      <c r="E1026" s="16">
        <f>IF(B1026,StartDate+D1026,"")</f>
        <v/>
      </c>
      <c r="F1026">
        <f>IF(B1026,MAX(MOD(SIN(Seed*0.1373+C1026*12.9898+D1026*78.233)*43758.5453,1),1E-9),"")</f>
        <v/>
      </c>
      <c r="G1026">
        <f>IF(B1026,MOD(SIN(Seed*0.5917+C1026*39.3468+D1026*11.135)*24634.6345,1),"")</f>
        <v/>
      </c>
      <c r="H1026">
        <f>IF(B1026,SQRT(-2*LN(F1026))*COS(2*PI()*G1026),"")</f>
        <v/>
      </c>
      <c r="I1026">
        <f>IF(B1026,IF(D1026=0,H1026,Rho*I1025+SQRT(1-Rho^2)*H1026),"")</f>
        <v/>
      </c>
      <c r="J1026">
        <f>IF(B1026,IF(Dist="Normal",DistA+DistB*I1026,DistA+(DistB-DistA)*NORMSDIST(I1026)),"")</f>
        <v/>
      </c>
      <c r="K1026">
        <f>IF(B1026,INDEX(MineScale,C1026),"")</f>
        <v/>
      </c>
      <c r="L1026">
        <f>IF(B1026,INDEX(Dow,1,WEEKDAY(E1026,2)),"")</f>
        <v/>
      </c>
      <c r="M1026">
        <f>IF(B1026,(1+Trend)^D1026,"")</f>
        <v/>
      </c>
      <c r="N1026">
        <f>IF(B1026,EXP(SUMPRODUCT(LN(1+(EvEff-1)*INDEX(Affected,0,C1026)*EXP(-((E1026-EvCenter)^2)/(2*EvSigma^2))))),"")</f>
        <v/>
      </c>
      <c r="O1026">
        <f>IF(B1026,ROUND(MAX(0,J1026*K1026*L1026*M1026*N1026),2),"")</f>
        <v/>
      </c>
    </row>
    <row r="1027">
      <c r="A1027" t="n">
        <v>1026</v>
      </c>
      <c r="B1027">
        <f>A1027&lt;=MineCount*Days</f>
        <v/>
      </c>
      <c r="C1027">
        <f>IF(B1027,INT((A1027-1)/Days)+1,"")</f>
        <v/>
      </c>
      <c r="D1027">
        <f>IF(B1027,MOD(A1027-1,Days),"")</f>
        <v/>
      </c>
      <c r="E1027" s="16">
        <f>IF(B1027,StartDate+D1027,"")</f>
        <v/>
      </c>
      <c r="F1027">
        <f>IF(B1027,MAX(MOD(SIN(Seed*0.1373+C1027*12.9898+D1027*78.233)*43758.5453,1),1E-9),"")</f>
        <v/>
      </c>
      <c r="G1027">
        <f>IF(B1027,MOD(SIN(Seed*0.5917+C1027*39.3468+D1027*11.135)*24634.6345,1),"")</f>
        <v/>
      </c>
      <c r="H1027">
        <f>IF(B1027,SQRT(-2*LN(F1027))*COS(2*PI()*G1027),"")</f>
        <v/>
      </c>
      <c r="I1027">
        <f>IF(B1027,IF(D1027=0,H1027,Rho*I1026+SQRT(1-Rho^2)*H1027),"")</f>
        <v/>
      </c>
      <c r="J1027">
        <f>IF(B1027,IF(Dist="Normal",DistA+DistB*I1027,DistA+(DistB-DistA)*NORMSDIST(I1027)),"")</f>
        <v/>
      </c>
      <c r="K1027">
        <f>IF(B1027,INDEX(MineScale,C1027),"")</f>
        <v/>
      </c>
      <c r="L1027">
        <f>IF(B1027,INDEX(Dow,1,WEEKDAY(E1027,2)),"")</f>
        <v/>
      </c>
      <c r="M1027">
        <f>IF(B1027,(1+Trend)^D1027,"")</f>
        <v/>
      </c>
      <c r="N1027">
        <f>IF(B1027,EXP(SUMPRODUCT(LN(1+(EvEff-1)*INDEX(Affected,0,C1027)*EXP(-((E1027-EvCenter)^2)/(2*EvSigma^2))))),"")</f>
        <v/>
      </c>
      <c r="O1027">
        <f>IF(B1027,ROUND(MAX(0,J1027*K1027*L1027*M1027*N1027),2),"")</f>
        <v/>
      </c>
    </row>
    <row r="1028">
      <c r="A1028" t="n">
        <v>1027</v>
      </c>
      <c r="B1028">
        <f>A1028&lt;=MineCount*Days</f>
        <v/>
      </c>
      <c r="C1028">
        <f>IF(B1028,INT((A1028-1)/Days)+1,"")</f>
        <v/>
      </c>
      <c r="D1028">
        <f>IF(B1028,MOD(A1028-1,Days),"")</f>
        <v/>
      </c>
      <c r="E1028" s="16">
        <f>IF(B1028,StartDate+D1028,"")</f>
        <v/>
      </c>
      <c r="F1028">
        <f>IF(B1028,MAX(MOD(SIN(Seed*0.1373+C1028*12.9898+D1028*78.233)*43758.5453,1),1E-9),"")</f>
        <v/>
      </c>
      <c r="G1028">
        <f>IF(B1028,MOD(SIN(Seed*0.5917+C1028*39.3468+D1028*11.135)*24634.6345,1),"")</f>
        <v/>
      </c>
      <c r="H1028">
        <f>IF(B1028,SQRT(-2*LN(F1028))*COS(2*PI()*G1028),"")</f>
        <v/>
      </c>
      <c r="I1028">
        <f>IF(B1028,IF(D1028=0,H1028,Rho*I1027+SQRT(1-Rho^2)*H1028),"")</f>
        <v/>
      </c>
      <c r="J1028">
        <f>IF(B1028,IF(Dist="Normal",DistA+DistB*I1028,DistA+(DistB-DistA)*NORMSDIST(I1028)),"")</f>
        <v/>
      </c>
      <c r="K1028">
        <f>IF(B1028,INDEX(MineScale,C1028),"")</f>
        <v/>
      </c>
      <c r="L1028">
        <f>IF(B1028,INDEX(Dow,1,WEEKDAY(E1028,2)),"")</f>
        <v/>
      </c>
      <c r="M1028">
        <f>IF(B1028,(1+Trend)^D1028,"")</f>
        <v/>
      </c>
      <c r="N1028">
        <f>IF(B1028,EXP(SUMPRODUCT(LN(1+(EvEff-1)*INDEX(Affected,0,C1028)*EXP(-((E1028-EvCenter)^2)/(2*EvSigma^2))))),"")</f>
        <v/>
      </c>
      <c r="O1028">
        <f>IF(B1028,ROUND(MAX(0,J1028*K1028*L1028*M1028*N1028),2),"")</f>
        <v/>
      </c>
    </row>
    <row r="1029">
      <c r="A1029" t="n">
        <v>1028</v>
      </c>
      <c r="B1029">
        <f>A1029&lt;=MineCount*Days</f>
        <v/>
      </c>
      <c r="C1029">
        <f>IF(B1029,INT((A1029-1)/Days)+1,"")</f>
        <v/>
      </c>
      <c r="D1029">
        <f>IF(B1029,MOD(A1029-1,Days),"")</f>
        <v/>
      </c>
      <c r="E1029" s="16">
        <f>IF(B1029,StartDate+D1029,"")</f>
        <v/>
      </c>
      <c r="F1029">
        <f>IF(B1029,MAX(MOD(SIN(Seed*0.1373+C1029*12.9898+D1029*78.233)*43758.5453,1),1E-9),"")</f>
        <v/>
      </c>
      <c r="G1029">
        <f>IF(B1029,MOD(SIN(Seed*0.5917+C1029*39.3468+D1029*11.135)*24634.6345,1),"")</f>
        <v/>
      </c>
      <c r="H1029">
        <f>IF(B1029,SQRT(-2*LN(F1029))*COS(2*PI()*G1029),"")</f>
        <v/>
      </c>
      <c r="I1029">
        <f>IF(B1029,IF(D1029=0,H1029,Rho*I1028+SQRT(1-Rho^2)*H1029),"")</f>
        <v/>
      </c>
      <c r="J1029">
        <f>IF(B1029,IF(Dist="Normal",DistA+DistB*I1029,DistA+(DistB-DistA)*NORMSDIST(I1029)),"")</f>
        <v/>
      </c>
      <c r="K1029">
        <f>IF(B1029,INDEX(MineScale,C1029),"")</f>
        <v/>
      </c>
      <c r="L1029">
        <f>IF(B1029,INDEX(Dow,1,WEEKDAY(E1029,2)),"")</f>
        <v/>
      </c>
      <c r="M1029">
        <f>IF(B1029,(1+Trend)^D1029,"")</f>
        <v/>
      </c>
      <c r="N1029">
        <f>IF(B1029,EXP(SUMPRODUCT(LN(1+(EvEff-1)*INDEX(Affected,0,C1029)*EXP(-((E1029-EvCenter)^2)/(2*EvSigma^2))))),"")</f>
        <v/>
      </c>
      <c r="O1029">
        <f>IF(B1029,ROUND(MAX(0,J1029*K1029*L1029*M1029*N1029),2),"")</f>
        <v/>
      </c>
    </row>
    <row r="1030">
      <c r="A1030" t="n">
        <v>1029</v>
      </c>
      <c r="B1030">
        <f>A1030&lt;=MineCount*Days</f>
        <v/>
      </c>
      <c r="C1030">
        <f>IF(B1030,INT((A1030-1)/Days)+1,"")</f>
        <v/>
      </c>
      <c r="D1030">
        <f>IF(B1030,MOD(A1030-1,Days),"")</f>
        <v/>
      </c>
      <c r="E1030" s="16">
        <f>IF(B1030,StartDate+D1030,"")</f>
        <v/>
      </c>
      <c r="F1030">
        <f>IF(B1030,MAX(MOD(SIN(Seed*0.1373+C1030*12.9898+D1030*78.233)*43758.5453,1),1E-9),"")</f>
        <v/>
      </c>
      <c r="G1030">
        <f>IF(B1030,MOD(SIN(Seed*0.5917+C1030*39.3468+D1030*11.135)*24634.6345,1),"")</f>
        <v/>
      </c>
      <c r="H1030">
        <f>IF(B1030,SQRT(-2*LN(F1030))*COS(2*PI()*G1030),"")</f>
        <v/>
      </c>
      <c r="I1030">
        <f>IF(B1030,IF(D1030=0,H1030,Rho*I1029+SQRT(1-Rho^2)*H1030),"")</f>
        <v/>
      </c>
      <c r="J1030">
        <f>IF(B1030,IF(Dist="Normal",DistA+DistB*I1030,DistA+(DistB-DistA)*NORMSDIST(I1030)),"")</f>
        <v/>
      </c>
      <c r="K1030">
        <f>IF(B1030,INDEX(MineScale,C1030),"")</f>
        <v/>
      </c>
      <c r="L1030">
        <f>IF(B1030,INDEX(Dow,1,WEEKDAY(E1030,2)),"")</f>
        <v/>
      </c>
      <c r="M1030">
        <f>IF(B1030,(1+Trend)^D1030,"")</f>
        <v/>
      </c>
      <c r="N1030">
        <f>IF(B1030,EXP(SUMPRODUCT(LN(1+(EvEff-1)*INDEX(Affected,0,C1030)*EXP(-((E1030-EvCenter)^2)/(2*EvSigma^2))))),"")</f>
        <v/>
      </c>
      <c r="O1030">
        <f>IF(B1030,ROUND(MAX(0,J1030*K1030*L1030*M1030*N1030),2),"")</f>
        <v/>
      </c>
    </row>
    <row r="1031">
      <c r="A1031" t="n">
        <v>1030</v>
      </c>
      <c r="B1031">
        <f>A1031&lt;=MineCount*Days</f>
        <v/>
      </c>
      <c r="C1031">
        <f>IF(B1031,INT((A1031-1)/Days)+1,"")</f>
        <v/>
      </c>
      <c r="D1031">
        <f>IF(B1031,MOD(A1031-1,Days),"")</f>
        <v/>
      </c>
      <c r="E1031" s="16">
        <f>IF(B1031,StartDate+D1031,"")</f>
        <v/>
      </c>
      <c r="F1031">
        <f>IF(B1031,MAX(MOD(SIN(Seed*0.1373+C1031*12.9898+D1031*78.233)*43758.5453,1),1E-9),"")</f>
        <v/>
      </c>
      <c r="G1031">
        <f>IF(B1031,MOD(SIN(Seed*0.5917+C1031*39.3468+D1031*11.135)*24634.6345,1),"")</f>
        <v/>
      </c>
      <c r="H1031">
        <f>IF(B1031,SQRT(-2*LN(F1031))*COS(2*PI()*G1031),"")</f>
        <v/>
      </c>
      <c r="I1031">
        <f>IF(B1031,IF(D1031=0,H1031,Rho*I1030+SQRT(1-Rho^2)*H1031),"")</f>
        <v/>
      </c>
      <c r="J1031">
        <f>IF(B1031,IF(Dist="Normal",DistA+DistB*I1031,DistA+(DistB-DistA)*NORMSDIST(I1031)),"")</f>
        <v/>
      </c>
      <c r="K1031">
        <f>IF(B1031,INDEX(MineScale,C1031),"")</f>
        <v/>
      </c>
      <c r="L1031">
        <f>IF(B1031,INDEX(Dow,1,WEEKDAY(E1031,2)),"")</f>
        <v/>
      </c>
      <c r="M1031">
        <f>IF(B1031,(1+Trend)^D1031,"")</f>
        <v/>
      </c>
      <c r="N1031">
        <f>IF(B1031,EXP(SUMPRODUCT(LN(1+(EvEff-1)*INDEX(Affected,0,C1031)*EXP(-((E1031-EvCenter)^2)/(2*EvSigma^2))))),"")</f>
        <v/>
      </c>
      <c r="O1031">
        <f>IF(B1031,ROUND(MAX(0,J1031*K1031*L1031*M1031*N1031),2),"")</f>
        <v/>
      </c>
    </row>
    <row r="1032">
      <c r="A1032" t="n">
        <v>1031</v>
      </c>
      <c r="B1032">
        <f>A1032&lt;=MineCount*Days</f>
        <v/>
      </c>
      <c r="C1032">
        <f>IF(B1032,INT((A1032-1)/Days)+1,"")</f>
        <v/>
      </c>
      <c r="D1032">
        <f>IF(B1032,MOD(A1032-1,Days),"")</f>
        <v/>
      </c>
      <c r="E1032" s="16">
        <f>IF(B1032,StartDate+D1032,"")</f>
        <v/>
      </c>
      <c r="F1032">
        <f>IF(B1032,MAX(MOD(SIN(Seed*0.1373+C1032*12.9898+D1032*78.233)*43758.5453,1),1E-9),"")</f>
        <v/>
      </c>
      <c r="G1032">
        <f>IF(B1032,MOD(SIN(Seed*0.5917+C1032*39.3468+D1032*11.135)*24634.6345,1),"")</f>
        <v/>
      </c>
      <c r="H1032">
        <f>IF(B1032,SQRT(-2*LN(F1032))*COS(2*PI()*G1032),"")</f>
        <v/>
      </c>
      <c r="I1032">
        <f>IF(B1032,IF(D1032=0,H1032,Rho*I1031+SQRT(1-Rho^2)*H1032),"")</f>
        <v/>
      </c>
      <c r="J1032">
        <f>IF(B1032,IF(Dist="Normal",DistA+DistB*I1032,DistA+(DistB-DistA)*NORMSDIST(I1032)),"")</f>
        <v/>
      </c>
      <c r="K1032">
        <f>IF(B1032,INDEX(MineScale,C1032),"")</f>
        <v/>
      </c>
      <c r="L1032">
        <f>IF(B1032,INDEX(Dow,1,WEEKDAY(E1032,2)),"")</f>
        <v/>
      </c>
      <c r="M1032">
        <f>IF(B1032,(1+Trend)^D1032,"")</f>
        <v/>
      </c>
      <c r="N1032">
        <f>IF(B1032,EXP(SUMPRODUCT(LN(1+(EvEff-1)*INDEX(Affected,0,C1032)*EXP(-((E1032-EvCenter)^2)/(2*EvSigma^2))))),"")</f>
        <v/>
      </c>
      <c r="O1032">
        <f>IF(B1032,ROUND(MAX(0,J1032*K1032*L1032*M1032*N1032),2),"")</f>
        <v/>
      </c>
    </row>
    <row r="1033">
      <c r="A1033" t="n">
        <v>1032</v>
      </c>
      <c r="B1033">
        <f>A1033&lt;=MineCount*Days</f>
        <v/>
      </c>
      <c r="C1033">
        <f>IF(B1033,INT((A1033-1)/Days)+1,"")</f>
        <v/>
      </c>
      <c r="D1033">
        <f>IF(B1033,MOD(A1033-1,Days),"")</f>
        <v/>
      </c>
      <c r="E1033" s="16">
        <f>IF(B1033,StartDate+D1033,"")</f>
        <v/>
      </c>
      <c r="F1033">
        <f>IF(B1033,MAX(MOD(SIN(Seed*0.1373+C1033*12.9898+D1033*78.233)*43758.5453,1),1E-9),"")</f>
        <v/>
      </c>
      <c r="G1033">
        <f>IF(B1033,MOD(SIN(Seed*0.5917+C1033*39.3468+D1033*11.135)*24634.6345,1),"")</f>
        <v/>
      </c>
      <c r="H1033">
        <f>IF(B1033,SQRT(-2*LN(F1033))*COS(2*PI()*G1033),"")</f>
        <v/>
      </c>
      <c r="I1033">
        <f>IF(B1033,IF(D1033=0,H1033,Rho*I1032+SQRT(1-Rho^2)*H1033),"")</f>
        <v/>
      </c>
      <c r="J1033">
        <f>IF(B1033,IF(Dist="Normal",DistA+DistB*I1033,DistA+(DistB-DistA)*NORMSDIST(I1033)),"")</f>
        <v/>
      </c>
      <c r="K1033">
        <f>IF(B1033,INDEX(MineScale,C1033),"")</f>
        <v/>
      </c>
      <c r="L1033">
        <f>IF(B1033,INDEX(Dow,1,WEEKDAY(E1033,2)),"")</f>
        <v/>
      </c>
      <c r="M1033">
        <f>IF(B1033,(1+Trend)^D1033,"")</f>
        <v/>
      </c>
      <c r="N1033">
        <f>IF(B1033,EXP(SUMPRODUCT(LN(1+(EvEff-1)*INDEX(Affected,0,C1033)*EXP(-((E1033-EvCenter)^2)/(2*EvSigma^2))))),"")</f>
        <v/>
      </c>
      <c r="O1033">
        <f>IF(B1033,ROUND(MAX(0,J1033*K1033*L1033*M1033*N1033),2),"")</f>
        <v/>
      </c>
    </row>
    <row r="1034">
      <c r="A1034" t="n">
        <v>1033</v>
      </c>
      <c r="B1034">
        <f>A1034&lt;=MineCount*Days</f>
        <v/>
      </c>
      <c r="C1034">
        <f>IF(B1034,INT((A1034-1)/Days)+1,"")</f>
        <v/>
      </c>
      <c r="D1034">
        <f>IF(B1034,MOD(A1034-1,Days),"")</f>
        <v/>
      </c>
      <c r="E1034" s="16">
        <f>IF(B1034,StartDate+D1034,"")</f>
        <v/>
      </c>
      <c r="F1034">
        <f>IF(B1034,MAX(MOD(SIN(Seed*0.1373+C1034*12.9898+D1034*78.233)*43758.5453,1),1E-9),"")</f>
        <v/>
      </c>
      <c r="G1034">
        <f>IF(B1034,MOD(SIN(Seed*0.5917+C1034*39.3468+D1034*11.135)*24634.6345,1),"")</f>
        <v/>
      </c>
      <c r="H1034">
        <f>IF(B1034,SQRT(-2*LN(F1034))*COS(2*PI()*G1034),"")</f>
        <v/>
      </c>
      <c r="I1034">
        <f>IF(B1034,IF(D1034=0,H1034,Rho*I1033+SQRT(1-Rho^2)*H1034),"")</f>
        <v/>
      </c>
      <c r="J1034">
        <f>IF(B1034,IF(Dist="Normal",DistA+DistB*I1034,DistA+(DistB-DistA)*NORMSDIST(I1034)),"")</f>
        <v/>
      </c>
      <c r="K1034">
        <f>IF(B1034,INDEX(MineScale,C1034),"")</f>
        <v/>
      </c>
      <c r="L1034">
        <f>IF(B1034,INDEX(Dow,1,WEEKDAY(E1034,2)),"")</f>
        <v/>
      </c>
      <c r="M1034">
        <f>IF(B1034,(1+Trend)^D1034,"")</f>
        <v/>
      </c>
      <c r="N1034">
        <f>IF(B1034,EXP(SUMPRODUCT(LN(1+(EvEff-1)*INDEX(Affected,0,C1034)*EXP(-((E1034-EvCenter)^2)/(2*EvSigma^2))))),"")</f>
        <v/>
      </c>
      <c r="O1034">
        <f>IF(B1034,ROUND(MAX(0,J1034*K1034*L1034*M1034*N1034),2),"")</f>
        <v/>
      </c>
    </row>
    <row r="1035">
      <c r="A1035" t="n">
        <v>1034</v>
      </c>
      <c r="B1035">
        <f>A1035&lt;=MineCount*Days</f>
        <v/>
      </c>
      <c r="C1035">
        <f>IF(B1035,INT((A1035-1)/Days)+1,"")</f>
        <v/>
      </c>
      <c r="D1035">
        <f>IF(B1035,MOD(A1035-1,Days),"")</f>
        <v/>
      </c>
      <c r="E1035" s="16">
        <f>IF(B1035,StartDate+D1035,"")</f>
        <v/>
      </c>
      <c r="F1035">
        <f>IF(B1035,MAX(MOD(SIN(Seed*0.1373+C1035*12.9898+D1035*78.233)*43758.5453,1),1E-9),"")</f>
        <v/>
      </c>
      <c r="G1035">
        <f>IF(B1035,MOD(SIN(Seed*0.5917+C1035*39.3468+D1035*11.135)*24634.6345,1),"")</f>
        <v/>
      </c>
      <c r="H1035">
        <f>IF(B1035,SQRT(-2*LN(F1035))*COS(2*PI()*G1035),"")</f>
        <v/>
      </c>
      <c r="I1035">
        <f>IF(B1035,IF(D1035=0,H1035,Rho*I1034+SQRT(1-Rho^2)*H1035),"")</f>
        <v/>
      </c>
      <c r="J1035">
        <f>IF(B1035,IF(Dist="Normal",DistA+DistB*I1035,DistA+(DistB-DistA)*NORMSDIST(I1035)),"")</f>
        <v/>
      </c>
      <c r="K1035">
        <f>IF(B1035,INDEX(MineScale,C1035),"")</f>
        <v/>
      </c>
      <c r="L1035">
        <f>IF(B1035,INDEX(Dow,1,WEEKDAY(E1035,2)),"")</f>
        <v/>
      </c>
      <c r="M1035">
        <f>IF(B1035,(1+Trend)^D1035,"")</f>
        <v/>
      </c>
      <c r="N1035">
        <f>IF(B1035,EXP(SUMPRODUCT(LN(1+(EvEff-1)*INDEX(Affected,0,C1035)*EXP(-((E1035-EvCenter)^2)/(2*EvSigma^2))))),"")</f>
        <v/>
      </c>
      <c r="O1035">
        <f>IF(B1035,ROUND(MAX(0,J1035*K1035*L1035*M1035*N1035),2),"")</f>
        <v/>
      </c>
    </row>
    <row r="1036">
      <c r="A1036" t="n">
        <v>1035</v>
      </c>
      <c r="B1036">
        <f>A1036&lt;=MineCount*Days</f>
        <v/>
      </c>
      <c r="C1036">
        <f>IF(B1036,INT((A1036-1)/Days)+1,"")</f>
        <v/>
      </c>
      <c r="D1036">
        <f>IF(B1036,MOD(A1036-1,Days),"")</f>
        <v/>
      </c>
      <c r="E1036" s="16">
        <f>IF(B1036,StartDate+D1036,"")</f>
        <v/>
      </c>
      <c r="F1036">
        <f>IF(B1036,MAX(MOD(SIN(Seed*0.1373+C1036*12.9898+D1036*78.233)*43758.5453,1),1E-9),"")</f>
        <v/>
      </c>
      <c r="G1036">
        <f>IF(B1036,MOD(SIN(Seed*0.5917+C1036*39.3468+D1036*11.135)*24634.6345,1),"")</f>
        <v/>
      </c>
      <c r="H1036">
        <f>IF(B1036,SQRT(-2*LN(F1036))*COS(2*PI()*G1036),"")</f>
        <v/>
      </c>
      <c r="I1036">
        <f>IF(B1036,IF(D1036=0,H1036,Rho*I1035+SQRT(1-Rho^2)*H1036),"")</f>
        <v/>
      </c>
      <c r="J1036">
        <f>IF(B1036,IF(Dist="Normal",DistA+DistB*I1036,DistA+(DistB-DistA)*NORMSDIST(I1036)),"")</f>
        <v/>
      </c>
      <c r="K1036">
        <f>IF(B1036,INDEX(MineScale,C1036),"")</f>
        <v/>
      </c>
      <c r="L1036">
        <f>IF(B1036,INDEX(Dow,1,WEEKDAY(E1036,2)),"")</f>
        <v/>
      </c>
      <c r="M1036">
        <f>IF(B1036,(1+Trend)^D1036,"")</f>
        <v/>
      </c>
      <c r="N1036">
        <f>IF(B1036,EXP(SUMPRODUCT(LN(1+(EvEff-1)*INDEX(Affected,0,C1036)*EXP(-((E1036-EvCenter)^2)/(2*EvSigma^2))))),"")</f>
        <v/>
      </c>
      <c r="O1036">
        <f>IF(B1036,ROUND(MAX(0,J1036*K1036*L1036*M1036*N1036),2),"")</f>
        <v/>
      </c>
    </row>
    <row r="1037">
      <c r="A1037" t="n">
        <v>1036</v>
      </c>
      <c r="B1037">
        <f>A1037&lt;=MineCount*Days</f>
        <v/>
      </c>
      <c r="C1037">
        <f>IF(B1037,INT((A1037-1)/Days)+1,"")</f>
        <v/>
      </c>
      <c r="D1037">
        <f>IF(B1037,MOD(A1037-1,Days),"")</f>
        <v/>
      </c>
      <c r="E1037" s="16">
        <f>IF(B1037,StartDate+D1037,"")</f>
        <v/>
      </c>
      <c r="F1037">
        <f>IF(B1037,MAX(MOD(SIN(Seed*0.1373+C1037*12.9898+D1037*78.233)*43758.5453,1),1E-9),"")</f>
        <v/>
      </c>
      <c r="G1037">
        <f>IF(B1037,MOD(SIN(Seed*0.5917+C1037*39.3468+D1037*11.135)*24634.6345,1),"")</f>
        <v/>
      </c>
      <c r="H1037">
        <f>IF(B1037,SQRT(-2*LN(F1037))*COS(2*PI()*G1037),"")</f>
        <v/>
      </c>
      <c r="I1037">
        <f>IF(B1037,IF(D1037=0,H1037,Rho*I1036+SQRT(1-Rho^2)*H1037),"")</f>
        <v/>
      </c>
      <c r="J1037">
        <f>IF(B1037,IF(Dist="Normal",DistA+DistB*I1037,DistA+(DistB-DistA)*NORMSDIST(I1037)),"")</f>
        <v/>
      </c>
      <c r="K1037">
        <f>IF(B1037,INDEX(MineScale,C1037),"")</f>
        <v/>
      </c>
      <c r="L1037">
        <f>IF(B1037,INDEX(Dow,1,WEEKDAY(E1037,2)),"")</f>
        <v/>
      </c>
      <c r="M1037">
        <f>IF(B1037,(1+Trend)^D1037,"")</f>
        <v/>
      </c>
      <c r="N1037">
        <f>IF(B1037,EXP(SUMPRODUCT(LN(1+(EvEff-1)*INDEX(Affected,0,C1037)*EXP(-((E1037-EvCenter)^2)/(2*EvSigma^2))))),"")</f>
        <v/>
      </c>
      <c r="O1037">
        <f>IF(B1037,ROUND(MAX(0,J1037*K1037*L1037*M1037*N1037),2),"")</f>
        <v/>
      </c>
    </row>
    <row r="1038">
      <c r="A1038" t="n">
        <v>1037</v>
      </c>
      <c r="B1038">
        <f>A1038&lt;=MineCount*Days</f>
        <v/>
      </c>
      <c r="C1038">
        <f>IF(B1038,INT((A1038-1)/Days)+1,"")</f>
        <v/>
      </c>
      <c r="D1038">
        <f>IF(B1038,MOD(A1038-1,Days),"")</f>
        <v/>
      </c>
      <c r="E1038" s="16">
        <f>IF(B1038,StartDate+D1038,"")</f>
        <v/>
      </c>
      <c r="F1038">
        <f>IF(B1038,MAX(MOD(SIN(Seed*0.1373+C1038*12.9898+D1038*78.233)*43758.5453,1),1E-9),"")</f>
        <v/>
      </c>
      <c r="G1038">
        <f>IF(B1038,MOD(SIN(Seed*0.5917+C1038*39.3468+D1038*11.135)*24634.6345,1),"")</f>
        <v/>
      </c>
      <c r="H1038">
        <f>IF(B1038,SQRT(-2*LN(F1038))*COS(2*PI()*G1038),"")</f>
        <v/>
      </c>
      <c r="I1038">
        <f>IF(B1038,IF(D1038=0,H1038,Rho*I1037+SQRT(1-Rho^2)*H1038),"")</f>
        <v/>
      </c>
      <c r="J1038">
        <f>IF(B1038,IF(Dist="Normal",DistA+DistB*I1038,DistA+(DistB-DistA)*NORMSDIST(I1038)),"")</f>
        <v/>
      </c>
      <c r="K1038">
        <f>IF(B1038,INDEX(MineScale,C1038),"")</f>
        <v/>
      </c>
      <c r="L1038">
        <f>IF(B1038,INDEX(Dow,1,WEEKDAY(E1038,2)),"")</f>
        <v/>
      </c>
      <c r="M1038">
        <f>IF(B1038,(1+Trend)^D1038,"")</f>
        <v/>
      </c>
      <c r="N1038">
        <f>IF(B1038,EXP(SUMPRODUCT(LN(1+(EvEff-1)*INDEX(Affected,0,C1038)*EXP(-((E1038-EvCenter)^2)/(2*EvSigma^2))))),"")</f>
        <v/>
      </c>
      <c r="O1038">
        <f>IF(B1038,ROUND(MAX(0,J1038*K1038*L1038*M1038*N1038),2),"")</f>
        <v/>
      </c>
    </row>
    <row r="1039">
      <c r="A1039" t="n">
        <v>1038</v>
      </c>
      <c r="B1039">
        <f>A1039&lt;=MineCount*Days</f>
        <v/>
      </c>
      <c r="C1039">
        <f>IF(B1039,INT((A1039-1)/Days)+1,"")</f>
        <v/>
      </c>
      <c r="D1039">
        <f>IF(B1039,MOD(A1039-1,Days),"")</f>
        <v/>
      </c>
      <c r="E1039" s="16">
        <f>IF(B1039,StartDate+D1039,"")</f>
        <v/>
      </c>
      <c r="F1039">
        <f>IF(B1039,MAX(MOD(SIN(Seed*0.1373+C1039*12.9898+D1039*78.233)*43758.5453,1),1E-9),"")</f>
        <v/>
      </c>
      <c r="G1039">
        <f>IF(B1039,MOD(SIN(Seed*0.5917+C1039*39.3468+D1039*11.135)*24634.6345,1),"")</f>
        <v/>
      </c>
      <c r="H1039">
        <f>IF(B1039,SQRT(-2*LN(F1039))*COS(2*PI()*G1039),"")</f>
        <v/>
      </c>
      <c r="I1039">
        <f>IF(B1039,IF(D1039=0,H1039,Rho*I1038+SQRT(1-Rho^2)*H1039),"")</f>
        <v/>
      </c>
      <c r="J1039">
        <f>IF(B1039,IF(Dist="Normal",DistA+DistB*I1039,DistA+(DistB-DistA)*NORMSDIST(I1039)),"")</f>
        <v/>
      </c>
      <c r="K1039">
        <f>IF(B1039,INDEX(MineScale,C1039),"")</f>
        <v/>
      </c>
      <c r="L1039">
        <f>IF(B1039,INDEX(Dow,1,WEEKDAY(E1039,2)),"")</f>
        <v/>
      </c>
      <c r="M1039">
        <f>IF(B1039,(1+Trend)^D1039,"")</f>
        <v/>
      </c>
      <c r="N1039">
        <f>IF(B1039,EXP(SUMPRODUCT(LN(1+(EvEff-1)*INDEX(Affected,0,C1039)*EXP(-((E1039-EvCenter)^2)/(2*EvSigma^2))))),"")</f>
        <v/>
      </c>
      <c r="O1039">
        <f>IF(B1039,ROUND(MAX(0,J1039*K1039*L1039*M1039*N1039),2),"")</f>
        <v/>
      </c>
    </row>
    <row r="1040">
      <c r="A1040" t="n">
        <v>1039</v>
      </c>
      <c r="B1040">
        <f>A1040&lt;=MineCount*Days</f>
        <v/>
      </c>
      <c r="C1040">
        <f>IF(B1040,INT((A1040-1)/Days)+1,"")</f>
        <v/>
      </c>
      <c r="D1040">
        <f>IF(B1040,MOD(A1040-1,Days),"")</f>
        <v/>
      </c>
      <c r="E1040" s="16">
        <f>IF(B1040,StartDate+D1040,"")</f>
        <v/>
      </c>
      <c r="F1040">
        <f>IF(B1040,MAX(MOD(SIN(Seed*0.1373+C1040*12.9898+D1040*78.233)*43758.5453,1),1E-9),"")</f>
        <v/>
      </c>
      <c r="G1040">
        <f>IF(B1040,MOD(SIN(Seed*0.5917+C1040*39.3468+D1040*11.135)*24634.6345,1),"")</f>
        <v/>
      </c>
      <c r="H1040">
        <f>IF(B1040,SQRT(-2*LN(F1040))*COS(2*PI()*G1040),"")</f>
        <v/>
      </c>
      <c r="I1040">
        <f>IF(B1040,IF(D1040=0,H1040,Rho*I1039+SQRT(1-Rho^2)*H1040),"")</f>
        <v/>
      </c>
      <c r="J1040">
        <f>IF(B1040,IF(Dist="Normal",DistA+DistB*I1040,DistA+(DistB-DistA)*NORMSDIST(I1040)),"")</f>
        <v/>
      </c>
      <c r="K1040">
        <f>IF(B1040,INDEX(MineScale,C1040),"")</f>
        <v/>
      </c>
      <c r="L1040">
        <f>IF(B1040,INDEX(Dow,1,WEEKDAY(E1040,2)),"")</f>
        <v/>
      </c>
      <c r="M1040">
        <f>IF(B1040,(1+Trend)^D1040,"")</f>
        <v/>
      </c>
      <c r="N1040">
        <f>IF(B1040,EXP(SUMPRODUCT(LN(1+(EvEff-1)*INDEX(Affected,0,C1040)*EXP(-((E1040-EvCenter)^2)/(2*EvSigma^2))))),"")</f>
        <v/>
      </c>
      <c r="O1040">
        <f>IF(B1040,ROUND(MAX(0,J1040*K1040*L1040*M1040*N1040),2),"")</f>
        <v/>
      </c>
    </row>
    <row r="1041">
      <c r="A1041" t="n">
        <v>1040</v>
      </c>
      <c r="B1041">
        <f>A1041&lt;=MineCount*Days</f>
        <v/>
      </c>
      <c r="C1041">
        <f>IF(B1041,INT((A1041-1)/Days)+1,"")</f>
        <v/>
      </c>
      <c r="D1041">
        <f>IF(B1041,MOD(A1041-1,Days),"")</f>
        <v/>
      </c>
      <c r="E1041" s="16">
        <f>IF(B1041,StartDate+D1041,"")</f>
        <v/>
      </c>
      <c r="F1041">
        <f>IF(B1041,MAX(MOD(SIN(Seed*0.1373+C1041*12.9898+D1041*78.233)*43758.5453,1),1E-9),"")</f>
        <v/>
      </c>
      <c r="G1041">
        <f>IF(B1041,MOD(SIN(Seed*0.5917+C1041*39.3468+D1041*11.135)*24634.6345,1),"")</f>
        <v/>
      </c>
      <c r="H1041">
        <f>IF(B1041,SQRT(-2*LN(F1041))*COS(2*PI()*G1041),"")</f>
        <v/>
      </c>
      <c r="I1041">
        <f>IF(B1041,IF(D1041=0,H1041,Rho*I1040+SQRT(1-Rho^2)*H1041),"")</f>
        <v/>
      </c>
      <c r="J1041">
        <f>IF(B1041,IF(Dist="Normal",DistA+DistB*I1041,DistA+(DistB-DistA)*NORMSDIST(I1041)),"")</f>
        <v/>
      </c>
      <c r="K1041">
        <f>IF(B1041,INDEX(MineScale,C1041),"")</f>
        <v/>
      </c>
      <c r="L1041">
        <f>IF(B1041,INDEX(Dow,1,WEEKDAY(E1041,2)),"")</f>
        <v/>
      </c>
      <c r="M1041">
        <f>IF(B1041,(1+Trend)^D1041,"")</f>
        <v/>
      </c>
      <c r="N1041">
        <f>IF(B1041,EXP(SUMPRODUCT(LN(1+(EvEff-1)*INDEX(Affected,0,C1041)*EXP(-((E1041-EvCenter)^2)/(2*EvSigma^2))))),"")</f>
        <v/>
      </c>
      <c r="O1041">
        <f>IF(B1041,ROUND(MAX(0,J1041*K1041*L1041*M1041*N1041),2),"")</f>
        <v/>
      </c>
    </row>
    <row r="1042">
      <c r="A1042" t="n">
        <v>1041</v>
      </c>
      <c r="B1042">
        <f>A1042&lt;=MineCount*Days</f>
        <v/>
      </c>
      <c r="C1042">
        <f>IF(B1042,INT((A1042-1)/Days)+1,"")</f>
        <v/>
      </c>
      <c r="D1042">
        <f>IF(B1042,MOD(A1042-1,Days),"")</f>
        <v/>
      </c>
      <c r="E1042" s="16">
        <f>IF(B1042,StartDate+D1042,"")</f>
        <v/>
      </c>
      <c r="F1042">
        <f>IF(B1042,MAX(MOD(SIN(Seed*0.1373+C1042*12.9898+D1042*78.233)*43758.5453,1),1E-9),"")</f>
        <v/>
      </c>
      <c r="G1042">
        <f>IF(B1042,MOD(SIN(Seed*0.5917+C1042*39.3468+D1042*11.135)*24634.6345,1),"")</f>
        <v/>
      </c>
      <c r="H1042">
        <f>IF(B1042,SQRT(-2*LN(F1042))*COS(2*PI()*G1042),"")</f>
        <v/>
      </c>
      <c r="I1042">
        <f>IF(B1042,IF(D1042=0,H1042,Rho*I1041+SQRT(1-Rho^2)*H1042),"")</f>
        <v/>
      </c>
      <c r="J1042">
        <f>IF(B1042,IF(Dist="Normal",DistA+DistB*I1042,DistA+(DistB-DistA)*NORMSDIST(I1042)),"")</f>
        <v/>
      </c>
      <c r="K1042">
        <f>IF(B1042,INDEX(MineScale,C1042),"")</f>
        <v/>
      </c>
      <c r="L1042">
        <f>IF(B1042,INDEX(Dow,1,WEEKDAY(E1042,2)),"")</f>
        <v/>
      </c>
      <c r="M1042">
        <f>IF(B1042,(1+Trend)^D1042,"")</f>
        <v/>
      </c>
      <c r="N1042">
        <f>IF(B1042,EXP(SUMPRODUCT(LN(1+(EvEff-1)*INDEX(Affected,0,C1042)*EXP(-((E1042-EvCenter)^2)/(2*EvSigma^2))))),"")</f>
        <v/>
      </c>
      <c r="O1042">
        <f>IF(B1042,ROUND(MAX(0,J1042*K1042*L1042*M1042*N1042),2),"")</f>
        <v/>
      </c>
    </row>
    <row r="1043">
      <c r="A1043" t="n">
        <v>1042</v>
      </c>
      <c r="B1043">
        <f>A1043&lt;=MineCount*Days</f>
        <v/>
      </c>
      <c r="C1043">
        <f>IF(B1043,INT((A1043-1)/Days)+1,"")</f>
        <v/>
      </c>
      <c r="D1043">
        <f>IF(B1043,MOD(A1043-1,Days),"")</f>
        <v/>
      </c>
      <c r="E1043" s="16">
        <f>IF(B1043,StartDate+D1043,"")</f>
        <v/>
      </c>
      <c r="F1043">
        <f>IF(B1043,MAX(MOD(SIN(Seed*0.1373+C1043*12.9898+D1043*78.233)*43758.5453,1),1E-9),"")</f>
        <v/>
      </c>
      <c r="G1043">
        <f>IF(B1043,MOD(SIN(Seed*0.5917+C1043*39.3468+D1043*11.135)*24634.6345,1),"")</f>
        <v/>
      </c>
      <c r="H1043">
        <f>IF(B1043,SQRT(-2*LN(F1043))*COS(2*PI()*G1043),"")</f>
        <v/>
      </c>
      <c r="I1043">
        <f>IF(B1043,IF(D1043=0,H1043,Rho*I1042+SQRT(1-Rho^2)*H1043),"")</f>
        <v/>
      </c>
      <c r="J1043">
        <f>IF(B1043,IF(Dist="Normal",DistA+DistB*I1043,DistA+(DistB-DistA)*NORMSDIST(I1043)),"")</f>
        <v/>
      </c>
      <c r="K1043">
        <f>IF(B1043,INDEX(MineScale,C1043),"")</f>
        <v/>
      </c>
      <c r="L1043">
        <f>IF(B1043,INDEX(Dow,1,WEEKDAY(E1043,2)),"")</f>
        <v/>
      </c>
      <c r="M1043">
        <f>IF(B1043,(1+Trend)^D1043,"")</f>
        <v/>
      </c>
      <c r="N1043">
        <f>IF(B1043,EXP(SUMPRODUCT(LN(1+(EvEff-1)*INDEX(Affected,0,C1043)*EXP(-((E1043-EvCenter)^2)/(2*EvSigma^2))))),"")</f>
        <v/>
      </c>
      <c r="O1043">
        <f>IF(B1043,ROUND(MAX(0,J1043*K1043*L1043*M1043*N1043),2),"")</f>
        <v/>
      </c>
    </row>
    <row r="1044">
      <c r="A1044" t="n">
        <v>1043</v>
      </c>
      <c r="B1044">
        <f>A1044&lt;=MineCount*Days</f>
        <v/>
      </c>
      <c r="C1044">
        <f>IF(B1044,INT((A1044-1)/Days)+1,"")</f>
        <v/>
      </c>
      <c r="D1044">
        <f>IF(B1044,MOD(A1044-1,Days),"")</f>
        <v/>
      </c>
      <c r="E1044" s="16">
        <f>IF(B1044,StartDate+D1044,"")</f>
        <v/>
      </c>
      <c r="F1044">
        <f>IF(B1044,MAX(MOD(SIN(Seed*0.1373+C1044*12.9898+D1044*78.233)*43758.5453,1),1E-9),"")</f>
        <v/>
      </c>
      <c r="G1044">
        <f>IF(B1044,MOD(SIN(Seed*0.5917+C1044*39.3468+D1044*11.135)*24634.6345,1),"")</f>
        <v/>
      </c>
      <c r="H1044">
        <f>IF(B1044,SQRT(-2*LN(F1044))*COS(2*PI()*G1044),"")</f>
        <v/>
      </c>
      <c r="I1044">
        <f>IF(B1044,IF(D1044=0,H1044,Rho*I1043+SQRT(1-Rho^2)*H1044),"")</f>
        <v/>
      </c>
      <c r="J1044">
        <f>IF(B1044,IF(Dist="Normal",DistA+DistB*I1044,DistA+(DistB-DistA)*NORMSDIST(I1044)),"")</f>
        <v/>
      </c>
      <c r="K1044">
        <f>IF(B1044,INDEX(MineScale,C1044),"")</f>
        <v/>
      </c>
      <c r="L1044">
        <f>IF(B1044,INDEX(Dow,1,WEEKDAY(E1044,2)),"")</f>
        <v/>
      </c>
      <c r="M1044">
        <f>IF(B1044,(1+Trend)^D1044,"")</f>
        <v/>
      </c>
      <c r="N1044">
        <f>IF(B1044,EXP(SUMPRODUCT(LN(1+(EvEff-1)*INDEX(Affected,0,C1044)*EXP(-((E1044-EvCenter)^2)/(2*EvSigma^2))))),"")</f>
        <v/>
      </c>
      <c r="O1044">
        <f>IF(B1044,ROUND(MAX(0,J1044*K1044*L1044*M1044*N1044),2),"")</f>
        <v/>
      </c>
    </row>
    <row r="1045">
      <c r="A1045" t="n">
        <v>1044</v>
      </c>
      <c r="B1045">
        <f>A1045&lt;=MineCount*Days</f>
        <v/>
      </c>
      <c r="C1045">
        <f>IF(B1045,INT((A1045-1)/Days)+1,"")</f>
        <v/>
      </c>
      <c r="D1045">
        <f>IF(B1045,MOD(A1045-1,Days),"")</f>
        <v/>
      </c>
      <c r="E1045" s="16">
        <f>IF(B1045,StartDate+D1045,"")</f>
        <v/>
      </c>
      <c r="F1045">
        <f>IF(B1045,MAX(MOD(SIN(Seed*0.1373+C1045*12.9898+D1045*78.233)*43758.5453,1),1E-9),"")</f>
        <v/>
      </c>
      <c r="G1045">
        <f>IF(B1045,MOD(SIN(Seed*0.5917+C1045*39.3468+D1045*11.135)*24634.6345,1),"")</f>
        <v/>
      </c>
      <c r="H1045">
        <f>IF(B1045,SQRT(-2*LN(F1045))*COS(2*PI()*G1045),"")</f>
        <v/>
      </c>
      <c r="I1045">
        <f>IF(B1045,IF(D1045=0,H1045,Rho*I1044+SQRT(1-Rho^2)*H1045),"")</f>
        <v/>
      </c>
      <c r="J1045">
        <f>IF(B1045,IF(Dist="Normal",DistA+DistB*I1045,DistA+(DistB-DistA)*NORMSDIST(I1045)),"")</f>
        <v/>
      </c>
      <c r="K1045">
        <f>IF(B1045,INDEX(MineScale,C1045),"")</f>
        <v/>
      </c>
      <c r="L1045">
        <f>IF(B1045,INDEX(Dow,1,WEEKDAY(E1045,2)),"")</f>
        <v/>
      </c>
      <c r="M1045">
        <f>IF(B1045,(1+Trend)^D1045,"")</f>
        <v/>
      </c>
      <c r="N1045">
        <f>IF(B1045,EXP(SUMPRODUCT(LN(1+(EvEff-1)*INDEX(Affected,0,C1045)*EXP(-((E1045-EvCenter)^2)/(2*EvSigma^2))))),"")</f>
        <v/>
      </c>
      <c r="O1045">
        <f>IF(B1045,ROUND(MAX(0,J1045*K1045*L1045*M1045*N1045),2),"")</f>
        <v/>
      </c>
    </row>
    <row r="1046">
      <c r="A1046" t="n">
        <v>1045</v>
      </c>
      <c r="B1046">
        <f>A1046&lt;=MineCount*Days</f>
        <v/>
      </c>
      <c r="C1046">
        <f>IF(B1046,INT((A1046-1)/Days)+1,"")</f>
        <v/>
      </c>
      <c r="D1046">
        <f>IF(B1046,MOD(A1046-1,Days),"")</f>
        <v/>
      </c>
      <c r="E1046" s="16">
        <f>IF(B1046,StartDate+D1046,"")</f>
        <v/>
      </c>
      <c r="F1046">
        <f>IF(B1046,MAX(MOD(SIN(Seed*0.1373+C1046*12.9898+D1046*78.233)*43758.5453,1),1E-9),"")</f>
        <v/>
      </c>
      <c r="G1046">
        <f>IF(B1046,MOD(SIN(Seed*0.5917+C1046*39.3468+D1046*11.135)*24634.6345,1),"")</f>
        <v/>
      </c>
      <c r="H1046">
        <f>IF(B1046,SQRT(-2*LN(F1046))*COS(2*PI()*G1046),"")</f>
        <v/>
      </c>
      <c r="I1046">
        <f>IF(B1046,IF(D1046=0,H1046,Rho*I1045+SQRT(1-Rho^2)*H1046),"")</f>
        <v/>
      </c>
      <c r="J1046">
        <f>IF(B1046,IF(Dist="Normal",DistA+DistB*I1046,DistA+(DistB-DistA)*NORMSDIST(I1046)),"")</f>
        <v/>
      </c>
      <c r="K1046">
        <f>IF(B1046,INDEX(MineScale,C1046),"")</f>
        <v/>
      </c>
      <c r="L1046">
        <f>IF(B1046,INDEX(Dow,1,WEEKDAY(E1046,2)),"")</f>
        <v/>
      </c>
      <c r="M1046">
        <f>IF(B1046,(1+Trend)^D1046,"")</f>
        <v/>
      </c>
      <c r="N1046">
        <f>IF(B1046,EXP(SUMPRODUCT(LN(1+(EvEff-1)*INDEX(Affected,0,C1046)*EXP(-((E1046-EvCenter)^2)/(2*EvSigma^2))))),"")</f>
        <v/>
      </c>
      <c r="O1046">
        <f>IF(B1046,ROUND(MAX(0,J1046*K1046*L1046*M1046*N1046),2),"")</f>
        <v/>
      </c>
    </row>
    <row r="1047">
      <c r="A1047" t="n">
        <v>1046</v>
      </c>
      <c r="B1047">
        <f>A1047&lt;=MineCount*Days</f>
        <v/>
      </c>
      <c r="C1047">
        <f>IF(B1047,INT((A1047-1)/Days)+1,"")</f>
        <v/>
      </c>
      <c r="D1047">
        <f>IF(B1047,MOD(A1047-1,Days),"")</f>
        <v/>
      </c>
      <c r="E1047" s="16">
        <f>IF(B1047,StartDate+D1047,"")</f>
        <v/>
      </c>
      <c r="F1047">
        <f>IF(B1047,MAX(MOD(SIN(Seed*0.1373+C1047*12.9898+D1047*78.233)*43758.5453,1),1E-9),"")</f>
        <v/>
      </c>
      <c r="G1047">
        <f>IF(B1047,MOD(SIN(Seed*0.5917+C1047*39.3468+D1047*11.135)*24634.6345,1),"")</f>
        <v/>
      </c>
      <c r="H1047">
        <f>IF(B1047,SQRT(-2*LN(F1047))*COS(2*PI()*G1047),"")</f>
        <v/>
      </c>
      <c r="I1047">
        <f>IF(B1047,IF(D1047=0,H1047,Rho*I1046+SQRT(1-Rho^2)*H1047),"")</f>
        <v/>
      </c>
      <c r="J1047">
        <f>IF(B1047,IF(Dist="Normal",DistA+DistB*I1047,DistA+(DistB-DistA)*NORMSDIST(I1047)),"")</f>
        <v/>
      </c>
      <c r="K1047">
        <f>IF(B1047,INDEX(MineScale,C1047),"")</f>
        <v/>
      </c>
      <c r="L1047">
        <f>IF(B1047,INDEX(Dow,1,WEEKDAY(E1047,2)),"")</f>
        <v/>
      </c>
      <c r="M1047">
        <f>IF(B1047,(1+Trend)^D1047,"")</f>
        <v/>
      </c>
      <c r="N1047">
        <f>IF(B1047,EXP(SUMPRODUCT(LN(1+(EvEff-1)*INDEX(Affected,0,C1047)*EXP(-((E1047-EvCenter)^2)/(2*EvSigma^2))))),"")</f>
        <v/>
      </c>
      <c r="O1047">
        <f>IF(B1047,ROUND(MAX(0,J1047*K1047*L1047*M1047*N1047),2),"")</f>
        <v/>
      </c>
    </row>
    <row r="1048">
      <c r="A1048" t="n">
        <v>1047</v>
      </c>
      <c r="B1048">
        <f>A1048&lt;=MineCount*Days</f>
        <v/>
      </c>
      <c r="C1048">
        <f>IF(B1048,INT((A1048-1)/Days)+1,"")</f>
        <v/>
      </c>
      <c r="D1048">
        <f>IF(B1048,MOD(A1048-1,Days),"")</f>
        <v/>
      </c>
      <c r="E1048" s="16">
        <f>IF(B1048,StartDate+D1048,"")</f>
        <v/>
      </c>
      <c r="F1048">
        <f>IF(B1048,MAX(MOD(SIN(Seed*0.1373+C1048*12.9898+D1048*78.233)*43758.5453,1),1E-9),"")</f>
        <v/>
      </c>
      <c r="G1048">
        <f>IF(B1048,MOD(SIN(Seed*0.5917+C1048*39.3468+D1048*11.135)*24634.6345,1),"")</f>
        <v/>
      </c>
      <c r="H1048">
        <f>IF(B1048,SQRT(-2*LN(F1048))*COS(2*PI()*G1048),"")</f>
        <v/>
      </c>
      <c r="I1048">
        <f>IF(B1048,IF(D1048=0,H1048,Rho*I1047+SQRT(1-Rho^2)*H1048),"")</f>
        <v/>
      </c>
      <c r="J1048">
        <f>IF(B1048,IF(Dist="Normal",DistA+DistB*I1048,DistA+(DistB-DistA)*NORMSDIST(I1048)),"")</f>
        <v/>
      </c>
      <c r="K1048">
        <f>IF(B1048,INDEX(MineScale,C1048),"")</f>
        <v/>
      </c>
      <c r="L1048">
        <f>IF(B1048,INDEX(Dow,1,WEEKDAY(E1048,2)),"")</f>
        <v/>
      </c>
      <c r="M1048">
        <f>IF(B1048,(1+Trend)^D1048,"")</f>
        <v/>
      </c>
      <c r="N1048">
        <f>IF(B1048,EXP(SUMPRODUCT(LN(1+(EvEff-1)*INDEX(Affected,0,C1048)*EXP(-((E1048-EvCenter)^2)/(2*EvSigma^2))))),"")</f>
        <v/>
      </c>
      <c r="O1048">
        <f>IF(B1048,ROUND(MAX(0,J1048*K1048*L1048*M1048*N1048),2),"")</f>
        <v/>
      </c>
    </row>
    <row r="1049">
      <c r="A1049" t="n">
        <v>1048</v>
      </c>
      <c r="B1049">
        <f>A1049&lt;=MineCount*Days</f>
        <v/>
      </c>
      <c r="C1049">
        <f>IF(B1049,INT((A1049-1)/Days)+1,"")</f>
        <v/>
      </c>
      <c r="D1049">
        <f>IF(B1049,MOD(A1049-1,Days),"")</f>
        <v/>
      </c>
      <c r="E1049" s="16">
        <f>IF(B1049,StartDate+D1049,"")</f>
        <v/>
      </c>
      <c r="F1049">
        <f>IF(B1049,MAX(MOD(SIN(Seed*0.1373+C1049*12.9898+D1049*78.233)*43758.5453,1),1E-9),"")</f>
        <v/>
      </c>
      <c r="G1049">
        <f>IF(B1049,MOD(SIN(Seed*0.5917+C1049*39.3468+D1049*11.135)*24634.6345,1),"")</f>
        <v/>
      </c>
      <c r="H1049">
        <f>IF(B1049,SQRT(-2*LN(F1049))*COS(2*PI()*G1049),"")</f>
        <v/>
      </c>
      <c r="I1049">
        <f>IF(B1049,IF(D1049=0,H1049,Rho*I1048+SQRT(1-Rho^2)*H1049),"")</f>
        <v/>
      </c>
      <c r="J1049">
        <f>IF(B1049,IF(Dist="Normal",DistA+DistB*I1049,DistA+(DistB-DistA)*NORMSDIST(I1049)),"")</f>
        <v/>
      </c>
      <c r="K1049">
        <f>IF(B1049,INDEX(MineScale,C1049),"")</f>
        <v/>
      </c>
      <c r="L1049">
        <f>IF(B1049,INDEX(Dow,1,WEEKDAY(E1049,2)),"")</f>
        <v/>
      </c>
      <c r="M1049">
        <f>IF(B1049,(1+Trend)^D1049,"")</f>
        <v/>
      </c>
      <c r="N1049">
        <f>IF(B1049,EXP(SUMPRODUCT(LN(1+(EvEff-1)*INDEX(Affected,0,C1049)*EXP(-((E1049-EvCenter)^2)/(2*EvSigma^2))))),"")</f>
        <v/>
      </c>
      <c r="O1049">
        <f>IF(B1049,ROUND(MAX(0,J1049*K1049*L1049*M1049*N1049),2),"")</f>
        <v/>
      </c>
    </row>
    <row r="1050">
      <c r="A1050" t="n">
        <v>1049</v>
      </c>
      <c r="B1050">
        <f>A1050&lt;=MineCount*Days</f>
        <v/>
      </c>
      <c r="C1050">
        <f>IF(B1050,INT((A1050-1)/Days)+1,"")</f>
        <v/>
      </c>
      <c r="D1050">
        <f>IF(B1050,MOD(A1050-1,Days),"")</f>
        <v/>
      </c>
      <c r="E1050" s="16">
        <f>IF(B1050,StartDate+D1050,"")</f>
        <v/>
      </c>
      <c r="F1050">
        <f>IF(B1050,MAX(MOD(SIN(Seed*0.1373+C1050*12.9898+D1050*78.233)*43758.5453,1),1E-9),"")</f>
        <v/>
      </c>
      <c r="G1050">
        <f>IF(B1050,MOD(SIN(Seed*0.5917+C1050*39.3468+D1050*11.135)*24634.6345,1),"")</f>
        <v/>
      </c>
      <c r="H1050">
        <f>IF(B1050,SQRT(-2*LN(F1050))*COS(2*PI()*G1050),"")</f>
        <v/>
      </c>
      <c r="I1050">
        <f>IF(B1050,IF(D1050=0,H1050,Rho*I1049+SQRT(1-Rho^2)*H1050),"")</f>
        <v/>
      </c>
      <c r="J1050">
        <f>IF(B1050,IF(Dist="Normal",DistA+DistB*I1050,DistA+(DistB-DistA)*NORMSDIST(I1050)),"")</f>
        <v/>
      </c>
      <c r="K1050">
        <f>IF(B1050,INDEX(MineScale,C1050),"")</f>
        <v/>
      </c>
      <c r="L1050">
        <f>IF(B1050,INDEX(Dow,1,WEEKDAY(E1050,2)),"")</f>
        <v/>
      </c>
      <c r="M1050">
        <f>IF(B1050,(1+Trend)^D1050,"")</f>
        <v/>
      </c>
      <c r="N1050">
        <f>IF(B1050,EXP(SUMPRODUCT(LN(1+(EvEff-1)*INDEX(Affected,0,C1050)*EXP(-((E1050-EvCenter)^2)/(2*EvSigma^2))))),"")</f>
        <v/>
      </c>
      <c r="O1050">
        <f>IF(B1050,ROUND(MAX(0,J1050*K1050*L1050*M1050*N1050),2),"")</f>
        <v/>
      </c>
    </row>
    <row r="1051">
      <c r="A1051" t="n">
        <v>1050</v>
      </c>
      <c r="B1051">
        <f>A1051&lt;=MineCount*Days</f>
        <v/>
      </c>
      <c r="C1051">
        <f>IF(B1051,INT((A1051-1)/Days)+1,"")</f>
        <v/>
      </c>
      <c r="D1051">
        <f>IF(B1051,MOD(A1051-1,Days),"")</f>
        <v/>
      </c>
      <c r="E1051" s="16">
        <f>IF(B1051,StartDate+D1051,"")</f>
        <v/>
      </c>
      <c r="F1051">
        <f>IF(B1051,MAX(MOD(SIN(Seed*0.1373+C1051*12.9898+D1051*78.233)*43758.5453,1),1E-9),"")</f>
        <v/>
      </c>
      <c r="G1051">
        <f>IF(B1051,MOD(SIN(Seed*0.5917+C1051*39.3468+D1051*11.135)*24634.6345,1),"")</f>
        <v/>
      </c>
      <c r="H1051">
        <f>IF(B1051,SQRT(-2*LN(F1051))*COS(2*PI()*G1051),"")</f>
        <v/>
      </c>
      <c r="I1051">
        <f>IF(B1051,IF(D1051=0,H1051,Rho*I1050+SQRT(1-Rho^2)*H1051),"")</f>
        <v/>
      </c>
      <c r="J1051">
        <f>IF(B1051,IF(Dist="Normal",DistA+DistB*I1051,DistA+(DistB-DistA)*NORMSDIST(I1051)),"")</f>
        <v/>
      </c>
      <c r="K1051">
        <f>IF(B1051,INDEX(MineScale,C1051),"")</f>
        <v/>
      </c>
      <c r="L1051">
        <f>IF(B1051,INDEX(Dow,1,WEEKDAY(E1051,2)),"")</f>
        <v/>
      </c>
      <c r="M1051">
        <f>IF(B1051,(1+Trend)^D1051,"")</f>
        <v/>
      </c>
      <c r="N1051">
        <f>IF(B1051,EXP(SUMPRODUCT(LN(1+(EvEff-1)*INDEX(Affected,0,C1051)*EXP(-((E1051-EvCenter)^2)/(2*EvSigma^2))))),"")</f>
        <v/>
      </c>
      <c r="O1051">
        <f>IF(B1051,ROUND(MAX(0,J1051*K1051*L1051*M1051*N1051),2),"")</f>
        <v/>
      </c>
    </row>
    <row r="1052">
      <c r="A1052" t="n">
        <v>1051</v>
      </c>
      <c r="B1052">
        <f>A1052&lt;=MineCount*Days</f>
        <v/>
      </c>
      <c r="C1052">
        <f>IF(B1052,INT((A1052-1)/Days)+1,"")</f>
        <v/>
      </c>
      <c r="D1052">
        <f>IF(B1052,MOD(A1052-1,Days),"")</f>
        <v/>
      </c>
      <c r="E1052" s="16">
        <f>IF(B1052,StartDate+D1052,"")</f>
        <v/>
      </c>
      <c r="F1052">
        <f>IF(B1052,MAX(MOD(SIN(Seed*0.1373+C1052*12.9898+D1052*78.233)*43758.5453,1),1E-9),"")</f>
        <v/>
      </c>
      <c r="G1052">
        <f>IF(B1052,MOD(SIN(Seed*0.5917+C1052*39.3468+D1052*11.135)*24634.6345,1),"")</f>
        <v/>
      </c>
      <c r="H1052">
        <f>IF(B1052,SQRT(-2*LN(F1052))*COS(2*PI()*G1052),"")</f>
        <v/>
      </c>
      <c r="I1052">
        <f>IF(B1052,IF(D1052=0,H1052,Rho*I1051+SQRT(1-Rho^2)*H1052),"")</f>
        <v/>
      </c>
      <c r="J1052">
        <f>IF(B1052,IF(Dist="Normal",DistA+DistB*I1052,DistA+(DistB-DistA)*NORMSDIST(I1052)),"")</f>
        <v/>
      </c>
      <c r="K1052">
        <f>IF(B1052,INDEX(MineScale,C1052),"")</f>
        <v/>
      </c>
      <c r="L1052">
        <f>IF(B1052,INDEX(Dow,1,WEEKDAY(E1052,2)),"")</f>
        <v/>
      </c>
      <c r="M1052">
        <f>IF(B1052,(1+Trend)^D1052,"")</f>
        <v/>
      </c>
      <c r="N1052">
        <f>IF(B1052,EXP(SUMPRODUCT(LN(1+(EvEff-1)*INDEX(Affected,0,C1052)*EXP(-((E1052-EvCenter)^2)/(2*EvSigma^2))))),"")</f>
        <v/>
      </c>
      <c r="O1052">
        <f>IF(B1052,ROUND(MAX(0,J1052*K1052*L1052*M1052*N1052),2),"")</f>
        <v/>
      </c>
    </row>
    <row r="1053">
      <c r="A1053" t="n">
        <v>1052</v>
      </c>
      <c r="B1053">
        <f>A1053&lt;=MineCount*Days</f>
        <v/>
      </c>
      <c r="C1053">
        <f>IF(B1053,INT((A1053-1)/Days)+1,"")</f>
        <v/>
      </c>
      <c r="D1053">
        <f>IF(B1053,MOD(A1053-1,Days),"")</f>
        <v/>
      </c>
      <c r="E1053" s="16">
        <f>IF(B1053,StartDate+D1053,"")</f>
        <v/>
      </c>
      <c r="F1053">
        <f>IF(B1053,MAX(MOD(SIN(Seed*0.1373+C1053*12.9898+D1053*78.233)*43758.5453,1),1E-9),"")</f>
        <v/>
      </c>
      <c r="G1053">
        <f>IF(B1053,MOD(SIN(Seed*0.5917+C1053*39.3468+D1053*11.135)*24634.6345,1),"")</f>
        <v/>
      </c>
      <c r="H1053">
        <f>IF(B1053,SQRT(-2*LN(F1053))*COS(2*PI()*G1053),"")</f>
        <v/>
      </c>
      <c r="I1053">
        <f>IF(B1053,IF(D1053=0,H1053,Rho*I1052+SQRT(1-Rho^2)*H1053),"")</f>
        <v/>
      </c>
      <c r="J1053">
        <f>IF(B1053,IF(Dist="Normal",DistA+DistB*I1053,DistA+(DistB-DistA)*NORMSDIST(I1053)),"")</f>
        <v/>
      </c>
      <c r="K1053">
        <f>IF(B1053,INDEX(MineScale,C1053),"")</f>
        <v/>
      </c>
      <c r="L1053">
        <f>IF(B1053,INDEX(Dow,1,WEEKDAY(E1053,2)),"")</f>
        <v/>
      </c>
      <c r="M1053">
        <f>IF(B1053,(1+Trend)^D1053,"")</f>
        <v/>
      </c>
      <c r="N1053">
        <f>IF(B1053,EXP(SUMPRODUCT(LN(1+(EvEff-1)*INDEX(Affected,0,C1053)*EXP(-((E1053-EvCenter)^2)/(2*EvSigma^2))))),"")</f>
        <v/>
      </c>
      <c r="O1053">
        <f>IF(B1053,ROUND(MAX(0,J1053*K1053*L1053*M1053*N1053),2),"")</f>
        <v/>
      </c>
    </row>
    <row r="1054">
      <c r="A1054" t="n">
        <v>1053</v>
      </c>
      <c r="B1054">
        <f>A1054&lt;=MineCount*Days</f>
        <v/>
      </c>
      <c r="C1054">
        <f>IF(B1054,INT((A1054-1)/Days)+1,"")</f>
        <v/>
      </c>
      <c r="D1054">
        <f>IF(B1054,MOD(A1054-1,Days),"")</f>
        <v/>
      </c>
      <c r="E1054" s="16">
        <f>IF(B1054,StartDate+D1054,"")</f>
        <v/>
      </c>
      <c r="F1054">
        <f>IF(B1054,MAX(MOD(SIN(Seed*0.1373+C1054*12.9898+D1054*78.233)*43758.5453,1),1E-9),"")</f>
        <v/>
      </c>
      <c r="G1054">
        <f>IF(B1054,MOD(SIN(Seed*0.5917+C1054*39.3468+D1054*11.135)*24634.6345,1),"")</f>
        <v/>
      </c>
      <c r="H1054">
        <f>IF(B1054,SQRT(-2*LN(F1054))*COS(2*PI()*G1054),"")</f>
        <v/>
      </c>
      <c r="I1054">
        <f>IF(B1054,IF(D1054=0,H1054,Rho*I1053+SQRT(1-Rho^2)*H1054),"")</f>
        <v/>
      </c>
      <c r="J1054">
        <f>IF(B1054,IF(Dist="Normal",DistA+DistB*I1054,DistA+(DistB-DistA)*NORMSDIST(I1054)),"")</f>
        <v/>
      </c>
      <c r="K1054">
        <f>IF(B1054,INDEX(MineScale,C1054),"")</f>
        <v/>
      </c>
      <c r="L1054">
        <f>IF(B1054,INDEX(Dow,1,WEEKDAY(E1054,2)),"")</f>
        <v/>
      </c>
      <c r="M1054">
        <f>IF(B1054,(1+Trend)^D1054,"")</f>
        <v/>
      </c>
      <c r="N1054">
        <f>IF(B1054,EXP(SUMPRODUCT(LN(1+(EvEff-1)*INDEX(Affected,0,C1054)*EXP(-((E1054-EvCenter)^2)/(2*EvSigma^2))))),"")</f>
        <v/>
      </c>
      <c r="O1054">
        <f>IF(B1054,ROUND(MAX(0,J1054*K1054*L1054*M1054*N1054),2),"")</f>
        <v/>
      </c>
    </row>
    <row r="1055">
      <c r="A1055" t="n">
        <v>1054</v>
      </c>
      <c r="B1055">
        <f>A1055&lt;=MineCount*Days</f>
        <v/>
      </c>
      <c r="C1055">
        <f>IF(B1055,INT((A1055-1)/Days)+1,"")</f>
        <v/>
      </c>
      <c r="D1055">
        <f>IF(B1055,MOD(A1055-1,Days),"")</f>
        <v/>
      </c>
      <c r="E1055" s="16">
        <f>IF(B1055,StartDate+D1055,"")</f>
        <v/>
      </c>
      <c r="F1055">
        <f>IF(B1055,MAX(MOD(SIN(Seed*0.1373+C1055*12.9898+D1055*78.233)*43758.5453,1),1E-9),"")</f>
        <v/>
      </c>
      <c r="G1055">
        <f>IF(B1055,MOD(SIN(Seed*0.5917+C1055*39.3468+D1055*11.135)*24634.6345,1),"")</f>
        <v/>
      </c>
      <c r="H1055">
        <f>IF(B1055,SQRT(-2*LN(F1055))*COS(2*PI()*G1055),"")</f>
        <v/>
      </c>
      <c r="I1055">
        <f>IF(B1055,IF(D1055=0,H1055,Rho*I1054+SQRT(1-Rho^2)*H1055),"")</f>
        <v/>
      </c>
      <c r="J1055">
        <f>IF(B1055,IF(Dist="Normal",DistA+DistB*I1055,DistA+(DistB-DistA)*NORMSDIST(I1055)),"")</f>
        <v/>
      </c>
      <c r="K1055">
        <f>IF(B1055,INDEX(MineScale,C1055),"")</f>
        <v/>
      </c>
      <c r="L1055">
        <f>IF(B1055,INDEX(Dow,1,WEEKDAY(E1055,2)),"")</f>
        <v/>
      </c>
      <c r="M1055">
        <f>IF(B1055,(1+Trend)^D1055,"")</f>
        <v/>
      </c>
      <c r="N1055">
        <f>IF(B1055,EXP(SUMPRODUCT(LN(1+(EvEff-1)*INDEX(Affected,0,C1055)*EXP(-((E1055-EvCenter)^2)/(2*EvSigma^2))))),"")</f>
        <v/>
      </c>
      <c r="O1055">
        <f>IF(B1055,ROUND(MAX(0,J1055*K1055*L1055*M1055*N1055),2),"")</f>
        <v/>
      </c>
    </row>
    <row r="1056">
      <c r="A1056" t="n">
        <v>1055</v>
      </c>
      <c r="B1056">
        <f>A1056&lt;=MineCount*Days</f>
        <v/>
      </c>
      <c r="C1056">
        <f>IF(B1056,INT((A1056-1)/Days)+1,"")</f>
        <v/>
      </c>
      <c r="D1056">
        <f>IF(B1056,MOD(A1056-1,Days),"")</f>
        <v/>
      </c>
      <c r="E1056" s="16">
        <f>IF(B1056,StartDate+D1056,"")</f>
        <v/>
      </c>
      <c r="F1056">
        <f>IF(B1056,MAX(MOD(SIN(Seed*0.1373+C1056*12.9898+D1056*78.233)*43758.5453,1),1E-9),"")</f>
        <v/>
      </c>
      <c r="G1056">
        <f>IF(B1056,MOD(SIN(Seed*0.5917+C1056*39.3468+D1056*11.135)*24634.6345,1),"")</f>
        <v/>
      </c>
      <c r="H1056">
        <f>IF(B1056,SQRT(-2*LN(F1056))*COS(2*PI()*G1056),"")</f>
        <v/>
      </c>
      <c r="I1056">
        <f>IF(B1056,IF(D1056=0,H1056,Rho*I1055+SQRT(1-Rho^2)*H1056),"")</f>
        <v/>
      </c>
      <c r="J1056">
        <f>IF(B1056,IF(Dist="Normal",DistA+DistB*I1056,DistA+(DistB-DistA)*NORMSDIST(I1056)),"")</f>
        <v/>
      </c>
      <c r="K1056">
        <f>IF(B1056,INDEX(MineScale,C1056),"")</f>
        <v/>
      </c>
      <c r="L1056">
        <f>IF(B1056,INDEX(Dow,1,WEEKDAY(E1056,2)),"")</f>
        <v/>
      </c>
      <c r="M1056">
        <f>IF(B1056,(1+Trend)^D1056,"")</f>
        <v/>
      </c>
      <c r="N1056">
        <f>IF(B1056,EXP(SUMPRODUCT(LN(1+(EvEff-1)*INDEX(Affected,0,C1056)*EXP(-((E1056-EvCenter)^2)/(2*EvSigma^2))))),"")</f>
        <v/>
      </c>
      <c r="O1056">
        <f>IF(B1056,ROUND(MAX(0,J1056*K1056*L1056*M1056*N1056),2),"")</f>
        <v/>
      </c>
    </row>
    <row r="1057">
      <c r="A1057" t="n">
        <v>1056</v>
      </c>
      <c r="B1057">
        <f>A1057&lt;=MineCount*Days</f>
        <v/>
      </c>
      <c r="C1057">
        <f>IF(B1057,INT((A1057-1)/Days)+1,"")</f>
        <v/>
      </c>
      <c r="D1057">
        <f>IF(B1057,MOD(A1057-1,Days),"")</f>
        <v/>
      </c>
      <c r="E1057" s="16">
        <f>IF(B1057,StartDate+D1057,"")</f>
        <v/>
      </c>
      <c r="F1057">
        <f>IF(B1057,MAX(MOD(SIN(Seed*0.1373+C1057*12.9898+D1057*78.233)*43758.5453,1),1E-9),"")</f>
        <v/>
      </c>
      <c r="G1057">
        <f>IF(B1057,MOD(SIN(Seed*0.5917+C1057*39.3468+D1057*11.135)*24634.6345,1),"")</f>
        <v/>
      </c>
      <c r="H1057">
        <f>IF(B1057,SQRT(-2*LN(F1057))*COS(2*PI()*G1057),"")</f>
        <v/>
      </c>
      <c r="I1057">
        <f>IF(B1057,IF(D1057=0,H1057,Rho*I1056+SQRT(1-Rho^2)*H1057),"")</f>
        <v/>
      </c>
      <c r="J1057">
        <f>IF(B1057,IF(Dist="Normal",DistA+DistB*I1057,DistA+(DistB-DistA)*NORMSDIST(I1057)),"")</f>
        <v/>
      </c>
      <c r="K1057">
        <f>IF(B1057,INDEX(MineScale,C1057),"")</f>
        <v/>
      </c>
      <c r="L1057">
        <f>IF(B1057,INDEX(Dow,1,WEEKDAY(E1057,2)),"")</f>
        <v/>
      </c>
      <c r="M1057">
        <f>IF(B1057,(1+Trend)^D1057,"")</f>
        <v/>
      </c>
      <c r="N1057">
        <f>IF(B1057,EXP(SUMPRODUCT(LN(1+(EvEff-1)*INDEX(Affected,0,C1057)*EXP(-((E1057-EvCenter)^2)/(2*EvSigma^2))))),"")</f>
        <v/>
      </c>
      <c r="O1057">
        <f>IF(B1057,ROUND(MAX(0,J1057*K1057*L1057*M1057*N1057),2),"")</f>
        <v/>
      </c>
    </row>
    <row r="1058">
      <c r="A1058" t="n">
        <v>1057</v>
      </c>
      <c r="B1058">
        <f>A1058&lt;=MineCount*Days</f>
        <v/>
      </c>
      <c r="C1058">
        <f>IF(B1058,INT((A1058-1)/Days)+1,"")</f>
        <v/>
      </c>
      <c r="D1058">
        <f>IF(B1058,MOD(A1058-1,Days),"")</f>
        <v/>
      </c>
      <c r="E1058" s="16">
        <f>IF(B1058,StartDate+D1058,"")</f>
        <v/>
      </c>
      <c r="F1058">
        <f>IF(B1058,MAX(MOD(SIN(Seed*0.1373+C1058*12.9898+D1058*78.233)*43758.5453,1),1E-9),"")</f>
        <v/>
      </c>
      <c r="G1058">
        <f>IF(B1058,MOD(SIN(Seed*0.5917+C1058*39.3468+D1058*11.135)*24634.6345,1),"")</f>
        <v/>
      </c>
      <c r="H1058">
        <f>IF(B1058,SQRT(-2*LN(F1058))*COS(2*PI()*G1058),"")</f>
        <v/>
      </c>
      <c r="I1058">
        <f>IF(B1058,IF(D1058=0,H1058,Rho*I1057+SQRT(1-Rho^2)*H1058),"")</f>
        <v/>
      </c>
      <c r="J1058">
        <f>IF(B1058,IF(Dist="Normal",DistA+DistB*I1058,DistA+(DistB-DistA)*NORMSDIST(I1058)),"")</f>
        <v/>
      </c>
      <c r="K1058">
        <f>IF(B1058,INDEX(MineScale,C1058),"")</f>
        <v/>
      </c>
      <c r="L1058">
        <f>IF(B1058,INDEX(Dow,1,WEEKDAY(E1058,2)),"")</f>
        <v/>
      </c>
      <c r="M1058">
        <f>IF(B1058,(1+Trend)^D1058,"")</f>
        <v/>
      </c>
      <c r="N1058">
        <f>IF(B1058,EXP(SUMPRODUCT(LN(1+(EvEff-1)*INDEX(Affected,0,C1058)*EXP(-((E1058-EvCenter)^2)/(2*EvSigma^2))))),"")</f>
        <v/>
      </c>
      <c r="O1058">
        <f>IF(B1058,ROUND(MAX(0,J1058*K1058*L1058*M1058*N1058),2),"")</f>
        <v/>
      </c>
    </row>
    <row r="1059">
      <c r="A1059" t="n">
        <v>1058</v>
      </c>
      <c r="B1059">
        <f>A1059&lt;=MineCount*Days</f>
        <v/>
      </c>
      <c r="C1059">
        <f>IF(B1059,INT((A1059-1)/Days)+1,"")</f>
        <v/>
      </c>
      <c r="D1059">
        <f>IF(B1059,MOD(A1059-1,Days),"")</f>
        <v/>
      </c>
      <c r="E1059" s="16">
        <f>IF(B1059,StartDate+D1059,"")</f>
        <v/>
      </c>
      <c r="F1059">
        <f>IF(B1059,MAX(MOD(SIN(Seed*0.1373+C1059*12.9898+D1059*78.233)*43758.5453,1),1E-9),"")</f>
        <v/>
      </c>
      <c r="G1059">
        <f>IF(B1059,MOD(SIN(Seed*0.5917+C1059*39.3468+D1059*11.135)*24634.6345,1),"")</f>
        <v/>
      </c>
      <c r="H1059">
        <f>IF(B1059,SQRT(-2*LN(F1059))*COS(2*PI()*G1059),"")</f>
        <v/>
      </c>
      <c r="I1059">
        <f>IF(B1059,IF(D1059=0,H1059,Rho*I1058+SQRT(1-Rho^2)*H1059),"")</f>
        <v/>
      </c>
      <c r="J1059">
        <f>IF(B1059,IF(Dist="Normal",DistA+DistB*I1059,DistA+(DistB-DistA)*NORMSDIST(I1059)),"")</f>
        <v/>
      </c>
      <c r="K1059">
        <f>IF(B1059,INDEX(MineScale,C1059),"")</f>
        <v/>
      </c>
      <c r="L1059">
        <f>IF(B1059,INDEX(Dow,1,WEEKDAY(E1059,2)),"")</f>
        <v/>
      </c>
      <c r="M1059">
        <f>IF(B1059,(1+Trend)^D1059,"")</f>
        <v/>
      </c>
      <c r="N1059">
        <f>IF(B1059,EXP(SUMPRODUCT(LN(1+(EvEff-1)*INDEX(Affected,0,C1059)*EXP(-((E1059-EvCenter)^2)/(2*EvSigma^2))))),"")</f>
        <v/>
      </c>
      <c r="O1059">
        <f>IF(B1059,ROUND(MAX(0,J1059*K1059*L1059*M1059*N1059),2),"")</f>
        <v/>
      </c>
    </row>
    <row r="1060">
      <c r="A1060" t="n">
        <v>1059</v>
      </c>
      <c r="B1060">
        <f>A1060&lt;=MineCount*Days</f>
        <v/>
      </c>
      <c r="C1060">
        <f>IF(B1060,INT((A1060-1)/Days)+1,"")</f>
        <v/>
      </c>
      <c r="D1060">
        <f>IF(B1060,MOD(A1060-1,Days),"")</f>
        <v/>
      </c>
      <c r="E1060" s="16">
        <f>IF(B1060,StartDate+D1060,"")</f>
        <v/>
      </c>
      <c r="F1060">
        <f>IF(B1060,MAX(MOD(SIN(Seed*0.1373+C1060*12.9898+D1060*78.233)*43758.5453,1),1E-9),"")</f>
        <v/>
      </c>
      <c r="G1060">
        <f>IF(B1060,MOD(SIN(Seed*0.5917+C1060*39.3468+D1060*11.135)*24634.6345,1),"")</f>
        <v/>
      </c>
      <c r="H1060">
        <f>IF(B1060,SQRT(-2*LN(F1060))*COS(2*PI()*G1060),"")</f>
        <v/>
      </c>
      <c r="I1060">
        <f>IF(B1060,IF(D1060=0,H1060,Rho*I1059+SQRT(1-Rho^2)*H1060),"")</f>
        <v/>
      </c>
      <c r="J1060">
        <f>IF(B1060,IF(Dist="Normal",DistA+DistB*I1060,DistA+(DistB-DistA)*NORMSDIST(I1060)),"")</f>
        <v/>
      </c>
      <c r="K1060">
        <f>IF(B1060,INDEX(MineScale,C1060),"")</f>
        <v/>
      </c>
      <c r="L1060">
        <f>IF(B1060,INDEX(Dow,1,WEEKDAY(E1060,2)),"")</f>
        <v/>
      </c>
      <c r="M1060">
        <f>IF(B1060,(1+Trend)^D1060,"")</f>
        <v/>
      </c>
      <c r="N1060">
        <f>IF(B1060,EXP(SUMPRODUCT(LN(1+(EvEff-1)*INDEX(Affected,0,C1060)*EXP(-((E1060-EvCenter)^2)/(2*EvSigma^2))))),"")</f>
        <v/>
      </c>
      <c r="O1060">
        <f>IF(B1060,ROUND(MAX(0,J1060*K1060*L1060*M1060*N1060),2),"")</f>
        <v/>
      </c>
    </row>
    <row r="1061">
      <c r="A1061" t="n">
        <v>1060</v>
      </c>
      <c r="B1061">
        <f>A1061&lt;=MineCount*Days</f>
        <v/>
      </c>
      <c r="C1061">
        <f>IF(B1061,INT((A1061-1)/Days)+1,"")</f>
        <v/>
      </c>
      <c r="D1061">
        <f>IF(B1061,MOD(A1061-1,Days),"")</f>
        <v/>
      </c>
      <c r="E1061" s="16">
        <f>IF(B1061,StartDate+D1061,"")</f>
        <v/>
      </c>
      <c r="F1061">
        <f>IF(B1061,MAX(MOD(SIN(Seed*0.1373+C1061*12.9898+D1061*78.233)*43758.5453,1),1E-9),"")</f>
        <v/>
      </c>
      <c r="G1061">
        <f>IF(B1061,MOD(SIN(Seed*0.5917+C1061*39.3468+D1061*11.135)*24634.6345,1),"")</f>
        <v/>
      </c>
      <c r="H1061">
        <f>IF(B1061,SQRT(-2*LN(F1061))*COS(2*PI()*G1061),"")</f>
        <v/>
      </c>
      <c r="I1061">
        <f>IF(B1061,IF(D1061=0,H1061,Rho*I1060+SQRT(1-Rho^2)*H1061),"")</f>
        <v/>
      </c>
      <c r="J1061">
        <f>IF(B1061,IF(Dist="Normal",DistA+DistB*I1061,DistA+(DistB-DistA)*NORMSDIST(I1061)),"")</f>
        <v/>
      </c>
      <c r="K1061">
        <f>IF(B1061,INDEX(MineScale,C1061),"")</f>
        <v/>
      </c>
      <c r="L1061">
        <f>IF(B1061,INDEX(Dow,1,WEEKDAY(E1061,2)),"")</f>
        <v/>
      </c>
      <c r="M1061">
        <f>IF(B1061,(1+Trend)^D1061,"")</f>
        <v/>
      </c>
      <c r="N1061">
        <f>IF(B1061,EXP(SUMPRODUCT(LN(1+(EvEff-1)*INDEX(Affected,0,C1061)*EXP(-((E1061-EvCenter)^2)/(2*EvSigma^2))))),"")</f>
        <v/>
      </c>
      <c r="O1061">
        <f>IF(B1061,ROUND(MAX(0,J1061*K1061*L1061*M1061*N1061),2),"")</f>
        <v/>
      </c>
    </row>
    <row r="1062">
      <c r="A1062" t="n">
        <v>1061</v>
      </c>
      <c r="B1062">
        <f>A1062&lt;=MineCount*Days</f>
        <v/>
      </c>
      <c r="C1062">
        <f>IF(B1062,INT((A1062-1)/Days)+1,"")</f>
        <v/>
      </c>
      <c r="D1062">
        <f>IF(B1062,MOD(A1062-1,Days),"")</f>
        <v/>
      </c>
      <c r="E1062" s="16">
        <f>IF(B1062,StartDate+D1062,"")</f>
        <v/>
      </c>
      <c r="F1062">
        <f>IF(B1062,MAX(MOD(SIN(Seed*0.1373+C1062*12.9898+D1062*78.233)*43758.5453,1),1E-9),"")</f>
        <v/>
      </c>
      <c r="G1062">
        <f>IF(B1062,MOD(SIN(Seed*0.5917+C1062*39.3468+D1062*11.135)*24634.6345,1),"")</f>
        <v/>
      </c>
      <c r="H1062">
        <f>IF(B1062,SQRT(-2*LN(F1062))*COS(2*PI()*G1062),"")</f>
        <v/>
      </c>
      <c r="I1062">
        <f>IF(B1062,IF(D1062=0,H1062,Rho*I1061+SQRT(1-Rho^2)*H1062),"")</f>
        <v/>
      </c>
      <c r="J1062">
        <f>IF(B1062,IF(Dist="Normal",DistA+DistB*I1062,DistA+(DistB-DistA)*NORMSDIST(I1062)),"")</f>
        <v/>
      </c>
      <c r="K1062">
        <f>IF(B1062,INDEX(MineScale,C1062),"")</f>
        <v/>
      </c>
      <c r="L1062">
        <f>IF(B1062,INDEX(Dow,1,WEEKDAY(E1062,2)),"")</f>
        <v/>
      </c>
      <c r="M1062">
        <f>IF(B1062,(1+Trend)^D1062,"")</f>
        <v/>
      </c>
      <c r="N1062">
        <f>IF(B1062,EXP(SUMPRODUCT(LN(1+(EvEff-1)*INDEX(Affected,0,C1062)*EXP(-((E1062-EvCenter)^2)/(2*EvSigma^2))))),"")</f>
        <v/>
      </c>
      <c r="O1062">
        <f>IF(B1062,ROUND(MAX(0,J1062*K1062*L1062*M1062*N1062),2),"")</f>
        <v/>
      </c>
    </row>
    <row r="1063">
      <c r="A1063" t="n">
        <v>1062</v>
      </c>
      <c r="B1063">
        <f>A1063&lt;=MineCount*Days</f>
        <v/>
      </c>
      <c r="C1063">
        <f>IF(B1063,INT((A1063-1)/Days)+1,"")</f>
        <v/>
      </c>
      <c r="D1063">
        <f>IF(B1063,MOD(A1063-1,Days),"")</f>
        <v/>
      </c>
      <c r="E1063" s="16">
        <f>IF(B1063,StartDate+D1063,"")</f>
        <v/>
      </c>
      <c r="F1063">
        <f>IF(B1063,MAX(MOD(SIN(Seed*0.1373+C1063*12.9898+D1063*78.233)*43758.5453,1),1E-9),"")</f>
        <v/>
      </c>
      <c r="G1063">
        <f>IF(B1063,MOD(SIN(Seed*0.5917+C1063*39.3468+D1063*11.135)*24634.6345,1),"")</f>
        <v/>
      </c>
      <c r="H1063">
        <f>IF(B1063,SQRT(-2*LN(F1063))*COS(2*PI()*G1063),"")</f>
        <v/>
      </c>
      <c r="I1063">
        <f>IF(B1063,IF(D1063=0,H1063,Rho*I1062+SQRT(1-Rho^2)*H1063),"")</f>
        <v/>
      </c>
      <c r="J1063">
        <f>IF(B1063,IF(Dist="Normal",DistA+DistB*I1063,DistA+(DistB-DistA)*NORMSDIST(I1063)),"")</f>
        <v/>
      </c>
      <c r="K1063">
        <f>IF(B1063,INDEX(MineScale,C1063),"")</f>
        <v/>
      </c>
      <c r="L1063">
        <f>IF(B1063,INDEX(Dow,1,WEEKDAY(E1063,2)),"")</f>
        <v/>
      </c>
      <c r="M1063">
        <f>IF(B1063,(1+Trend)^D1063,"")</f>
        <v/>
      </c>
      <c r="N1063">
        <f>IF(B1063,EXP(SUMPRODUCT(LN(1+(EvEff-1)*INDEX(Affected,0,C1063)*EXP(-((E1063-EvCenter)^2)/(2*EvSigma^2))))),"")</f>
        <v/>
      </c>
      <c r="O1063">
        <f>IF(B1063,ROUND(MAX(0,J1063*K1063*L1063*M1063*N1063),2),"")</f>
        <v/>
      </c>
    </row>
    <row r="1064">
      <c r="A1064" t="n">
        <v>1063</v>
      </c>
      <c r="B1064">
        <f>A1064&lt;=MineCount*Days</f>
        <v/>
      </c>
      <c r="C1064">
        <f>IF(B1064,INT((A1064-1)/Days)+1,"")</f>
        <v/>
      </c>
      <c r="D1064">
        <f>IF(B1064,MOD(A1064-1,Days),"")</f>
        <v/>
      </c>
      <c r="E1064" s="16">
        <f>IF(B1064,StartDate+D1064,"")</f>
        <v/>
      </c>
      <c r="F1064">
        <f>IF(B1064,MAX(MOD(SIN(Seed*0.1373+C1064*12.9898+D1064*78.233)*43758.5453,1),1E-9),"")</f>
        <v/>
      </c>
      <c r="G1064">
        <f>IF(B1064,MOD(SIN(Seed*0.5917+C1064*39.3468+D1064*11.135)*24634.6345,1),"")</f>
        <v/>
      </c>
      <c r="H1064">
        <f>IF(B1064,SQRT(-2*LN(F1064))*COS(2*PI()*G1064),"")</f>
        <v/>
      </c>
      <c r="I1064">
        <f>IF(B1064,IF(D1064=0,H1064,Rho*I1063+SQRT(1-Rho^2)*H1064),"")</f>
        <v/>
      </c>
      <c r="J1064">
        <f>IF(B1064,IF(Dist="Normal",DistA+DistB*I1064,DistA+(DistB-DistA)*NORMSDIST(I1064)),"")</f>
        <v/>
      </c>
      <c r="K1064">
        <f>IF(B1064,INDEX(MineScale,C1064),"")</f>
        <v/>
      </c>
      <c r="L1064">
        <f>IF(B1064,INDEX(Dow,1,WEEKDAY(E1064,2)),"")</f>
        <v/>
      </c>
      <c r="M1064">
        <f>IF(B1064,(1+Trend)^D1064,"")</f>
        <v/>
      </c>
      <c r="N1064">
        <f>IF(B1064,EXP(SUMPRODUCT(LN(1+(EvEff-1)*INDEX(Affected,0,C1064)*EXP(-((E1064-EvCenter)^2)/(2*EvSigma^2))))),"")</f>
        <v/>
      </c>
      <c r="O1064">
        <f>IF(B1064,ROUND(MAX(0,J1064*K1064*L1064*M1064*N1064),2),"")</f>
        <v/>
      </c>
    </row>
    <row r="1065">
      <c r="A1065" t="n">
        <v>1064</v>
      </c>
      <c r="B1065">
        <f>A1065&lt;=MineCount*Days</f>
        <v/>
      </c>
      <c r="C1065">
        <f>IF(B1065,INT((A1065-1)/Days)+1,"")</f>
        <v/>
      </c>
      <c r="D1065">
        <f>IF(B1065,MOD(A1065-1,Days),"")</f>
        <v/>
      </c>
      <c r="E1065" s="16">
        <f>IF(B1065,StartDate+D1065,"")</f>
        <v/>
      </c>
      <c r="F1065">
        <f>IF(B1065,MAX(MOD(SIN(Seed*0.1373+C1065*12.9898+D1065*78.233)*43758.5453,1),1E-9),"")</f>
        <v/>
      </c>
      <c r="G1065">
        <f>IF(B1065,MOD(SIN(Seed*0.5917+C1065*39.3468+D1065*11.135)*24634.6345,1),"")</f>
        <v/>
      </c>
      <c r="H1065">
        <f>IF(B1065,SQRT(-2*LN(F1065))*COS(2*PI()*G1065),"")</f>
        <v/>
      </c>
      <c r="I1065">
        <f>IF(B1065,IF(D1065=0,H1065,Rho*I1064+SQRT(1-Rho^2)*H1065),"")</f>
        <v/>
      </c>
      <c r="J1065">
        <f>IF(B1065,IF(Dist="Normal",DistA+DistB*I1065,DistA+(DistB-DistA)*NORMSDIST(I1065)),"")</f>
        <v/>
      </c>
      <c r="K1065">
        <f>IF(B1065,INDEX(MineScale,C1065),"")</f>
        <v/>
      </c>
      <c r="L1065">
        <f>IF(B1065,INDEX(Dow,1,WEEKDAY(E1065,2)),"")</f>
        <v/>
      </c>
      <c r="M1065">
        <f>IF(B1065,(1+Trend)^D1065,"")</f>
        <v/>
      </c>
      <c r="N1065">
        <f>IF(B1065,EXP(SUMPRODUCT(LN(1+(EvEff-1)*INDEX(Affected,0,C1065)*EXP(-((E1065-EvCenter)^2)/(2*EvSigma^2))))),"")</f>
        <v/>
      </c>
      <c r="O1065">
        <f>IF(B1065,ROUND(MAX(0,J1065*K1065*L1065*M1065*N1065),2),"")</f>
        <v/>
      </c>
    </row>
    <row r="1066">
      <c r="A1066" t="n">
        <v>1065</v>
      </c>
      <c r="B1066">
        <f>A1066&lt;=MineCount*Days</f>
        <v/>
      </c>
      <c r="C1066">
        <f>IF(B1066,INT((A1066-1)/Days)+1,"")</f>
        <v/>
      </c>
      <c r="D1066">
        <f>IF(B1066,MOD(A1066-1,Days),"")</f>
        <v/>
      </c>
      <c r="E1066" s="16">
        <f>IF(B1066,StartDate+D1066,"")</f>
        <v/>
      </c>
      <c r="F1066">
        <f>IF(B1066,MAX(MOD(SIN(Seed*0.1373+C1066*12.9898+D1066*78.233)*43758.5453,1),1E-9),"")</f>
        <v/>
      </c>
      <c r="G1066">
        <f>IF(B1066,MOD(SIN(Seed*0.5917+C1066*39.3468+D1066*11.135)*24634.6345,1),"")</f>
        <v/>
      </c>
      <c r="H1066">
        <f>IF(B1066,SQRT(-2*LN(F1066))*COS(2*PI()*G1066),"")</f>
        <v/>
      </c>
      <c r="I1066">
        <f>IF(B1066,IF(D1066=0,H1066,Rho*I1065+SQRT(1-Rho^2)*H1066),"")</f>
        <v/>
      </c>
      <c r="J1066">
        <f>IF(B1066,IF(Dist="Normal",DistA+DistB*I1066,DistA+(DistB-DistA)*NORMSDIST(I1066)),"")</f>
        <v/>
      </c>
      <c r="K1066">
        <f>IF(B1066,INDEX(MineScale,C1066),"")</f>
        <v/>
      </c>
      <c r="L1066">
        <f>IF(B1066,INDEX(Dow,1,WEEKDAY(E1066,2)),"")</f>
        <v/>
      </c>
      <c r="M1066">
        <f>IF(B1066,(1+Trend)^D1066,"")</f>
        <v/>
      </c>
      <c r="N1066">
        <f>IF(B1066,EXP(SUMPRODUCT(LN(1+(EvEff-1)*INDEX(Affected,0,C1066)*EXP(-((E1066-EvCenter)^2)/(2*EvSigma^2))))),"")</f>
        <v/>
      </c>
      <c r="O1066">
        <f>IF(B1066,ROUND(MAX(0,J1066*K1066*L1066*M1066*N1066),2),"")</f>
        <v/>
      </c>
    </row>
    <row r="1067">
      <c r="A1067" t="n">
        <v>1066</v>
      </c>
      <c r="B1067">
        <f>A1067&lt;=MineCount*Days</f>
        <v/>
      </c>
      <c r="C1067">
        <f>IF(B1067,INT((A1067-1)/Days)+1,"")</f>
        <v/>
      </c>
      <c r="D1067">
        <f>IF(B1067,MOD(A1067-1,Days),"")</f>
        <v/>
      </c>
      <c r="E1067" s="16">
        <f>IF(B1067,StartDate+D1067,"")</f>
        <v/>
      </c>
      <c r="F1067">
        <f>IF(B1067,MAX(MOD(SIN(Seed*0.1373+C1067*12.9898+D1067*78.233)*43758.5453,1),1E-9),"")</f>
        <v/>
      </c>
      <c r="G1067">
        <f>IF(B1067,MOD(SIN(Seed*0.5917+C1067*39.3468+D1067*11.135)*24634.6345,1),"")</f>
        <v/>
      </c>
      <c r="H1067">
        <f>IF(B1067,SQRT(-2*LN(F1067))*COS(2*PI()*G1067),"")</f>
        <v/>
      </c>
      <c r="I1067">
        <f>IF(B1067,IF(D1067=0,H1067,Rho*I1066+SQRT(1-Rho^2)*H1067),"")</f>
        <v/>
      </c>
      <c r="J1067">
        <f>IF(B1067,IF(Dist="Normal",DistA+DistB*I1067,DistA+(DistB-DistA)*NORMSDIST(I1067)),"")</f>
        <v/>
      </c>
      <c r="K1067">
        <f>IF(B1067,INDEX(MineScale,C1067),"")</f>
        <v/>
      </c>
      <c r="L1067">
        <f>IF(B1067,INDEX(Dow,1,WEEKDAY(E1067,2)),"")</f>
        <v/>
      </c>
      <c r="M1067">
        <f>IF(B1067,(1+Trend)^D1067,"")</f>
        <v/>
      </c>
      <c r="N1067">
        <f>IF(B1067,EXP(SUMPRODUCT(LN(1+(EvEff-1)*INDEX(Affected,0,C1067)*EXP(-((E1067-EvCenter)^2)/(2*EvSigma^2))))),"")</f>
        <v/>
      </c>
      <c r="O1067">
        <f>IF(B1067,ROUND(MAX(0,J1067*K1067*L1067*M1067*N1067),2),"")</f>
        <v/>
      </c>
    </row>
    <row r="1068">
      <c r="A1068" t="n">
        <v>1067</v>
      </c>
      <c r="B1068">
        <f>A1068&lt;=MineCount*Days</f>
        <v/>
      </c>
      <c r="C1068">
        <f>IF(B1068,INT((A1068-1)/Days)+1,"")</f>
        <v/>
      </c>
      <c r="D1068">
        <f>IF(B1068,MOD(A1068-1,Days),"")</f>
        <v/>
      </c>
      <c r="E1068" s="16">
        <f>IF(B1068,StartDate+D1068,"")</f>
        <v/>
      </c>
      <c r="F1068">
        <f>IF(B1068,MAX(MOD(SIN(Seed*0.1373+C1068*12.9898+D1068*78.233)*43758.5453,1),1E-9),"")</f>
        <v/>
      </c>
      <c r="G1068">
        <f>IF(B1068,MOD(SIN(Seed*0.5917+C1068*39.3468+D1068*11.135)*24634.6345,1),"")</f>
        <v/>
      </c>
      <c r="H1068">
        <f>IF(B1068,SQRT(-2*LN(F1068))*COS(2*PI()*G1068),"")</f>
        <v/>
      </c>
      <c r="I1068">
        <f>IF(B1068,IF(D1068=0,H1068,Rho*I1067+SQRT(1-Rho^2)*H1068),"")</f>
        <v/>
      </c>
      <c r="J1068">
        <f>IF(B1068,IF(Dist="Normal",DistA+DistB*I1068,DistA+(DistB-DistA)*NORMSDIST(I1068)),"")</f>
        <v/>
      </c>
      <c r="K1068">
        <f>IF(B1068,INDEX(MineScale,C1068),"")</f>
        <v/>
      </c>
      <c r="L1068">
        <f>IF(B1068,INDEX(Dow,1,WEEKDAY(E1068,2)),"")</f>
        <v/>
      </c>
      <c r="M1068">
        <f>IF(B1068,(1+Trend)^D1068,"")</f>
        <v/>
      </c>
      <c r="N1068">
        <f>IF(B1068,EXP(SUMPRODUCT(LN(1+(EvEff-1)*INDEX(Affected,0,C1068)*EXP(-((E1068-EvCenter)^2)/(2*EvSigma^2))))),"")</f>
        <v/>
      </c>
      <c r="O1068">
        <f>IF(B1068,ROUND(MAX(0,J1068*K1068*L1068*M1068*N1068),2),"")</f>
        <v/>
      </c>
    </row>
    <row r="1069">
      <c r="A1069" t="n">
        <v>1068</v>
      </c>
      <c r="B1069">
        <f>A1069&lt;=MineCount*Days</f>
        <v/>
      </c>
      <c r="C1069">
        <f>IF(B1069,INT((A1069-1)/Days)+1,"")</f>
        <v/>
      </c>
      <c r="D1069">
        <f>IF(B1069,MOD(A1069-1,Days),"")</f>
        <v/>
      </c>
      <c r="E1069" s="16">
        <f>IF(B1069,StartDate+D1069,"")</f>
        <v/>
      </c>
      <c r="F1069">
        <f>IF(B1069,MAX(MOD(SIN(Seed*0.1373+C1069*12.9898+D1069*78.233)*43758.5453,1),1E-9),"")</f>
        <v/>
      </c>
      <c r="G1069">
        <f>IF(B1069,MOD(SIN(Seed*0.5917+C1069*39.3468+D1069*11.135)*24634.6345,1),"")</f>
        <v/>
      </c>
      <c r="H1069">
        <f>IF(B1069,SQRT(-2*LN(F1069))*COS(2*PI()*G1069),"")</f>
        <v/>
      </c>
      <c r="I1069">
        <f>IF(B1069,IF(D1069=0,H1069,Rho*I1068+SQRT(1-Rho^2)*H1069),"")</f>
        <v/>
      </c>
      <c r="J1069">
        <f>IF(B1069,IF(Dist="Normal",DistA+DistB*I1069,DistA+(DistB-DistA)*NORMSDIST(I1069)),"")</f>
        <v/>
      </c>
      <c r="K1069">
        <f>IF(B1069,INDEX(MineScale,C1069),"")</f>
        <v/>
      </c>
      <c r="L1069">
        <f>IF(B1069,INDEX(Dow,1,WEEKDAY(E1069,2)),"")</f>
        <v/>
      </c>
      <c r="M1069">
        <f>IF(B1069,(1+Trend)^D1069,"")</f>
        <v/>
      </c>
      <c r="N1069">
        <f>IF(B1069,EXP(SUMPRODUCT(LN(1+(EvEff-1)*INDEX(Affected,0,C1069)*EXP(-((E1069-EvCenter)^2)/(2*EvSigma^2))))),"")</f>
        <v/>
      </c>
      <c r="O1069">
        <f>IF(B1069,ROUND(MAX(0,J1069*K1069*L1069*M1069*N1069),2),"")</f>
        <v/>
      </c>
    </row>
    <row r="1070">
      <c r="A1070" t="n">
        <v>1069</v>
      </c>
      <c r="B1070">
        <f>A1070&lt;=MineCount*Days</f>
        <v/>
      </c>
      <c r="C1070">
        <f>IF(B1070,INT((A1070-1)/Days)+1,"")</f>
        <v/>
      </c>
      <c r="D1070">
        <f>IF(B1070,MOD(A1070-1,Days),"")</f>
        <v/>
      </c>
      <c r="E1070" s="16">
        <f>IF(B1070,StartDate+D1070,"")</f>
        <v/>
      </c>
      <c r="F1070">
        <f>IF(B1070,MAX(MOD(SIN(Seed*0.1373+C1070*12.9898+D1070*78.233)*43758.5453,1),1E-9),"")</f>
        <v/>
      </c>
      <c r="G1070">
        <f>IF(B1070,MOD(SIN(Seed*0.5917+C1070*39.3468+D1070*11.135)*24634.6345,1),"")</f>
        <v/>
      </c>
      <c r="H1070">
        <f>IF(B1070,SQRT(-2*LN(F1070))*COS(2*PI()*G1070),"")</f>
        <v/>
      </c>
      <c r="I1070">
        <f>IF(B1070,IF(D1070=0,H1070,Rho*I1069+SQRT(1-Rho^2)*H1070),"")</f>
        <v/>
      </c>
      <c r="J1070">
        <f>IF(B1070,IF(Dist="Normal",DistA+DistB*I1070,DistA+(DistB-DistA)*NORMSDIST(I1070)),"")</f>
        <v/>
      </c>
      <c r="K1070">
        <f>IF(B1070,INDEX(MineScale,C1070),"")</f>
        <v/>
      </c>
      <c r="L1070">
        <f>IF(B1070,INDEX(Dow,1,WEEKDAY(E1070,2)),"")</f>
        <v/>
      </c>
      <c r="M1070">
        <f>IF(B1070,(1+Trend)^D1070,"")</f>
        <v/>
      </c>
      <c r="N1070">
        <f>IF(B1070,EXP(SUMPRODUCT(LN(1+(EvEff-1)*INDEX(Affected,0,C1070)*EXP(-((E1070-EvCenter)^2)/(2*EvSigma^2))))),"")</f>
        <v/>
      </c>
      <c r="O1070">
        <f>IF(B1070,ROUND(MAX(0,J1070*K1070*L1070*M1070*N1070),2),"")</f>
        <v/>
      </c>
    </row>
    <row r="1071">
      <c r="A1071" t="n">
        <v>1070</v>
      </c>
      <c r="B1071">
        <f>A1071&lt;=MineCount*Days</f>
        <v/>
      </c>
      <c r="C1071">
        <f>IF(B1071,INT((A1071-1)/Days)+1,"")</f>
        <v/>
      </c>
      <c r="D1071">
        <f>IF(B1071,MOD(A1071-1,Days),"")</f>
        <v/>
      </c>
      <c r="E1071" s="16">
        <f>IF(B1071,StartDate+D1071,"")</f>
        <v/>
      </c>
      <c r="F1071">
        <f>IF(B1071,MAX(MOD(SIN(Seed*0.1373+C1071*12.9898+D1071*78.233)*43758.5453,1),1E-9),"")</f>
        <v/>
      </c>
      <c r="G1071">
        <f>IF(B1071,MOD(SIN(Seed*0.5917+C1071*39.3468+D1071*11.135)*24634.6345,1),"")</f>
        <v/>
      </c>
      <c r="H1071">
        <f>IF(B1071,SQRT(-2*LN(F1071))*COS(2*PI()*G1071),"")</f>
        <v/>
      </c>
      <c r="I1071">
        <f>IF(B1071,IF(D1071=0,H1071,Rho*I1070+SQRT(1-Rho^2)*H1071),"")</f>
        <v/>
      </c>
      <c r="J1071">
        <f>IF(B1071,IF(Dist="Normal",DistA+DistB*I1071,DistA+(DistB-DistA)*NORMSDIST(I1071)),"")</f>
        <v/>
      </c>
      <c r="K1071">
        <f>IF(B1071,INDEX(MineScale,C1071),"")</f>
        <v/>
      </c>
      <c r="L1071">
        <f>IF(B1071,INDEX(Dow,1,WEEKDAY(E1071,2)),"")</f>
        <v/>
      </c>
      <c r="M1071">
        <f>IF(B1071,(1+Trend)^D1071,"")</f>
        <v/>
      </c>
      <c r="N1071">
        <f>IF(B1071,EXP(SUMPRODUCT(LN(1+(EvEff-1)*INDEX(Affected,0,C1071)*EXP(-((E1071-EvCenter)^2)/(2*EvSigma^2))))),"")</f>
        <v/>
      </c>
      <c r="O1071">
        <f>IF(B1071,ROUND(MAX(0,J1071*K1071*L1071*M1071*N1071),2),"")</f>
        <v/>
      </c>
    </row>
    <row r="1072">
      <c r="A1072" t="n">
        <v>1071</v>
      </c>
      <c r="B1072">
        <f>A1072&lt;=MineCount*Days</f>
        <v/>
      </c>
      <c r="C1072">
        <f>IF(B1072,INT((A1072-1)/Days)+1,"")</f>
        <v/>
      </c>
      <c r="D1072">
        <f>IF(B1072,MOD(A1072-1,Days),"")</f>
        <v/>
      </c>
      <c r="E1072" s="16">
        <f>IF(B1072,StartDate+D1072,"")</f>
        <v/>
      </c>
      <c r="F1072">
        <f>IF(B1072,MAX(MOD(SIN(Seed*0.1373+C1072*12.9898+D1072*78.233)*43758.5453,1),1E-9),"")</f>
        <v/>
      </c>
      <c r="G1072">
        <f>IF(B1072,MOD(SIN(Seed*0.5917+C1072*39.3468+D1072*11.135)*24634.6345,1),"")</f>
        <v/>
      </c>
      <c r="H1072">
        <f>IF(B1072,SQRT(-2*LN(F1072))*COS(2*PI()*G1072),"")</f>
        <v/>
      </c>
      <c r="I1072">
        <f>IF(B1072,IF(D1072=0,H1072,Rho*I1071+SQRT(1-Rho^2)*H1072),"")</f>
        <v/>
      </c>
      <c r="J1072">
        <f>IF(B1072,IF(Dist="Normal",DistA+DistB*I1072,DistA+(DistB-DistA)*NORMSDIST(I1072)),"")</f>
        <v/>
      </c>
      <c r="K1072">
        <f>IF(B1072,INDEX(MineScale,C1072),"")</f>
        <v/>
      </c>
      <c r="L1072">
        <f>IF(B1072,INDEX(Dow,1,WEEKDAY(E1072,2)),"")</f>
        <v/>
      </c>
      <c r="M1072">
        <f>IF(B1072,(1+Trend)^D1072,"")</f>
        <v/>
      </c>
      <c r="N1072">
        <f>IF(B1072,EXP(SUMPRODUCT(LN(1+(EvEff-1)*INDEX(Affected,0,C1072)*EXP(-((E1072-EvCenter)^2)/(2*EvSigma^2))))),"")</f>
        <v/>
      </c>
      <c r="O1072">
        <f>IF(B1072,ROUND(MAX(0,J1072*K1072*L1072*M1072*N1072),2),"")</f>
        <v/>
      </c>
    </row>
    <row r="1073">
      <c r="A1073" t="n">
        <v>1072</v>
      </c>
      <c r="B1073">
        <f>A1073&lt;=MineCount*Days</f>
        <v/>
      </c>
      <c r="C1073">
        <f>IF(B1073,INT((A1073-1)/Days)+1,"")</f>
        <v/>
      </c>
      <c r="D1073">
        <f>IF(B1073,MOD(A1073-1,Days),"")</f>
        <v/>
      </c>
      <c r="E1073" s="16">
        <f>IF(B1073,StartDate+D1073,"")</f>
        <v/>
      </c>
      <c r="F1073">
        <f>IF(B1073,MAX(MOD(SIN(Seed*0.1373+C1073*12.9898+D1073*78.233)*43758.5453,1),1E-9),"")</f>
        <v/>
      </c>
      <c r="G1073">
        <f>IF(B1073,MOD(SIN(Seed*0.5917+C1073*39.3468+D1073*11.135)*24634.6345,1),"")</f>
        <v/>
      </c>
      <c r="H1073">
        <f>IF(B1073,SQRT(-2*LN(F1073))*COS(2*PI()*G1073),"")</f>
        <v/>
      </c>
      <c r="I1073">
        <f>IF(B1073,IF(D1073=0,H1073,Rho*I1072+SQRT(1-Rho^2)*H1073),"")</f>
        <v/>
      </c>
      <c r="J1073">
        <f>IF(B1073,IF(Dist="Normal",DistA+DistB*I1073,DistA+(DistB-DistA)*NORMSDIST(I1073)),"")</f>
        <v/>
      </c>
      <c r="K1073">
        <f>IF(B1073,INDEX(MineScale,C1073),"")</f>
        <v/>
      </c>
      <c r="L1073">
        <f>IF(B1073,INDEX(Dow,1,WEEKDAY(E1073,2)),"")</f>
        <v/>
      </c>
      <c r="M1073">
        <f>IF(B1073,(1+Trend)^D1073,"")</f>
        <v/>
      </c>
      <c r="N1073">
        <f>IF(B1073,EXP(SUMPRODUCT(LN(1+(EvEff-1)*INDEX(Affected,0,C1073)*EXP(-((E1073-EvCenter)^2)/(2*EvSigma^2))))),"")</f>
        <v/>
      </c>
      <c r="O1073">
        <f>IF(B1073,ROUND(MAX(0,J1073*K1073*L1073*M1073*N1073),2),"")</f>
        <v/>
      </c>
    </row>
    <row r="1074">
      <c r="A1074" t="n">
        <v>1073</v>
      </c>
      <c r="B1074">
        <f>A1074&lt;=MineCount*Days</f>
        <v/>
      </c>
      <c r="C1074">
        <f>IF(B1074,INT((A1074-1)/Days)+1,"")</f>
        <v/>
      </c>
      <c r="D1074">
        <f>IF(B1074,MOD(A1074-1,Days),"")</f>
        <v/>
      </c>
      <c r="E1074" s="16">
        <f>IF(B1074,StartDate+D1074,"")</f>
        <v/>
      </c>
      <c r="F1074">
        <f>IF(B1074,MAX(MOD(SIN(Seed*0.1373+C1074*12.9898+D1074*78.233)*43758.5453,1),1E-9),"")</f>
        <v/>
      </c>
      <c r="G1074">
        <f>IF(B1074,MOD(SIN(Seed*0.5917+C1074*39.3468+D1074*11.135)*24634.6345,1),"")</f>
        <v/>
      </c>
      <c r="H1074">
        <f>IF(B1074,SQRT(-2*LN(F1074))*COS(2*PI()*G1074),"")</f>
        <v/>
      </c>
      <c r="I1074">
        <f>IF(B1074,IF(D1074=0,H1074,Rho*I1073+SQRT(1-Rho^2)*H1074),"")</f>
        <v/>
      </c>
      <c r="J1074">
        <f>IF(B1074,IF(Dist="Normal",DistA+DistB*I1074,DistA+(DistB-DistA)*NORMSDIST(I1074)),"")</f>
        <v/>
      </c>
      <c r="K1074">
        <f>IF(B1074,INDEX(MineScale,C1074),"")</f>
        <v/>
      </c>
      <c r="L1074">
        <f>IF(B1074,INDEX(Dow,1,WEEKDAY(E1074,2)),"")</f>
        <v/>
      </c>
      <c r="M1074">
        <f>IF(B1074,(1+Trend)^D1074,"")</f>
        <v/>
      </c>
      <c r="N1074">
        <f>IF(B1074,EXP(SUMPRODUCT(LN(1+(EvEff-1)*INDEX(Affected,0,C1074)*EXP(-((E1074-EvCenter)^2)/(2*EvSigma^2))))),"")</f>
        <v/>
      </c>
      <c r="O1074">
        <f>IF(B1074,ROUND(MAX(0,J1074*K1074*L1074*M1074*N1074),2),"")</f>
        <v/>
      </c>
    </row>
    <row r="1075">
      <c r="A1075" t="n">
        <v>1074</v>
      </c>
      <c r="B1075">
        <f>A1075&lt;=MineCount*Days</f>
        <v/>
      </c>
      <c r="C1075">
        <f>IF(B1075,INT((A1075-1)/Days)+1,"")</f>
        <v/>
      </c>
      <c r="D1075">
        <f>IF(B1075,MOD(A1075-1,Days),"")</f>
        <v/>
      </c>
      <c r="E1075" s="16">
        <f>IF(B1075,StartDate+D1075,"")</f>
        <v/>
      </c>
      <c r="F1075">
        <f>IF(B1075,MAX(MOD(SIN(Seed*0.1373+C1075*12.9898+D1075*78.233)*43758.5453,1),1E-9),"")</f>
        <v/>
      </c>
      <c r="G1075">
        <f>IF(B1075,MOD(SIN(Seed*0.5917+C1075*39.3468+D1075*11.135)*24634.6345,1),"")</f>
        <v/>
      </c>
      <c r="H1075">
        <f>IF(B1075,SQRT(-2*LN(F1075))*COS(2*PI()*G1075),"")</f>
        <v/>
      </c>
      <c r="I1075">
        <f>IF(B1075,IF(D1075=0,H1075,Rho*I1074+SQRT(1-Rho^2)*H1075),"")</f>
        <v/>
      </c>
      <c r="J1075">
        <f>IF(B1075,IF(Dist="Normal",DistA+DistB*I1075,DistA+(DistB-DistA)*NORMSDIST(I1075)),"")</f>
        <v/>
      </c>
      <c r="K1075">
        <f>IF(B1075,INDEX(MineScale,C1075),"")</f>
        <v/>
      </c>
      <c r="L1075">
        <f>IF(B1075,INDEX(Dow,1,WEEKDAY(E1075,2)),"")</f>
        <v/>
      </c>
      <c r="M1075">
        <f>IF(B1075,(1+Trend)^D1075,"")</f>
        <v/>
      </c>
      <c r="N1075">
        <f>IF(B1075,EXP(SUMPRODUCT(LN(1+(EvEff-1)*INDEX(Affected,0,C1075)*EXP(-((E1075-EvCenter)^2)/(2*EvSigma^2))))),"")</f>
        <v/>
      </c>
      <c r="O1075">
        <f>IF(B1075,ROUND(MAX(0,J1075*K1075*L1075*M1075*N1075),2),"")</f>
        <v/>
      </c>
    </row>
    <row r="1076">
      <c r="A1076" t="n">
        <v>1075</v>
      </c>
      <c r="B1076">
        <f>A1076&lt;=MineCount*Days</f>
        <v/>
      </c>
      <c r="C1076">
        <f>IF(B1076,INT((A1076-1)/Days)+1,"")</f>
        <v/>
      </c>
      <c r="D1076">
        <f>IF(B1076,MOD(A1076-1,Days),"")</f>
        <v/>
      </c>
      <c r="E1076" s="16">
        <f>IF(B1076,StartDate+D1076,"")</f>
        <v/>
      </c>
      <c r="F1076">
        <f>IF(B1076,MAX(MOD(SIN(Seed*0.1373+C1076*12.9898+D1076*78.233)*43758.5453,1),1E-9),"")</f>
        <v/>
      </c>
      <c r="G1076">
        <f>IF(B1076,MOD(SIN(Seed*0.5917+C1076*39.3468+D1076*11.135)*24634.6345,1),"")</f>
        <v/>
      </c>
      <c r="H1076">
        <f>IF(B1076,SQRT(-2*LN(F1076))*COS(2*PI()*G1076),"")</f>
        <v/>
      </c>
      <c r="I1076">
        <f>IF(B1076,IF(D1076=0,H1076,Rho*I1075+SQRT(1-Rho^2)*H1076),"")</f>
        <v/>
      </c>
      <c r="J1076">
        <f>IF(B1076,IF(Dist="Normal",DistA+DistB*I1076,DistA+(DistB-DistA)*NORMSDIST(I1076)),"")</f>
        <v/>
      </c>
      <c r="K1076">
        <f>IF(B1076,INDEX(MineScale,C1076),"")</f>
        <v/>
      </c>
      <c r="L1076">
        <f>IF(B1076,INDEX(Dow,1,WEEKDAY(E1076,2)),"")</f>
        <v/>
      </c>
      <c r="M1076">
        <f>IF(B1076,(1+Trend)^D1076,"")</f>
        <v/>
      </c>
      <c r="N1076">
        <f>IF(B1076,EXP(SUMPRODUCT(LN(1+(EvEff-1)*INDEX(Affected,0,C1076)*EXP(-((E1076-EvCenter)^2)/(2*EvSigma^2))))),"")</f>
        <v/>
      </c>
      <c r="O1076">
        <f>IF(B1076,ROUND(MAX(0,J1076*K1076*L1076*M1076*N1076),2),"")</f>
        <v/>
      </c>
    </row>
    <row r="1077">
      <c r="A1077" t="n">
        <v>1076</v>
      </c>
      <c r="B1077">
        <f>A1077&lt;=MineCount*Days</f>
        <v/>
      </c>
      <c r="C1077">
        <f>IF(B1077,INT((A1077-1)/Days)+1,"")</f>
        <v/>
      </c>
      <c r="D1077">
        <f>IF(B1077,MOD(A1077-1,Days),"")</f>
        <v/>
      </c>
      <c r="E1077" s="16">
        <f>IF(B1077,StartDate+D1077,"")</f>
        <v/>
      </c>
      <c r="F1077">
        <f>IF(B1077,MAX(MOD(SIN(Seed*0.1373+C1077*12.9898+D1077*78.233)*43758.5453,1),1E-9),"")</f>
        <v/>
      </c>
      <c r="G1077">
        <f>IF(B1077,MOD(SIN(Seed*0.5917+C1077*39.3468+D1077*11.135)*24634.6345,1),"")</f>
        <v/>
      </c>
      <c r="H1077">
        <f>IF(B1077,SQRT(-2*LN(F1077))*COS(2*PI()*G1077),"")</f>
        <v/>
      </c>
      <c r="I1077">
        <f>IF(B1077,IF(D1077=0,H1077,Rho*I1076+SQRT(1-Rho^2)*H1077),"")</f>
        <v/>
      </c>
      <c r="J1077">
        <f>IF(B1077,IF(Dist="Normal",DistA+DistB*I1077,DistA+(DistB-DistA)*NORMSDIST(I1077)),"")</f>
        <v/>
      </c>
      <c r="K1077">
        <f>IF(B1077,INDEX(MineScale,C1077),"")</f>
        <v/>
      </c>
      <c r="L1077">
        <f>IF(B1077,INDEX(Dow,1,WEEKDAY(E1077,2)),"")</f>
        <v/>
      </c>
      <c r="M1077">
        <f>IF(B1077,(1+Trend)^D1077,"")</f>
        <v/>
      </c>
      <c r="N1077">
        <f>IF(B1077,EXP(SUMPRODUCT(LN(1+(EvEff-1)*INDEX(Affected,0,C1077)*EXP(-((E1077-EvCenter)^2)/(2*EvSigma^2))))),"")</f>
        <v/>
      </c>
      <c r="O1077">
        <f>IF(B1077,ROUND(MAX(0,J1077*K1077*L1077*M1077*N1077),2),"")</f>
        <v/>
      </c>
    </row>
    <row r="1078">
      <c r="A1078" t="n">
        <v>1077</v>
      </c>
      <c r="B1078">
        <f>A1078&lt;=MineCount*Days</f>
        <v/>
      </c>
      <c r="C1078">
        <f>IF(B1078,INT((A1078-1)/Days)+1,"")</f>
        <v/>
      </c>
      <c r="D1078">
        <f>IF(B1078,MOD(A1078-1,Days),"")</f>
        <v/>
      </c>
      <c r="E1078" s="16">
        <f>IF(B1078,StartDate+D1078,"")</f>
        <v/>
      </c>
      <c r="F1078">
        <f>IF(B1078,MAX(MOD(SIN(Seed*0.1373+C1078*12.9898+D1078*78.233)*43758.5453,1),1E-9),"")</f>
        <v/>
      </c>
      <c r="G1078">
        <f>IF(B1078,MOD(SIN(Seed*0.5917+C1078*39.3468+D1078*11.135)*24634.6345,1),"")</f>
        <v/>
      </c>
      <c r="H1078">
        <f>IF(B1078,SQRT(-2*LN(F1078))*COS(2*PI()*G1078),"")</f>
        <v/>
      </c>
      <c r="I1078">
        <f>IF(B1078,IF(D1078=0,H1078,Rho*I1077+SQRT(1-Rho^2)*H1078),"")</f>
        <v/>
      </c>
      <c r="J1078">
        <f>IF(B1078,IF(Dist="Normal",DistA+DistB*I1078,DistA+(DistB-DistA)*NORMSDIST(I1078)),"")</f>
        <v/>
      </c>
      <c r="K1078">
        <f>IF(B1078,INDEX(MineScale,C1078),"")</f>
        <v/>
      </c>
      <c r="L1078">
        <f>IF(B1078,INDEX(Dow,1,WEEKDAY(E1078,2)),"")</f>
        <v/>
      </c>
      <c r="M1078">
        <f>IF(B1078,(1+Trend)^D1078,"")</f>
        <v/>
      </c>
      <c r="N1078">
        <f>IF(B1078,EXP(SUMPRODUCT(LN(1+(EvEff-1)*INDEX(Affected,0,C1078)*EXP(-((E1078-EvCenter)^2)/(2*EvSigma^2))))),"")</f>
        <v/>
      </c>
      <c r="O1078">
        <f>IF(B1078,ROUND(MAX(0,J1078*K1078*L1078*M1078*N1078),2),"")</f>
        <v/>
      </c>
    </row>
    <row r="1079">
      <c r="A1079" t="n">
        <v>1078</v>
      </c>
      <c r="B1079">
        <f>A1079&lt;=MineCount*Days</f>
        <v/>
      </c>
      <c r="C1079">
        <f>IF(B1079,INT((A1079-1)/Days)+1,"")</f>
        <v/>
      </c>
      <c r="D1079">
        <f>IF(B1079,MOD(A1079-1,Days),"")</f>
        <v/>
      </c>
      <c r="E1079" s="16">
        <f>IF(B1079,StartDate+D1079,"")</f>
        <v/>
      </c>
      <c r="F1079">
        <f>IF(B1079,MAX(MOD(SIN(Seed*0.1373+C1079*12.9898+D1079*78.233)*43758.5453,1),1E-9),"")</f>
        <v/>
      </c>
      <c r="G1079">
        <f>IF(B1079,MOD(SIN(Seed*0.5917+C1079*39.3468+D1079*11.135)*24634.6345,1),"")</f>
        <v/>
      </c>
      <c r="H1079">
        <f>IF(B1079,SQRT(-2*LN(F1079))*COS(2*PI()*G1079),"")</f>
        <v/>
      </c>
      <c r="I1079">
        <f>IF(B1079,IF(D1079=0,H1079,Rho*I1078+SQRT(1-Rho^2)*H1079),"")</f>
        <v/>
      </c>
      <c r="J1079">
        <f>IF(B1079,IF(Dist="Normal",DistA+DistB*I1079,DistA+(DistB-DistA)*NORMSDIST(I1079)),"")</f>
        <v/>
      </c>
      <c r="K1079">
        <f>IF(B1079,INDEX(MineScale,C1079),"")</f>
        <v/>
      </c>
      <c r="L1079">
        <f>IF(B1079,INDEX(Dow,1,WEEKDAY(E1079,2)),"")</f>
        <v/>
      </c>
      <c r="M1079">
        <f>IF(B1079,(1+Trend)^D1079,"")</f>
        <v/>
      </c>
      <c r="N1079">
        <f>IF(B1079,EXP(SUMPRODUCT(LN(1+(EvEff-1)*INDEX(Affected,0,C1079)*EXP(-((E1079-EvCenter)^2)/(2*EvSigma^2))))),"")</f>
        <v/>
      </c>
      <c r="O1079">
        <f>IF(B1079,ROUND(MAX(0,J1079*K1079*L1079*M1079*N1079),2),"")</f>
        <v/>
      </c>
    </row>
    <row r="1080">
      <c r="A1080" t="n">
        <v>1079</v>
      </c>
      <c r="B1080">
        <f>A1080&lt;=MineCount*Days</f>
        <v/>
      </c>
      <c r="C1080">
        <f>IF(B1080,INT((A1080-1)/Days)+1,"")</f>
        <v/>
      </c>
      <c r="D1080">
        <f>IF(B1080,MOD(A1080-1,Days),"")</f>
        <v/>
      </c>
      <c r="E1080" s="16">
        <f>IF(B1080,StartDate+D1080,"")</f>
        <v/>
      </c>
      <c r="F1080">
        <f>IF(B1080,MAX(MOD(SIN(Seed*0.1373+C1080*12.9898+D1080*78.233)*43758.5453,1),1E-9),"")</f>
        <v/>
      </c>
      <c r="G1080">
        <f>IF(B1080,MOD(SIN(Seed*0.5917+C1080*39.3468+D1080*11.135)*24634.6345,1),"")</f>
        <v/>
      </c>
      <c r="H1080">
        <f>IF(B1080,SQRT(-2*LN(F1080))*COS(2*PI()*G1080),"")</f>
        <v/>
      </c>
      <c r="I1080">
        <f>IF(B1080,IF(D1080=0,H1080,Rho*I1079+SQRT(1-Rho^2)*H1080),"")</f>
        <v/>
      </c>
      <c r="J1080">
        <f>IF(B1080,IF(Dist="Normal",DistA+DistB*I1080,DistA+(DistB-DistA)*NORMSDIST(I1080)),"")</f>
        <v/>
      </c>
      <c r="K1080">
        <f>IF(B1080,INDEX(MineScale,C1080),"")</f>
        <v/>
      </c>
      <c r="L1080">
        <f>IF(B1080,INDEX(Dow,1,WEEKDAY(E1080,2)),"")</f>
        <v/>
      </c>
      <c r="M1080">
        <f>IF(B1080,(1+Trend)^D1080,"")</f>
        <v/>
      </c>
      <c r="N1080">
        <f>IF(B1080,EXP(SUMPRODUCT(LN(1+(EvEff-1)*INDEX(Affected,0,C1080)*EXP(-((E1080-EvCenter)^2)/(2*EvSigma^2))))),"")</f>
        <v/>
      </c>
      <c r="O1080">
        <f>IF(B1080,ROUND(MAX(0,J1080*K1080*L1080*M1080*N1080),2),"")</f>
        <v/>
      </c>
    </row>
    <row r="1081">
      <c r="A1081" t="n">
        <v>1080</v>
      </c>
      <c r="B1081">
        <f>A1081&lt;=MineCount*Days</f>
        <v/>
      </c>
      <c r="C1081">
        <f>IF(B1081,INT((A1081-1)/Days)+1,"")</f>
        <v/>
      </c>
      <c r="D1081">
        <f>IF(B1081,MOD(A1081-1,Days),"")</f>
        <v/>
      </c>
      <c r="E1081" s="16">
        <f>IF(B1081,StartDate+D1081,"")</f>
        <v/>
      </c>
      <c r="F1081">
        <f>IF(B1081,MAX(MOD(SIN(Seed*0.1373+C1081*12.9898+D1081*78.233)*43758.5453,1),1E-9),"")</f>
        <v/>
      </c>
      <c r="G1081">
        <f>IF(B1081,MOD(SIN(Seed*0.5917+C1081*39.3468+D1081*11.135)*24634.6345,1),"")</f>
        <v/>
      </c>
      <c r="H1081">
        <f>IF(B1081,SQRT(-2*LN(F1081))*COS(2*PI()*G1081),"")</f>
        <v/>
      </c>
      <c r="I1081">
        <f>IF(B1081,IF(D1081=0,H1081,Rho*I1080+SQRT(1-Rho^2)*H1081),"")</f>
        <v/>
      </c>
      <c r="J1081">
        <f>IF(B1081,IF(Dist="Normal",DistA+DistB*I1081,DistA+(DistB-DistA)*NORMSDIST(I1081)),"")</f>
        <v/>
      </c>
      <c r="K1081">
        <f>IF(B1081,INDEX(MineScale,C1081),"")</f>
        <v/>
      </c>
      <c r="L1081">
        <f>IF(B1081,INDEX(Dow,1,WEEKDAY(E1081,2)),"")</f>
        <v/>
      </c>
      <c r="M1081">
        <f>IF(B1081,(1+Trend)^D1081,"")</f>
        <v/>
      </c>
      <c r="N1081">
        <f>IF(B1081,EXP(SUMPRODUCT(LN(1+(EvEff-1)*INDEX(Affected,0,C1081)*EXP(-((E1081-EvCenter)^2)/(2*EvSigma^2))))),"")</f>
        <v/>
      </c>
      <c r="O1081">
        <f>IF(B1081,ROUND(MAX(0,J1081*K1081*L1081*M1081*N1081),2),"")</f>
        <v/>
      </c>
    </row>
    <row r="1082">
      <c r="A1082" t="n">
        <v>1081</v>
      </c>
      <c r="B1082">
        <f>A1082&lt;=MineCount*Days</f>
        <v/>
      </c>
      <c r="C1082">
        <f>IF(B1082,INT((A1082-1)/Days)+1,"")</f>
        <v/>
      </c>
      <c r="D1082">
        <f>IF(B1082,MOD(A1082-1,Days),"")</f>
        <v/>
      </c>
      <c r="E1082" s="16">
        <f>IF(B1082,StartDate+D1082,"")</f>
        <v/>
      </c>
      <c r="F1082">
        <f>IF(B1082,MAX(MOD(SIN(Seed*0.1373+C1082*12.9898+D1082*78.233)*43758.5453,1),1E-9),"")</f>
        <v/>
      </c>
      <c r="G1082">
        <f>IF(B1082,MOD(SIN(Seed*0.5917+C1082*39.3468+D1082*11.135)*24634.6345,1),"")</f>
        <v/>
      </c>
      <c r="H1082">
        <f>IF(B1082,SQRT(-2*LN(F1082))*COS(2*PI()*G1082),"")</f>
        <v/>
      </c>
      <c r="I1082">
        <f>IF(B1082,IF(D1082=0,H1082,Rho*I1081+SQRT(1-Rho^2)*H1082),"")</f>
        <v/>
      </c>
      <c r="J1082">
        <f>IF(B1082,IF(Dist="Normal",DistA+DistB*I1082,DistA+(DistB-DistA)*NORMSDIST(I1082)),"")</f>
        <v/>
      </c>
      <c r="K1082">
        <f>IF(B1082,INDEX(MineScale,C1082),"")</f>
        <v/>
      </c>
      <c r="L1082">
        <f>IF(B1082,INDEX(Dow,1,WEEKDAY(E1082,2)),"")</f>
        <v/>
      </c>
      <c r="M1082">
        <f>IF(B1082,(1+Trend)^D1082,"")</f>
        <v/>
      </c>
      <c r="N1082">
        <f>IF(B1082,EXP(SUMPRODUCT(LN(1+(EvEff-1)*INDEX(Affected,0,C1082)*EXP(-((E1082-EvCenter)^2)/(2*EvSigma^2))))),"")</f>
        <v/>
      </c>
      <c r="O1082">
        <f>IF(B1082,ROUND(MAX(0,J1082*K1082*L1082*M1082*N1082),2),"")</f>
        <v/>
      </c>
    </row>
    <row r="1083">
      <c r="A1083" t="n">
        <v>1082</v>
      </c>
      <c r="B1083">
        <f>A1083&lt;=MineCount*Days</f>
        <v/>
      </c>
      <c r="C1083">
        <f>IF(B1083,INT((A1083-1)/Days)+1,"")</f>
        <v/>
      </c>
      <c r="D1083">
        <f>IF(B1083,MOD(A1083-1,Days),"")</f>
        <v/>
      </c>
      <c r="E1083" s="16">
        <f>IF(B1083,StartDate+D1083,"")</f>
        <v/>
      </c>
      <c r="F1083">
        <f>IF(B1083,MAX(MOD(SIN(Seed*0.1373+C1083*12.9898+D1083*78.233)*43758.5453,1),1E-9),"")</f>
        <v/>
      </c>
      <c r="G1083">
        <f>IF(B1083,MOD(SIN(Seed*0.5917+C1083*39.3468+D1083*11.135)*24634.6345,1),"")</f>
        <v/>
      </c>
      <c r="H1083">
        <f>IF(B1083,SQRT(-2*LN(F1083))*COS(2*PI()*G1083),"")</f>
        <v/>
      </c>
      <c r="I1083">
        <f>IF(B1083,IF(D1083=0,H1083,Rho*I1082+SQRT(1-Rho^2)*H1083),"")</f>
        <v/>
      </c>
      <c r="J1083">
        <f>IF(B1083,IF(Dist="Normal",DistA+DistB*I1083,DistA+(DistB-DistA)*NORMSDIST(I1083)),"")</f>
        <v/>
      </c>
      <c r="K1083">
        <f>IF(B1083,INDEX(MineScale,C1083),"")</f>
        <v/>
      </c>
      <c r="L1083">
        <f>IF(B1083,INDEX(Dow,1,WEEKDAY(E1083,2)),"")</f>
        <v/>
      </c>
      <c r="M1083">
        <f>IF(B1083,(1+Trend)^D1083,"")</f>
        <v/>
      </c>
      <c r="N1083">
        <f>IF(B1083,EXP(SUMPRODUCT(LN(1+(EvEff-1)*INDEX(Affected,0,C1083)*EXP(-((E1083-EvCenter)^2)/(2*EvSigma^2))))),"")</f>
        <v/>
      </c>
      <c r="O1083">
        <f>IF(B1083,ROUND(MAX(0,J1083*K1083*L1083*M1083*N1083),2),"")</f>
        <v/>
      </c>
    </row>
    <row r="1084">
      <c r="A1084" t="n">
        <v>1083</v>
      </c>
      <c r="B1084">
        <f>A1084&lt;=MineCount*Days</f>
        <v/>
      </c>
      <c r="C1084">
        <f>IF(B1084,INT((A1084-1)/Days)+1,"")</f>
        <v/>
      </c>
      <c r="D1084">
        <f>IF(B1084,MOD(A1084-1,Days),"")</f>
        <v/>
      </c>
      <c r="E1084" s="16">
        <f>IF(B1084,StartDate+D1084,"")</f>
        <v/>
      </c>
      <c r="F1084">
        <f>IF(B1084,MAX(MOD(SIN(Seed*0.1373+C1084*12.9898+D1084*78.233)*43758.5453,1),1E-9),"")</f>
        <v/>
      </c>
      <c r="G1084">
        <f>IF(B1084,MOD(SIN(Seed*0.5917+C1084*39.3468+D1084*11.135)*24634.6345,1),"")</f>
        <v/>
      </c>
      <c r="H1084">
        <f>IF(B1084,SQRT(-2*LN(F1084))*COS(2*PI()*G1084),"")</f>
        <v/>
      </c>
      <c r="I1084">
        <f>IF(B1084,IF(D1084=0,H1084,Rho*I1083+SQRT(1-Rho^2)*H1084),"")</f>
        <v/>
      </c>
      <c r="J1084">
        <f>IF(B1084,IF(Dist="Normal",DistA+DistB*I1084,DistA+(DistB-DistA)*NORMSDIST(I1084)),"")</f>
        <v/>
      </c>
      <c r="K1084">
        <f>IF(B1084,INDEX(MineScale,C1084),"")</f>
        <v/>
      </c>
      <c r="L1084">
        <f>IF(B1084,INDEX(Dow,1,WEEKDAY(E1084,2)),"")</f>
        <v/>
      </c>
      <c r="M1084">
        <f>IF(B1084,(1+Trend)^D1084,"")</f>
        <v/>
      </c>
      <c r="N1084">
        <f>IF(B1084,EXP(SUMPRODUCT(LN(1+(EvEff-1)*INDEX(Affected,0,C1084)*EXP(-((E1084-EvCenter)^2)/(2*EvSigma^2))))),"")</f>
        <v/>
      </c>
      <c r="O1084">
        <f>IF(B1084,ROUND(MAX(0,J1084*K1084*L1084*M1084*N1084),2),"")</f>
        <v/>
      </c>
    </row>
    <row r="1085">
      <c r="A1085" t="n">
        <v>1084</v>
      </c>
      <c r="B1085">
        <f>A1085&lt;=MineCount*Days</f>
        <v/>
      </c>
      <c r="C1085">
        <f>IF(B1085,INT((A1085-1)/Days)+1,"")</f>
        <v/>
      </c>
      <c r="D1085">
        <f>IF(B1085,MOD(A1085-1,Days),"")</f>
        <v/>
      </c>
      <c r="E1085" s="16">
        <f>IF(B1085,StartDate+D1085,"")</f>
        <v/>
      </c>
      <c r="F1085">
        <f>IF(B1085,MAX(MOD(SIN(Seed*0.1373+C1085*12.9898+D1085*78.233)*43758.5453,1),1E-9),"")</f>
        <v/>
      </c>
      <c r="G1085">
        <f>IF(B1085,MOD(SIN(Seed*0.5917+C1085*39.3468+D1085*11.135)*24634.6345,1),"")</f>
        <v/>
      </c>
      <c r="H1085">
        <f>IF(B1085,SQRT(-2*LN(F1085))*COS(2*PI()*G1085),"")</f>
        <v/>
      </c>
      <c r="I1085">
        <f>IF(B1085,IF(D1085=0,H1085,Rho*I1084+SQRT(1-Rho^2)*H1085),"")</f>
        <v/>
      </c>
      <c r="J1085">
        <f>IF(B1085,IF(Dist="Normal",DistA+DistB*I1085,DistA+(DistB-DistA)*NORMSDIST(I1085)),"")</f>
        <v/>
      </c>
      <c r="K1085">
        <f>IF(B1085,INDEX(MineScale,C1085),"")</f>
        <v/>
      </c>
      <c r="L1085">
        <f>IF(B1085,INDEX(Dow,1,WEEKDAY(E1085,2)),"")</f>
        <v/>
      </c>
      <c r="M1085">
        <f>IF(B1085,(1+Trend)^D1085,"")</f>
        <v/>
      </c>
      <c r="N1085">
        <f>IF(B1085,EXP(SUMPRODUCT(LN(1+(EvEff-1)*INDEX(Affected,0,C1085)*EXP(-((E1085-EvCenter)^2)/(2*EvSigma^2))))),"")</f>
        <v/>
      </c>
      <c r="O1085">
        <f>IF(B1085,ROUND(MAX(0,J1085*K1085*L1085*M1085*N1085),2),"")</f>
        <v/>
      </c>
    </row>
    <row r="1086">
      <c r="A1086" t="n">
        <v>1085</v>
      </c>
      <c r="B1086">
        <f>A1086&lt;=MineCount*Days</f>
        <v/>
      </c>
      <c r="C1086">
        <f>IF(B1086,INT((A1086-1)/Days)+1,"")</f>
        <v/>
      </c>
      <c r="D1086">
        <f>IF(B1086,MOD(A1086-1,Days),"")</f>
        <v/>
      </c>
      <c r="E1086" s="16">
        <f>IF(B1086,StartDate+D1086,"")</f>
        <v/>
      </c>
      <c r="F1086">
        <f>IF(B1086,MAX(MOD(SIN(Seed*0.1373+C1086*12.9898+D1086*78.233)*43758.5453,1),1E-9),"")</f>
        <v/>
      </c>
      <c r="G1086">
        <f>IF(B1086,MOD(SIN(Seed*0.5917+C1086*39.3468+D1086*11.135)*24634.6345,1),"")</f>
        <v/>
      </c>
      <c r="H1086">
        <f>IF(B1086,SQRT(-2*LN(F1086))*COS(2*PI()*G1086),"")</f>
        <v/>
      </c>
      <c r="I1086">
        <f>IF(B1086,IF(D1086=0,H1086,Rho*I1085+SQRT(1-Rho^2)*H1086),"")</f>
        <v/>
      </c>
      <c r="J1086">
        <f>IF(B1086,IF(Dist="Normal",DistA+DistB*I1086,DistA+(DistB-DistA)*NORMSDIST(I1086)),"")</f>
        <v/>
      </c>
      <c r="K1086">
        <f>IF(B1086,INDEX(MineScale,C1086),"")</f>
        <v/>
      </c>
      <c r="L1086">
        <f>IF(B1086,INDEX(Dow,1,WEEKDAY(E1086,2)),"")</f>
        <v/>
      </c>
      <c r="M1086">
        <f>IF(B1086,(1+Trend)^D1086,"")</f>
        <v/>
      </c>
      <c r="N1086">
        <f>IF(B1086,EXP(SUMPRODUCT(LN(1+(EvEff-1)*INDEX(Affected,0,C1086)*EXP(-((E1086-EvCenter)^2)/(2*EvSigma^2))))),"")</f>
        <v/>
      </c>
      <c r="O1086">
        <f>IF(B1086,ROUND(MAX(0,J1086*K1086*L1086*M1086*N1086),2),"")</f>
        <v/>
      </c>
    </row>
    <row r="1087">
      <c r="A1087" t="n">
        <v>1086</v>
      </c>
      <c r="B1087">
        <f>A1087&lt;=MineCount*Days</f>
        <v/>
      </c>
      <c r="C1087">
        <f>IF(B1087,INT((A1087-1)/Days)+1,"")</f>
        <v/>
      </c>
      <c r="D1087">
        <f>IF(B1087,MOD(A1087-1,Days),"")</f>
        <v/>
      </c>
      <c r="E1087" s="16">
        <f>IF(B1087,StartDate+D1087,"")</f>
        <v/>
      </c>
      <c r="F1087">
        <f>IF(B1087,MAX(MOD(SIN(Seed*0.1373+C1087*12.9898+D1087*78.233)*43758.5453,1),1E-9),"")</f>
        <v/>
      </c>
      <c r="G1087">
        <f>IF(B1087,MOD(SIN(Seed*0.5917+C1087*39.3468+D1087*11.135)*24634.6345,1),"")</f>
        <v/>
      </c>
      <c r="H1087">
        <f>IF(B1087,SQRT(-2*LN(F1087))*COS(2*PI()*G1087),"")</f>
        <v/>
      </c>
      <c r="I1087">
        <f>IF(B1087,IF(D1087=0,H1087,Rho*I1086+SQRT(1-Rho^2)*H1087),"")</f>
        <v/>
      </c>
      <c r="J1087">
        <f>IF(B1087,IF(Dist="Normal",DistA+DistB*I1087,DistA+(DistB-DistA)*NORMSDIST(I1087)),"")</f>
        <v/>
      </c>
      <c r="K1087">
        <f>IF(B1087,INDEX(MineScale,C1087),"")</f>
        <v/>
      </c>
      <c r="L1087">
        <f>IF(B1087,INDEX(Dow,1,WEEKDAY(E1087,2)),"")</f>
        <v/>
      </c>
      <c r="M1087">
        <f>IF(B1087,(1+Trend)^D1087,"")</f>
        <v/>
      </c>
      <c r="N1087">
        <f>IF(B1087,EXP(SUMPRODUCT(LN(1+(EvEff-1)*INDEX(Affected,0,C1087)*EXP(-((E1087-EvCenter)^2)/(2*EvSigma^2))))),"")</f>
        <v/>
      </c>
      <c r="O1087">
        <f>IF(B1087,ROUND(MAX(0,J1087*K1087*L1087*M1087*N1087),2),"")</f>
        <v/>
      </c>
    </row>
    <row r="1088">
      <c r="A1088" t="n">
        <v>1087</v>
      </c>
      <c r="B1088">
        <f>A1088&lt;=MineCount*Days</f>
        <v/>
      </c>
      <c r="C1088">
        <f>IF(B1088,INT((A1088-1)/Days)+1,"")</f>
        <v/>
      </c>
      <c r="D1088">
        <f>IF(B1088,MOD(A1088-1,Days),"")</f>
        <v/>
      </c>
      <c r="E1088" s="16">
        <f>IF(B1088,StartDate+D1088,"")</f>
        <v/>
      </c>
      <c r="F1088">
        <f>IF(B1088,MAX(MOD(SIN(Seed*0.1373+C1088*12.9898+D1088*78.233)*43758.5453,1),1E-9),"")</f>
        <v/>
      </c>
      <c r="G1088">
        <f>IF(B1088,MOD(SIN(Seed*0.5917+C1088*39.3468+D1088*11.135)*24634.6345,1),"")</f>
        <v/>
      </c>
      <c r="H1088">
        <f>IF(B1088,SQRT(-2*LN(F1088))*COS(2*PI()*G1088),"")</f>
        <v/>
      </c>
      <c r="I1088">
        <f>IF(B1088,IF(D1088=0,H1088,Rho*I1087+SQRT(1-Rho^2)*H1088),"")</f>
        <v/>
      </c>
      <c r="J1088">
        <f>IF(B1088,IF(Dist="Normal",DistA+DistB*I1088,DistA+(DistB-DistA)*NORMSDIST(I1088)),"")</f>
        <v/>
      </c>
      <c r="K1088">
        <f>IF(B1088,INDEX(MineScale,C1088),"")</f>
        <v/>
      </c>
      <c r="L1088">
        <f>IF(B1088,INDEX(Dow,1,WEEKDAY(E1088,2)),"")</f>
        <v/>
      </c>
      <c r="M1088">
        <f>IF(B1088,(1+Trend)^D1088,"")</f>
        <v/>
      </c>
      <c r="N1088">
        <f>IF(B1088,EXP(SUMPRODUCT(LN(1+(EvEff-1)*INDEX(Affected,0,C1088)*EXP(-((E1088-EvCenter)^2)/(2*EvSigma^2))))),"")</f>
        <v/>
      </c>
      <c r="O1088">
        <f>IF(B1088,ROUND(MAX(0,J1088*K1088*L1088*M1088*N1088),2),"")</f>
        <v/>
      </c>
    </row>
    <row r="1089">
      <c r="A1089" t="n">
        <v>1088</v>
      </c>
      <c r="B1089">
        <f>A1089&lt;=MineCount*Days</f>
        <v/>
      </c>
      <c r="C1089">
        <f>IF(B1089,INT((A1089-1)/Days)+1,"")</f>
        <v/>
      </c>
      <c r="D1089">
        <f>IF(B1089,MOD(A1089-1,Days),"")</f>
        <v/>
      </c>
      <c r="E1089" s="16">
        <f>IF(B1089,StartDate+D1089,"")</f>
        <v/>
      </c>
      <c r="F1089">
        <f>IF(B1089,MAX(MOD(SIN(Seed*0.1373+C1089*12.9898+D1089*78.233)*43758.5453,1),1E-9),"")</f>
        <v/>
      </c>
      <c r="G1089">
        <f>IF(B1089,MOD(SIN(Seed*0.5917+C1089*39.3468+D1089*11.135)*24634.6345,1),"")</f>
        <v/>
      </c>
      <c r="H1089">
        <f>IF(B1089,SQRT(-2*LN(F1089))*COS(2*PI()*G1089),"")</f>
        <v/>
      </c>
      <c r="I1089">
        <f>IF(B1089,IF(D1089=0,H1089,Rho*I1088+SQRT(1-Rho^2)*H1089),"")</f>
        <v/>
      </c>
      <c r="J1089">
        <f>IF(B1089,IF(Dist="Normal",DistA+DistB*I1089,DistA+(DistB-DistA)*NORMSDIST(I1089)),"")</f>
        <v/>
      </c>
      <c r="K1089">
        <f>IF(B1089,INDEX(MineScale,C1089),"")</f>
        <v/>
      </c>
      <c r="L1089">
        <f>IF(B1089,INDEX(Dow,1,WEEKDAY(E1089,2)),"")</f>
        <v/>
      </c>
      <c r="M1089">
        <f>IF(B1089,(1+Trend)^D1089,"")</f>
        <v/>
      </c>
      <c r="N1089">
        <f>IF(B1089,EXP(SUMPRODUCT(LN(1+(EvEff-1)*INDEX(Affected,0,C1089)*EXP(-((E1089-EvCenter)^2)/(2*EvSigma^2))))),"")</f>
        <v/>
      </c>
      <c r="O1089">
        <f>IF(B1089,ROUND(MAX(0,J1089*K1089*L1089*M1089*N1089),2),"")</f>
        <v/>
      </c>
    </row>
    <row r="1090">
      <c r="A1090" t="n">
        <v>1089</v>
      </c>
      <c r="B1090">
        <f>A1090&lt;=MineCount*Days</f>
        <v/>
      </c>
      <c r="C1090">
        <f>IF(B1090,INT((A1090-1)/Days)+1,"")</f>
        <v/>
      </c>
      <c r="D1090">
        <f>IF(B1090,MOD(A1090-1,Days),"")</f>
        <v/>
      </c>
      <c r="E1090" s="16">
        <f>IF(B1090,StartDate+D1090,"")</f>
        <v/>
      </c>
      <c r="F1090">
        <f>IF(B1090,MAX(MOD(SIN(Seed*0.1373+C1090*12.9898+D1090*78.233)*43758.5453,1),1E-9),"")</f>
        <v/>
      </c>
      <c r="G1090">
        <f>IF(B1090,MOD(SIN(Seed*0.5917+C1090*39.3468+D1090*11.135)*24634.6345,1),"")</f>
        <v/>
      </c>
      <c r="H1090">
        <f>IF(B1090,SQRT(-2*LN(F1090))*COS(2*PI()*G1090),"")</f>
        <v/>
      </c>
      <c r="I1090">
        <f>IF(B1090,IF(D1090=0,H1090,Rho*I1089+SQRT(1-Rho^2)*H1090),"")</f>
        <v/>
      </c>
      <c r="J1090">
        <f>IF(B1090,IF(Dist="Normal",DistA+DistB*I1090,DistA+(DistB-DistA)*NORMSDIST(I1090)),"")</f>
        <v/>
      </c>
      <c r="K1090">
        <f>IF(B1090,INDEX(MineScale,C1090),"")</f>
        <v/>
      </c>
      <c r="L1090">
        <f>IF(B1090,INDEX(Dow,1,WEEKDAY(E1090,2)),"")</f>
        <v/>
      </c>
      <c r="M1090">
        <f>IF(B1090,(1+Trend)^D1090,"")</f>
        <v/>
      </c>
      <c r="N1090">
        <f>IF(B1090,EXP(SUMPRODUCT(LN(1+(EvEff-1)*INDEX(Affected,0,C1090)*EXP(-((E1090-EvCenter)^2)/(2*EvSigma^2))))),"")</f>
        <v/>
      </c>
      <c r="O1090">
        <f>IF(B1090,ROUND(MAX(0,J1090*K1090*L1090*M1090*N1090),2),"")</f>
        <v/>
      </c>
    </row>
    <row r="1091">
      <c r="A1091" t="n">
        <v>1090</v>
      </c>
      <c r="B1091">
        <f>A1091&lt;=MineCount*Days</f>
        <v/>
      </c>
      <c r="C1091">
        <f>IF(B1091,INT((A1091-1)/Days)+1,"")</f>
        <v/>
      </c>
      <c r="D1091">
        <f>IF(B1091,MOD(A1091-1,Days),"")</f>
        <v/>
      </c>
      <c r="E1091" s="16">
        <f>IF(B1091,StartDate+D1091,"")</f>
        <v/>
      </c>
      <c r="F1091">
        <f>IF(B1091,MAX(MOD(SIN(Seed*0.1373+C1091*12.9898+D1091*78.233)*43758.5453,1),1E-9),"")</f>
        <v/>
      </c>
      <c r="G1091">
        <f>IF(B1091,MOD(SIN(Seed*0.5917+C1091*39.3468+D1091*11.135)*24634.6345,1),"")</f>
        <v/>
      </c>
      <c r="H1091">
        <f>IF(B1091,SQRT(-2*LN(F1091))*COS(2*PI()*G1091),"")</f>
        <v/>
      </c>
      <c r="I1091">
        <f>IF(B1091,IF(D1091=0,H1091,Rho*I1090+SQRT(1-Rho^2)*H1091),"")</f>
        <v/>
      </c>
      <c r="J1091">
        <f>IF(B1091,IF(Dist="Normal",DistA+DistB*I1091,DistA+(DistB-DistA)*NORMSDIST(I1091)),"")</f>
        <v/>
      </c>
      <c r="K1091">
        <f>IF(B1091,INDEX(MineScale,C1091),"")</f>
        <v/>
      </c>
      <c r="L1091">
        <f>IF(B1091,INDEX(Dow,1,WEEKDAY(E1091,2)),"")</f>
        <v/>
      </c>
      <c r="M1091">
        <f>IF(B1091,(1+Trend)^D1091,"")</f>
        <v/>
      </c>
      <c r="N1091">
        <f>IF(B1091,EXP(SUMPRODUCT(LN(1+(EvEff-1)*INDEX(Affected,0,C1091)*EXP(-((E1091-EvCenter)^2)/(2*EvSigma^2))))),"")</f>
        <v/>
      </c>
      <c r="O1091">
        <f>IF(B1091,ROUND(MAX(0,J1091*K1091*L1091*M1091*N1091),2),"")</f>
        <v/>
      </c>
    </row>
    <row r="1092">
      <c r="A1092" t="n">
        <v>1091</v>
      </c>
      <c r="B1092">
        <f>A1092&lt;=MineCount*Days</f>
        <v/>
      </c>
      <c r="C1092">
        <f>IF(B1092,INT((A1092-1)/Days)+1,"")</f>
        <v/>
      </c>
      <c r="D1092">
        <f>IF(B1092,MOD(A1092-1,Days),"")</f>
        <v/>
      </c>
      <c r="E1092" s="16">
        <f>IF(B1092,StartDate+D1092,"")</f>
        <v/>
      </c>
      <c r="F1092">
        <f>IF(B1092,MAX(MOD(SIN(Seed*0.1373+C1092*12.9898+D1092*78.233)*43758.5453,1),1E-9),"")</f>
        <v/>
      </c>
      <c r="G1092">
        <f>IF(B1092,MOD(SIN(Seed*0.5917+C1092*39.3468+D1092*11.135)*24634.6345,1),"")</f>
        <v/>
      </c>
      <c r="H1092">
        <f>IF(B1092,SQRT(-2*LN(F1092))*COS(2*PI()*G1092),"")</f>
        <v/>
      </c>
      <c r="I1092">
        <f>IF(B1092,IF(D1092=0,H1092,Rho*I1091+SQRT(1-Rho^2)*H1092),"")</f>
        <v/>
      </c>
      <c r="J1092">
        <f>IF(B1092,IF(Dist="Normal",DistA+DistB*I1092,DistA+(DistB-DistA)*NORMSDIST(I1092)),"")</f>
        <v/>
      </c>
      <c r="K1092">
        <f>IF(B1092,INDEX(MineScale,C1092),"")</f>
        <v/>
      </c>
      <c r="L1092">
        <f>IF(B1092,INDEX(Dow,1,WEEKDAY(E1092,2)),"")</f>
        <v/>
      </c>
      <c r="M1092">
        <f>IF(B1092,(1+Trend)^D1092,"")</f>
        <v/>
      </c>
      <c r="N1092">
        <f>IF(B1092,EXP(SUMPRODUCT(LN(1+(EvEff-1)*INDEX(Affected,0,C1092)*EXP(-((E1092-EvCenter)^2)/(2*EvSigma^2))))),"")</f>
        <v/>
      </c>
      <c r="O1092">
        <f>IF(B1092,ROUND(MAX(0,J1092*K1092*L1092*M1092*N1092),2),"")</f>
        <v/>
      </c>
    </row>
    <row r="1093">
      <c r="A1093" t="n">
        <v>1092</v>
      </c>
      <c r="B1093">
        <f>A1093&lt;=MineCount*Days</f>
        <v/>
      </c>
      <c r="C1093">
        <f>IF(B1093,INT((A1093-1)/Days)+1,"")</f>
        <v/>
      </c>
      <c r="D1093">
        <f>IF(B1093,MOD(A1093-1,Days),"")</f>
        <v/>
      </c>
      <c r="E1093" s="16">
        <f>IF(B1093,StartDate+D1093,"")</f>
        <v/>
      </c>
      <c r="F1093">
        <f>IF(B1093,MAX(MOD(SIN(Seed*0.1373+C1093*12.9898+D1093*78.233)*43758.5453,1),1E-9),"")</f>
        <v/>
      </c>
      <c r="G1093">
        <f>IF(B1093,MOD(SIN(Seed*0.5917+C1093*39.3468+D1093*11.135)*24634.6345,1),"")</f>
        <v/>
      </c>
      <c r="H1093">
        <f>IF(B1093,SQRT(-2*LN(F1093))*COS(2*PI()*G1093),"")</f>
        <v/>
      </c>
      <c r="I1093">
        <f>IF(B1093,IF(D1093=0,H1093,Rho*I1092+SQRT(1-Rho^2)*H1093),"")</f>
        <v/>
      </c>
      <c r="J1093">
        <f>IF(B1093,IF(Dist="Normal",DistA+DistB*I1093,DistA+(DistB-DistA)*NORMSDIST(I1093)),"")</f>
        <v/>
      </c>
      <c r="K1093">
        <f>IF(B1093,INDEX(MineScale,C1093),"")</f>
        <v/>
      </c>
      <c r="L1093">
        <f>IF(B1093,INDEX(Dow,1,WEEKDAY(E1093,2)),"")</f>
        <v/>
      </c>
      <c r="M1093">
        <f>IF(B1093,(1+Trend)^D1093,"")</f>
        <v/>
      </c>
      <c r="N1093">
        <f>IF(B1093,EXP(SUMPRODUCT(LN(1+(EvEff-1)*INDEX(Affected,0,C1093)*EXP(-((E1093-EvCenter)^2)/(2*EvSigma^2))))),"")</f>
        <v/>
      </c>
      <c r="O1093">
        <f>IF(B1093,ROUND(MAX(0,J1093*K1093*L1093*M1093*N1093),2),"")</f>
        <v/>
      </c>
    </row>
    <row r="1094">
      <c r="A1094" t="n">
        <v>1093</v>
      </c>
      <c r="B1094">
        <f>A1094&lt;=MineCount*Days</f>
        <v/>
      </c>
      <c r="C1094">
        <f>IF(B1094,INT((A1094-1)/Days)+1,"")</f>
        <v/>
      </c>
      <c r="D1094">
        <f>IF(B1094,MOD(A1094-1,Days),"")</f>
        <v/>
      </c>
      <c r="E1094" s="16">
        <f>IF(B1094,StartDate+D1094,"")</f>
        <v/>
      </c>
      <c r="F1094">
        <f>IF(B1094,MAX(MOD(SIN(Seed*0.1373+C1094*12.9898+D1094*78.233)*43758.5453,1),1E-9),"")</f>
        <v/>
      </c>
      <c r="G1094">
        <f>IF(B1094,MOD(SIN(Seed*0.5917+C1094*39.3468+D1094*11.135)*24634.6345,1),"")</f>
        <v/>
      </c>
      <c r="H1094">
        <f>IF(B1094,SQRT(-2*LN(F1094))*COS(2*PI()*G1094),"")</f>
        <v/>
      </c>
      <c r="I1094">
        <f>IF(B1094,IF(D1094=0,H1094,Rho*I1093+SQRT(1-Rho^2)*H1094),"")</f>
        <v/>
      </c>
      <c r="J1094">
        <f>IF(B1094,IF(Dist="Normal",DistA+DistB*I1094,DistA+(DistB-DistA)*NORMSDIST(I1094)),"")</f>
        <v/>
      </c>
      <c r="K1094">
        <f>IF(B1094,INDEX(MineScale,C1094),"")</f>
        <v/>
      </c>
      <c r="L1094">
        <f>IF(B1094,INDEX(Dow,1,WEEKDAY(E1094,2)),"")</f>
        <v/>
      </c>
      <c r="M1094">
        <f>IF(B1094,(1+Trend)^D1094,"")</f>
        <v/>
      </c>
      <c r="N1094">
        <f>IF(B1094,EXP(SUMPRODUCT(LN(1+(EvEff-1)*INDEX(Affected,0,C1094)*EXP(-((E1094-EvCenter)^2)/(2*EvSigma^2))))),"")</f>
        <v/>
      </c>
      <c r="O1094">
        <f>IF(B1094,ROUND(MAX(0,J1094*K1094*L1094*M1094*N1094),2),"")</f>
        <v/>
      </c>
    </row>
    <row r="1095">
      <c r="A1095" t="n">
        <v>1094</v>
      </c>
      <c r="B1095">
        <f>A1095&lt;=MineCount*Days</f>
        <v/>
      </c>
      <c r="C1095">
        <f>IF(B1095,INT((A1095-1)/Days)+1,"")</f>
        <v/>
      </c>
      <c r="D1095">
        <f>IF(B1095,MOD(A1095-1,Days),"")</f>
        <v/>
      </c>
      <c r="E1095" s="16">
        <f>IF(B1095,StartDate+D1095,"")</f>
        <v/>
      </c>
      <c r="F1095">
        <f>IF(B1095,MAX(MOD(SIN(Seed*0.1373+C1095*12.9898+D1095*78.233)*43758.5453,1),1E-9),"")</f>
        <v/>
      </c>
      <c r="G1095">
        <f>IF(B1095,MOD(SIN(Seed*0.5917+C1095*39.3468+D1095*11.135)*24634.6345,1),"")</f>
        <v/>
      </c>
      <c r="H1095">
        <f>IF(B1095,SQRT(-2*LN(F1095))*COS(2*PI()*G1095),"")</f>
        <v/>
      </c>
      <c r="I1095">
        <f>IF(B1095,IF(D1095=0,H1095,Rho*I1094+SQRT(1-Rho^2)*H1095),"")</f>
        <v/>
      </c>
      <c r="J1095">
        <f>IF(B1095,IF(Dist="Normal",DistA+DistB*I1095,DistA+(DistB-DistA)*NORMSDIST(I1095)),"")</f>
        <v/>
      </c>
      <c r="K1095">
        <f>IF(B1095,INDEX(MineScale,C1095),"")</f>
        <v/>
      </c>
      <c r="L1095">
        <f>IF(B1095,INDEX(Dow,1,WEEKDAY(E1095,2)),"")</f>
        <v/>
      </c>
      <c r="M1095">
        <f>IF(B1095,(1+Trend)^D1095,"")</f>
        <v/>
      </c>
      <c r="N1095">
        <f>IF(B1095,EXP(SUMPRODUCT(LN(1+(EvEff-1)*INDEX(Affected,0,C1095)*EXP(-((E1095-EvCenter)^2)/(2*EvSigma^2))))),"")</f>
        <v/>
      </c>
      <c r="O1095">
        <f>IF(B1095,ROUND(MAX(0,J1095*K1095*L1095*M1095*N1095),2),"")</f>
        <v/>
      </c>
    </row>
    <row r="1096">
      <c r="A1096" t="n">
        <v>1095</v>
      </c>
      <c r="B1096">
        <f>A1096&lt;=MineCount*Days</f>
        <v/>
      </c>
      <c r="C1096">
        <f>IF(B1096,INT((A1096-1)/Days)+1,"")</f>
        <v/>
      </c>
      <c r="D1096">
        <f>IF(B1096,MOD(A1096-1,Days),"")</f>
        <v/>
      </c>
      <c r="E1096" s="16">
        <f>IF(B1096,StartDate+D1096,"")</f>
        <v/>
      </c>
      <c r="F1096">
        <f>IF(B1096,MAX(MOD(SIN(Seed*0.1373+C1096*12.9898+D1096*78.233)*43758.5453,1),1E-9),"")</f>
        <v/>
      </c>
      <c r="G1096">
        <f>IF(B1096,MOD(SIN(Seed*0.5917+C1096*39.3468+D1096*11.135)*24634.6345,1),"")</f>
        <v/>
      </c>
      <c r="H1096">
        <f>IF(B1096,SQRT(-2*LN(F1096))*COS(2*PI()*G1096),"")</f>
        <v/>
      </c>
      <c r="I1096">
        <f>IF(B1096,IF(D1096=0,H1096,Rho*I1095+SQRT(1-Rho^2)*H1096),"")</f>
        <v/>
      </c>
      <c r="J1096">
        <f>IF(B1096,IF(Dist="Normal",DistA+DistB*I1096,DistA+(DistB-DistA)*NORMSDIST(I1096)),"")</f>
        <v/>
      </c>
      <c r="K1096">
        <f>IF(B1096,INDEX(MineScale,C1096),"")</f>
        <v/>
      </c>
      <c r="L1096">
        <f>IF(B1096,INDEX(Dow,1,WEEKDAY(E1096,2)),"")</f>
        <v/>
      </c>
      <c r="M1096">
        <f>IF(B1096,(1+Trend)^D1096,"")</f>
        <v/>
      </c>
      <c r="N1096">
        <f>IF(B1096,EXP(SUMPRODUCT(LN(1+(EvEff-1)*INDEX(Affected,0,C1096)*EXP(-((E1096-EvCenter)^2)/(2*EvSigma^2))))),"")</f>
        <v/>
      </c>
      <c r="O1096">
        <f>IF(B1096,ROUND(MAX(0,J1096*K1096*L1096*M1096*N1096),2),"")</f>
        <v/>
      </c>
    </row>
    <row r="1097">
      <c r="A1097" t="n">
        <v>1096</v>
      </c>
      <c r="B1097">
        <f>A1097&lt;=MineCount*Days</f>
        <v/>
      </c>
      <c r="C1097">
        <f>IF(B1097,INT((A1097-1)/Days)+1,"")</f>
        <v/>
      </c>
      <c r="D1097">
        <f>IF(B1097,MOD(A1097-1,Days),"")</f>
        <v/>
      </c>
      <c r="E1097" s="16">
        <f>IF(B1097,StartDate+D1097,"")</f>
        <v/>
      </c>
      <c r="F1097">
        <f>IF(B1097,MAX(MOD(SIN(Seed*0.1373+C1097*12.9898+D1097*78.233)*43758.5453,1),1E-9),"")</f>
        <v/>
      </c>
      <c r="G1097">
        <f>IF(B1097,MOD(SIN(Seed*0.5917+C1097*39.3468+D1097*11.135)*24634.6345,1),"")</f>
        <v/>
      </c>
      <c r="H1097">
        <f>IF(B1097,SQRT(-2*LN(F1097))*COS(2*PI()*G1097),"")</f>
        <v/>
      </c>
      <c r="I1097">
        <f>IF(B1097,IF(D1097=0,H1097,Rho*I1096+SQRT(1-Rho^2)*H1097),"")</f>
        <v/>
      </c>
      <c r="J1097">
        <f>IF(B1097,IF(Dist="Normal",DistA+DistB*I1097,DistA+(DistB-DistA)*NORMSDIST(I1097)),"")</f>
        <v/>
      </c>
      <c r="K1097">
        <f>IF(B1097,INDEX(MineScale,C1097),"")</f>
        <v/>
      </c>
      <c r="L1097">
        <f>IF(B1097,INDEX(Dow,1,WEEKDAY(E1097,2)),"")</f>
        <v/>
      </c>
      <c r="M1097">
        <f>IF(B1097,(1+Trend)^D1097,"")</f>
        <v/>
      </c>
      <c r="N1097">
        <f>IF(B1097,EXP(SUMPRODUCT(LN(1+(EvEff-1)*INDEX(Affected,0,C1097)*EXP(-((E1097-EvCenter)^2)/(2*EvSigma^2))))),"")</f>
        <v/>
      </c>
      <c r="O1097">
        <f>IF(B1097,ROUND(MAX(0,J1097*K1097*L1097*M1097*N1097),2),"")</f>
        <v/>
      </c>
    </row>
    <row r="1098">
      <c r="A1098" t="n">
        <v>1097</v>
      </c>
      <c r="B1098">
        <f>A1098&lt;=MineCount*Days</f>
        <v/>
      </c>
      <c r="C1098">
        <f>IF(B1098,INT((A1098-1)/Days)+1,"")</f>
        <v/>
      </c>
      <c r="D1098">
        <f>IF(B1098,MOD(A1098-1,Days),"")</f>
        <v/>
      </c>
      <c r="E1098" s="16">
        <f>IF(B1098,StartDate+D1098,"")</f>
        <v/>
      </c>
      <c r="F1098">
        <f>IF(B1098,MAX(MOD(SIN(Seed*0.1373+C1098*12.9898+D1098*78.233)*43758.5453,1),1E-9),"")</f>
        <v/>
      </c>
      <c r="G1098">
        <f>IF(B1098,MOD(SIN(Seed*0.5917+C1098*39.3468+D1098*11.135)*24634.6345,1),"")</f>
        <v/>
      </c>
      <c r="H1098">
        <f>IF(B1098,SQRT(-2*LN(F1098))*COS(2*PI()*G1098),"")</f>
        <v/>
      </c>
      <c r="I1098">
        <f>IF(B1098,IF(D1098=0,H1098,Rho*I1097+SQRT(1-Rho^2)*H1098),"")</f>
        <v/>
      </c>
      <c r="J1098">
        <f>IF(B1098,IF(Dist="Normal",DistA+DistB*I1098,DistA+(DistB-DistA)*NORMSDIST(I1098)),"")</f>
        <v/>
      </c>
      <c r="K1098">
        <f>IF(B1098,INDEX(MineScale,C1098),"")</f>
        <v/>
      </c>
      <c r="L1098">
        <f>IF(B1098,INDEX(Dow,1,WEEKDAY(E1098,2)),"")</f>
        <v/>
      </c>
      <c r="M1098">
        <f>IF(B1098,(1+Trend)^D1098,"")</f>
        <v/>
      </c>
      <c r="N1098">
        <f>IF(B1098,EXP(SUMPRODUCT(LN(1+(EvEff-1)*INDEX(Affected,0,C1098)*EXP(-((E1098-EvCenter)^2)/(2*EvSigma^2))))),"")</f>
        <v/>
      </c>
      <c r="O1098">
        <f>IF(B1098,ROUND(MAX(0,J1098*K1098*L1098*M1098*N1098),2),"")</f>
        <v/>
      </c>
    </row>
    <row r="1099">
      <c r="A1099" t="n">
        <v>1098</v>
      </c>
      <c r="B1099">
        <f>A1099&lt;=MineCount*Days</f>
        <v/>
      </c>
      <c r="C1099">
        <f>IF(B1099,INT((A1099-1)/Days)+1,"")</f>
        <v/>
      </c>
      <c r="D1099">
        <f>IF(B1099,MOD(A1099-1,Days),"")</f>
        <v/>
      </c>
      <c r="E1099" s="16">
        <f>IF(B1099,StartDate+D1099,"")</f>
        <v/>
      </c>
      <c r="F1099">
        <f>IF(B1099,MAX(MOD(SIN(Seed*0.1373+C1099*12.9898+D1099*78.233)*43758.5453,1),1E-9),"")</f>
        <v/>
      </c>
      <c r="G1099">
        <f>IF(B1099,MOD(SIN(Seed*0.5917+C1099*39.3468+D1099*11.135)*24634.6345,1),"")</f>
        <v/>
      </c>
      <c r="H1099">
        <f>IF(B1099,SQRT(-2*LN(F1099))*COS(2*PI()*G1099),"")</f>
        <v/>
      </c>
      <c r="I1099">
        <f>IF(B1099,IF(D1099=0,H1099,Rho*I1098+SQRT(1-Rho^2)*H1099),"")</f>
        <v/>
      </c>
      <c r="J1099">
        <f>IF(B1099,IF(Dist="Normal",DistA+DistB*I1099,DistA+(DistB-DistA)*NORMSDIST(I1099)),"")</f>
        <v/>
      </c>
      <c r="K1099">
        <f>IF(B1099,INDEX(MineScale,C1099),"")</f>
        <v/>
      </c>
      <c r="L1099">
        <f>IF(B1099,INDEX(Dow,1,WEEKDAY(E1099,2)),"")</f>
        <v/>
      </c>
      <c r="M1099">
        <f>IF(B1099,(1+Trend)^D1099,"")</f>
        <v/>
      </c>
      <c r="N1099">
        <f>IF(B1099,EXP(SUMPRODUCT(LN(1+(EvEff-1)*INDEX(Affected,0,C1099)*EXP(-((E1099-EvCenter)^2)/(2*EvSigma^2))))),"")</f>
        <v/>
      </c>
      <c r="O1099">
        <f>IF(B1099,ROUND(MAX(0,J1099*K1099*L1099*M1099*N1099),2),"")</f>
        <v/>
      </c>
    </row>
    <row r="1100">
      <c r="A1100" t="n">
        <v>1099</v>
      </c>
      <c r="B1100">
        <f>A1100&lt;=MineCount*Days</f>
        <v/>
      </c>
      <c r="C1100">
        <f>IF(B1100,INT((A1100-1)/Days)+1,"")</f>
        <v/>
      </c>
      <c r="D1100">
        <f>IF(B1100,MOD(A1100-1,Days),"")</f>
        <v/>
      </c>
      <c r="E1100" s="16">
        <f>IF(B1100,StartDate+D1100,"")</f>
        <v/>
      </c>
      <c r="F1100">
        <f>IF(B1100,MAX(MOD(SIN(Seed*0.1373+C1100*12.9898+D1100*78.233)*43758.5453,1),1E-9),"")</f>
        <v/>
      </c>
      <c r="G1100">
        <f>IF(B1100,MOD(SIN(Seed*0.5917+C1100*39.3468+D1100*11.135)*24634.6345,1),"")</f>
        <v/>
      </c>
      <c r="H1100">
        <f>IF(B1100,SQRT(-2*LN(F1100))*COS(2*PI()*G1100),"")</f>
        <v/>
      </c>
      <c r="I1100">
        <f>IF(B1100,IF(D1100=0,H1100,Rho*I1099+SQRT(1-Rho^2)*H1100),"")</f>
        <v/>
      </c>
      <c r="J1100">
        <f>IF(B1100,IF(Dist="Normal",DistA+DistB*I1100,DistA+(DistB-DistA)*NORMSDIST(I1100)),"")</f>
        <v/>
      </c>
      <c r="K1100">
        <f>IF(B1100,INDEX(MineScale,C1100),"")</f>
        <v/>
      </c>
      <c r="L1100">
        <f>IF(B1100,INDEX(Dow,1,WEEKDAY(E1100,2)),"")</f>
        <v/>
      </c>
      <c r="M1100">
        <f>IF(B1100,(1+Trend)^D1100,"")</f>
        <v/>
      </c>
      <c r="N1100">
        <f>IF(B1100,EXP(SUMPRODUCT(LN(1+(EvEff-1)*INDEX(Affected,0,C1100)*EXP(-((E1100-EvCenter)^2)/(2*EvSigma^2))))),"")</f>
        <v/>
      </c>
      <c r="O1100">
        <f>IF(B1100,ROUND(MAX(0,J1100*K1100*L1100*M1100*N1100),2),"")</f>
        <v/>
      </c>
    </row>
    <row r="1101">
      <c r="A1101" t="n">
        <v>1100</v>
      </c>
      <c r="B1101">
        <f>A1101&lt;=MineCount*Days</f>
        <v/>
      </c>
      <c r="C1101">
        <f>IF(B1101,INT((A1101-1)/Days)+1,"")</f>
        <v/>
      </c>
      <c r="D1101">
        <f>IF(B1101,MOD(A1101-1,Days),"")</f>
        <v/>
      </c>
      <c r="E1101" s="16">
        <f>IF(B1101,StartDate+D1101,"")</f>
        <v/>
      </c>
      <c r="F1101">
        <f>IF(B1101,MAX(MOD(SIN(Seed*0.1373+C1101*12.9898+D1101*78.233)*43758.5453,1),1E-9),"")</f>
        <v/>
      </c>
      <c r="G1101">
        <f>IF(B1101,MOD(SIN(Seed*0.5917+C1101*39.3468+D1101*11.135)*24634.6345,1),"")</f>
        <v/>
      </c>
      <c r="H1101">
        <f>IF(B1101,SQRT(-2*LN(F1101))*COS(2*PI()*G1101),"")</f>
        <v/>
      </c>
      <c r="I1101">
        <f>IF(B1101,IF(D1101=0,H1101,Rho*I1100+SQRT(1-Rho^2)*H1101),"")</f>
        <v/>
      </c>
      <c r="J1101">
        <f>IF(B1101,IF(Dist="Normal",DistA+DistB*I1101,DistA+(DistB-DistA)*NORMSDIST(I1101)),"")</f>
        <v/>
      </c>
      <c r="K1101">
        <f>IF(B1101,INDEX(MineScale,C1101),"")</f>
        <v/>
      </c>
      <c r="L1101">
        <f>IF(B1101,INDEX(Dow,1,WEEKDAY(E1101,2)),"")</f>
        <v/>
      </c>
      <c r="M1101">
        <f>IF(B1101,(1+Trend)^D1101,"")</f>
        <v/>
      </c>
      <c r="N1101">
        <f>IF(B1101,EXP(SUMPRODUCT(LN(1+(EvEff-1)*INDEX(Affected,0,C1101)*EXP(-((E1101-EvCenter)^2)/(2*EvSigma^2))))),"")</f>
        <v/>
      </c>
      <c r="O1101">
        <f>IF(B1101,ROUND(MAX(0,J1101*K1101*L1101*M1101*N1101),2),"")</f>
        <v/>
      </c>
    </row>
    <row r="1102">
      <c r="A1102" t="n">
        <v>1101</v>
      </c>
      <c r="B1102">
        <f>A1102&lt;=MineCount*Days</f>
        <v/>
      </c>
      <c r="C1102">
        <f>IF(B1102,INT((A1102-1)/Days)+1,"")</f>
        <v/>
      </c>
      <c r="D1102">
        <f>IF(B1102,MOD(A1102-1,Days),"")</f>
        <v/>
      </c>
      <c r="E1102" s="16">
        <f>IF(B1102,StartDate+D1102,"")</f>
        <v/>
      </c>
      <c r="F1102">
        <f>IF(B1102,MAX(MOD(SIN(Seed*0.1373+C1102*12.9898+D1102*78.233)*43758.5453,1),1E-9),"")</f>
        <v/>
      </c>
      <c r="G1102">
        <f>IF(B1102,MOD(SIN(Seed*0.5917+C1102*39.3468+D1102*11.135)*24634.6345,1),"")</f>
        <v/>
      </c>
      <c r="H1102">
        <f>IF(B1102,SQRT(-2*LN(F1102))*COS(2*PI()*G1102),"")</f>
        <v/>
      </c>
      <c r="I1102">
        <f>IF(B1102,IF(D1102=0,H1102,Rho*I1101+SQRT(1-Rho^2)*H1102),"")</f>
        <v/>
      </c>
      <c r="J1102">
        <f>IF(B1102,IF(Dist="Normal",DistA+DistB*I1102,DistA+(DistB-DistA)*NORMSDIST(I1102)),"")</f>
        <v/>
      </c>
      <c r="K1102">
        <f>IF(B1102,INDEX(MineScale,C1102),"")</f>
        <v/>
      </c>
      <c r="L1102">
        <f>IF(B1102,INDEX(Dow,1,WEEKDAY(E1102,2)),"")</f>
        <v/>
      </c>
      <c r="M1102">
        <f>IF(B1102,(1+Trend)^D1102,"")</f>
        <v/>
      </c>
      <c r="N1102">
        <f>IF(B1102,EXP(SUMPRODUCT(LN(1+(EvEff-1)*INDEX(Affected,0,C1102)*EXP(-((E1102-EvCenter)^2)/(2*EvSigma^2))))),"")</f>
        <v/>
      </c>
      <c r="O1102">
        <f>IF(B1102,ROUND(MAX(0,J1102*K1102*L1102*M1102*N1102),2),"")</f>
        <v/>
      </c>
    </row>
    <row r="1103">
      <c r="A1103" t="n">
        <v>1102</v>
      </c>
      <c r="B1103">
        <f>A1103&lt;=MineCount*Days</f>
        <v/>
      </c>
      <c r="C1103">
        <f>IF(B1103,INT((A1103-1)/Days)+1,"")</f>
        <v/>
      </c>
      <c r="D1103">
        <f>IF(B1103,MOD(A1103-1,Days),"")</f>
        <v/>
      </c>
      <c r="E1103" s="16">
        <f>IF(B1103,StartDate+D1103,"")</f>
        <v/>
      </c>
      <c r="F1103">
        <f>IF(B1103,MAX(MOD(SIN(Seed*0.1373+C1103*12.9898+D1103*78.233)*43758.5453,1),1E-9),"")</f>
        <v/>
      </c>
      <c r="G1103">
        <f>IF(B1103,MOD(SIN(Seed*0.5917+C1103*39.3468+D1103*11.135)*24634.6345,1),"")</f>
        <v/>
      </c>
      <c r="H1103">
        <f>IF(B1103,SQRT(-2*LN(F1103))*COS(2*PI()*G1103),"")</f>
        <v/>
      </c>
      <c r="I1103">
        <f>IF(B1103,IF(D1103=0,H1103,Rho*I1102+SQRT(1-Rho^2)*H1103),"")</f>
        <v/>
      </c>
      <c r="J1103">
        <f>IF(B1103,IF(Dist="Normal",DistA+DistB*I1103,DistA+(DistB-DistA)*NORMSDIST(I1103)),"")</f>
        <v/>
      </c>
      <c r="K1103">
        <f>IF(B1103,INDEX(MineScale,C1103),"")</f>
        <v/>
      </c>
      <c r="L1103">
        <f>IF(B1103,INDEX(Dow,1,WEEKDAY(E1103,2)),"")</f>
        <v/>
      </c>
      <c r="M1103">
        <f>IF(B1103,(1+Trend)^D1103,"")</f>
        <v/>
      </c>
      <c r="N1103">
        <f>IF(B1103,EXP(SUMPRODUCT(LN(1+(EvEff-1)*INDEX(Affected,0,C1103)*EXP(-((E1103-EvCenter)^2)/(2*EvSigma^2))))),"")</f>
        <v/>
      </c>
      <c r="O1103">
        <f>IF(B1103,ROUND(MAX(0,J1103*K1103*L1103*M1103*N1103),2),"")</f>
        <v/>
      </c>
    </row>
    <row r="1104">
      <c r="A1104" t="n">
        <v>1103</v>
      </c>
      <c r="B1104">
        <f>A1104&lt;=MineCount*Days</f>
        <v/>
      </c>
      <c r="C1104">
        <f>IF(B1104,INT((A1104-1)/Days)+1,"")</f>
        <v/>
      </c>
      <c r="D1104">
        <f>IF(B1104,MOD(A1104-1,Days),"")</f>
        <v/>
      </c>
      <c r="E1104" s="16">
        <f>IF(B1104,StartDate+D1104,"")</f>
        <v/>
      </c>
      <c r="F1104">
        <f>IF(B1104,MAX(MOD(SIN(Seed*0.1373+C1104*12.9898+D1104*78.233)*43758.5453,1),1E-9),"")</f>
        <v/>
      </c>
      <c r="G1104">
        <f>IF(B1104,MOD(SIN(Seed*0.5917+C1104*39.3468+D1104*11.135)*24634.6345,1),"")</f>
        <v/>
      </c>
      <c r="H1104">
        <f>IF(B1104,SQRT(-2*LN(F1104))*COS(2*PI()*G1104),"")</f>
        <v/>
      </c>
      <c r="I1104">
        <f>IF(B1104,IF(D1104=0,H1104,Rho*I1103+SQRT(1-Rho^2)*H1104),"")</f>
        <v/>
      </c>
      <c r="J1104">
        <f>IF(B1104,IF(Dist="Normal",DistA+DistB*I1104,DistA+(DistB-DistA)*NORMSDIST(I1104)),"")</f>
        <v/>
      </c>
      <c r="K1104">
        <f>IF(B1104,INDEX(MineScale,C1104),"")</f>
        <v/>
      </c>
      <c r="L1104">
        <f>IF(B1104,INDEX(Dow,1,WEEKDAY(E1104,2)),"")</f>
        <v/>
      </c>
      <c r="M1104">
        <f>IF(B1104,(1+Trend)^D1104,"")</f>
        <v/>
      </c>
      <c r="N1104">
        <f>IF(B1104,EXP(SUMPRODUCT(LN(1+(EvEff-1)*INDEX(Affected,0,C1104)*EXP(-((E1104-EvCenter)^2)/(2*EvSigma^2))))),"")</f>
        <v/>
      </c>
      <c r="O1104">
        <f>IF(B1104,ROUND(MAX(0,J1104*K1104*L1104*M1104*N1104),2),"")</f>
        <v/>
      </c>
    </row>
    <row r="1105">
      <c r="A1105" t="n">
        <v>1104</v>
      </c>
      <c r="B1105">
        <f>A1105&lt;=MineCount*Days</f>
        <v/>
      </c>
      <c r="C1105">
        <f>IF(B1105,INT((A1105-1)/Days)+1,"")</f>
        <v/>
      </c>
      <c r="D1105">
        <f>IF(B1105,MOD(A1105-1,Days),"")</f>
        <v/>
      </c>
      <c r="E1105" s="16">
        <f>IF(B1105,StartDate+D1105,"")</f>
        <v/>
      </c>
      <c r="F1105">
        <f>IF(B1105,MAX(MOD(SIN(Seed*0.1373+C1105*12.9898+D1105*78.233)*43758.5453,1),1E-9),"")</f>
        <v/>
      </c>
      <c r="G1105">
        <f>IF(B1105,MOD(SIN(Seed*0.5917+C1105*39.3468+D1105*11.135)*24634.6345,1),"")</f>
        <v/>
      </c>
      <c r="H1105">
        <f>IF(B1105,SQRT(-2*LN(F1105))*COS(2*PI()*G1105),"")</f>
        <v/>
      </c>
      <c r="I1105">
        <f>IF(B1105,IF(D1105=0,H1105,Rho*I1104+SQRT(1-Rho^2)*H1105),"")</f>
        <v/>
      </c>
      <c r="J1105">
        <f>IF(B1105,IF(Dist="Normal",DistA+DistB*I1105,DistA+(DistB-DistA)*NORMSDIST(I1105)),"")</f>
        <v/>
      </c>
      <c r="K1105">
        <f>IF(B1105,INDEX(MineScale,C1105),"")</f>
        <v/>
      </c>
      <c r="L1105">
        <f>IF(B1105,INDEX(Dow,1,WEEKDAY(E1105,2)),"")</f>
        <v/>
      </c>
      <c r="M1105">
        <f>IF(B1105,(1+Trend)^D1105,"")</f>
        <v/>
      </c>
      <c r="N1105">
        <f>IF(B1105,EXP(SUMPRODUCT(LN(1+(EvEff-1)*INDEX(Affected,0,C1105)*EXP(-((E1105-EvCenter)^2)/(2*EvSigma^2))))),"")</f>
        <v/>
      </c>
      <c r="O1105">
        <f>IF(B1105,ROUND(MAX(0,J1105*K1105*L1105*M1105*N1105),2),"")</f>
        <v/>
      </c>
    </row>
    <row r="1106">
      <c r="A1106" t="n">
        <v>1105</v>
      </c>
      <c r="B1106">
        <f>A1106&lt;=MineCount*Days</f>
        <v/>
      </c>
      <c r="C1106">
        <f>IF(B1106,INT((A1106-1)/Days)+1,"")</f>
        <v/>
      </c>
      <c r="D1106">
        <f>IF(B1106,MOD(A1106-1,Days),"")</f>
        <v/>
      </c>
      <c r="E1106" s="16">
        <f>IF(B1106,StartDate+D1106,"")</f>
        <v/>
      </c>
      <c r="F1106">
        <f>IF(B1106,MAX(MOD(SIN(Seed*0.1373+C1106*12.9898+D1106*78.233)*43758.5453,1),1E-9),"")</f>
        <v/>
      </c>
      <c r="G1106">
        <f>IF(B1106,MOD(SIN(Seed*0.5917+C1106*39.3468+D1106*11.135)*24634.6345,1),"")</f>
        <v/>
      </c>
      <c r="H1106">
        <f>IF(B1106,SQRT(-2*LN(F1106))*COS(2*PI()*G1106),"")</f>
        <v/>
      </c>
      <c r="I1106">
        <f>IF(B1106,IF(D1106=0,H1106,Rho*I1105+SQRT(1-Rho^2)*H1106),"")</f>
        <v/>
      </c>
      <c r="J1106">
        <f>IF(B1106,IF(Dist="Normal",DistA+DistB*I1106,DistA+(DistB-DistA)*NORMSDIST(I1106)),"")</f>
        <v/>
      </c>
      <c r="K1106">
        <f>IF(B1106,INDEX(MineScale,C1106),"")</f>
        <v/>
      </c>
      <c r="L1106">
        <f>IF(B1106,INDEX(Dow,1,WEEKDAY(E1106,2)),"")</f>
        <v/>
      </c>
      <c r="M1106">
        <f>IF(B1106,(1+Trend)^D1106,"")</f>
        <v/>
      </c>
      <c r="N1106">
        <f>IF(B1106,EXP(SUMPRODUCT(LN(1+(EvEff-1)*INDEX(Affected,0,C1106)*EXP(-((E1106-EvCenter)^2)/(2*EvSigma^2))))),"")</f>
        <v/>
      </c>
      <c r="O1106">
        <f>IF(B1106,ROUND(MAX(0,J1106*K1106*L1106*M1106*N1106),2),"")</f>
        <v/>
      </c>
    </row>
    <row r="1107">
      <c r="A1107" t="n">
        <v>1106</v>
      </c>
      <c r="B1107">
        <f>A1107&lt;=MineCount*Days</f>
        <v/>
      </c>
      <c r="C1107">
        <f>IF(B1107,INT((A1107-1)/Days)+1,"")</f>
        <v/>
      </c>
      <c r="D1107">
        <f>IF(B1107,MOD(A1107-1,Days),"")</f>
        <v/>
      </c>
      <c r="E1107" s="16">
        <f>IF(B1107,StartDate+D1107,"")</f>
        <v/>
      </c>
      <c r="F1107">
        <f>IF(B1107,MAX(MOD(SIN(Seed*0.1373+C1107*12.9898+D1107*78.233)*43758.5453,1),1E-9),"")</f>
        <v/>
      </c>
      <c r="G1107">
        <f>IF(B1107,MOD(SIN(Seed*0.5917+C1107*39.3468+D1107*11.135)*24634.6345,1),"")</f>
        <v/>
      </c>
      <c r="H1107">
        <f>IF(B1107,SQRT(-2*LN(F1107))*COS(2*PI()*G1107),"")</f>
        <v/>
      </c>
      <c r="I1107">
        <f>IF(B1107,IF(D1107=0,H1107,Rho*I1106+SQRT(1-Rho^2)*H1107),"")</f>
        <v/>
      </c>
      <c r="J1107">
        <f>IF(B1107,IF(Dist="Normal",DistA+DistB*I1107,DistA+(DistB-DistA)*NORMSDIST(I1107)),"")</f>
        <v/>
      </c>
      <c r="K1107">
        <f>IF(B1107,INDEX(MineScale,C1107),"")</f>
        <v/>
      </c>
      <c r="L1107">
        <f>IF(B1107,INDEX(Dow,1,WEEKDAY(E1107,2)),"")</f>
        <v/>
      </c>
      <c r="M1107">
        <f>IF(B1107,(1+Trend)^D1107,"")</f>
        <v/>
      </c>
      <c r="N1107">
        <f>IF(B1107,EXP(SUMPRODUCT(LN(1+(EvEff-1)*INDEX(Affected,0,C1107)*EXP(-((E1107-EvCenter)^2)/(2*EvSigma^2))))),"")</f>
        <v/>
      </c>
      <c r="O1107">
        <f>IF(B1107,ROUND(MAX(0,J1107*K1107*L1107*M1107*N1107),2),"")</f>
        <v/>
      </c>
    </row>
    <row r="1108">
      <c r="A1108" t="n">
        <v>1107</v>
      </c>
      <c r="B1108">
        <f>A1108&lt;=MineCount*Days</f>
        <v/>
      </c>
      <c r="C1108">
        <f>IF(B1108,INT((A1108-1)/Days)+1,"")</f>
        <v/>
      </c>
      <c r="D1108">
        <f>IF(B1108,MOD(A1108-1,Days),"")</f>
        <v/>
      </c>
      <c r="E1108" s="16">
        <f>IF(B1108,StartDate+D1108,"")</f>
        <v/>
      </c>
      <c r="F1108">
        <f>IF(B1108,MAX(MOD(SIN(Seed*0.1373+C1108*12.9898+D1108*78.233)*43758.5453,1),1E-9),"")</f>
        <v/>
      </c>
      <c r="G1108">
        <f>IF(B1108,MOD(SIN(Seed*0.5917+C1108*39.3468+D1108*11.135)*24634.6345,1),"")</f>
        <v/>
      </c>
      <c r="H1108">
        <f>IF(B1108,SQRT(-2*LN(F1108))*COS(2*PI()*G1108),"")</f>
        <v/>
      </c>
      <c r="I1108">
        <f>IF(B1108,IF(D1108=0,H1108,Rho*I1107+SQRT(1-Rho^2)*H1108),"")</f>
        <v/>
      </c>
      <c r="J1108">
        <f>IF(B1108,IF(Dist="Normal",DistA+DistB*I1108,DistA+(DistB-DistA)*NORMSDIST(I1108)),"")</f>
        <v/>
      </c>
      <c r="K1108">
        <f>IF(B1108,INDEX(MineScale,C1108),"")</f>
        <v/>
      </c>
      <c r="L1108">
        <f>IF(B1108,INDEX(Dow,1,WEEKDAY(E1108,2)),"")</f>
        <v/>
      </c>
      <c r="M1108">
        <f>IF(B1108,(1+Trend)^D1108,"")</f>
        <v/>
      </c>
      <c r="N1108">
        <f>IF(B1108,EXP(SUMPRODUCT(LN(1+(EvEff-1)*INDEX(Affected,0,C1108)*EXP(-((E1108-EvCenter)^2)/(2*EvSigma^2))))),"")</f>
        <v/>
      </c>
      <c r="O1108">
        <f>IF(B1108,ROUND(MAX(0,J1108*K1108*L1108*M1108*N1108),2),"")</f>
        <v/>
      </c>
    </row>
    <row r="1109">
      <c r="A1109" t="n">
        <v>1108</v>
      </c>
      <c r="B1109">
        <f>A1109&lt;=MineCount*Days</f>
        <v/>
      </c>
      <c r="C1109">
        <f>IF(B1109,INT((A1109-1)/Days)+1,"")</f>
        <v/>
      </c>
      <c r="D1109">
        <f>IF(B1109,MOD(A1109-1,Days),"")</f>
        <v/>
      </c>
      <c r="E1109" s="16">
        <f>IF(B1109,StartDate+D1109,"")</f>
        <v/>
      </c>
      <c r="F1109">
        <f>IF(B1109,MAX(MOD(SIN(Seed*0.1373+C1109*12.9898+D1109*78.233)*43758.5453,1),1E-9),"")</f>
        <v/>
      </c>
      <c r="G1109">
        <f>IF(B1109,MOD(SIN(Seed*0.5917+C1109*39.3468+D1109*11.135)*24634.6345,1),"")</f>
        <v/>
      </c>
      <c r="H1109">
        <f>IF(B1109,SQRT(-2*LN(F1109))*COS(2*PI()*G1109),"")</f>
        <v/>
      </c>
      <c r="I1109">
        <f>IF(B1109,IF(D1109=0,H1109,Rho*I1108+SQRT(1-Rho^2)*H1109),"")</f>
        <v/>
      </c>
      <c r="J1109">
        <f>IF(B1109,IF(Dist="Normal",DistA+DistB*I1109,DistA+(DistB-DistA)*NORMSDIST(I1109)),"")</f>
        <v/>
      </c>
      <c r="K1109">
        <f>IF(B1109,INDEX(MineScale,C1109),"")</f>
        <v/>
      </c>
      <c r="L1109">
        <f>IF(B1109,INDEX(Dow,1,WEEKDAY(E1109,2)),"")</f>
        <v/>
      </c>
      <c r="M1109">
        <f>IF(B1109,(1+Trend)^D1109,"")</f>
        <v/>
      </c>
      <c r="N1109">
        <f>IF(B1109,EXP(SUMPRODUCT(LN(1+(EvEff-1)*INDEX(Affected,0,C1109)*EXP(-((E1109-EvCenter)^2)/(2*EvSigma^2))))),"")</f>
        <v/>
      </c>
      <c r="O1109">
        <f>IF(B1109,ROUND(MAX(0,J1109*K1109*L1109*M1109*N1109),2),"")</f>
        <v/>
      </c>
    </row>
    <row r="1110">
      <c r="A1110" t="n">
        <v>1109</v>
      </c>
      <c r="B1110">
        <f>A1110&lt;=MineCount*Days</f>
        <v/>
      </c>
      <c r="C1110">
        <f>IF(B1110,INT((A1110-1)/Days)+1,"")</f>
        <v/>
      </c>
      <c r="D1110">
        <f>IF(B1110,MOD(A1110-1,Days),"")</f>
        <v/>
      </c>
      <c r="E1110" s="16">
        <f>IF(B1110,StartDate+D1110,"")</f>
        <v/>
      </c>
      <c r="F1110">
        <f>IF(B1110,MAX(MOD(SIN(Seed*0.1373+C1110*12.9898+D1110*78.233)*43758.5453,1),1E-9),"")</f>
        <v/>
      </c>
      <c r="G1110">
        <f>IF(B1110,MOD(SIN(Seed*0.5917+C1110*39.3468+D1110*11.135)*24634.6345,1),"")</f>
        <v/>
      </c>
      <c r="H1110">
        <f>IF(B1110,SQRT(-2*LN(F1110))*COS(2*PI()*G1110),"")</f>
        <v/>
      </c>
      <c r="I1110">
        <f>IF(B1110,IF(D1110=0,H1110,Rho*I1109+SQRT(1-Rho^2)*H1110),"")</f>
        <v/>
      </c>
      <c r="J1110">
        <f>IF(B1110,IF(Dist="Normal",DistA+DistB*I1110,DistA+(DistB-DistA)*NORMSDIST(I1110)),"")</f>
        <v/>
      </c>
      <c r="K1110">
        <f>IF(B1110,INDEX(MineScale,C1110),"")</f>
        <v/>
      </c>
      <c r="L1110">
        <f>IF(B1110,INDEX(Dow,1,WEEKDAY(E1110,2)),"")</f>
        <v/>
      </c>
      <c r="M1110">
        <f>IF(B1110,(1+Trend)^D1110,"")</f>
        <v/>
      </c>
      <c r="N1110">
        <f>IF(B1110,EXP(SUMPRODUCT(LN(1+(EvEff-1)*INDEX(Affected,0,C1110)*EXP(-((E1110-EvCenter)^2)/(2*EvSigma^2))))),"")</f>
        <v/>
      </c>
      <c r="O1110">
        <f>IF(B1110,ROUND(MAX(0,J1110*K1110*L1110*M1110*N1110),2),"")</f>
        <v/>
      </c>
    </row>
    <row r="1111">
      <c r="A1111" t="n">
        <v>1110</v>
      </c>
      <c r="B1111">
        <f>A1111&lt;=MineCount*Days</f>
        <v/>
      </c>
      <c r="C1111">
        <f>IF(B1111,INT((A1111-1)/Days)+1,"")</f>
        <v/>
      </c>
      <c r="D1111">
        <f>IF(B1111,MOD(A1111-1,Days),"")</f>
        <v/>
      </c>
      <c r="E1111" s="16">
        <f>IF(B1111,StartDate+D1111,"")</f>
        <v/>
      </c>
      <c r="F1111">
        <f>IF(B1111,MAX(MOD(SIN(Seed*0.1373+C1111*12.9898+D1111*78.233)*43758.5453,1),1E-9),"")</f>
        <v/>
      </c>
      <c r="G1111">
        <f>IF(B1111,MOD(SIN(Seed*0.5917+C1111*39.3468+D1111*11.135)*24634.6345,1),"")</f>
        <v/>
      </c>
      <c r="H1111">
        <f>IF(B1111,SQRT(-2*LN(F1111))*COS(2*PI()*G1111),"")</f>
        <v/>
      </c>
      <c r="I1111">
        <f>IF(B1111,IF(D1111=0,H1111,Rho*I1110+SQRT(1-Rho^2)*H1111),"")</f>
        <v/>
      </c>
      <c r="J1111">
        <f>IF(B1111,IF(Dist="Normal",DistA+DistB*I1111,DistA+(DistB-DistA)*NORMSDIST(I1111)),"")</f>
        <v/>
      </c>
      <c r="K1111">
        <f>IF(B1111,INDEX(MineScale,C1111),"")</f>
        <v/>
      </c>
      <c r="L1111">
        <f>IF(B1111,INDEX(Dow,1,WEEKDAY(E1111,2)),"")</f>
        <v/>
      </c>
      <c r="M1111">
        <f>IF(B1111,(1+Trend)^D1111,"")</f>
        <v/>
      </c>
      <c r="N1111">
        <f>IF(B1111,EXP(SUMPRODUCT(LN(1+(EvEff-1)*INDEX(Affected,0,C1111)*EXP(-((E1111-EvCenter)^2)/(2*EvSigma^2))))),"")</f>
        <v/>
      </c>
      <c r="O1111">
        <f>IF(B1111,ROUND(MAX(0,J1111*K1111*L1111*M1111*N1111),2),"")</f>
        <v/>
      </c>
    </row>
    <row r="1112">
      <c r="A1112" t="n">
        <v>1111</v>
      </c>
      <c r="B1112">
        <f>A1112&lt;=MineCount*Days</f>
        <v/>
      </c>
      <c r="C1112">
        <f>IF(B1112,INT((A1112-1)/Days)+1,"")</f>
        <v/>
      </c>
      <c r="D1112">
        <f>IF(B1112,MOD(A1112-1,Days),"")</f>
        <v/>
      </c>
      <c r="E1112" s="16">
        <f>IF(B1112,StartDate+D1112,"")</f>
        <v/>
      </c>
      <c r="F1112">
        <f>IF(B1112,MAX(MOD(SIN(Seed*0.1373+C1112*12.9898+D1112*78.233)*43758.5453,1),1E-9),"")</f>
        <v/>
      </c>
      <c r="G1112">
        <f>IF(B1112,MOD(SIN(Seed*0.5917+C1112*39.3468+D1112*11.135)*24634.6345,1),"")</f>
        <v/>
      </c>
      <c r="H1112">
        <f>IF(B1112,SQRT(-2*LN(F1112))*COS(2*PI()*G1112),"")</f>
        <v/>
      </c>
      <c r="I1112">
        <f>IF(B1112,IF(D1112=0,H1112,Rho*I1111+SQRT(1-Rho^2)*H1112),"")</f>
        <v/>
      </c>
      <c r="J1112">
        <f>IF(B1112,IF(Dist="Normal",DistA+DistB*I1112,DistA+(DistB-DistA)*NORMSDIST(I1112)),"")</f>
        <v/>
      </c>
      <c r="K1112">
        <f>IF(B1112,INDEX(MineScale,C1112),"")</f>
        <v/>
      </c>
      <c r="L1112">
        <f>IF(B1112,INDEX(Dow,1,WEEKDAY(E1112,2)),"")</f>
        <v/>
      </c>
      <c r="M1112">
        <f>IF(B1112,(1+Trend)^D1112,"")</f>
        <v/>
      </c>
      <c r="N1112">
        <f>IF(B1112,EXP(SUMPRODUCT(LN(1+(EvEff-1)*INDEX(Affected,0,C1112)*EXP(-((E1112-EvCenter)^2)/(2*EvSigma^2))))),"")</f>
        <v/>
      </c>
      <c r="O1112">
        <f>IF(B1112,ROUND(MAX(0,J1112*K1112*L1112*M1112*N1112),2),"")</f>
        <v/>
      </c>
    </row>
    <row r="1113">
      <c r="A1113" t="n">
        <v>1112</v>
      </c>
      <c r="B1113">
        <f>A1113&lt;=MineCount*Days</f>
        <v/>
      </c>
      <c r="C1113">
        <f>IF(B1113,INT((A1113-1)/Days)+1,"")</f>
        <v/>
      </c>
      <c r="D1113">
        <f>IF(B1113,MOD(A1113-1,Days),"")</f>
        <v/>
      </c>
      <c r="E1113" s="16">
        <f>IF(B1113,StartDate+D1113,"")</f>
        <v/>
      </c>
      <c r="F1113">
        <f>IF(B1113,MAX(MOD(SIN(Seed*0.1373+C1113*12.9898+D1113*78.233)*43758.5453,1),1E-9),"")</f>
        <v/>
      </c>
      <c r="G1113">
        <f>IF(B1113,MOD(SIN(Seed*0.5917+C1113*39.3468+D1113*11.135)*24634.6345,1),"")</f>
        <v/>
      </c>
      <c r="H1113">
        <f>IF(B1113,SQRT(-2*LN(F1113))*COS(2*PI()*G1113),"")</f>
        <v/>
      </c>
      <c r="I1113">
        <f>IF(B1113,IF(D1113=0,H1113,Rho*I1112+SQRT(1-Rho^2)*H1113),"")</f>
        <v/>
      </c>
      <c r="J1113">
        <f>IF(B1113,IF(Dist="Normal",DistA+DistB*I1113,DistA+(DistB-DistA)*NORMSDIST(I1113)),"")</f>
        <v/>
      </c>
      <c r="K1113">
        <f>IF(B1113,INDEX(MineScale,C1113),"")</f>
        <v/>
      </c>
      <c r="L1113">
        <f>IF(B1113,INDEX(Dow,1,WEEKDAY(E1113,2)),"")</f>
        <v/>
      </c>
      <c r="M1113">
        <f>IF(B1113,(1+Trend)^D1113,"")</f>
        <v/>
      </c>
      <c r="N1113">
        <f>IF(B1113,EXP(SUMPRODUCT(LN(1+(EvEff-1)*INDEX(Affected,0,C1113)*EXP(-((E1113-EvCenter)^2)/(2*EvSigma^2))))),"")</f>
        <v/>
      </c>
      <c r="O1113">
        <f>IF(B1113,ROUND(MAX(0,J1113*K1113*L1113*M1113*N1113),2),"")</f>
        <v/>
      </c>
    </row>
    <row r="1114">
      <c r="A1114" t="n">
        <v>1113</v>
      </c>
      <c r="B1114">
        <f>A1114&lt;=MineCount*Days</f>
        <v/>
      </c>
      <c r="C1114">
        <f>IF(B1114,INT((A1114-1)/Days)+1,"")</f>
        <v/>
      </c>
      <c r="D1114">
        <f>IF(B1114,MOD(A1114-1,Days),"")</f>
        <v/>
      </c>
      <c r="E1114" s="16">
        <f>IF(B1114,StartDate+D1114,"")</f>
        <v/>
      </c>
      <c r="F1114">
        <f>IF(B1114,MAX(MOD(SIN(Seed*0.1373+C1114*12.9898+D1114*78.233)*43758.5453,1),1E-9),"")</f>
        <v/>
      </c>
      <c r="G1114">
        <f>IF(B1114,MOD(SIN(Seed*0.5917+C1114*39.3468+D1114*11.135)*24634.6345,1),"")</f>
        <v/>
      </c>
      <c r="H1114">
        <f>IF(B1114,SQRT(-2*LN(F1114))*COS(2*PI()*G1114),"")</f>
        <v/>
      </c>
      <c r="I1114">
        <f>IF(B1114,IF(D1114=0,H1114,Rho*I1113+SQRT(1-Rho^2)*H1114),"")</f>
        <v/>
      </c>
      <c r="J1114">
        <f>IF(B1114,IF(Dist="Normal",DistA+DistB*I1114,DistA+(DistB-DistA)*NORMSDIST(I1114)),"")</f>
        <v/>
      </c>
      <c r="K1114">
        <f>IF(B1114,INDEX(MineScale,C1114),"")</f>
        <v/>
      </c>
      <c r="L1114">
        <f>IF(B1114,INDEX(Dow,1,WEEKDAY(E1114,2)),"")</f>
        <v/>
      </c>
      <c r="M1114">
        <f>IF(B1114,(1+Trend)^D1114,"")</f>
        <v/>
      </c>
      <c r="N1114">
        <f>IF(B1114,EXP(SUMPRODUCT(LN(1+(EvEff-1)*INDEX(Affected,0,C1114)*EXP(-((E1114-EvCenter)^2)/(2*EvSigma^2))))),"")</f>
        <v/>
      </c>
      <c r="O1114">
        <f>IF(B1114,ROUND(MAX(0,J1114*K1114*L1114*M1114*N1114),2),"")</f>
        <v/>
      </c>
    </row>
    <row r="1115">
      <c r="A1115" t="n">
        <v>1114</v>
      </c>
      <c r="B1115">
        <f>A1115&lt;=MineCount*Days</f>
        <v/>
      </c>
      <c r="C1115">
        <f>IF(B1115,INT((A1115-1)/Days)+1,"")</f>
        <v/>
      </c>
      <c r="D1115">
        <f>IF(B1115,MOD(A1115-1,Days),"")</f>
        <v/>
      </c>
      <c r="E1115" s="16">
        <f>IF(B1115,StartDate+D1115,"")</f>
        <v/>
      </c>
      <c r="F1115">
        <f>IF(B1115,MAX(MOD(SIN(Seed*0.1373+C1115*12.9898+D1115*78.233)*43758.5453,1),1E-9),"")</f>
        <v/>
      </c>
      <c r="G1115">
        <f>IF(B1115,MOD(SIN(Seed*0.5917+C1115*39.3468+D1115*11.135)*24634.6345,1),"")</f>
        <v/>
      </c>
      <c r="H1115">
        <f>IF(B1115,SQRT(-2*LN(F1115))*COS(2*PI()*G1115),"")</f>
        <v/>
      </c>
      <c r="I1115">
        <f>IF(B1115,IF(D1115=0,H1115,Rho*I1114+SQRT(1-Rho^2)*H1115),"")</f>
        <v/>
      </c>
      <c r="J1115">
        <f>IF(B1115,IF(Dist="Normal",DistA+DistB*I1115,DistA+(DistB-DistA)*NORMSDIST(I1115)),"")</f>
        <v/>
      </c>
      <c r="K1115">
        <f>IF(B1115,INDEX(MineScale,C1115),"")</f>
        <v/>
      </c>
      <c r="L1115">
        <f>IF(B1115,INDEX(Dow,1,WEEKDAY(E1115,2)),"")</f>
        <v/>
      </c>
      <c r="M1115">
        <f>IF(B1115,(1+Trend)^D1115,"")</f>
        <v/>
      </c>
      <c r="N1115">
        <f>IF(B1115,EXP(SUMPRODUCT(LN(1+(EvEff-1)*INDEX(Affected,0,C1115)*EXP(-((E1115-EvCenter)^2)/(2*EvSigma^2))))),"")</f>
        <v/>
      </c>
      <c r="O1115">
        <f>IF(B1115,ROUND(MAX(0,J1115*K1115*L1115*M1115*N1115),2),"")</f>
        <v/>
      </c>
    </row>
    <row r="1116">
      <c r="A1116" t="n">
        <v>1115</v>
      </c>
      <c r="B1116">
        <f>A1116&lt;=MineCount*Days</f>
        <v/>
      </c>
      <c r="C1116">
        <f>IF(B1116,INT((A1116-1)/Days)+1,"")</f>
        <v/>
      </c>
      <c r="D1116">
        <f>IF(B1116,MOD(A1116-1,Days),"")</f>
        <v/>
      </c>
      <c r="E1116" s="16">
        <f>IF(B1116,StartDate+D1116,"")</f>
        <v/>
      </c>
      <c r="F1116">
        <f>IF(B1116,MAX(MOD(SIN(Seed*0.1373+C1116*12.9898+D1116*78.233)*43758.5453,1),1E-9),"")</f>
        <v/>
      </c>
      <c r="G1116">
        <f>IF(B1116,MOD(SIN(Seed*0.5917+C1116*39.3468+D1116*11.135)*24634.6345,1),"")</f>
        <v/>
      </c>
      <c r="H1116">
        <f>IF(B1116,SQRT(-2*LN(F1116))*COS(2*PI()*G1116),"")</f>
        <v/>
      </c>
      <c r="I1116">
        <f>IF(B1116,IF(D1116=0,H1116,Rho*I1115+SQRT(1-Rho^2)*H1116),"")</f>
        <v/>
      </c>
      <c r="J1116">
        <f>IF(B1116,IF(Dist="Normal",DistA+DistB*I1116,DistA+(DistB-DistA)*NORMSDIST(I1116)),"")</f>
        <v/>
      </c>
      <c r="K1116">
        <f>IF(B1116,INDEX(MineScale,C1116),"")</f>
        <v/>
      </c>
      <c r="L1116">
        <f>IF(B1116,INDEX(Dow,1,WEEKDAY(E1116,2)),"")</f>
        <v/>
      </c>
      <c r="M1116">
        <f>IF(B1116,(1+Trend)^D1116,"")</f>
        <v/>
      </c>
      <c r="N1116">
        <f>IF(B1116,EXP(SUMPRODUCT(LN(1+(EvEff-1)*INDEX(Affected,0,C1116)*EXP(-((E1116-EvCenter)^2)/(2*EvSigma^2))))),"")</f>
        <v/>
      </c>
      <c r="O1116">
        <f>IF(B1116,ROUND(MAX(0,J1116*K1116*L1116*M1116*N1116),2),"")</f>
        <v/>
      </c>
    </row>
    <row r="1117">
      <c r="A1117" t="n">
        <v>1116</v>
      </c>
      <c r="B1117">
        <f>A1117&lt;=MineCount*Days</f>
        <v/>
      </c>
      <c r="C1117">
        <f>IF(B1117,INT((A1117-1)/Days)+1,"")</f>
        <v/>
      </c>
      <c r="D1117">
        <f>IF(B1117,MOD(A1117-1,Days),"")</f>
        <v/>
      </c>
      <c r="E1117" s="16">
        <f>IF(B1117,StartDate+D1117,"")</f>
        <v/>
      </c>
      <c r="F1117">
        <f>IF(B1117,MAX(MOD(SIN(Seed*0.1373+C1117*12.9898+D1117*78.233)*43758.5453,1),1E-9),"")</f>
        <v/>
      </c>
      <c r="G1117">
        <f>IF(B1117,MOD(SIN(Seed*0.5917+C1117*39.3468+D1117*11.135)*24634.6345,1),"")</f>
        <v/>
      </c>
      <c r="H1117">
        <f>IF(B1117,SQRT(-2*LN(F1117))*COS(2*PI()*G1117),"")</f>
        <v/>
      </c>
      <c r="I1117">
        <f>IF(B1117,IF(D1117=0,H1117,Rho*I1116+SQRT(1-Rho^2)*H1117),"")</f>
        <v/>
      </c>
      <c r="J1117">
        <f>IF(B1117,IF(Dist="Normal",DistA+DistB*I1117,DistA+(DistB-DistA)*NORMSDIST(I1117)),"")</f>
        <v/>
      </c>
      <c r="K1117">
        <f>IF(B1117,INDEX(MineScale,C1117),"")</f>
        <v/>
      </c>
      <c r="L1117">
        <f>IF(B1117,INDEX(Dow,1,WEEKDAY(E1117,2)),"")</f>
        <v/>
      </c>
      <c r="M1117">
        <f>IF(B1117,(1+Trend)^D1117,"")</f>
        <v/>
      </c>
      <c r="N1117">
        <f>IF(B1117,EXP(SUMPRODUCT(LN(1+(EvEff-1)*INDEX(Affected,0,C1117)*EXP(-((E1117-EvCenter)^2)/(2*EvSigma^2))))),"")</f>
        <v/>
      </c>
      <c r="O1117">
        <f>IF(B1117,ROUND(MAX(0,J1117*K1117*L1117*M1117*N1117),2),"")</f>
        <v/>
      </c>
    </row>
    <row r="1118">
      <c r="A1118" t="n">
        <v>1117</v>
      </c>
      <c r="B1118">
        <f>A1118&lt;=MineCount*Days</f>
        <v/>
      </c>
      <c r="C1118">
        <f>IF(B1118,INT((A1118-1)/Days)+1,"")</f>
        <v/>
      </c>
      <c r="D1118">
        <f>IF(B1118,MOD(A1118-1,Days),"")</f>
        <v/>
      </c>
      <c r="E1118" s="16">
        <f>IF(B1118,StartDate+D1118,"")</f>
        <v/>
      </c>
      <c r="F1118">
        <f>IF(B1118,MAX(MOD(SIN(Seed*0.1373+C1118*12.9898+D1118*78.233)*43758.5453,1),1E-9),"")</f>
        <v/>
      </c>
      <c r="G1118">
        <f>IF(B1118,MOD(SIN(Seed*0.5917+C1118*39.3468+D1118*11.135)*24634.6345,1),"")</f>
        <v/>
      </c>
      <c r="H1118">
        <f>IF(B1118,SQRT(-2*LN(F1118))*COS(2*PI()*G1118),"")</f>
        <v/>
      </c>
      <c r="I1118">
        <f>IF(B1118,IF(D1118=0,H1118,Rho*I1117+SQRT(1-Rho^2)*H1118),"")</f>
        <v/>
      </c>
      <c r="J1118">
        <f>IF(B1118,IF(Dist="Normal",DistA+DistB*I1118,DistA+(DistB-DistA)*NORMSDIST(I1118)),"")</f>
        <v/>
      </c>
      <c r="K1118">
        <f>IF(B1118,INDEX(MineScale,C1118),"")</f>
        <v/>
      </c>
      <c r="L1118">
        <f>IF(B1118,INDEX(Dow,1,WEEKDAY(E1118,2)),"")</f>
        <v/>
      </c>
      <c r="M1118">
        <f>IF(B1118,(1+Trend)^D1118,"")</f>
        <v/>
      </c>
      <c r="N1118">
        <f>IF(B1118,EXP(SUMPRODUCT(LN(1+(EvEff-1)*INDEX(Affected,0,C1118)*EXP(-((E1118-EvCenter)^2)/(2*EvSigma^2))))),"")</f>
        <v/>
      </c>
      <c r="O1118">
        <f>IF(B1118,ROUND(MAX(0,J1118*K1118*L1118*M1118*N1118),2),"")</f>
        <v/>
      </c>
    </row>
    <row r="1119">
      <c r="A1119" t="n">
        <v>1118</v>
      </c>
      <c r="B1119">
        <f>A1119&lt;=MineCount*Days</f>
        <v/>
      </c>
      <c r="C1119">
        <f>IF(B1119,INT((A1119-1)/Days)+1,"")</f>
        <v/>
      </c>
      <c r="D1119">
        <f>IF(B1119,MOD(A1119-1,Days),"")</f>
        <v/>
      </c>
      <c r="E1119" s="16">
        <f>IF(B1119,StartDate+D1119,"")</f>
        <v/>
      </c>
      <c r="F1119">
        <f>IF(B1119,MAX(MOD(SIN(Seed*0.1373+C1119*12.9898+D1119*78.233)*43758.5453,1),1E-9),"")</f>
        <v/>
      </c>
      <c r="G1119">
        <f>IF(B1119,MOD(SIN(Seed*0.5917+C1119*39.3468+D1119*11.135)*24634.6345,1),"")</f>
        <v/>
      </c>
      <c r="H1119">
        <f>IF(B1119,SQRT(-2*LN(F1119))*COS(2*PI()*G1119),"")</f>
        <v/>
      </c>
      <c r="I1119">
        <f>IF(B1119,IF(D1119=0,H1119,Rho*I1118+SQRT(1-Rho^2)*H1119),"")</f>
        <v/>
      </c>
      <c r="J1119">
        <f>IF(B1119,IF(Dist="Normal",DistA+DistB*I1119,DistA+(DistB-DistA)*NORMSDIST(I1119)),"")</f>
        <v/>
      </c>
      <c r="K1119">
        <f>IF(B1119,INDEX(MineScale,C1119),"")</f>
        <v/>
      </c>
      <c r="L1119">
        <f>IF(B1119,INDEX(Dow,1,WEEKDAY(E1119,2)),"")</f>
        <v/>
      </c>
      <c r="M1119">
        <f>IF(B1119,(1+Trend)^D1119,"")</f>
        <v/>
      </c>
      <c r="N1119">
        <f>IF(B1119,EXP(SUMPRODUCT(LN(1+(EvEff-1)*INDEX(Affected,0,C1119)*EXP(-((E1119-EvCenter)^2)/(2*EvSigma^2))))),"")</f>
        <v/>
      </c>
      <c r="O1119">
        <f>IF(B1119,ROUND(MAX(0,J1119*K1119*L1119*M1119*N1119),2),"")</f>
        <v/>
      </c>
    </row>
    <row r="1120">
      <c r="A1120" t="n">
        <v>1119</v>
      </c>
      <c r="B1120">
        <f>A1120&lt;=MineCount*Days</f>
        <v/>
      </c>
      <c r="C1120">
        <f>IF(B1120,INT((A1120-1)/Days)+1,"")</f>
        <v/>
      </c>
      <c r="D1120">
        <f>IF(B1120,MOD(A1120-1,Days),"")</f>
        <v/>
      </c>
      <c r="E1120" s="16">
        <f>IF(B1120,StartDate+D1120,"")</f>
        <v/>
      </c>
      <c r="F1120">
        <f>IF(B1120,MAX(MOD(SIN(Seed*0.1373+C1120*12.9898+D1120*78.233)*43758.5453,1),1E-9),"")</f>
        <v/>
      </c>
      <c r="G1120">
        <f>IF(B1120,MOD(SIN(Seed*0.5917+C1120*39.3468+D1120*11.135)*24634.6345,1),"")</f>
        <v/>
      </c>
      <c r="H1120">
        <f>IF(B1120,SQRT(-2*LN(F1120))*COS(2*PI()*G1120),"")</f>
        <v/>
      </c>
      <c r="I1120">
        <f>IF(B1120,IF(D1120=0,H1120,Rho*I1119+SQRT(1-Rho^2)*H1120),"")</f>
        <v/>
      </c>
      <c r="J1120">
        <f>IF(B1120,IF(Dist="Normal",DistA+DistB*I1120,DistA+(DistB-DistA)*NORMSDIST(I1120)),"")</f>
        <v/>
      </c>
      <c r="K1120">
        <f>IF(B1120,INDEX(MineScale,C1120),"")</f>
        <v/>
      </c>
      <c r="L1120">
        <f>IF(B1120,INDEX(Dow,1,WEEKDAY(E1120,2)),"")</f>
        <v/>
      </c>
      <c r="M1120">
        <f>IF(B1120,(1+Trend)^D1120,"")</f>
        <v/>
      </c>
      <c r="N1120">
        <f>IF(B1120,EXP(SUMPRODUCT(LN(1+(EvEff-1)*INDEX(Affected,0,C1120)*EXP(-((E1120-EvCenter)^2)/(2*EvSigma^2))))),"")</f>
        <v/>
      </c>
      <c r="O1120">
        <f>IF(B1120,ROUND(MAX(0,J1120*K1120*L1120*M1120*N1120),2),"")</f>
        <v/>
      </c>
    </row>
    <row r="1121">
      <c r="A1121" t="n">
        <v>1120</v>
      </c>
      <c r="B1121">
        <f>A1121&lt;=MineCount*Days</f>
        <v/>
      </c>
      <c r="C1121">
        <f>IF(B1121,INT((A1121-1)/Days)+1,"")</f>
        <v/>
      </c>
      <c r="D1121">
        <f>IF(B1121,MOD(A1121-1,Days),"")</f>
        <v/>
      </c>
      <c r="E1121" s="16">
        <f>IF(B1121,StartDate+D1121,"")</f>
        <v/>
      </c>
      <c r="F1121">
        <f>IF(B1121,MAX(MOD(SIN(Seed*0.1373+C1121*12.9898+D1121*78.233)*43758.5453,1),1E-9),"")</f>
        <v/>
      </c>
      <c r="G1121">
        <f>IF(B1121,MOD(SIN(Seed*0.5917+C1121*39.3468+D1121*11.135)*24634.6345,1),"")</f>
        <v/>
      </c>
      <c r="H1121">
        <f>IF(B1121,SQRT(-2*LN(F1121))*COS(2*PI()*G1121),"")</f>
        <v/>
      </c>
      <c r="I1121">
        <f>IF(B1121,IF(D1121=0,H1121,Rho*I1120+SQRT(1-Rho^2)*H1121),"")</f>
        <v/>
      </c>
      <c r="J1121">
        <f>IF(B1121,IF(Dist="Normal",DistA+DistB*I1121,DistA+(DistB-DistA)*NORMSDIST(I1121)),"")</f>
        <v/>
      </c>
      <c r="K1121">
        <f>IF(B1121,INDEX(MineScale,C1121),"")</f>
        <v/>
      </c>
      <c r="L1121">
        <f>IF(B1121,INDEX(Dow,1,WEEKDAY(E1121,2)),"")</f>
        <v/>
      </c>
      <c r="M1121">
        <f>IF(B1121,(1+Trend)^D1121,"")</f>
        <v/>
      </c>
      <c r="N1121">
        <f>IF(B1121,EXP(SUMPRODUCT(LN(1+(EvEff-1)*INDEX(Affected,0,C1121)*EXP(-((E1121-EvCenter)^2)/(2*EvSigma^2))))),"")</f>
        <v/>
      </c>
      <c r="O1121">
        <f>IF(B1121,ROUND(MAX(0,J1121*K1121*L1121*M1121*N1121),2),"")</f>
        <v/>
      </c>
    </row>
    <row r="1122">
      <c r="A1122" t="n">
        <v>1121</v>
      </c>
      <c r="B1122">
        <f>A1122&lt;=MineCount*Days</f>
        <v/>
      </c>
      <c r="C1122">
        <f>IF(B1122,INT((A1122-1)/Days)+1,"")</f>
        <v/>
      </c>
      <c r="D1122">
        <f>IF(B1122,MOD(A1122-1,Days),"")</f>
        <v/>
      </c>
      <c r="E1122" s="16">
        <f>IF(B1122,StartDate+D1122,"")</f>
        <v/>
      </c>
      <c r="F1122">
        <f>IF(B1122,MAX(MOD(SIN(Seed*0.1373+C1122*12.9898+D1122*78.233)*43758.5453,1),1E-9),"")</f>
        <v/>
      </c>
      <c r="G1122">
        <f>IF(B1122,MOD(SIN(Seed*0.5917+C1122*39.3468+D1122*11.135)*24634.6345,1),"")</f>
        <v/>
      </c>
      <c r="H1122">
        <f>IF(B1122,SQRT(-2*LN(F1122))*COS(2*PI()*G1122),"")</f>
        <v/>
      </c>
      <c r="I1122">
        <f>IF(B1122,IF(D1122=0,H1122,Rho*I1121+SQRT(1-Rho^2)*H1122),"")</f>
        <v/>
      </c>
      <c r="J1122">
        <f>IF(B1122,IF(Dist="Normal",DistA+DistB*I1122,DistA+(DistB-DistA)*NORMSDIST(I1122)),"")</f>
        <v/>
      </c>
      <c r="K1122">
        <f>IF(B1122,INDEX(MineScale,C1122),"")</f>
        <v/>
      </c>
      <c r="L1122">
        <f>IF(B1122,INDEX(Dow,1,WEEKDAY(E1122,2)),"")</f>
        <v/>
      </c>
      <c r="M1122">
        <f>IF(B1122,(1+Trend)^D1122,"")</f>
        <v/>
      </c>
      <c r="N1122">
        <f>IF(B1122,EXP(SUMPRODUCT(LN(1+(EvEff-1)*INDEX(Affected,0,C1122)*EXP(-((E1122-EvCenter)^2)/(2*EvSigma^2))))),"")</f>
        <v/>
      </c>
      <c r="O1122">
        <f>IF(B1122,ROUND(MAX(0,J1122*K1122*L1122*M1122*N1122),2),"")</f>
        <v/>
      </c>
    </row>
    <row r="1123">
      <c r="A1123" t="n">
        <v>1122</v>
      </c>
      <c r="B1123">
        <f>A1123&lt;=MineCount*Days</f>
        <v/>
      </c>
      <c r="C1123">
        <f>IF(B1123,INT((A1123-1)/Days)+1,"")</f>
        <v/>
      </c>
      <c r="D1123">
        <f>IF(B1123,MOD(A1123-1,Days),"")</f>
        <v/>
      </c>
      <c r="E1123" s="16">
        <f>IF(B1123,StartDate+D1123,"")</f>
        <v/>
      </c>
      <c r="F1123">
        <f>IF(B1123,MAX(MOD(SIN(Seed*0.1373+C1123*12.9898+D1123*78.233)*43758.5453,1),1E-9),"")</f>
        <v/>
      </c>
      <c r="G1123">
        <f>IF(B1123,MOD(SIN(Seed*0.5917+C1123*39.3468+D1123*11.135)*24634.6345,1),"")</f>
        <v/>
      </c>
      <c r="H1123">
        <f>IF(B1123,SQRT(-2*LN(F1123))*COS(2*PI()*G1123),"")</f>
        <v/>
      </c>
      <c r="I1123">
        <f>IF(B1123,IF(D1123=0,H1123,Rho*I1122+SQRT(1-Rho^2)*H1123),"")</f>
        <v/>
      </c>
      <c r="J1123">
        <f>IF(B1123,IF(Dist="Normal",DistA+DistB*I1123,DistA+(DistB-DistA)*NORMSDIST(I1123)),"")</f>
        <v/>
      </c>
      <c r="K1123">
        <f>IF(B1123,INDEX(MineScale,C1123),"")</f>
        <v/>
      </c>
      <c r="L1123">
        <f>IF(B1123,INDEX(Dow,1,WEEKDAY(E1123,2)),"")</f>
        <v/>
      </c>
      <c r="M1123">
        <f>IF(B1123,(1+Trend)^D1123,"")</f>
        <v/>
      </c>
      <c r="N1123">
        <f>IF(B1123,EXP(SUMPRODUCT(LN(1+(EvEff-1)*INDEX(Affected,0,C1123)*EXP(-((E1123-EvCenter)^2)/(2*EvSigma^2))))),"")</f>
        <v/>
      </c>
      <c r="O1123">
        <f>IF(B1123,ROUND(MAX(0,J1123*K1123*L1123*M1123*N1123),2),"")</f>
        <v/>
      </c>
    </row>
    <row r="1124">
      <c r="A1124" t="n">
        <v>1123</v>
      </c>
      <c r="B1124">
        <f>A1124&lt;=MineCount*Days</f>
        <v/>
      </c>
      <c r="C1124">
        <f>IF(B1124,INT((A1124-1)/Days)+1,"")</f>
        <v/>
      </c>
      <c r="D1124">
        <f>IF(B1124,MOD(A1124-1,Days),"")</f>
        <v/>
      </c>
      <c r="E1124" s="16">
        <f>IF(B1124,StartDate+D1124,"")</f>
        <v/>
      </c>
      <c r="F1124">
        <f>IF(B1124,MAX(MOD(SIN(Seed*0.1373+C1124*12.9898+D1124*78.233)*43758.5453,1),1E-9),"")</f>
        <v/>
      </c>
      <c r="G1124">
        <f>IF(B1124,MOD(SIN(Seed*0.5917+C1124*39.3468+D1124*11.135)*24634.6345,1),"")</f>
        <v/>
      </c>
      <c r="H1124">
        <f>IF(B1124,SQRT(-2*LN(F1124))*COS(2*PI()*G1124),"")</f>
        <v/>
      </c>
      <c r="I1124">
        <f>IF(B1124,IF(D1124=0,H1124,Rho*I1123+SQRT(1-Rho^2)*H1124),"")</f>
        <v/>
      </c>
      <c r="J1124">
        <f>IF(B1124,IF(Dist="Normal",DistA+DistB*I1124,DistA+(DistB-DistA)*NORMSDIST(I1124)),"")</f>
        <v/>
      </c>
      <c r="K1124">
        <f>IF(B1124,INDEX(MineScale,C1124),"")</f>
        <v/>
      </c>
      <c r="L1124">
        <f>IF(B1124,INDEX(Dow,1,WEEKDAY(E1124,2)),"")</f>
        <v/>
      </c>
      <c r="M1124">
        <f>IF(B1124,(1+Trend)^D1124,"")</f>
        <v/>
      </c>
      <c r="N1124">
        <f>IF(B1124,EXP(SUMPRODUCT(LN(1+(EvEff-1)*INDEX(Affected,0,C1124)*EXP(-((E1124-EvCenter)^2)/(2*EvSigma^2))))),"")</f>
        <v/>
      </c>
      <c r="O1124">
        <f>IF(B1124,ROUND(MAX(0,J1124*K1124*L1124*M1124*N1124),2),"")</f>
        <v/>
      </c>
    </row>
    <row r="1125">
      <c r="A1125" t="n">
        <v>1124</v>
      </c>
      <c r="B1125">
        <f>A1125&lt;=MineCount*Days</f>
        <v/>
      </c>
      <c r="C1125">
        <f>IF(B1125,INT((A1125-1)/Days)+1,"")</f>
        <v/>
      </c>
      <c r="D1125">
        <f>IF(B1125,MOD(A1125-1,Days),"")</f>
        <v/>
      </c>
      <c r="E1125" s="16">
        <f>IF(B1125,StartDate+D1125,"")</f>
        <v/>
      </c>
      <c r="F1125">
        <f>IF(B1125,MAX(MOD(SIN(Seed*0.1373+C1125*12.9898+D1125*78.233)*43758.5453,1),1E-9),"")</f>
        <v/>
      </c>
      <c r="G1125">
        <f>IF(B1125,MOD(SIN(Seed*0.5917+C1125*39.3468+D1125*11.135)*24634.6345,1),"")</f>
        <v/>
      </c>
      <c r="H1125">
        <f>IF(B1125,SQRT(-2*LN(F1125))*COS(2*PI()*G1125),"")</f>
        <v/>
      </c>
      <c r="I1125">
        <f>IF(B1125,IF(D1125=0,H1125,Rho*I1124+SQRT(1-Rho^2)*H1125),"")</f>
        <v/>
      </c>
      <c r="J1125">
        <f>IF(B1125,IF(Dist="Normal",DistA+DistB*I1125,DistA+(DistB-DistA)*NORMSDIST(I1125)),"")</f>
        <v/>
      </c>
      <c r="K1125">
        <f>IF(B1125,INDEX(MineScale,C1125),"")</f>
        <v/>
      </c>
      <c r="L1125">
        <f>IF(B1125,INDEX(Dow,1,WEEKDAY(E1125,2)),"")</f>
        <v/>
      </c>
      <c r="M1125">
        <f>IF(B1125,(1+Trend)^D1125,"")</f>
        <v/>
      </c>
      <c r="N1125">
        <f>IF(B1125,EXP(SUMPRODUCT(LN(1+(EvEff-1)*INDEX(Affected,0,C1125)*EXP(-((E1125-EvCenter)^2)/(2*EvSigma^2))))),"")</f>
        <v/>
      </c>
      <c r="O1125">
        <f>IF(B1125,ROUND(MAX(0,J1125*K1125*L1125*M1125*N1125),2),"")</f>
        <v/>
      </c>
    </row>
    <row r="1126">
      <c r="A1126" t="n">
        <v>1125</v>
      </c>
      <c r="B1126">
        <f>A1126&lt;=MineCount*Days</f>
        <v/>
      </c>
      <c r="C1126">
        <f>IF(B1126,INT((A1126-1)/Days)+1,"")</f>
        <v/>
      </c>
      <c r="D1126">
        <f>IF(B1126,MOD(A1126-1,Days),"")</f>
        <v/>
      </c>
      <c r="E1126" s="16">
        <f>IF(B1126,StartDate+D1126,"")</f>
        <v/>
      </c>
      <c r="F1126">
        <f>IF(B1126,MAX(MOD(SIN(Seed*0.1373+C1126*12.9898+D1126*78.233)*43758.5453,1),1E-9),"")</f>
        <v/>
      </c>
      <c r="G1126">
        <f>IF(B1126,MOD(SIN(Seed*0.5917+C1126*39.3468+D1126*11.135)*24634.6345,1),"")</f>
        <v/>
      </c>
      <c r="H1126">
        <f>IF(B1126,SQRT(-2*LN(F1126))*COS(2*PI()*G1126),"")</f>
        <v/>
      </c>
      <c r="I1126">
        <f>IF(B1126,IF(D1126=0,H1126,Rho*I1125+SQRT(1-Rho^2)*H1126),"")</f>
        <v/>
      </c>
      <c r="J1126">
        <f>IF(B1126,IF(Dist="Normal",DistA+DistB*I1126,DistA+(DistB-DistA)*NORMSDIST(I1126)),"")</f>
        <v/>
      </c>
      <c r="K1126">
        <f>IF(B1126,INDEX(MineScale,C1126),"")</f>
        <v/>
      </c>
      <c r="L1126">
        <f>IF(B1126,INDEX(Dow,1,WEEKDAY(E1126,2)),"")</f>
        <v/>
      </c>
      <c r="M1126">
        <f>IF(B1126,(1+Trend)^D1126,"")</f>
        <v/>
      </c>
      <c r="N1126">
        <f>IF(B1126,EXP(SUMPRODUCT(LN(1+(EvEff-1)*INDEX(Affected,0,C1126)*EXP(-((E1126-EvCenter)^2)/(2*EvSigma^2))))),"")</f>
        <v/>
      </c>
      <c r="O1126">
        <f>IF(B1126,ROUND(MAX(0,J1126*K1126*L1126*M1126*N1126),2),"")</f>
        <v/>
      </c>
    </row>
    <row r="1127">
      <c r="A1127" t="n">
        <v>1126</v>
      </c>
      <c r="B1127">
        <f>A1127&lt;=MineCount*Days</f>
        <v/>
      </c>
      <c r="C1127">
        <f>IF(B1127,INT((A1127-1)/Days)+1,"")</f>
        <v/>
      </c>
      <c r="D1127">
        <f>IF(B1127,MOD(A1127-1,Days),"")</f>
        <v/>
      </c>
      <c r="E1127" s="16">
        <f>IF(B1127,StartDate+D1127,"")</f>
        <v/>
      </c>
      <c r="F1127">
        <f>IF(B1127,MAX(MOD(SIN(Seed*0.1373+C1127*12.9898+D1127*78.233)*43758.5453,1),1E-9),"")</f>
        <v/>
      </c>
      <c r="G1127">
        <f>IF(B1127,MOD(SIN(Seed*0.5917+C1127*39.3468+D1127*11.135)*24634.6345,1),"")</f>
        <v/>
      </c>
      <c r="H1127">
        <f>IF(B1127,SQRT(-2*LN(F1127))*COS(2*PI()*G1127),"")</f>
        <v/>
      </c>
      <c r="I1127">
        <f>IF(B1127,IF(D1127=0,H1127,Rho*I1126+SQRT(1-Rho^2)*H1127),"")</f>
        <v/>
      </c>
      <c r="J1127">
        <f>IF(B1127,IF(Dist="Normal",DistA+DistB*I1127,DistA+(DistB-DistA)*NORMSDIST(I1127)),"")</f>
        <v/>
      </c>
      <c r="K1127">
        <f>IF(B1127,INDEX(MineScale,C1127),"")</f>
        <v/>
      </c>
      <c r="L1127">
        <f>IF(B1127,INDEX(Dow,1,WEEKDAY(E1127,2)),"")</f>
        <v/>
      </c>
      <c r="M1127">
        <f>IF(B1127,(1+Trend)^D1127,"")</f>
        <v/>
      </c>
      <c r="N1127">
        <f>IF(B1127,EXP(SUMPRODUCT(LN(1+(EvEff-1)*INDEX(Affected,0,C1127)*EXP(-((E1127-EvCenter)^2)/(2*EvSigma^2))))),"")</f>
        <v/>
      </c>
      <c r="O1127">
        <f>IF(B1127,ROUND(MAX(0,J1127*K1127*L1127*M1127*N1127),2),"")</f>
        <v/>
      </c>
    </row>
    <row r="1128">
      <c r="A1128" t="n">
        <v>1127</v>
      </c>
      <c r="B1128">
        <f>A1128&lt;=MineCount*Days</f>
        <v/>
      </c>
      <c r="C1128">
        <f>IF(B1128,INT((A1128-1)/Days)+1,"")</f>
        <v/>
      </c>
      <c r="D1128">
        <f>IF(B1128,MOD(A1128-1,Days),"")</f>
        <v/>
      </c>
      <c r="E1128" s="16">
        <f>IF(B1128,StartDate+D1128,"")</f>
        <v/>
      </c>
      <c r="F1128">
        <f>IF(B1128,MAX(MOD(SIN(Seed*0.1373+C1128*12.9898+D1128*78.233)*43758.5453,1),1E-9),"")</f>
        <v/>
      </c>
      <c r="G1128">
        <f>IF(B1128,MOD(SIN(Seed*0.5917+C1128*39.3468+D1128*11.135)*24634.6345,1),"")</f>
        <v/>
      </c>
      <c r="H1128">
        <f>IF(B1128,SQRT(-2*LN(F1128))*COS(2*PI()*G1128),"")</f>
        <v/>
      </c>
      <c r="I1128">
        <f>IF(B1128,IF(D1128=0,H1128,Rho*I1127+SQRT(1-Rho^2)*H1128),"")</f>
        <v/>
      </c>
      <c r="J1128">
        <f>IF(B1128,IF(Dist="Normal",DistA+DistB*I1128,DistA+(DistB-DistA)*NORMSDIST(I1128)),"")</f>
        <v/>
      </c>
      <c r="K1128">
        <f>IF(B1128,INDEX(MineScale,C1128),"")</f>
        <v/>
      </c>
      <c r="L1128">
        <f>IF(B1128,INDEX(Dow,1,WEEKDAY(E1128,2)),"")</f>
        <v/>
      </c>
      <c r="M1128">
        <f>IF(B1128,(1+Trend)^D1128,"")</f>
        <v/>
      </c>
      <c r="N1128">
        <f>IF(B1128,EXP(SUMPRODUCT(LN(1+(EvEff-1)*INDEX(Affected,0,C1128)*EXP(-((E1128-EvCenter)^2)/(2*EvSigma^2))))),"")</f>
        <v/>
      </c>
      <c r="O1128">
        <f>IF(B1128,ROUND(MAX(0,J1128*K1128*L1128*M1128*N1128),2),"")</f>
        <v/>
      </c>
    </row>
    <row r="1129">
      <c r="A1129" t="n">
        <v>1128</v>
      </c>
      <c r="B1129">
        <f>A1129&lt;=MineCount*Days</f>
        <v/>
      </c>
      <c r="C1129">
        <f>IF(B1129,INT((A1129-1)/Days)+1,"")</f>
        <v/>
      </c>
      <c r="D1129">
        <f>IF(B1129,MOD(A1129-1,Days),"")</f>
        <v/>
      </c>
      <c r="E1129" s="16">
        <f>IF(B1129,StartDate+D1129,"")</f>
        <v/>
      </c>
      <c r="F1129">
        <f>IF(B1129,MAX(MOD(SIN(Seed*0.1373+C1129*12.9898+D1129*78.233)*43758.5453,1),1E-9),"")</f>
        <v/>
      </c>
      <c r="G1129">
        <f>IF(B1129,MOD(SIN(Seed*0.5917+C1129*39.3468+D1129*11.135)*24634.6345,1),"")</f>
        <v/>
      </c>
      <c r="H1129">
        <f>IF(B1129,SQRT(-2*LN(F1129))*COS(2*PI()*G1129),"")</f>
        <v/>
      </c>
      <c r="I1129">
        <f>IF(B1129,IF(D1129=0,H1129,Rho*I1128+SQRT(1-Rho^2)*H1129),"")</f>
        <v/>
      </c>
      <c r="J1129">
        <f>IF(B1129,IF(Dist="Normal",DistA+DistB*I1129,DistA+(DistB-DistA)*NORMSDIST(I1129)),"")</f>
        <v/>
      </c>
      <c r="K1129">
        <f>IF(B1129,INDEX(MineScale,C1129),"")</f>
        <v/>
      </c>
      <c r="L1129">
        <f>IF(B1129,INDEX(Dow,1,WEEKDAY(E1129,2)),"")</f>
        <v/>
      </c>
      <c r="M1129">
        <f>IF(B1129,(1+Trend)^D1129,"")</f>
        <v/>
      </c>
      <c r="N1129">
        <f>IF(B1129,EXP(SUMPRODUCT(LN(1+(EvEff-1)*INDEX(Affected,0,C1129)*EXP(-((E1129-EvCenter)^2)/(2*EvSigma^2))))),"")</f>
        <v/>
      </c>
      <c r="O1129">
        <f>IF(B1129,ROUND(MAX(0,J1129*K1129*L1129*M1129*N1129),2),"")</f>
        <v/>
      </c>
    </row>
    <row r="1130">
      <c r="A1130" t="n">
        <v>1129</v>
      </c>
      <c r="B1130">
        <f>A1130&lt;=MineCount*Days</f>
        <v/>
      </c>
      <c r="C1130">
        <f>IF(B1130,INT((A1130-1)/Days)+1,"")</f>
        <v/>
      </c>
      <c r="D1130">
        <f>IF(B1130,MOD(A1130-1,Days),"")</f>
        <v/>
      </c>
      <c r="E1130" s="16">
        <f>IF(B1130,StartDate+D1130,"")</f>
        <v/>
      </c>
      <c r="F1130">
        <f>IF(B1130,MAX(MOD(SIN(Seed*0.1373+C1130*12.9898+D1130*78.233)*43758.5453,1),1E-9),"")</f>
        <v/>
      </c>
      <c r="G1130">
        <f>IF(B1130,MOD(SIN(Seed*0.5917+C1130*39.3468+D1130*11.135)*24634.6345,1),"")</f>
        <v/>
      </c>
      <c r="H1130">
        <f>IF(B1130,SQRT(-2*LN(F1130))*COS(2*PI()*G1130),"")</f>
        <v/>
      </c>
      <c r="I1130">
        <f>IF(B1130,IF(D1130=0,H1130,Rho*I1129+SQRT(1-Rho^2)*H1130),"")</f>
        <v/>
      </c>
      <c r="J1130">
        <f>IF(B1130,IF(Dist="Normal",DistA+DistB*I1130,DistA+(DistB-DistA)*NORMSDIST(I1130)),"")</f>
        <v/>
      </c>
      <c r="K1130">
        <f>IF(B1130,INDEX(MineScale,C1130),"")</f>
        <v/>
      </c>
      <c r="L1130">
        <f>IF(B1130,INDEX(Dow,1,WEEKDAY(E1130,2)),"")</f>
        <v/>
      </c>
      <c r="M1130">
        <f>IF(B1130,(1+Trend)^D1130,"")</f>
        <v/>
      </c>
      <c r="N1130">
        <f>IF(B1130,EXP(SUMPRODUCT(LN(1+(EvEff-1)*INDEX(Affected,0,C1130)*EXP(-((E1130-EvCenter)^2)/(2*EvSigma^2))))),"")</f>
        <v/>
      </c>
      <c r="O1130">
        <f>IF(B1130,ROUND(MAX(0,J1130*K1130*L1130*M1130*N1130),2),"")</f>
        <v/>
      </c>
    </row>
    <row r="1131">
      <c r="A1131" t="n">
        <v>1130</v>
      </c>
      <c r="B1131">
        <f>A1131&lt;=MineCount*Days</f>
        <v/>
      </c>
      <c r="C1131">
        <f>IF(B1131,INT((A1131-1)/Days)+1,"")</f>
        <v/>
      </c>
      <c r="D1131">
        <f>IF(B1131,MOD(A1131-1,Days),"")</f>
        <v/>
      </c>
      <c r="E1131" s="16">
        <f>IF(B1131,StartDate+D1131,"")</f>
        <v/>
      </c>
      <c r="F1131">
        <f>IF(B1131,MAX(MOD(SIN(Seed*0.1373+C1131*12.9898+D1131*78.233)*43758.5453,1),1E-9),"")</f>
        <v/>
      </c>
      <c r="G1131">
        <f>IF(B1131,MOD(SIN(Seed*0.5917+C1131*39.3468+D1131*11.135)*24634.6345,1),"")</f>
        <v/>
      </c>
      <c r="H1131">
        <f>IF(B1131,SQRT(-2*LN(F1131))*COS(2*PI()*G1131),"")</f>
        <v/>
      </c>
      <c r="I1131">
        <f>IF(B1131,IF(D1131=0,H1131,Rho*I1130+SQRT(1-Rho^2)*H1131),"")</f>
        <v/>
      </c>
      <c r="J1131">
        <f>IF(B1131,IF(Dist="Normal",DistA+DistB*I1131,DistA+(DistB-DistA)*NORMSDIST(I1131)),"")</f>
        <v/>
      </c>
      <c r="K1131">
        <f>IF(B1131,INDEX(MineScale,C1131),"")</f>
        <v/>
      </c>
      <c r="L1131">
        <f>IF(B1131,INDEX(Dow,1,WEEKDAY(E1131,2)),"")</f>
        <v/>
      </c>
      <c r="M1131">
        <f>IF(B1131,(1+Trend)^D1131,"")</f>
        <v/>
      </c>
      <c r="N1131">
        <f>IF(B1131,EXP(SUMPRODUCT(LN(1+(EvEff-1)*INDEX(Affected,0,C1131)*EXP(-((E1131-EvCenter)^2)/(2*EvSigma^2))))),"")</f>
        <v/>
      </c>
      <c r="O1131">
        <f>IF(B1131,ROUND(MAX(0,J1131*K1131*L1131*M1131*N1131),2),"")</f>
        <v/>
      </c>
    </row>
    <row r="1132">
      <c r="A1132" t="n">
        <v>1131</v>
      </c>
      <c r="B1132">
        <f>A1132&lt;=MineCount*Days</f>
        <v/>
      </c>
      <c r="C1132">
        <f>IF(B1132,INT((A1132-1)/Days)+1,"")</f>
        <v/>
      </c>
      <c r="D1132">
        <f>IF(B1132,MOD(A1132-1,Days),"")</f>
        <v/>
      </c>
      <c r="E1132" s="16">
        <f>IF(B1132,StartDate+D1132,"")</f>
        <v/>
      </c>
      <c r="F1132">
        <f>IF(B1132,MAX(MOD(SIN(Seed*0.1373+C1132*12.9898+D1132*78.233)*43758.5453,1),1E-9),"")</f>
        <v/>
      </c>
      <c r="G1132">
        <f>IF(B1132,MOD(SIN(Seed*0.5917+C1132*39.3468+D1132*11.135)*24634.6345,1),"")</f>
        <v/>
      </c>
      <c r="H1132">
        <f>IF(B1132,SQRT(-2*LN(F1132))*COS(2*PI()*G1132),"")</f>
        <v/>
      </c>
      <c r="I1132">
        <f>IF(B1132,IF(D1132=0,H1132,Rho*I1131+SQRT(1-Rho^2)*H1132),"")</f>
        <v/>
      </c>
      <c r="J1132">
        <f>IF(B1132,IF(Dist="Normal",DistA+DistB*I1132,DistA+(DistB-DistA)*NORMSDIST(I1132)),"")</f>
        <v/>
      </c>
      <c r="K1132">
        <f>IF(B1132,INDEX(MineScale,C1132),"")</f>
        <v/>
      </c>
      <c r="L1132">
        <f>IF(B1132,INDEX(Dow,1,WEEKDAY(E1132,2)),"")</f>
        <v/>
      </c>
      <c r="M1132">
        <f>IF(B1132,(1+Trend)^D1132,"")</f>
        <v/>
      </c>
      <c r="N1132">
        <f>IF(B1132,EXP(SUMPRODUCT(LN(1+(EvEff-1)*INDEX(Affected,0,C1132)*EXP(-((E1132-EvCenter)^2)/(2*EvSigma^2))))),"")</f>
        <v/>
      </c>
      <c r="O1132">
        <f>IF(B1132,ROUND(MAX(0,J1132*K1132*L1132*M1132*N1132),2),"")</f>
        <v/>
      </c>
    </row>
    <row r="1133">
      <c r="A1133" t="n">
        <v>1132</v>
      </c>
      <c r="B1133">
        <f>A1133&lt;=MineCount*Days</f>
        <v/>
      </c>
      <c r="C1133">
        <f>IF(B1133,INT((A1133-1)/Days)+1,"")</f>
        <v/>
      </c>
      <c r="D1133">
        <f>IF(B1133,MOD(A1133-1,Days),"")</f>
        <v/>
      </c>
      <c r="E1133" s="16">
        <f>IF(B1133,StartDate+D1133,"")</f>
        <v/>
      </c>
      <c r="F1133">
        <f>IF(B1133,MAX(MOD(SIN(Seed*0.1373+C1133*12.9898+D1133*78.233)*43758.5453,1),1E-9),"")</f>
        <v/>
      </c>
      <c r="G1133">
        <f>IF(B1133,MOD(SIN(Seed*0.5917+C1133*39.3468+D1133*11.135)*24634.6345,1),"")</f>
        <v/>
      </c>
      <c r="H1133">
        <f>IF(B1133,SQRT(-2*LN(F1133))*COS(2*PI()*G1133),"")</f>
        <v/>
      </c>
      <c r="I1133">
        <f>IF(B1133,IF(D1133=0,H1133,Rho*I1132+SQRT(1-Rho^2)*H1133),"")</f>
        <v/>
      </c>
      <c r="J1133">
        <f>IF(B1133,IF(Dist="Normal",DistA+DistB*I1133,DistA+(DistB-DistA)*NORMSDIST(I1133)),"")</f>
        <v/>
      </c>
      <c r="K1133">
        <f>IF(B1133,INDEX(MineScale,C1133),"")</f>
        <v/>
      </c>
      <c r="L1133">
        <f>IF(B1133,INDEX(Dow,1,WEEKDAY(E1133,2)),"")</f>
        <v/>
      </c>
      <c r="M1133">
        <f>IF(B1133,(1+Trend)^D1133,"")</f>
        <v/>
      </c>
      <c r="N1133">
        <f>IF(B1133,EXP(SUMPRODUCT(LN(1+(EvEff-1)*INDEX(Affected,0,C1133)*EXP(-((E1133-EvCenter)^2)/(2*EvSigma^2))))),"")</f>
        <v/>
      </c>
      <c r="O1133">
        <f>IF(B1133,ROUND(MAX(0,J1133*K1133*L1133*M1133*N1133),2),"")</f>
        <v/>
      </c>
    </row>
    <row r="1134">
      <c r="A1134" t="n">
        <v>1133</v>
      </c>
      <c r="B1134">
        <f>A1134&lt;=MineCount*Days</f>
        <v/>
      </c>
      <c r="C1134">
        <f>IF(B1134,INT((A1134-1)/Days)+1,"")</f>
        <v/>
      </c>
      <c r="D1134">
        <f>IF(B1134,MOD(A1134-1,Days),"")</f>
        <v/>
      </c>
      <c r="E1134" s="16">
        <f>IF(B1134,StartDate+D1134,"")</f>
        <v/>
      </c>
      <c r="F1134">
        <f>IF(B1134,MAX(MOD(SIN(Seed*0.1373+C1134*12.9898+D1134*78.233)*43758.5453,1),1E-9),"")</f>
        <v/>
      </c>
      <c r="G1134">
        <f>IF(B1134,MOD(SIN(Seed*0.5917+C1134*39.3468+D1134*11.135)*24634.6345,1),"")</f>
        <v/>
      </c>
      <c r="H1134">
        <f>IF(B1134,SQRT(-2*LN(F1134))*COS(2*PI()*G1134),"")</f>
        <v/>
      </c>
      <c r="I1134">
        <f>IF(B1134,IF(D1134=0,H1134,Rho*I1133+SQRT(1-Rho^2)*H1134),"")</f>
        <v/>
      </c>
      <c r="J1134">
        <f>IF(B1134,IF(Dist="Normal",DistA+DistB*I1134,DistA+(DistB-DistA)*NORMSDIST(I1134)),"")</f>
        <v/>
      </c>
      <c r="K1134">
        <f>IF(B1134,INDEX(MineScale,C1134),"")</f>
        <v/>
      </c>
      <c r="L1134">
        <f>IF(B1134,INDEX(Dow,1,WEEKDAY(E1134,2)),"")</f>
        <v/>
      </c>
      <c r="M1134">
        <f>IF(B1134,(1+Trend)^D1134,"")</f>
        <v/>
      </c>
      <c r="N1134">
        <f>IF(B1134,EXP(SUMPRODUCT(LN(1+(EvEff-1)*INDEX(Affected,0,C1134)*EXP(-((E1134-EvCenter)^2)/(2*EvSigma^2))))),"")</f>
        <v/>
      </c>
      <c r="O1134">
        <f>IF(B1134,ROUND(MAX(0,J1134*K1134*L1134*M1134*N1134),2),"")</f>
        <v/>
      </c>
    </row>
    <row r="1135">
      <c r="A1135" t="n">
        <v>1134</v>
      </c>
      <c r="B1135">
        <f>A1135&lt;=MineCount*Days</f>
        <v/>
      </c>
      <c r="C1135">
        <f>IF(B1135,INT((A1135-1)/Days)+1,"")</f>
        <v/>
      </c>
      <c r="D1135">
        <f>IF(B1135,MOD(A1135-1,Days),"")</f>
        <v/>
      </c>
      <c r="E1135" s="16">
        <f>IF(B1135,StartDate+D1135,"")</f>
        <v/>
      </c>
      <c r="F1135">
        <f>IF(B1135,MAX(MOD(SIN(Seed*0.1373+C1135*12.9898+D1135*78.233)*43758.5453,1),1E-9),"")</f>
        <v/>
      </c>
      <c r="G1135">
        <f>IF(B1135,MOD(SIN(Seed*0.5917+C1135*39.3468+D1135*11.135)*24634.6345,1),"")</f>
        <v/>
      </c>
      <c r="H1135">
        <f>IF(B1135,SQRT(-2*LN(F1135))*COS(2*PI()*G1135),"")</f>
        <v/>
      </c>
      <c r="I1135">
        <f>IF(B1135,IF(D1135=0,H1135,Rho*I1134+SQRT(1-Rho^2)*H1135),"")</f>
        <v/>
      </c>
      <c r="J1135">
        <f>IF(B1135,IF(Dist="Normal",DistA+DistB*I1135,DistA+(DistB-DistA)*NORMSDIST(I1135)),"")</f>
        <v/>
      </c>
      <c r="K1135">
        <f>IF(B1135,INDEX(MineScale,C1135),"")</f>
        <v/>
      </c>
      <c r="L1135">
        <f>IF(B1135,INDEX(Dow,1,WEEKDAY(E1135,2)),"")</f>
        <v/>
      </c>
      <c r="M1135">
        <f>IF(B1135,(1+Trend)^D1135,"")</f>
        <v/>
      </c>
      <c r="N1135">
        <f>IF(B1135,EXP(SUMPRODUCT(LN(1+(EvEff-1)*INDEX(Affected,0,C1135)*EXP(-((E1135-EvCenter)^2)/(2*EvSigma^2))))),"")</f>
        <v/>
      </c>
      <c r="O1135">
        <f>IF(B1135,ROUND(MAX(0,J1135*K1135*L1135*M1135*N1135),2),"")</f>
        <v/>
      </c>
    </row>
    <row r="1136">
      <c r="A1136" t="n">
        <v>1135</v>
      </c>
      <c r="B1136">
        <f>A1136&lt;=MineCount*Days</f>
        <v/>
      </c>
      <c r="C1136">
        <f>IF(B1136,INT((A1136-1)/Days)+1,"")</f>
        <v/>
      </c>
      <c r="D1136">
        <f>IF(B1136,MOD(A1136-1,Days),"")</f>
        <v/>
      </c>
      <c r="E1136" s="16">
        <f>IF(B1136,StartDate+D1136,"")</f>
        <v/>
      </c>
      <c r="F1136">
        <f>IF(B1136,MAX(MOD(SIN(Seed*0.1373+C1136*12.9898+D1136*78.233)*43758.5453,1),1E-9),"")</f>
        <v/>
      </c>
      <c r="G1136">
        <f>IF(B1136,MOD(SIN(Seed*0.5917+C1136*39.3468+D1136*11.135)*24634.6345,1),"")</f>
        <v/>
      </c>
      <c r="H1136">
        <f>IF(B1136,SQRT(-2*LN(F1136))*COS(2*PI()*G1136),"")</f>
        <v/>
      </c>
      <c r="I1136">
        <f>IF(B1136,IF(D1136=0,H1136,Rho*I1135+SQRT(1-Rho^2)*H1136),"")</f>
        <v/>
      </c>
      <c r="J1136">
        <f>IF(B1136,IF(Dist="Normal",DistA+DistB*I1136,DistA+(DistB-DistA)*NORMSDIST(I1136)),"")</f>
        <v/>
      </c>
      <c r="K1136">
        <f>IF(B1136,INDEX(MineScale,C1136),"")</f>
        <v/>
      </c>
      <c r="L1136">
        <f>IF(B1136,INDEX(Dow,1,WEEKDAY(E1136,2)),"")</f>
        <v/>
      </c>
      <c r="M1136">
        <f>IF(B1136,(1+Trend)^D1136,"")</f>
        <v/>
      </c>
      <c r="N1136">
        <f>IF(B1136,EXP(SUMPRODUCT(LN(1+(EvEff-1)*INDEX(Affected,0,C1136)*EXP(-((E1136-EvCenter)^2)/(2*EvSigma^2))))),"")</f>
        <v/>
      </c>
      <c r="O1136">
        <f>IF(B1136,ROUND(MAX(0,J1136*K1136*L1136*M1136*N1136),2),"")</f>
        <v/>
      </c>
    </row>
    <row r="1137">
      <c r="A1137" t="n">
        <v>1136</v>
      </c>
      <c r="B1137">
        <f>A1137&lt;=MineCount*Days</f>
        <v/>
      </c>
      <c r="C1137">
        <f>IF(B1137,INT((A1137-1)/Days)+1,"")</f>
        <v/>
      </c>
      <c r="D1137">
        <f>IF(B1137,MOD(A1137-1,Days),"")</f>
        <v/>
      </c>
      <c r="E1137" s="16">
        <f>IF(B1137,StartDate+D1137,"")</f>
        <v/>
      </c>
      <c r="F1137">
        <f>IF(B1137,MAX(MOD(SIN(Seed*0.1373+C1137*12.9898+D1137*78.233)*43758.5453,1),1E-9),"")</f>
        <v/>
      </c>
      <c r="G1137">
        <f>IF(B1137,MOD(SIN(Seed*0.5917+C1137*39.3468+D1137*11.135)*24634.6345,1),"")</f>
        <v/>
      </c>
      <c r="H1137">
        <f>IF(B1137,SQRT(-2*LN(F1137))*COS(2*PI()*G1137),"")</f>
        <v/>
      </c>
      <c r="I1137">
        <f>IF(B1137,IF(D1137=0,H1137,Rho*I1136+SQRT(1-Rho^2)*H1137),"")</f>
        <v/>
      </c>
      <c r="J1137">
        <f>IF(B1137,IF(Dist="Normal",DistA+DistB*I1137,DistA+(DistB-DistA)*NORMSDIST(I1137)),"")</f>
        <v/>
      </c>
      <c r="K1137">
        <f>IF(B1137,INDEX(MineScale,C1137),"")</f>
        <v/>
      </c>
      <c r="L1137">
        <f>IF(B1137,INDEX(Dow,1,WEEKDAY(E1137,2)),"")</f>
        <v/>
      </c>
      <c r="M1137">
        <f>IF(B1137,(1+Trend)^D1137,"")</f>
        <v/>
      </c>
      <c r="N1137">
        <f>IF(B1137,EXP(SUMPRODUCT(LN(1+(EvEff-1)*INDEX(Affected,0,C1137)*EXP(-((E1137-EvCenter)^2)/(2*EvSigma^2))))),"")</f>
        <v/>
      </c>
      <c r="O1137">
        <f>IF(B1137,ROUND(MAX(0,J1137*K1137*L1137*M1137*N1137),2),"")</f>
        <v/>
      </c>
    </row>
    <row r="1138">
      <c r="A1138" t="n">
        <v>1137</v>
      </c>
      <c r="B1138">
        <f>A1138&lt;=MineCount*Days</f>
        <v/>
      </c>
      <c r="C1138">
        <f>IF(B1138,INT((A1138-1)/Days)+1,"")</f>
        <v/>
      </c>
      <c r="D1138">
        <f>IF(B1138,MOD(A1138-1,Days),"")</f>
        <v/>
      </c>
      <c r="E1138" s="16">
        <f>IF(B1138,StartDate+D1138,"")</f>
        <v/>
      </c>
      <c r="F1138">
        <f>IF(B1138,MAX(MOD(SIN(Seed*0.1373+C1138*12.9898+D1138*78.233)*43758.5453,1),1E-9),"")</f>
        <v/>
      </c>
      <c r="G1138">
        <f>IF(B1138,MOD(SIN(Seed*0.5917+C1138*39.3468+D1138*11.135)*24634.6345,1),"")</f>
        <v/>
      </c>
      <c r="H1138">
        <f>IF(B1138,SQRT(-2*LN(F1138))*COS(2*PI()*G1138),"")</f>
        <v/>
      </c>
      <c r="I1138">
        <f>IF(B1138,IF(D1138=0,H1138,Rho*I1137+SQRT(1-Rho^2)*H1138),"")</f>
        <v/>
      </c>
      <c r="J1138">
        <f>IF(B1138,IF(Dist="Normal",DistA+DistB*I1138,DistA+(DistB-DistA)*NORMSDIST(I1138)),"")</f>
        <v/>
      </c>
      <c r="K1138">
        <f>IF(B1138,INDEX(MineScale,C1138),"")</f>
        <v/>
      </c>
      <c r="L1138">
        <f>IF(B1138,INDEX(Dow,1,WEEKDAY(E1138,2)),"")</f>
        <v/>
      </c>
      <c r="M1138">
        <f>IF(B1138,(1+Trend)^D1138,"")</f>
        <v/>
      </c>
      <c r="N1138">
        <f>IF(B1138,EXP(SUMPRODUCT(LN(1+(EvEff-1)*INDEX(Affected,0,C1138)*EXP(-((E1138-EvCenter)^2)/(2*EvSigma^2))))),"")</f>
        <v/>
      </c>
      <c r="O1138">
        <f>IF(B1138,ROUND(MAX(0,J1138*K1138*L1138*M1138*N1138),2),"")</f>
        <v/>
      </c>
    </row>
    <row r="1139">
      <c r="A1139" t="n">
        <v>1138</v>
      </c>
      <c r="B1139">
        <f>A1139&lt;=MineCount*Days</f>
        <v/>
      </c>
      <c r="C1139">
        <f>IF(B1139,INT((A1139-1)/Days)+1,"")</f>
        <v/>
      </c>
      <c r="D1139">
        <f>IF(B1139,MOD(A1139-1,Days),"")</f>
        <v/>
      </c>
      <c r="E1139" s="16">
        <f>IF(B1139,StartDate+D1139,"")</f>
        <v/>
      </c>
      <c r="F1139">
        <f>IF(B1139,MAX(MOD(SIN(Seed*0.1373+C1139*12.9898+D1139*78.233)*43758.5453,1),1E-9),"")</f>
        <v/>
      </c>
      <c r="G1139">
        <f>IF(B1139,MOD(SIN(Seed*0.5917+C1139*39.3468+D1139*11.135)*24634.6345,1),"")</f>
        <v/>
      </c>
      <c r="H1139">
        <f>IF(B1139,SQRT(-2*LN(F1139))*COS(2*PI()*G1139),"")</f>
        <v/>
      </c>
      <c r="I1139">
        <f>IF(B1139,IF(D1139=0,H1139,Rho*I1138+SQRT(1-Rho^2)*H1139),"")</f>
        <v/>
      </c>
      <c r="J1139">
        <f>IF(B1139,IF(Dist="Normal",DistA+DistB*I1139,DistA+(DistB-DistA)*NORMSDIST(I1139)),"")</f>
        <v/>
      </c>
      <c r="K1139">
        <f>IF(B1139,INDEX(MineScale,C1139),"")</f>
        <v/>
      </c>
      <c r="L1139">
        <f>IF(B1139,INDEX(Dow,1,WEEKDAY(E1139,2)),"")</f>
        <v/>
      </c>
      <c r="M1139">
        <f>IF(B1139,(1+Trend)^D1139,"")</f>
        <v/>
      </c>
      <c r="N1139">
        <f>IF(B1139,EXP(SUMPRODUCT(LN(1+(EvEff-1)*INDEX(Affected,0,C1139)*EXP(-((E1139-EvCenter)^2)/(2*EvSigma^2))))),"")</f>
        <v/>
      </c>
      <c r="O1139">
        <f>IF(B1139,ROUND(MAX(0,J1139*K1139*L1139*M1139*N1139),2),"")</f>
        <v/>
      </c>
    </row>
    <row r="1140">
      <c r="A1140" t="n">
        <v>1139</v>
      </c>
      <c r="B1140">
        <f>A1140&lt;=MineCount*Days</f>
        <v/>
      </c>
      <c r="C1140">
        <f>IF(B1140,INT((A1140-1)/Days)+1,"")</f>
        <v/>
      </c>
      <c r="D1140">
        <f>IF(B1140,MOD(A1140-1,Days),"")</f>
        <v/>
      </c>
      <c r="E1140" s="16">
        <f>IF(B1140,StartDate+D1140,"")</f>
        <v/>
      </c>
      <c r="F1140">
        <f>IF(B1140,MAX(MOD(SIN(Seed*0.1373+C1140*12.9898+D1140*78.233)*43758.5453,1),1E-9),"")</f>
        <v/>
      </c>
      <c r="G1140">
        <f>IF(B1140,MOD(SIN(Seed*0.5917+C1140*39.3468+D1140*11.135)*24634.6345,1),"")</f>
        <v/>
      </c>
      <c r="H1140">
        <f>IF(B1140,SQRT(-2*LN(F1140))*COS(2*PI()*G1140),"")</f>
        <v/>
      </c>
      <c r="I1140">
        <f>IF(B1140,IF(D1140=0,H1140,Rho*I1139+SQRT(1-Rho^2)*H1140),"")</f>
        <v/>
      </c>
      <c r="J1140">
        <f>IF(B1140,IF(Dist="Normal",DistA+DistB*I1140,DistA+(DistB-DistA)*NORMSDIST(I1140)),"")</f>
        <v/>
      </c>
      <c r="K1140">
        <f>IF(B1140,INDEX(MineScale,C1140),"")</f>
        <v/>
      </c>
      <c r="L1140">
        <f>IF(B1140,INDEX(Dow,1,WEEKDAY(E1140,2)),"")</f>
        <v/>
      </c>
      <c r="M1140">
        <f>IF(B1140,(1+Trend)^D1140,"")</f>
        <v/>
      </c>
      <c r="N1140">
        <f>IF(B1140,EXP(SUMPRODUCT(LN(1+(EvEff-1)*INDEX(Affected,0,C1140)*EXP(-((E1140-EvCenter)^2)/(2*EvSigma^2))))),"")</f>
        <v/>
      </c>
      <c r="O1140">
        <f>IF(B1140,ROUND(MAX(0,J1140*K1140*L1140*M1140*N1140),2),"")</f>
        <v/>
      </c>
    </row>
    <row r="1141">
      <c r="A1141" t="n">
        <v>1140</v>
      </c>
      <c r="B1141">
        <f>A1141&lt;=MineCount*Days</f>
        <v/>
      </c>
      <c r="C1141">
        <f>IF(B1141,INT((A1141-1)/Days)+1,"")</f>
        <v/>
      </c>
      <c r="D1141">
        <f>IF(B1141,MOD(A1141-1,Days),"")</f>
        <v/>
      </c>
      <c r="E1141" s="16">
        <f>IF(B1141,StartDate+D1141,"")</f>
        <v/>
      </c>
      <c r="F1141">
        <f>IF(B1141,MAX(MOD(SIN(Seed*0.1373+C1141*12.9898+D1141*78.233)*43758.5453,1),1E-9),"")</f>
        <v/>
      </c>
      <c r="G1141">
        <f>IF(B1141,MOD(SIN(Seed*0.5917+C1141*39.3468+D1141*11.135)*24634.6345,1),"")</f>
        <v/>
      </c>
      <c r="H1141">
        <f>IF(B1141,SQRT(-2*LN(F1141))*COS(2*PI()*G1141),"")</f>
        <v/>
      </c>
      <c r="I1141">
        <f>IF(B1141,IF(D1141=0,H1141,Rho*I1140+SQRT(1-Rho^2)*H1141),"")</f>
        <v/>
      </c>
      <c r="J1141">
        <f>IF(B1141,IF(Dist="Normal",DistA+DistB*I1141,DistA+(DistB-DistA)*NORMSDIST(I1141)),"")</f>
        <v/>
      </c>
      <c r="K1141">
        <f>IF(B1141,INDEX(MineScale,C1141),"")</f>
        <v/>
      </c>
      <c r="L1141">
        <f>IF(B1141,INDEX(Dow,1,WEEKDAY(E1141,2)),"")</f>
        <v/>
      </c>
      <c r="M1141">
        <f>IF(B1141,(1+Trend)^D1141,"")</f>
        <v/>
      </c>
      <c r="N1141">
        <f>IF(B1141,EXP(SUMPRODUCT(LN(1+(EvEff-1)*INDEX(Affected,0,C1141)*EXP(-((E1141-EvCenter)^2)/(2*EvSigma^2))))),"")</f>
        <v/>
      </c>
      <c r="O1141">
        <f>IF(B1141,ROUND(MAX(0,J1141*K1141*L1141*M1141*N1141),2),"")</f>
        <v/>
      </c>
    </row>
    <row r="1142">
      <c r="A1142" t="n">
        <v>1141</v>
      </c>
      <c r="B1142">
        <f>A1142&lt;=MineCount*Days</f>
        <v/>
      </c>
      <c r="C1142">
        <f>IF(B1142,INT((A1142-1)/Days)+1,"")</f>
        <v/>
      </c>
      <c r="D1142">
        <f>IF(B1142,MOD(A1142-1,Days),"")</f>
        <v/>
      </c>
      <c r="E1142" s="16">
        <f>IF(B1142,StartDate+D1142,"")</f>
        <v/>
      </c>
      <c r="F1142">
        <f>IF(B1142,MAX(MOD(SIN(Seed*0.1373+C1142*12.9898+D1142*78.233)*43758.5453,1),1E-9),"")</f>
        <v/>
      </c>
      <c r="G1142">
        <f>IF(B1142,MOD(SIN(Seed*0.5917+C1142*39.3468+D1142*11.135)*24634.6345,1),"")</f>
        <v/>
      </c>
      <c r="H1142">
        <f>IF(B1142,SQRT(-2*LN(F1142))*COS(2*PI()*G1142),"")</f>
        <v/>
      </c>
      <c r="I1142">
        <f>IF(B1142,IF(D1142=0,H1142,Rho*I1141+SQRT(1-Rho^2)*H1142),"")</f>
        <v/>
      </c>
      <c r="J1142">
        <f>IF(B1142,IF(Dist="Normal",DistA+DistB*I1142,DistA+(DistB-DistA)*NORMSDIST(I1142)),"")</f>
        <v/>
      </c>
      <c r="K1142">
        <f>IF(B1142,INDEX(MineScale,C1142),"")</f>
        <v/>
      </c>
      <c r="L1142">
        <f>IF(B1142,INDEX(Dow,1,WEEKDAY(E1142,2)),"")</f>
        <v/>
      </c>
      <c r="M1142">
        <f>IF(B1142,(1+Trend)^D1142,"")</f>
        <v/>
      </c>
      <c r="N1142">
        <f>IF(B1142,EXP(SUMPRODUCT(LN(1+(EvEff-1)*INDEX(Affected,0,C1142)*EXP(-((E1142-EvCenter)^2)/(2*EvSigma^2))))),"")</f>
        <v/>
      </c>
      <c r="O1142">
        <f>IF(B1142,ROUND(MAX(0,J1142*K1142*L1142*M1142*N1142),2),"")</f>
        <v/>
      </c>
    </row>
    <row r="1143">
      <c r="A1143" t="n">
        <v>1142</v>
      </c>
      <c r="B1143">
        <f>A1143&lt;=MineCount*Days</f>
        <v/>
      </c>
      <c r="C1143">
        <f>IF(B1143,INT((A1143-1)/Days)+1,"")</f>
        <v/>
      </c>
      <c r="D1143">
        <f>IF(B1143,MOD(A1143-1,Days),"")</f>
        <v/>
      </c>
      <c r="E1143" s="16">
        <f>IF(B1143,StartDate+D1143,"")</f>
        <v/>
      </c>
      <c r="F1143">
        <f>IF(B1143,MAX(MOD(SIN(Seed*0.1373+C1143*12.9898+D1143*78.233)*43758.5453,1),1E-9),"")</f>
        <v/>
      </c>
      <c r="G1143">
        <f>IF(B1143,MOD(SIN(Seed*0.5917+C1143*39.3468+D1143*11.135)*24634.6345,1),"")</f>
        <v/>
      </c>
      <c r="H1143">
        <f>IF(B1143,SQRT(-2*LN(F1143))*COS(2*PI()*G1143),"")</f>
        <v/>
      </c>
      <c r="I1143">
        <f>IF(B1143,IF(D1143=0,H1143,Rho*I1142+SQRT(1-Rho^2)*H1143),"")</f>
        <v/>
      </c>
      <c r="J1143">
        <f>IF(B1143,IF(Dist="Normal",DistA+DistB*I1143,DistA+(DistB-DistA)*NORMSDIST(I1143)),"")</f>
        <v/>
      </c>
      <c r="K1143">
        <f>IF(B1143,INDEX(MineScale,C1143),"")</f>
        <v/>
      </c>
      <c r="L1143">
        <f>IF(B1143,INDEX(Dow,1,WEEKDAY(E1143,2)),"")</f>
        <v/>
      </c>
      <c r="M1143">
        <f>IF(B1143,(1+Trend)^D1143,"")</f>
        <v/>
      </c>
      <c r="N1143">
        <f>IF(B1143,EXP(SUMPRODUCT(LN(1+(EvEff-1)*INDEX(Affected,0,C1143)*EXP(-((E1143-EvCenter)^2)/(2*EvSigma^2))))),"")</f>
        <v/>
      </c>
      <c r="O1143">
        <f>IF(B1143,ROUND(MAX(0,J1143*K1143*L1143*M1143*N1143),2),"")</f>
        <v/>
      </c>
    </row>
    <row r="1144">
      <c r="A1144" t="n">
        <v>1143</v>
      </c>
      <c r="B1144">
        <f>A1144&lt;=MineCount*Days</f>
        <v/>
      </c>
      <c r="C1144">
        <f>IF(B1144,INT((A1144-1)/Days)+1,"")</f>
        <v/>
      </c>
      <c r="D1144">
        <f>IF(B1144,MOD(A1144-1,Days),"")</f>
        <v/>
      </c>
      <c r="E1144" s="16">
        <f>IF(B1144,StartDate+D1144,"")</f>
        <v/>
      </c>
      <c r="F1144">
        <f>IF(B1144,MAX(MOD(SIN(Seed*0.1373+C1144*12.9898+D1144*78.233)*43758.5453,1),1E-9),"")</f>
        <v/>
      </c>
      <c r="G1144">
        <f>IF(B1144,MOD(SIN(Seed*0.5917+C1144*39.3468+D1144*11.135)*24634.6345,1),"")</f>
        <v/>
      </c>
      <c r="H1144">
        <f>IF(B1144,SQRT(-2*LN(F1144))*COS(2*PI()*G1144),"")</f>
        <v/>
      </c>
      <c r="I1144">
        <f>IF(B1144,IF(D1144=0,H1144,Rho*I1143+SQRT(1-Rho^2)*H1144),"")</f>
        <v/>
      </c>
      <c r="J1144">
        <f>IF(B1144,IF(Dist="Normal",DistA+DistB*I1144,DistA+(DistB-DistA)*NORMSDIST(I1144)),"")</f>
        <v/>
      </c>
      <c r="K1144">
        <f>IF(B1144,INDEX(MineScale,C1144),"")</f>
        <v/>
      </c>
      <c r="L1144">
        <f>IF(B1144,INDEX(Dow,1,WEEKDAY(E1144,2)),"")</f>
        <v/>
      </c>
      <c r="M1144">
        <f>IF(B1144,(1+Trend)^D1144,"")</f>
        <v/>
      </c>
      <c r="N1144">
        <f>IF(B1144,EXP(SUMPRODUCT(LN(1+(EvEff-1)*INDEX(Affected,0,C1144)*EXP(-((E1144-EvCenter)^2)/(2*EvSigma^2))))),"")</f>
        <v/>
      </c>
      <c r="O1144">
        <f>IF(B1144,ROUND(MAX(0,J1144*K1144*L1144*M1144*N1144),2),"")</f>
        <v/>
      </c>
    </row>
    <row r="1145">
      <c r="A1145" t="n">
        <v>1144</v>
      </c>
      <c r="B1145">
        <f>A1145&lt;=MineCount*Days</f>
        <v/>
      </c>
      <c r="C1145">
        <f>IF(B1145,INT((A1145-1)/Days)+1,"")</f>
        <v/>
      </c>
      <c r="D1145">
        <f>IF(B1145,MOD(A1145-1,Days),"")</f>
        <v/>
      </c>
      <c r="E1145" s="16">
        <f>IF(B1145,StartDate+D1145,"")</f>
        <v/>
      </c>
      <c r="F1145">
        <f>IF(B1145,MAX(MOD(SIN(Seed*0.1373+C1145*12.9898+D1145*78.233)*43758.5453,1),1E-9),"")</f>
        <v/>
      </c>
      <c r="G1145">
        <f>IF(B1145,MOD(SIN(Seed*0.5917+C1145*39.3468+D1145*11.135)*24634.6345,1),"")</f>
        <v/>
      </c>
      <c r="H1145">
        <f>IF(B1145,SQRT(-2*LN(F1145))*COS(2*PI()*G1145),"")</f>
        <v/>
      </c>
      <c r="I1145">
        <f>IF(B1145,IF(D1145=0,H1145,Rho*I1144+SQRT(1-Rho^2)*H1145),"")</f>
        <v/>
      </c>
      <c r="J1145">
        <f>IF(B1145,IF(Dist="Normal",DistA+DistB*I1145,DistA+(DistB-DistA)*NORMSDIST(I1145)),"")</f>
        <v/>
      </c>
      <c r="K1145">
        <f>IF(B1145,INDEX(MineScale,C1145),"")</f>
        <v/>
      </c>
      <c r="L1145">
        <f>IF(B1145,INDEX(Dow,1,WEEKDAY(E1145,2)),"")</f>
        <v/>
      </c>
      <c r="M1145">
        <f>IF(B1145,(1+Trend)^D1145,"")</f>
        <v/>
      </c>
      <c r="N1145">
        <f>IF(B1145,EXP(SUMPRODUCT(LN(1+(EvEff-1)*INDEX(Affected,0,C1145)*EXP(-((E1145-EvCenter)^2)/(2*EvSigma^2))))),"")</f>
        <v/>
      </c>
      <c r="O1145">
        <f>IF(B1145,ROUND(MAX(0,J1145*K1145*L1145*M1145*N1145),2),"")</f>
        <v/>
      </c>
    </row>
    <row r="1146">
      <c r="A1146" t="n">
        <v>1145</v>
      </c>
      <c r="B1146">
        <f>A1146&lt;=MineCount*Days</f>
        <v/>
      </c>
      <c r="C1146">
        <f>IF(B1146,INT((A1146-1)/Days)+1,"")</f>
        <v/>
      </c>
      <c r="D1146">
        <f>IF(B1146,MOD(A1146-1,Days),"")</f>
        <v/>
      </c>
      <c r="E1146" s="16">
        <f>IF(B1146,StartDate+D1146,"")</f>
        <v/>
      </c>
      <c r="F1146">
        <f>IF(B1146,MAX(MOD(SIN(Seed*0.1373+C1146*12.9898+D1146*78.233)*43758.5453,1),1E-9),"")</f>
        <v/>
      </c>
      <c r="G1146">
        <f>IF(B1146,MOD(SIN(Seed*0.5917+C1146*39.3468+D1146*11.135)*24634.6345,1),"")</f>
        <v/>
      </c>
      <c r="H1146">
        <f>IF(B1146,SQRT(-2*LN(F1146))*COS(2*PI()*G1146),"")</f>
        <v/>
      </c>
      <c r="I1146">
        <f>IF(B1146,IF(D1146=0,H1146,Rho*I1145+SQRT(1-Rho^2)*H1146),"")</f>
        <v/>
      </c>
      <c r="J1146">
        <f>IF(B1146,IF(Dist="Normal",DistA+DistB*I1146,DistA+(DistB-DistA)*NORMSDIST(I1146)),"")</f>
        <v/>
      </c>
      <c r="K1146">
        <f>IF(B1146,INDEX(MineScale,C1146),"")</f>
        <v/>
      </c>
      <c r="L1146">
        <f>IF(B1146,INDEX(Dow,1,WEEKDAY(E1146,2)),"")</f>
        <v/>
      </c>
      <c r="M1146">
        <f>IF(B1146,(1+Trend)^D1146,"")</f>
        <v/>
      </c>
      <c r="N1146">
        <f>IF(B1146,EXP(SUMPRODUCT(LN(1+(EvEff-1)*INDEX(Affected,0,C1146)*EXP(-((E1146-EvCenter)^2)/(2*EvSigma^2))))),"")</f>
        <v/>
      </c>
      <c r="O1146">
        <f>IF(B1146,ROUND(MAX(0,J1146*K1146*L1146*M1146*N1146),2),"")</f>
        <v/>
      </c>
    </row>
    <row r="1147">
      <c r="A1147" t="n">
        <v>1146</v>
      </c>
      <c r="B1147">
        <f>A1147&lt;=MineCount*Days</f>
        <v/>
      </c>
      <c r="C1147">
        <f>IF(B1147,INT((A1147-1)/Days)+1,"")</f>
        <v/>
      </c>
      <c r="D1147">
        <f>IF(B1147,MOD(A1147-1,Days),"")</f>
        <v/>
      </c>
      <c r="E1147" s="16">
        <f>IF(B1147,StartDate+D1147,"")</f>
        <v/>
      </c>
      <c r="F1147">
        <f>IF(B1147,MAX(MOD(SIN(Seed*0.1373+C1147*12.9898+D1147*78.233)*43758.5453,1),1E-9),"")</f>
        <v/>
      </c>
      <c r="G1147">
        <f>IF(B1147,MOD(SIN(Seed*0.5917+C1147*39.3468+D1147*11.135)*24634.6345,1),"")</f>
        <v/>
      </c>
      <c r="H1147">
        <f>IF(B1147,SQRT(-2*LN(F1147))*COS(2*PI()*G1147),"")</f>
        <v/>
      </c>
      <c r="I1147">
        <f>IF(B1147,IF(D1147=0,H1147,Rho*I1146+SQRT(1-Rho^2)*H1147),"")</f>
        <v/>
      </c>
      <c r="J1147">
        <f>IF(B1147,IF(Dist="Normal",DistA+DistB*I1147,DistA+(DistB-DistA)*NORMSDIST(I1147)),"")</f>
        <v/>
      </c>
      <c r="K1147">
        <f>IF(B1147,INDEX(MineScale,C1147),"")</f>
        <v/>
      </c>
      <c r="L1147">
        <f>IF(B1147,INDEX(Dow,1,WEEKDAY(E1147,2)),"")</f>
        <v/>
      </c>
      <c r="M1147">
        <f>IF(B1147,(1+Trend)^D1147,"")</f>
        <v/>
      </c>
      <c r="N1147">
        <f>IF(B1147,EXP(SUMPRODUCT(LN(1+(EvEff-1)*INDEX(Affected,0,C1147)*EXP(-((E1147-EvCenter)^2)/(2*EvSigma^2))))),"")</f>
        <v/>
      </c>
      <c r="O1147">
        <f>IF(B1147,ROUND(MAX(0,J1147*K1147*L1147*M1147*N1147),2),"")</f>
        <v/>
      </c>
    </row>
    <row r="1148">
      <c r="A1148" t="n">
        <v>1147</v>
      </c>
      <c r="B1148">
        <f>A1148&lt;=MineCount*Days</f>
        <v/>
      </c>
      <c r="C1148">
        <f>IF(B1148,INT((A1148-1)/Days)+1,"")</f>
        <v/>
      </c>
      <c r="D1148">
        <f>IF(B1148,MOD(A1148-1,Days),"")</f>
        <v/>
      </c>
      <c r="E1148" s="16">
        <f>IF(B1148,StartDate+D1148,"")</f>
        <v/>
      </c>
      <c r="F1148">
        <f>IF(B1148,MAX(MOD(SIN(Seed*0.1373+C1148*12.9898+D1148*78.233)*43758.5453,1),1E-9),"")</f>
        <v/>
      </c>
      <c r="G1148">
        <f>IF(B1148,MOD(SIN(Seed*0.5917+C1148*39.3468+D1148*11.135)*24634.6345,1),"")</f>
        <v/>
      </c>
      <c r="H1148">
        <f>IF(B1148,SQRT(-2*LN(F1148))*COS(2*PI()*G1148),"")</f>
        <v/>
      </c>
      <c r="I1148">
        <f>IF(B1148,IF(D1148=0,H1148,Rho*I1147+SQRT(1-Rho^2)*H1148),"")</f>
        <v/>
      </c>
      <c r="J1148">
        <f>IF(B1148,IF(Dist="Normal",DistA+DistB*I1148,DistA+(DistB-DistA)*NORMSDIST(I1148)),"")</f>
        <v/>
      </c>
      <c r="K1148">
        <f>IF(B1148,INDEX(MineScale,C1148),"")</f>
        <v/>
      </c>
      <c r="L1148">
        <f>IF(B1148,INDEX(Dow,1,WEEKDAY(E1148,2)),"")</f>
        <v/>
      </c>
      <c r="M1148">
        <f>IF(B1148,(1+Trend)^D1148,"")</f>
        <v/>
      </c>
      <c r="N1148">
        <f>IF(B1148,EXP(SUMPRODUCT(LN(1+(EvEff-1)*INDEX(Affected,0,C1148)*EXP(-((E1148-EvCenter)^2)/(2*EvSigma^2))))),"")</f>
        <v/>
      </c>
      <c r="O1148">
        <f>IF(B1148,ROUND(MAX(0,J1148*K1148*L1148*M1148*N1148),2),"")</f>
        <v/>
      </c>
    </row>
    <row r="1149">
      <c r="A1149" t="n">
        <v>1148</v>
      </c>
      <c r="B1149">
        <f>A1149&lt;=MineCount*Days</f>
        <v/>
      </c>
      <c r="C1149">
        <f>IF(B1149,INT((A1149-1)/Days)+1,"")</f>
        <v/>
      </c>
      <c r="D1149">
        <f>IF(B1149,MOD(A1149-1,Days),"")</f>
        <v/>
      </c>
      <c r="E1149" s="16">
        <f>IF(B1149,StartDate+D1149,"")</f>
        <v/>
      </c>
      <c r="F1149">
        <f>IF(B1149,MAX(MOD(SIN(Seed*0.1373+C1149*12.9898+D1149*78.233)*43758.5453,1),1E-9),"")</f>
        <v/>
      </c>
      <c r="G1149">
        <f>IF(B1149,MOD(SIN(Seed*0.5917+C1149*39.3468+D1149*11.135)*24634.6345,1),"")</f>
        <v/>
      </c>
      <c r="H1149">
        <f>IF(B1149,SQRT(-2*LN(F1149))*COS(2*PI()*G1149),"")</f>
        <v/>
      </c>
      <c r="I1149">
        <f>IF(B1149,IF(D1149=0,H1149,Rho*I1148+SQRT(1-Rho^2)*H1149),"")</f>
        <v/>
      </c>
      <c r="J1149">
        <f>IF(B1149,IF(Dist="Normal",DistA+DistB*I1149,DistA+(DistB-DistA)*NORMSDIST(I1149)),"")</f>
        <v/>
      </c>
      <c r="K1149">
        <f>IF(B1149,INDEX(MineScale,C1149),"")</f>
        <v/>
      </c>
      <c r="L1149">
        <f>IF(B1149,INDEX(Dow,1,WEEKDAY(E1149,2)),"")</f>
        <v/>
      </c>
      <c r="M1149">
        <f>IF(B1149,(1+Trend)^D1149,"")</f>
        <v/>
      </c>
      <c r="N1149">
        <f>IF(B1149,EXP(SUMPRODUCT(LN(1+(EvEff-1)*INDEX(Affected,0,C1149)*EXP(-((E1149-EvCenter)^2)/(2*EvSigma^2))))),"")</f>
        <v/>
      </c>
      <c r="O1149">
        <f>IF(B1149,ROUND(MAX(0,J1149*K1149*L1149*M1149*N1149),2),"")</f>
        <v/>
      </c>
    </row>
    <row r="1150">
      <c r="A1150" t="n">
        <v>1149</v>
      </c>
      <c r="B1150">
        <f>A1150&lt;=MineCount*Days</f>
        <v/>
      </c>
      <c r="C1150">
        <f>IF(B1150,INT((A1150-1)/Days)+1,"")</f>
        <v/>
      </c>
      <c r="D1150">
        <f>IF(B1150,MOD(A1150-1,Days),"")</f>
        <v/>
      </c>
      <c r="E1150" s="16">
        <f>IF(B1150,StartDate+D1150,"")</f>
        <v/>
      </c>
      <c r="F1150">
        <f>IF(B1150,MAX(MOD(SIN(Seed*0.1373+C1150*12.9898+D1150*78.233)*43758.5453,1),1E-9),"")</f>
        <v/>
      </c>
      <c r="G1150">
        <f>IF(B1150,MOD(SIN(Seed*0.5917+C1150*39.3468+D1150*11.135)*24634.6345,1),"")</f>
        <v/>
      </c>
      <c r="H1150">
        <f>IF(B1150,SQRT(-2*LN(F1150))*COS(2*PI()*G1150),"")</f>
        <v/>
      </c>
      <c r="I1150">
        <f>IF(B1150,IF(D1150=0,H1150,Rho*I1149+SQRT(1-Rho^2)*H1150),"")</f>
        <v/>
      </c>
      <c r="J1150">
        <f>IF(B1150,IF(Dist="Normal",DistA+DistB*I1150,DistA+(DistB-DistA)*NORMSDIST(I1150)),"")</f>
        <v/>
      </c>
      <c r="K1150">
        <f>IF(B1150,INDEX(MineScale,C1150),"")</f>
        <v/>
      </c>
      <c r="L1150">
        <f>IF(B1150,INDEX(Dow,1,WEEKDAY(E1150,2)),"")</f>
        <v/>
      </c>
      <c r="M1150">
        <f>IF(B1150,(1+Trend)^D1150,"")</f>
        <v/>
      </c>
      <c r="N1150">
        <f>IF(B1150,EXP(SUMPRODUCT(LN(1+(EvEff-1)*INDEX(Affected,0,C1150)*EXP(-((E1150-EvCenter)^2)/(2*EvSigma^2))))),"")</f>
        <v/>
      </c>
      <c r="O1150">
        <f>IF(B1150,ROUND(MAX(0,J1150*K1150*L1150*M1150*N1150),2),"")</f>
        <v/>
      </c>
    </row>
    <row r="1151">
      <c r="A1151" t="n">
        <v>1150</v>
      </c>
      <c r="B1151">
        <f>A1151&lt;=MineCount*Days</f>
        <v/>
      </c>
      <c r="C1151">
        <f>IF(B1151,INT((A1151-1)/Days)+1,"")</f>
        <v/>
      </c>
      <c r="D1151">
        <f>IF(B1151,MOD(A1151-1,Days),"")</f>
        <v/>
      </c>
      <c r="E1151" s="16">
        <f>IF(B1151,StartDate+D1151,"")</f>
        <v/>
      </c>
      <c r="F1151">
        <f>IF(B1151,MAX(MOD(SIN(Seed*0.1373+C1151*12.9898+D1151*78.233)*43758.5453,1),1E-9),"")</f>
        <v/>
      </c>
      <c r="G1151">
        <f>IF(B1151,MOD(SIN(Seed*0.5917+C1151*39.3468+D1151*11.135)*24634.6345,1),"")</f>
        <v/>
      </c>
      <c r="H1151">
        <f>IF(B1151,SQRT(-2*LN(F1151))*COS(2*PI()*G1151),"")</f>
        <v/>
      </c>
      <c r="I1151">
        <f>IF(B1151,IF(D1151=0,H1151,Rho*I1150+SQRT(1-Rho^2)*H1151),"")</f>
        <v/>
      </c>
      <c r="J1151">
        <f>IF(B1151,IF(Dist="Normal",DistA+DistB*I1151,DistA+(DistB-DistA)*NORMSDIST(I1151)),"")</f>
        <v/>
      </c>
      <c r="K1151">
        <f>IF(B1151,INDEX(MineScale,C1151),"")</f>
        <v/>
      </c>
      <c r="L1151">
        <f>IF(B1151,INDEX(Dow,1,WEEKDAY(E1151,2)),"")</f>
        <v/>
      </c>
      <c r="M1151">
        <f>IF(B1151,(1+Trend)^D1151,"")</f>
        <v/>
      </c>
      <c r="N1151">
        <f>IF(B1151,EXP(SUMPRODUCT(LN(1+(EvEff-1)*INDEX(Affected,0,C1151)*EXP(-((E1151-EvCenter)^2)/(2*EvSigma^2))))),"")</f>
        <v/>
      </c>
      <c r="O1151">
        <f>IF(B1151,ROUND(MAX(0,J1151*K1151*L1151*M1151*N1151),2),"")</f>
        <v/>
      </c>
    </row>
    <row r="1152">
      <c r="A1152" t="n">
        <v>1151</v>
      </c>
      <c r="B1152">
        <f>A1152&lt;=MineCount*Days</f>
        <v/>
      </c>
      <c r="C1152">
        <f>IF(B1152,INT((A1152-1)/Days)+1,"")</f>
        <v/>
      </c>
      <c r="D1152">
        <f>IF(B1152,MOD(A1152-1,Days),"")</f>
        <v/>
      </c>
      <c r="E1152" s="16">
        <f>IF(B1152,StartDate+D1152,"")</f>
        <v/>
      </c>
      <c r="F1152">
        <f>IF(B1152,MAX(MOD(SIN(Seed*0.1373+C1152*12.9898+D1152*78.233)*43758.5453,1),1E-9),"")</f>
        <v/>
      </c>
      <c r="G1152">
        <f>IF(B1152,MOD(SIN(Seed*0.5917+C1152*39.3468+D1152*11.135)*24634.6345,1),"")</f>
        <v/>
      </c>
      <c r="H1152">
        <f>IF(B1152,SQRT(-2*LN(F1152))*COS(2*PI()*G1152),"")</f>
        <v/>
      </c>
      <c r="I1152">
        <f>IF(B1152,IF(D1152=0,H1152,Rho*I1151+SQRT(1-Rho^2)*H1152),"")</f>
        <v/>
      </c>
      <c r="J1152">
        <f>IF(B1152,IF(Dist="Normal",DistA+DistB*I1152,DistA+(DistB-DistA)*NORMSDIST(I1152)),"")</f>
        <v/>
      </c>
      <c r="K1152">
        <f>IF(B1152,INDEX(MineScale,C1152),"")</f>
        <v/>
      </c>
      <c r="L1152">
        <f>IF(B1152,INDEX(Dow,1,WEEKDAY(E1152,2)),"")</f>
        <v/>
      </c>
      <c r="M1152">
        <f>IF(B1152,(1+Trend)^D1152,"")</f>
        <v/>
      </c>
      <c r="N1152">
        <f>IF(B1152,EXP(SUMPRODUCT(LN(1+(EvEff-1)*INDEX(Affected,0,C1152)*EXP(-((E1152-EvCenter)^2)/(2*EvSigma^2))))),"")</f>
        <v/>
      </c>
      <c r="O1152">
        <f>IF(B1152,ROUND(MAX(0,J1152*K1152*L1152*M1152*N1152),2),"")</f>
        <v/>
      </c>
    </row>
    <row r="1153">
      <c r="A1153" t="n">
        <v>1152</v>
      </c>
      <c r="B1153">
        <f>A1153&lt;=MineCount*Days</f>
        <v/>
      </c>
      <c r="C1153">
        <f>IF(B1153,INT((A1153-1)/Days)+1,"")</f>
        <v/>
      </c>
      <c r="D1153">
        <f>IF(B1153,MOD(A1153-1,Days),"")</f>
        <v/>
      </c>
      <c r="E1153" s="16">
        <f>IF(B1153,StartDate+D1153,"")</f>
        <v/>
      </c>
      <c r="F1153">
        <f>IF(B1153,MAX(MOD(SIN(Seed*0.1373+C1153*12.9898+D1153*78.233)*43758.5453,1),1E-9),"")</f>
        <v/>
      </c>
      <c r="G1153">
        <f>IF(B1153,MOD(SIN(Seed*0.5917+C1153*39.3468+D1153*11.135)*24634.6345,1),"")</f>
        <v/>
      </c>
      <c r="H1153">
        <f>IF(B1153,SQRT(-2*LN(F1153))*COS(2*PI()*G1153),"")</f>
        <v/>
      </c>
      <c r="I1153">
        <f>IF(B1153,IF(D1153=0,H1153,Rho*I1152+SQRT(1-Rho^2)*H1153),"")</f>
        <v/>
      </c>
      <c r="J1153">
        <f>IF(B1153,IF(Dist="Normal",DistA+DistB*I1153,DistA+(DistB-DistA)*NORMSDIST(I1153)),"")</f>
        <v/>
      </c>
      <c r="K1153">
        <f>IF(B1153,INDEX(MineScale,C1153),"")</f>
        <v/>
      </c>
      <c r="L1153">
        <f>IF(B1153,INDEX(Dow,1,WEEKDAY(E1153,2)),"")</f>
        <v/>
      </c>
      <c r="M1153">
        <f>IF(B1153,(1+Trend)^D1153,"")</f>
        <v/>
      </c>
      <c r="N1153">
        <f>IF(B1153,EXP(SUMPRODUCT(LN(1+(EvEff-1)*INDEX(Affected,0,C1153)*EXP(-((E1153-EvCenter)^2)/(2*EvSigma^2))))),"")</f>
        <v/>
      </c>
      <c r="O1153">
        <f>IF(B1153,ROUND(MAX(0,J1153*K1153*L1153*M1153*N1153),2),"")</f>
        <v/>
      </c>
    </row>
    <row r="1154">
      <c r="A1154" t="n">
        <v>1153</v>
      </c>
      <c r="B1154">
        <f>A1154&lt;=MineCount*Days</f>
        <v/>
      </c>
      <c r="C1154">
        <f>IF(B1154,INT((A1154-1)/Days)+1,"")</f>
        <v/>
      </c>
      <c r="D1154">
        <f>IF(B1154,MOD(A1154-1,Days),"")</f>
        <v/>
      </c>
      <c r="E1154" s="16">
        <f>IF(B1154,StartDate+D1154,"")</f>
        <v/>
      </c>
      <c r="F1154">
        <f>IF(B1154,MAX(MOD(SIN(Seed*0.1373+C1154*12.9898+D1154*78.233)*43758.5453,1),1E-9),"")</f>
        <v/>
      </c>
      <c r="G1154">
        <f>IF(B1154,MOD(SIN(Seed*0.5917+C1154*39.3468+D1154*11.135)*24634.6345,1),"")</f>
        <v/>
      </c>
      <c r="H1154">
        <f>IF(B1154,SQRT(-2*LN(F1154))*COS(2*PI()*G1154),"")</f>
        <v/>
      </c>
      <c r="I1154">
        <f>IF(B1154,IF(D1154=0,H1154,Rho*I1153+SQRT(1-Rho^2)*H1154),"")</f>
        <v/>
      </c>
      <c r="J1154">
        <f>IF(B1154,IF(Dist="Normal",DistA+DistB*I1154,DistA+(DistB-DistA)*NORMSDIST(I1154)),"")</f>
        <v/>
      </c>
      <c r="K1154">
        <f>IF(B1154,INDEX(MineScale,C1154),"")</f>
        <v/>
      </c>
      <c r="L1154">
        <f>IF(B1154,INDEX(Dow,1,WEEKDAY(E1154,2)),"")</f>
        <v/>
      </c>
      <c r="M1154">
        <f>IF(B1154,(1+Trend)^D1154,"")</f>
        <v/>
      </c>
      <c r="N1154">
        <f>IF(B1154,EXP(SUMPRODUCT(LN(1+(EvEff-1)*INDEX(Affected,0,C1154)*EXP(-((E1154-EvCenter)^2)/(2*EvSigma^2))))),"")</f>
        <v/>
      </c>
      <c r="O1154">
        <f>IF(B1154,ROUND(MAX(0,J1154*K1154*L1154*M1154*N1154),2),"")</f>
        <v/>
      </c>
    </row>
    <row r="1155">
      <c r="A1155" t="n">
        <v>1154</v>
      </c>
      <c r="B1155">
        <f>A1155&lt;=MineCount*Days</f>
        <v/>
      </c>
      <c r="C1155">
        <f>IF(B1155,INT((A1155-1)/Days)+1,"")</f>
        <v/>
      </c>
      <c r="D1155">
        <f>IF(B1155,MOD(A1155-1,Days),"")</f>
        <v/>
      </c>
      <c r="E1155" s="16">
        <f>IF(B1155,StartDate+D1155,"")</f>
        <v/>
      </c>
      <c r="F1155">
        <f>IF(B1155,MAX(MOD(SIN(Seed*0.1373+C1155*12.9898+D1155*78.233)*43758.5453,1),1E-9),"")</f>
        <v/>
      </c>
      <c r="G1155">
        <f>IF(B1155,MOD(SIN(Seed*0.5917+C1155*39.3468+D1155*11.135)*24634.6345,1),"")</f>
        <v/>
      </c>
      <c r="H1155">
        <f>IF(B1155,SQRT(-2*LN(F1155))*COS(2*PI()*G1155),"")</f>
        <v/>
      </c>
      <c r="I1155">
        <f>IF(B1155,IF(D1155=0,H1155,Rho*I1154+SQRT(1-Rho^2)*H1155),"")</f>
        <v/>
      </c>
      <c r="J1155">
        <f>IF(B1155,IF(Dist="Normal",DistA+DistB*I1155,DistA+(DistB-DistA)*NORMSDIST(I1155)),"")</f>
        <v/>
      </c>
      <c r="K1155">
        <f>IF(B1155,INDEX(MineScale,C1155),"")</f>
        <v/>
      </c>
      <c r="L1155">
        <f>IF(B1155,INDEX(Dow,1,WEEKDAY(E1155,2)),"")</f>
        <v/>
      </c>
      <c r="M1155">
        <f>IF(B1155,(1+Trend)^D1155,"")</f>
        <v/>
      </c>
      <c r="N1155">
        <f>IF(B1155,EXP(SUMPRODUCT(LN(1+(EvEff-1)*INDEX(Affected,0,C1155)*EXP(-((E1155-EvCenter)^2)/(2*EvSigma^2))))),"")</f>
        <v/>
      </c>
      <c r="O1155">
        <f>IF(B1155,ROUND(MAX(0,J1155*K1155*L1155*M1155*N1155),2),"")</f>
        <v/>
      </c>
    </row>
    <row r="1156">
      <c r="A1156" t="n">
        <v>1155</v>
      </c>
      <c r="B1156">
        <f>A1156&lt;=MineCount*Days</f>
        <v/>
      </c>
      <c r="C1156">
        <f>IF(B1156,INT((A1156-1)/Days)+1,"")</f>
        <v/>
      </c>
      <c r="D1156">
        <f>IF(B1156,MOD(A1156-1,Days),"")</f>
        <v/>
      </c>
      <c r="E1156" s="16">
        <f>IF(B1156,StartDate+D1156,"")</f>
        <v/>
      </c>
      <c r="F1156">
        <f>IF(B1156,MAX(MOD(SIN(Seed*0.1373+C1156*12.9898+D1156*78.233)*43758.5453,1),1E-9),"")</f>
        <v/>
      </c>
      <c r="G1156">
        <f>IF(B1156,MOD(SIN(Seed*0.5917+C1156*39.3468+D1156*11.135)*24634.6345,1),"")</f>
        <v/>
      </c>
      <c r="H1156">
        <f>IF(B1156,SQRT(-2*LN(F1156))*COS(2*PI()*G1156),"")</f>
        <v/>
      </c>
      <c r="I1156">
        <f>IF(B1156,IF(D1156=0,H1156,Rho*I1155+SQRT(1-Rho^2)*H1156),"")</f>
        <v/>
      </c>
      <c r="J1156">
        <f>IF(B1156,IF(Dist="Normal",DistA+DistB*I1156,DistA+(DistB-DistA)*NORMSDIST(I1156)),"")</f>
        <v/>
      </c>
      <c r="K1156">
        <f>IF(B1156,INDEX(MineScale,C1156),"")</f>
        <v/>
      </c>
      <c r="L1156">
        <f>IF(B1156,INDEX(Dow,1,WEEKDAY(E1156,2)),"")</f>
        <v/>
      </c>
      <c r="M1156">
        <f>IF(B1156,(1+Trend)^D1156,"")</f>
        <v/>
      </c>
      <c r="N1156">
        <f>IF(B1156,EXP(SUMPRODUCT(LN(1+(EvEff-1)*INDEX(Affected,0,C1156)*EXP(-((E1156-EvCenter)^2)/(2*EvSigma^2))))),"")</f>
        <v/>
      </c>
      <c r="O1156">
        <f>IF(B1156,ROUND(MAX(0,J1156*K1156*L1156*M1156*N1156),2),"")</f>
        <v/>
      </c>
    </row>
    <row r="1157">
      <c r="A1157" t="n">
        <v>1156</v>
      </c>
      <c r="B1157">
        <f>A1157&lt;=MineCount*Days</f>
        <v/>
      </c>
      <c r="C1157">
        <f>IF(B1157,INT((A1157-1)/Days)+1,"")</f>
        <v/>
      </c>
      <c r="D1157">
        <f>IF(B1157,MOD(A1157-1,Days),"")</f>
        <v/>
      </c>
      <c r="E1157" s="16">
        <f>IF(B1157,StartDate+D1157,"")</f>
        <v/>
      </c>
      <c r="F1157">
        <f>IF(B1157,MAX(MOD(SIN(Seed*0.1373+C1157*12.9898+D1157*78.233)*43758.5453,1),1E-9),"")</f>
        <v/>
      </c>
      <c r="G1157">
        <f>IF(B1157,MOD(SIN(Seed*0.5917+C1157*39.3468+D1157*11.135)*24634.6345,1),"")</f>
        <v/>
      </c>
      <c r="H1157">
        <f>IF(B1157,SQRT(-2*LN(F1157))*COS(2*PI()*G1157),"")</f>
        <v/>
      </c>
      <c r="I1157">
        <f>IF(B1157,IF(D1157=0,H1157,Rho*I1156+SQRT(1-Rho^2)*H1157),"")</f>
        <v/>
      </c>
      <c r="J1157">
        <f>IF(B1157,IF(Dist="Normal",DistA+DistB*I1157,DistA+(DistB-DistA)*NORMSDIST(I1157)),"")</f>
        <v/>
      </c>
      <c r="K1157">
        <f>IF(B1157,INDEX(MineScale,C1157),"")</f>
        <v/>
      </c>
      <c r="L1157">
        <f>IF(B1157,INDEX(Dow,1,WEEKDAY(E1157,2)),"")</f>
        <v/>
      </c>
      <c r="M1157">
        <f>IF(B1157,(1+Trend)^D1157,"")</f>
        <v/>
      </c>
      <c r="N1157">
        <f>IF(B1157,EXP(SUMPRODUCT(LN(1+(EvEff-1)*INDEX(Affected,0,C1157)*EXP(-((E1157-EvCenter)^2)/(2*EvSigma^2))))),"")</f>
        <v/>
      </c>
      <c r="O1157">
        <f>IF(B1157,ROUND(MAX(0,J1157*K1157*L1157*M1157*N1157),2),"")</f>
        <v/>
      </c>
    </row>
    <row r="1158">
      <c r="A1158" t="n">
        <v>1157</v>
      </c>
      <c r="B1158">
        <f>A1158&lt;=MineCount*Days</f>
        <v/>
      </c>
      <c r="C1158">
        <f>IF(B1158,INT((A1158-1)/Days)+1,"")</f>
        <v/>
      </c>
      <c r="D1158">
        <f>IF(B1158,MOD(A1158-1,Days),"")</f>
        <v/>
      </c>
      <c r="E1158" s="16">
        <f>IF(B1158,StartDate+D1158,"")</f>
        <v/>
      </c>
      <c r="F1158">
        <f>IF(B1158,MAX(MOD(SIN(Seed*0.1373+C1158*12.9898+D1158*78.233)*43758.5453,1),1E-9),"")</f>
        <v/>
      </c>
      <c r="G1158">
        <f>IF(B1158,MOD(SIN(Seed*0.5917+C1158*39.3468+D1158*11.135)*24634.6345,1),"")</f>
        <v/>
      </c>
      <c r="H1158">
        <f>IF(B1158,SQRT(-2*LN(F1158))*COS(2*PI()*G1158),"")</f>
        <v/>
      </c>
      <c r="I1158">
        <f>IF(B1158,IF(D1158=0,H1158,Rho*I1157+SQRT(1-Rho^2)*H1158),"")</f>
        <v/>
      </c>
      <c r="J1158">
        <f>IF(B1158,IF(Dist="Normal",DistA+DistB*I1158,DistA+(DistB-DistA)*NORMSDIST(I1158)),"")</f>
        <v/>
      </c>
      <c r="K1158">
        <f>IF(B1158,INDEX(MineScale,C1158),"")</f>
        <v/>
      </c>
      <c r="L1158">
        <f>IF(B1158,INDEX(Dow,1,WEEKDAY(E1158,2)),"")</f>
        <v/>
      </c>
      <c r="M1158">
        <f>IF(B1158,(1+Trend)^D1158,"")</f>
        <v/>
      </c>
      <c r="N1158">
        <f>IF(B1158,EXP(SUMPRODUCT(LN(1+(EvEff-1)*INDEX(Affected,0,C1158)*EXP(-((E1158-EvCenter)^2)/(2*EvSigma^2))))),"")</f>
        <v/>
      </c>
      <c r="O1158">
        <f>IF(B1158,ROUND(MAX(0,J1158*K1158*L1158*M1158*N1158),2),"")</f>
        <v/>
      </c>
    </row>
    <row r="1159">
      <c r="A1159" t="n">
        <v>1158</v>
      </c>
      <c r="B1159">
        <f>A1159&lt;=MineCount*Days</f>
        <v/>
      </c>
      <c r="C1159">
        <f>IF(B1159,INT((A1159-1)/Days)+1,"")</f>
        <v/>
      </c>
      <c r="D1159">
        <f>IF(B1159,MOD(A1159-1,Days),"")</f>
        <v/>
      </c>
      <c r="E1159" s="16">
        <f>IF(B1159,StartDate+D1159,"")</f>
        <v/>
      </c>
      <c r="F1159">
        <f>IF(B1159,MAX(MOD(SIN(Seed*0.1373+C1159*12.9898+D1159*78.233)*43758.5453,1),1E-9),"")</f>
        <v/>
      </c>
      <c r="G1159">
        <f>IF(B1159,MOD(SIN(Seed*0.5917+C1159*39.3468+D1159*11.135)*24634.6345,1),"")</f>
        <v/>
      </c>
      <c r="H1159">
        <f>IF(B1159,SQRT(-2*LN(F1159))*COS(2*PI()*G1159),"")</f>
        <v/>
      </c>
      <c r="I1159">
        <f>IF(B1159,IF(D1159=0,H1159,Rho*I1158+SQRT(1-Rho^2)*H1159),"")</f>
        <v/>
      </c>
      <c r="J1159">
        <f>IF(B1159,IF(Dist="Normal",DistA+DistB*I1159,DistA+(DistB-DistA)*NORMSDIST(I1159)),"")</f>
        <v/>
      </c>
      <c r="K1159">
        <f>IF(B1159,INDEX(MineScale,C1159),"")</f>
        <v/>
      </c>
      <c r="L1159">
        <f>IF(B1159,INDEX(Dow,1,WEEKDAY(E1159,2)),"")</f>
        <v/>
      </c>
      <c r="M1159">
        <f>IF(B1159,(1+Trend)^D1159,"")</f>
        <v/>
      </c>
      <c r="N1159">
        <f>IF(B1159,EXP(SUMPRODUCT(LN(1+(EvEff-1)*INDEX(Affected,0,C1159)*EXP(-((E1159-EvCenter)^2)/(2*EvSigma^2))))),"")</f>
        <v/>
      </c>
      <c r="O1159">
        <f>IF(B1159,ROUND(MAX(0,J1159*K1159*L1159*M1159*N1159),2),"")</f>
        <v/>
      </c>
    </row>
    <row r="1160">
      <c r="A1160" t="n">
        <v>1159</v>
      </c>
      <c r="B1160">
        <f>A1160&lt;=MineCount*Days</f>
        <v/>
      </c>
      <c r="C1160">
        <f>IF(B1160,INT((A1160-1)/Days)+1,"")</f>
        <v/>
      </c>
      <c r="D1160">
        <f>IF(B1160,MOD(A1160-1,Days),"")</f>
        <v/>
      </c>
      <c r="E1160" s="16">
        <f>IF(B1160,StartDate+D1160,"")</f>
        <v/>
      </c>
      <c r="F1160">
        <f>IF(B1160,MAX(MOD(SIN(Seed*0.1373+C1160*12.9898+D1160*78.233)*43758.5453,1),1E-9),"")</f>
        <v/>
      </c>
      <c r="G1160">
        <f>IF(B1160,MOD(SIN(Seed*0.5917+C1160*39.3468+D1160*11.135)*24634.6345,1),"")</f>
        <v/>
      </c>
      <c r="H1160">
        <f>IF(B1160,SQRT(-2*LN(F1160))*COS(2*PI()*G1160),"")</f>
        <v/>
      </c>
      <c r="I1160">
        <f>IF(B1160,IF(D1160=0,H1160,Rho*I1159+SQRT(1-Rho^2)*H1160),"")</f>
        <v/>
      </c>
      <c r="J1160">
        <f>IF(B1160,IF(Dist="Normal",DistA+DistB*I1160,DistA+(DistB-DistA)*NORMSDIST(I1160)),"")</f>
        <v/>
      </c>
      <c r="K1160">
        <f>IF(B1160,INDEX(MineScale,C1160),"")</f>
        <v/>
      </c>
      <c r="L1160">
        <f>IF(B1160,INDEX(Dow,1,WEEKDAY(E1160,2)),"")</f>
        <v/>
      </c>
      <c r="M1160">
        <f>IF(B1160,(1+Trend)^D1160,"")</f>
        <v/>
      </c>
      <c r="N1160">
        <f>IF(B1160,EXP(SUMPRODUCT(LN(1+(EvEff-1)*INDEX(Affected,0,C1160)*EXP(-((E1160-EvCenter)^2)/(2*EvSigma^2))))),"")</f>
        <v/>
      </c>
      <c r="O1160">
        <f>IF(B1160,ROUND(MAX(0,J1160*K1160*L1160*M1160*N1160),2),"")</f>
        <v/>
      </c>
    </row>
    <row r="1161">
      <c r="A1161" t="n">
        <v>1160</v>
      </c>
      <c r="B1161">
        <f>A1161&lt;=MineCount*Days</f>
        <v/>
      </c>
      <c r="C1161">
        <f>IF(B1161,INT((A1161-1)/Days)+1,"")</f>
        <v/>
      </c>
      <c r="D1161">
        <f>IF(B1161,MOD(A1161-1,Days),"")</f>
        <v/>
      </c>
      <c r="E1161" s="16">
        <f>IF(B1161,StartDate+D1161,"")</f>
        <v/>
      </c>
      <c r="F1161">
        <f>IF(B1161,MAX(MOD(SIN(Seed*0.1373+C1161*12.9898+D1161*78.233)*43758.5453,1),1E-9),"")</f>
        <v/>
      </c>
      <c r="G1161">
        <f>IF(B1161,MOD(SIN(Seed*0.5917+C1161*39.3468+D1161*11.135)*24634.6345,1),"")</f>
        <v/>
      </c>
      <c r="H1161">
        <f>IF(B1161,SQRT(-2*LN(F1161))*COS(2*PI()*G1161),"")</f>
        <v/>
      </c>
      <c r="I1161">
        <f>IF(B1161,IF(D1161=0,H1161,Rho*I1160+SQRT(1-Rho^2)*H1161),"")</f>
        <v/>
      </c>
      <c r="J1161">
        <f>IF(B1161,IF(Dist="Normal",DistA+DistB*I1161,DistA+(DistB-DistA)*NORMSDIST(I1161)),"")</f>
        <v/>
      </c>
      <c r="K1161">
        <f>IF(B1161,INDEX(MineScale,C1161),"")</f>
        <v/>
      </c>
      <c r="L1161">
        <f>IF(B1161,INDEX(Dow,1,WEEKDAY(E1161,2)),"")</f>
        <v/>
      </c>
      <c r="M1161">
        <f>IF(B1161,(1+Trend)^D1161,"")</f>
        <v/>
      </c>
      <c r="N1161">
        <f>IF(B1161,EXP(SUMPRODUCT(LN(1+(EvEff-1)*INDEX(Affected,0,C1161)*EXP(-((E1161-EvCenter)^2)/(2*EvSigma^2))))),"")</f>
        <v/>
      </c>
      <c r="O1161">
        <f>IF(B1161,ROUND(MAX(0,J1161*K1161*L1161*M1161*N1161),2),"")</f>
        <v/>
      </c>
    </row>
    <row r="1162">
      <c r="A1162" t="n">
        <v>1161</v>
      </c>
      <c r="B1162">
        <f>A1162&lt;=MineCount*Days</f>
        <v/>
      </c>
      <c r="C1162">
        <f>IF(B1162,INT((A1162-1)/Days)+1,"")</f>
        <v/>
      </c>
      <c r="D1162">
        <f>IF(B1162,MOD(A1162-1,Days),"")</f>
        <v/>
      </c>
      <c r="E1162" s="16">
        <f>IF(B1162,StartDate+D1162,"")</f>
        <v/>
      </c>
      <c r="F1162">
        <f>IF(B1162,MAX(MOD(SIN(Seed*0.1373+C1162*12.9898+D1162*78.233)*43758.5453,1),1E-9),"")</f>
        <v/>
      </c>
      <c r="G1162">
        <f>IF(B1162,MOD(SIN(Seed*0.5917+C1162*39.3468+D1162*11.135)*24634.6345,1),"")</f>
        <v/>
      </c>
      <c r="H1162">
        <f>IF(B1162,SQRT(-2*LN(F1162))*COS(2*PI()*G1162),"")</f>
        <v/>
      </c>
      <c r="I1162">
        <f>IF(B1162,IF(D1162=0,H1162,Rho*I1161+SQRT(1-Rho^2)*H1162),"")</f>
        <v/>
      </c>
      <c r="J1162">
        <f>IF(B1162,IF(Dist="Normal",DistA+DistB*I1162,DistA+(DistB-DistA)*NORMSDIST(I1162)),"")</f>
        <v/>
      </c>
      <c r="K1162">
        <f>IF(B1162,INDEX(MineScale,C1162),"")</f>
        <v/>
      </c>
      <c r="L1162">
        <f>IF(B1162,INDEX(Dow,1,WEEKDAY(E1162,2)),"")</f>
        <v/>
      </c>
      <c r="M1162">
        <f>IF(B1162,(1+Trend)^D1162,"")</f>
        <v/>
      </c>
      <c r="N1162">
        <f>IF(B1162,EXP(SUMPRODUCT(LN(1+(EvEff-1)*INDEX(Affected,0,C1162)*EXP(-((E1162-EvCenter)^2)/(2*EvSigma^2))))),"")</f>
        <v/>
      </c>
      <c r="O1162">
        <f>IF(B1162,ROUND(MAX(0,J1162*K1162*L1162*M1162*N1162),2),"")</f>
        <v/>
      </c>
    </row>
    <row r="1163">
      <c r="A1163" t="n">
        <v>1162</v>
      </c>
      <c r="B1163">
        <f>A1163&lt;=MineCount*Days</f>
        <v/>
      </c>
      <c r="C1163">
        <f>IF(B1163,INT((A1163-1)/Days)+1,"")</f>
        <v/>
      </c>
      <c r="D1163">
        <f>IF(B1163,MOD(A1163-1,Days),"")</f>
        <v/>
      </c>
      <c r="E1163" s="16">
        <f>IF(B1163,StartDate+D1163,"")</f>
        <v/>
      </c>
      <c r="F1163">
        <f>IF(B1163,MAX(MOD(SIN(Seed*0.1373+C1163*12.9898+D1163*78.233)*43758.5453,1),1E-9),"")</f>
        <v/>
      </c>
      <c r="G1163">
        <f>IF(B1163,MOD(SIN(Seed*0.5917+C1163*39.3468+D1163*11.135)*24634.6345,1),"")</f>
        <v/>
      </c>
      <c r="H1163">
        <f>IF(B1163,SQRT(-2*LN(F1163))*COS(2*PI()*G1163),"")</f>
        <v/>
      </c>
      <c r="I1163">
        <f>IF(B1163,IF(D1163=0,H1163,Rho*I1162+SQRT(1-Rho^2)*H1163),"")</f>
        <v/>
      </c>
      <c r="J1163">
        <f>IF(B1163,IF(Dist="Normal",DistA+DistB*I1163,DistA+(DistB-DistA)*NORMSDIST(I1163)),"")</f>
        <v/>
      </c>
      <c r="K1163">
        <f>IF(B1163,INDEX(MineScale,C1163),"")</f>
        <v/>
      </c>
      <c r="L1163">
        <f>IF(B1163,INDEX(Dow,1,WEEKDAY(E1163,2)),"")</f>
        <v/>
      </c>
      <c r="M1163">
        <f>IF(B1163,(1+Trend)^D1163,"")</f>
        <v/>
      </c>
      <c r="N1163">
        <f>IF(B1163,EXP(SUMPRODUCT(LN(1+(EvEff-1)*INDEX(Affected,0,C1163)*EXP(-((E1163-EvCenter)^2)/(2*EvSigma^2))))),"")</f>
        <v/>
      </c>
      <c r="O1163">
        <f>IF(B1163,ROUND(MAX(0,J1163*K1163*L1163*M1163*N1163),2),"")</f>
        <v/>
      </c>
    </row>
    <row r="1164">
      <c r="A1164" t="n">
        <v>1163</v>
      </c>
      <c r="B1164">
        <f>A1164&lt;=MineCount*Days</f>
        <v/>
      </c>
      <c r="C1164">
        <f>IF(B1164,INT((A1164-1)/Days)+1,"")</f>
        <v/>
      </c>
      <c r="D1164">
        <f>IF(B1164,MOD(A1164-1,Days),"")</f>
        <v/>
      </c>
      <c r="E1164" s="16">
        <f>IF(B1164,StartDate+D1164,"")</f>
        <v/>
      </c>
      <c r="F1164">
        <f>IF(B1164,MAX(MOD(SIN(Seed*0.1373+C1164*12.9898+D1164*78.233)*43758.5453,1),1E-9),"")</f>
        <v/>
      </c>
      <c r="G1164">
        <f>IF(B1164,MOD(SIN(Seed*0.5917+C1164*39.3468+D1164*11.135)*24634.6345,1),"")</f>
        <v/>
      </c>
      <c r="H1164">
        <f>IF(B1164,SQRT(-2*LN(F1164))*COS(2*PI()*G1164),"")</f>
        <v/>
      </c>
      <c r="I1164">
        <f>IF(B1164,IF(D1164=0,H1164,Rho*I1163+SQRT(1-Rho^2)*H1164),"")</f>
        <v/>
      </c>
      <c r="J1164">
        <f>IF(B1164,IF(Dist="Normal",DistA+DistB*I1164,DistA+(DistB-DistA)*NORMSDIST(I1164)),"")</f>
        <v/>
      </c>
      <c r="K1164">
        <f>IF(B1164,INDEX(MineScale,C1164),"")</f>
        <v/>
      </c>
      <c r="L1164">
        <f>IF(B1164,INDEX(Dow,1,WEEKDAY(E1164,2)),"")</f>
        <v/>
      </c>
      <c r="M1164">
        <f>IF(B1164,(1+Trend)^D1164,"")</f>
        <v/>
      </c>
      <c r="N1164">
        <f>IF(B1164,EXP(SUMPRODUCT(LN(1+(EvEff-1)*INDEX(Affected,0,C1164)*EXP(-((E1164-EvCenter)^2)/(2*EvSigma^2))))),"")</f>
        <v/>
      </c>
      <c r="O1164">
        <f>IF(B1164,ROUND(MAX(0,J1164*K1164*L1164*M1164*N1164),2),"")</f>
        <v/>
      </c>
    </row>
    <row r="1165">
      <c r="A1165" t="n">
        <v>1164</v>
      </c>
      <c r="B1165">
        <f>A1165&lt;=MineCount*Days</f>
        <v/>
      </c>
      <c r="C1165">
        <f>IF(B1165,INT((A1165-1)/Days)+1,"")</f>
        <v/>
      </c>
      <c r="D1165">
        <f>IF(B1165,MOD(A1165-1,Days),"")</f>
        <v/>
      </c>
      <c r="E1165" s="16">
        <f>IF(B1165,StartDate+D1165,"")</f>
        <v/>
      </c>
      <c r="F1165">
        <f>IF(B1165,MAX(MOD(SIN(Seed*0.1373+C1165*12.9898+D1165*78.233)*43758.5453,1),1E-9),"")</f>
        <v/>
      </c>
      <c r="G1165">
        <f>IF(B1165,MOD(SIN(Seed*0.5917+C1165*39.3468+D1165*11.135)*24634.6345,1),"")</f>
        <v/>
      </c>
      <c r="H1165">
        <f>IF(B1165,SQRT(-2*LN(F1165))*COS(2*PI()*G1165),"")</f>
        <v/>
      </c>
      <c r="I1165">
        <f>IF(B1165,IF(D1165=0,H1165,Rho*I1164+SQRT(1-Rho^2)*H1165),"")</f>
        <v/>
      </c>
      <c r="J1165">
        <f>IF(B1165,IF(Dist="Normal",DistA+DistB*I1165,DistA+(DistB-DistA)*NORMSDIST(I1165)),"")</f>
        <v/>
      </c>
      <c r="K1165">
        <f>IF(B1165,INDEX(MineScale,C1165),"")</f>
        <v/>
      </c>
      <c r="L1165">
        <f>IF(B1165,INDEX(Dow,1,WEEKDAY(E1165,2)),"")</f>
        <v/>
      </c>
      <c r="M1165">
        <f>IF(B1165,(1+Trend)^D1165,"")</f>
        <v/>
      </c>
      <c r="N1165">
        <f>IF(B1165,EXP(SUMPRODUCT(LN(1+(EvEff-1)*INDEX(Affected,0,C1165)*EXP(-((E1165-EvCenter)^2)/(2*EvSigma^2))))),"")</f>
        <v/>
      </c>
      <c r="O1165">
        <f>IF(B1165,ROUND(MAX(0,J1165*K1165*L1165*M1165*N1165),2),"")</f>
        <v/>
      </c>
    </row>
    <row r="1166">
      <c r="A1166" t="n">
        <v>1165</v>
      </c>
      <c r="B1166">
        <f>A1166&lt;=MineCount*Days</f>
        <v/>
      </c>
      <c r="C1166">
        <f>IF(B1166,INT((A1166-1)/Days)+1,"")</f>
        <v/>
      </c>
      <c r="D1166">
        <f>IF(B1166,MOD(A1166-1,Days),"")</f>
        <v/>
      </c>
      <c r="E1166" s="16">
        <f>IF(B1166,StartDate+D1166,"")</f>
        <v/>
      </c>
      <c r="F1166">
        <f>IF(B1166,MAX(MOD(SIN(Seed*0.1373+C1166*12.9898+D1166*78.233)*43758.5453,1),1E-9),"")</f>
        <v/>
      </c>
      <c r="G1166">
        <f>IF(B1166,MOD(SIN(Seed*0.5917+C1166*39.3468+D1166*11.135)*24634.6345,1),"")</f>
        <v/>
      </c>
      <c r="H1166">
        <f>IF(B1166,SQRT(-2*LN(F1166))*COS(2*PI()*G1166),"")</f>
        <v/>
      </c>
      <c r="I1166">
        <f>IF(B1166,IF(D1166=0,H1166,Rho*I1165+SQRT(1-Rho^2)*H1166),"")</f>
        <v/>
      </c>
      <c r="J1166">
        <f>IF(B1166,IF(Dist="Normal",DistA+DistB*I1166,DistA+(DistB-DistA)*NORMSDIST(I1166)),"")</f>
        <v/>
      </c>
      <c r="K1166">
        <f>IF(B1166,INDEX(MineScale,C1166),"")</f>
        <v/>
      </c>
      <c r="L1166">
        <f>IF(B1166,INDEX(Dow,1,WEEKDAY(E1166,2)),"")</f>
        <v/>
      </c>
      <c r="M1166">
        <f>IF(B1166,(1+Trend)^D1166,"")</f>
        <v/>
      </c>
      <c r="N1166">
        <f>IF(B1166,EXP(SUMPRODUCT(LN(1+(EvEff-1)*INDEX(Affected,0,C1166)*EXP(-((E1166-EvCenter)^2)/(2*EvSigma^2))))),"")</f>
        <v/>
      </c>
      <c r="O1166">
        <f>IF(B1166,ROUND(MAX(0,J1166*K1166*L1166*M1166*N1166),2),"")</f>
        <v/>
      </c>
    </row>
    <row r="1167">
      <c r="A1167" t="n">
        <v>1166</v>
      </c>
      <c r="B1167">
        <f>A1167&lt;=MineCount*Days</f>
        <v/>
      </c>
      <c r="C1167">
        <f>IF(B1167,INT((A1167-1)/Days)+1,"")</f>
        <v/>
      </c>
      <c r="D1167">
        <f>IF(B1167,MOD(A1167-1,Days),"")</f>
        <v/>
      </c>
      <c r="E1167" s="16">
        <f>IF(B1167,StartDate+D1167,"")</f>
        <v/>
      </c>
      <c r="F1167">
        <f>IF(B1167,MAX(MOD(SIN(Seed*0.1373+C1167*12.9898+D1167*78.233)*43758.5453,1),1E-9),"")</f>
        <v/>
      </c>
      <c r="G1167">
        <f>IF(B1167,MOD(SIN(Seed*0.5917+C1167*39.3468+D1167*11.135)*24634.6345,1),"")</f>
        <v/>
      </c>
      <c r="H1167">
        <f>IF(B1167,SQRT(-2*LN(F1167))*COS(2*PI()*G1167),"")</f>
        <v/>
      </c>
      <c r="I1167">
        <f>IF(B1167,IF(D1167=0,H1167,Rho*I1166+SQRT(1-Rho^2)*H1167),"")</f>
        <v/>
      </c>
      <c r="J1167">
        <f>IF(B1167,IF(Dist="Normal",DistA+DistB*I1167,DistA+(DistB-DistA)*NORMSDIST(I1167)),"")</f>
        <v/>
      </c>
      <c r="K1167">
        <f>IF(B1167,INDEX(MineScale,C1167),"")</f>
        <v/>
      </c>
      <c r="L1167">
        <f>IF(B1167,INDEX(Dow,1,WEEKDAY(E1167,2)),"")</f>
        <v/>
      </c>
      <c r="M1167">
        <f>IF(B1167,(1+Trend)^D1167,"")</f>
        <v/>
      </c>
      <c r="N1167">
        <f>IF(B1167,EXP(SUMPRODUCT(LN(1+(EvEff-1)*INDEX(Affected,0,C1167)*EXP(-((E1167-EvCenter)^2)/(2*EvSigma^2))))),"")</f>
        <v/>
      </c>
      <c r="O1167">
        <f>IF(B1167,ROUND(MAX(0,J1167*K1167*L1167*M1167*N1167),2),"")</f>
        <v/>
      </c>
    </row>
    <row r="1168">
      <c r="A1168" t="n">
        <v>1167</v>
      </c>
      <c r="B1168">
        <f>A1168&lt;=MineCount*Days</f>
        <v/>
      </c>
      <c r="C1168">
        <f>IF(B1168,INT((A1168-1)/Days)+1,"")</f>
        <v/>
      </c>
      <c r="D1168">
        <f>IF(B1168,MOD(A1168-1,Days),"")</f>
        <v/>
      </c>
      <c r="E1168" s="16">
        <f>IF(B1168,StartDate+D1168,"")</f>
        <v/>
      </c>
      <c r="F1168">
        <f>IF(B1168,MAX(MOD(SIN(Seed*0.1373+C1168*12.9898+D1168*78.233)*43758.5453,1),1E-9),"")</f>
        <v/>
      </c>
      <c r="G1168">
        <f>IF(B1168,MOD(SIN(Seed*0.5917+C1168*39.3468+D1168*11.135)*24634.6345,1),"")</f>
        <v/>
      </c>
      <c r="H1168">
        <f>IF(B1168,SQRT(-2*LN(F1168))*COS(2*PI()*G1168),"")</f>
        <v/>
      </c>
      <c r="I1168">
        <f>IF(B1168,IF(D1168=0,H1168,Rho*I1167+SQRT(1-Rho^2)*H1168),"")</f>
        <v/>
      </c>
      <c r="J1168">
        <f>IF(B1168,IF(Dist="Normal",DistA+DistB*I1168,DistA+(DistB-DistA)*NORMSDIST(I1168)),"")</f>
        <v/>
      </c>
      <c r="K1168">
        <f>IF(B1168,INDEX(MineScale,C1168),"")</f>
        <v/>
      </c>
      <c r="L1168">
        <f>IF(B1168,INDEX(Dow,1,WEEKDAY(E1168,2)),"")</f>
        <v/>
      </c>
      <c r="M1168">
        <f>IF(B1168,(1+Trend)^D1168,"")</f>
        <v/>
      </c>
      <c r="N1168">
        <f>IF(B1168,EXP(SUMPRODUCT(LN(1+(EvEff-1)*INDEX(Affected,0,C1168)*EXP(-((E1168-EvCenter)^2)/(2*EvSigma^2))))),"")</f>
        <v/>
      </c>
      <c r="O1168">
        <f>IF(B1168,ROUND(MAX(0,J1168*K1168*L1168*M1168*N1168),2),"")</f>
        <v/>
      </c>
    </row>
    <row r="1169">
      <c r="A1169" t="n">
        <v>1168</v>
      </c>
      <c r="B1169">
        <f>A1169&lt;=MineCount*Days</f>
        <v/>
      </c>
      <c r="C1169">
        <f>IF(B1169,INT((A1169-1)/Days)+1,"")</f>
        <v/>
      </c>
      <c r="D1169">
        <f>IF(B1169,MOD(A1169-1,Days),"")</f>
        <v/>
      </c>
      <c r="E1169" s="16">
        <f>IF(B1169,StartDate+D1169,"")</f>
        <v/>
      </c>
      <c r="F1169">
        <f>IF(B1169,MAX(MOD(SIN(Seed*0.1373+C1169*12.9898+D1169*78.233)*43758.5453,1),1E-9),"")</f>
        <v/>
      </c>
      <c r="G1169">
        <f>IF(B1169,MOD(SIN(Seed*0.5917+C1169*39.3468+D1169*11.135)*24634.6345,1),"")</f>
        <v/>
      </c>
      <c r="H1169">
        <f>IF(B1169,SQRT(-2*LN(F1169))*COS(2*PI()*G1169),"")</f>
        <v/>
      </c>
      <c r="I1169">
        <f>IF(B1169,IF(D1169=0,H1169,Rho*I1168+SQRT(1-Rho^2)*H1169),"")</f>
        <v/>
      </c>
      <c r="J1169">
        <f>IF(B1169,IF(Dist="Normal",DistA+DistB*I1169,DistA+(DistB-DistA)*NORMSDIST(I1169)),"")</f>
        <v/>
      </c>
      <c r="K1169">
        <f>IF(B1169,INDEX(MineScale,C1169),"")</f>
        <v/>
      </c>
      <c r="L1169">
        <f>IF(B1169,INDEX(Dow,1,WEEKDAY(E1169,2)),"")</f>
        <v/>
      </c>
      <c r="M1169">
        <f>IF(B1169,(1+Trend)^D1169,"")</f>
        <v/>
      </c>
      <c r="N1169">
        <f>IF(B1169,EXP(SUMPRODUCT(LN(1+(EvEff-1)*INDEX(Affected,0,C1169)*EXP(-((E1169-EvCenter)^2)/(2*EvSigma^2))))),"")</f>
        <v/>
      </c>
      <c r="O1169">
        <f>IF(B1169,ROUND(MAX(0,J1169*K1169*L1169*M1169*N1169),2),"")</f>
        <v/>
      </c>
    </row>
    <row r="1170">
      <c r="A1170" t="n">
        <v>1169</v>
      </c>
      <c r="B1170">
        <f>A1170&lt;=MineCount*Days</f>
        <v/>
      </c>
      <c r="C1170">
        <f>IF(B1170,INT((A1170-1)/Days)+1,"")</f>
        <v/>
      </c>
      <c r="D1170">
        <f>IF(B1170,MOD(A1170-1,Days),"")</f>
        <v/>
      </c>
      <c r="E1170" s="16">
        <f>IF(B1170,StartDate+D1170,"")</f>
        <v/>
      </c>
      <c r="F1170">
        <f>IF(B1170,MAX(MOD(SIN(Seed*0.1373+C1170*12.9898+D1170*78.233)*43758.5453,1),1E-9),"")</f>
        <v/>
      </c>
      <c r="G1170">
        <f>IF(B1170,MOD(SIN(Seed*0.5917+C1170*39.3468+D1170*11.135)*24634.6345,1),"")</f>
        <v/>
      </c>
      <c r="H1170">
        <f>IF(B1170,SQRT(-2*LN(F1170))*COS(2*PI()*G1170),"")</f>
        <v/>
      </c>
      <c r="I1170">
        <f>IF(B1170,IF(D1170=0,H1170,Rho*I1169+SQRT(1-Rho^2)*H1170),"")</f>
        <v/>
      </c>
      <c r="J1170">
        <f>IF(B1170,IF(Dist="Normal",DistA+DistB*I1170,DistA+(DistB-DistA)*NORMSDIST(I1170)),"")</f>
        <v/>
      </c>
      <c r="K1170">
        <f>IF(B1170,INDEX(MineScale,C1170),"")</f>
        <v/>
      </c>
      <c r="L1170">
        <f>IF(B1170,INDEX(Dow,1,WEEKDAY(E1170,2)),"")</f>
        <v/>
      </c>
      <c r="M1170">
        <f>IF(B1170,(1+Trend)^D1170,"")</f>
        <v/>
      </c>
      <c r="N1170">
        <f>IF(B1170,EXP(SUMPRODUCT(LN(1+(EvEff-1)*INDEX(Affected,0,C1170)*EXP(-((E1170-EvCenter)^2)/(2*EvSigma^2))))),"")</f>
        <v/>
      </c>
      <c r="O1170">
        <f>IF(B1170,ROUND(MAX(0,J1170*K1170*L1170*M1170*N1170),2),"")</f>
        <v/>
      </c>
    </row>
    <row r="1171">
      <c r="A1171" t="n">
        <v>1170</v>
      </c>
      <c r="B1171">
        <f>A1171&lt;=MineCount*Days</f>
        <v/>
      </c>
      <c r="C1171">
        <f>IF(B1171,INT((A1171-1)/Days)+1,"")</f>
        <v/>
      </c>
      <c r="D1171">
        <f>IF(B1171,MOD(A1171-1,Days),"")</f>
        <v/>
      </c>
      <c r="E1171" s="16">
        <f>IF(B1171,StartDate+D1171,"")</f>
        <v/>
      </c>
      <c r="F1171">
        <f>IF(B1171,MAX(MOD(SIN(Seed*0.1373+C1171*12.9898+D1171*78.233)*43758.5453,1),1E-9),"")</f>
        <v/>
      </c>
      <c r="G1171">
        <f>IF(B1171,MOD(SIN(Seed*0.5917+C1171*39.3468+D1171*11.135)*24634.6345,1),"")</f>
        <v/>
      </c>
      <c r="H1171">
        <f>IF(B1171,SQRT(-2*LN(F1171))*COS(2*PI()*G1171),"")</f>
        <v/>
      </c>
      <c r="I1171">
        <f>IF(B1171,IF(D1171=0,H1171,Rho*I1170+SQRT(1-Rho^2)*H1171),"")</f>
        <v/>
      </c>
      <c r="J1171">
        <f>IF(B1171,IF(Dist="Normal",DistA+DistB*I1171,DistA+(DistB-DistA)*NORMSDIST(I1171)),"")</f>
        <v/>
      </c>
      <c r="K1171">
        <f>IF(B1171,INDEX(MineScale,C1171),"")</f>
        <v/>
      </c>
      <c r="L1171">
        <f>IF(B1171,INDEX(Dow,1,WEEKDAY(E1171,2)),"")</f>
        <v/>
      </c>
      <c r="M1171">
        <f>IF(B1171,(1+Trend)^D1171,"")</f>
        <v/>
      </c>
      <c r="N1171">
        <f>IF(B1171,EXP(SUMPRODUCT(LN(1+(EvEff-1)*INDEX(Affected,0,C1171)*EXP(-((E1171-EvCenter)^2)/(2*EvSigma^2))))),"")</f>
        <v/>
      </c>
      <c r="O1171">
        <f>IF(B1171,ROUND(MAX(0,J1171*K1171*L1171*M1171*N1171),2),"")</f>
        <v/>
      </c>
    </row>
    <row r="1172">
      <c r="A1172" t="n">
        <v>1171</v>
      </c>
      <c r="B1172">
        <f>A1172&lt;=MineCount*Days</f>
        <v/>
      </c>
      <c r="C1172">
        <f>IF(B1172,INT((A1172-1)/Days)+1,"")</f>
        <v/>
      </c>
      <c r="D1172">
        <f>IF(B1172,MOD(A1172-1,Days),"")</f>
        <v/>
      </c>
      <c r="E1172" s="16">
        <f>IF(B1172,StartDate+D1172,"")</f>
        <v/>
      </c>
      <c r="F1172">
        <f>IF(B1172,MAX(MOD(SIN(Seed*0.1373+C1172*12.9898+D1172*78.233)*43758.5453,1),1E-9),"")</f>
        <v/>
      </c>
      <c r="G1172">
        <f>IF(B1172,MOD(SIN(Seed*0.5917+C1172*39.3468+D1172*11.135)*24634.6345,1),"")</f>
        <v/>
      </c>
      <c r="H1172">
        <f>IF(B1172,SQRT(-2*LN(F1172))*COS(2*PI()*G1172),"")</f>
        <v/>
      </c>
      <c r="I1172">
        <f>IF(B1172,IF(D1172=0,H1172,Rho*I1171+SQRT(1-Rho^2)*H1172),"")</f>
        <v/>
      </c>
      <c r="J1172">
        <f>IF(B1172,IF(Dist="Normal",DistA+DistB*I1172,DistA+(DistB-DistA)*NORMSDIST(I1172)),"")</f>
        <v/>
      </c>
      <c r="K1172">
        <f>IF(B1172,INDEX(MineScale,C1172),"")</f>
        <v/>
      </c>
      <c r="L1172">
        <f>IF(B1172,INDEX(Dow,1,WEEKDAY(E1172,2)),"")</f>
        <v/>
      </c>
      <c r="M1172">
        <f>IF(B1172,(1+Trend)^D1172,"")</f>
        <v/>
      </c>
      <c r="N1172">
        <f>IF(B1172,EXP(SUMPRODUCT(LN(1+(EvEff-1)*INDEX(Affected,0,C1172)*EXP(-((E1172-EvCenter)^2)/(2*EvSigma^2))))),"")</f>
        <v/>
      </c>
      <c r="O1172">
        <f>IF(B1172,ROUND(MAX(0,J1172*K1172*L1172*M1172*N1172),2),"")</f>
        <v/>
      </c>
    </row>
    <row r="1173">
      <c r="A1173" t="n">
        <v>1172</v>
      </c>
      <c r="B1173">
        <f>A1173&lt;=MineCount*Days</f>
        <v/>
      </c>
      <c r="C1173">
        <f>IF(B1173,INT((A1173-1)/Days)+1,"")</f>
        <v/>
      </c>
      <c r="D1173">
        <f>IF(B1173,MOD(A1173-1,Days),"")</f>
        <v/>
      </c>
      <c r="E1173" s="16">
        <f>IF(B1173,StartDate+D1173,"")</f>
        <v/>
      </c>
      <c r="F1173">
        <f>IF(B1173,MAX(MOD(SIN(Seed*0.1373+C1173*12.9898+D1173*78.233)*43758.5453,1),1E-9),"")</f>
        <v/>
      </c>
      <c r="G1173">
        <f>IF(B1173,MOD(SIN(Seed*0.5917+C1173*39.3468+D1173*11.135)*24634.6345,1),"")</f>
        <v/>
      </c>
      <c r="H1173">
        <f>IF(B1173,SQRT(-2*LN(F1173))*COS(2*PI()*G1173),"")</f>
        <v/>
      </c>
      <c r="I1173">
        <f>IF(B1173,IF(D1173=0,H1173,Rho*I1172+SQRT(1-Rho^2)*H1173),"")</f>
        <v/>
      </c>
      <c r="J1173">
        <f>IF(B1173,IF(Dist="Normal",DistA+DistB*I1173,DistA+(DistB-DistA)*NORMSDIST(I1173)),"")</f>
        <v/>
      </c>
      <c r="K1173">
        <f>IF(B1173,INDEX(MineScale,C1173),"")</f>
        <v/>
      </c>
      <c r="L1173">
        <f>IF(B1173,INDEX(Dow,1,WEEKDAY(E1173,2)),"")</f>
        <v/>
      </c>
      <c r="M1173">
        <f>IF(B1173,(1+Trend)^D1173,"")</f>
        <v/>
      </c>
      <c r="N1173">
        <f>IF(B1173,EXP(SUMPRODUCT(LN(1+(EvEff-1)*INDEX(Affected,0,C1173)*EXP(-((E1173-EvCenter)^2)/(2*EvSigma^2))))),"")</f>
        <v/>
      </c>
      <c r="O1173">
        <f>IF(B1173,ROUND(MAX(0,J1173*K1173*L1173*M1173*N1173),2),"")</f>
        <v/>
      </c>
    </row>
    <row r="1174">
      <c r="A1174" t="n">
        <v>1173</v>
      </c>
      <c r="B1174">
        <f>A1174&lt;=MineCount*Days</f>
        <v/>
      </c>
      <c r="C1174">
        <f>IF(B1174,INT((A1174-1)/Days)+1,"")</f>
        <v/>
      </c>
      <c r="D1174">
        <f>IF(B1174,MOD(A1174-1,Days),"")</f>
        <v/>
      </c>
      <c r="E1174" s="16">
        <f>IF(B1174,StartDate+D1174,"")</f>
        <v/>
      </c>
      <c r="F1174">
        <f>IF(B1174,MAX(MOD(SIN(Seed*0.1373+C1174*12.9898+D1174*78.233)*43758.5453,1),1E-9),"")</f>
        <v/>
      </c>
      <c r="G1174">
        <f>IF(B1174,MOD(SIN(Seed*0.5917+C1174*39.3468+D1174*11.135)*24634.6345,1),"")</f>
        <v/>
      </c>
      <c r="H1174">
        <f>IF(B1174,SQRT(-2*LN(F1174))*COS(2*PI()*G1174),"")</f>
        <v/>
      </c>
      <c r="I1174">
        <f>IF(B1174,IF(D1174=0,H1174,Rho*I1173+SQRT(1-Rho^2)*H1174),"")</f>
        <v/>
      </c>
      <c r="J1174">
        <f>IF(B1174,IF(Dist="Normal",DistA+DistB*I1174,DistA+(DistB-DistA)*NORMSDIST(I1174)),"")</f>
        <v/>
      </c>
      <c r="K1174">
        <f>IF(B1174,INDEX(MineScale,C1174),"")</f>
        <v/>
      </c>
      <c r="L1174">
        <f>IF(B1174,INDEX(Dow,1,WEEKDAY(E1174,2)),"")</f>
        <v/>
      </c>
      <c r="M1174">
        <f>IF(B1174,(1+Trend)^D1174,"")</f>
        <v/>
      </c>
      <c r="N1174">
        <f>IF(B1174,EXP(SUMPRODUCT(LN(1+(EvEff-1)*INDEX(Affected,0,C1174)*EXP(-((E1174-EvCenter)^2)/(2*EvSigma^2))))),"")</f>
        <v/>
      </c>
      <c r="O1174">
        <f>IF(B1174,ROUND(MAX(0,J1174*K1174*L1174*M1174*N1174),2),"")</f>
        <v/>
      </c>
    </row>
    <row r="1175">
      <c r="A1175" t="n">
        <v>1174</v>
      </c>
      <c r="B1175">
        <f>A1175&lt;=MineCount*Days</f>
        <v/>
      </c>
      <c r="C1175">
        <f>IF(B1175,INT((A1175-1)/Days)+1,"")</f>
        <v/>
      </c>
      <c r="D1175">
        <f>IF(B1175,MOD(A1175-1,Days),"")</f>
        <v/>
      </c>
      <c r="E1175" s="16">
        <f>IF(B1175,StartDate+D1175,"")</f>
        <v/>
      </c>
      <c r="F1175">
        <f>IF(B1175,MAX(MOD(SIN(Seed*0.1373+C1175*12.9898+D1175*78.233)*43758.5453,1),1E-9),"")</f>
        <v/>
      </c>
      <c r="G1175">
        <f>IF(B1175,MOD(SIN(Seed*0.5917+C1175*39.3468+D1175*11.135)*24634.6345,1),"")</f>
        <v/>
      </c>
      <c r="H1175">
        <f>IF(B1175,SQRT(-2*LN(F1175))*COS(2*PI()*G1175),"")</f>
        <v/>
      </c>
      <c r="I1175">
        <f>IF(B1175,IF(D1175=0,H1175,Rho*I1174+SQRT(1-Rho^2)*H1175),"")</f>
        <v/>
      </c>
      <c r="J1175">
        <f>IF(B1175,IF(Dist="Normal",DistA+DistB*I1175,DistA+(DistB-DistA)*NORMSDIST(I1175)),"")</f>
        <v/>
      </c>
      <c r="K1175">
        <f>IF(B1175,INDEX(MineScale,C1175),"")</f>
        <v/>
      </c>
      <c r="L1175">
        <f>IF(B1175,INDEX(Dow,1,WEEKDAY(E1175,2)),"")</f>
        <v/>
      </c>
      <c r="M1175">
        <f>IF(B1175,(1+Trend)^D1175,"")</f>
        <v/>
      </c>
      <c r="N1175">
        <f>IF(B1175,EXP(SUMPRODUCT(LN(1+(EvEff-1)*INDEX(Affected,0,C1175)*EXP(-((E1175-EvCenter)^2)/(2*EvSigma^2))))),"")</f>
        <v/>
      </c>
      <c r="O1175">
        <f>IF(B1175,ROUND(MAX(0,J1175*K1175*L1175*M1175*N1175),2),"")</f>
        <v/>
      </c>
    </row>
    <row r="1176">
      <c r="A1176" t="n">
        <v>1175</v>
      </c>
      <c r="B1176">
        <f>A1176&lt;=MineCount*Days</f>
        <v/>
      </c>
      <c r="C1176">
        <f>IF(B1176,INT((A1176-1)/Days)+1,"")</f>
        <v/>
      </c>
      <c r="D1176">
        <f>IF(B1176,MOD(A1176-1,Days),"")</f>
        <v/>
      </c>
      <c r="E1176" s="16">
        <f>IF(B1176,StartDate+D1176,"")</f>
        <v/>
      </c>
      <c r="F1176">
        <f>IF(B1176,MAX(MOD(SIN(Seed*0.1373+C1176*12.9898+D1176*78.233)*43758.5453,1),1E-9),"")</f>
        <v/>
      </c>
      <c r="G1176">
        <f>IF(B1176,MOD(SIN(Seed*0.5917+C1176*39.3468+D1176*11.135)*24634.6345,1),"")</f>
        <v/>
      </c>
      <c r="H1176">
        <f>IF(B1176,SQRT(-2*LN(F1176))*COS(2*PI()*G1176),"")</f>
        <v/>
      </c>
      <c r="I1176">
        <f>IF(B1176,IF(D1176=0,H1176,Rho*I1175+SQRT(1-Rho^2)*H1176),"")</f>
        <v/>
      </c>
      <c r="J1176">
        <f>IF(B1176,IF(Dist="Normal",DistA+DistB*I1176,DistA+(DistB-DistA)*NORMSDIST(I1176)),"")</f>
        <v/>
      </c>
      <c r="K1176">
        <f>IF(B1176,INDEX(MineScale,C1176),"")</f>
        <v/>
      </c>
      <c r="L1176">
        <f>IF(B1176,INDEX(Dow,1,WEEKDAY(E1176,2)),"")</f>
        <v/>
      </c>
      <c r="M1176">
        <f>IF(B1176,(1+Trend)^D1176,"")</f>
        <v/>
      </c>
      <c r="N1176">
        <f>IF(B1176,EXP(SUMPRODUCT(LN(1+(EvEff-1)*INDEX(Affected,0,C1176)*EXP(-((E1176-EvCenter)^2)/(2*EvSigma^2))))),"")</f>
        <v/>
      </c>
      <c r="O1176">
        <f>IF(B1176,ROUND(MAX(0,J1176*K1176*L1176*M1176*N1176),2),"")</f>
        <v/>
      </c>
    </row>
    <row r="1177">
      <c r="A1177" t="n">
        <v>1176</v>
      </c>
      <c r="B1177">
        <f>A1177&lt;=MineCount*Days</f>
        <v/>
      </c>
      <c r="C1177">
        <f>IF(B1177,INT((A1177-1)/Days)+1,"")</f>
        <v/>
      </c>
      <c r="D1177">
        <f>IF(B1177,MOD(A1177-1,Days),"")</f>
        <v/>
      </c>
      <c r="E1177" s="16">
        <f>IF(B1177,StartDate+D1177,"")</f>
        <v/>
      </c>
      <c r="F1177">
        <f>IF(B1177,MAX(MOD(SIN(Seed*0.1373+C1177*12.9898+D1177*78.233)*43758.5453,1),1E-9),"")</f>
        <v/>
      </c>
      <c r="G1177">
        <f>IF(B1177,MOD(SIN(Seed*0.5917+C1177*39.3468+D1177*11.135)*24634.6345,1),"")</f>
        <v/>
      </c>
      <c r="H1177">
        <f>IF(B1177,SQRT(-2*LN(F1177))*COS(2*PI()*G1177),"")</f>
        <v/>
      </c>
      <c r="I1177">
        <f>IF(B1177,IF(D1177=0,H1177,Rho*I1176+SQRT(1-Rho^2)*H1177),"")</f>
        <v/>
      </c>
      <c r="J1177">
        <f>IF(B1177,IF(Dist="Normal",DistA+DistB*I1177,DistA+(DistB-DistA)*NORMSDIST(I1177)),"")</f>
        <v/>
      </c>
      <c r="K1177">
        <f>IF(B1177,INDEX(MineScale,C1177),"")</f>
        <v/>
      </c>
      <c r="L1177">
        <f>IF(B1177,INDEX(Dow,1,WEEKDAY(E1177,2)),"")</f>
        <v/>
      </c>
      <c r="M1177">
        <f>IF(B1177,(1+Trend)^D1177,"")</f>
        <v/>
      </c>
      <c r="N1177">
        <f>IF(B1177,EXP(SUMPRODUCT(LN(1+(EvEff-1)*INDEX(Affected,0,C1177)*EXP(-((E1177-EvCenter)^2)/(2*EvSigma^2))))),"")</f>
        <v/>
      </c>
      <c r="O1177">
        <f>IF(B1177,ROUND(MAX(0,J1177*K1177*L1177*M1177*N1177),2),"")</f>
        <v/>
      </c>
    </row>
    <row r="1178">
      <c r="A1178" t="n">
        <v>1177</v>
      </c>
      <c r="B1178">
        <f>A1178&lt;=MineCount*Days</f>
        <v/>
      </c>
      <c r="C1178">
        <f>IF(B1178,INT((A1178-1)/Days)+1,"")</f>
        <v/>
      </c>
      <c r="D1178">
        <f>IF(B1178,MOD(A1178-1,Days),"")</f>
        <v/>
      </c>
      <c r="E1178" s="16">
        <f>IF(B1178,StartDate+D1178,"")</f>
        <v/>
      </c>
      <c r="F1178">
        <f>IF(B1178,MAX(MOD(SIN(Seed*0.1373+C1178*12.9898+D1178*78.233)*43758.5453,1),1E-9),"")</f>
        <v/>
      </c>
      <c r="G1178">
        <f>IF(B1178,MOD(SIN(Seed*0.5917+C1178*39.3468+D1178*11.135)*24634.6345,1),"")</f>
        <v/>
      </c>
      <c r="H1178">
        <f>IF(B1178,SQRT(-2*LN(F1178))*COS(2*PI()*G1178),"")</f>
        <v/>
      </c>
      <c r="I1178">
        <f>IF(B1178,IF(D1178=0,H1178,Rho*I1177+SQRT(1-Rho^2)*H1178),"")</f>
        <v/>
      </c>
      <c r="J1178">
        <f>IF(B1178,IF(Dist="Normal",DistA+DistB*I1178,DistA+(DistB-DistA)*NORMSDIST(I1178)),"")</f>
        <v/>
      </c>
      <c r="K1178">
        <f>IF(B1178,INDEX(MineScale,C1178),"")</f>
        <v/>
      </c>
      <c r="L1178">
        <f>IF(B1178,INDEX(Dow,1,WEEKDAY(E1178,2)),"")</f>
        <v/>
      </c>
      <c r="M1178">
        <f>IF(B1178,(1+Trend)^D1178,"")</f>
        <v/>
      </c>
      <c r="N1178">
        <f>IF(B1178,EXP(SUMPRODUCT(LN(1+(EvEff-1)*INDEX(Affected,0,C1178)*EXP(-((E1178-EvCenter)^2)/(2*EvSigma^2))))),"")</f>
        <v/>
      </c>
      <c r="O1178">
        <f>IF(B1178,ROUND(MAX(0,J1178*K1178*L1178*M1178*N1178),2),"")</f>
        <v/>
      </c>
    </row>
    <row r="1179">
      <c r="A1179" t="n">
        <v>1178</v>
      </c>
      <c r="B1179">
        <f>A1179&lt;=MineCount*Days</f>
        <v/>
      </c>
      <c r="C1179">
        <f>IF(B1179,INT((A1179-1)/Days)+1,"")</f>
        <v/>
      </c>
      <c r="D1179">
        <f>IF(B1179,MOD(A1179-1,Days),"")</f>
        <v/>
      </c>
      <c r="E1179" s="16">
        <f>IF(B1179,StartDate+D1179,"")</f>
        <v/>
      </c>
      <c r="F1179">
        <f>IF(B1179,MAX(MOD(SIN(Seed*0.1373+C1179*12.9898+D1179*78.233)*43758.5453,1),1E-9),"")</f>
        <v/>
      </c>
      <c r="G1179">
        <f>IF(B1179,MOD(SIN(Seed*0.5917+C1179*39.3468+D1179*11.135)*24634.6345,1),"")</f>
        <v/>
      </c>
      <c r="H1179">
        <f>IF(B1179,SQRT(-2*LN(F1179))*COS(2*PI()*G1179),"")</f>
        <v/>
      </c>
      <c r="I1179">
        <f>IF(B1179,IF(D1179=0,H1179,Rho*I1178+SQRT(1-Rho^2)*H1179),"")</f>
        <v/>
      </c>
      <c r="J1179">
        <f>IF(B1179,IF(Dist="Normal",DistA+DistB*I1179,DistA+(DistB-DistA)*NORMSDIST(I1179)),"")</f>
        <v/>
      </c>
      <c r="K1179">
        <f>IF(B1179,INDEX(MineScale,C1179),"")</f>
        <v/>
      </c>
      <c r="L1179">
        <f>IF(B1179,INDEX(Dow,1,WEEKDAY(E1179,2)),"")</f>
        <v/>
      </c>
      <c r="M1179">
        <f>IF(B1179,(1+Trend)^D1179,"")</f>
        <v/>
      </c>
      <c r="N1179">
        <f>IF(B1179,EXP(SUMPRODUCT(LN(1+(EvEff-1)*INDEX(Affected,0,C1179)*EXP(-((E1179-EvCenter)^2)/(2*EvSigma^2))))),"")</f>
        <v/>
      </c>
      <c r="O1179">
        <f>IF(B1179,ROUND(MAX(0,J1179*K1179*L1179*M1179*N1179),2),"")</f>
        <v/>
      </c>
    </row>
    <row r="1180">
      <c r="A1180" t="n">
        <v>1179</v>
      </c>
      <c r="B1180">
        <f>A1180&lt;=MineCount*Days</f>
        <v/>
      </c>
      <c r="C1180">
        <f>IF(B1180,INT((A1180-1)/Days)+1,"")</f>
        <v/>
      </c>
      <c r="D1180">
        <f>IF(B1180,MOD(A1180-1,Days),"")</f>
        <v/>
      </c>
      <c r="E1180" s="16">
        <f>IF(B1180,StartDate+D1180,"")</f>
        <v/>
      </c>
      <c r="F1180">
        <f>IF(B1180,MAX(MOD(SIN(Seed*0.1373+C1180*12.9898+D1180*78.233)*43758.5453,1),1E-9),"")</f>
        <v/>
      </c>
      <c r="G1180">
        <f>IF(B1180,MOD(SIN(Seed*0.5917+C1180*39.3468+D1180*11.135)*24634.6345,1),"")</f>
        <v/>
      </c>
      <c r="H1180">
        <f>IF(B1180,SQRT(-2*LN(F1180))*COS(2*PI()*G1180),"")</f>
        <v/>
      </c>
      <c r="I1180">
        <f>IF(B1180,IF(D1180=0,H1180,Rho*I1179+SQRT(1-Rho^2)*H1180),"")</f>
        <v/>
      </c>
      <c r="J1180">
        <f>IF(B1180,IF(Dist="Normal",DistA+DistB*I1180,DistA+(DistB-DistA)*NORMSDIST(I1180)),"")</f>
        <v/>
      </c>
      <c r="K1180">
        <f>IF(B1180,INDEX(MineScale,C1180),"")</f>
        <v/>
      </c>
      <c r="L1180">
        <f>IF(B1180,INDEX(Dow,1,WEEKDAY(E1180,2)),"")</f>
        <v/>
      </c>
      <c r="M1180">
        <f>IF(B1180,(1+Trend)^D1180,"")</f>
        <v/>
      </c>
      <c r="N1180">
        <f>IF(B1180,EXP(SUMPRODUCT(LN(1+(EvEff-1)*INDEX(Affected,0,C1180)*EXP(-((E1180-EvCenter)^2)/(2*EvSigma^2))))),"")</f>
        <v/>
      </c>
      <c r="O1180">
        <f>IF(B1180,ROUND(MAX(0,J1180*K1180*L1180*M1180*N1180),2),"")</f>
        <v/>
      </c>
    </row>
    <row r="1181">
      <c r="A1181" t="n">
        <v>1180</v>
      </c>
      <c r="B1181">
        <f>A1181&lt;=MineCount*Days</f>
        <v/>
      </c>
      <c r="C1181">
        <f>IF(B1181,INT((A1181-1)/Days)+1,"")</f>
        <v/>
      </c>
      <c r="D1181">
        <f>IF(B1181,MOD(A1181-1,Days),"")</f>
        <v/>
      </c>
      <c r="E1181" s="16">
        <f>IF(B1181,StartDate+D1181,"")</f>
        <v/>
      </c>
      <c r="F1181">
        <f>IF(B1181,MAX(MOD(SIN(Seed*0.1373+C1181*12.9898+D1181*78.233)*43758.5453,1),1E-9),"")</f>
        <v/>
      </c>
      <c r="G1181">
        <f>IF(B1181,MOD(SIN(Seed*0.5917+C1181*39.3468+D1181*11.135)*24634.6345,1),"")</f>
        <v/>
      </c>
      <c r="H1181">
        <f>IF(B1181,SQRT(-2*LN(F1181))*COS(2*PI()*G1181),"")</f>
        <v/>
      </c>
      <c r="I1181">
        <f>IF(B1181,IF(D1181=0,H1181,Rho*I1180+SQRT(1-Rho^2)*H1181),"")</f>
        <v/>
      </c>
      <c r="J1181">
        <f>IF(B1181,IF(Dist="Normal",DistA+DistB*I1181,DistA+(DistB-DistA)*NORMSDIST(I1181)),"")</f>
        <v/>
      </c>
      <c r="K1181">
        <f>IF(B1181,INDEX(MineScale,C1181),"")</f>
        <v/>
      </c>
      <c r="L1181">
        <f>IF(B1181,INDEX(Dow,1,WEEKDAY(E1181,2)),"")</f>
        <v/>
      </c>
      <c r="M1181">
        <f>IF(B1181,(1+Trend)^D1181,"")</f>
        <v/>
      </c>
      <c r="N1181">
        <f>IF(B1181,EXP(SUMPRODUCT(LN(1+(EvEff-1)*INDEX(Affected,0,C1181)*EXP(-((E1181-EvCenter)^2)/(2*EvSigma^2))))),"")</f>
        <v/>
      </c>
      <c r="O1181">
        <f>IF(B1181,ROUND(MAX(0,J1181*K1181*L1181*M1181*N1181),2),"")</f>
        <v/>
      </c>
    </row>
    <row r="1182">
      <c r="A1182" t="n">
        <v>1181</v>
      </c>
      <c r="B1182">
        <f>A1182&lt;=MineCount*Days</f>
        <v/>
      </c>
      <c r="C1182">
        <f>IF(B1182,INT((A1182-1)/Days)+1,"")</f>
        <v/>
      </c>
      <c r="D1182">
        <f>IF(B1182,MOD(A1182-1,Days),"")</f>
        <v/>
      </c>
      <c r="E1182" s="16">
        <f>IF(B1182,StartDate+D1182,"")</f>
        <v/>
      </c>
      <c r="F1182">
        <f>IF(B1182,MAX(MOD(SIN(Seed*0.1373+C1182*12.9898+D1182*78.233)*43758.5453,1),1E-9),"")</f>
        <v/>
      </c>
      <c r="G1182">
        <f>IF(B1182,MOD(SIN(Seed*0.5917+C1182*39.3468+D1182*11.135)*24634.6345,1),"")</f>
        <v/>
      </c>
      <c r="H1182">
        <f>IF(B1182,SQRT(-2*LN(F1182))*COS(2*PI()*G1182),"")</f>
        <v/>
      </c>
      <c r="I1182">
        <f>IF(B1182,IF(D1182=0,H1182,Rho*I1181+SQRT(1-Rho^2)*H1182),"")</f>
        <v/>
      </c>
      <c r="J1182">
        <f>IF(B1182,IF(Dist="Normal",DistA+DistB*I1182,DistA+(DistB-DistA)*NORMSDIST(I1182)),"")</f>
        <v/>
      </c>
      <c r="K1182">
        <f>IF(B1182,INDEX(MineScale,C1182),"")</f>
        <v/>
      </c>
      <c r="L1182">
        <f>IF(B1182,INDEX(Dow,1,WEEKDAY(E1182,2)),"")</f>
        <v/>
      </c>
      <c r="M1182">
        <f>IF(B1182,(1+Trend)^D1182,"")</f>
        <v/>
      </c>
      <c r="N1182">
        <f>IF(B1182,EXP(SUMPRODUCT(LN(1+(EvEff-1)*INDEX(Affected,0,C1182)*EXP(-((E1182-EvCenter)^2)/(2*EvSigma^2))))),"")</f>
        <v/>
      </c>
      <c r="O1182">
        <f>IF(B1182,ROUND(MAX(0,J1182*K1182*L1182*M1182*N1182),2),"")</f>
        <v/>
      </c>
    </row>
    <row r="1183">
      <c r="A1183" t="n">
        <v>1182</v>
      </c>
      <c r="B1183">
        <f>A1183&lt;=MineCount*Days</f>
        <v/>
      </c>
      <c r="C1183">
        <f>IF(B1183,INT((A1183-1)/Days)+1,"")</f>
        <v/>
      </c>
      <c r="D1183">
        <f>IF(B1183,MOD(A1183-1,Days),"")</f>
        <v/>
      </c>
      <c r="E1183" s="16">
        <f>IF(B1183,StartDate+D1183,"")</f>
        <v/>
      </c>
      <c r="F1183">
        <f>IF(B1183,MAX(MOD(SIN(Seed*0.1373+C1183*12.9898+D1183*78.233)*43758.5453,1),1E-9),"")</f>
        <v/>
      </c>
      <c r="G1183">
        <f>IF(B1183,MOD(SIN(Seed*0.5917+C1183*39.3468+D1183*11.135)*24634.6345,1),"")</f>
        <v/>
      </c>
      <c r="H1183">
        <f>IF(B1183,SQRT(-2*LN(F1183))*COS(2*PI()*G1183),"")</f>
        <v/>
      </c>
      <c r="I1183">
        <f>IF(B1183,IF(D1183=0,H1183,Rho*I1182+SQRT(1-Rho^2)*H1183),"")</f>
        <v/>
      </c>
      <c r="J1183">
        <f>IF(B1183,IF(Dist="Normal",DistA+DistB*I1183,DistA+(DistB-DistA)*NORMSDIST(I1183)),"")</f>
        <v/>
      </c>
      <c r="K1183">
        <f>IF(B1183,INDEX(MineScale,C1183),"")</f>
        <v/>
      </c>
      <c r="L1183">
        <f>IF(B1183,INDEX(Dow,1,WEEKDAY(E1183,2)),"")</f>
        <v/>
      </c>
      <c r="M1183">
        <f>IF(B1183,(1+Trend)^D1183,"")</f>
        <v/>
      </c>
      <c r="N1183">
        <f>IF(B1183,EXP(SUMPRODUCT(LN(1+(EvEff-1)*INDEX(Affected,0,C1183)*EXP(-((E1183-EvCenter)^2)/(2*EvSigma^2))))),"")</f>
        <v/>
      </c>
      <c r="O1183">
        <f>IF(B1183,ROUND(MAX(0,J1183*K1183*L1183*M1183*N1183),2),"")</f>
        <v/>
      </c>
    </row>
    <row r="1184">
      <c r="A1184" t="n">
        <v>1183</v>
      </c>
      <c r="B1184">
        <f>A1184&lt;=MineCount*Days</f>
        <v/>
      </c>
      <c r="C1184">
        <f>IF(B1184,INT((A1184-1)/Days)+1,"")</f>
        <v/>
      </c>
      <c r="D1184">
        <f>IF(B1184,MOD(A1184-1,Days),"")</f>
        <v/>
      </c>
      <c r="E1184" s="16">
        <f>IF(B1184,StartDate+D1184,"")</f>
        <v/>
      </c>
      <c r="F1184">
        <f>IF(B1184,MAX(MOD(SIN(Seed*0.1373+C1184*12.9898+D1184*78.233)*43758.5453,1),1E-9),"")</f>
        <v/>
      </c>
      <c r="G1184">
        <f>IF(B1184,MOD(SIN(Seed*0.5917+C1184*39.3468+D1184*11.135)*24634.6345,1),"")</f>
        <v/>
      </c>
      <c r="H1184">
        <f>IF(B1184,SQRT(-2*LN(F1184))*COS(2*PI()*G1184),"")</f>
        <v/>
      </c>
      <c r="I1184">
        <f>IF(B1184,IF(D1184=0,H1184,Rho*I1183+SQRT(1-Rho^2)*H1184),"")</f>
        <v/>
      </c>
      <c r="J1184">
        <f>IF(B1184,IF(Dist="Normal",DistA+DistB*I1184,DistA+(DistB-DistA)*NORMSDIST(I1184)),"")</f>
        <v/>
      </c>
      <c r="K1184">
        <f>IF(B1184,INDEX(MineScale,C1184),"")</f>
        <v/>
      </c>
      <c r="L1184">
        <f>IF(B1184,INDEX(Dow,1,WEEKDAY(E1184,2)),"")</f>
        <v/>
      </c>
      <c r="M1184">
        <f>IF(B1184,(1+Trend)^D1184,"")</f>
        <v/>
      </c>
      <c r="N1184">
        <f>IF(B1184,EXP(SUMPRODUCT(LN(1+(EvEff-1)*INDEX(Affected,0,C1184)*EXP(-((E1184-EvCenter)^2)/(2*EvSigma^2))))),"")</f>
        <v/>
      </c>
      <c r="O1184">
        <f>IF(B1184,ROUND(MAX(0,J1184*K1184*L1184*M1184*N1184),2),"")</f>
        <v/>
      </c>
    </row>
    <row r="1185">
      <c r="A1185" t="n">
        <v>1184</v>
      </c>
      <c r="B1185">
        <f>A1185&lt;=MineCount*Days</f>
        <v/>
      </c>
      <c r="C1185">
        <f>IF(B1185,INT((A1185-1)/Days)+1,"")</f>
        <v/>
      </c>
      <c r="D1185">
        <f>IF(B1185,MOD(A1185-1,Days),"")</f>
        <v/>
      </c>
      <c r="E1185" s="16">
        <f>IF(B1185,StartDate+D1185,"")</f>
        <v/>
      </c>
      <c r="F1185">
        <f>IF(B1185,MAX(MOD(SIN(Seed*0.1373+C1185*12.9898+D1185*78.233)*43758.5453,1),1E-9),"")</f>
        <v/>
      </c>
      <c r="G1185">
        <f>IF(B1185,MOD(SIN(Seed*0.5917+C1185*39.3468+D1185*11.135)*24634.6345,1),"")</f>
        <v/>
      </c>
      <c r="H1185">
        <f>IF(B1185,SQRT(-2*LN(F1185))*COS(2*PI()*G1185),"")</f>
        <v/>
      </c>
      <c r="I1185">
        <f>IF(B1185,IF(D1185=0,H1185,Rho*I1184+SQRT(1-Rho^2)*H1185),"")</f>
        <v/>
      </c>
      <c r="J1185">
        <f>IF(B1185,IF(Dist="Normal",DistA+DistB*I1185,DistA+(DistB-DistA)*NORMSDIST(I1185)),"")</f>
        <v/>
      </c>
      <c r="K1185">
        <f>IF(B1185,INDEX(MineScale,C1185),"")</f>
        <v/>
      </c>
      <c r="L1185">
        <f>IF(B1185,INDEX(Dow,1,WEEKDAY(E1185,2)),"")</f>
        <v/>
      </c>
      <c r="M1185">
        <f>IF(B1185,(1+Trend)^D1185,"")</f>
        <v/>
      </c>
      <c r="N1185">
        <f>IF(B1185,EXP(SUMPRODUCT(LN(1+(EvEff-1)*INDEX(Affected,0,C1185)*EXP(-((E1185-EvCenter)^2)/(2*EvSigma^2))))),"")</f>
        <v/>
      </c>
      <c r="O1185">
        <f>IF(B1185,ROUND(MAX(0,J1185*K1185*L1185*M1185*N1185),2),"")</f>
        <v/>
      </c>
    </row>
    <row r="1186">
      <c r="A1186" t="n">
        <v>1185</v>
      </c>
      <c r="B1186">
        <f>A1186&lt;=MineCount*Days</f>
        <v/>
      </c>
      <c r="C1186">
        <f>IF(B1186,INT((A1186-1)/Days)+1,"")</f>
        <v/>
      </c>
      <c r="D1186">
        <f>IF(B1186,MOD(A1186-1,Days),"")</f>
        <v/>
      </c>
      <c r="E1186" s="16">
        <f>IF(B1186,StartDate+D1186,"")</f>
        <v/>
      </c>
      <c r="F1186">
        <f>IF(B1186,MAX(MOD(SIN(Seed*0.1373+C1186*12.9898+D1186*78.233)*43758.5453,1),1E-9),"")</f>
        <v/>
      </c>
      <c r="G1186">
        <f>IF(B1186,MOD(SIN(Seed*0.5917+C1186*39.3468+D1186*11.135)*24634.6345,1),"")</f>
        <v/>
      </c>
      <c r="H1186">
        <f>IF(B1186,SQRT(-2*LN(F1186))*COS(2*PI()*G1186),"")</f>
        <v/>
      </c>
      <c r="I1186">
        <f>IF(B1186,IF(D1186=0,H1186,Rho*I1185+SQRT(1-Rho^2)*H1186),"")</f>
        <v/>
      </c>
      <c r="J1186">
        <f>IF(B1186,IF(Dist="Normal",DistA+DistB*I1186,DistA+(DistB-DistA)*NORMSDIST(I1186)),"")</f>
        <v/>
      </c>
      <c r="K1186">
        <f>IF(B1186,INDEX(MineScale,C1186),"")</f>
        <v/>
      </c>
      <c r="L1186">
        <f>IF(B1186,INDEX(Dow,1,WEEKDAY(E1186,2)),"")</f>
        <v/>
      </c>
      <c r="M1186">
        <f>IF(B1186,(1+Trend)^D1186,"")</f>
        <v/>
      </c>
      <c r="N1186">
        <f>IF(B1186,EXP(SUMPRODUCT(LN(1+(EvEff-1)*INDEX(Affected,0,C1186)*EXP(-((E1186-EvCenter)^2)/(2*EvSigma^2))))),"")</f>
        <v/>
      </c>
      <c r="O1186">
        <f>IF(B1186,ROUND(MAX(0,J1186*K1186*L1186*M1186*N1186),2),"")</f>
        <v/>
      </c>
    </row>
    <row r="1187">
      <c r="A1187" t="n">
        <v>1186</v>
      </c>
      <c r="B1187">
        <f>A1187&lt;=MineCount*Days</f>
        <v/>
      </c>
      <c r="C1187">
        <f>IF(B1187,INT((A1187-1)/Days)+1,"")</f>
        <v/>
      </c>
      <c r="D1187">
        <f>IF(B1187,MOD(A1187-1,Days),"")</f>
        <v/>
      </c>
      <c r="E1187" s="16">
        <f>IF(B1187,StartDate+D1187,"")</f>
        <v/>
      </c>
      <c r="F1187">
        <f>IF(B1187,MAX(MOD(SIN(Seed*0.1373+C1187*12.9898+D1187*78.233)*43758.5453,1),1E-9),"")</f>
        <v/>
      </c>
      <c r="G1187">
        <f>IF(B1187,MOD(SIN(Seed*0.5917+C1187*39.3468+D1187*11.135)*24634.6345,1),"")</f>
        <v/>
      </c>
      <c r="H1187">
        <f>IF(B1187,SQRT(-2*LN(F1187))*COS(2*PI()*G1187),"")</f>
        <v/>
      </c>
      <c r="I1187">
        <f>IF(B1187,IF(D1187=0,H1187,Rho*I1186+SQRT(1-Rho^2)*H1187),"")</f>
        <v/>
      </c>
      <c r="J1187">
        <f>IF(B1187,IF(Dist="Normal",DistA+DistB*I1187,DistA+(DistB-DistA)*NORMSDIST(I1187)),"")</f>
        <v/>
      </c>
      <c r="K1187">
        <f>IF(B1187,INDEX(MineScale,C1187),"")</f>
        <v/>
      </c>
      <c r="L1187">
        <f>IF(B1187,INDEX(Dow,1,WEEKDAY(E1187,2)),"")</f>
        <v/>
      </c>
      <c r="M1187">
        <f>IF(B1187,(1+Trend)^D1187,"")</f>
        <v/>
      </c>
      <c r="N1187">
        <f>IF(B1187,EXP(SUMPRODUCT(LN(1+(EvEff-1)*INDEX(Affected,0,C1187)*EXP(-((E1187-EvCenter)^2)/(2*EvSigma^2))))),"")</f>
        <v/>
      </c>
      <c r="O1187">
        <f>IF(B1187,ROUND(MAX(0,J1187*K1187*L1187*M1187*N1187),2),"")</f>
        <v/>
      </c>
    </row>
    <row r="1188">
      <c r="A1188" t="n">
        <v>1187</v>
      </c>
      <c r="B1188">
        <f>A1188&lt;=MineCount*Days</f>
        <v/>
      </c>
      <c r="C1188">
        <f>IF(B1188,INT((A1188-1)/Days)+1,"")</f>
        <v/>
      </c>
      <c r="D1188">
        <f>IF(B1188,MOD(A1188-1,Days),"")</f>
        <v/>
      </c>
      <c r="E1188" s="16">
        <f>IF(B1188,StartDate+D1188,"")</f>
        <v/>
      </c>
      <c r="F1188">
        <f>IF(B1188,MAX(MOD(SIN(Seed*0.1373+C1188*12.9898+D1188*78.233)*43758.5453,1),1E-9),"")</f>
        <v/>
      </c>
      <c r="G1188">
        <f>IF(B1188,MOD(SIN(Seed*0.5917+C1188*39.3468+D1188*11.135)*24634.6345,1),"")</f>
        <v/>
      </c>
      <c r="H1188">
        <f>IF(B1188,SQRT(-2*LN(F1188))*COS(2*PI()*G1188),"")</f>
        <v/>
      </c>
      <c r="I1188">
        <f>IF(B1188,IF(D1188=0,H1188,Rho*I1187+SQRT(1-Rho^2)*H1188),"")</f>
        <v/>
      </c>
      <c r="J1188">
        <f>IF(B1188,IF(Dist="Normal",DistA+DistB*I1188,DistA+(DistB-DistA)*NORMSDIST(I1188)),"")</f>
        <v/>
      </c>
      <c r="K1188">
        <f>IF(B1188,INDEX(MineScale,C1188),"")</f>
        <v/>
      </c>
      <c r="L1188">
        <f>IF(B1188,INDEX(Dow,1,WEEKDAY(E1188,2)),"")</f>
        <v/>
      </c>
      <c r="M1188">
        <f>IF(B1188,(1+Trend)^D1188,"")</f>
        <v/>
      </c>
      <c r="N1188">
        <f>IF(B1188,EXP(SUMPRODUCT(LN(1+(EvEff-1)*INDEX(Affected,0,C1188)*EXP(-((E1188-EvCenter)^2)/(2*EvSigma^2))))),"")</f>
        <v/>
      </c>
      <c r="O1188">
        <f>IF(B1188,ROUND(MAX(0,J1188*K1188*L1188*M1188*N1188),2),"")</f>
        <v/>
      </c>
    </row>
    <row r="1189">
      <c r="A1189" t="n">
        <v>1188</v>
      </c>
      <c r="B1189">
        <f>A1189&lt;=MineCount*Days</f>
        <v/>
      </c>
      <c r="C1189">
        <f>IF(B1189,INT((A1189-1)/Days)+1,"")</f>
        <v/>
      </c>
      <c r="D1189">
        <f>IF(B1189,MOD(A1189-1,Days),"")</f>
        <v/>
      </c>
      <c r="E1189" s="16">
        <f>IF(B1189,StartDate+D1189,"")</f>
        <v/>
      </c>
      <c r="F1189">
        <f>IF(B1189,MAX(MOD(SIN(Seed*0.1373+C1189*12.9898+D1189*78.233)*43758.5453,1),1E-9),"")</f>
        <v/>
      </c>
      <c r="G1189">
        <f>IF(B1189,MOD(SIN(Seed*0.5917+C1189*39.3468+D1189*11.135)*24634.6345,1),"")</f>
        <v/>
      </c>
      <c r="H1189">
        <f>IF(B1189,SQRT(-2*LN(F1189))*COS(2*PI()*G1189),"")</f>
        <v/>
      </c>
      <c r="I1189">
        <f>IF(B1189,IF(D1189=0,H1189,Rho*I1188+SQRT(1-Rho^2)*H1189),"")</f>
        <v/>
      </c>
      <c r="J1189">
        <f>IF(B1189,IF(Dist="Normal",DistA+DistB*I1189,DistA+(DistB-DistA)*NORMSDIST(I1189)),"")</f>
        <v/>
      </c>
      <c r="K1189">
        <f>IF(B1189,INDEX(MineScale,C1189),"")</f>
        <v/>
      </c>
      <c r="L1189">
        <f>IF(B1189,INDEX(Dow,1,WEEKDAY(E1189,2)),"")</f>
        <v/>
      </c>
      <c r="M1189">
        <f>IF(B1189,(1+Trend)^D1189,"")</f>
        <v/>
      </c>
      <c r="N1189">
        <f>IF(B1189,EXP(SUMPRODUCT(LN(1+(EvEff-1)*INDEX(Affected,0,C1189)*EXP(-((E1189-EvCenter)^2)/(2*EvSigma^2))))),"")</f>
        <v/>
      </c>
      <c r="O1189">
        <f>IF(B1189,ROUND(MAX(0,J1189*K1189*L1189*M1189*N1189),2),"")</f>
        <v/>
      </c>
    </row>
    <row r="1190">
      <c r="A1190" t="n">
        <v>1189</v>
      </c>
      <c r="B1190">
        <f>A1190&lt;=MineCount*Days</f>
        <v/>
      </c>
      <c r="C1190">
        <f>IF(B1190,INT((A1190-1)/Days)+1,"")</f>
        <v/>
      </c>
      <c r="D1190">
        <f>IF(B1190,MOD(A1190-1,Days),"")</f>
        <v/>
      </c>
      <c r="E1190" s="16">
        <f>IF(B1190,StartDate+D1190,"")</f>
        <v/>
      </c>
      <c r="F1190">
        <f>IF(B1190,MAX(MOD(SIN(Seed*0.1373+C1190*12.9898+D1190*78.233)*43758.5453,1),1E-9),"")</f>
        <v/>
      </c>
      <c r="G1190">
        <f>IF(B1190,MOD(SIN(Seed*0.5917+C1190*39.3468+D1190*11.135)*24634.6345,1),"")</f>
        <v/>
      </c>
      <c r="H1190">
        <f>IF(B1190,SQRT(-2*LN(F1190))*COS(2*PI()*G1190),"")</f>
        <v/>
      </c>
      <c r="I1190">
        <f>IF(B1190,IF(D1190=0,H1190,Rho*I1189+SQRT(1-Rho^2)*H1190),"")</f>
        <v/>
      </c>
      <c r="J1190">
        <f>IF(B1190,IF(Dist="Normal",DistA+DistB*I1190,DistA+(DistB-DistA)*NORMSDIST(I1190)),"")</f>
        <v/>
      </c>
      <c r="K1190">
        <f>IF(B1190,INDEX(MineScale,C1190),"")</f>
        <v/>
      </c>
      <c r="L1190">
        <f>IF(B1190,INDEX(Dow,1,WEEKDAY(E1190,2)),"")</f>
        <v/>
      </c>
      <c r="M1190">
        <f>IF(B1190,(1+Trend)^D1190,"")</f>
        <v/>
      </c>
      <c r="N1190">
        <f>IF(B1190,EXP(SUMPRODUCT(LN(1+(EvEff-1)*INDEX(Affected,0,C1190)*EXP(-((E1190-EvCenter)^2)/(2*EvSigma^2))))),"")</f>
        <v/>
      </c>
      <c r="O1190">
        <f>IF(B1190,ROUND(MAX(0,J1190*K1190*L1190*M1190*N1190),2),"")</f>
        <v/>
      </c>
    </row>
    <row r="1191">
      <c r="A1191" t="n">
        <v>1190</v>
      </c>
      <c r="B1191">
        <f>A1191&lt;=MineCount*Days</f>
        <v/>
      </c>
      <c r="C1191">
        <f>IF(B1191,INT((A1191-1)/Days)+1,"")</f>
        <v/>
      </c>
      <c r="D1191">
        <f>IF(B1191,MOD(A1191-1,Days),"")</f>
        <v/>
      </c>
      <c r="E1191" s="16">
        <f>IF(B1191,StartDate+D1191,"")</f>
        <v/>
      </c>
      <c r="F1191">
        <f>IF(B1191,MAX(MOD(SIN(Seed*0.1373+C1191*12.9898+D1191*78.233)*43758.5453,1),1E-9),"")</f>
        <v/>
      </c>
      <c r="G1191">
        <f>IF(B1191,MOD(SIN(Seed*0.5917+C1191*39.3468+D1191*11.135)*24634.6345,1),"")</f>
        <v/>
      </c>
      <c r="H1191">
        <f>IF(B1191,SQRT(-2*LN(F1191))*COS(2*PI()*G1191),"")</f>
        <v/>
      </c>
      <c r="I1191">
        <f>IF(B1191,IF(D1191=0,H1191,Rho*I1190+SQRT(1-Rho^2)*H1191),"")</f>
        <v/>
      </c>
      <c r="J1191">
        <f>IF(B1191,IF(Dist="Normal",DistA+DistB*I1191,DistA+(DistB-DistA)*NORMSDIST(I1191)),"")</f>
        <v/>
      </c>
      <c r="K1191">
        <f>IF(B1191,INDEX(MineScale,C1191),"")</f>
        <v/>
      </c>
      <c r="L1191">
        <f>IF(B1191,INDEX(Dow,1,WEEKDAY(E1191,2)),"")</f>
        <v/>
      </c>
      <c r="M1191">
        <f>IF(B1191,(1+Trend)^D1191,"")</f>
        <v/>
      </c>
      <c r="N1191">
        <f>IF(B1191,EXP(SUMPRODUCT(LN(1+(EvEff-1)*INDEX(Affected,0,C1191)*EXP(-((E1191-EvCenter)^2)/(2*EvSigma^2))))),"")</f>
        <v/>
      </c>
      <c r="O1191">
        <f>IF(B1191,ROUND(MAX(0,J1191*K1191*L1191*M1191*N1191),2),"")</f>
        <v/>
      </c>
    </row>
    <row r="1192">
      <c r="A1192" t="n">
        <v>1191</v>
      </c>
      <c r="B1192">
        <f>A1192&lt;=MineCount*Days</f>
        <v/>
      </c>
      <c r="C1192">
        <f>IF(B1192,INT((A1192-1)/Days)+1,"")</f>
        <v/>
      </c>
      <c r="D1192">
        <f>IF(B1192,MOD(A1192-1,Days),"")</f>
        <v/>
      </c>
      <c r="E1192" s="16">
        <f>IF(B1192,StartDate+D1192,"")</f>
        <v/>
      </c>
      <c r="F1192">
        <f>IF(B1192,MAX(MOD(SIN(Seed*0.1373+C1192*12.9898+D1192*78.233)*43758.5453,1),1E-9),"")</f>
        <v/>
      </c>
      <c r="G1192">
        <f>IF(B1192,MOD(SIN(Seed*0.5917+C1192*39.3468+D1192*11.135)*24634.6345,1),"")</f>
        <v/>
      </c>
      <c r="H1192">
        <f>IF(B1192,SQRT(-2*LN(F1192))*COS(2*PI()*G1192),"")</f>
        <v/>
      </c>
      <c r="I1192">
        <f>IF(B1192,IF(D1192=0,H1192,Rho*I1191+SQRT(1-Rho^2)*H1192),"")</f>
        <v/>
      </c>
      <c r="J1192">
        <f>IF(B1192,IF(Dist="Normal",DistA+DistB*I1192,DistA+(DistB-DistA)*NORMSDIST(I1192)),"")</f>
        <v/>
      </c>
      <c r="K1192">
        <f>IF(B1192,INDEX(MineScale,C1192),"")</f>
        <v/>
      </c>
      <c r="L1192">
        <f>IF(B1192,INDEX(Dow,1,WEEKDAY(E1192,2)),"")</f>
        <v/>
      </c>
      <c r="M1192">
        <f>IF(B1192,(1+Trend)^D1192,"")</f>
        <v/>
      </c>
      <c r="N1192">
        <f>IF(B1192,EXP(SUMPRODUCT(LN(1+(EvEff-1)*INDEX(Affected,0,C1192)*EXP(-((E1192-EvCenter)^2)/(2*EvSigma^2))))),"")</f>
        <v/>
      </c>
      <c r="O1192">
        <f>IF(B1192,ROUND(MAX(0,J1192*K1192*L1192*M1192*N1192),2),"")</f>
        <v/>
      </c>
    </row>
    <row r="1193">
      <c r="A1193" t="n">
        <v>1192</v>
      </c>
      <c r="B1193">
        <f>A1193&lt;=MineCount*Days</f>
        <v/>
      </c>
      <c r="C1193">
        <f>IF(B1193,INT((A1193-1)/Days)+1,"")</f>
        <v/>
      </c>
      <c r="D1193">
        <f>IF(B1193,MOD(A1193-1,Days),"")</f>
        <v/>
      </c>
      <c r="E1193" s="16">
        <f>IF(B1193,StartDate+D1193,"")</f>
        <v/>
      </c>
      <c r="F1193">
        <f>IF(B1193,MAX(MOD(SIN(Seed*0.1373+C1193*12.9898+D1193*78.233)*43758.5453,1),1E-9),"")</f>
        <v/>
      </c>
      <c r="G1193">
        <f>IF(B1193,MOD(SIN(Seed*0.5917+C1193*39.3468+D1193*11.135)*24634.6345,1),"")</f>
        <v/>
      </c>
      <c r="H1193">
        <f>IF(B1193,SQRT(-2*LN(F1193))*COS(2*PI()*G1193),"")</f>
        <v/>
      </c>
      <c r="I1193">
        <f>IF(B1193,IF(D1193=0,H1193,Rho*I1192+SQRT(1-Rho^2)*H1193),"")</f>
        <v/>
      </c>
      <c r="J1193">
        <f>IF(B1193,IF(Dist="Normal",DistA+DistB*I1193,DistA+(DistB-DistA)*NORMSDIST(I1193)),"")</f>
        <v/>
      </c>
      <c r="K1193">
        <f>IF(B1193,INDEX(MineScale,C1193),"")</f>
        <v/>
      </c>
      <c r="L1193">
        <f>IF(B1193,INDEX(Dow,1,WEEKDAY(E1193,2)),"")</f>
        <v/>
      </c>
      <c r="M1193">
        <f>IF(B1193,(1+Trend)^D1193,"")</f>
        <v/>
      </c>
      <c r="N1193">
        <f>IF(B1193,EXP(SUMPRODUCT(LN(1+(EvEff-1)*INDEX(Affected,0,C1193)*EXP(-((E1193-EvCenter)^2)/(2*EvSigma^2))))),"")</f>
        <v/>
      </c>
      <c r="O1193">
        <f>IF(B1193,ROUND(MAX(0,J1193*K1193*L1193*M1193*N1193),2),"")</f>
        <v/>
      </c>
    </row>
    <row r="1194">
      <c r="A1194" t="n">
        <v>1193</v>
      </c>
      <c r="B1194">
        <f>A1194&lt;=MineCount*Days</f>
        <v/>
      </c>
      <c r="C1194">
        <f>IF(B1194,INT((A1194-1)/Days)+1,"")</f>
        <v/>
      </c>
      <c r="D1194">
        <f>IF(B1194,MOD(A1194-1,Days),"")</f>
        <v/>
      </c>
      <c r="E1194" s="16">
        <f>IF(B1194,StartDate+D1194,"")</f>
        <v/>
      </c>
      <c r="F1194">
        <f>IF(B1194,MAX(MOD(SIN(Seed*0.1373+C1194*12.9898+D1194*78.233)*43758.5453,1),1E-9),"")</f>
        <v/>
      </c>
      <c r="G1194">
        <f>IF(B1194,MOD(SIN(Seed*0.5917+C1194*39.3468+D1194*11.135)*24634.6345,1),"")</f>
        <v/>
      </c>
      <c r="H1194">
        <f>IF(B1194,SQRT(-2*LN(F1194))*COS(2*PI()*G1194),"")</f>
        <v/>
      </c>
      <c r="I1194">
        <f>IF(B1194,IF(D1194=0,H1194,Rho*I1193+SQRT(1-Rho^2)*H1194),"")</f>
        <v/>
      </c>
      <c r="J1194">
        <f>IF(B1194,IF(Dist="Normal",DistA+DistB*I1194,DistA+(DistB-DistA)*NORMSDIST(I1194)),"")</f>
        <v/>
      </c>
      <c r="K1194">
        <f>IF(B1194,INDEX(MineScale,C1194),"")</f>
        <v/>
      </c>
      <c r="L1194">
        <f>IF(B1194,INDEX(Dow,1,WEEKDAY(E1194,2)),"")</f>
        <v/>
      </c>
      <c r="M1194">
        <f>IF(B1194,(1+Trend)^D1194,"")</f>
        <v/>
      </c>
      <c r="N1194">
        <f>IF(B1194,EXP(SUMPRODUCT(LN(1+(EvEff-1)*INDEX(Affected,0,C1194)*EXP(-((E1194-EvCenter)^2)/(2*EvSigma^2))))),"")</f>
        <v/>
      </c>
      <c r="O1194">
        <f>IF(B1194,ROUND(MAX(0,J1194*K1194*L1194*M1194*N1194),2),"")</f>
        <v/>
      </c>
    </row>
    <row r="1195">
      <c r="A1195" t="n">
        <v>1194</v>
      </c>
      <c r="B1195">
        <f>A1195&lt;=MineCount*Days</f>
        <v/>
      </c>
      <c r="C1195">
        <f>IF(B1195,INT((A1195-1)/Days)+1,"")</f>
        <v/>
      </c>
      <c r="D1195">
        <f>IF(B1195,MOD(A1195-1,Days),"")</f>
        <v/>
      </c>
      <c r="E1195" s="16">
        <f>IF(B1195,StartDate+D1195,"")</f>
        <v/>
      </c>
      <c r="F1195">
        <f>IF(B1195,MAX(MOD(SIN(Seed*0.1373+C1195*12.9898+D1195*78.233)*43758.5453,1),1E-9),"")</f>
        <v/>
      </c>
      <c r="G1195">
        <f>IF(B1195,MOD(SIN(Seed*0.5917+C1195*39.3468+D1195*11.135)*24634.6345,1),"")</f>
        <v/>
      </c>
      <c r="H1195">
        <f>IF(B1195,SQRT(-2*LN(F1195))*COS(2*PI()*G1195),"")</f>
        <v/>
      </c>
      <c r="I1195">
        <f>IF(B1195,IF(D1195=0,H1195,Rho*I1194+SQRT(1-Rho^2)*H1195),"")</f>
        <v/>
      </c>
      <c r="J1195">
        <f>IF(B1195,IF(Dist="Normal",DistA+DistB*I1195,DistA+(DistB-DistA)*NORMSDIST(I1195)),"")</f>
        <v/>
      </c>
      <c r="K1195">
        <f>IF(B1195,INDEX(MineScale,C1195),"")</f>
        <v/>
      </c>
      <c r="L1195">
        <f>IF(B1195,INDEX(Dow,1,WEEKDAY(E1195,2)),"")</f>
        <v/>
      </c>
      <c r="M1195">
        <f>IF(B1195,(1+Trend)^D1195,"")</f>
        <v/>
      </c>
      <c r="N1195">
        <f>IF(B1195,EXP(SUMPRODUCT(LN(1+(EvEff-1)*INDEX(Affected,0,C1195)*EXP(-((E1195-EvCenter)^2)/(2*EvSigma^2))))),"")</f>
        <v/>
      </c>
      <c r="O1195">
        <f>IF(B1195,ROUND(MAX(0,J1195*K1195*L1195*M1195*N1195),2),"")</f>
        <v/>
      </c>
    </row>
    <row r="1196">
      <c r="A1196" t="n">
        <v>1195</v>
      </c>
      <c r="B1196">
        <f>A1196&lt;=MineCount*Days</f>
        <v/>
      </c>
      <c r="C1196">
        <f>IF(B1196,INT((A1196-1)/Days)+1,"")</f>
        <v/>
      </c>
      <c r="D1196">
        <f>IF(B1196,MOD(A1196-1,Days),"")</f>
        <v/>
      </c>
      <c r="E1196" s="16">
        <f>IF(B1196,StartDate+D1196,"")</f>
        <v/>
      </c>
      <c r="F1196">
        <f>IF(B1196,MAX(MOD(SIN(Seed*0.1373+C1196*12.9898+D1196*78.233)*43758.5453,1),1E-9),"")</f>
        <v/>
      </c>
      <c r="G1196">
        <f>IF(B1196,MOD(SIN(Seed*0.5917+C1196*39.3468+D1196*11.135)*24634.6345,1),"")</f>
        <v/>
      </c>
      <c r="H1196">
        <f>IF(B1196,SQRT(-2*LN(F1196))*COS(2*PI()*G1196),"")</f>
        <v/>
      </c>
      <c r="I1196">
        <f>IF(B1196,IF(D1196=0,H1196,Rho*I1195+SQRT(1-Rho^2)*H1196),"")</f>
        <v/>
      </c>
      <c r="J1196">
        <f>IF(B1196,IF(Dist="Normal",DistA+DistB*I1196,DistA+(DistB-DistA)*NORMSDIST(I1196)),"")</f>
        <v/>
      </c>
      <c r="K1196">
        <f>IF(B1196,INDEX(MineScale,C1196),"")</f>
        <v/>
      </c>
      <c r="L1196">
        <f>IF(B1196,INDEX(Dow,1,WEEKDAY(E1196,2)),"")</f>
        <v/>
      </c>
      <c r="M1196">
        <f>IF(B1196,(1+Trend)^D1196,"")</f>
        <v/>
      </c>
      <c r="N1196">
        <f>IF(B1196,EXP(SUMPRODUCT(LN(1+(EvEff-1)*INDEX(Affected,0,C1196)*EXP(-((E1196-EvCenter)^2)/(2*EvSigma^2))))),"")</f>
        <v/>
      </c>
      <c r="O1196">
        <f>IF(B1196,ROUND(MAX(0,J1196*K1196*L1196*M1196*N1196),2),"")</f>
        <v/>
      </c>
    </row>
    <row r="1197">
      <c r="A1197" t="n">
        <v>1196</v>
      </c>
      <c r="B1197">
        <f>A1197&lt;=MineCount*Days</f>
        <v/>
      </c>
      <c r="C1197">
        <f>IF(B1197,INT((A1197-1)/Days)+1,"")</f>
        <v/>
      </c>
      <c r="D1197">
        <f>IF(B1197,MOD(A1197-1,Days),"")</f>
        <v/>
      </c>
      <c r="E1197" s="16">
        <f>IF(B1197,StartDate+D1197,"")</f>
        <v/>
      </c>
      <c r="F1197">
        <f>IF(B1197,MAX(MOD(SIN(Seed*0.1373+C1197*12.9898+D1197*78.233)*43758.5453,1),1E-9),"")</f>
        <v/>
      </c>
      <c r="G1197">
        <f>IF(B1197,MOD(SIN(Seed*0.5917+C1197*39.3468+D1197*11.135)*24634.6345,1),"")</f>
        <v/>
      </c>
      <c r="H1197">
        <f>IF(B1197,SQRT(-2*LN(F1197))*COS(2*PI()*G1197),"")</f>
        <v/>
      </c>
      <c r="I1197">
        <f>IF(B1197,IF(D1197=0,H1197,Rho*I1196+SQRT(1-Rho^2)*H1197),"")</f>
        <v/>
      </c>
      <c r="J1197">
        <f>IF(B1197,IF(Dist="Normal",DistA+DistB*I1197,DistA+(DistB-DistA)*NORMSDIST(I1197)),"")</f>
        <v/>
      </c>
      <c r="K1197">
        <f>IF(B1197,INDEX(MineScale,C1197),"")</f>
        <v/>
      </c>
      <c r="L1197">
        <f>IF(B1197,INDEX(Dow,1,WEEKDAY(E1197,2)),"")</f>
        <v/>
      </c>
      <c r="M1197">
        <f>IF(B1197,(1+Trend)^D1197,"")</f>
        <v/>
      </c>
      <c r="N1197">
        <f>IF(B1197,EXP(SUMPRODUCT(LN(1+(EvEff-1)*INDEX(Affected,0,C1197)*EXP(-((E1197-EvCenter)^2)/(2*EvSigma^2))))),"")</f>
        <v/>
      </c>
      <c r="O1197">
        <f>IF(B1197,ROUND(MAX(0,J1197*K1197*L1197*M1197*N1197),2),"")</f>
        <v/>
      </c>
    </row>
    <row r="1198">
      <c r="A1198" t="n">
        <v>1197</v>
      </c>
      <c r="B1198">
        <f>A1198&lt;=MineCount*Days</f>
        <v/>
      </c>
      <c r="C1198">
        <f>IF(B1198,INT((A1198-1)/Days)+1,"")</f>
        <v/>
      </c>
      <c r="D1198">
        <f>IF(B1198,MOD(A1198-1,Days),"")</f>
        <v/>
      </c>
      <c r="E1198" s="16">
        <f>IF(B1198,StartDate+D1198,"")</f>
        <v/>
      </c>
      <c r="F1198">
        <f>IF(B1198,MAX(MOD(SIN(Seed*0.1373+C1198*12.9898+D1198*78.233)*43758.5453,1),1E-9),"")</f>
        <v/>
      </c>
      <c r="G1198">
        <f>IF(B1198,MOD(SIN(Seed*0.5917+C1198*39.3468+D1198*11.135)*24634.6345,1),"")</f>
        <v/>
      </c>
      <c r="H1198">
        <f>IF(B1198,SQRT(-2*LN(F1198))*COS(2*PI()*G1198),"")</f>
        <v/>
      </c>
      <c r="I1198">
        <f>IF(B1198,IF(D1198=0,H1198,Rho*I1197+SQRT(1-Rho^2)*H1198),"")</f>
        <v/>
      </c>
      <c r="J1198">
        <f>IF(B1198,IF(Dist="Normal",DistA+DistB*I1198,DistA+(DistB-DistA)*NORMSDIST(I1198)),"")</f>
        <v/>
      </c>
      <c r="K1198">
        <f>IF(B1198,INDEX(MineScale,C1198),"")</f>
        <v/>
      </c>
      <c r="L1198">
        <f>IF(B1198,INDEX(Dow,1,WEEKDAY(E1198,2)),"")</f>
        <v/>
      </c>
      <c r="M1198">
        <f>IF(B1198,(1+Trend)^D1198,"")</f>
        <v/>
      </c>
      <c r="N1198">
        <f>IF(B1198,EXP(SUMPRODUCT(LN(1+(EvEff-1)*INDEX(Affected,0,C1198)*EXP(-((E1198-EvCenter)^2)/(2*EvSigma^2))))),"")</f>
        <v/>
      </c>
      <c r="O1198">
        <f>IF(B1198,ROUND(MAX(0,J1198*K1198*L1198*M1198*N1198),2),"")</f>
        <v/>
      </c>
    </row>
    <row r="1199">
      <c r="A1199" t="n">
        <v>1198</v>
      </c>
      <c r="B1199">
        <f>A1199&lt;=MineCount*Days</f>
        <v/>
      </c>
      <c r="C1199">
        <f>IF(B1199,INT((A1199-1)/Days)+1,"")</f>
        <v/>
      </c>
      <c r="D1199">
        <f>IF(B1199,MOD(A1199-1,Days),"")</f>
        <v/>
      </c>
      <c r="E1199" s="16">
        <f>IF(B1199,StartDate+D1199,"")</f>
        <v/>
      </c>
      <c r="F1199">
        <f>IF(B1199,MAX(MOD(SIN(Seed*0.1373+C1199*12.9898+D1199*78.233)*43758.5453,1),1E-9),"")</f>
        <v/>
      </c>
      <c r="G1199">
        <f>IF(B1199,MOD(SIN(Seed*0.5917+C1199*39.3468+D1199*11.135)*24634.6345,1),"")</f>
        <v/>
      </c>
      <c r="H1199">
        <f>IF(B1199,SQRT(-2*LN(F1199))*COS(2*PI()*G1199),"")</f>
        <v/>
      </c>
      <c r="I1199">
        <f>IF(B1199,IF(D1199=0,H1199,Rho*I1198+SQRT(1-Rho^2)*H1199),"")</f>
        <v/>
      </c>
      <c r="J1199">
        <f>IF(B1199,IF(Dist="Normal",DistA+DistB*I1199,DistA+(DistB-DistA)*NORMSDIST(I1199)),"")</f>
        <v/>
      </c>
      <c r="K1199">
        <f>IF(B1199,INDEX(MineScale,C1199),"")</f>
        <v/>
      </c>
      <c r="L1199">
        <f>IF(B1199,INDEX(Dow,1,WEEKDAY(E1199,2)),"")</f>
        <v/>
      </c>
      <c r="M1199">
        <f>IF(B1199,(1+Trend)^D1199,"")</f>
        <v/>
      </c>
      <c r="N1199">
        <f>IF(B1199,EXP(SUMPRODUCT(LN(1+(EvEff-1)*INDEX(Affected,0,C1199)*EXP(-((E1199-EvCenter)^2)/(2*EvSigma^2))))),"")</f>
        <v/>
      </c>
      <c r="O1199">
        <f>IF(B1199,ROUND(MAX(0,J1199*K1199*L1199*M1199*N1199),2),"")</f>
        <v/>
      </c>
    </row>
    <row r="1200">
      <c r="A1200" t="n">
        <v>1199</v>
      </c>
      <c r="B1200">
        <f>A1200&lt;=MineCount*Days</f>
        <v/>
      </c>
      <c r="C1200">
        <f>IF(B1200,INT((A1200-1)/Days)+1,"")</f>
        <v/>
      </c>
      <c r="D1200">
        <f>IF(B1200,MOD(A1200-1,Days),"")</f>
        <v/>
      </c>
      <c r="E1200" s="16">
        <f>IF(B1200,StartDate+D1200,"")</f>
        <v/>
      </c>
      <c r="F1200">
        <f>IF(B1200,MAX(MOD(SIN(Seed*0.1373+C1200*12.9898+D1200*78.233)*43758.5453,1),1E-9),"")</f>
        <v/>
      </c>
      <c r="G1200">
        <f>IF(B1200,MOD(SIN(Seed*0.5917+C1200*39.3468+D1200*11.135)*24634.6345,1),"")</f>
        <v/>
      </c>
      <c r="H1200">
        <f>IF(B1200,SQRT(-2*LN(F1200))*COS(2*PI()*G1200),"")</f>
        <v/>
      </c>
      <c r="I1200">
        <f>IF(B1200,IF(D1200=0,H1200,Rho*I1199+SQRT(1-Rho^2)*H1200),"")</f>
        <v/>
      </c>
      <c r="J1200">
        <f>IF(B1200,IF(Dist="Normal",DistA+DistB*I1200,DistA+(DistB-DistA)*NORMSDIST(I1200)),"")</f>
        <v/>
      </c>
      <c r="K1200">
        <f>IF(B1200,INDEX(MineScale,C1200),"")</f>
        <v/>
      </c>
      <c r="L1200">
        <f>IF(B1200,INDEX(Dow,1,WEEKDAY(E1200,2)),"")</f>
        <v/>
      </c>
      <c r="M1200">
        <f>IF(B1200,(1+Trend)^D1200,"")</f>
        <v/>
      </c>
      <c r="N1200">
        <f>IF(B1200,EXP(SUMPRODUCT(LN(1+(EvEff-1)*INDEX(Affected,0,C1200)*EXP(-((E1200-EvCenter)^2)/(2*EvSigma^2))))),"")</f>
        <v/>
      </c>
      <c r="O1200">
        <f>IF(B1200,ROUND(MAX(0,J1200*K1200*L1200*M1200*N1200),2),"")</f>
        <v/>
      </c>
    </row>
    <row r="1201">
      <c r="A1201" t="n">
        <v>1200</v>
      </c>
      <c r="B1201">
        <f>A1201&lt;=MineCount*Days</f>
        <v/>
      </c>
      <c r="C1201">
        <f>IF(B1201,INT((A1201-1)/Days)+1,"")</f>
        <v/>
      </c>
      <c r="D1201">
        <f>IF(B1201,MOD(A1201-1,Days),"")</f>
        <v/>
      </c>
      <c r="E1201" s="16">
        <f>IF(B1201,StartDate+D1201,"")</f>
        <v/>
      </c>
      <c r="F1201">
        <f>IF(B1201,MAX(MOD(SIN(Seed*0.1373+C1201*12.9898+D1201*78.233)*43758.5453,1),1E-9),"")</f>
        <v/>
      </c>
      <c r="G1201">
        <f>IF(B1201,MOD(SIN(Seed*0.5917+C1201*39.3468+D1201*11.135)*24634.6345,1),"")</f>
        <v/>
      </c>
      <c r="H1201">
        <f>IF(B1201,SQRT(-2*LN(F1201))*COS(2*PI()*G1201),"")</f>
        <v/>
      </c>
      <c r="I1201">
        <f>IF(B1201,IF(D1201=0,H1201,Rho*I1200+SQRT(1-Rho^2)*H1201),"")</f>
        <v/>
      </c>
      <c r="J1201">
        <f>IF(B1201,IF(Dist="Normal",DistA+DistB*I1201,DistA+(DistB-DistA)*NORMSDIST(I1201)),"")</f>
        <v/>
      </c>
      <c r="K1201">
        <f>IF(B1201,INDEX(MineScale,C1201),"")</f>
        <v/>
      </c>
      <c r="L1201">
        <f>IF(B1201,INDEX(Dow,1,WEEKDAY(E1201,2)),"")</f>
        <v/>
      </c>
      <c r="M1201">
        <f>IF(B1201,(1+Trend)^D1201,"")</f>
        <v/>
      </c>
      <c r="N1201">
        <f>IF(B1201,EXP(SUMPRODUCT(LN(1+(EvEff-1)*INDEX(Affected,0,C1201)*EXP(-((E1201-EvCenter)^2)/(2*EvSigma^2))))),"")</f>
        <v/>
      </c>
      <c r="O1201">
        <f>IF(B1201,ROUND(MAX(0,J1201*K1201*L1201*M1201*N1201),2),"")</f>
        <v/>
      </c>
    </row>
    <row r="1202">
      <c r="A1202" t="n">
        <v>1201</v>
      </c>
      <c r="B1202">
        <f>A1202&lt;=MineCount*Days</f>
        <v/>
      </c>
      <c r="C1202">
        <f>IF(B1202,INT((A1202-1)/Days)+1,"")</f>
        <v/>
      </c>
      <c r="D1202">
        <f>IF(B1202,MOD(A1202-1,Days),"")</f>
        <v/>
      </c>
      <c r="E1202" s="16">
        <f>IF(B1202,StartDate+D1202,"")</f>
        <v/>
      </c>
      <c r="F1202">
        <f>IF(B1202,MAX(MOD(SIN(Seed*0.1373+C1202*12.9898+D1202*78.233)*43758.5453,1),1E-9),"")</f>
        <v/>
      </c>
      <c r="G1202">
        <f>IF(B1202,MOD(SIN(Seed*0.5917+C1202*39.3468+D1202*11.135)*24634.6345,1),"")</f>
        <v/>
      </c>
      <c r="H1202">
        <f>IF(B1202,SQRT(-2*LN(F1202))*COS(2*PI()*G1202),"")</f>
        <v/>
      </c>
      <c r="I1202">
        <f>IF(B1202,IF(D1202=0,H1202,Rho*I1201+SQRT(1-Rho^2)*H1202),"")</f>
        <v/>
      </c>
      <c r="J1202">
        <f>IF(B1202,IF(Dist="Normal",DistA+DistB*I1202,DistA+(DistB-DistA)*NORMSDIST(I1202)),"")</f>
        <v/>
      </c>
      <c r="K1202">
        <f>IF(B1202,INDEX(MineScale,C1202),"")</f>
        <v/>
      </c>
      <c r="L1202">
        <f>IF(B1202,INDEX(Dow,1,WEEKDAY(E1202,2)),"")</f>
        <v/>
      </c>
      <c r="M1202">
        <f>IF(B1202,(1+Trend)^D1202,"")</f>
        <v/>
      </c>
      <c r="N1202">
        <f>IF(B1202,EXP(SUMPRODUCT(LN(1+(EvEff-1)*INDEX(Affected,0,C1202)*EXP(-((E1202-EvCenter)^2)/(2*EvSigma^2))))),"")</f>
        <v/>
      </c>
      <c r="O1202">
        <f>IF(B1202,ROUND(MAX(0,J1202*K1202*L1202*M1202*N1202),2),"")</f>
        <v/>
      </c>
    </row>
    <row r="1203">
      <c r="A1203" t="n">
        <v>1202</v>
      </c>
      <c r="B1203">
        <f>A1203&lt;=MineCount*Days</f>
        <v/>
      </c>
      <c r="C1203">
        <f>IF(B1203,INT((A1203-1)/Days)+1,"")</f>
        <v/>
      </c>
      <c r="D1203">
        <f>IF(B1203,MOD(A1203-1,Days),"")</f>
        <v/>
      </c>
      <c r="E1203" s="16">
        <f>IF(B1203,StartDate+D1203,"")</f>
        <v/>
      </c>
      <c r="F1203">
        <f>IF(B1203,MAX(MOD(SIN(Seed*0.1373+C1203*12.9898+D1203*78.233)*43758.5453,1),1E-9),"")</f>
        <v/>
      </c>
      <c r="G1203">
        <f>IF(B1203,MOD(SIN(Seed*0.5917+C1203*39.3468+D1203*11.135)*24634.6345,1),"")</f>
        <v/>
      </c>
      <c r="H1203">
        <f>IF(B1203,SQRT(-2*LN(F1203))*COS(2*PI()*G1203),"")</f>
        <v/>
      </c>
      <c r="I1203">
        <f>IF(B1203,IF(D1203=0,H1203,Rho*I1202+SQRT(1-Rho^2)*H1203),"")</f>
        <v/>
      </c>
      <c r="J1203">
        <f>IF(B1203,IF(Dist="Normal",DistA+DistB*I1203,DistA+(DistB-DistA)*NORMSDIST(I1203)),"")</f>
        <v/>
      </c>
      <c r="K1203">
        <f>IF(B1203,INDEX(MineScale,C1203),"")</f>
        <v/>
      </c>
      <c r="L1203">
        <f>IF(B1203,INDEX(Dow,1,WEEKDAY(E1203,2)),"")</f>
        <v/>
      </c>
      <c r="M1203">
        <f>IF(B1203,(1+Trend)^D1203,"")</f>
        <v/>
      </c>
      <c r="N1203">
        <f>IF(B1203,EXP(SUMPRODUCT(LN(1+(EvEff-1)*INDEX(Affected,0,C1203)*EXP(-((E1203-EvCenter)^2)/(2*EvSigma^2))))),"")</f>
        <v/>
      </c>
      <c r="O1203">
        <f>IF(B1203,ROUND(MAX(0,J1203*K1203*L1203*M1203*N1203),2),"")</f>
        <v/>
      </c>
    </row>
    <row r="1204">
      <c r="A1204" t="n">
        <v>1203</v>
      </c>
      <c r="B1204">
        <f>A1204&lt;=MineCount*Days</f>
        <v/>
      </c>
      <c r="C1204">
        <f>IF(B1204,INT((A1204-1)/Days)+1,"")</f>
        <v/>
      </c>
      <c r="D1204">
        <f>IF(B1204,MOD(A1204-1,Days),"")</f>
        <v/>
      </c>
      <c r="E1204" s="16">
        <f>IF(B1204,StartDate+D1204,"")</f>
        <v/>
      </c>
      <c r="F1204">
        <f>IF(B1204,MAX(MOD(SIN(Seed*0.1373+C1204*12.9898+D1204*78.233)*43758.5453,1),1E-9),"")</f>
        <v/>
      </c>
      <c r="G1204">
        <f>IF(B1204,MOD(SIN(Seed*0.5917+C1204*39.3468+D1204*11.135)*24634.6345,1),"")</f>
        <v/>
      </c>
      <c r="H1204">
        <f>IF(B1204,SQRT(-2*LN(F1204))*COS(2*PI()*G1204),"")</f>
        <v/>
      </c>
      <c r="I1204">
        <f>IF(B1204,IF(D1204=0,H1204,Rho*I1203+SQRT(1-Rho^2)*H1204),"")</f>
        <v/>
      </c>
      <c r="J1204">
        <f>IF(B1204,IF(Dist="Normal",DistA+DistB*I1204,DistA+(DistB-DistA)*NORMSDIST(I1204)),"")</f>
        <v/>
      </c>
      <c r="K1204">
        <f>IF(B1204,INDEX(MineScale,C1204),"")</f>
        <v/>
      </c>
      <c r="L1204">
        <f>IF(B1204,INDEX(Dow,1,WEEKDAY(E1204,2)),"")</f>
        <v/>
      </c>
      <c r="M1204">
        <f>IF(B1204,(1+Trend)^D1204,"")</f>
        <v/>
      </c>
      <c r="N1204">
        <f>IF(B1204,EXP(SUMPRODUCT(LN(1+(EvEff-1)*INDEX(Affected,0,C1204)*EXP(-((E1204-EvCenter)^2)/(2*EvSigma^2))))),"")</f>
        <v/>
      </c>
      <c r="O1204">
        <f>IF(B1204,ROUND(MAX(0,J1204*K1204*L1204*M1204*N1204),2),"")</f>
        <v/>
      </c>
    </row>
    <row r="1205">
      <c r="A1205" t="n">
        <v>1204</v>
      </c>
      <c r="B1205">
        <f>A1205&lt;=MineCount*Days</f>
        <v/>
      </c>
      <c r="C1205">
        <f>IF(B1205,INT((A1205-1)/Days)+1,"")</f>
        <v/>
      </c>
      <c r="D1205">
        <f>IF(B1205,MOD(A1205-1,Days),"")</f>
        <v/>
      </c>
      <c r="E1205" s="16">
        <f>IF(B1205,StartDate+D1205,"")</f>
        <v/>
      </c>
      <c r="F1205">
        <f>IF(B1205,MAX(MOD(SIN(Seed*0.1373+C1205*12.9898+D1205*78.233)*43758.5453,1),1E-9),"")</f>
        <v/>
      </c>
      <c r="G1205">
        <f>IF(B1205,MOD(SIN(Seed*0.5917+C1205*39.3468+D1205*11.135)*24634.6345,1),"")</f>
        <v/>
      </c>
      <c r="H1205">
        <f>IF(B1205,SQRT(-2*LN(F1205))*COS(2*PI()*G1205),"")</f>
        <v/>
      </c>
      <c r="I1205">
        <f>IF(B1205,IF(D1205=0,H1205,Rho*I1204+SQRT(1-Rho^2)*H1205),"")</f>
        <v/>
      </c>
      <c r="J1205">
        <f>IF(B1205,IF(Dist="Normal",DistA+DistB*I1205,DistA+(DistB-DistA)*NORMSDIST(I1205)),"")</f>
        <v/>
      </c>
      <c r="K1205">
        <f>IF(B1205,INDEX(MineScale,C1205),"")</f>
        <v/>
      </c>
      <c r="L1205">
        <f>IF(B1205,INDEX(Dow,1,WEEKDAY(E1205,2)),"")</f>
        <v/>
      </c>
      <c r="M1205">
        <f>IF(B1205,(1+Trend)^D1205,"")</f>
        <v/>
      </c>
      <c r="N1205">
        <f>IF(B1205,EXP(SUMPRODUCT(LN(1+(EvEff-1)*INDEX(Affected,0,C1205)*EXP(-((E1205-EvCenter)^2)/(2*EvSigma^2))))),"")</f>
        <v/>
      </c>
      <c r="O1205">
        <f>IF(B1205,ROUND(MAX(0,J1205*K1205*L1205*M1205*N1205),2),"")</f>
        <v/>
      </c>
    </row>
    <row r="1206">
      <c r="A1206" t="n">
        <v>1205</v>
      </c>
      <c r="B1206">
        <f>A1206&lt;=MineCount*Days</f>
        <v/>
      </c>
      <c r="C1206">
        <f>IF(B1206,INT((A1206-1)/Days)+1,"")</f>
        <v/>
      </c>
      <c r="D1206">
        <f>IF(B1206,MOD(A1206-1,Days),"")</f>
        <v/>
      </c>
      <c r="E1206" s="16">
        <f>IF(B1206,StartDate+D1206,"")</f>
        <v/>
      </c>
      <c r="F1206">
        <f>IF(B1206,MAX(MOD(SIN(Seed*0.1373+C1206*12.9898+D1206*78.233)*43758.5453,1),1E-9),"")</f>
        <v/>
      </c>
      <c r="G1206">
        <f>IF(B1206,MOD(SIN(Seed*0.5917+C1206*39.3468+D1206*11.135)*24634.6345,1),"")</f>
        <v/>
      </c>
      <c r="H1206">
        <f>IF(B1206,SQRT(-2*LN(F1206))*COS(2*PI()*G1206),"")</f>
        <v/>
      </c>
      <c r="I1206">
        <f>IF(B1206,IF(D1206=0,H1206,Rho*I1205+SQRT(1-Rho^2)*H1206),"")</f>
        <v/>
      </c>
      <c r="J1206">
        <f>IF(B1206,IF(Dist="Normal",DistA+DistB*I1206,DistA+(DistB-DistA)*NORMSDIST(I1206)),"")</f>
        <v/>
      </c>
      <c r="K1206">
        <f>IF(B1206,INDEX(MineScale,C1206),"")</f>
        <v/>
      </c>
      <c r="L1206">
        <f>IF(B1206,INDEX(Dow,1,WEEKDAY(E1206,2)),"")</f>
        <v/>
      </c>
      <c r="M1206">
        <f>IF(B1206,(1+Trend)^D1206,"")</f>
        <v/>
      </c>
      <c r="N1206">
        <f>IF(B1206,EXP(SUMPRODUCT(LN(1+(EvEff-1)*INDEX(Affected,0,C1206)*EXP(-((E1206-EvCenter)^2)/(2*EvSigma^2))))),"")</f>
        <v/>
      </c>
      <c r="O1206">
        <f>IF(B1206,ROUND(MAX(0,J1206*K1206*L1206*M1206*N1206),2),"")</f>
        <v/>
      </c>
    </row>
    <row r="1207">
      <c r="A1207" t="n">
        <v>1206</v>
      </c>
      <c r="B1207">
        <f>A1207&lt;=MineCount*Days</f>
        <v/>
      </c>
      <c r="C1207">
        <f>IF(B1207,INT((A1207-1)/Days)+1,"")</f>
        <v/>
      </c>
      <c r="D1207">
        <f>IF(B1207,MOD(A1207-1,Days),"")</f>
        <v/>
      </c>
      <c r="E1207" s="16">
        <f>IF(B1207,StartDate+D1207,"")</f>
        <v/>
      </c>
      <c r="F1207">
        <f>IF(B1207,MAX(MOD(SIN(Seed*0.1373+C1207*12.9898+D1207*78.233)*43758.5453,1),1E-9),"")</f>
        <v/>
      </c>
      <c r="G1207">
        <f>IF(B1207,MOD(SIN(Seed*0.5917+C1207*39.3468+D1207*11.135)*24634.6345,1),"")</f>
        <v/>
      </c>
      <c r="H1207">
        <f>IF(B1207,SQRT(-2*LN(F1207))*COS(2*PI()*G1207),"")</f>
        <v/>
      </c>
      <c r="I1207">
        <f>IF(B1207,IF(D1207=0,H1207,Rho*I1206+SQRT(1-Rho^2)*H1207),"")</f>
        <v/>
      </c>
      <c r="J1207">
        <f>IF(B1207,IF(Dist="Normal",DistA+DistB*I1207,DistA+(DistB-DistA)*NORMSDIST(I1207)),"")</f>
        <v/>
      </c>
      <c r="K1207">
        <f>IF(B1207,INDEX(MineScale,C1207),"")</f>
        <v/>
      </c>
      <c r="L1207">
        <f>IF(B1207,INDEX(Dow,1,WEEKDAY(E1207,2)),"")</f>
        <v/>
      </c>
      <c r="M1207">
        <f>IF(B1207,(1+Trend)^D1207,"")</f>
        <v/>
      </c>
      <c r="N1207">
        <f>IF(B1207,EXP(SUMPRODUCT(LN(1+(EvEff-1)*INDEX(Affected,0,C1207)*EXP(-((E1207-EvCenter)^2)/(2*EvSigma^2))))),"")</f>
        <v/>
      </c>
      <c r="O1207">
        <f>IF(B1207,ROUND(MAX(0,J1207*K1207*L1207*M1207*N1207),2),"")</f>
        <v/>
      </c>
    </row>
    <row r="1208">
      <c r="A1208" t="n">
        <v>1207</v>
      </c>
      <c r="B1208">
        <f>A1208&lt;=MineCount*Days</f>
        <v/>
      </c>
      <c r="C1208">
        <f>IF(B1208,INT((A1208-1)/Days)+1,"")</f>
        <v/>
      </c>
      <c r="D1208">
        <f>IF(B1208,MOD(A1208-1,Days),"")</f>
        <v/>
      </c>
      <c r="E1208" s="16">
        <f>IF(B1208,StartDate+D1208,"")</f>
        <v/>
      </c>
      <c r="F1208">
        <f>IF(B1208,MAX(MOD(SIN(Seed*0.1373+C1208*12.9898+D1208*78.233)*43758.5453,1),1E-9),"")</f>
        <v/>
      </c>
      <c r="G1208">
        <f>IF(B1208,MOD(SIN(Seed*0.5917+C1208*39.3468+D1208*11.135)*24634.6345,1),"")</f>
        <v/>
      </c>
      <c r="H1208">
        <f>IF(B1208,SQRT(-2*LN(F1208))*COS(2*PI()*G1208),"")</f>
        <v/>
      </c>
      <c r="I1208">
        <f>IF(B1208,IF(D1208=0,H1208,Rho*I1207+SQRT(1-Rho^2)*H1208),"")</f>
        <v/>
      </c>
      <c r="J1208">
        <f>IF(B1208,IF(Dist="Normal",DistA+DistB*I1208,DistA+(DistB-DistA)*NORMSDIST(I1208)),"")</f>
        <v/>
      </c>
      <c r="K1208">
        <f>IF(B1208,INDEX(MineScale,C1208),"")</f>
        <v/>
      </c>
      <c r="L1208">
        <f>IF(B1208,INDEX(Dow,1,WEEKDAY(E1208,2)),"")</f>
        <v/>
      </c>
      <c r="M1208">
        <f>IF(B1208,(1+Trend)^D1208,"")</f>
        <v/>
      </c>
      <c r="N1208">
        <f>IF(B1208,EXP(SUMPRODUCT(LN(1+(EvEff-1)*INDEX(Affected,0,C1208)*EXP(-((E1208-EvCenter)^2)/(2*EvSigma^2))))),"")</f>
        <v/>
      </c>
      <c r="O1208">
        <f>IF(B1208,ROUND(MAX(0,J1208*K1208*L1208*M1208*N1208),2),"")</f>
        <v/>
      </c>
    </row>
    <row r="1209">
      <c r="A1209" t="n">
        <v>1208</v>
      </c>
      <c r="B1209">
        <f>A1209&lt;=MineCount*Days</f>
        <v/>
      </c>
      <c r="C1209">
        <f>IF(B1209,INT((A1209-1)/Days)+1,"")</f>
        <v/>
      </c>
      <c r="D1209">
        <f>IF(B1209,MOD(A1209-1,Days),"")</f>
        <v/>
      </c>
      <c r="E1209" s="16">
        <f>IF(B1209,StartDate+D1209,"")</f>
        <v/>
      </c>
      <c r="F1209">
        <f>IF(B1209,MAX(MOD(SIN(Seed*0.1373+C1209*12.9898+D1209*78.233)*43758.5453,1),1E-9),"")</f>
        <v/>
      </c>
      <c r="G1209">
        <f>IF(B1209,MOD(SIN(Seed*0.5917+C1209*39.3468+D1209*11.135)*24634.6345,1),"")</f>
        <v/>
      </c>
      <c r="H1209">
        <f>IF(B1209,SQRT(-2*LN(F1209))*COS(2*PI()*G1209),"")</f>
        <v/>
      </c>
      <c r="I1209">
        <f>IF(B1209,IF(D1209=0,H1209,Rho*I1208+SQRT(1-Rho^2)*H1209),"")</f>
        <v/>
      </c>
      <c r="J1209">
        <f>IF(B1209,IF(Dist="Normal",DistA+DistB*I1209,DistA+(DistB-DistA)*NORMSDIST(I1209)),"")</f>
        <v/>
      </c>
      <c r="K1209">
        <f>IF(B1209,INDEX(MineScale,C1209),"")</f>
        <v/>
      </c>
      <c r="L1209">
        <f>IF(B1209,INDEX(Dow,1,WEEKDAY(E1209,2)),"")</f>
        <v/>
      </c>
      <c r="M1209">
        <f>IF(B1209,(1+Trend)^D1209,"")</f>
        <v/>
      </c>
      <c r="N1209">
        <f>IF(B1209,EXP(SUMPRODUCT(LN(1+(EvEff-1)*INDEX(Affected,0,C1209)*EXP(-((E1209-EvCenter)^2)/(2*EvSigma^2))))),"")</f>
        <v/>
      </c>
      <c r="O1209">
        <f>IF(B1209,ROUND(MAX(0,J1209*K1209*L1209*M1209*N1209),2),"")</f>
        <v/>
      </c>
    </row>
    <row r="1210">
      <c r="A1210" t="n">
        <v>1209</v>
      </c>
      <c r="B1210">
        <f>A1210&lt;=MineCount*Days</f>
        <v/>
      </c>
      <c r="C1210">
        <f>IF(B1210,INT((A1210-1)/Days)+1,"")</f>
        <v/>
      </c>
      <c r="D1210">
        <f>IF(B1210,MOD(A1210-1,Days),"")</f>
        <v/>
      </c>
      <c r="E1210" s="16">
        <f>IF(B1210,StartDate+D1210,"")</f>
        <v/>
      </c>
      <c r="F1210">
        <f>IF(B1210,MAX(MOD(SIN(Seed*0.1373+C1210*12.9898+D1210*78.233)*43758.5453,1),1E-9),"")</f>
        <v/>
      </c>
      <c r="G1210">
        <f>IF(B1210,MOD(SIN(Seed*0.5917+C1210*39.3468+D1210*11.135)*24634.6345,1),"")</f>
        <v/>
      </c>
      <c r="H1210">
        <f>IF(B1210,SQRT(-2*LN(F1210))*COS(2*PI()*G1210),"")</f>
        <v/>
      </c>
      <c r="I1210">
        <f>IF(B1210,IF(D1210=0,H1210,Rho*I1209+SQRT(1-Rho^2)*H1210),"")</f>
        <v/>
      </c>
      <c r="J1210">
        <f>IF(B1210,IF(Dist="Normal",DistA+DistB*I1210,DistA+(DistB-DistA)*NORMSDIST(I1210)),"")</f>
        <v/>
      </c>
      <c r="K1210">
        <f>IF(B1210,INDEX(MineScale,C1210),"")</f>
        <v/>
      </c>
      <c r="L1210">
        <f>IF(B1210,INDEX(Dow,1,WEEKDAY(E1210,2)),"")</f>
        <v/>
      </c>
      <c r="M1210">
        <f>IF(B1210,(1+Trend)^D1210,"")</f>
        <v/>
      </c>
      <c r="N1210">
        <f>IF(B1210,EXP(SUMPRODUCT(LN(1+(EvEff-1)*INDEX(Affected,0,C1210)*EXP(-((E1210-EvCenter)^2)/(2*EvSigma^2))))),"")</f>
        <v/>
      </c>
      <c r="O1210">
        <f>IF(B1210,ROUND(MAX(0,J1210*K1210*L1210*M1210*N1210),2),"")</f>
        <v/>
      </c>
    </row>
    <row r="1211">
      <c r="A1211" t="n">
        <v>1210</v>
      </c>
      <c r="B1211">
        <f>A1211&lt;=MineCount*Days</f>
        <v/>
      </c>
      <c r="C1211">
        <f>IF(B1211,INT((A1211-1)/Days)+1,"")</f>
        <v/>
      </c>
      <c r="D1211">
        <f>IF(B1211,MOD(A1211-1,Days),"")</f>
        <v/>
      </c>
      <c r="E1211" s="16">
        <f>IF(B1211,StartDate+D1211,"")</f>
        <v/>
      </c>
      <c r="F1211">
        <f>IF(B1211,MAX(MOD(SIN(Seed*0.1373+C1211*12.9898+D1211*78.233)*43758.5453,1),1E-9),"")</f>
        <v/>
      </c>
      <c r="G1211">
        <f>IF(B1211,MOD(SIN(Seed*0.5917+C1211*39.3468+D1211*11.135)*24634.6345,1),"")</f>
        <v/>
      </c>
      <c r="H1211">
        <f>IF(B1211,SQRT(-2*LN(F1211))*COS(2*PI()*G1211),"")</f>
        <v/>
      </c>
      <c r="I1211">
        <f>IF(B1211,IF(D1211=0,H1211,Rho*I1210+SQRT(1-Rho^2)*H1211),"")</f>
        <v/>
      </c>
      <c r="J1211">
        <f>IF(B1211,IF(Dist="Normal",DistA+DistB*I1211,DistA+(DistB-DistA)*NORMSDIST(I1211)),"")</f>
        <v/>
      </c>
      <c r="K1211">
        <f>IF(B1211,INDEX(MineScale,C1211),"")</f>
        <v/>
      </c>
      <c r="L1211">
        <f>IF(B1211,INDEX(Dow,1,WEEKDAY(E1211,2)),"")</f>
        <v/>
      </c>
      <c r="M1211">
        <f>IF(B1211,(1+Trend)^D1211,"")</f>
        <v/>
      </c>
      <c r="N1211">
        <f>IF(B1211,EXP(SUMPRODUCT(LN(1+(EvEff-1)*INDEX(Affected,0,C1211)*EXP(-((E1211-EvCenter)^2)/(2*EvSigma^2))))),"")</f>
        <v/>
      </c>
      <c r="O1211">
        <f>IF(B1211,ROUND(MAX(0,J1211*K1211*L1211*M1211*N1211),2),"")</f>
        <v/>
      </c>
    </row>
    <row r="1212">
      <c r="A1212" t="n">
        <v>1211</v>
      </c>
      <c r="B1212">
        <f>A1212&lt;=MineCount*Days</f>
        <v/>
      </c>
      <c r="C1212">
        <f>IF(B1212,INT((A1212-1)/Days)+1,"")</f>
        <v/>
      </c>
      <c r="D1212">
        <f>IF(B1212,MOD(A1212-1,Days),"")</f>
        <v/>
      </c>
      <c r="E1212" s="16">
        <f>IF(B1212,StartDate+D1212,"")</f>
        <v/>
      </c>
      <c r="F1212">
        <f>IF(B1212,MAX(MOD(SIN(Seed*0.1373+C1212*12.9898+D1212*78.233)*43758.5453,1),1E-9),"")</f>
        <v/>
      </c>
      <c r="G1212">
        <f>IF(B1212,MOD(SIN(Seed*0.5917+C1212*39.3468+D1212*11.135)*24634.6345,1),"")</f>
        <v/>
      </c>
      <c r="H1212">
        <f>IF(B1212,SQRT(-2*LN(F1212))*COS(2*PI()*G1212),"")</f>
        <v/>
      </c>
      <c r="I1212">
        <f>IF(B1212,IF(D1212=0,H1212,Rho*I1211+SQRT(1-Rho^2)*H1212),"")</f>
        <v/>
      </c>
      <c r="J1212">
        <f>IF(B1212,IF(Dist="Normal",DistA+DistB*I1212,DistA+(DistB-DistA)*NORMSDIST(I1212)),"")</f>
        <v/>
      </c>
      <c r="K1212">
        <f>IF(B1212,INDEX(MineScale,C1212),"")</f>
        <v/>
      </c>
      <c r="L1212">
        <f>IF(B1212,INDEX(Dow,1,WEEKDAY(E1212,2)),"")</f>
        <v/>
      </c>
      <c r="M1212">
        <f>IF(B1212,(1+Trend)^D1212,"")</f>
        <v/>
      </c>
      <c r="N1212">
        <f>IF(B1212,EXP(SUMPRODUCT(LN(1+(EvEff-1)*INDEX(Affected,0,C1212)*EXP(-((E1212-EvCenter)^2)/(2*EvSigma^2))))),"")</f>
        <v/>
      </c>
      <c r="O1212">
        <f>IF(B1212,ROUND(MAX(0,J1212*K1212*L1212*M1212*N1212),2),"")</f>
        <v/>
      </c>
    </row>
    <row r="1213">
      <c r="A1213" t="n">
        <v>1212</v>
      </c>
      <c r="B1213">
        <f>A1213&lt;=MineCount*Days</f>
        <v/>
      </c>
      <c r="C1213">
        <f>IF(B1213,INT((A1213-1)/Days)+1,"")</f>
        <v/>
      </c>
      <c r="D1213">
        <f>IF(B1213,MOD(A1213-1,Days),"")</f>
        <v/>
      </c>
      <c r="E1213" s="16">
        <f>IF(B1213,StartDate+D1213,"")</f>
        <v/>
      </c>
      <c r="F1213">
        <f>IF(B1213,MAX(MOD(SIN(Seed*0.1373+C1213*12.9898+D1213*78.233)*43758.5453,1),1E-9),"")</f>
        <v/>
      </c>
      <c r="G1213">
        <f>IF(B1213,MOD(SIN(Seed*0.5917+C1213*39.3468+D1213*11.135)*24634.6345,1),"")</f>
        <v/>
      </c>
      <c r="H1213">
        <f>IF(B1213,SQRT(-2*LN(F1213))*COS(2*PI()*G1213),"")</f>
        <v/>
      </c>
      <c r="I1213">
        <f>IF(B1213,IF(D1213=0,H1213,Rho*I1212+SQRT(1-Rho^2)*H1213),"")</f>
        <v/>
      </c>
      <c r="J1213">
        <f>IF(B1213,IF(Dist="Normal",DistA+DistB*I1213,DistA+(DistB-DistA)*NORMSDIST(I1213)),"")</f>
        <v/>
      </c>
      <c r="K1213">
        <f>IF(B1213,INDEX(MineScale,C1213),"")</f>
        <v/>
      </c>
      <c r="L1213">
        <f>IF(B1213,INDEX(Dow,1,WEEKDAY(E1213,2)),"")</f>
        <v/>
      </c>
      <c r="M1213">
        <f>IF(B1213,(1+Trend)^D1213,"")</f>
        <v/>
      </c>
      <c r="N1213">
        <f>IF(B1213,EXP(SUMPRODUCT(LN(1+(EvEff-1)*INDEX(Affected,0,C1213)*EXP(-((E1213-EvCenter)^2)/(2*EvSigma^2))))),"")</f>
        <v/>
      </c>
      <c r="O1213">
        <f>IF(B1213,ROUND(MAX(0,J1213*K1213*L1213*M1213*N1213),2),"")</f>
        <v/>
      </c>
    </row>
    <row r="1214">
      <c r="A1214" t="n">
        <v>1213</v>
      </c>
      <c r="B1214">
        <f>A1214&lt;=MineCount*Days</f>
        <v/>
      </c>
      <c r="C1214">
        <f>IF(B1214,INT((A1214-1)/Days)+1,"")</f>
        <v/>
      </c>
      <c r="D1214">
        <f>IF(B1214,MOD(A1214-1,Days),"")</f>
        <v/>
      </c>
      <c r="E1214" s="16">
        <f>IF(B1214,StartDate+D1214,"")</f>
        <v/>
      </c>
      <c r="F1214">
        <f>IF(B1214,MAX(MOD(SIN(Seed*0.1373+C1214*12.9898+D1214*78.233)*43758.5453,1),1E-9),"")</f>
        <v/>
      </c>
      <c r="G1214">
        <f>IF(B1214,MOD(SIN(Seed*0.5917+C1214*39.3468+D1214*11.135)*24634.6345,1),"")</f>
        <v/>
      </c>
      <c r="H1214">
        <f>IF(B1214,SQRT(-2*LN(F1214))*COS(2*PI()*G1214),"")</f>
        <v/>
      </c>
      <c r="I1214">
        <f>IF(B1214,IF(D1214=0,H1214,Rho*I1213+SQRT(1-Rho^2)*H1214),"")</f>
        <v/>
      </c>
      <c r="J1214">
        <f>IF(B1214,IF(Dist="Normal",DistA+DistB*I1214,DistA+(DistB-DistA)*NORMSDIST(I1214)),"")</f>
        <v/>
      </c>
      <c r="K1214">
        <f>IF(B1214,INDEX(MineScale,C1214),"")</f>
        <v/>
      </c>
      <c r="L1214">
        <f>IF(B1214,INDEX(Dow,1,WEEKDAY(E1214,2)),"")</f>
        <v/>
      </c>
      <c r="M1214">
        <f>IF(B1214,(1+Trend)^D1214,"")</f>
        <v/>
      </c>
      <c r="N1214">
        <f>IF(B1214,EXP(SUMPRODUCT(LN(1+(EvEff-1)*INDEX(Affected,0,C1214)*EXP(-((E1214-EvCenter)^2)/(2*EvSigma^2))))),"")</f>
        <v/>
      </c>
      <c r="O1214">
        <f>IF(B1214,ROUND(MAX(0,J1214*K1214*L1214*M1214*N1214),2),"")</f>
        <v/>
      </c>
    </row>
    <row r="1215">
      <c r="A1215" t="n">
        <v>1214</v>
      </c>
      <c r="B1215">
        <f>A1215&lt;=MineCount*Days</f>
        <v/>
      </c>
      <c r="C1215">
        <f>IF(B1215,INT((A1215-1)/Days)+1,"")</f>
        <v/>
      </c>
      <c r="D1215">
        <f>IF(B1215,MOD(A1215-1,Days),"")</f>
        <v/>
      </c>
      <c r="E1215" s="16">
        <f>IF(B1215,StartDate+D1215,"")</f>
        <v/>
      </c>
      <c r="F1215">
        <f>IF(B1215,MAX(MOD(SIN(Seed*0.1373+C1215*12.9898+D1215*78.233)*43758.5453,1),1E-9),"")</f>
        <v/>
      </c>
      <c r="G1215">
        <f>IF(B1215,MOD(SIN(Seed*0.5917+C1215*39.3468+D1215*11.135)*24634.6345,1),"")</f>
        <v/>
      </c>
      <c r="H1215">
        <f>IF(B1215,SQRT(-2*LN(F1215))*COS(2*PI()*G1215),"")</f>
        <v/>
      </c>
      <c r="I1215">
        <f>IF(B1215,IF(D1215=0,H1215,Rho*I1214+SQRT(1-Rho^2)*H1215),"")</f>
        <v/>
      </c>
      <c r="J1215">
        <f>IF(B1215,IF(Dist="Normal",DistA+DistB*I1215,DistA+(DistB-DistA)*NORMSDIST(I1215)),"")</f>
        <v/>
      </c>
      <c r="K1215">
        <f>IF(B1215,INDEX(MineScale,C1215),"")</f>
        <v/>
      </c>
      <c r="L1215">
        <f>IF(B1215,INDEX(Dow,1,WEEKDAY(E1215,2)),"")</f>
        <v/>
      </c>
      <c r="M1215">
        <f>IF(B1215,(1+Trend)^D1215,"")</f>
        <v/>
      </c>
      <c r="N1215">
        <f>IF(B1215,EXP(SUMPRODUCT(LN(1+(EvEff-1)*INDEX(Affected,0,C1215)*EXP(-((E1215-EvCenter)^2)/(2*EvSigma^2))))),"")</f>
        <v/>
      </c>
      <c r="O1215">
        <f>IF(B1215,ROUND(MAX(0,J1215*K1215*L1215*M1215*N1215),2),"")</f>
        <v/>
      </c>
    </row>
    <row r="1216">
      <c r="A1216" t="n">
        <v>1215</v>
      </c>
      <c r="B1216">
        <f>A1216&lt;=MineCount*Days</f>
        <v/>
      </c>
      <c r="C1216">
        <f>IF(B1216,INT((A1216-1)/Days)+1,"")</f>
        <v/>
      </c>
      <c r="D1216">
        <f>IF(B1216,MOD(A1216-1,Days),"")</f>
        <v/>
      </c>
      <c r="E1216" s="16">
        <f>IF(B1216,StartDate+D1216,"")</f>
        <v/>
      </c>
      <c r="F1216">
        <f>IF(B1216,MAX(MOD(SIN(Seed*0.1373+C1216*12.9898+D1216*78.233)*43758.5453,1),1E-9),"")</f>
        <v/>
      </c>
      <c r="G1216">
        <f>IF(B1216,MOD(SIN(Seed*0.5917+C1216*39.3468+D1216*11.135)*24634.6345,1),"")</f>
        <v/>
      </c>
      <c r="H1216">
        <f>IF(B1216,SQRT(-2*LN(F1216))*COS(2*PI()*G1216),"")</f>
        <v/>
      </c>
      <c r="I1216">
        <f>IF(B1216,IF(D1216=0,H1216,Rho*I1215+SQRT(1-Rho^2)*H1216),"")</f>
        <v/>
      </c>
      <c r="J1216">
        <f>IF(B1216,IF(Dist="Normal",DistA+DistB*I1216,DistA+(DistB-DistA)*NORMSDIST(I1216)),"")</f>
        <v/>
      </c>
      <c r="K1216">
        <f>IF(B1216,INDEX(MineScale,C1216),"")</f>
        <v/>
      </c>
      <c r="L1216">
        <f>IF(B1216,INDEX(Dow,1,WEEKDAY(E1216,2)),"")</f>
        <v/>
      </c>
      <c r="M1216">
        <f>IF(B1216,(1+Trend)^D1216,"")</f>
        <v/>
      </c>
      <c r="N1216">
        <f>IF(B1216,EXP(SUMPRODUCT(LN(1+(EvEff-1)*INDEX(Affected,0,C1216)*EXP(-((E1216-EvCenter)^2)/(2*EvSigma^2))))),"")</f>
        <v/>
      </c>
      <c r="O1216">
        <f>IF(B1216,ROUND(MAX(0,J1216*K1216*L1216*M1216*N1216),2),"")</f>
        <v/>
      </c>
    </row>
    <row r="1217">
      <c r="A1217" t="n">
        <v>1216</v>
      </c>
      <c r="B1217">
        <f>A1217&lt;=MineCount*Days</f>
        <v/>
      </c>
      <c r="C1217">
        <f>IF(B1217,INT((A1217-1)/Days)+1,"")</f>
        <v/>
      </c>
      <c r="D1217">
        <f>IF(B1217,MOD(A1217-1,Days),"")</f>
        <v/>
      </c>
      <c r="E1217" s="16">
        <f>IF(B1217,StartDate+D1217,"")</f>
        <v/>
      </c>
      <c r="F1217">
        <f>IF(B1217,MAX(MOD(SIN(Seed*0.1373+C1217*12.9898+D1217*78.233)*43758.5453,1),1E-9),"")</f>
        <v/>
      </c>
      <c r="G1217">
        <f>IF(B1217,MOD(SIN(Seed*0.5917+C1217*39.3468+D1217*11.135)*24634.6345,1),"")</f>
        <v/>
      </c>
      <c r="H1217">
        <f>IF(B1217,SQRT(-2*LN(F1217))*COS(2*PI()*G1217),"")</f>
        <v/>
      </c>
      <c r="I1217">
        <f>IF(B1217,IF(D1217=0,H1217,Rho*I1216+SQRT(1-Rho^2)*H1217),"")</f>
        <v/>
      </c>
      <c r="J1217">
        <f>IF(B1217,IF(Dist="Normal",DistA+DistB*I1217,DistA+(DistB-DistA)*NORMSDIST(I1217)),"")</f>
        <v/>
      </c>
      <c r="K1217">
        <f>IF(B1217,INDEX(MineScale,C1217),"")</f>
        <v/>
      </c>
      <c r="L1217">
        <f>IF(B1217,INDEX(Dow,1,WEEKDAY(E1217,2)),"")</f>
        <v/>
      </c>
      <c r="M1217">
        <f>IF(B1217,(1+Trend)^D1217,"")</f>
        <v/>
      </c>
      <c r="N1217">
        <f>IF(B1217,EXP(SUMPRODUCT(LN(1+(EvEff-1)*INDEX(Affected,0,C1217)*EXP(-((E1217-EvCenter)^2)/(2*EvSigma^2))))),"")</f>
        <v/>
      </c>
      <c r="O1217">
        <f>IF(B1217,ROUND(MAX(0,J1217*K1217*L1217*M1217*N1217),2),"")</f>
        <v/>
      </c>
    </row>
    <row r="1218">
      <c r="A1218" t="n">
        <v>1217</v>
      </c>
      <c r="B1218">
        <f>A1218&lt;=MineCount*Days</f>
        <v/>
      </c>
      <c r="C1218">
        <f>IF(B1218,INT((A1218-1)/Days)+1,"")</f>
        <v/>
      </c>
      <c r="D1218">
        <f>IF(B1218,MOD(A1218-1,Days),"")</f>
        <v/>
      </c>
      <c r="E1218" s="16">
        <f>IF(B1218,StartDate+D1218,"")</f>
        <v/>
      </c>
      <c r="F1218">
        <f>IF(B1218,MAX(MOD(SIN(Seed*0.1373+C1218*12.9898+D1218*78.233)*43758.5453,1),1E-9),"")</f>
        <v/>
      </c>
      <c r="G1218">
        <f>IF(B1218,MOD(SIN(Seed*0.5917+C1218*39.3468+D1218*11.135)*24634.6345,1),"")</f>
        <v/>
      </c>
      <c r="H1218">
        <f>IF(B1218,SQRT(-2*LN(F1218))*COS(2*PI()*G1218),"")</f>
        <v/>
      </c>
      <c r="I1218">
        <f>IF(B1218,IF(D1218=0,H1218,Rho*I1217+SQRT(1-Rho^2)*H1218),"")</f>
        <v/>
      </c>
      <c r="J1218">
        <f>IF(B1218,IF(Dist="Normal",DistA+DistB*I1218,DistA+(DistB-DistA)*NORMSDIST(I1218)),"")</f>
        <v/>
      </c>
      <c r="K1218">
        <f>IF(B1218,INDEX(MineScale,C1218),"")</f>
        <v/>
      </c>
      <c r="L1218">
        <f>IF(B1218,INDEX(Dow,1,WEEKDAY(E1218,2)),"")</f>
        <v/>
      </c>
      <c r="M1218">
        <f>IF(B1218,(1+Trend)^D1218,"")</f>
        <v/>
      </c>
      <c r="N1218">
        <f>IF(B1218,EXP(SUMPRODUCT(LN(1+(EvEff-1)*INDEX(Affected,0,C1218)*EXP(-((E1218-EvCenter)^2)/(2*EvSigma^2))))),"")</f>
        <v/>
      </c>
      <c r="O1218">
        <f>IF(B1218,ROUND(MAX(0,J1218*K1218*L1218*M1218*N1218),2),"")</f>
        <v/>
      </c>
    </row>
    <row r="1219">
      <c r="A1219" t="n">
        <v>1218</v>
      </c>
      <c r="B1219">
        <f>A1219&lt;=MineCount*Days</f>
        <v/>
      </c>
      <c r="C1219">
        <f>IF(B1219,INT((A1219-1)/Days)+1,"")</f>
        <v/>
      </c>
      <c r="D1219">
        <f>IF(B1219,MOD(A1219-1,Days),"")</f>
        <v/>
      </c>
      <c r="E1219" s="16">
        <f>IF(B1219,StartDate+D1219,"")</f>
        <v/>
      </c>
      <c r="F1219">
        <f>IF(B1219,MAX(MOD(SIN(Seed*0.1373+C1219*12.9898+D1219*78.233)*43758.5453,1),1E-9),"")</f>
        <v/>
      </c>
      <c r="G1219">
        <f>IF(B1219,MOD(SIN(Seed*0.5917+C1219*39.3468+D1219*11.135)*24634.6345,1),"")</f>
        <v/>
      </c>
      <c r="H1219">
        <f>IF(B1219,SQRT(-2*LN(F1219))*COS(2*PI()*G1219),"")</f>
        <v/>
      </c>
      <c r="I1219">
        <f>IF(B1219,IF(D1219=0,H1219,Rho*I1218+SQRT(1-Rho^2)*H1219),"")</f>
        <v/>
      </c>
      <c r="J1219">
        <f>IF(B1219,IF(Dist="Normal",DistA+DistB*I1219,DistA+(DistB-DistA)*NORMSDIST(I1219)),"")</f>
        <v/>
      </c>
      <c r="K1219">
        <f>IF(B1219,INDEX(MineScale,C1219),"")</f>
        <v/>
      </c>
      <c r="L1219">
        <f>IF(B1219,INDEX(Dow,1,WEEKDAY(E1219,2)),"")</f>
        <v/>
      </c>
      <c r="M1219">
        <f>IF(B1219,(1+Trend)^D1219,"")</f>
        <v/>
      </c>
      <c r="N1219">
        <f>IF(B1219,EXP(SUMPRODUCT(LN(1+(EvEff-1)*INDEX(Affected,0,C1219)*EXP(-((E1219-EvCenter)^2)/(2*EvSigma^2))))),"")</f>
        <v/>
      </c>
      <c r="O1219">
        <f>IF(B1219,ROUND(MAX(0,J1219*K1219*L1219*M1219*N1219),2),"")</f>
        <v/>
      </c>
    </row>
    <row r="1220">
      <c r="A1220" t="n">
        <v>1219</v>
      </c>
      <c r="B1220">
        <f>A1220&lt;=MineCount*Days</f>
        <v/>
      </c>
      <c r="C1220">
        <f>IF(B1220,INT((A1220-1)/Days)+1,"")</f>
        <v/>
      </c>
      <c r="D1220">
        <f>IF(B1220,MOD(A1220-1,Days),"")</f>
        <v/>
      </c>
      <c r="E1220" s="16">
        <f>IF(B1220,StartDate+D1220,"")</f>
        <v/>
      </c>
      <c r="F1220">
        <f>IF(B1220,MAX(MOD(SIN(Seed*0.1373+C1220*12.9898+D1220*78.233)*43758.5453,1),1E-9),"")</f>
        <v/>
      </c>
      <c r="G1220">
        <f>IF(B1220,MOD(SIN(Seed*0.5917+C1220*39.3468+D1220*11.135)*24634.6345,1),"")</f>
        <v/>
      </c>
      <c r="H1220">
        <f>IF(B1220,SQRT(-2*LN(F1220))*COS(2*PI()*G1220),"")</f>
        <v/>
      </c>
      <c r="I1220">
        <f>IF(B1220,IF(D1220=0,H1220,Rho*I1219+SQRT(1-Rho^2)*H1220),"")</f>
        <v/>
      </c>
      <c r="J1220">
        <f>IF(B1220,IF(Dist="Normal",DistA+DistB*I1220,DistA+(DistB-DistA)*NORMSDIST(I1220)),"")</f>
        <v/>
      </c>
      <c r="K1220">
        <f>IF(B1220,INDEX(MineScale,C1220),"")</f>
        <v/>
      </c>
      <c r="L1220">
        <f>IF(B1220,INDEX(Dow,1,WEEKDAY(E1220,2)),"")</f>
        <v/>
      </c>
      <c r="M1220">
        <f>IF(B1220,(1+Trend)^D1220,"")</f>
        <v/>
      </c>
      <c r="N1220">
        <f>IF(B1220,EXP(SUMPRODUCT(LN(1+(EvEff-1)*INDEX(Affected,0,C1220)*EXP(-((E1220-EvCenter)^2)/(2*EvSigma^2))))),"")</f>
        <v/>
      </c>
      <c r="O1220">
        <f>IF(B1220,ROUND(MAX(0,J1220*K1220*L1220*M1220*N1220),2),"")</f>
        <v/>
      </c>
    </row>
    <row r="1221">
      <c r="A1221" t="n">
        <v>1220</v>
      </c>
      <c r="B1221">
        <f>A1221&lt;=MineCount*Days</f>
        <v/>
      </c>
      <c r="C1221">
        <f>IF(B1221,INT((A1221-1)/Days)+1,"")</f>
        <v/>
      </c>
      <c r="D1221">
        <f>IF(B1221,MOD(A1221-1,Days),"")</f>
        <v/>
      </c>
      <c r="E1221" s="16">
        <f>IF(B1221,StartDate+D1221,"")</f>
        <v/>
      </c>
      <c r="F1221">
        <f>IF(B1221,MAX(MOD(SIN(Seed*0.1373+C1221*12.9898+D1221*78.233)*43758.5453,1),1E-9),"")</f>
        <v/>
      </c>
      <c r="G1221">
        <f>IF(B1221,MOD(SIN(Seed*0.5917+C1221*39.3468+D1221*11.135)*24634.6345,1),"")</f>
        <v/>
      </c>
      <c r="H1221">
        <f>IF(B1221,SQRT(-2*LN(F1221))*COS(2*PI()*G1221),"")</f>
        <v/>
      </c>
      <c r="I1221">
        <f>IF(B1221,IF(D1221=0,H1221,Rho*I1220+SQRT(1-Rho^2)*H1221),"")</f>
        <v/>
      </c>
      <c r="J1221">
        <f>IF(B1221,IF(Dist="Normal",DistA+DistB*I1221,DistA+(DistB-DistA)*NORMSDIST(I1221)),"")</f>
        <v/>
      </c>
      <c r="K1221">
        <f>IF(B1221,INDEX(MineScale,C1221),"")</f>
        <v/>
      </c>
      <c r="L1221">
        <f>IF(B1221,INDEX(Dow,1,WEEKDAY(E1221,2)),"")</f>
        <v/>
      </c>
      <c r="M1221">
        <f>IF(B1221,(1+Trend)^D1221,"")</f>
        <v/>
      </c>
      <c r="N1221">
        <f>IF(B1221,EXP(SUMPRODUCT(LN(1+(EvEff-1)*INDEX(Affected,0,C1221)*EXP(-((E1221-EvCenter)^2)/(2*EvSigma^2))))),"")</f>
        <v/>
      </c>
      <c r="O1221">
        <f>IF(B1221,ROUND(MAX(0,J1221*K1221*L1221*M1221*N1221),2),"")</f>
        <v/>
      </c>
    </row>
    <row r="1222">
      <c r="A1222" t="n">
        <v>1221</v>
      </c>
      <c r="B1222">
        <f>A1222&lt;=MineCount*Days</f>
        <v/>
      </c>
      <c r="C1222">
        <f>IF(B1222,INT((A1222-1)/Days)+1,"")</f>
        <v/>
      </c>
      <c r="D1222">
        <f>IF(B1222,MOD(A1222-1,Days),"")</f>
        <v/>
      </c>
      <c r="E1222" s="16">
        <f>IF(B1222,StartDate+D1222,"")</f>
        <v/>
      </c>
      <c r="F1222">
        <f>IF(B1222,MAX(MOD(SIN(Seed*0.1373+C1222*12.9898+D1222*78.233)*43758.5453,1),1E-9),"")</f>
        <v/>
      </c>
      <c r="G1222">
        <f>IF(B1222,MOD(SIN(Seed*0.5917+C1222*39.3468+D1222*11.135)*24634.6345,1),"")</f>
        <v/>
      </c>
      <c r="H1222">
        <f>IF(B1222,SQRT(-2*LN(F1222))*COS(2*PI()*G1222),"")</f>
        <v/>
      </c>
      <c r="I1222">
        <f>IF(B1222,IF(D1222=0,H1222,Rho*I1221+SQRT(1-Rho^2)*H1222),"")</f>
        <v/>
      </c>
      <c r="J1222">
        <f>IF(B1222,IF(Dist="Normal",DistA+DistB*I1222,DistA+(DistB-DistA)*NORMSDIST(I1222)),"")</f>
        <v/>
      </c>
      <c r="K1222">
        <f>IF(B1222,INDEX(MineScale,C1222),"")</f>
        <v/>
      </c>
      <c r="L1222">
        <f>IF(B1222,INDEX(Dow,1,WEEKDAY(E1222,2)),"")</f>
        <v/>
      </c>
      <c r="M1222">
        <f>IF(B1222,(1+Trend)^D1222,"")</f>
        <v/>
      </c>
      <c r="N1222">
        <f>IF(B1222,EXP(SUMPRODUCT(LN(1+(EvEff-1)*INDEX(Affected,0,C1222)*EXP(-((E1222-EvCenter)^2)/(2*EvSigma^2))))),"")</f>
        <v/>
      </c>
      <c r="O1222">
        <f>IF(B1222,ROUND(MAX(0,J1222*K1222*L1222*M1222*N1222),2),"")</f>
        <v/>
      </c>
    </row>
    <row r="1223">
      <c r="A1223" t="n">
        <v>1222</v>
      </c>
      <c r="B1223">
        <f>A1223&lt;=MineCount*Days</f>
        <v/>
      </c>
      <c r="C1223">
        <f>IF(B1223,INT((A1223-1)/Days)+1,"")</f>
        <v/>
      </c>
      <c r="D1223">
        <f>IF(B1223,MOD(A1223-1,Days),"")</f>
        <v/>
      </c>
      <c r="E1223" s="16">
        <f>IF(B1223,StartDate+D1223,"")</f>
        <v/>
      </c>
      <c r="F1223">
        <f>IF(B1223,MAX(MOD(SIN(Seed*0.1373+C1223*12.9898+D1223*78.233)*43758.5453,1),1E-9),"")</f>
        <v/>
      </c>
      <c r="G1223">
        <f>IF(B1223,MOD(SIN(Seed*0.5917+C1223*39.3468+D1223*11.135)*24634.6345,1),"")</f>
        <v/>
      </c>
      <c r="H1223">
        <f>IF(B1223,SQRT(-2*LN(F1223))*COS(2*PI()*G1223),"")</f>
        <v/>
      </c>
      <c r="I1223">
        <f>IF(B1223,IF(D1223=0,H1223,Rho*I1222+SQRT(1-Rho^2)*H1223),"")</f>
        <v/>
      </c>
      <c r="J1223">
        <f>IF(B1223,IF(Dist="Normal",DistA+DistB*I1223,DistA+(DistB-DistA)*NORMSDIST(I1223)),"")</f>
        <v/>
      </c>
      <c r="K1223">
        <f>IF(B1223,INDEX(MineScale,C1223),"")</f>
        <v/>
      </c>
      <c r="L1223">
        <f>IF(B1223,INDEX(Dow,1,WEEKDAY(E1223,2)),"")</f>
        <v/>
      </c>
      <c r="M1223">
        <f>IF(B1223,(1+Trend)^D1223,"")</f>
        <v/>
      </c>
      <c r="N1223">
        <f>IF(B1223,EXP(SUMPRODUCT(LN(1+(EvEff-1)*INDEX(Affected,0,C1223)*EXP(-((E1223-EvCenter)^2)/(2*EvSigma^2))))),"")</f>
        <v/>
      </c>
      <c r="O1223">
        <f>IF(B1223,ROUND(MAX(0,J1223*K1223*L1223*M1223*N1223),2),"")</f>
        <v/>
      </c>
    </row>
    <row r="1224">
      <c r="A1224" t="n">
        <v>1223</v>
      </c>
      <c r="B1224">
        <f>A1224&lt;=MineCount*Days</f>
        <v/>
      </c>
      <c r="C1224">
        <f>IF(B1224,INT((A1224-1)/Days)+1,"")</f>
        <v/>
      </c>
      <c r="D1224">
        <f>IF(B1224,MOD(A1224-1,Days),"")</f>
        <v/>
      </c>
      <c r="E1224" s="16">
        <f>IF(B1224,StartDate+D1224,"")</f>
        <v/>
      </c>
      <c r="F1224">
        <f>IF(B1224,MAX(MOD(SIN(Seed*0.1373+C1224*12.9898+D1224*78.233)*43758.5453,1),1E-9),"")</f>
        <v/>
      </c>
      <c r="G1224">
        <f>IF(B1224,MOD(SIN(Seed*0.5917+C1224*39.3468+D1224*11.135)*24634.6345,1),"")</f>
        <v/>
      </c>
      <c r="H1224">
        <f>IF(B1224,SQRT(-2*LN(F1224))*COS(2*PI()*G1224),"")</f>
        <v/>
      </c>
      <c r="I1224">
        <f>IF(B1224,IF(D1224=0,H1224,Rho*I1223+SQRT(1-Rho^2)*H1224),"")</f>
        <v/>
      </c>
      <c r="J1224">
        <f>IF(B1224,IF(Dist="Normal",DistA+DistB*I1224,DistA+(DistB-DistA)*NORMSDIST(I1224)),"")</f>
        <v/>
      </c>
      <c r="K1224">
        <f>IF(B1224,INDEX(MineScale,C1224),"")</f>
        <v/>
      </c>
      <c r="L1224">
        <f>IF(B1224,INDEX(Dow,1,WEEKDAY(E1224,2)),"")</f>
        <v/>
      </c>
      <c r="M1224">
        <f>IF(B1224,(1+Trend)^D1224,"")</f>
        <v/>
      </c>
      <c r="N1224">
        <f>IF(B1224,EXP(SUMPRODUCT(LN(1+(EvEff-1)*INDEX(Affected,0,C1224)*EXP(-((E1224-EvCenter)^2)/(2*EvSigma^2))))),"")</f>
        <v/>
      </c>
      <c r="O1224">
        <f>IF(B1224,ROUND(MAX(0,J1224*K1224*L1224*M1224*N1224),2),"")</f>
        <v/>
      </c>
    </row>
    <row r="1225">
      <c r="A1225" t="n">
        <v>1224</v>
      </c>
      <c r="B1225">
        <f>A1225&lt;=MineCount*Days</f>
        <v/>
      </c>
      <c r="C1225">
        <f>IF(B1225,INT((A1225-1)/Days)+1,"")</f>
        <v/>
      </c>
      <c r="D1225">
        <f>IF(B1225,MOD(A1225-1,Days),"")</f>
        <v/>
      </c>
      <c r="E1225" s="16">
        <f>IF(B1225,StartDate+D1225,"")</f>
        <v/>
      </c>
      <c r="F1225">
        <f>IF(B1225,MAX(MOD(SIN(Seed*0.1373+C1225*12.9898+D1225*78.233)*43758.5453,1),1E-9),"")</f>
        <v/>
      </c>
      <c r="G1225">
        <f>IF(B1225,MOD(SIN(Seed*0.5917+C1225*39.3468+D1225*11.135)*24634.6345,1),"")</f>
        <v/>
      </c>
      <c r="H1225">
        <f>IF(B1225,SQRT(-2*LN(F1225))*COS(2*PI()*G1225),"")</f>
        <v/>
      </c>
      <c r="I1225">
        <f>IF(B1225,IF(D1225=0,H1225,Rho*I1224+SQRT(1-Rho^2)*H1225),"")</f>
        <v/>
      </c>
      <c r="J1225">
        <f>IF(B1225,IF(Dist="Normal",DistA+DistB*I1225,DistA+(DistB-DistA)*NORMSDIST(I1225)),"")</f>
        <v/>
      </c>
      <c r="K1225">
        <f>IF(B1225,INDEX(MineScale,C1225),"")</f>
        <v/>
      </c>
      <c r="L1225">
        <f>IF(B1225,INDEX(Dow,1,WEEKDAY(E1225,2)),"")</f>
        <v/>
      </c>
      <c r="M1225">
        <f>IF(B1225,(1+Trend)^D1225,"")</f>
        <v/>
      </c>
      <c r="N1225">
        <f>IF(B1225,EXP(SUMPRODUCT(LN(1+(EvEff-1)*INDEX(Affected,0,C1225)*EXP(-((E1225-EvCenter)^2)/(2*EvSigma^2))))),"")</f>
        <v/>
      </c>
      <c r="O1225">
        <f>IF(B1225,ROUND(MAX(0,J1225*K1225*L1225*M1225*N1225),2),"")</f>
        <v/>
      </c>
    </row>
    <row r="1226">
      <c r="A1226" t="n">
        <v>1225</v>
      </c>
      <c r="B1226">
        <f>A1226&lt;=MineCount*Days</f>
        <v/>
      </c>
      <c r="C1226">
        <f>IF(B1226,INT((A1226-1)/Days)+1,"")</f>
        <v/>
      </c>
      <c r="D1226">
        <f>IF(B1226,MOD(A1226-1,Days),"")</f>
        <v/>
      </c>
      <c r="E1226" s="16">
        <f>IF(B1226,StartDate+D1226,"")</f>
        <v/>
      </c>
      <c r="F1226">
        <f>IF(B1226,MAX(MOD(SIN(Seed*0.1373+C1226*12.9898+D1226*78.233)*43758.5453,1),1E-9),"")</f>
        <v/>
      </c>
      <c r="G1226">
        <f>IF(B1226,MOD(SIN(Seed*0.5917+C1226*39.3468+D1226*11.135)*24634.6345,1),"")</f>
        <v/>
      </c>
      <c r="H1226">
        <f>IF(B1226,SQRT(-2*LN(F1226))*COS(2*PI()*G1226),"")</f>
        <v/>
      </c>
      <c r="I1226">
        <f>IF(B1226,IF(D1226=0,H1226,Rho*I1225+SQRT(1-Rho^2)*H1226),"")</f>
        <v/>
      </c>
      <c r="J1226">
        <f>IF(B1226,IF(Dist="Normal",DistA+DistB*I1226,DistA+(DistB-DistA)*NORMSDIST(I1226)),"")</f>
        <v/>
      </c>
      <c r="K1226">
        <f>IF(B1226,INDEX(MineScale,C1226),"")</f>
        <v/>
      </c>
      <c r="L1226">
        <f>IF(B1226,INDEX(Dow,1,WEEKDAY(E1226,2)),"")</f>
        <v/>
      </c>
      <c r="M1226">
        <f>IF(B1226,(1+Trend)^D1226,"")</f>
        <v/>
      </c>
      <c r="N1226">
        <f>IF(B1226,EXP(SUMPRODUCT(LN(1+(EvEff-1)*INDEX(Affected,0,C1226)*EXP(-((E1226-EvCenter)^2)/(2*EvSigma^2))))),"")</f>
        <v/>
      </c>
      <c r="O1226">
        <f>IF(B1226,ROUND(MAX(0,J1226*K1226*L1226*M1226*N1226),2),"")</f>
        <v/>
      </c>
    </row>
    <row r="1227">
      <c r="A1227" t="n">
        <v>1226</v>
      </c>
      <c r="B1227">
        <f>A1227&lt;=MineCount*Days</f>
        <v/>
      </c>
      <c r="C1227">
        <f>IF(B1227,INT((A1227-1)/Days)+1,"")</f>
        <v/>
      </c>
      <c r="D1227">
        <f>IF(B1227,MOD(A1227-1,Days),"")</f>
        <v/>
      </c>
      <c r="E1227" s="16">
        <f>IF(B1227,StartDate+D1227,"")</f>
        <v/>
      </c>
      <c r="F1227">
        <f>IF(B1227,MAX(MOD(SIN(Seed*0.1373+C1227*12.9898+D1227*78.233)*43758.5453,1),1E-9),"")</f>
        <v/>
      </c>
      <c r="G1227">
        <f>IF(B1227,MOD(SIN(Seed*0.5917+C1227*39.3468+D1227*11.135)*24634.6345,1),"")</f>
        <v/>
      </c>
      <c r="H1227">
        <f>IF(B1227,SQRT(-2*LN(F1227))*COS(2*PI()*G1227),"")</f>
        <v/>
      </c>
      <c r="I1227">
        <f>IF(B1227,IF(D1227=0,H1227,Rho*I1226+SQRT(1-Rho^2)*H1227),"")</f>
        <v/>
      </c>
      <c r="J1227">
        <f>IF(B1227,IF(Dist="Normal",DistA+DistB*I1227,DistA+(DistB-DistA)*NORMSDIST(I1227)),"")</f>
        <v/>
      </c>
      <c r="K1227">
        <f>IF(B1227,INDEX(MineScale,C1227),"")</f>
        <v/>
      </c>
      <c r="L1227">
        <f>IF(B1227,INDEX(Dow,1,WEEKDAY(E1227,2)),"")</f>
        <v/>
      </c>
      <c r="M1227">
        <f>IF(B1227,(1+Trend)^D1227,"")</f>
        <v/>
      </c>
      <c r="N1227">
        <f>IF(B1227,EXP(SUMPRODUCT(LN(1+(EvEff-1)*INDEX(Affected,0,C1227)*EXP(-((E1227-EvCenter)^2)/(2*EvSigma^2))))),"")</f>
        <v/>
      </c>
      <c r="O1227">
        <f>IF(B1227,ROUND(MAX(0,J1227*K1227*L1227*M1227*N1227),2),"")</f>
        <v/>
      </c>
    </row>
    <row r="1228">
      <c r="A1228" t="n">
        <v>1227</v>
      </c>
      <c r="B1228">
        <f>A1228&lt;=MineCount*Days</f>
        <v/>
      </c>
      <c r="C1228">
        <f>IF(B1228,INT((A1228-1)/Days)+1,"")</f>
        <v/>
      </c>
      <c r="D1228">
        <f>IF(B1228,MOD(A1228-1,Days),"")</f>
        <v/>
      </c>
      <c r="E1228" s="16">
        <f>IF(B1228,StartDate+D1228,"")</f>
        <v/>
      </c>
      <c r="F1228">
        <f>IF(B1228,MAX(MOD(SIN(Seed*0.1373+C1228*12.9898+D1228*78.233)*43758.5453,1),1E-9),"")</f>
        <v/>
      </c>
      <c r="G1228">
        <f>IF(B1228,MOD(SIN(Seed*0.5917+C1228*39.3468+D1228*11.135)*24634.6345,1),"")</f>
        <v/>
      </c>
      <c r="H1228">
        <f>IF(B1228,SQRT(-2*LN(F1228))*COS(2*PI()*G1228),"")</f>
        <v/>
      </c>
      <c r="I1228">
        <f>IF(B1228,IF(D1228=0,H1228,Rho*I1227+SQRT(1-Rho^2)*H1228),"")</f>
        <v/>
      </c>
      <c r="J1228">
        <f>IF(B1228,IF(Dist="Normal",DistA+DistB*I1228,DistA+(DistB-DistA)*NORMSDIST(I1228)),"")</f>
        <v/>
      </c>
      <c r="K1228">
        <f>IF(B1228,INDEX(MineScale,C1228),"")</f>
        <v/>
      </c>
      <c r="L1228">
        <f>IF(B1228,INDEX(Dow,1,WEEKDAY(E1228,2)),"")</f>
        <v/>
      </c>
      <c r="M1228">
        <f>IF(B1228,(1+Trend)^D1228,"")</f>
        <v/>
      </c>
      <c r="N1228">
        <f>IF(B1228,EXP(SUMPRODUCT(LN(1+(EvEff-1)*INDEX(Affected,0,C1228)*EXP(-((E1228-EvCenter)^2)/(2*EvSigma^2))))),"")</f>
        <v/>
      </c>
      <c r="O1228">
        <f>IF(B1228,ROUND(MAX(0,J1228*K1228*L1228*M1228*N1228),2),"")</f>
        <v/>
      </c>
    </row>
    <row r="1229">
      <c r="A1229" t="n">
        <v>1228</v>
      </c>
      <c r="B1229">
        <f>A1229&lt;=MineCount*Days</f>
        <v/>
      </c>
      <c r="C1229">
        <f>IF(B1229,INT((A1229-1)/Days)+1,"")</f>
        <v/>
      </c>
      <c r="D1229">
        <f>IF(B1229,MOD(A1229-1,Days),"")</f>
        <v/>
      </c>
      <c r="E1229" s="16">
        <f>IF(B1229,StartDate+D1229,"")</f>
        <v/>
      </c>
      <c r="F1229">
        <f>IF(B1229,MAX(MOD(SIN(Seed*0.1373+C1229*12.9898+D1229*78.233)*43758.5453,1),1E-9),"")</f>
        <v/>
      </c>
      <c r="G1229">
        <f>IF(B1229,MOD(SIN(Seed*0.5917+C1229*39.3468+D1229*11.135)*24634.6345,1),"")</f>
        <v/>
      </c>
      <c r="H1229">
        <f>IF(B1229,SQRT(-2*LN(F1229))*COS(2*PI()*G1229),"")</f>
        <v/>
      </c>
      <c r="I1229">
        <f>IF(B1229,IF(D1229=0,H1229,Rho*I1228+SQRT(1-Rho^2)*H1229),"")</f>
        <v/>
      </c>
      <c r="J1229">
        <f>IF(B1229,IF(Dist="Normal",DistA+DistB*I1229,DistA+(DistB-DistA)*NORMSDIST(I1229)),"")</f>
        <v/>
      </c>
      <c r="K1229">
        <f>IF(B1229,INDEX(MineScale,C1229),"")</f>
        <v/>
      </c>
      <c r="L1229">
        <f>IF(B1229,INDEX(Dow,1,WEEKDAY(E1229,2)),"")</f>
        <v/>
      </c>
      <c r="M1229">
        <f>IF(B1229,(1+Trend)^D1229,"")</f>
        <v/>
      </c>
      <c r="N1229">
        <f>IF(B1229,EXP(SUMPRODUCT(LN(1+(EvEff-1)*INDEX(Affected,0,C1229)*EXP(-((E1229-EvCenter)^2)/(2*EvSigma^2))))),"")</f>
        <v/>
      </c>
      <c r="O1229">
        <f>IF(B1229,ROUND(MAX(0,J1229*K1229*L1229*M1229*N1229),2),"")</f>
        <v/>
      </c>
    </row>
    <row r="1230">
      <c r="A1230" t="n">
        <v>1229</v>
      </c>
      <c r="B1230">
        <f>A1230&lt;=MineCount*Days</f>
        <v/>
      </c>
      <c r="C1230">
        <f>IF(B1230,INT((A1230-1)/Days)+1,"")</f>
        <v/>
      </c>
      <c r="D1230">
        <f>IF(B1230,MOD(A1230-1,Days),"")</f>
        <v/>
      </c>
      <c r="E1230" s="16">
        <f>IF(B1230,StartDate+D1230,"")</f>
        <v/>
      </c>
      <c r="F1230">
        <f>IF(B1230,MAX(MOD(SIN(Seed*0.1373+C1230*12.9898+D1230*78.233)*43758.5453,1),1E-9),"")</f>
        <v/>
      </c>
      <c r="G1230">
        <f>IF(B1230,MOD(SIN(Seed*0.5917+C1230*39.3468+D1230*11.135)*24634.6345,1),"")</f>
        <v/>
      </c>
      <c r="H1230">
        <f>IF(B1230,SQRT(-2*LN(F1230))*COS(2*PI()*G1230),"")</f>
        <v/>
      </c>
      <c r="I1230">
        <f>IF(B1230,IF(D1230=0,H1230,Rho*I1229+SQRT(1-Rho^2)*H1230),"")</f>
        <v/>
      </c>
      <c r="J1230">
        <f>IF(B1230,IF(Dist="Normal",DistA+DistB*I1230,DistA+(DistB-DistA)*NORMSDIST(I1230)),"")</f>
        <v/>
      </c>
      <c r="K1230">
        <f>IF(B1230,INDEX(MineScale,C1230),"")</f>
        <v/>
      </c>
      <c r="L1230">
        <f>IF(B1230,INDEX(Dow,1,WEEKDAY(E1230,2)),"")</f>
        <v/>
      </c>
      <c r="M1230">
        <f>IF(B1230,(1+Trend)^D1230,"")</f>
        <v/>
      </c>
      <c r="N1230">
        <f>IF(B1230,EXP(SUMPRODUCT(LN(1+(EvEff-1)*INDEX(Affected,0,C1230)*EXP(-((E1230-EvCenter)^2)/(2*EvSigma^2))))),"")</f>
        <v/>
      </c>
      <c r="O1230">
        <f>IF(B1230,ROUND(MAX(0,J1230*K1230*L1230*M1230*N1230),2),"")</f>
        <v/>
      </c>
    </row>
    <row r="1231">
      <c r="A1231" t="n">
        <v>1230</v>
      </c>
      <c r="B1231">
        <f>A1231&lt;=MineCount*Days</f>
        <v/>
      </c>
      <c r="C1231">
        <f>IF(B1231,INT((A1231-1)/Days)+1,"")</f>
        <v/>
      </c>
      <c r="D1231">
        <f>IF(B1231,MOD(A1231-1,Days),"")</f>
        <v/>
      </c>
      <c r="E1231" s="16">
        <f>IF(B1231,StartDate+D1231,"")</f>
        <v/>
      </c>
      <c r="F1231">
        <f>IF(B1231,MAX(MOD(SIN(Seed*0.1373+C1231*12.9898+D1231*78.233)*43758.5453,1),1E-9),"")</f>
        <v/>
      </c>
      <c r="G1231">
        <f>IF(B1231,MOD(SIN(Seed*0.5917+C1231*39.3468+D1231*11.135)*24634.6345,1),"")</f>
        <v/>
      </c>
      <c r="H1231">
        <f>IF(B1231,SQRT(-2*LN(F1231))*COS(2*PI()*G1231),"")</f>
        <v/>
      </c>
      <c r="I1231">
        <f>IF(B1231,IF(D1231=0,H1231,Rho*I1230+SQRT(1-Rho^2)*H1231),"")</f>
        <v/>
      </c>
      <c r="J1231">
        <f>IF(B1231,IF(Dist="Normal",DistA+DistB*I1231,DistA+(DistB-DistA)*NORMSDIST(I1231)),"")</f>
        <v/>
      </c>
      <c r="K1231">
        <f>IF(B1231,INDEX(MineScale,C1231),"")</f>
        <v/>
      </c>
      <c r="L1231">
        <f>IF(B1231,INDEX(Dow,1,WEEKDAY(E1231,2)),"")</f>
        <v/>
      </c>
      <c r="M1231">
        <f>IF(B1231,(1+Trend)^D1231,"")</f>
        <v/>
      </c>
      <c r="N1231">
        <f>IF(B1231,EXP(SUMPRODUCT(LN(1+(EvEff-1)*INDEX(Affected,0,C1231)*EXP(-((E1231-EvCenter)^2)/(2*EvSigma^2))))),"")</f>
        <v/>
      </c>
      <c r="O1231">
        <f>IF(B1231,ROUND(MAX(0,J1231*K1231*L1231*M1231*N1231),2),"")</f>
        <v/>
      </c>
    </row>
    <row r="1232">
      <c r="A1232" t="n">
        <v>1231</v>
      </c>
      <c r="B1232">
        <f>A1232&lt;=MineCount*Days</f>
        <v/>
      </c>
      <c r="C1232">
        <f>IF(B1232,INT((A1232-1)/Days)+1,"")</f>
        <v/>
      </c>
      <c r="D1232">
        <f>IF(B1232,MOD(A1232-1,Days),"")</f>
        <v/>
      </c>
      <c r="E1232" s="16">
        <f>IF(B1232,StartDate+D1232,"")</f>
        <v/>
      </c>
      <c r="F1232">
        <f>IF(B1232,MAX(MOD(SIN(Seed*0.1373+C1232*12.9898+D1232*78.233)*43758.5453,1),1E-9),"")</f>
        <v/>
      </c>
      <c r="G1232">
        <f>IF(B1232,MOD(SIN(Seed*0.5917+C1232*39.3468+D1232*11.135)*24634.6345,1),"")</f>
        <v/>
      </c>
      <c r="H1232">
        <f>IF(B1232,SQRT(-2*LN(F1232))*COS(2*PI()*G1232),"")</f>
        <v/>
      </c>
      <c r="I1232">
        <f>IF(B1232,IF(D1232=0,H1232,Rho*I1231+SQRT(1-Rho^2)*H1232),"")</f>
        <v/>
      </c>
      <c r="J1232">
        <f>IF(B1232,IF(Dist="Normal",DistA+DistB*I1232,DistA+(DistB-DistA)*NORMSDIST(I1232)),"")</f>
        <v/>
      </c>
      <c r="K1232">
        <f>IF(B1232,INDEX(MineScale,C1232),"")</f>
        <v/>
      </c>
      <c r="L1232">
        <f>IF(B1232,INDEX(Dow,1,WEEKDAY(E1232,2)),"")</f>
        <v/>
      </c>
      <c r="M1232">
        <f>IF(B1232,(1+Trend)^D1232,"")</f>
        <v/>
      </c>
      <c r="N1232">
        <f>IF(B1232,EXP(SUMPRODUCT(LN(1+(EvEff-1)*INDEX(Affected,0,C1232)*EXP(-((E1232-EvCenter)^2)/(2*EvSigma^2))))),"")</f>
        <v/>
      </c>
      <c r="O1232">
        <f>IF(B1232,ROUND(MAX(0,J1232*K1232*L1232*M1232*N1232),2),"")</f>
        <v/>
      </c>
    </row>
    <row r="1233">
      <c r="A1233" t="n">
        <v>1232</v>
      </c>
      <c r="B1233">
        <f>A1233&lt;=MineCount*Days</f>
        <v/>
      </c>
      <c r="C1233">
        <f>IF(B1233,INT((A1233-1)/Days)+1,"")</f>
        <v/>
      </c>
      <c r="D1233">
        <f>IF(B1233,MOD(A1233-1,Days),"")</f>
        <v/>
      </c>
      <c r="E1233" s="16">
        <f>IF(B1233,StartDate+D1233,"")</f>
        <v/>
      </c>
      <c r="F1233">
        <f>IF(B1233,MAX(MOD(SIN(Seed*0.1373+C1233*12.9898+D1233*78.233)*43758.5453,1),1E-9),"")</f>
        <v/>
      </c>
      <c r="G1233">
        <f>IF(B1233,MOD(SIN(Seed*0.5917+C1233*39.3468+D1233*11.135)*24634.6345,1),"")</f>
        <v/>
      </c>
      <c r="H1233">
        <f>IF(B1233,SQRT(-2*LN(F1233))*COS(2*PI()*G1233),"")</f>
        <v/>
      </c>
      <c r="I1233">
        <f>IF(B1233,IF(D1233=0,H1233,Rho*I1232+SQRT(1-Rho^2)*H1233),"")</f>
        <v/>
      </c>
      <c r="J1233">
        <f>IF(B1233,IF(Dist="Normal",DistA+DistB*I1233,DistA+(DistB-DistA)*NORMSDIST(I1233)),"")</f>
        <v/>
      </c>
      <c r="K1233">
        <f>IF(B1233,INDEX(MineScale,C1233),"")</f>
        <v/>
      </c>
      <c r="L1233">
        <f>IF(B1233,INDEX(Dow,1,WEEKDAY(E1233,2)),"")</f>
        <v/>
      </c>
      <c r="M1233">
        <f>IF(B1233,(1+Trend)^D1233,"")</f>
        <v/>
      </c>
      <c r="N1233">
        <f>IF(B1233,EXP(SUMPRODUCT(LN(1+(EvEff-1)*INDEX(Affected,0,C1233)*EXP(-((E1233-EvCenter)^2)/(2*EvSigma^2))))),"")</f>
        <v/>
      </c>
      <c r="O1233">
        <f>IF(B1233,ROUND(MAX(0,J1233*K1233*L1233*M1233*N1233),2),"")</f>
        <v/>
      </c>
    </row>
    <row r="1234">
      <c r="A1234" t="n">
        <v>1233</v>
      </c>
      <c r="B1234">
        <f>A1234&lt;=MineCount*Days</f>
        <v/>
      </c>
      <c r="C1234">
        <f>IF(B1234,INT((A1234-1)/Days)+1,"")</f>
        <v/>
      </c>
      <c r="D1234">
        <f>IF(B1234,MOD(A1234-1,Days),"")</f>
        <v/>
      </c>
      <c r="E1234" s="16">
        <f>IF(B1234,StartDate+D1234,"")</f>
        <v/>
      </c>
      <c r="F1234">
        <f>IF(B1234,MAX(MOD(SIN(Seed*0.1373+C1234*12.9898+D1234*78.233)*43758.5453,1),1E-9),"")</f>
        <v/>
      </c>
      <c r="G1234">
        <f>IF(B1234,MOD(SIN(Seed*0.5917+C1234*39.3468+D1234*11.135)*24634.6345,1),"")</f>
        <v/>
      </c>
      <c r="H1234">
        <f>IF(B1234,SQRT(-2*LN(F1234))*COS(2*PI()*G1234),"")</f>
        <v/>
      </c>
      <c r="I1234">
        <f>IF(B1234,IF(D1234=0,H1234,Rho*I1233+SQRT(1-Rho^2)*H1234),"")</f>
        <v/>
      </c>
      <c r="J1234">
        <f>IF(B1234,IF(Dist="Normal",DistA+DistB*I1234,DistA+(DistB-DistA)*NORMSDIST(I1234)),"")</f>
        <v/>
      </c>
      <c r="K1234">
        <f>IF(B1234,INDEX(MineScale,C1234),"")</f>
        <v/>
      </c>
      <c r="L1234">
        <f>IF(B1234,INDEX(Dow,1,WEEKDAY(E1234,2)),"")</f>
        <v/>
      </c>
      <c r="M1234">
        <f>IF(B1234,(1+Trend)^D1234,"")</f>
        <v/>
      </c>
      <c r="N1234">
        <f>IF(B1234,EXP(SUMPRODUCT(LN(1+(EvEff-1)*INDEX(Affected,0,C1234)*EXP(-((E1234-EvCenter)^2)/(2*EvSigma^2))))),"")</f>
        <v/>
      </c>
      <c r="O1234">
        <f>IF(B1234,ROUND(MAX(0,J1234*K1234*L1234*M1234*N1234),2),"")</f>
        <v/>
      </c>
    </row>
    <row r="1235">
      <c r="A1235" t="n">
        <v>1234</v>
      </c>
      <c r="B1235">
        <f>A1235&lt;=MineCount*Days</f>
        <v/>
      </c>
      <c r="C1235">
        <f>IF(B1235,INT((A1235-1)/Days)+1,"")</f>
        <v/>
      </c>
      <c r="D1235">
        <f>IF(B1235,MOD(A1235-1,Days),"")</f>
        <v/>
      </c>
      <c r="E1235" s="16">
        <f>IF(B1235,StartDate+D1235,"")</f>
        <v/>
      </c>
      <c r="F1235">
        <f>IF(B1235,MAX(MOD(SIN(Seed*0.1373+C1235*12.9898+D1235*78.233)*43758.5453,1),1E-9),"")</f>
        <v/>
      </c>
      <c r="G1235">
        <f>IF(B1235,MOD(SIN(Seed*0.5917+C1235*39.3468+D1235*11.135)*24634.6345,1),"")</f>
        <v/>
      </c>
      <c r="H1235">
        <f>IF(B1235,SQRT(-2*LN(F1235))*COS(2*PI()*G1235),"")</f>
        <v/>
      </c>
      <c r="I1235">
        <f>IF(B1235,IF(D1235=0,H1235,Rho*I1234+SQRT(1-Rho^2)*H1235),"")</f>
        <v/>
      </c>
      <c r="J1235">
        <f>IF(B1235,IF(Dist="Normal",DistA+DistB*I1235,DistA+(DistB-DistA)*NORMSDIST(I1235)),"")</f>
        <v/>
      </c>
      <c r="K1235">
        <f>IF(B1235,INDEX(MineScale,C1235),"")</f>
        <v/>
      </c>
      <c r="L1235">
        <f>IF(B1235,INDEX(Dow,1,WEEKDAY(E1235,2)),"")</f>
        <v/>
      </c>
      <c r="M1235">
        <f>IF(B1235,(1+Trend)^D1235,"")</f>
        <v/>
      </c>
      <c r="N1235">
        <f>IF(B1235,EXP(SUMPRODUCT(LN(1+(EvEff-1)*INDEX(Affected,0,C1235)*EXP(-((E1235-EvCenter)^2)/(2*EvSigma^2))))),"")</f>
        <v/>
      </c>
      <c r="O1235">
        <f>IF(B1235,ROUND(MAX(0,J1235*K1235*L1235*M1235*N1235),2),"")</f>
        <v/>
      </c>
    </row>
    <row r="1236">
      <c r="A1236" t="n">
        <v>1235</v>
      </c>
      <c r="B1236">
        <f>A1236&lt;=MineCount*Days</f>
        <v/>
      </c>
      <c r="C1236">
        <f>IF(B1236,INT((A1236-1)/Days)+1,"")</f>
        <v/>
      </c>
      <c r="D1236">
        <f>IF(B1236,MOD(A1236-1,Days),"")</f>
        <v/>
      </c>
      <c r="E1236" s="16">
        <f>IF(B1236,StartDate+D1236,"")</f>
        <v/>
      </c>
      <c r="F1236">
        <f>IF(B1236,MAX(MOD(SIN(Seed*0.1373+C1236*12.9898+D1236*78.233)*43758.5453,1),1E-9),"")</f>
        <v/>
      </c>
      <c r="G1236">
        <f>IF(B1236,MOD(SIN(Seed*0.5917+C1236*39.3468+D1236*11.135)*24634.6345,1),"")</f>
        <v/>
      </c>
      <c r="H1236">
        <f>IF(B1236,SQRT(-2*LN(F1236))*COS(2*PI()*G1236),"")</f>
        <v/>
      </c>
      <c r="I1236">
        <f>IF(B1236,IF(D1236=0,H1236,Rho*I1235+SQRT(1-Rho^2)*H1236),"")</f>
        <v/>
      </c>
      <c r="J1236">
        <f>IF(B1236,IF(Dist="Normal",DistA+DistB*I1236,DistA+(DistB-DistA)*NORMSDIST(I1236)),"")</f>
        <v/>
      </c>
      <c r="K1236">
        <f>IF(B1236,INDEX(MineScale,C1236),"")</f>
        <v/>
      </c>
      <c r="L1236">
        <f>IF(B1236,INDEX(Dow,1,WEEKDAY(E1236,2)),"")</f>
        <v/>
      </c>
      <c r="M1236">
        <f>IF(B1236,(1+Trend)^D1236,"")</f>
        <v/>
      </c>
      <c r="N1236">
        <f>IF(B1236,EXP(SUMPRODUCT(LN(1+(EvEff-1)*INDEX(Affected,0,C1236)*EXP(-((E1236-EvCenter)^2)/(2*EvSigma^2))))),"")</f>
        <v/>
      </c>
      <c r="O1236">
        <f>IF(B1236,ROUND(MAX(0,J1236*K1236*L1236*M1236*N1236),2),"")</f>
        <v/>
      </c>
    </row>
    <row r="1237">
      <c r="A1237" t="n">
        <v>1236</v>
      </c>
      <c r="B1237">
        <f>A1237&lt;=MineCount*Days</f>
        <v/>
      </c>
      <c r="C1237">
        <f>IF(B1237,INT((A1237-1)/Days)+1,"")</f>
        <v/>
      </c>
      <c r="D1237">
        <f>IF(B1237,MOD(A1237-1,Days),"")</f>
        <v/>
      </c>
      <c r="E1237" s="16">
        <f>IF(B1237,StartDate+D1237,"")</f>
        <v/>
      </c>
      <c r="F1237">
        <f>IF(B1237,MAX(MOD(SIN(Seed*0.1373+C1237*12.9898+D1237*78.233)*43758.5453,1),1E-9),"")</f>
        <v/>
      </c>
      <c r="G1237">
        <f>IF(B1237,MOD(SIN(Seed*0.5917+C1237*39.3468+D1237*11.135)*24634.6345,1),"")</f>
        <v/>
      </c>
      <c r="H1237">
        <f>IF(B1237,SQRT(-2*LN(F1237))*COS(2*PI()*G1237),"")</f>
        <v/>
      </c>
      <c r="I1237">
        <f>IF(B1237,IF(D1237=0,H1237,Rho*I1236+SQRT(1-Rho^2)*H1237),"")</f>
        <v/>
      </c>
      <c r="J1237">
        <f>IF(B1237,IF(Dist="Normal",DistA+DistB*I1237,DistA+(DistB-DistA)*NORMSDIST(I1237)),"")</f>
        <v/>
      </c>
      <c r="K1237">
        <f>IF(B1237,INDEX(MineScale,C1237),"")</f>
        <v/>
      </c>
      <c r="L1237">
        <f>IF(B1237,INDEX(Dow,1,WEEKDAY(E1237,2)),"")</f>
        <v/>
      </c>
      <c r="M1237">
        <f>IF(B1237,(1+Trend)^D1237,"")</f>
        <v/>
      </c>
      <c r="N1237">
        <f>IF(B1237,EXP(SUMPRODUCT(LN(1+(EvEff-1)*INDEX(Affected,0,C1237)*EXP(-((E1237-EvCenter)^2)/(2*EvSigma^2))))),"")</f>
        <v/>
      </c>
      <c r="O1237">
        <f>IF(B1237,ROUND(MAX(0,J1237*K1237*L1237*M1237*N1237),2),"")</f>
        <v/>
      </c>
    </row>
    <row r="1238">
      <c r="A1238" t="n">
        <v>1237</v>
      </c>
      <c r="B1238">
        <f>A1238&lt;=MineCount*Days</f>
        <v/>
      </c>
      <c r="C1238">
        <f>IF(B1238,INT((A1238-1)/Days)+1,"")</f>
        <v/>
      </c>
      <c r="D1238">
        <f>IF(B1238,MOD(A1238-1,Days),"")</f>
        <v/>
      </c>
      <c r="E1238" s="16">
        <f>IF(B1238,StartDate+D1238,"")</f>
        <v/>
      </c>
      <c r="F1238">
        <f>IF(B1238,MAX(MOD(SIN(Seed*0.1373+C1238*12.9898+D1238*78.233)*43758.5453,1),1E-9),"")</f>
        <v/>
      </c>
      <c r="G1238">
        <f>IF(B1238,MOD(SIN(Seed*0.5917+C1238*39.3468+D1238*11.135)*24634.6345,1),"")</f>
        <v/>
      </c>
      <c r="H1238">
        <f>IF(B1238,SQRT(-2*LN(F1238))*COS(2*PI()*G1238),"")</f>
        <v/>
      </c>
      <c r="I1238">
        <f>IF(B1238,IF(D1238=0,H1238,Rho*I1237+SQRT(1-Rho^2)*H1238),"")</f>
        <v/>
      </c>
      <c r="J1238">
        <f>IF(B1238,IF(Dist="Normal",DistA+DistB*I1238,DistA+(DistB-DistA)*NORMSDIST(I1238)),"")</f>
        <v/>
      </c>
      <c r="K1238">
        <f>IF(B1238,INDEX(MineScale,C1238),"")</f>
        <v/>
      </c>
      <c r="L1238">
        <f>IF(B1238,INDEX(Dow,1,WEEKDAY(E1238,2)),"")</f>
        <v/>
      </c>
      <c r="M1238">
        <f>IF(B1238,(1+Trend)^D1238,"")</f>
        <v/>
      </c>
      <c r="N1238">
        <f>IF(B1238,EXP(SUMPRODUCT(LN(1+(EvEff-1)*INDEX(Affected,0,C1238)*EXP(-((E1238-EvCenter)^2)/(2*EvSigma^2))))),"")</f>
        <v/>
      </c>
      <c r="O1238">
        <f>IF(B1238,ROUND(MAX(0,J1238*K1238*L1238*M1238*N1238),2),"")</f>
        <v/>
      </c>
    </row>
    <row r="1239">
      <c r="A1239" t="n">
        <v>1238</v>
      </c>
      <c r="B1239">
        <f>A1239&lt;=MineCount*Days</f>
        <v/>
      </c>
      <c r="C1239">
        <f>IF(B1239,INT((A1239-1)/Days)+1,"")</f>
        <v/>
      </c>
      <c r="D1239">
        <f>IF(B1239,MOD(A1239-1,Days),"")</f>
        <v/>
      </c>
      <c r="E1239" s="16">
        <f>IF(B1239,StartDate+D1239,"")</f>
        <v/>
      </c>
      <c r="F1239">
        <f>IF(B1239,MAX(MOD(SIN(Seed*0.1373+C1239*12.9898+D1239*78.233)*43758.5453,1),1E-9),"")</f>
        <v/>
      </c>
      <c r="G1239">
        <f>IF(B1239,MOD(SIN(Seed*0.5917+C1239*39.3468+D1239*11.135)*24634.6345,1),"")</f>
        <v/>
      </c>
      <c r="H1239">
        <f>IF(B1239,SQRT(-2*LN(F1239))*COS(2*PI()*G1239),"")</f>
        <v/>
      </c>
      <c r="I1239">
        <f>IF(B1239,IF(D1239=0,H1239,Rho*I1238+SQRT(1-Rho^2)*H1239),"")</f>
        <v/>
      </c>
      <c r="J1239">
        <f>IF(B1239,IF(Dist="Normal",DistA+DistB*I1239,DistA+(DistB-DistA)*NORMSDIST(I1239)),"")</f>
        <v/>
      </c>
      <c r="K1239">
        <f>IF(B1239,INDEX(MineScale,C1239),"")</f>
        <v/>
      </c>
      <c r="L1239">
        <f>IF(B1239,INDEX(Dow,1,WEEKDAY(E1239,2)),"")</f>
        <v/>
      </c>
      <c r="M1239">
        <f>IF(B1239,(1+Trend)^D1239,"")</f>
        <v/>
      </c>
      <c r="N1239">
        <f>IF(B1239,EXP(SUMPRODUCT(LN(1+(EvEff-1)*INDEX(Affected,0,C1239)*EXP(-((E1239-EvCenter)^2)/(2*EvSigma^2))))),"")</f>
        <v/>
      </c>
      <c r="O1239">
        <f>IF(B1239,ROUND(MAX(0,J1239*K1239*L1239*M1239*N1239),2),"")</f>
        <v/>
      </c>
    </row>
    <row r="1240">
      <c r="A1240" t="n">
        <v>1239</v>
      </c>
      <c r="B1240">
        <f>A1240&lt;=MineCount*Days</f>
        <v/>
      </c>
      <c r="C1240">
        <f>IF(B1240,INT((A1240-1)/Days)+1,"")</f>
        <v/>
      </c>
      <c r="D1240">
        <f>IF(B1240,MOD(A1240-1,Days),"")</f>
        <v/>
      </c>
      <c r="E1240" s="16">
        <f>IF(B1240,StartDate+D1240,"")</f>
        <v/>
      </c>
      <c r="F1240">
        <f>IF(B1240,MAX(MOD(SIN(Seed*0.1373+C1240*12.9898+D1240*78.233)*43758.5453,1),1E-9),"")</f>
        <v/>
      </c>
      <c r="G1240">
        <f>IF(B1240,MOD(SIN(Seed*0.5917+C1240*39.3468+D1240*11.135)*24634.6345,1),"")</f>
        <v/>
      </c>
      <c r="H1240">
        <f>IF(B1240,SQRT(-2*LN(F1240))*COS(2*PI()*G1240),"")</f>
        <v/>
      </c>
      <c r="I1240">
        <f>IF(B1240,IF(D1240=0,H1240,Rho*I1239+SQRT(1-Rho^2)*H1240),"")</f>
        <v/>
      </c>
      <c r="J1240">
        <f>IF(B1240,IF(Dist="Normal",DistA+DistB*I1240,DistA+(DistB-DistA)*NORMSDIST(I1240)),"")</f>
        <v/>
      </c>
      <c r="K1240">
        <f>IF(B1240,INDEX(MineScale,C1240),"")</f>
        <v/>
      </c>
      <c r="L1240">
        <f>IF(B1240,INDEX(Dow,1,WEEKDAY(E1240,2)),"")</f>
        <v/>
      </c>
      <c r="M1240">
        <f>IF(B1240,(1+Trend)^D1240,"")</f>
        <v/>
      </c>
      <c r="N1240">
        <f>IF(B1240,EXP(SUMPRODUCT(LN(1+(EvEff-1)*INDEX(Affected,0,C1240)*EXP(-((E1240-EvCenter)^2)/(2*EvSigma^2))))),"")</f>
        <v/>
      </c>
      <c r="O1240">
        <f>IF(B1240,ROUND(MAX(0,J1240*K1240*L1240*M1240*N1240),2),"")</f>
        <v/>
      </c>
    </row>
    <row r="1241">
      <c r="A1241" t="n">
        <v>1240</v>
      </c>
      <c r="B1241">
        <f>A1241&lt;=MineCount*Days</f>
        <v/>
      </c>
      <c r="C1241">
        <f>IF(B1241,INT((A1241-1)/Days)+1,"")</f>
        <v/>
      </c>
      <c r="D1241">
        <f>IF(B1241,MOD(A1241-1,Days),"")</f>
        <v/>
      </c>
      <c r="E1241" s="16">
        <f>IF(B1241,StartDate+D1241,"")</f>
        <v/>
      </c>
      <c r="F1241">
        <f>IF(B1241,MAX(MOD(SIN(Seed*0.1373+C1241*12.9898+D1241*78.233)*43758.5453,1),1E-9),"")</f>
        <v/>
      </c>
      <c r="G1241">
        <f>IF(B1241,MOD(SIN(Seed*0.5917+C1241*39.3468+D1241*11.135)*24634.6345,1),"")</f>
        <v/>
      </c>
      <c r="H1241">
        <f>IF(B1241,SQRT(-2*LN(F1241))*COS(2*PI()*G1241),"")</f>
        <v/>
      </c>
      <c r="I1241">
        <f>IF(B1241,IF(D1241=0,H1241,Rho*I1240+SQRT(1-Rho^2)*H1241),"")</f>
        <v/>
      </c>
      <c r="J1241">
        <f>IF(B1241,IF(Dist="Normal",DistA+DistB*I1241,DistA+(DistB-DistA)*NORMSDIST(I1241)),"")</f>
        <v/>
      </c>
      <c r="K1241">
        <f>IF(B1241,INDEX(MineScale,C1241),"")</f>
        <v/>
      </c>
      <c r="L1241">
        <f>IF(B1241,INDEX(Dow,1,WEEKDAY(E1241,2)),"")</f>
        <v/>
      </c>
      <c r="M1241">
        <f>IF(B1241,(1+Trend)^D1241,"")</f>
        <v/>
      </c>
      <c r="N1241">
        <f>IF(B1241,EXP(SUMPRODUCT(LN(1+(EvEff-1)*INDEX(Affected,0,C1241)*EXP(-((E1241-EvCenter)^2)/(2*EvSigma^2))))),"")</f>
        <v/>
      </c>
      <c r="O1241">
        <f>IF(B1241,ROUND(MAX(0,J1241*K1241*L1241*M1241*N1241),2),"")</f>
        <v/>
      </c>
    </row>
    <row r="1242">
      <c r="A1242" t="n">
        <v>1241</v>
      </c>
      <c r="B1242">
        <f>A1242&lt;=MineCount*Days</f>
        <v/>
      </c>
      <c r="C1242">
        <f>IF(B1242,INT((A1242-1)/Days)+1,"")</f>
        <v/>
      </c>
      <c r="D1242">
        <f>IF(B1242,MOD(A1242-1,Days),"")</f>
        <v/>
      </c>
      <c r="E1242" s="16">
        <f>IF(B1242,StartDate+D1242,"")</f>
        <v/>
      </c>
      <c r="F1242">
        <f>IF(B1242,MAX(MOD(SIN(Seed*0.1373+C1242*12.9898+D1242*78.233)*43758.5453,1),1E-9),"")</f>
        <v/>
      </c>
      <c r="G1242">
        <f>IF(B1242,MOD(SIN(Seed*0.5917+C1242*39.3468+D1242*11.135)*24634.6345,1),"")</f>
        <v/>
      </c>
      <c r="H1242">
        <f>IF(B1242,SQRT(-2*LN(F1242))*COS(2*PI()*G1242),"")</f>
        <v/>
      </c>
      <c r="I1242">
        <f>IF(B1242,IF(D1242=0,H1242,Rho*I1241+SQRT(1-Rho^2)*H1242),"")</f>
        <v/>
      </c>
      <c r="J1242">
        <f>IF(B1242,IF(Dist="Normal",DistA+DistB*I1242,DistA+(DistB-DistA)*NORMSDIST(I1242)),"")</f>
        <v/>
      </c>
      <c r="K1242">
        <f>IF(B1242,INDEX(MineScale,C1242),"")</f>
        <v/>
      </c>
      <c r="L1242">
        <f>IF(B1242,INDEX(Dow,1,WEEKDAY(E1242,2)),"")</f>
        <v/>
      </c>
      <c r="M1242">
        <f>IF(B1242,(1+Trend)^D1242,"")</f>
        <v/>
      </c>
      <c r="N1242">
        <f>IF(B1242,EXP(SUMPRODUCT(LN(1+(EvEff-1)*INDEX(Affected,0,C1242)*EXP(-((E1242-EvCenter)^2)/(2*EvSigma^2))))),"")</f>
        <v/>
      </c>
      <c r="O1242">
        <f>IF(B1242,ROUND(MAX(0,J1242*K1242*L1242*M1242*N1242),2),"")</f>
        <v/>
      </c>
    </row>
    <row r="1243">
      <c r="A1243" t="n">
        <v>1242</v>
      </c>
      <c r="B1243">
        <f>A1243&lt;=MineCount*Days</f>
        <v/>
      </c>
      <c r="C1243">
        <f>IF(B1243,INT((A1243-1)/Days)+1,"")</f>
        <v/>
      </c>
      <c r="D1243">
        <f>IF(B1243,MOD(A1243-1,Days),"")</f>
        <v/>
      </c>
      <c r="E1243" s="16">
        <f>IF(B1243,StartDate+D1243,"")</f>
        <v/>
      </c>
      <c r="F1243">
        <f>IF(B1243,MAX(MOD(SIN(Seed*0.1373+C1243*12.9898+D1243*78.233)*43758.5453,1),1E-9),"")</f>
        <v/>
      </c>
      <c r="G1243">
        <f>IF(B1243,MOD(SIN(Seed*0.5917+C1243*39.3468+D1243*11.135)*24634.6345,1),"")</f>
        <v/>
      </c>
      <c r="H1243">
        <f>IF(B1243,SQRT(-2*LN(F1243))*COS(2*PI()*G1243),"")</f>
        <v/>
      </c>
      <c r="I1243">
        <f>IF(B1243,IF(D1243=0,H1243,Rho*I1242+SQRT(1-Rho^2)*H1243),"")</f>
        <v/>
      </c>
      <c r="J1243">
        <f>IF(B1243,IF(Dist="Normal",DistA+DistB*I1243,DistA+(DistB-DistA)*NORMSDIST(I1243)),"")</f>
        <v/>
      </c>
      <c r="K1243">
        <f>IF(B1243,INDEX(MineScale,C1243),"")</f>
        <v/>
      </c>
      <c r="L1243">
        <f>IF(B1243,INDEX(Dow,1,WEEKDAY(E1243,2)),"")</f>
        <v/>
      </c>
      <c r="M1243">
        <f>IF(B1243,(1+Trend)^D1243,"")</f>
        <v/>
      </c>
      <c r="N1243">
        <f>IF(B1243,EXP(SUMPRODUCT(LN(1+(EvEff-1)*INDEX(Affected,0,C1243)*EXP(-((E1243-EvCenter)^2)/(2*EvSigma^2))))),"")</f>
        <v/>
      </c>
      <c r="O1243">
        <f>IF(B1243,ROUND(MAX(0,J1243*K1243*L1243*M1243*N1243),2),"")</f>
        <v/>
      </c>
    </row>
    <row r="1244">
      <c r="A1244" t="n">
        <v>1243</v>
      </c>
      <c r="B1244">
        <f>A1244&lt;=MineCount*Days</f>
        <v/>
      </c>
      <c r="C1244">
        <f>IF(B1244,INT((A1244-1)/Days)+1,"")</f>
        <v/>
      </c>
      <c r="D1244">
        <f>IF(B1244,MOD(A1244-1,Days),"")</f>
        <v/>
      </c>
      <c r="E1244" s="16">
        <f>IF(B1244,StartDate+D1244,"")</f>
        <v/>
      </c>
      <c r="F1244">
        <f>IF(B1244,MAX(MOD(SIN(Seed*0.1373+C1244*12.9898+D1244*78.233)*43758.5453,1),1E-9),"")</f>
        <v/>
      </c>
      <c r="G1244">
        <f>IF(B1244,MOD(SIN(Seed*0.5917+C1244*39.3468+D1244*11.135)*24634.6345,1),"")</f>
        <v/>
      </c>
      <c r="H1244">
        <f>IF(B1244,SQRT(-2*LN(F1244))*COS(2*PI()*G1244),"")</f>
        <v/>
      </c>
      <c r="I1244">
        <f>IF(B1244,IF(D1244=0,H1244,Rho*I1243+SQRT(1-Rho^2)*H1244),"")</f>
        <v/>
      </c>
      <c r="J1244">
        <f>IF(B1244,IF(Dist="Normal",DistA+DistB*I1244,DistA+(DistB-DistA)*NORMSDIST(I1244)),"")</f>
        <v/>
      </c>
      <c r="K1244">
        <f>IF(B1244,INDEX(MineScale,C1244),"")</f>
        <v/>
      </c>
      <c r="L1244">
        <f>IF(B1244,INDEX(Dow,1,WEEKDAY(E1244,2)),"")</f>
        <v/>
      </c>
      <c r="M1244">
        <f>IF(B1244,(1+Trend)^D1244,"")</f>
        <v/>
      </c>
      <c r="N1244">
        <f>IF(B1244,EXP(SUMPRODUCT(LN(1+(EvEff-1)*INDEX(Affected,0,C1244)*EXP(-((E1244-EvCenter)^2)/(2*EvSigma^2))))),"")</f>
        <v/>
      </c>
      <c r="O1244">
        <f>IF(B1244,ROUND(MAX(0,J1244*K1244*L1244*M1244*N1244),2),"")</f>
        <v/>
      </c>
    </row>
    <row r="1245">
      <c r="A1245" t="n">
        <v>1244</v>
      </c>
      <c r="B1245">
        <f>A1245&lt;=MineCount*Days</f>
        <v/>
      </c>
      <c r="C1245">
        <f>IF(B1245,INT((A1245-1)/Days)+1,"")</f>
        <v/>
      </c>
      <c r="D1245">
        <f>IF(B1245,MOD(A1245-1,Days),"")</f>
        <v/>
      </c>
      <c r="E1245" s="16">
        <f>IF(B1245,StartDate+D1245,"")</f>
        <v/>
      </c>
      <c r="F1245">
        <f>IF(B1245,MAX(MOD(SIN(Seed*0.1373+C1245*12.9898+D1245*78.233)*43758.5453,1),1E-9),"")</f>
        <v/>
      </c>
      <c r="G1245">
        <f>IF(B1245,MOD(SIN(Seed*0.5917+C1245*39.3468+D1245*11.135)*24634.6345,1),"")</f>
        <v/>
      </c>
      <c r="H1245">
        <f>IF(B1245,SQRT(-2*LN(F1245))*COS(2*PI()*G1245),"")</f>
        <v/>
      </c>
      <c r="I1245">
        <f>IF(B1245,IF(D1245=0,H1245,Rho*I1244+SQRT(1-Rho^2)*H1245),"")</f>
        <v/>
      </c>
      <c r="J1245">
        <f>IF(B1245,IF(Dist="Normal",DistA+DistB*I1245,DistA+(DistB-DistA)*NORMSDIST(I1245)),"")</f>
        <v/>
      </c>
      <c r="K1245">
        <f>IF(B1245,INDEX(MineScale,C1245),"")</f>
        <v/>
      </c>
      <c r="L1245">
        <f>IF(B1245,INDEX(Dow,1,WEEKDAY(E1245,2)),"")</f>
        <v/>
      </c>
      <c r="M1245">
        <f>IF(B1245,(1+Trend)^D1245,"")</f>
        <v/>
      </c>
      <c r="N1245">
        <f>IF(B1245,EXP(SUMPRODUCT(LN(1+(EvEff-1)*INDEX(Affected,0,C1245)*EXP(-((E1245-EvCenter)^2)/(2*EvSigma^2))))),"")</f>
        <v/>
      </c>
      <c r="O1245">
        <f>IF(B1245,ROUND(MAX(0,J1245*K1245*L1245*M1245*N1245),2),"")</f>
        <v/>
      </c>
    </row>
    <row r="1246">
      <c r="A1246" t="n">
        <v>1245</v>
      </c>
      <c r="B1246">
        <f>A1246&lt;=MineCount*Days</f>
        <v/>
      </c>
      <c r="C1246">
        <f>IF(B1246,INT((A1246-1)/Days)+1,"")</f>
        <v/>
      </c>
      <c r="D1246">
        <f>IF(B1246,MOD(A1246-1,Days),"")</f>
        <v/>
      </c>
      <c r="E1246" s="16">
        <f>IF(B1246,StartDate+D1246,"")</f>
        <v/>
      </c>
      <c r="F1246">
        <f>IF(B1246,MAX(MOD(SIN(Seed*0.1373+C1246*12.9898+D1246*78.233)*43758.5453,1),1E-9),"")</f>
        <v/>
      </c>
      <c r="G1246">
        <f>IF(B1246,MOD(SIN(Seed*0.5917+C1246*39.3468+D1246*11.135)*24634.6345,1),"")</f>
        <v/>
      </c>
      <c r="H1246">
        <f>IF(B1246,SQRT(-2*LN(F1246))*COS(2*PI()*G1246),"")</f>
        <v/>
      </c>
      <c r="I1246">
        <f>IF(B1246,IF(D1246=0,H1246,Rho*I1245+SQRT(1-Rho^2)*H1246),"")</f>
        <v/>
      </c>
      <c r="J1246">
        <f>IF(B1246,IF(Dist="Normal",DistA+DistB*I1246,DistA+(DistB-DistA)*NORMSDIST(I1246)),"")</f>
        <v/>
      </c>
      <c r="K1246">
        <f>IF(B1246,INDEX(MineScale,C1246),"")</f>
        <v/>
      </c>
      <c r="L1246">
        <f>IF(B1246,INDEX(Dow,1,WEEKDAY(E1246,2)),"")</f>
        <v/>
      </c>
      <c r="M1246">
        <f>IF(B1246,(1+Trend)^D1246,"")</f>
        <v/>
      </c>
      <c r="N1246">
        <f>IF(B1246,EXP(SUMPRODUCT(LN(1+(EvEff-1)*INDEX(Affected,0,C1246)*EXP(-((E1246-EvCenter)^2)/(2*EvSigma^2))))),"")</f>
        <v/>
      </c>
      <c r="O1246">
        <f>IF(B1246,ROUND(MAX(0,J1246*K1246*L1246*M1246*N1246),2),"")</f>
        <v/>
      </c>
    </row>
    <row r="1247">
      <c r="A1247" t="n">
        <v>1246</v>
      </c>
      <c r="B1247">
        <f>A1247&lt;=MineCount*Days</f>
        <v/>
      </c>
      <c r="C1247">
        <f>IF(B1247,INT((A1247-1)/Days)+1,"")</f>
        <v/>
      </c>
      <c r="D1247">
        <f>IF(B1247,MOD(A1247-1,Days),"")</f>
        <v/>
      </c>
      <c r="E1247" s="16">
        <f>IF(B1247,StartDate+D1247,"")</f>
        <v/>
      </c>
      <c r="F1247">
        <f>IF(B1247,MAX(MOD(SIN(Seed*0.1373+C1247*12.9898+D1247*78.233)*43758.5453,1),1E-9),"")</f>
        <v/>
      </c>
      <c r="G1247">
        <f>IF(B1247,MOD(SIN(Seed*0.5917+C1247*39.3468+D1247*11.135)*24634.6345,1),"")</f>
        <v/>
      </c>
      <c r="H1247">
        <f>IF(B1247,SQRT(-2*LN(F1247))*COS(2*PI()*G1247),"")</f>
        <v/>
      </c>
      <c r="I1247">
        <f>IF(B1247,IF(D1247=0,H1247,Rho*I1246+SQRT(1-Rho^2)*H1247),"")</f>
        <v/>
      </c>
      <c r="J1247">
        <f>IF(B1247,IF(Dist="Normal",DistA+DistB*I1247,DistA+(DistB-DistA)*NORMSDIST(I1247)),"")</f>
        <v/>
      </c>
      <c r="K1247">
        <f>IF(B1247,INDEX(MineScale,C1247),"")</f>
        <v/>
      </c>
      <c r="L1247">
        <f>IF(B1247,INDEX(Dow,1,WEEKDAY(E1247,2)),"")</f>
        <v/>
      </c>
      <c r="M1247">
        <f>IF(B1247,(1+Trend)^D1247,"")</f>
        <v/>
      </c>
      <c r="N1247">
        <f>IF(B1247,EXP(SUMPRODUCT(LN(1+(EvEff-1)*INDEX(Affected,0,C1247)*EXP(-((E1247-EvCenter)^2)/(2*EvSigma^2))))),"")</f>
        <v/>
      </c>
      <c r="O1247">
        <f>IF(B1247,ROUND(MAX(0,J1247*K1247*L1247*M1247*N1247),2),"")</f>
        <v/>
      </c>
    </row>
    <row r="1248">
      <c r="A1248" t="n">
        <v>1247</v>
      </c>
      <c r="B1248">
        <f>A1248&lt;=MineCount*Days</f>
        <v/>
      </c>
      <c r="C1248">
        <f>IF(B1248,INT((A1248-1)/Days)+1,"")</f>
        <v/>
      </c>
      <c r="D1248">
        <f>IF(B1248,MOD(A1248-1,Days),"")</f>
        <v/>
      </c>
      <c r="E1248" s="16">
        <f>IF(B1248,StartDate+D1248,"")</f>
        <v/>
      </c>
      <c r="F1248">
        <f>IF(B1248,MAX(MOD(SIN(Seed*0.1373+C1248*12.9898+D1248*78.233)*43758.5453,1),1E-9),"")</f>
        <v/>
      </c>
      <c r="G1248">
        <f>IF(B1248,MOD(SIN(Seed*0.5917+C1248*39.3468+D1248*11.135)*24634.6345,1),"")</f>
        <v/>
      </c>
      <c r="H1248">
        <f>IF(B1248,SQRT(-2*LN(F1248))*COS(2*PI()*G1248),"")</f>
        <v/>
      </c>
      <c r="I1248">
        <f>IF(B1248,IF(D1248=0,H1248,Rho*I1247+SQRT(1-Rho^2)*H1248),"")</f>
        <v/>
      </c>
      <c r="J1248">
        <f>IF(B1248,IF(Dist="Normal",DistA+DistB*I1248,DistA+(DistB-DistA)*NORMSDIST(I1248)),"")</f>
        <v/>
      </c>
      <c r="K1248">
        <f>IF(B1248,INDEX(MineScale,C1248),"")</f>
        <v/>
      </c>
      <c r="L1248">
        <f>IF(B1248,INDEX(Dow,1,WEEKDAY(E1248,2)),"")</f>
        <v/>
      </c>
      <c r="M1248">
        <f>IF(B1248,(1+Trend)^D1248,"")</f>
        <v/>
      </c>
      <c r="N1248">
        <f>IF(B1248,EXP(SUMPRODUCT(LN(1+(EvEff-1)*INDEX(Affected,0,C1248)*EXP(-((E1248-EvCenter)^2)/(2*EvSigma^2))))),"")</f>
        <v/>
      </c>
      <c r="O1248">
        <f>IF(B1248,ROUND(MAX(0,J1248*K1248*L1248*M1248*N1248),2),"")</f>
        <v/>
      </c>
    </row>
    <row r="1249">
      <c r="A1249" t="n">
        <v>1248</v>
      </c>
      <c r="B1249">
        <f>A1249&lt;=MineCount*Days</f>
        <v/>
      </c>
      <c r="C1249">
        <f>IF(B1249,INT((A1249-1)/Days)+1,"")</f>
        <v/>
      </c>
      <c r="D1249">
        <f>IF(B1249,MOD(A1249-1,Days),"")</f>
        <v/>
      </c>
      <c r="E1249" s="16">
        <f>IF(B1249,StartDate+D1249,"")</f>
        <v/>
      </c>
      <c r="F1249">
        <f>IF(B1249,MAX(MOD(SIN(Seed*0.1373+C1249*12.9898+D1249*78.233)*43758.5453,1),1E-9),"")</f>
        <v/>
      </c>
      <c r="G1249">
        <f>IF(B1249,MOD(SIN(Seed*0.5917+C1249*39.3468+D1249*11.135)*24634.6345,1),"")</f>
        <v/>
      </c>
      <c r="H1249">
        <f>IF(B1249,SQRT(-2*LN(F1249))*COS(2*PI()*G1249),"")</f>
        <v/>
      </c>
      <c r="I1249">
        <f>IF(B1249,IF(D1249=0,H1249,Rho*I1248+SQRT(1-Rho^2)*H1249),"")</f>
        <v/>
      </c>
      <c r="J1249">
        <f>IF(B1249,IF(Dist="Normal",DistA+DistB*I1249,DistA+(DistB-DistA)*NORMSDIST(I1249)),"")</f>
        <v/>
      </c>
      <c r="K1249">
        <f>IF(B1249,INDEX(MineScale,C1249),"")</f>
        <v/>
      </c>
      <c r="L1249">
        <f>IF(B1249,INDEX(Dow,1,WEEKDAY(E1249,2)),"")</f>
        <v/>
      </c>
      <c r="M1249">
        <f>IF(B1249,(1+Trend)^D1249,"")</f>
        <v/>
      </c>
      <c r="N1249">
        <f>IF(B1249,EXP(SUMPRODUCT(LN(1+(EvEff-1)*INDEX(Affected,0,C1249)*EXP(-((E1249-EvCenter)^2)/(2*EvSigma^2))))),"")</f>
        <v/>
      </c>
      <c r="O1249">
        <f>IF(B1249,ROUND(MAX(0,J1249*K1249*L1249*M1249*N1249),2),"")</f>
        <v/>
      </c>
    </row>
    <row r="1250">
      <c r="A1250" t="n">
        <v>1249</v>
      </c>
      <c r="B1250">
        <f>A1250&lt;=MineCount*Days</f>
        <v/>
      </c>
      <c r="C1250">
        <f>IF(B1250,INT((A1250-1)/Days)+1,"")</f>
        <v/>
      </c>
      <c r="D1250">
        <f>IF(B1250,MOD(A1250-1,Days),"")</f>
        <v/>
      </c>
      <c r="E1250" s="16">
        <f>IF(B1250,StartDate+D1250,"")</f>
        <v/>
      </c>
      <c r="F1250">
        <f>IF(B1250,MAX(MOD(SIN(Seed*0.1373+C1250*12.9898+D1250*78.233)*43758.5453,1),1E-9),"")</f>
        <v/>
      </c>
      <c r="G1250">
        <f>IF(B1250,MOD(SIN(Seed*0.5917+C1250*39.3468+D1250*11.135)*24634.6345,1),"")</f>
        <v/>
      </c>
      <c r="H1250">
        <f>IF(B1250,SQRT(-2*LN(F1250))*COS(2*PI()*G1250),"")</f>
        <v/>
      </c>
      <c r="I1250">
        <f>IF(B1250,IF(D1250=0,H1250,Rho*I1249+SQRT(1-Rho^2)*H1250),"")</f>
        <v/>
      </c>
      <c r="J1250">
        <f>IF(B1250,IF(Dist="Normal",DistA+DistB*I1250,DistA+(DistB-DistA)*NORMSDIST(I1250)),"")</f>
        <v/>
      </c>
      <c r="K1250">
        <f>IF(B1250,INDEX(MineScale,C1250),"")</f>
        <v/>
      </c>
      <c r="L1250">
        <f>IF(B1250,INDEX(Dow,1,WEEKDAY(E1250,2)),"")</f>
        <v/>
      </c>
      <c r="M1250">
        <f>IF(B1250,(1+Trend)^D1250,"")</f>
        <v/>
      </c>
      <c r="N1250">
        <f>IF(B1250,EXP(SUMPRODUCT(LN(1+(EvEff-1)*INDEX(Affected,0,C1250)*EXP(-((E1250-EvCenter)^2)/(2*EvSigma^2))))),"")</f>
        <v/>
      </c>
      <c r="O1250">
        <f>IF(B1250,ROUND(MAX(0,J1250*K1250*L1250*M1250*N1250),2),"")</f>
        <v/>
      </c>
    </row>
    <row r="1251">
      <c r="A1251" t="n">
        <v>1250</v>
      </c>
      <c r="B1251">
        <f>A1251&lt;=MineCount*Days</f>
        <v/>
      </c>
      <c r="C1251">
        <f>IF(B1251,INT((A1251-1)/Days)+1,"")</f>
        <v/>
      </c>
      <c r="D1251">
        <f>IF(B1251,MOD(A1251-1,Days),"")</f>
        <v/>
      </c>
      <c r="E1251" s="16">
        <f>IF(B1251,StartDate+D1251,"")</f>
        <v/>
      </c>
      <c r="F1251">
        <f>IF(B1251,MAX(MOD(SIN(Seed*0.1373+C1251*12.9898+D1251*78.233)*43758.5453,1),1E-9),"")</f>
        <v/>
      </c>
      <c r="G1251">
        <f>IF(B1251,MOD(SIN(Seed*0.5917+C1251*39.3468+D1251*11.135)*24634.6345,1),"")</f>
        <v/>
      </c>
      <c r="H1251">
        <f>IF(B1251,SQRT(-2*LN(F1251))*COS(2*PI()*G1251),"")</f>
        <v/>
      </c>
      <c r="I1251">
        <f>IF(B1251,IF(D1251=0,H1251,Rho*I1250+SQRT(1-Rho^2)*H1251),"")</f>
        <v/>
      </c>
      <c r="J1251">
        <f>IF(B1251,IF(Dist="Normal",DistA+DistB*I1251,DistA+(DistB-DistA)*NORMSDIST(I1251)),"")</f>
        <v/>
      </c>
      <c r="K1251">
        <f>IF(B1251,INDEX(MineScale,C1251),"")</f>
        <v/>
      </c>
      <c r="L1251">
        <f>IF(B1251,INDEX(Dow,1,WEEKDAY(E1251,2)),"")</f>
        <v/>
      </c>
      <c r="M1251">
        <f>IF(B1251,(1+Trend)^D1251,"")</f>
        <v/>
      </c>
      <c r="N1251">
        <f>IF(B1251,EXP(SUMPRODUCT(LN(1+(EvEff-1)*INDEX(Affected,0,C1251)*EXP(-((E1251-EvCenter)^2)/(2*EvSigma^2))))),"")</f>
        <v/>
      </c>
      <c r="O1251">
        <f>IF(B1251,ROUND(MAX(0,J1251*K1251*L1251*M1251*N1251),2),"")</f>
        <v/>
      </c>
    </row>
    <row r="1252">
      <c r="A1252" t="n">
        <v>1251</v>
      </c>
      <c r="B1252">
        <f>A1252&lt;=MineCount*Days</f>
        <v/>
      </c>
      <c r="C1252">
        <f>IF(B1252,INT((A1252-1)/Days)+1,"")</f>
        <v/>
      </c>
      <c r="D1252">
        <f>IF(B1252,MOD(A1252-1,Days),"")</f>
        <v/>
      </c>
      <c r="E1252" s="16">
        <f>IF(B1252,StartDate+D1252,"")</f>
        <v/>
      </c>
      <c r="F1252">
        <f>IF(B1252,MAX(MOD(SIN(Seed*0.1373+C1252*12.9898+D1252*78.233)*43758.5453,1),1E-9),"")</f>
        <v/>
      </c>
      <c r="G1252">
        <f>IF(B1252,MOD(SIN(Seed*0.5917+C1252*39.3468+D1252*11.135)*24634.6345,1),"")</f>
        <v/>
      </c>
      <c r="H1252">
        <f>IF(B1252,SQRT(-2*LN(F1252))*COS(2*PI()*G1252),"")</f>
        <v/>
      </c>
      <c r="I1252">
        <f>IF(B1252,IF(D1252=0,H1252,Rho*I1251+SQRT(1-Rho^2)*H1252),"")</f>
        <v/>
      </c>
      <c r="J1252">
        <f>IF(B1252,IF(Dist="Normal",DistA+DistB*I1252,DistA+(DistB-DistA)*NORMSDIST(I1252)),"")</f>
        <v/>
      </c>
      <c r="K1252">
        <f>IF(B1252,INDEX(MineScale,C1252),"")</f>
        <v/>
      </c>
      <c r="L1252">
        <f>IF(B1252,INDEX(Dow,1,WEEKDAY(E1252,2)),"")</f>
        <v/>
      </c>
      <c r="M1252">
        <f>IF(B1252,(1+Trend)^D1252,"")</f>
        <v/>
      </c>
      <c r="N1252">
        <f>IF(B1252,EXP(SUMPRODUCT(LN(1+(EvEff-1)*INDEX(Affected,0,C1252)*EXP(-((E1252-EvCenter)^2)/(2*EvSigma^2))))),"")</f>
        <v/>
      </c>
      <c r="O1252">
        <f>IF(B1252,ROUND(MAX(0,J1252*K1252*L1252*M1252*N1252),2),"")</f>
        <v/>
      </c>
    </row>
    <row r="1253">
      <c r="A1253" t="n">
        <v>1252</v>
      </c>
      <c r="B1253">
        <f>A1253&lt;=MineCount*Days</f>
        <v/>
      </c>
      <c r="C1253">
        <f>IF(B1253,INT((A1253-1)/Days)+1,"")</f>
        <v/>
      </c>
      <c r="D1253">
        <f>IF(B1253,MOD(A1253-1,Days),"")</f>
        <v/>
      </c>
      <c r="E1253" s="16">
        <f>IF(B1253,StartDate+D1253,"")</f>
        <v/>
      </c>
      <c r="F1253">
        <f>IF(B1253,MAX(MOD(SIN(Seed*0.1373+C1253*12.9898+D1253*78.233)*43758.5453,1),1E-9),"")</f>
        <v/>
      </c>
      <c r="G1253">
        <f>IF(B1253,MOD(SIN(Seed*0.5917+C1253*39.3468+D1253*11.135)*24634.6345,1),"")</f>
        <v/>
      </c>
      <c r="H1253">
        <f>IF(B1253,SQRT(-2*LN(F1253))*COS(2*PI()*G1253),"")</f>
        <v/>
      </c>
      <c r="I1253">
        <f>IF(B1253,IF(D1253=0,H1253,Rho*I1252+SQRT(1-Rho^2)*H1253),"")</f>
        <v/>
      </c>
      <c r="J1253">
        <f>IF(B1253,IF(Dist="Normal",DistA+DistB*I1253,DistA+(DistB-DistA)*NORMSDIST(I1253)),"")</f>
        <v/>
      </c>
      <c r="K1253">
        <f>IF(B1253,INDEX(MineScale,C1253),"")</f>
        <v/>
      </c>
      <c r="L1253">
        <f>IF(B1253,INDEX(Dow,1,WEEKDAY(E1253,2)),"")</f>
        <v/>
      </c>
      <c r="M1253">
        <f>IF(B1253,(1+Trend)^D1253,"")</f>
        <v/>
      </c>
      <c r="N1253">
        <f>IF(B1253,EXP(SUMPRODUCT(LN(1+(EvEff-1)*INDEX(Affected,0,C1253)*EXP(-((E1253-EvCenter)^2)/(2*EvSigma^2))))),"")</f>
        <v/>
      </c>
      <c r="O1253">
        <f>IF(B1253,ROUND(MAX(0,J1253*K1253*L1253*M1253*N1253),2),"")</f>
        <v/>
      </c>
    </row>
    <row r="1254">
      <c r="A1254" t="n">
        <v>1253</v>
      </c>
      <c r="B1254">
        <f>A1254&lt;=MineCount*Days</f>
        <v/>
      </c>
      <c r="C1254">
        <f>IF(B1254,INT((A1254-1)/Days)+1,"")</f>
        <v/>
      </c>
      <c r="D1254">
        <f>IF(B1254,MOD(A1254-1,Days),"")</f>
        <v/>
      </c>
      <c r="E1254" s="16">
        <f>IF(B1254,StartDate+D1254,"")</f>
        <v/>
      </c>
      <c r="F1254">
        <f>IF(B1254,MAX(MOD(SIN(Seed*0.1373+C1254*12.9898+D1254*78.233)*43758.5453,1),1E-9),"")</f>
        <v/>
      </c>
      <c r="G1254">
        <f>IF(B1254,MOD(SIN(Seed*0.5917+C1254*39.3468+D1254*11.135)*24634.6345,1),"")</f>
        <v/>
      </c>
      <c r="H1254">
        <f>IF(B1254,SQRT(-2*LN(F1254))*COS(2*PI()*G1254),"")</f>
        <v/>
      </c>
      <c r="I1254">
        <f>IF(B1254,IF(D1254=0,H1254,Rho*I1253+SQRT(1-Rho^2)*H1254),"")</f>
        <v/>
      </c>
      <c r="J1254">
        <f>IF(B1254,IF(Dist="Normal",DistA+DistB*I1254,DistA+(DistB-DistA)*NORMSDIST(I1254)),"")</f>
        <v/>
      </c>
      <c r="K1254">
        <f>IF(B1254,INDEX(MineScale,C1254),"")</f>
        <v/>
      </c>
      <c r="L1254">
        <f>IF(B1254,INDEX(Dow,1,WEEKDAY(E1254,2)),"")</f>
        <v/>
      </c>
      <c r="M1254">
        <f>IF(B1254,(1+Trend)^D1254,"")</f>
        <v/>
      </c>
      <c r="N1254">
        <f>IF(B1254,EXP(SUMPRODUCT(LN(1+(EvEff-1)*INDEX(Affected,0,C1254)*EXP(-((E1254-EvCenter)^2)/(2*EvSigma^2))))),"")</f>
        <v/>
      </c>
      <c r="O1254">
        <f>IF(B1254,ROUND(MAX(0,J1254*K1254*L1254*M1254*N1254),2),"")</f>
        <v/>
      </c>
    </row>
    <row r="1255">
      <c r="A1255" t="n">
        <v>1254</v>
      </c>
      <c r="B1255">
        <f>A1255&lt;=MineCount*Days</f>
        <v/>
      </c>
      <c r="C1255">
        <f>IF(B1255,INT((A1255-1)/Days)+1,"")</f>
        <v/>
      </c>
      <c r="D1255">
        <f>IF(B1255,MOD(A1255-1,Days),"")</f>
        <v/>
      </c>
      <c r="E1255" s="16">
        <f>IF(B1255,StartDate+D1255,"")</f>
        <v/>
      </c>
      <c r="F1255">
        <f>IF(B1255,MAX(MOD(SIN(Seed*0.1373+C1255*12.9898+D1255*78.233)*43758.5453,1),1E-9),"")</f>
        <v/>
      </c>
      <c r="G1255">
        <f>IF(B1255,MOD(SIN(Seed*0.5917+C1255*39.3468+D1255*11.135)*24634.6345,1),"")</f>
        <v/>
      </c>
      <c r="H1255">
        <f>IF(B1255,SQRT(-2*LN(F1255))*COS(2*PI()*G1255),"")</f>
        <v/>
      </c>
      <c r="I1255">
        <f>IF(B1255,IF(D1255=0,H1255,Rho*I1254+SQRT(1-Rho^2)*H1255),"")</f>
        <v/>
      </c>
      <c r="J1255">
        <f>IF(B1255,IF(Dist="Normal",DistA+DistB*I1255,DistA+(DistB-DistA)*NORMSDIST(I1255)),"")</f>
        <v/>
      </c>
      <c r="K1255">
        <f>IF(B1255,INDEX(MineScale,C1255),"")</f>
        <v/>
      </c>
      <c r="L1255">
        <f>IF(B1255,INDEX(Dow,1,WEEKDAY(E1255,2)),"")</f>
        <v/>
      </c>
      <c r="M1255">
        <f>IF(B1255,(1+Trend)^D1255,"")</f>
        <v/>
      </c>
      <c r="N1255">
        <f>IF(B1255,EXP(SUMPRODUCT(LN(1+(EvEff-1)*INDEX(Affected,0,C1255)*EXP(-((E1255-EvCenter)^2)/(2*EvSigma^2))))),"")</f>
        <v/>
      </c>
      <c r="O1255">
        <f>IF(B1255,ROUND(MAX(0,J1255*K1255*L1255*M1255*N1255),2),"")</f>
        <v/>
      </c>
    </row>
    <row r="1256">
      <c r="A1256" t="n">
        <v>1255</v>
      </c>
      <c r="B1256">
        <f>A1256&lt;=MineCount*Days</f>
        <v/>
      </c>
      <c r="C1256">
        <f>IF(B1256,INT((A1256-1)/Days)+1,"")</f>
        <v/>
      </c>
      <c r="D1256">
        <f>IF(B1256,MOD(A1256-1,Days),"")</f>
        <v/>
      </c>
      <c r="E1256" s="16">
        <f>IF(B1256,StartDate+D1256,"")</f>
        <v/>
      </c>
      <c r="F1256">
        <f>IF(B1256,MAX(MOD(SIN(Seed*0.1373+C1256*12.9898+D1256*78.233)*43758.5453,1),1E-9),"")</f>
        <v/>
      </c>
      <c r="G1256">
        <f>IF(B1256,MOD(SIN(Seed*0.5917+C1256*39.3468+D1256*11.135)*24634.6345,1),"")</f>
        <v/>
      </c>
      <c r="H1256">
        <f>IF(B1256,SQRT(-2*LN(F1256))*COS(2*PI()*G1256),"")</f>
        <v/>
      </c>
      <c r="I1256">
        <f>IF(B1256,IF(D1256=0,H1256,Rho*I1255+SQRT(1-Rho^2)*H1256),"")</f>
        <v/>
      </c>
      <c r="J1256">
        <f>IF(B1256,IF(Dist="Normal",DistA+DistB*I1256,DistA+(DistB-DistA)*NORMSDIST(I1256)),"")</f>
        <v/>
      </c>
      <c r="K1256">
        <f>IF(B1256,INDEX(MineScale,C1256),"")</f>
        <v/>
      </c>
      <c r="L1256">
        <f>IF(B1256,INDEX(Dow,1,WEEKDAY(E1256,2)),"")</f>
        <v/>
      </c>
      <c r="M1256">
        <f>IF(B1256,(1+Trend)^D1256,"")</f>
        <v/>
      </c>
      <c r="N1256">
        <f>IF(B1256,EXP(SUMPRODUCT(LN(1+(EvEff-1)*INDEX(Affected,0,C1256)*EXP(-((E1256-EvCenter)^2)/(2*EvSigma^2))))),"")</f>
        <v/>
      </c>
      <c r="O1256">
        <f>IF(B1256,ROUND(MAX(0,J1256*K1256*L1256*M1256*N1256),2),"")</f>
        <v/>
      </c>
    </row>
    <row r="1257">
      <c r="A1257" t="n">
        <v>1256</v>
      </c>
      <c r="B1257">
        <f>A1257&lt;=MineCount*Days</f>
        <v/>
      </c>
      <c r="C1257">
        <f>IF(B1257,INT((A1257-1)/Days)+1,"")</f>
        <v/>
      </c>
      <c r="D1257">
        <f>IF(B1257,MOD(A1257-1,Days),"")</f>
        <v/>
      </c>
      <c r="E1257" s="16">
        <f>IF(B1257,StartDate+D1257,"")</f>
        <v/>
      </c>
      <c r="F1257">
        <f>IF(B1257,MAX(MOD(SIN(Seed*0.1373+C1257*12.9898+D1257*78.233)*43758.5453,1),1E-9),"")</f>
        <v/>
      </c>
      <c r="G1257">
        <f>IF(B1257,MOD(SIN(Seed*0.5917+C1257*39.3468+D1257*11.135)*24634.6345,1),"")</f>
        <v/>
      </c>
      <c r="H1257">
        <f>IF(B1257,SQRT(-2*LN(F1257))*COS(2*PI()*G1257),"")</f>
        <v/>
      </c>
      <c r="I1257">
        <f>IF(B1257,IF(D1257=0,H1257,Rho*I1256+SQRT(1-Rho^2)*H1257),"")</f>
        <v/>
      </c>
      <c r="J1257">
        <f>IF(B1257,IF(Dist="Normal",DistA+DistB*I1257,DistA+(DistB-DistA)*NORMSDIST(I1257)),"")</f>
        <v/>
      </c>
      <c r="K1257">
        <f>IF(B1257,INDEX(MineScale,C1257),"")</f>
        <v/>
      </c>
      <c r="L1257">
        <f>IF(B1257,INDEX(Dow,1,WEEKDAY(E1257,2)),"")</f>
        <v/>
      </c>
      <c r="M1257">
        <f>IF(B1257,(1+Trend)^D1257,"")</f>
        <v/>
      </c>
      <c r="N1257">
        <f>IF(B1257,EXP(SUMPRODUCT(LN(1+(EvEff-1)*INDEX(Affected,0,C1257)*EXP(-((E1257-EvCenter)^2)/(2*EvSigma^2))))),"")</f>
        <v/>
      </c>
      <c r="O1257">
        <f>IF(B1257,ROUND(MAX(0,J1257*K1257*L1257*M1257*N1257),2),"")</f>
        <v/>
      </c>
    </row>
    <row r="1258">
      <c r="A1258" t="n">
        <v>1257</v>
      </c>
      <c r="B1258">
        <f>A1258&lt;=MineCount*Days</f>
        <v/>
      </c>
      <c r="C1258">
        <f>IF(B1258,INT((A1258-1)/Days)+1,"")</f>
        <v/>
      </c>
      <c r="D1258">
        <f>IF(B1258,MOD(A1258-1,Days),"")</f>
        <v/>
      </c>
      <c r="E1258" s="16">
        <f>IF(B1258,StartDate+D1258,"")</f>
        <v/>
      </c>
      <c r="F1258">
        <f>IF(B1258,MAX(MOD(SIN(Seed*0.1373+C1258*12.9898+D1258*78.233)*43758.5453,1),1E-9),"")</f>
        <v/>
      </c>
      <c r="G1258">
        <f>IF(B1258,MOD(SIN(Seed*0.5917+C1258*39.3468+D1258*11.135)*24634.6345,1),"")</f>
        <v/>
      </c>
      <c r="H1258">
        <f>IF(B1258,SQRT(-2*LN(F1258))*COS(2*PI()*G1258),"")</f>
        <v/>
      </c>
      <c r="I1258">
        <f>IF(B1258,IF(D1258=0,H1258,Rho*I1257+SQRT(1-Rho^2)*H1258),"")</f>
        <v/>
      </c>
      <c r="J1258">
        <f>IF(B1258,IF(Dist="Normal",DistA+DistB*I1258,DistA+(DistB-DistA)*NORMSDIST(I1258)),"")</f>
        <v/>
      </c>
      <c r="K1258">
        <f>IF(B1258,INDEX(MineScale,C1258),"")</f>
        <v/>
      </c>
      <c r="L1258">
        <f>IF(B1258,INDEX(Dow,1,WEEKDAY(E1258,2)),"")</f>
        <v/>
      </c>
      <c r="M1258">
        <f>IF(B1258,(1+Trend)^D1258,"")</f>
        <v/>
      </c>
      <c r="N1258">
        <f>IF(B1258,EXP(SUMPRODUCT(LN(1+(EvEff-1)*INDEX(Affected,0,C1258)*EXP(-((E1258-EvCenter)^2)/(2*EvSigma^2))))),"")</f>
        <v/>
      </c>
      <c r="O1258">
        <f>IF(B1258,ROUND(MAX(0,J1258*K1258*L1258*M1258*N1258),2),"")</f>
        <v/>
      </c>
    </row>
    <row r="1259">
      <c r="A1259" t="n">
        <v>1258</v>
      </c>
      <c r="B1259">
        <f>A1259&lt;=MineCount*Days</f>
        <v/>
      </c>
      <c r="C1259">
        <f>IF(B1259,INT((A1259-1)/Days)+1,"")</f>
        <v/>
      </c>
      <c r="D1259">
        <f>IF(B1259,MOD(A1259-1,Days),"")</f>
        <v/>
      </c>
      <c r="E1259" s="16">
        <f>IF(B1259,StartDate+D1259,"")</f>
        <v/>
      </c>
      <c r="F1259">
        <f>IF(B1259,MAX(MOD(SIN(Seed*0.1373+C1259*12.9898+D1259*78.233)*43758.5453,1),1E-9),"")</f>
        <v/>
      </c>
      <c r="G1259">
        <f>IF(B1259,MOD(SIN(Seed*0.5917+C1259*39.3468+D1259*11.135)*24634.6345,1),"")</f>
        <v/>
      </c>
      <c r="H1259">
        <f>IF(B1259,SQRT(-2*LN(F1259))*COS(2*PI()*G1259),"")</f>
        <v/>
      </c>
      <c r="I1259">
        <f>IF(B1259,IF(D1259=0,H1259,Rho*I1258+SQRT(1-Rho^2)*H1259),"")</f>
        <v/>
      </c>
      <c r="J1259">
        <f>IF(B1259,IF(Dist="Normal",DistA+DistB*I1259,DistA+(DistB-DistA)*NORMSDIST(I1259)),"")</f>
        <v/>
      </c>
      <c r="K1259">
        <f>IF(B1259,INDEX(MineScale,C1259),"")</f>
        <v/>
      </c>
      <c r="L1259">
        <f>IF(B1259,INDEX(Dow,1,WEEKDAY(E1259,2)),"")</f>
        <v/>
      </c>
      <c r="M1259">
        <f>IF(B1259,(1+Trend)^D1259,"")</f>
        <v/>
      </c>
      <c r="N1259">
        <f>IF(B1259,EXP(SUMPRODUCT(LN(1+(EvEff-1)*INDEX(Affected,0,C1259)*EXP(-((E1259-EvCenter)^2)/(2*EvSigma^2))))),"")</f>
        <v/>
      </c>
      <c r="O1259">
        <f>IF(B1259,ROUND(MAX(0,J1259*K1259*L1259*M1259*N1259),2),"")</f>
        <v/>
      </c>
    </row>
    <row r="1260">
      <c r="A1260" t="n">
        <v>1259</v>
      </c>
      <c r="B1260">
        <f>A1260&lt;=MineCount*Days</f>
        <v/>
      </c>
      <c r="C1260">
        <f>IF(B1260,INT((A1260-1)/Days)+1,"")</f>
        <v/>
      </c>
      <c r="D1260">
        <f>IF(B1260,MOD(A1260-1,Days),"")</f>
        <v/>
      </c>
      <c r="E1260" s="16">
        <f>IF(B1260,StartDate+D1260,"")</f>
        <v/>
      </c>
      <c r="F1260">
        <f>IF(B1260,MAX(MOD(SIN(Seed*0.1373+C1260*12.9898+D1260*78.233)*43758.5453,1),1E-9),"")</f>
        <v/>
      </c>
      <c r="G1260">
        <f>IF(B1260,MOD(SIN(Seed*0.5917+C1260*39.3468+D1260*11.135)*24634.6345,1),"")</f>
        <v/>
      </c>
      <c r="H1260">
        <f>IF(B1260,SQRT(-2*LN(F1260))*COS(2*PI()*G1260),"")</f>
        <v/>
      </c>
      <c r="I1260">
        <f>IF(B1260,IF(D1260=0,H1260,Rho*I1259+SQRT(1-Rho^2)*H1260),"")</f>
        <v/>
      </c>
      <c r="J1260">
        <f>IF(B1260,IF(Dist="Normal",DistA+DistB*I1260,DistA+(DistB-DistA)*NORMSDIST(I1260)),"")</f>
        <v/>
      </c>
      <c r="K1260">
        <f>IF(B1260,INDEX(MineScale,C1260),"")</f>
        <v/>
      </c>
      <c r="L1260">
        <f>IF(B1260,INDEX(Dow,1,WEEKDAY(E1260,2)),"")</f>
        <v/>
      </c>
      <c r="M1260">
        <f>IF(B1260,(1+Trend)^D1260,"")</f>
        <v/>
      </c>
      <c r="N1260">
        <f>IF(B1260,EXP(SUMPRODUCT(LN(1+(EvEff-1)*INDEX(Affected,0,C1260)*EXP(-((E1260-EvCenter)^2)/(2*EvSigma^2))))),"")</f>
        <v/>
      </c>
      <c r="O1260">
        <f>IF(B1260,ROUND(MAX(0,J1260*K1260*L1260*M1260*N1260),2),"")</f>
        <v/>
      </c>
    </row>
    <row r="1261">
      <c r="A1261" t="n">
        <v>1260</v>
      </c>
      <c r="B1261">
        <f>A1261&lt;=MineCount*Days</f>
        <v/>
      </c>
      <c r="C1261">
        <f>IF(B1261,INT((A1261-1)/Days)+1,"")</f>
        <v/>
      </c>
      <c r="D1261">
        <f>IF(B1261,MOD(A1261-1,Days),"")</f>
        <v/>
      </c>
      <c r="E1261" s="16">
        <f>IF(B1261,StartDate+D1261,"")</f>
        <v/>
      </c>
      <c r="F1261">
        <f>IF(B1261,MAX(MOD(SIN(Seed*0.1373+C1261*12.9898+D1261*78.233)*43758.5453,1),1E-9),"")</f>
        <v/>
      </c>
      <c r="G1261">
        <f>IF(B1261,MOD(SIN(Seed*0.5917+C1261*39.3468+D1261*11.135)*24634.6345,1),"")</f>
        <v/>
      </c>
      <c r="H1261">
        <f>IF(B1261,SQRT(-2*LN(F1261))*COS(2*PI()*G1261),"")</f>
        <v/>
      </c>
      <c r="I1261">
        <f>IF(B1261,IF(D1261=0,H1261,Rho*I1260+SQRT(1-Rho^2)*H1261),"")</f>
        <v/>
      </c>
      <c r="J1261">
        <f>IF(B1261,IF(Dist="Normal",DistA+DistB*I1261,DistA+(DistB-DistA)*NORMSDIST(I1261)),"")</f>
        <v/>
      </c>
      <c r="K1261">
        <f>IF(B1261,INDEX(MineScale,C1261),"")</f>
        <v/>
      </c>
      <c r="L1261">
        <f>IF(B1261,INDEX(Dow,1,WEEKDAY(E1261,2)),"")</f>
        <v/>
      </c>
      <c r="M1261">
        <f>IF(B1261,(1+Trend)^D1261,"")</f>
        <v/>
      </c>
      <c r="N1261">
        <f>IF(B1261,EXP(SUMPRODUCT(LN(1+(EvEff-1)*INDEX(Affected,0,C1261)*EXP(-((E1261-EvCenter)^2)/(2*EvSigma^2))))),"")</f>
        <v/>
      </c>
      <c r="O1261">
        <f>IF(B1261,ROUND(MAX(0,J1261*K1261*L1261*M1261*N1261),2),"")</f>
        <v/>
      </c>
    </row>
    <row r="1262">
      <c r="A1262" t="n">
        <v>1261</v>
      </c>
      <c r="B1262">
        <f>A1262&lt;=MineCount*Days</f>
        <v/>
      </c>
      <c r="C1262">
        <f>IF(B1262,INT((A1262-1)/Days)+1,"")</f>
        <v/>
      </c>
      <c r="D1262">
        <f>IF(B1262,MOD(A1262-1,Days),"")</f>
        <v/>
      </c>
      <c r="E1262" s="16">
        <f>IF(B1262,StartDate+D1262,"")</f>
        <v/>
      </c>
      <c r="F1262">
        <f>IF(B1262,MAX(MOD(SIN(Seed*0.1373+C1262*12.9898+D1262*78.233)*43758.5453,1),1E-9),"")</f>
        <v/>
      </c>
      <c r="G1262">
        <f>IF(B1262,MOD(SIN(Seed*0.5917+C1262*39.3468+D1262*11.135)*24634.6345,1),"")</f>
        <v/>
      </c>
      <c r="H1262">
        <f>IF(B1262,SQRT(-2*LN(F1262))*COS(2*PI()*G1262),"")</f>
        <v/>
      </c>
      <c r="I1262">
        <f>IF(B1262,IF(D1262=0,H1262,Rho*I1261+SQRT(1-Rho^2)*H1262),"")</f>
        <v/>
      </c>
      <c r="J1262">
        <f>IF(B1262,IF(Dist="Normal",DistA+DistB*I1262,DistA+(DistB-DistA)*NORMSDIST(I1262)),"")</f>
        <v/>
      </c>
      <c r="K1262">
        <f>IF(B1262,INDEX(MineScale,C1262),"")</f>
        <v/>
      </c>
      <c r="L1262">
        <f>IF(B1262,INDEX(Dow,1,WEEKDAY(E1262,2)),"")</f>
        <v/>
      </c>
      <c r="M1262">
        <f>IF(B1262,(1+Trend)^D1262,"")</f>
        <v/>
      </c>
      <c r="N1262">
        <f>IF(B1262,EXP(SUMPRODUCT(LN(1+(EvEff-1)*INDEX(Affected,0,C1262)*EXP(-((E1262-EvCenter)^2)/(2*EvSigma^2))))),"")</f>
        <v/>
      </c>
      <c r="O1262">
        <f>IF(B1262,ROUND(MAX(0,J1262*K1262*L1262*M1262*N1262),2),"")</f>
        <v/>
      </c>
    </row>
    <row r="1263">
      <c r="A1263" t="n">
        <v>1262</v>
      </c>
      <c r="B1263">
        <f>A1263&lt;=MineCount*Days</f>
        <v/>
      </c>
      <c r="C1263">
        <f>IF(B1263,INT((A1263-1)/Days)+1,"")</f>
        <v/>
      </c>
      <c r="D1263">
        <f>IF(B1263,MOD(A1263-1,Days),"")</f>
        <v/>
      </c>
      <c r="E1263" s="16">
        <f>IF(B1263,StartDate+D1263,"")</f>
        <v/>
      </c>
      <c r="F1263">
        <f>IF(B1263,MAX(MOD(SIN(Seed*0.1373+C1263*12.9898+D1263*78.233)*43758.5453,1),1E-9),"")</f>
        <v/>
      </c>
      <c r="G1263">
        <f>IF(B1263,MOD(SIN(Seed*0.5917+C1263*39.3468+D1263*11.135)*24634.6345,1),"")</f>
        <v/>
      </c>
      <c r="H1263">
        <f>IF(B1263,SQRT(-2*LN(F1263))*COS(2*PI()*G1263),"")</f>
        <v/>
      </c>
      <c r="I1263">
        <f>IF(B1263,IF(D1263=0,H1263,Rho*I1262+SQRT(1-Rho^2)*H1263),"")</f>
        <v/>
      </c>
      <c r="J1263">
        <f>IF(B1263,IF(Dist="Normal",DistA+DistB*I1263,DistA+(DistB-DistA)*NORMSDIST(I1263)),"")</f>
        <v/>
      </c>
      <c r="K1263">
        <f>IF(B1263,INDEX(MineScale,C1263),"")</f>
        <v/>
      </c>
      <c r="L1263">
        <f>IF(B1263,INDEX(Dow,1,WEEKDAY(E1263,2)),"")</f>
        <v/>
      </c>
      <c r="M1263">
        <f>IF(B1263,(1+Trend)^D1263,"")</f>
        <v/>
      </c>
      <c r="N1263">
        <f>IF(B1263,EXP(SUMPRODUCT(LN(1+(EvEff-1)*INDEX(Affected,0,C1263)*EXP(-((E1263-EvCenter)^2)/(2*EvSigma^2))))),"")</f>
        <v/>
      </c>
      <c r="O1263">
        <f>IF(B1263,ROUND(MAX(0,J1263*K1263*L1263*M1263*N1263),2),"")</f>
        <v/>
      </c>
    </row>
    <row r="1264">
      <c r="A1264" t="n">
        <v>1263</v>
      </c>
      <c r="B1264">
        <f>A1264&lt;=MineCount*Days</f>
        <v/>
      </c>
      <c r="C1264">
        <f>IF(B1264,INT((A1264-1)/Days)+1,"")</f>
        <v/>
      </c>
      <c r="D1264">
        <f>IF(B1264,MOD(A1264-1,Days),"")</f>
        <v/>
      </c>
      <c r="E1264" s="16">
        <f>IF(B1264,StartDate+D1264,"")</f>
        <v/>
      </c>
      <c r="F1264">
        <f>IF(B1264,MAX(MOD(SIN(Seed*0.1373+C1264*12.9898+D1264*78.233)*43758.5453,1),1E-9),"")</f>
        <v/>
      </c>
      <c r="G1264">
        <f>IF(B1264,MOD(SIN(Seed*0.5917+C1264*39.3468+D1264*11.135)*24634.6345,1),"")</f>
        <v/>
      </c>
      <c r="H1264">
        <f>IF(B1264,SQRT(-2*LN(F1264))*COS(2*PI()*G1264),"")</f>
        <v/>
      </c>
      <c r="I1264">
        <f>IF(B1264,IF(D1264=0,H1264,Rho*I1263+SQRT(1-Rho^2)*H1264),"")</f>
        <v/>
      </c>
      <c r="J1264">
        <f>IF(B1264,IF(Dist="Normal",DistA+DistB*I1264,DistA+(DistB-DistA)*NORMSDIST(I1264)),"")</f>
        <v/>
      </c>
      <c r="K1264">
        <f>IF(B1264,INDEX(MineScale,C1264),"")</f>
        <v/>
      </c>
      <c r="L1264">
        <f>IF(B1264,INDEX(Dow,1,WEEKDAY(E1264,2)),"")</f>
        <v/>
      </c>
      <c r="M1264">
        <f>IF(B1264,(1+Trend)^D1264,"")</f>
        <v/>
      </c>
      <c r="N1264">
        <f>IF(B1264,EXP(SUMPRODUCT(LN(1+(EvEff-1)*INDEX(Affected,0,C1264)*EXP(-((E1264-EvCenter)^2)/(2*EvSigma^2))))),"")</f>
        <v/>
      </c>
      <c r="O1264">
        <f>IF(B1264,ROUND(MAX(0,J1264*K1264*L1264*M1264*N1264),2),"")</f>
        <v/>
      </c>
    </row>
    <row r="1265">
      <c r="A1265" t="n">
        <v>1264</v>
      </c>
      <c r="B1265">
        <f>A1265&lt;=MineCount*Days</f>
        <v/>
      </c>
      <c r="C1265">
        <f>IF(B1265,INT((A1265-1)/Days)+1,"")</f>
        <v/>
      </c>
      <c r="D1265">
        <f>IF(B1265,MOD(A1265-1,Days),"")</f>
        <v/>
      </c>
      <c r="E1265" s="16">
        <f>IF(B1265,StartDate+D1265,"")</f>
        <v/>
      </c>
      <c r="F1265">
        <f>IF(B1265,MAX(MOD(SIN(Seed*0.1373+C1265*12.9898+D1265*78.233)*43758.5453,1),1E-9),"")</f>
        <v/>
      </c>
      <c r="G1265">
        <f>IF(B1265,MOD(SIN(Seed*0.5917+C1265*39.3468+D1265*11.135)*24634.6345,1),"")</f>
        <v/>
      </c>
      <c r="H1265">
        <f>IF(B1265,SQRT(-2*LN(F1265))*COS(2*PI()*G1265),"")</f>
        <v/>
      </c>
      <c r="I1265">
        <f>IF(B1265,IF(D1265=0,H1265,Rho*I1264+SQRT(1-Rho^2)*H1265),"")</f>
        <v/>
      </c>
      <c r="J1265">
        <f>IF(B1265,IF(Dist="Normal",DistA+DistB*I1265,DistA+(DistB-DistA)*NORMSDIST(I1265)),"")</f>
        <v/>
      </c>
      <c r="K1265">
        <f>IF(B1265,INDEX(MineScale,C1265),"")</f>
        <v/>
      </c>
      <c r="L1265">
        <f>IF(B1265,INDEX(Dow,1,WEEKDAY(E1265,2)),"")</f>
        <v/>
      </c>
      <c r="M1265">
        <f>IF(B1265,(1+Trend)^D1265,"")</f>
        <v/>
      </c>
      <c r="N1265">
        <f>IF(B1265,EXP(SUMPRODUCT(LN(1+(EvEff-1)*INDEX(Affected,0,C1265)*EXP(-((E1265-EvCenter)^2)/(2*EvSigma^2))))),"")</f>
        <v/>
      </c>
      <c r="O1265">
        <f>IF(B1265,ROUND(MAX(0,J1265*K1265*L1265*M1265*N1265),2),"")</f>
        <v/>
      </c>
    </row>
    <row r="1266">
      <c r="A1266" t="n">
        <v>1265</v>
      </c>
      <c r="B1266">
        <f>A1266&lt;=MineCount*Days</f>
        <v/>
      </c>
      <c r="C1266">
        <f>IF(B1266,INT((A1266-1)/Days)+1,"")</f>
        <v/>
      </c>
      <c r="D1266">
        <f>IF(B1266,MOD(A1266-1,Days),"")</f>
        <v/>
      </c>
      <c r="E1266" s="16">
        <f>IF(B1266,StartDate+D1266,"")</f>
        <v/>
      </c>
      <c r="F1266">
        <f>IF(B1266,MAX(MOD(SIN(Seed*0.1373+C1266*12.9898+D1266*78.233)*43758.5453,1),1E-9),"")</f>
        <v/>
      </c>
      <c r="G1266">
        <f>IF(B1266,MOD(SIN(Seed*0.5917+C1266*39.3468+D1266*11.135)*24634.6345,1),"")</f>
        <v/>
      </c>
      <c r="H1266">
        <f>IF(B1266,SQRT(-2*LN(F1266))*COS(2*PI()*G1266),"")</f>
        <v/>
      </c>
      <c r="I1266">
        <f>IF(B1266,IF(D1266=0,H1266,Rho*I1265+SQRT(1-Rho^2)*H1266),"")</f>
        <v/>
      </c>
      <c r="J1266">
        <f>IF(B1266,IF(Dist="Normal",DistA+DistB*I1266,DistA+(DistB-DistA)*NORMSDIST(I1266)),"")</f>
        <v/>
      </c>
      <c r="K1266">
        <f>IF(B1266,INDEX(MineScale,C1266),"")</f>
        <v/>
      </c>
      <c r="L1266">
        <f>IF(B1266,INDEX(Dow,1,WEEKDAY(E1266,2)),"")</f>
        <v/>
      </c>
      <c r="M1266">
        <f>IF(B1266,(1+Trend)^D1266,"")</f>
        <v/>
      </c>
      <c r="N1266">
        <f>IF(B1266,EXP(SUMPRODUCT(LN(1+(EvEff-1)*INDEX(Affected,0,C1266)*EXP(-((E1266-EvCenter)^2)/(2*EvSigma^2))))),"")</f>
        <v/>
      </c>
      <c r="O1266">
        <f>IF(B1266,ROUND(MAX(0,J1266*K1266*L1266*M1266*N1266),2),"")</f>
        <v/>
      </c>
    </row>
    <row r="1267">
      <c r="A1267" t="n">
        <v>1266</v>
      </c>
      <c r="B1267">
        <f>A1267&lt;=MineCount*Days</f>
        <v/>
      </c>
      <c r="C1267">
        <f>IF(B1267,INT((A1267-1)/Days)+1,"")</f>
        <v/>
      </c>
      <c r="D1267">
        <f>IF(B1267,MOD(A1267-1,Days),"")</f>
        <v/>
      </c>
      <c r="E1267" s="16">
        <f>IF(B1267,StartDate+D1267,"")</f>
        <v/>
      </c>
      <c r="F1267">
        <f>IF(B1267,MAX(MOD(SIN(Seed*0.1373+C1267*12.9898+D1267*78.233)*43758.5453,1),1E-9),"")</f>
        <v/>
      </c>
      <c r="G1267">
        <f>IF(B1267,MOD(SIN(Seed*0.5917+C1267*39.3468+D1267*11.135)*24634.6345,1),"")</f>
        <v/>
      </c>
      <c r="H1267">
        <f>IF(B1267,SQRT(-2*LN(F1267))*COS(2*PI()*G1267),"")</f>
        <v/>
      </c>
      <c r="I1267">
        <f>IF(B1267,IF(D1267=0,H1267,Rho*I1266+SQRT(1-Rho^2)*H1267),"")</f>
        <v/>
      </c>
      <c r="J1267">
        <f>IF(B1267,IF(Dist="Normal",DistA+DistB*I1267,DistA+(DistB-DistA)*NORMSDIST(I1267)),"")</f>
        <v/>
      </c>
      <c r="K1267">
        <f>IF(B1267,INDEX(MineScale,C1267),"")</f>
        <v/>
      </c>
      <c r="L1267">
        <f>IF(B1267,INDEX(Dow,1,WEEKDAY(E1267,2)),"")</f>
        <v/>
      </c>
      <c r="M1267">
        <f>IF(B1267,(1+Trend)^D1267,"")</f>
        <v/>
      </c>
      <c r="N1267">
        <f>IF(B1267,EXP(SUMPRODUCT(LN(1+(EvEff-1)*INDEX(Affected,0,C1267)*EXP(-((E1267-EvCenter)^2)/(2*EvSigma^2))))),"")</f>
        <v/>
      </c>
      <c r="O1267">
        <f>IF(B1267,ROUND(MAX(0,J1267*K1267*L1267*M1267*N1267),2),"")</f>
        <v/>
      </c>
    </row>
    <row r="1268">
      <c r="A1268" t="n">
        <v>1267</v>
      </c>
      <c r="B1268">
        <f>A1268&lt;=MineCount*Days</f>
        <v/>
      </c>
      <c r="C1268">
        <f>IF(B1268,INT((A1268-1)/Days)+1,"")</f>
        <v/>
      </c>
      <c r="D1268">
        <f>IF(B1268,MOD(A1268-1,Days),"")</f>
        <v/>
      </c>
      <c r="E1268" s="16">
        <f>IF(B1268,StartDate+D1268,"")</f>
        <v/>
      </c>
      <c r="F1268">
        <f>IF(B1268,MAX(MOD(SIN(Seed*0.1373+C1268*12.9898+D1268*78.233)*43758.5453,1),1E-9),"")</f>
        <v/>
      </c>
      <c r="G1268">
        <f>IF(B1268,MOD(SIN(Seed*0.5917+C1268*39.3468+D1268*11.135)*24634.6345,1),"")</f>
        <v/>
      </c>
      <c r="H1268">
        <f>IF(B1268,SQRT(-2*LN(F1268))*COS(2*PI()*G1268),"")</f>
        <v/>
      </c>
      <c r="I1268">
        <f>IF(B1268,IF(D1268=0,H1268,Rho*I1267+SQRT(1-Rho^2)*H1268),"")</f>
        <v/>
      </c>
      <c r="J1268">
        <f>IF(B1268,IF(Dist="Normal",DistA+DistB*I1268,DistA+(DistB-DistA)*NORMSDIST(I1268)),"")</f>
        <v/>
      </c>
      <c r="K1268">
        <f>IF(B1268,INDEX(MineScale,C1268),"")</f>
        <v/>
      </c>
      <c r="L1268">
        <f>IF(B1268,INDEX(Dow,1,WEEKDAY(E1268,2)),"")</f>
        <v/>
      </c>
      <c r="M1268">
        <f>IF(B1268,(1+Trend)^D1268,"")</f>
        <v/>
      </c>
      <c r="N1268">
        <f>IF(B1268,EXP(SUMPRODUCT(LN(1+(EvEff-1)*INDEX(Affected,0,C1268)*EXP(-((E1268-EvCenter)^2)/(2*EvSigma^2))))),"")</f>
        <v/>
      </c>
      <c r="O1268">
        <f>IF(B1268,ROUND(MAX(0,J1268*K1268*L1268*M1268*N1268),2),"")</f>
        <v/>
      </c>
    </row>
    <row r="1269">
      <c r="A1269" t="n">
        <v>1268</v>
      </c>
      <c r="B1269">
        <f>A1269&lt;=MineCount*Days</f>
        <v/>
      </c>
      <c r="C1269">
        <f>IF(B1269,INT((A1269-1)/Days)+1,"")</f>
        <v/>
      </c>
      <c r="D1269">
        <f>IF(B1269,MOD(A1269-1,Days),"")</f>
        <v/>
      </c>
      <c r="E1269" s="16">
        <f>IF(B1269,StartDate+D1269,"")</f>
        <v/>
      </c>
      <c r="F1269">
        <f>IF(B1269,MAX(MOD(SIN(Seed*0.1373+C1269*12.9898+D1269*78.233)*43758.5453,1),1E-9),"")</f>
        <v/>
      </c>
      <c r="G1269">
        <f>IF(B1269,MOD(SIN(Seed*0.5917+C1269*39.3468+D1269*11.135)*24634.6345,1),"")</f>
        <v/>
      </c>
      <c r="H1269">
        <f>IF(B1269,SQRT(-2*LN(F1269))*COS(2*PI()*G1269),"")</f>
        <v/>
      </c>
      <c r="I1269">
        <f>IF(B1269,IF(D1269=0,H1269,Rho*I1268+SQRT(1-Rho^2)*H1269),"")</f>
        <v/>
      </c>
      <c r="J1269">
        <f>IF(B1269,IF(Dist="Normal",DistA+DistB*I1269,DistA+(DistB-DistA)*NORMSDIST(I1269)),"")</f>
        <v/>
      </c>
      <c r="K1269">
        <f>IF(B1269,INDEX(MineScale,C1269),"")</f>
        <v/>
      </c>
      <c r="L1269">
        <f>IF(B1269,INDEX(Dow,1,WEEKDAY(E1269,2)),"")</f>
        <v/>
      </c>
      <c r="M1269">
        <f>IF(B1269,(1+Trend)^D1269,"")</f>
        <v/>
      </c>
      <c r="N1269">
        <f>IF(B1269,EXP(SUMPRODUCT(LN(1+(EvEff-1)*INDEX(Affected,0,C1269)*EXP(-((E1269-EvCenter)^2)/(2*EvSigma^2))))),"")</f>
        <v/>
      </c>
      <c r="O1269">
        <f>IF(B1269,ROUND(MAX(0,J1269*K1269*L1269*M1269*N1269),2),"")</f>
        <v/>
      </c>
    </row>
    <row r="1270">
      <c r="A1270" t="n">
        <v>1269</v>
      </c>
      <c r="B1270">
        <f>A1270&lt;=MineCount*Days</f>
        <v/>
      </c>
      <c r="C1270">
        <f>IF(B1270,INT((A1270-1)/Days)+1,"")</f>
        <v/>
      </c>
      <c r="D1270">
        <f>IF(B1270,MOD(A1270-1,Days),"")</f>
        <v/>
      </c>
      <c r="E1270" s="16">
        <f>IF(B1270,StartDate+D1270,"")</f>
        <v/>
      </c>
      <c r="F1270">
        <f>IF(B1270,MAX(MOD(SIN(Seed*0.1373+C1270*12.9898+D1270*78.233)*43758.5453,1),1E-9),"")</f>
        <v/>
      </c>
      <c r="G1270">
        <f>IF(B1270,MOD(SIN(Seed*0.5917+C1270*39.3468+D1270*11.135)*24634.6345,1),"")</f>
        <v/>
      </c>
      <c r="H1270">
        <f>IF(B1270,SQRT(-2*LN(F1270))*COS(2*PI()*G1270),"")</f>
        <v/>
      </c>
      <c r="I1270">
        <f>IF(B1270,IF(D1270=0,H1270,Rho*I1269+SQRT(1-Rho^2)*H1270),"")</f>
        <v/>
      </c>
      <c r="J1270">
        <f>IF(B1270,IF(Dist="Normal",DistA+DistB*I1270,DistA+(DistB-DistA)*NORMSDIST(I1270)),"")</f>
        <v/>
      </c>
      <c r="K1270">
        <f>IF(B1270,INDEX(MineScale,C1270),"")</f>
        <v/>
      </c>
      <c r="L1270">
        <f>IF(B1270,INDEX(Dow,1,WEEKDAY(E1270,2)),"")</f>
        <v/>
      </c>
      <c r="M1270">
        <f>IF(B1270,(1+Trend)^D1270,"")</f>
        <v/>
      </c>
      <c r="N1270">
        <f>IF(B1270,EXP(SUMPRODUCT(LN(1+(EvEff-1)*INDEX(Affected,0,C1270)*EXP(-((E1270-EvCenter)^2)/(2*EvSigma^2))))),"")</f>
        <v/>
      </c>
      <c r="O1270">
        <f>IF(B1270,ROUND(MAX(0,J1270*K1270*L1270*M1270*N1270),2),"")</f>
        <v/>
      </c>
    </row>
    <row r="1271">
      <c r="A1271" t="n">
        <v>1270</v>
      </c>
      <c r="B1271">
        <f>A1271&lt;=MineCount*Days</f>
        <v/>
      </c>
      <c r="C1271">
        <f>IF(B1271,INT((A1271-1)/Days)+1,"")</f>
        <v/>
      </c>
      <c r="D1271">
        <f>IF(B1271,MOD(A1271-1,Days),"")</f>
        <v/>
      </c>
      <c r="E1271" s="16">
        <f>IF(B1271,StartDate+D1271,"")</f>
        <v/>
      </c>
      <c r="F1271">
        <f>IF(B1271,MAX(MOD(SIN(Seed*0.1373+C1271*12.9898+D1271*78.233)*43758.5453,1),1E-9),"")</f>
        <v/>
      </c>
      <c r="G1271">
        <f>IF(B1271,MOD(SIN(Seed*0.5917+C1271*39.3468+D1271*11.135)*24634.6345,1),"")</f>
        <v/>
      </c>
      <c r="H1271">
        <f>IF(B1271,SQRT(-2*LN(F1271))*COS(2*PI()*G1271),"")</f>
        <v/>
      </c>
      <c r="I1271">
        <f>IF(B1271,IF(D1271=0,H1271,Rho*I1270+SQRT(1-Rho^2)*H1271),"")</f>
        <v/>
      </c>
      <c r="J1271">
        <f>IF(B1271,IF(Dist="Normal",DistA+DistB*I1271,DistA+(DistB-DistA)*NORMSDIST(I1271)),"")</f>
        <v/>
      </c>
      <c r="K1271">
        <f>IF(B1271,INDEX(MineScale,C1271),"")</f>
        <v/>
      </c>
      <c r="L1271">
        <f>IF(B1271,INDEX(Dow,1,WEEKDAY(E1271,2)),"")</f>
        <v/>
      </c>
      <c r="M1271">
        <f>IF(B1271,(1+Trend)^D1271,"")</f>
        <v/>
      </c>
      <c r="N1271">
        <f>IF(B1271,EXP(SUMPRODUCT(LN(1+(EvEff-1)*INDEX(Affected,0,C1271)*EXP(-((E1271-EvCenter)^2)/(2*EvSigma^2))))),"")</f>
        <v/>
      </c>
      <c r="O1271">
        <f>IF(B1271,ROUND(MAX(0,J1271*K1271*L1271*M1271*N1271),2),"")</f>
        <v/>
      </c>
    </row>
    <row r="1272">
      <c r="A1272" t="n">
        <v>1271</v>
      </c>
      <c r="B1272">
        <f>A1272&lt;=MineCount*Days</f>
        <v/>
      </c>
      <c r="C1272">
        <f>IF(B1272,INT((A1272-1)/Days)+1,"")</f>
        <v/>
      </c>
      <c r="D1272">
        <f>IF(B1272,MOD(A1272-1,Days),"")</f>
        <v/>
      </c>
      <c r="E1272" s="16">
        <f>IF(B1272,StartDate+D1272,"")</f>
        <v/>
      </c>
      <c r="F1272">
        <f>IF(B1272,MAX(MOD(SIN(Seed*0.1373+C1272*12.9898+D1272*78.233)*43758.5453,1),1E-9),"")</f>
        <v/>
      </c>
      <c r="G1272">
        <f>IF(B1272,MOD(SIN(Seed*0.5917+C1272*39.3468+D1272*11.135)*24634.6345,1),"")</f>
        <v/>
      </c>
      <c r="H1272">
        <f>IF(B1272,SQRT(-2*LN(F1272))*COS(2*PI()*G1272),"")</f>
        <v/>
      </c>
      <c r="I1272">
        <f>IF(B1272,IF(D1272=0,H1272,Rho*I1271+SQRT(1-Rho^2)*H1272),"")</f>
        <v/>
      </c>
      <c r="J1272">
        <f>IF(B1272,IF(Dist="Normal",DistA+DistB*I1272,DistA+(DistB-DistA)*NORMSDIST(I1272)),"")</f>
        <v/>
      </c>
      <c r="K1272">
        <f>IF(B1272,INDEX(MineScale,C1272),"")</f>
        <v/>
      </c>
      <c r="L1272">
        <f>IF(B1272,INDEX(Dow,1,WEEKDAY(E1272,2)),"")</f>
        <v/>
      </c>
      <c r="M1272">
        <f>IF(B1272,(1+Trend)^D1272,"")</f>
        <v/>
      </c>
      <c r="N1272">
        <f>IF(B1272,EXP(SUMPRODUCT(LN(1+(EvEff-1)*INDEX(Affected,0,C1272)*EXP(-((E1272-EvCenter)^2)/(2*EvSigma^2))))),"")</f>
        <v/>
      </c>
      <c r="O1272">
        <f>IF(B1272,ROUND(MAX(0,J1272*K1272*L1272*M1272*N1272),2),"")</f>
        <v/>
      </c>
    </row>
    <row r="1273">
      <c r="A1273" t="n">
        <v>1272</v>
      </c>
      <c r="B1273">
        <f>A1273&lt;=MineCount*Days</f>
        <v/>
      </c>
      <c r="C1273">
        <f>IF(B1273,INT((A1273-1)/Days)+1,"")</f>
        <v/>
      </c>
      <c r="D1273">
        <f>IF(B1273,MOD(A1273-1,Days),"")</f>
        <v/>
      </c>
      <c r="E1273" s="16">
        <f>IF(B1273,StartDate+D1273,"")</f>
        <v/>
      </c>
      <c r="F1273">
        <f>IF(B1273,MAX(MOD(SIN(Seed*0.1373+C1273*12.9898+D1273*78.233)*43758.5453,1),1E-9),"")</f>
        <v/>
      </c>
      <c r="G1273">
        <f>IF(B1273,MOD(SIN(Seed*0.5917+C1273*39.3468+D1273*11.135)*24634.6345,1),"")</f>
        <v/>
      </c>
      <c r="H1273">
        <f>IF(B1273,SQRT(-2*LN(F1273))*COS(2*PI()*G1273),"")</f>
        <v/>
      </c>
      <c r="I1273">
        <f>IF(B1273,IF(D1273=0,H1273,Rho*I1272+SQRT(1-Rho^2)*H1273),"")</f>
        <v/>
      </c>
      <c r="J1273">
        <f>IF(B1273,IF(Dist="Normal",DistA+DistB*I1273,DistA+(DistB-DistA)*NORMSDIST(I1273)),"")</f>
        <v/>
      </c>
      <c r="K1273">
        <f>IF(B1273,INDEX(MineScale,C1273),"")</f>
        <v/>
      </c>
      <c r="L1273">
        <f>IF(B1273,INDEX(Dow,1,WEEKDAY(E1273,2)),"")</f>
        <v/>
      </c>
      <c r="M1273">
        <f>IF(B1273,(1+Trend)^D1273,"")</f>
        <v/>
      </c>
      <c r="N1273">
        <f>IF(B1273,EXP(SUMPRODUCT(LN(1+(EvEff-1)*INDEX(Affected,0,C1273)*EXP(-((E1273-EvCenter)^2)/(2*EvSigma^2))))),"")</f>
        <v/>
      </c>
      <c r="O1273">
        <f>IF(B1273,ROUND(MAX(0,J1273*K1273*L1273*M1273*N1273),2),"")</f>
        <v/>
      </c>
    </row>
    <row r="1274">
      <c r="A1274" t="n">
        <v>1273</v>
      </c>
      <c r="B1274">
        <f>A1274&lt;=MineCount*Days</f>
        <v/>
      </c>
      <c r="C1274">
        <f>IF(B1274,INT((A1274-1)/Days)+1,"")</f>
        <v/>
      </c>
      <c r="D1274">
        <f>IF(B1274,MOD(A1274-1,Days),"")</f>
        <v/>
      </c>
      <c r="E1274" s="16">
        <f>IF(B1274,StartDate+D1274,"")</f>
        <v/>
      </c>
      <c r="F1274">
        <f>IF(B1274,MAX(MOD(SIN(Seed*0.1373+C1274*12.9898+D1274*78.233)*43758.5453,1),1E-9),"")</f>
        <v/>
      </c>
      <c r="G1274">
        <f>IF(B1274,MOD(SIN(Seed*0.5917+C1274*39.3468+D1274*11.135)*24634.6345,1),"")</f>
        <v/>
      </c>
      <c r="H1274">
        <f>IF(B1274,SQRT(-2*LN(F1274))*COS(2*PI()*G1274),"")</f>
        <v/>
      </c>
      <c r="I1274">
        <f>IF(B1274,IF(D1274=0,H1274,Rho*I1273+SQRT(1-Rho^2)*H1274),"")</f>
        <v/>
      </c>
      <c r="J1274">
        <f>IF(B1274,IF(Dist="Normal",DistA+DistB*I1274,DistA+(DistB-DistA)*NORMSDIST(I1274)),"")</f>
        <v/>
      </c>
      <c r="K1274">
        <f>IF(B1274,INDEX(MineScale,C1274),"")</f>
        <v/>
      </c>
      <c r="L1274">
        <f>IF(B1274,INDEX(Dow,1,WEEKDAY(E1274,2)),"")</f>
        <v/>
      </c>
      <c r="M1274">
        <f>IF(B1274,(1+Trend)^D1274,"")</f>
        <v/>
      </c>
      <c r="N1274">
        <f>IF(B1274,EXP(SUMPRODUCT(LN(1+(EvEff-1)*INDEX(Affected,0,C1274)*EXP(-((E1274-EvCenter)^2)/(2*EvSigma^2))))),"")</f>
        <v/>
      </c>
      <c r="O1274">
        <f>IF(B1274,ROUND(MAX(0,J1274*K1274*L1274*M1274*N1274),2),"")</f>
        <v/>
      </c>
    </row>
    <row r="1275">
      <c r="A1275" t="n">
        <v>1274</v>
      </c>
      <c r="B1275">
        <f>A1275&lt;=MineCount*Days</f>
        <v/>
      </c>
      <c r="C1275">
        <f>IF(B1275,INT((A1275-1)/Days)+1,"")</f>
        <v/>
      </c>
      <c r="D1275">
        <f>IF(B1275,MOD(A1275-1,Days),"")</f>
        <v/>
      </c>
      <c r="E1275" s="16">
        <f>IF(B1275,StartDate+D1275,"")</f>
        <v/>
      </c>
      <c r="F1275">
        <f>IF(B1275,MAX(MOD(SIN(Seed*0.1373+C1275*12.9898+D1275*78.233)*43758.5453,1),1E-9),"")</f>
        <v/>
      </c>
      <c r="G1275">
        <f>IF(B1275,MOD(SIN(Seed*0.5917+C1275*39.3468+D1275*11.135)*24634.6345,1),"")</f>
        <v/>
      </c>
      <c r="H1275">
        <f>IF(B1275,SQRT(-2*LN(F1275))*COS(2*PI()*G1275),"")</f>
        <v/>
      </c>
      <c r="I1275">
        <f>IF(B1275,IF(D1275=0,H1275,Rho*I1274+SQRT(1-Rho^2)*H1275),"")</f>
        <v/>
      </c>
      <c r="J1275">
        <f>IF(B1275,IF(Dist="Normal",DistA+DistB*I1275,DistA+(DistB-DistA)*NORMSDIST(I1275)),"")</f>
        <v/>
      </c>
      <c r="K1275">
        <f>IF(B1275,INDEX(MineScale,C1275),"")</f>
        <v/>
      </c>
      <c r="L1275">
        <f>IF(B1275,INDEX(Dow,1,WEEKDAY(E1275,2)),"")</f>
        <v/>
      </c>
      <c r="M1275">
        <f>IF(B1275,(1+Trend)^D1275,"")</f>
        <v/>
      </c>
      <c r="N1275">
        <f>IF(B1275,EXP(SUMPRODUCT(LN(1+(EvEff-1)*INDEX(Affected,0,C1275)*EXP(-((E1275-EvCenter)^2)/(2*EvSigma^2))))),"")</f>
        <v/>
      </c>
      <c r="O1275">
        <f>IF(B1275,ROUND(MAX(0,J1275*K1275*L1275*M1275*N1275),2),"")</f>
        <v/>
      </c>
    </row>
    <row r="1276">
      <c r="A1276" t="n">
        <v>1275</v>
      </c>
      <c r="B1276">
        <f>A1276&lt;=MineCount*Days</f>
        <v/>
      </c>
      <c r="C1276">
        <f>IF(B1276,INT((A1276-1)/Days)+1,"")</f>
        <v/>
      </c>
      <c r="D1276">
        <f>IF(B1276,MOD(A1276-1,Days),"")</f>
        <v/>
      </c>
      <c r="E1276" s="16">
        <f>IF(B1276,StartDate+D1276,"")</f>
        <v/>
      </c>
      <c r="F1276">
        <f>IF(B1276,MAX(MOD(SIN(Seed*0.1373+C1276*12.9898+D1276*78.233)*43758.5453,1),1E-9),"")</f>
        <v/>
      </c>
      <c r="G1276">
        <f>IF(B1276,MOD(SIN(Seed*0.5917+C1276*39.3468+D1276*11.135)*24634.6345,1),"")</f>
        <v/>
      </c>
      <c r="H1276">
        <f>IF(B1276,SQRT(-2*LN(F1276))*COS(2*PI()*G1276),"")</f>
        <v/>
      </c>
      <c r="I1276">
        <f>IF(B1276,IF(D1276=0,H1276,Rho*I1275+SQRT(1-Rho^2)*H1276),"")</f>
        <v/>
      </c>
      <c r="J1276">
        <f>IF(B1276,IF(Dist="Normal",DistA+DistB*I1276,DistA+(DistB-DistA)*NORMSDIST(I1276)),"")</f>
        <v/>
      </c>
      <c r="K1276">
        <f>IF(B1276,INDEX(MineScale,C1276),"")</f>
        <v/>
      </c>
      <c r="L1276">
        <f>IF(B1276,INDEX(Dow,1,WEEKDAY(E1276,2)),"")</f>
        <v/>
      </c>
      <c r="M1276">
        <f>IF(B1276,(1+Trend)^D1276,"")</f>
        <v/>
      </c>
      <c r="N1276">
        <f>IF(B1276,EXP(SUMPRODUCT(LN(1+(EvEff-1)*INDEX(Affected,0,C1276)*EXP(-((E1276-EvCenter)^2)/(2*EvSigma^2))))),"")</f>
        <v/>
      </c>
      <c r="O1276">
        <f>IF(B1276,ROUND(MAX(0,J1276*K1276*L1276*M1276*N1276),2),"")</f>
        <v/>
      </c>
    </row>
    <row r="1277">
      <c r="A1277" t="n">
        <v>1276</v>
      </c>
      <c r="B1277">
        <f>A1277&lt;=MineCount*Days</f>
        <v/>
      </c>
      <c r="C1277">
        <f>IF(B1277,INT((A1277-1)/Days)+1,"")</f>
        <v/>
      </c>
      <c r="D1277">
        <f>IF(B1277,MOD(A1277-1,Days),"")</f>
        <v/>
      </c>
      <c r="E1277" s="16">
        <f>IF(B1277,StartDate+D1277,"")</f>
        <v/>
      </c>
      <c r="F1277">
        <f>IF(B1277,MAX(MOD(SIN(Seed*0.1373+C1277*12.9898+D1277*78.233)*43758.5453,1),1E-9),"")</f>
        <v/>
      </c>
      <c r="G1277">
        <f>IF(B1277,MOD(SIN(Seed*0.5917+C1277*39.3468+D1277*11.135)*24634.6345,1),"")</f>
        <v/>
      </c>
      <c r="H1277">
        <f>IF(B1277,SQRT(-2*LN(F1277))*COS(2*PI()*G1277),"")</f>
        <v/>
      </c>
      <c r="I1277">
        <f>IF(B1277,IF(D1277=0,H1277,Rho*I1276+SQRT(1-Rho^2)*H1277),"")</f>
        <v/>
      </c>
      <c r="J1277">
        <f>IF(B1277,IF(Dist="Normal",DistA+DistB*I1277,DistA+(DistB-DistA)*NORMSDIST(I1277)),"")</f>
        <v/>
      </c>
      <c r="K1277">
        <f>IF(B1277,INDEX(MineScale,C1277),"")</f>
        <v/>
      </c>
      <c r="L1277">
        <f>IF(B1277,INDEX(Dow,1,WEEKDAY(E1277,2)),"")</f>
        <v/>
      </c>
      <c r="M1277">
        <f>IF(B1277,(1+Trend)^D1277,"")</f>
        <v/>
      </c>
      <c r="N1277">
        <f>IF(B1277,EXP(SUMPRODUCT(LN(1+(EvEff-1)*INDEX(Affected,0,C1277)*EXP(-((E1277-EvCenter)^2)/(2*EvSigma^2))))),"")</f>
        <v/>
      </c>
      <c r="O1277">
        <f>IF(B1277,ROUND(MAX(0,J1277*K1277*L1277*M1277*N1277),2),"")</f>
        <v/>
      </c>
    </row>
    <row r="1278">
      <c r="A1278" t="n">
        <v>1277</v>
      </c>
      <c r="B1278">
        <f>A1278&lt;=MineCount*Days</f>
        <v/>
      </c>
      <c r="C1278">
        <f>IF(B1278,INT((A1278-1)/Days)+1,"")</f>
        <v/>
      </c>
      <c r="D1278">
        <f>IF(B1278,MOD(A1278-1,Days),"")</f>
        <v/>
      </c>
      <c r="E1278" s="16">
        <f>IF(B1278,StartDate+D1278,"")</f>
        <v/>
      </c>
      <c r="F1278">
        <f>IF(B1278,MAX(MOD(SIN(Seed*0.1373+C1278*12.9898+D1278*78.233)*43758.5453,1),1E-9),"")</f>
        <v/>
      </c>
      <c r="G1278">
        <f>IF(B1278,MOD(SIN(Seed*0.5917+C1278*39.3468+D1278*11.135)*24634.6345,1),"")</f>
        <v/>
      </c>
      <c r="H1278">
        <f>IF(B1278,SQRT(-2*LN(F1278))*COS(2*PI()*G1278),"")</f>
        <v/>
      </c>
      <c r="I1278">
        <f>IF(B1278,IF(D1278=0,H1278,Rho*I1277+SQRT(1-Rho^2)*H1278),"")</f>
        <v/>
      </c>
      <c r="J1278">
        <f>IF(B1278,IF(Dist="Normal",DistA+DistB*I1278,DistA+(DistB-DistA)*NORMSDIST(I1278)),"")</f>
        <v/>
      </c>
      <c r="K1278">
        <f>IF(B1278,INDEX(MineScale,C1278),"")</f>
        <v/>
      </c>
      <c r="L1278">
        <f>IF(B1278,INDEX(Dow,1,WEEKDAY(E1278,2)),"")</f>
        <v/>
      </c>
      <c r="M1278">
        <f>IF(B1278,(1+Trend)^D1278,"")</f>
        <v/>
      </c>
      <c r="N1278">
        <f>IF(B1278,EXP(SUMPRODUCT(LN(1+(EvEff-1)*INDEX(Affected,0,C1278)*EXP(-((E1278-EvCenter)^2)/(2*EvSigma^2))))),"")</f>
        <v/>
      </c>
      <c r="O1278">
        <f>IF(B1278,ROUND(MAX(0,J1278*K1278*L1278*M1278*N1278),2),"")</f>
        <v/>
      </c>
    </row>
    <row r="1279">
      <c r="A1279" t="n">
        <v>1278</v>
      </c>
      <c r="B1279">
        <f>A1279&lt;=MineCount*Days</f>
        <v/>
      </c>
      <c r="C1279">
        <f>IF(B1279,INT((A1279-1)/Days)+1,"")</f>
        <v/>
      </c>
      <c r="D1279">
        <f>IF(B1279,MOD(A1279-1,Days),"")</f>
        <v/>
      </c>
      <c r="E1279" s="16">
        <f>IF(B1279,StartDate+D1279,"")</f>
        <v/>
      </c>
      <c r="F1279">
        <f>IF(B1279,MAX(MOD(SIN(Seed*0.1373+C1279*12.9898+D1279*78.233)*43758.5453,1),1E-9),"")</f>
        <v/>
      </c>
      <c r="G1279">
        <f>IF(B1279,MOD(SIN(Seed*0.5917+C1279*39.3468+D1279*11.135)*24634.6345,1),"")</f>
        <v/>
      </c>
      <c r="H1279">
        <f>IF(B1279,SQRT(-2*LN(F1279))*COS(2*PI()*G1279),"")</f>
        <v/>
      </c>
      <c r="I1279">
        <f>IF(B1279,IF(D1279=0,H1279,Rho*I1278+SQRT(1-Rho^2)*H1279),"")</f>
        <v/>
      </c>
      <c r="J1279">
        <f>IF(B1279,IF(Dist="Normal",DistA+DistB*I1279,DistA+(DistB-DistA)*NORMSDIST(I1279)),"")</f>
        <v/>
      </c>
      <c r="K1279">
        <f>IF(B1279,INDEX(MineScale,C1279),"")</f>
        <v/>
      </c>
      <c r="L1279">
        <f>IF(B1279,INDEX(Dow,1,WEEKDAY(E1279,2)),"")</f>
        <v/>
      </c>
      <c r="M1279">
        <f>IF(B1279,(1+Trend)^D1279,"")</f>
        <v/>
      </c>
      <c r="N1279">
        <f>IF(B1279,EXP(SUMPRODUCT(LN(1+(EvEff-1)*INDEX(Affected,0,C1279)*EXP(-((E1279-EvCenter)^2)/(2*EvSigma^2))))),"")</f>
        <v/>
      </c>
      <c r="O1279">
        <f>IF(B1279,ROUND(MAX(0,J1279*K1279*L1279*M1279*N1279),2),"")</f>
        <v/>
      </c>
    </row>
    <row r="1280">
      <c r="A1280" t="n">
        <v>1279</v>
      </c>
      <c r="B1280">
        <f>A1280&lt;=MineCount*Days</f>
        <v/>
      </c>
      <c r="C1280">
        <f>IF(B1280,INT((A1280-1)/Days)+1,"")</f>
        <v/>
      </c>
      <c r="D1280">
        <f>IF(B1280,MOD(A1280-1,Days),"")</f>
        <v/>
      </c>
      <c r="E1280" s="16">
        <f>IF(B1280,StartDate+D1280,"")</f>
        <v/>
      </c>
      <c r="F1280">
        <f>IF(B1280,MAX(MOD(SIN(Seed*0.1373+C1280*12.9898+D1280*78.233)*43758.5453,1),1E-9),"")</f>
        <v/>
      </c>
      <c r="G1280">
        <f>IF(B1280,MOD(SIN(Seed*0.5917+C1280*39.3468+D1280*11.135)*24634.6345,1),"")</f>
        <v/>
      </c>
      <c r="H1280">
        <f>IF(B1280,SQRT(-2*LN(F1280))*COS(2*PI()*G1280),"")</f>
        <v/>
      </c>
      <c r="I1280">
        <f>IF(B1280,IF(D1280=0,H1280,Rho*I1279+SQRT(1-Rho^2)*H1280),"")</f>
        <v/>
      </c>
      <c r="J1280">
        <f>IF(B1280,IF(Dist="Normal",DistA+DistB*I1280,DistA+(DistB-DistA)*NORMSDIST(I1280)),"")</f>
        <v/>
      </c>
      <c r="K1280">
        <f>IF(B1280,INDEX(MineScale,C1280),"")</f>
        <v/>
      </c>
      <c r="L1280">
        <f>IF(B1280,INDEX(Dow,1,WEEKDAY(E1280,2)),"")</f>
        <v/>
      </c>
      <c r="M1280">
        <f>IF(B1280,(1+Trend)^D1280,"")</f>
        <v/>
      </c>
      <c r="N1280">
        <f>IF(B1280,EXP(SUMPRODUCT(LN(1+(EvEff-1)*INDEX(Affected,0,C1280)*EXP(-((E1280-EvCenter)^2)/(2*EvSigma^2))))),"")</f>
        <v/>
      </c>
      <c r="O1280">
        <f>IF(B1280,ROUND(MAX(0,J1280*K1280*L1280*M1280*N1280),2),"")</f>
        <v/>
      </c>
    </row>
    <row r="1281">
      <c r="A1281" t="n">
        <v>1280</v>
      </c>
      <c r="B1281">
        <f>A1281&lt;=MineCount*Days</f>
        <v/>
      </c>
      <c r="C1281">
        <f>IF(B1281,INT((A1281-1)/Days)+1,"")</f>
        <v/>
      </c>
      <c r="D1281">
        <f>IF(B1281,MOD(A1281-1,Days),"")</f>
        <v/>
      </c>
      <c r="E1281" s="16">
        <f>IF(B1281,StartDate+D1281,"")</f>
        <v/>
      </c>
      <c r="F1281">
        <f>IF(B1281,MAX(MOD(SIN(Seed*0.1373+C1281*12.9898+D1281*78.233)*43758.5453,1),1E-9),"")</f>
        <v/>
      </c>
      <c r="G1281">
        <f>IF(B1281,MOD(SIN(Seed*0.5917+C1281*39.3468+D1281*11.135)*24634.6345,1),"")</f>
        <v/>
      </c>
      <c r="H1281">
        <f>IF(B1281,SQRT(-2*LN(F1281))*COS(2*PI()*G1281),"")</f>
        <v/>
      </c>
      <c r="I1281">
        <f>IF(B1281,IF(D1281=0,H1281,Rho*I1280+SQRT(1-Rho^2)*H1281),"")</f>
        <v/>
      </c>
      <c r="J1281">
        <f>IF(B1281,IF(Dist="Normal",DistA+DistB*I1281,DistA+(DistB-DistA)*NORMSDIST(I1281)),"")</f>
        <v/>
      </c>
      <c r="K1281">
        <f>IF(B1281,INDEX(MineScale,C1281),"")</f>
        <v/>
      </c>
      <c r="L1281">
        <f>IF(B1281,INDEX(Dow,1,WEEKDAY(E1281,2)),"")</f>
        <v/>
      </c>
      <c r="M1281">
        <f>IF(B1281,(1+Trend)^D1281,"")</f>
        <v/>
      </c>
      <c r="N1281">
        <f>IF(B1281,EXP(SUMPRODUCT(LN(1+(EvEff-1)*INDEX(Affected,0,C1281)*EXP(-((E1281-EvCenter)^2)/(2*EvSigma^2))))),"")</f>
        <v/>
      </c>
      <c r="O1281">
        <f>IF(B1281,ROUND(MAX(0,J1281*K1281*L1281*M1281*N1281),2),"")</f>
        <v/>
      </c>
    </row>
    <row r="1282">
      <c r="A1282" t="n">
        <v>1281</v>
      </c>
      <c r="B1282">
        <f>A1282&lt;=MineCount*Days</f>
        <v/>
      </c>
      <c r="C1282">
        <f>IF(B1282,INT((A1282-1)/Days)+1,"")</f>
        <v/>
      </c>
      <c r="D1282">
        <f>IF(B1282,MOD(A1282-1,Days),"")</f>
        <v/>
      </c>
      <c r="E1282" s="16">
        <f>IF(B1282,StartDate+D1282,"")</f>
        <v/>
      </c>
      <c r="F1282">
        <f>IF(B1282,MAX(MOD(SIN(Seed*0.1373+C1282*12.9898+D1282*78.233)*43758.5453,1),1E-9),"")</f>
        <v/>
      </c>
      <c r="G1282">
        <f>IF(B1282,MOD(SIN(Seed*0.5917+C1282*39.3468+D1282*11.135)*24634.6345,1),"")</f>
        <v/>
      </c>
      <c r="H1282">
        <f>IF(B1282,SQRT(-2*LN(F1282))*COS(2*PI()*G1282),"")</f>
        <v/>
      </c>
      <c r="I1282">
        <f>IF(B1282,IF(D1282=0,H1282,Rho*I1281+SQRT(1-Rho^2)*H1282),"")</f>
        <v/>
      </c>
      <c r="J1282">
        <f>IF(B1282,IF(Dist="Normal",DistA+DistB*I1282,DistA+(DistB-DistA)*NORMSDIST(I1282)),"")</f>
        <v/>
      </c>
      <c r="K1282">
        <f>IF(B1282,INDEX(MineScale,C1282),"")</f>
        <v/>
      </c>
      <c r="L1282">
        <f>IF(B1282,INDEX(Dow,1,WEEKDAY(E1282,2)),"")</f>
        <v/>
      </c>
      <c r="M1282">
        <f>IF(B1282,(1+Trend)^D1282,"")</f>
        <v/>
      </c>
      <c r="N1282">
        <f>IF(B1282,EXP(SUMPRODUCT(LN(1+(EvEff-1)*INDEX(Affected,0,C1282)*EXP(-((E1282-EvCenter)^2)/(2*EvSigma^2))))),"")</f>
        <v/>
      </c>
      <c r="O1282">
        <f>IF(B1282,ROUND(MAX(0,J1282*K1282*L1282*M1282*N1282),2),"")</f>
        <v/>
      </c>
    </row>
    <row r="1283">
      <c r="A1283" t="n">
        <v>1282</v>
      </c>
      <c r="B1283">
        <f>A1283&lt;=MineCount*Days</f>
        <v/>
      </c>
      <c r="C1283">
        <f>IF(B1283,INT((A1283-1)/Days)+1,"")</f>
        <v/>
      </c>
      <c r="D1283">
        <f>IF(B1283,MOD(A1283-1,Days),"")</f>
        <v/>
      </c>
      <c r="E1283" s="16">
        <f>IF(B1283,StartDate+D1283,"")</f>
        <v/>
      </c>
      <c r="F1283">
        <f>IF(B1283,MAX(MOD(SIN(Seed*0.1373+C1283*12.9898+D1283*78.233)*43758.5453,1),1E-9),"")</f>
        <v/>
      </c>
      <c r="G1283">
        <f>IF(B1283,MOD(SIN(Seed*0.5917+C1283*39.3468+D1283*11.135)*24634.6345,1),"")</f>
        <v/>
      </c>
      <c r="H1283">
        <f>IF(B1283,SQRT(-2*LN(F1283))*COS(2*PI()*G1283),"")</f>
        <v/>
      </c>
      <c r="I1283">
        <f>IF(B1283,IF(D1283=0,H1283,Rho*I1282+SQRT(1-Rho^2)*H1283),"")</f>
        <v/>
      </c>
      <c r="J1283">
        <f>IF(B1283,IF(Dist="Normal",DistA+DistB*I1283,DistA+(DistB-DistA)*NORMSDIST(I1283)),"")</f>
        <v/>
      </c>
      <c r="K1283">
        <f>IF(B1283,INDEX(MineScale,C1283),"")</f>
        <v/>
      </c>
      <c r="L1283">
        <f>IF(B1283,INDEX(Dow,1,WEEKDAY(E1283,2)),"")</f>
        <v/>
      </c>
      <c r="M1283">
        <f>IF(B1283,(1+Trend)^D1283,"")</f>
        <v/>
      </c>
      <c r="N1283">
        <f>IF(B1283,EXP(SUMPRODUCT(LN(1+(EvEff-1)*INDEX(Affected,0,C1283)*EXP(-((E1283-EvCenter)^2)/(2*EvSigma^2))))),"")</f>
        <v/>
      </c>
      <c r="O1283">
        <f>IF(B1283,ROUND(MAX(0,J1283*K1283*L1283*M1283*N1283),2),"")</f>
        <v/>
      </c>
    </row>
    <row r="1284">
      <c r="A1284" t="n">
        <v>1283</v>
      </c>
      <c r="B1284">
        <f>A1284&lt;=MineCount*Days</f>
        <v/>
      </c>
      <c r="C1284">
        <f>IF(B1284,INT((A1284-1)/Days)+1,"")</f>
        <v/>
      </c>
      <c r="D1284">
        <f>IF(B1284,MOD(A1284-1,Days),"")</f>
        <v/>
      </c>
      <c r="E1284" s="16">
        <f>IF(B1284,StartDate+D1284,"")</f>
        <v/>
      </c>
      <c r="F1284">
        <f>IF(B1284,MAX(MOD(SIN(Seed*0.1373+C1284*12.9898+D1284*78.233)*43758.5453,1),1E-9),"")</f>
        <v/>
      </c>
      <c r="G1284">
        <f>IF(B1284,MOD(SIN(Seed*0.5917+C1284*39.3468+D1284*11.135)*24634.6345,1),"")</f>
        <v/>
      </c>
      <c r="H1284">
        <f>IF(B1284,SQRT(-2*LN(F1284))*COS(2*PI()*G1284),"")</f>
        <v/>
      </c>
      <c r="I1284">
        <f>IF(B1284,IF(D1284=0,H1284,Rho*I1283+SQRT(1-Rho^2)*H1284),"")</f>
        <v/>
      </c>
      <c r="J1284">
        <f>IF(B1284,IF(Dist="Normal",DistA+DistB*I1284,DistA+(DistB-DistA)*NORMSDIST(I1284)),"")</f>
        <v/>
      </c>
      <c r="K1284">
        <f>IF(B1284,INDEX(MineScale,C1284),"")</f>
        <v/>
      </c>
      <c r="L1284">
        <f>IF(B1284,INDEX(Dow,1,WEEKDAY(E1284,2)),"")</f>
        <v/>
      </c>
      <c r="M1284">
        <f>IF(B1284,(1+Trend)^D1284,"")</f>
        <v/>
      </c>
      <c r="N1284">
        <f>IF(B1284,EXP(SUMPRODUCT(LN(1+(EvEff-1)*INDEX(Affected,0,C1284)*EXP(-((E1284-EvCenter)^2)/(2*EvSigma^2))))),"")</f>
        <v/>
      </c>
      <c r="O1284">
        <f>IF(B1284,ROUND(MAX(0,J1284*K1284*L1284*M1284*N1284),2),"")</f>
        <v/>
      </c>
    </row>
    <row r="1285">
      <c r="A1285" t="n">
        <v>1284</v>
      </c>
      <c r="B1285">
        <f>A1285&lt;=MineCount*Days</f>
        <v/>
      </c>
      <c r="C1285">
        <f>IF(B1285,INT((A1285-1)/Days)+1,"")</f>
        <v/>
      </c>
      <c r="D1285">
        <f>IF(B1285,MOD(A1285-1,Days),"")</f>
        <v/>
      </c>
      <c r="E1285" s="16">
        <f>IF(B1285,StartDate+D1285,"")</f>
        <v/>
      </c>
      <c r="F1285">
        <f>IF(B1285,MAX(MOD(SIN(Seed*0.1373+C1285*12.9898+D1285*78.233)*43758.5453,1),1E-9),"")</f>
        <v/>
      </c>
      <c r="G1285">
        <f>IF(B1285,MOD(SIN(Seed*0.5917+C1285*39.3468+D1285*11.135)*24634.6345,1),"")</f>
        <v/>
      </c>
      <c r="H1285">
        <f>IF(B1285,SQRT(-2*LN(F1285))*COS(2*PI()*G1285),"")</f>
        <v/>
      </c>
      <c r="I1285">
        <f>IF(B1285,IF(D1285=0,H1285,Rho*I1284+SQRT(1-Rho^2)*H1285),"")</f>
        <v/>
      </c>
      <c r="J1285">
        <f>IF(B1285,IF(Dist="Normal",DistA+DistB*I1285,DistA+(DistB-DistA)*NORMSDIST(I1285)),"")</f>
        <v/>
      </c>
      <c r="K1285">
        <f>IF(B1285,INDEX(MineScale,C1285),"")</f>
        <v/>
      </c>
      <c r="L1285">
        <f>IF(B1285,INDEX(Dow,1,WEEKDAY(E1285,2)),"")</f>
        <v/>
      </c>
      <c r="M1285">
        <f>IF(B1285,(1+Trend)^D1285,"")</f>
        <v/>
      </c>
      <c r="N1285">
        <f>IF(B1285,EXP(SUMPRODUCT(LN(1+(EvEff-1)*INDEX(Affected,0,C1285)*EXP(-((E1285-EvCenter)^2)/(2*EvSigma^2))))),"")</f>
        <v/>
      </c>
      <c r="O1285">
        <f>IF(B1285,ROUND(MAX(0,J1285*K1285*L1285*M1285*N1285),2),"")</f>
        <v/>
      </c>
    </row>
    <row r="1286">
      <c r="A1286" t="n">
        <v>1285</v>
      </c>
      <c r="B1286">
        <f>A1286&lt;=MineCount*Days</f>
        <v/>
      </c>
      <c r="C1286">
        <f>IF(B1286,INT((A1286-1)/Days)+1,"")</f>
        <v/>
      </c>
      <c r="D1286">
        <f>IF(B1286,MOD(A1286-1,Days),"")</f>
        <v/>
      </c>
      <c r="E1286" s="16">
        <f>IF(B1286,StartDate+D1286,"")</f>
        <v/>
      </c>
      <c r="F1286">
        <f>IF(B1286,MAX(MOD(SIN(Seed*0.1373+C1286*12.9898+D1286*78.233)*43758.5453,1),1E-9),"")</f>
        <v/>
      </c>
      <c r="G1286">
        <f>IF(B1286,MOD(SIN(Seed*0.5917+C1286*39.3468+D1286*11.135)*24634.6345,1),"")</f>
        <v/>
      </c>
      <c r="H1286">
        <f>IF(B1286,SQRT(-2*LN(F1286))*COS(2*PI()*G1286),"")</f>
        <v/>
      </c>
      <c r="I1286">
        <f>IF(B1286,IF(D1286=0,H1286,Rho*I1285+SQRT(1-Rho^2)*H1286),"")</f>
        <v/>
      </c>
      <c r="J1286">
        <f>IF(B1286,IF(Dist="Normal",DistA+DistB*I1286,DistA+(DistB-DistA)*NORMSDIST(I1286)),"")</f>
        <v/>
      </c>
      <c r="K1286">
        <f>IF(B1286,INDEX(MineScale,C1286),"")</f>
        <v/>
      </c>
      <c r="L1286">
        <f>IF(B1286,INDEX(Dow,1,WEEKDAY(E1286,2)),"")</f>
        <v/>
      </c>
      <c r="M1286">
        <f>IF(B1286,(1+Trend)^D1286,"")</f>
        <v/>
      </c>
      <c r="N1286">
        <f>IF(B1286,EXP(SUMPRODUCT(LN(1+(EvEff-1)*INDEX(Affected,0,C1286)*EXP(-((E1286-EvCenter)^2)/(2*EvSigma^2))))),"")</f>
        <v/>
      </c>
      <c r="O1286">
        <f>IF(B1286,ROUND(MAX(0,J1286*K1286*L1286*M1286*N1286),2),"")</f>
        <v/>
      </c>
    </row>
    <row r="1287">
      <c r="A1287" t="n">
        <v>1286</v>
      </c>
      <c r="B1287">
        <f>A1287&lt;=MineCount*Days</f>
        <v/>
      </c>
      <c r="C1287">
        <f>IF(B1287,INT((A1287-1)/Days)+1,"")</f>
        <v/>
      </c>
      <c r="D1287">
        <f>IF(B1287,MOD(A1287-1,Days),"")</f>
        <v/>
      </c>
      <c r="E1287" s="16">
        <f>IF(B1287,StartDate+D1287,"")</f>
        <v/>
      </c>
      <c r="F1287">
        <f>IF(B1287,MAX(MOD(SIN(Seed*0.1373+C1287*12.9898+D1287*78.233)*43758.5453,1),1E-9),"")</f>
        <v/>
      </c>
      <c r="G1287">
        <f>IF(B1287,MOD(SIN(Seed*0.5917+C1287*39.3468+D1287*11.135)*24634.6345,1),"")</f>
        <v/>
      </c>
      <c r="H1287">
        <f>IF(B1287,SQRT(-2*LN(F1287))*COS(2*PI()*G1287),"")</f>
        <v/>
      </c>
      <c r="I1287">
        <f>IF(B1287,IF(D1287=0,H1287,Rho*I1286+SQRT(1-Rho^2)*H1287),"")</f>
        <v/>
      </c>
      <c r="J1287">
        <f>IF(B1287,IF(Dist="Normal",DistA+DistB*I1287,DistA+(DistB-DistA)*NORMSDIST(I1287)),"")</f>
        <v/>
      </c>
      <c r="K1287">
        <f>IF(B1287,INDEX(MineScale,C1287),"")</f>
        <v/>
      </c>
      <c r="L1287">
        <f>IF(B1287,INDEX(Dow,1,WEEKDAY(E1287,2)),"")</f>
        <v/>
      </c>
      <c r="M1287">
        <f>IF(B1287,(1+Trend)^D1287,"")</f>
        <v/>
      </c>
      <c r="N1287">
        <f>IF(B1287,EXP(SUMPRODUCT(LN(1+(EvEff-1)*INDEX(Affected,0,C1287)*EXP(-((E1287-EvCenter)^2)/(2*EvSigma^2))))),"")</f>
        <v/>
      </c>
      <c r="O1287">
        <f>IF(B1287,ROUND(MAX(0,J1287*K1287*L1287*M1287*N1287),2),"")</f>
        <v/>
      </c>
    </row>
    <row r="1288">
      <c r="A1288" t="n">
        <v>1287</v>
      </c>
      <c r="B1288">
        <f>A1288&lt;=MineCount*Days</f>
        <v/>
      </c>
      <c r="C1288">
        <f>IF(B1288,INT((A1288-1)/Days)+1,"")</f>
        <v/>
      </c>
      <c r="D1288">
        <f>IF(B1288,MOD(A1288-1,Days),"")</f>
        <v/>
      </c>
      <c r="E1288" s="16">
        <f>IF(B1288,StartDate+D1288,"")</f>
        <v/>
      </c>
      <c r="F1288">
        <f>IF(B1288,MAX(MOD(SIN(Seed*0.1373+C1288*12.9898+D1288*78.233)*43758.5453,1),1E-9),"")</f>
        <v/>
      </c>
      <c r="G1288">
        <f>IF(B1288,MOD(SIN(Seed*0.5917+C1288*39.3468+D1288*11.135)*24634.6345,1),"")</f>
        <v/>
      </c>
      <c r="H1288">
        <f>IF(B1288,SQRT(-2*LN(F1288))*COS(2*PI()*G1288),"")</f>
        <v/>
      </c>
      <c r="I1288">
        <f>IF(B1288,IF(D1288=0,H1288,Rho*I1287+SQRT(1-Rho^2)*H1288),"")</f>
        <v/>
      </c>
      <c r="J1288">
        <f>IF(B1288,IF(Dist="Normal",DistA+DistB*I1288,DistA+(DistB-DistA)*NORMSDIST(I1288)),"")</f>
        <v/>
      </c>
      <c r="K1288">
        <f>IF(B1288,INDEX(MineScale,C1288),"")</f>
        <v/>
      </c>
      <c r="L1288">
        <f>IF(B1288,INDEX(Dow,1,WEEKDAY(E1288,2)),"")</f>
        <v/>
      </c>
      <c r="M1288">
        <f>IF(B1288,(1+Trend)^D1288,"")</f>
        <v/>
      </c>
      <c r="N1288">
        <f>IF(B1288,EXP(SUMPRODUCT(LN(1+(EvEff-1)*INDEX(Affected,0,C1288)*EXP(-((E1288-EvCenter)^2)/(2*EvSigma^2))))),"")</f>
        <v/>
      </c>
      <c r="O1288">
        <f>IF(B1288,ROUND(MAX(0,J1288*K1288*L1288*M1288*N1288),2),"")</f>
        <v/>
      </c>
    </row>
    <row r="1289">
      <c r="A1289" t="n">
        <v>1288</v>
      </c>
      <c r="B1289">
        <f>A1289&lt;=MineCount*Days</f>
        <v/>
      </c>
      <c r="C1289">
        <f>IF(B1289,INT((A1289-1)/Days)+1,"")</f>
        <v/>
      </c>
      <c r="D1289">
        <f>IF(B1289,MOD(A1289-1,Days),"")</f>
        <v/>
      </c>
      <c r="E1289" s="16">
        <f>IF(B1289,StartDate+D1289,"")</f>
        <v/>
      </c>
      <c r="F1289">
        <f>IF(B1289,MAX(MOD(SIN(Seed*0.1373+C1289*12.9898+D1289*78.233)*43758.5453,1),1E-9),"")</f>
        <v/>
      </c>
      <c r="G1289">
        <f>IF(B1289,MOD(SIN(Seed*0.5917+C1289*39.3468+D1289*11.135)*24634.6345,1),"")</f>
        <v/>
      </c>
      <c r="H1289">
        <f>IF(B1289,SQRT(-2*LN(F1289))*COS(2*PI()*G1289),"")</f>
        <v/>
      </c>
      <c r="I1289">
        <f>IF(B1289,IF(D1289=0,H1289,Rho*I1288+SQRT(1-Rho^2)*H1289),"")</f>
        <v/>
      </c>
      <c r="J1289">
        <f>IF(B1289,IF(Dist="Normal",DistA+DistB*I1289,DistA+(DistB-DistA)*NORMSDIST(I1289)),"")</f>
        <v/>
      </c>
      <c r="K1289">
        <f>IF(B1289,INDEX(MineScale,C1289),"")</f>
        <v/>
      </c>
      <c r="L1289">
        <f>IF(B1289,INDEX(Dow,1,WEEKDAY(E1289,2)),"")</f>
        <v/>
      </c>
      <c r="M1289">
        <f>IF(B1289,(1+Trend)^D1289,"")</f>
        <v/>
      </c>
      <c r="N1289">
        <f>IF(B1289,EXP(SUMPRODUCT(LN(1+(EvEff-1)*INDEX(Affected,0,C1289)*EXP(-((E1289-EvCenter)^2)/(2*EvSigma^2))))),"")</f>
        <v/>
      </c>
      <c r="O1289">
        <f>IF(B1289,ROUND(MAX(0,J1289*K1289*L1289*M1289*N1289),2),"")</f>
        <v/>
      </c>
    </row>
    <row r="1290">
      <c r="A1290" t="n">
        <v>1289</v>
      </c>
      <c r="B1290">
        <f>A1290&lt;=MineCount*Days</f>
        <v/>
      </c>
      <c r="C1290">
        <f>IF(B1290,INT((A1290-1)/Days)+1,"")</f>
        <v/>
      </c>
      <c r="D1290">
        <f>IF(B1290,MOD(A1290-1,Days),"")</f>
        <v/>
      </c>
      <c r="E1290" s="16">
        <f>IF(B1290,StartDate+D1290,"")</f>
        <v/>
      </c>
      <c r="F1290">
        <f>IF(B1290,MAX(MOD(SIN(Seed*0.1373+C1290*12.9898+D1290*78.233)*43758.5453,1),1E-9),"")</f>
        <v/>
      </c>
      <c r="G1290">
        <f>IF(B1290,MOD(SIN(Seed*0.5917+C1290*39.3468+D1290*11.135)*24634.6345,1),"")</f>
        <v/>
      </c>
      <c r="H1290">
        <f>IF(B1290,SQRT(-2*LN(F1290))*COS(2*PI()*G1290),"")</f>
        <v/>
      </c>
      <c r="I1290">
        <f>IF(B1290,IF(D1290=0,H1290,Rho*I1289+SQRT(1-Rho^2)*H1290),"")</f>
        <v/>
      </c>
      <c r="J1290">
        <f>IF(B1290,IF(Dist="Normal",DistA+DistB*I1290,DistA+(DistB-DistA)*NORMSDIST(I1290)),"")</f>
        <v/>
      </c>
      <c r="K1290">
        <f>IF(B1290,INDEX(MineScale,C1290),"")</f>
        <v/>
      </c>
      <c r="L1290">
        <f>IF(B1290,INDEX(Dow,1,WEEKDAY(E1290,2)),"")</f>
        <v/>
      </c>
      <c r="M1290">
        <f>IF(B1290,(1+Trend)^D1290,"")</f>
        <v/>
      </c>
      <c r="N1290">
        <f>IF(B1290,EXP(SUMPRODUCT(LN(1+(EvEff-1)*INDEX(Affected,0,C1290)*EXP(-((E1290-EvCenter)^2)/(2*EvSigma^2))))),"")</f>
        <v/>
      </c>
      <c r="O1290">
        <f>IF(B1290,ROUND(MAX(0,J1290*K1290*L1290*M1290*N1290),2),"")</f>
        <v/>
      </c>
    </row>
    <row r="1291">
      <c r="A1291" t="n">
        <v>1290</v>
      </c>
      <c r="B1291">
        <f>A1291&lt;=MineCount*Days</f>
        <v/>
      </c>
      <c r="C1291">
        <f>IF(B1291,INT((A1291-1)/Days)+1,"")</f>
        <v/>
      </c>
      <c r="D1291">
        <f>IF(B1291,MOD(A1291-1,Days),"")</f>
        <v/>
      </c>
      <c r="E1291" s="16">
        <f>IF(B1291,StartDate+D1291,"")</f>
        <v/>
      </c>
      <c r="F1291">
        <f>IF(B1291,MAX(MOD(SIN(Seed*0.1373+C1291*12.9898+D1291*78.233)*43758.5453,1),1E-9),"")</f>
        <v/>
      </c>
      <c r="G1291">
        <f>IF(B1291,MOD(SIN(Seed*0.5917+C1291*39.3468+D1291*11.135)*24634.6345,1),"")</f>
        <v/>
      </c>
      <c r="H1291">
        <f>IF(B1291,SQRT(-2*LN(F1291))*COS(2*PI()*G1291),"")</f>
        <v/>
      </c>
      <c r="I1291">
        <f>IF(B1291,IF(D1291=0,H1291,Rho*I1290+SQRT(1-Rho^2)*H1291),"")</f>
        <v/>
      </c>
      <c r="J1291">
        <f>IF(B1291,IF(Dist="Normal",DistA+DistB*I1291,DistA+(DistB-DistA)*NORMSDIST(I1291)),"")</f>
        <v/>
      </c>
      <c r="K1291">
        <f>IF(B1291,INDEX(MineScale,C1291),"")</f>
        <v/>
      </c>
      <c r="L1291">
        <f>IF(B1291,INDEX(Dow,1,WEEKDAY(E1291,2)),"")</f>
        <v/>
      </c>
      <c r="M1291">
        <f>IF(B1291,(1+Trend)^D1291,"")</f>
        <v/>
      </c>
      <c r="N1291">
        <f>IF(B1291,EXP(SUMPRODUCT(LN(1+(EvEff-1)*INDEX(Affected,0,C1291)*EXP(-((E1291-EvCenter)^2)/(2*EvSigma^2))))),"")</f>
        <v/>
      </c>
      <c r="O1291">
        <f>IF(B1291,ROUND(MAX(0,J1291*K1291*L1291*M1291*N1291),2),"")</f>
        <v/>
      </c>
    </row>
    <row r="1292">
      <c r="A1292" t="n">
        <v>1291</v>
      </c>
      <c r="B1292">
        <f>A1292&lt;=MineCount*Days</f>
        <v/>
      </c>
      <c r="C1292">
        <f>IF(B1292,INT((A1292-1)/Days)+1,"")</f>
        <v/>
      </c>
      <c r="D1292">
        <f>IF(B1292,MOD(A1292-1,Days),"")</f>
        <v/>
      </c>
      <c r="E1292" s="16">
        <f>IF(B1292,StartDate+D1292,"")</f>
        <v/>
      </c>
      <c r="F1292">
        <f>IF(B1292,MAX(MOD(SIN(Seed*0.1373+C1292*12.9898+D1292*78.233)*43758.5453,1),1E-9),"")</f>
        <v/>
      </c>
      <c r="G1292">
        <f>IF(B1292,MOD(SIN(Seed*0.5917+C1292*39.3468+D1292*11.135)*24634.6345,1),"")</f>
        <v/>
      </c>
      <c r="H1292">
        <f>IF(B1292,SQRT(-2*LN(F1292))*COS(2*PI()*G1292),"")</f>
        <v/>
      </c>
      <c r="I1292">
        <f>IF(B1292,IF(D1292=0,H1292,Rho*I1291+SQRT(1-Rho^2)*H1292),"")</f>
        <v/>
      </c>
      <c r="J1292">
        <f>IF(B1292,IF(Dist="Normal",DistA+DistB*I1292,DistA+(DistB-DistA)*NORMSDIST(I1292)),"")</f>
        <v/>
      </c>
      <c r="K1292">
        <f>IF(B1292,INDEX(MineScale,C1292),"")</f>
        <v/>
      </c>
      <c r="L1292">
        <f>IF(B1292,INDEX(Dow,1,WEEKDAY(E1292,2)),"")</f>
        <v/>
      </c>
      <c r="M1292">
        <f>IF(B1292,(1+Trend)^D1292,"")</f>
        <v/>
      </c>
      <c r="N1292">
        <f>IF(B1292,EXP(SUMPRODUCT(LN(1+(EvEff-1)*INDEX(Affected,0,C1292)*EXP(-((E1292-EvCenter)^2)/(2*EvSigma^2))))),"")</f>
        <v/>
      </c>
      <c r="O1292">
        <f>IF(B1292,ROUND(MAX(0,J1292*K1292*L1292*M1292*N1292),2),"")</f>
        <v/>
      </c>
    </row>
    <row r="1293">
      <c r="A1293" t="n">
        <v>1292</v>
      </c>
      <c r="B1293">
        <f>A1293&lt;=MineCount*Days</f>
        <v/>
      </c>
      <c r="C1293">
        <f>IF(B1293,INT((A1293-1)/Days)+1,"")</f>
        <v/>
      </c>
      <c r="D1293">
        <f>IF(B1293,MOD(A1293-1,Days),"")</f>
        <v/>
      </c>
      <c r="E1293" s="16">
        <f>IF(B1293,StartDate+D1293,"")</f>
        <v/>
      </c>
      <c r="F1293">
        <f>IF(B1293,MAX(MOD(SIN(Seed*0.1373+C1293*12.9898+D1293*78.233)*43758.5453,1),1E-9),"")</f>
        <v/>
      </c>
      <c r="G1293">
        <f>IF(B1293,MOD(SIN(Seed*0.5917+C1293*39.3468+D1293*11.135)*24634.6345,1),"")</f>
        <v/>
      </c>
      <c r="H1293">
        <f>IF(B1293,SQRT(-2*LN(F1293))*COS(2*PI()*G1293),"")</f>
        <v/>
      </c>
      <c r="I1293">
        <f>IF(B1293,IF(D1293=0,H1293,Rho*I1292+SQRT(1-Rho^2)*H1293),"")</f>
        <v/>
      </c>
      <c r="J1293">
        <f>IF(B1293,IF(Dist="Normal",DistA+DistB*I1293,DistA+(DistB-DistA)*NORMSDIST(I1293)),"")</f>
        <v/>
      </c>
      <c r="K1293">
        <f>IF(B1293,INDEX(MineScale,C1293),"")</f>
        <v/>
      </c>
      <c r="L1293">
        <f>IF(B1293,INDEX(Dow,1,WEEKDAY(E1293,2)),"")</f>
        <v/>
      </c>
      <c r="M1293">
        <f>IF(B1293,(1+Trend)^D1293,"")</f>
        <v/>
      </c>
      <c r="N1293">
        <f>IF(B1293,EXP(SUMPRODUCT(LN(1+(EvEff-1)*INDEX(Affected,0,C1293)*EXP(-((E1293-EvCenter)^2)/(2*EvSigma^2))))),"")</f>
        <v/>
      </c>
      <c r="O1293">
        <f>IF(B1293,ROUND(MAX(0,J1293*K1293*L1293*M1293*N1293),2),"")</f>
        <v/>
      </c>
    </row>
    <row r="1294">
      <c r="A1294" t="n">
        <v>1293</v>
      </c>
      <c r="B1294">
        <f>A1294&lt;=MineCount*Days</f>
        <v/>
      </c>
      <c r="C1294">
        <f>IF(B1294,INT((A1294-1)/Days)+1,"")</f>
        <v/>
      </c>
      <c r="D1294">
        <f>IF(B1294,MOD(A1294-1,Days),"")</f>
        <v/>
      </c>
      <c r="E1294" s="16">
        <f>IF(B1294,StartDate+D1294,"")</f>
        <v/>
      </c>
      <c r="F1294">
        <f>IF(B1294,MAX(MOD(SIN(Seed*0.1373+C1294*12.9898+D1294*78.233)*43758.5453,1),1E-9),"")</f>
        <v/>
      </c>
      <c r="G1294">
        <f>IF(B1294,MOD(SIN(Seed*0.5917+C1294*39.3468+D1294*11.135)*24634.6345,1),"")</f>
        <v/>
      </c>
      <c r="H1294">
        <f>IF(B1294,SQRT(-2*LN(F1294))*COS(2*PI()*G1294),"")</f>
        <v/>
      </c>
      <c r="I1294">
        <f>IF(B1294,IF(D1294=0,H1294,Rho*I1293+SQRT(1-Rho^2)*H1294),"")</f>
        <v/>
      </c>
      <c r="J1294">
        <f>IF(B1294,IF(Dist="Normal",DistA+DistB*I1294,DistA+(DistB-DistA)*NORMSDIST(I1294)),"")</f>
        <v/>
      </c>
      <c r="K1294">
        <f>IF(B1294,INDEX(MineScale,C1294),"")</f>
        <v/>
      </c>
      <c r="L1294">
        <f>IF(B1294,INDEX(Dow,1,WEEKDAY(E1294,2)),"")</f>
        <v/>
      </c>
      <c r="M1294">
        <f>IF(B1294,(1+Trend)^D1294,"")</f>
        <v/>
      </c>
      <c r="N1294">
        <f>IF(B1294,EXP(SUMPRODUCT(LN(1+(EvEff-1)*INDEX(Affected,0,C1294)*EXP(-((E1294-EvCenter)^2)/(2*EvSigma^2))))),"")</f>
        <v/>
      </c>
      <c r="O1294">
        <f>IF(B1294,ROUND(MAX(0,J1294*K1294*L1294*M1294*N1294),2),"")</f>
        <v/>
      </c>
    </row>
    <row r="1295">
      <c r="A1295" t="n">
        <v>1294</v>
      </c>
      <c r="B1295">
        <f>A1295&lt;=MineCount*Days</f>
        <v/>
      </c>
      <c r="C1295">
        <f>IF(B1295,INT((A1295-1)/Days)+1,"")</f>
        <v/>
      </c>
      <c r="D1295">
        <f>IF(B1295,MOD(A1295-1,Days),"")</f>
        <v/>
      </c>
      <c r="E1295" s="16">
        <f>IF(B1295,StartDate+D1295,"")</f>
        <v/>
      </c>
      <c r="F1295">
        <f>IF(B1295,MAX(MOD(SIN(Seed*0.1373+C1295*12.9898+D1295*78.233)*43758.5453,1),1E-9),"")</f>
        <v/>
      </c>
      <c r="G1295">
        <f>IF(B1295,MOD(SIN(Seed*0.5917+C1295*39.3468+D1295*11.135)*24634.6345,1),"")</f>
        <v/>
      </c>
      <c r="H1295">
        <f>IF(B1295,SQRT(-2*LN(F1295))*COS(2*PI()*G1295),"")</f>
        <v/>
      </c>
      <c r="I1295">
        <f>IF(B1295,IF(D1295=0,H1295,Rho*I1294+SQRT(1-Rho^2)*H1295),"")</f>
        <v/>
      </c>
      <c r="J1295">
        <f>IF(B1295,IF(Dist="Normal",DistA+DistB*I1295,DistA+(DistB-DistA)*NORMSDIST(I1295)),"")</f>
        <v/>
      </c>
      <c r="K1295">
        <f>IF(B1295,INDEX(MineScale,C1295),"")</f>
        <v/>
      </c>
      <c r="L1295">
        <f>IF(B1295,INDEX(Dow,1,WEEKDAY(E1295,2)),"")</f>
        <v/>
      </c>
      <c r="M1295">
        <f>IF(B1295,(1+Trend)^D1295,"")</f>
        <v/>
      </c>
      <c r="N1295">
        <f>IF(B1295,EXP(SUMPRODUCT(LN(1+(EvEff-1)*INDEX(Affected,0,C1295)*EXP(-((E1295-EvCenter)^2)/(2*EvSigma^2))))),"")</f>
        <v/>
      </c>
      <c r="O1295">
        <f>IF(B1295,ROUND(MAX(0,J1295*K1295*L1295*M1295*N1295),2),"")</f>
        <v/>
      </c>
    </row>
    <row r="1296">
      <c r="A1296" t="n">
        <v>1295</v>
      </c>
      <c r="B1296">
        <f>A1296&lt;=MineCount*Days</f>
        <v/>
      </c>
      <c r="C1296">
        <f>IF(B1296,INT((A1296-1)/Days)+1,"")</f>
        <v/>
      </c>
      <c r="D1296">
        <f>IF(B1296,MOD(A1296-1,Days),"")</f>
        <v/>
      </c>
      <c r="E1296" s="16">
        <f>IF(B1296,StartDate+D1296,"")</f>
        <v/>
      </c>
      <c r="F1296">
        <f>IF(B1296,MAX(MOD(SIN(Seed*0.1373+C1296*12.9898+D1296*78.233)*43758.5453,1),1E-9),"")</f>
        <v/>
      </c>
      <c r="G1296">
        <f>IF(B1296,MOD(SIN(Seed*0.5917+C1296*39.3468+D1296*11.135)*24634.6345,1),"")</f>
        <v/>
      </c>
      <c r="H1296">
        <f>IF(B1296,SQRT(-2*LN(F1296))*COS(2*PI()*G1296),"")</f>
        <v/>
      </c>
      <c r="I1296">
        <f>IF(B1296,IF(D1296=0,H1296,Rho*I1295+SQRT(1-Rho^2)*H1296),"")</f>
        <v/>
      </c>
      <c r="J1296">
        <f>IF(B1296,IF(Dist="Normal",DistA+DistB*I1296,DistA+(DistB-DistA)*NORMSDIST(I1296)),"")</f>
        <v/>
      </c>
      <c r="K1296">
        <f>IF(B1296,INDEX(MineScale,C1296),"")</f>
        <v/>
      </c>
      <c r="L1296">
        <f>IF(B1296,INDEX(Dow,1,WEEKDAY(E1296,2)),"")</f>
        <v/>
      </c>
      <c r="M1296">
        <f>IF(B1296,(1+Trend)^D1296,"")</f>
        <v/>
      </c>
      <c r="N1296">
        <f>IF(B1296,EXP(SUMPRODUCT(LN(1+(EvEff-1)*INDEX(Affected,0,C1296)*EXP(-((E1296-EvCenter)^2)/(2*EvSigma^2))))),"")</f>
        <v/>
      </c>
      <c r="O1296">
        <f>IF(B1296,ROUND(MAX(0,J1296*K1296*L1296*M1296*N1296),2),"")</f>
        <v/>
      </c>
    </row>
    <row r="1297">
      <c r="A1297" t="n">
        <v>1296</v>
      </c>
      <c r="B1297">
        <f>A1297&lt;=MineCount*Days</f>
        <v/>
      </c>
      <c r="C1297">
        <f>IF(B1297,INT((A1297-1)/Days)+1,"")</f>
        <v/>
      </c>
      <c r="D1297">
        <f>IF(B1297,MOD(A1297-1,Days),"")</f>
        <v/>
      </c>
      <c r="E1297" s="16">
        <f>IF(B1297,StartDate+D1297,"")</f>
        <v/>
      </c>
      <c r="F1297">
        <f>IF(B1297,MAX(MOD(SIN(Seed*0.1373+C1297*12.9898+D1297*78.233)*43758.5453,1),1E-9),"")</f>
        <v/>
      </c>
      <c r="G1297">
        <f>IF(B1297,MOD(SIN(Seed*0.5917+C1297*39.3468+D1297*11.135)*24634.6345,1),"")</f>
        <v/>
      </c>
      <c r="H1297">
        <f>IF(B1297,SQRT(-2*LN(F1297))*COS(2*PI()*G1297),"")</f>
        <v/>
      </c>
      <c r="I1297">
        <f>IF(B1297,IF(D1297=0,H1297,Rho*I1296+SQRT(1-Rho^2)*H1297),"")</f>
        <v/>
      </c>
      <c r="J1297">
        <f>IF(B1297,IF(Dist="Normal",DistA+DistB*I1297,DistA+(DistB-DistA)*NORMSDIST(I1297)),"")</f>
        <v/>
      </c>
      <c r="K1297">
        <f>IF(B1297,INDEX(MineScale,C1297),"")</f>
        <v/>
      </c>
      <c r="L1297">
        <f>IF(B1297,INDEX(Dow,1,WEEKDAY(E1297,2)),"")</f>
        <v/>
      </c>
      <c r="M1297">
        <f>IF(B1297,(1+Trend)^D1297,"")</f>
        <v/>
      </c>
      <c r="N1297">
        <f>IF(B1297,EXP(SUMPRODUCT(LN(1+(EvEff-1)*INDEX(Affected,0,C1297)*EXP(-((E1297-EvCenter)^2)/(2*EvSigma^2))))),"")</f>
        <v/>
      </c>
      <c r="O1297">
        <f>IF(B1297,ROUND(MAX(0,J1297*K1297*L1297*M1297*N1297),2),"")</f>
        <v/>
      </c>
    </row>
    <row r="1298">
      <c r="A1298" t="n">
        <v>1297</v>
      </c>
      <c r="B1298">
        <f>A1298&lt;=MineCount*Days</f>
        <v/>
      </c>
      <c r="C1298">
        <f>IF(B1298,INT((A1298-1)/Days)+1,"")</f>
        <v/>
      </c>
      <c r="D1298">
        <f>IF(B1298,MOD(A1298-1,Days),"")</f>
        <v/>
      </c>
      <c r="E1298" s="16">
        <f>IF(B1298,StartDate+D1298,"")</f>
        <v/>
      </c>
      <c r="F1298">
        <f>IF(B1298,MAX(MOD(SIN(Seed*0.1373+C1298*12.9898+D1298*78.233)*43758.5453,1),1E-9),"")</f>
        <v/>
      </c>
      <c r="G1298">
        <f>IF(B1298,MOD(SIN(Seed*0.5917+C1298*39.3468+D1298*11.135)*24634.6345,1),"")</f>
        <v/>
      </c>
      <c r="H1298">
        <f>IF(B1298,SQRT(-2*LN(F1298))*COS(2*PI()*G1298),"")</f>
        <v/>
      </c>
      <c r="I1298">
        <f>IF(B1298,IF(D1298=0,H1298,Rho*I1297+SQRT(1-Rho^2)*H1298),"")</f>
        <v/>
      </c>
      <c r="J1298">
        <f>IF(B1298,IF(Dist="Normal",DistA+DistB*I1298,DistA+(DistB-DistA)*NORMSDIST(I1298)),"")</f>
        <v/>
      </c>
      <c r="K1298">
        <f>IF(B1298,INDEX(MineScale,C1298),"")</f>
        <v/>
      </c>
      <c r="L1298">
        <f>IF(B1298,INDEX(Dow,1,WEEKDAY(E1298,2)),"")</f>
        <v/>
      </c>
      <c r="M1298">
        <f>IF(B1298,(1+Trend)^D1298,"")</f>
        <v/>
      </c>
      <c r="N1298">
        <f>IF(B1298,EXP(SUMPRODUCT(LN(1+(EvEff-1)*INDEX(Affected,0,C1298)*EXP(-((E1298-EvCenter)^2)/(2*EvSigma^2))))),"")</f>
        <v/>
      </c>
      <c r="O1298">
        <f>IF(B1298,ROUND(MAX(0,J1298*K1298*L1298*M1298*N1298),2),"")</f>
        <v/>
      </c>
    </row>
    <row r="1299">
      <c r="A1299" t="n">
        <v>1298</v>
      </c>
      <c r="B1299">
        <f>A1299&lt;=MineCount*Days</f>
        <v/>
      </c>
      <c r="C1299">
        <f>IF(B1299,INT((A1299-1)/Days)+1,"")</f>
        <v/>
      </c>
      <c r="D1299">
        <f>IF(B1299,MOD(A1299-1,Days),"")</f>
        <v/>
      </c>
      <c r="E1299" s="16">
        <f>IF(B1299,StartDate+D1299,"")</f>
        <v/>
      </c>
      <c r="F1299">
        <f>IF(B1299,MAX(MOD(SIN(Seed*0.1373+C1299*12.9898+D1299*78.233)*43758.5453,1),1E-9),"")</f>
        <v/>
      </c>
      <c r="G1299">
        <f>IF(B1299,MOD(SIN(Seed*0.5917+C1299*39.3468+D1299*11.135)*24634.6345,1),"")</f>
        <v/>
      </c>
      <c r="H1299">
        <f>IF(B1299,SQRT(-2*LN(F1299))*COS(2*PI()*G1299),"")</f>
        <v/>
      </c>
      <c r="I1299">
        <f>IF(B1299,IF(D1299=0,H1299,Rho*I1298+SQRT(1-Rho^2)*H1299),"")</f>
        <v/>
      </c>
      <c r="J1299">
        <f>IF(B1299,IF(Dist="Normal",DistA+DistB*I1299,DistA+(DistB-DistA)*NORMSDIST(I1299)),"")</f>
        <v/>
      </c>
      <c r="K1299">
        <f>IF(B1299,INDEX(MineScale,C1299),"")</f>
        <v/>
      </c>
      <c r="L1299">
        <f>IF(B1299,INDEX(Dow,1,WEEKDAY(E1299,2)),"")</f>
        <v/>
      </c>
      <c r="M1299">
        <f>IF(B1299,(1+Trend)^D1299,"")</f>
        <v/>
      </c>
      <c r="N1299">
        <f>IF(B1299,EXP(SUMPRODUCT(LN(1+(EvEff-1)*INDEX(Affected,0,C1299)*EXP(-((E1299-EvCenter)^2)/(2*EvSigma^2))))),"")</f>
        <v/>
      </c>
      <c r="O1299">
        <f>IF(B1299,ROUND(MAX(0,J1299*K1299*L1299*M1299*N1299),2),"")</f>
        <v/>
      </c>
    </row>
    <row r="1300">
      <c r="A1300" t="n">
        <v>1299</v>
      </c>
      <c r="B1300">
        <f>A1300&lt;=MineCount*Days</f>
        <v/>
      </c>
      <c r="C1300">
        <f>IF(B1300,INT((A1300-1)/Days)+1,"")</f>
        <v/>
      </c>
      <c r="D1300">
        <f>IF(B1300,MOD(A1300-1,Days),"")</f>
        <v/>
      </c>
      <c r="E1300" s="16">
        <f>IF(B1300,StartDate+D1300,"")</f>
        <v/>
      </c>
      <c r="F1300">
        <f>IF(B1300,MAX(MOD(SIN(Seed*0.1373+C1300*12.9898+D1300*78.233)*43758.5453,1),1E-9),"")</f>
        <v/>
      </c>
      <c r="G1300">
        <f>IF(B1300,MOD(SIN(Seed*0.5917+C1300*39.3468+D1300*11.135)*24634.6345,1),"")</f>
        <v/>
      </c>
      <c r="H1300">
        <f>IF(B1300,SQRT(-2*LN(F1300))*COS(2*PI()*G1300),"")</f>
        <v/>
      </c>
      <c r="I1300">
        <f>IF(B1300,IF(D1300=0,H1300,Rho*I1299+SQRT(1-Rho^2)*H1300),"")</f>
        <v/>
      </c>
      <c r="J1300">
        <f>IF(B1300,IF(Dist="Normal",DistA+DistB*I1300,DistA+(DistB-DistA)*NORMSDIST(I1300)),"")</f>
        <v/>
      </c>
      <c r="K1300">
        <f>IF(B1300,INDEX(MineScale,C1300),"")</f>
        <v/>
      </c>
      <c r="L1300">
        <f>IF(B1300,INDEX(Dow,1,WEEKDAY(E1300,2)),"")</f>
        <v/>
      </c>
      <c r="M1300">
        <f>IF(B1300,(1+Trend)^D1300,"")</f>
        <v/>
      </c>
      <c r="N1300">
        <f>IF(B1300,EXP(SUMPRODUCT(LN(1+(EvEff-1)*INDEX(Affected,0,C1300)*EXP(-((E1300-EvCenter)^2)/(2*EvSigma^2))))),"")</f>
        <v/>
      </c>
      <c r="O1300">
        <f>IF(B1300,ROUND(MAX(0,J1300*K1300*L1300*M1300*N1300),2),"")</f>
        <v/>
      </c>
    </row>
    <row r="1301">
      <c r="A1301" t="n">
        <v>1300</v>
      </c>
      <c r="B1301">
        <f>A1301&lt;=MineCount*Days</f>
        <v/>
      </c>
      <c r="C1301">
        <f>IF(B1301,INT((A1301-1)/Days)+1,"")</f>
        <v/>
      </c>
      <c r="D1301">
        <f>IF(B1301,MOD(A1301-1,Days),"")</f>
        <v/>
      </c>
      <c r="E1301" s="16">
        <f>IF(B1301,StartDate+D1301,"")</f>
        <v/>
      </c>
      <c r="F1301">
        <f>IF(B1301,MAX(MOD(SIN(Seed*0.1373+C1301*12.9898+D1301*78.233)*43758.5453,1),1E-9),"")</f>
        <v/>
      </c>
      <c r="G1301">
        <f>IF(B1301,MOD(SIN(Seed*0.5917+C1301*39.3468+D1301*11.135)*24634.6345,1),"")</f>
        <v/>
      </c>
      <c r="H1301">
        <f>IF(B1301,SQRT(-2*LN(F1301))*COS(2*PI()*G1301),"")</f>
        <v/>
      </c>
      <c r="I1301">
        <f>IF(B1301,IF(D1301=0,H1301,Rho*I1300+SQRT(1-Rho^2)*H1301),"")</f>
        <v/>
      </c>
      <c r="J1301">
        <f>IF(B1301,IF(Dist="Normal",DistA+DistB*I1301,DistA+(DistB-DistA)*NORMSDIST(I1301)),"")</f>
        <v/>
      </c>
      <c r="K1301">
        <f>IF(B1301,INDEX(MineScale,C1301),"")</f>
        <v/>
      </c>
      <c r="L1301">
        <f>IF(B1301,INDEX(Dow,1,WEEKDAY(E1301,2)),"")</f>
        <v/>
      </c>
      <c r="M1301">
        <f>IF(B1301,(1+Trend)^D1301,"")</f>
        <v/>
      </c>
      <c r="N1301">
        <f>IF(B1301,EXP(SUMPRODUCT(LN(1+(EvEff-1)*INDEX(Affected,0,C1301)*EXP(-((E1301-EvCenter)^2)/(2*EvSigma^2))))),"")</f>
        <v/>
      </c>
      <c r="O1301">
        <f>IF(B1301,ROUND(MAX(0,J1301*K1301*L1301*M1301*N1301),2),"")</f>
        <v/>
      </c>
    </row>
    <row r="1302">
      <c r="A1302" t="n">
        <v>1301</v>
      </c>
      <c r="B1302">
        <f>A1302&lt;=MineCount*Days</f>
        <v/>
      </c>
      <c r="C1302">
        <f>IF(B1302,INT((A1302-1)/Days)+1,"")</f>
        <v/>
      </c>
      <c r="D1302">
        <f>IF(B1302,MOD(A1302-1,Days),"")</f>
        <v/>
      </c>
      <c r="E1302" s="16">
        <f>IF(B1302,StartDate+D1302,"")</f>
        <v/>
      </c>
      <c r="F1302">
        <f>IF(B1302,MAX(MOD(SIN(Seed*0.1373+C1302*12.9898+D1302*78.233)*43758.5453,1),1E-9),"")</f>
        <v/>
      </c>
      <c r="G1302">
        <f>IF(B1302,MOD(SIN(Seed*0.5917+C1302*39.3468+D1302*11.135)*24634.6345,1),"")</f>
        <v/>
      </c>
      <c r="H1302">
        <f>IF(B1302,SQRT(-2*LN(F1302))*COS(2*PI()*G1302),"")</f>
        <v/>
      </c>
      <c r="I1302">
        <f>IF(B1302,IF(D1302=0,H1302,Rho*I1301+SQRT(1-Rho^2)*H1302),"")</f>
        <v/>
      </c>
      <c r="J1302">
        <f>IF(B1302,IF(Dist="Normal",DistA+DistB*I1302,DistA+(DistB-DistA)*NORMSDIST(I1302)),"")</f>
        <v/>
      </c>
      <c r="K1302">
        <f>IF(B1302,INDEX(MineScale,C1302),"")</f>
        <v/>
      </c>
      <c r="L1302">
        <f>IF(B1302,INDEX(Dow,1,WEEKDAY(E1302,2)),"")</f>
        <v/>
      </c>
      <c r="M1302">
        <f>IF(B1302,(1+Trend)^D1302,"")</f>
        <v/>
      </c>
      <c r="N1302">
        <f>IF(B1302,EXP(SUMPRODUCT(LN(1+(EvEff-1)*INDEX(Affected,0,C1302)*EXP(-((E1302-EvCenter)^2)/(2*EvSigma^2))))),"")</f>
        <v/>
      </c>
      <c r="O1302">
        <f>IF(B1302,ROUND(MAX(0,J1302*K1302*L1302*M1302*N1302),2),"")</f>
        <v/>
      </c>
    </row>
    <row r="1303">
      <c r="A1303" t="n">
        <v>1302</v>
      </c>
      <c r="B1303">
        <f>A1303&lt;=MineCount*Days</f>
        <v/>
      </c>
      <c r="C1303">
        <f>IF(B1303,INT((A1303-1)/Days)+1,"")</f>
        <v/>
      </c>
      <c r="D1303">
        <f>IF(B1303,MOD(A1303-1,Days),"")</f>
        <v/>
      </c>
      <c r="E1303" s="16">
        <f>IF(B1303,StartDate+D1303,"")</f>
        <v/>
      </c>
      <c r="F1303">
        <f>IF(B1303,MAX(MOD(SIN(Seed*0.1373+C1303*12.9898+D1303*78.233)*43758.5453,1),1E-9),"")</f>
        <v/>
      </c>
      <c r="G1303">
        <f>IF(B1303,MOD(SIN(Seed*0.5917+C1303*39.3468+D1303*11.135)*24634.6345,1),"")</f>
        <v/>
      </c>
      <c r="H1303">
        <f>IF(B1303,SQRT(-2*LN(F1303))*COS(2*PI()*G1303),"")</f>
        <v/>
      </c>
      <c r="I1303">
        <f>IF(B1303,IF(D1303=0,H1303,Rho*I1302+SQRT(1-Rho^2)*H1303),"")</f>
        <v/>
      </c>
      <c r="J1303">
        <f>IF(B1303,IF(Dist="Normal",DistA+DistB*I1303,DistA+(DistB-DistA)*NORMSDIST(I1303)),"")</f>
        <v/>
      </c>
      <c r="K1303">
        <f>IF(B1303,INDEX(MineScale,C1303),"")</f>
        <v/>
      </c>
      <c r="L1303">
        <f>IF(B1303,INDEX(Dow,1,WEEKDAY(E1303,2)),"")</f>
        <v/>
      </c>
      <c r="M1303">
        <f>IF(B1303,(1+Trend)^D1303,"")</f>
        <v/>
      </c>
      <c r="N1303">
        <f>IF(B1303,EXP(SUMPRODUCT(LN(1+(EvEff-1)*INDEX(Affected,0,C1303)*EXP(-((E1303-EvCenter)^2)/(2*EvSigma^2))))),"")</f>
        <v/>
      </c>
      <c r="O1303">
        <f>IF(B1303,ROUND(MAX(0,J1303*K1303*L1303*M1303*N1303),2),"")</f>
        <v/>
      </c>
    </row>
    <row r="1304">
      <c r="A1304" t="n">
        <v>1303</v>
      </c>
      <c r="B1304">
        <f>A1304&lt;=MineCount*Days</f>
        <v/>
      </c>
      <c r="C1304">
        <f>IF(B1304,INT((A1304-1)/Days)+1,"")</f>
        <v/>
      </c>
      <c r="D1304">
        <f>IF(B1304,MOD(A1304-1,Days),"")</f>
        <v/>
      </c>
      <c r="E1304" s="16">
        <f>IF(B1304,StartDate+D1304,"")</f>
        <v/>
      </c>
      <c r="F1304">
        <f>IF(B1304,MAX(MOD(SIN(Seed*0.1373+C1304*12.9898+D1304*78.233)*43758.5453,1),1E-9),"")</f>
        <v/>
      </c>
      <c r="G1304">
        <f>IF(B1304,MOD(SIN(Seed*0.5917+C1304*39.3468+D1304*11.135)*24634.6345,1),"")</f>
        <v/>
      </c>
      <c r="H1304">
        <f>IF(B1304,SQRT(-2*LN(F1304))*COS(2*PI()*G1304),"")</f>
        <v/>
      </c>
      <c r="I1304">
        <f>IF(B1304,IF(D1304=0,H1304,Rho*I1303+SQRT(1-Rho^2)*H1304),"")</f>
        <v/>
      </c>
      <c r="J1304">
        <f>IF(B1304,IF(Dist="Normal",DistA+DistB*I1304,DistA+(DistB-DistA)*NORMSDIST(I1304)),"")</f>
        <v/>
      </c>
      <c r="K1304">
        <f>IF(B1304,INDEX(MineScale,C1304),"")</f>
        <v/>
      </c>
      <c r="L1304">
        <f>IF(B1304,INDEX(Dow,1,WEEKDAY(E1304,2)),"")</f>
        <v/>
      </c>
      <c r="M1304">
        <f>IF(B1304,(1+Trend)^D1304,"")</f>
        <v/>
      </c>
      <c r="N1304">
        <f>IF(B1304,EXP(SUMPRODUCT(LN(1+(EvEff-1)*INDEX(Affected,0,C1304)*EXP(-((E1304-EvCenter)^2)/(2*EvSigma^2))))),"")</f>
        <v/>
      </c>
      <c r="O1304">
        <f>IF(B1304,ROUND(MAX(0,J1304*K1304*L1304*M1304*N1304),2),"")</f>
        <v/>
      </c>
    </row>
    <row r="1305">
      <c r="A1305" t="n">
        <v>1304</v>
      </c>
      <c r="B1305">
        <f>A1305&lt;=MineCount*Days</f>
        <v/>
      </c>
      <c r="C1305">
        <f>IF(B1305,INT((A1305-1)/Days)+1,"")</f>
        <v/>
      </c>
      <c r="D1305">
        <f>IF(B1305,MOD(A1305-1,Days),"")</f>
        <v/>
      </c>
      <c r="E1305" s="16">
        <f>IF(B1305,StartDate+D1305,"")</f>
        <v/>
      </c>
      <c r="F1305">
        <f>IF(B1305,MAX(MOD(SIN(Seed*0.1373+C1305*12.9898+D1305*78.233)*43758.5453,1),1E-9),"")</f>
        <v/>
      </c>
      <c r="G1305">
        <f>IF(B1305,MOD(SIN(Seed*0.5917+C1305*39.3468+D1305*11.135)*24634.6345,1),"")</f>
        <v/>
      </c>
      <c r="H1305">
        <f>IF(B1305,SQRT(-2*LN(F1305))*COS(2*PI()*G1305),"")</f>
        <v/>
      </c>
      <c r="I1305">
        <f>IF(B1305,IF(D1305=0,H1305,Rho*I1304+SQRT(1-Rho^2)*H1305),"")</f>
        <v/>
      </c>
      <c r="J1305">
        <f>IF(B1305,IF(Dist="Normal",DistA+DistB*I1305,DistA+(DistB-DistA)*NORMSDIST(I1305)),"")</f>
        <v/>
      </c>
      <c r="K1305">
        <f>IF(B1305,INDEX(MineScale,C1305),"")</f>
        <v/>
      </c>
      <c r="L1305">
        <f>IF(B1305,INDEX(Dow,1,WEEKDAY(E1305,2)),"")</f>
        <v/>
      </c>
      <c r="M1305">
        <f>IF(B1305,(1+Trend)^D1305,"")</f>
        <v/>
      </c>
      <c r="N1305">
        <f>IF(B1305,EXP(SUMPRODUCT(LN(1+(EvEff-1)*INDEX(Affected,0,C1305)*EXP(-((E1305-EvCenter)^2)/(2*EvSigma^2))))),"")</f>
        <v/>
      </c>
      <c r="O1305">
        <f>IF(B1305,ROUND(MAX(0,J1305*K1305*L1305*M1305*N1305),2),"")</f>
        <v/>
      </c>
    </row>
    <row r="1306">
      <c r="A1306" t="n">
        <v>1305</v>
      </c>
      <c r="B1306">
        <f>A1306&lt;=MineCount*Days</f>
        <v/>
      </c>
      <c r="C1306">
        <f>IF(B1306,INT((A1306-1)/Days)+1,"")</f>
        <v/>
      </c>
      <c r="D1306">
        <f>IF(B1306,MOD(A1306-1,Days),"")</f>
        <v/>
      </c>
      <c r="E1306" s="16">
        <f>IF(B1306,StartDate+D1306,"")</f>
        <v/>
      </c>
      <c r="F1306">
        <f>IF(B1306,MAX(MOD(SIN(Seed*0.1373+C1306*12.9898+D1306*78.233)*43758.5453,1),1E-9),"")</f>
        <v/>
      </c>
      <c r="G1306">
        <f>IF(B1306,MOD(SIN(Seed*0.5917+C1306*39.3468+D1306*11.135)*24634.6345,1),"")</f>
        <v/>
      </c>
      <c r="H1306">
        <f>IF(B1306,SQRT(-2*LN(F1306))*COS(2*PI()*G1306),"")</f>
        <v/>
      </c>
      <c r="I1306">
        <f>IF(B1306,IF(D1306=0,H1306,Rho*I1305+SQRT(1-Rho^2)*H1306),"")</f>
        <v/>
      </c>
      <c r="J1306">
        <f>IF(B1306,IF(Dist="Normal",DistA+DistB*I1306,DistA+(DistB-DistA)*NORMSDIST(I1306)),"")</f>
        <v/>
      </c>
      <c r="K1306">
        <f>IF(B1306,INDEX(MineScale,C1306),"")</f>
        <v/>
      </c>
      <c r="L1306">
        <f>IF(B1306,INDEX(Dow,1,WEEKDAY(E1306,2)),"")</f>
        <v/>
      </c>
      <c r="M1306">
        <f>IF(B1306,(1+Trend)^D1306,"")</f>
        <v/>
      </c>
      <c r="N1306">
        <f>IF(B1306,EXP(SUMPRODUCT(LN(1+(EvEff-1)*INDEX(Affected,0,C1306)*EXP(-((E1306-EvCenter)^2)/(2*EvSigma^2))))),"")</f>
        <v/>
      </c>
      <c r="O1306">
        <f>IF(B1306,ROUND(MAX(0,J1306*K1306*L1306*M1306*N1306),2),"")</f>
        <v/>
      </c>
    </row>
    <row r="1307">
      <c r="A1307" t="n">
        <v>1306</v>
      </c>
      <c r="B1307">
        <f>A1307&lt;=MineCount*Days</f>
        <v/>
      </c>
      <c r="C1307">
        <f>IF(B1307,INT((A1307-1)/Days)+1,"")</f>
        <v/>
      </c>
      <c r="D1307">
        <f>IF(B1307,MOD(A1307-1,Days),"")</f>
        <v/>
      </c>
      <c r="E1307" s="16">
        <f>IF(B1307,StartDate+D1307,"")</f>
        <v/>
      </c>
      <c r="F1307">
        <f>IF(B1307,MAX(MOD(SIN(Seed*0.1373+C1307*12.9898+D1307*78.233)*43758.5453,1),1E-9),"")</f>
        <v/>
      </c>
      <c r="G1307">
        <f>IF(B1307,MOD(SIN(Seed*0.5917+C1307*39.3468+D1307*11.135)*24634.6345,1),"")</f>
        <v/>
      </c>
      <c r="H1307">
        <f>IF(B1307,SQRT(-2*LN(F1307))*COS(2*PI()*G1307),"")</f>
        <v/>
      </c>
      <c r="I1307">
        <f>IF(B1307,IF(D1307=0,H1307,Rho*I1306+SQRT(1-Rho^2)*H1307),"")</f>
        <v/>
      </c>
      <c r="J1307">
        <f>IF(B1307,IF(Dist="Normal",DistA+DistB*I1307,DistA+(DistB-DistA)*NORMSDIST(I1307)),"")</f>
        <v/>
      </c>
      <c r="K1307">
        <f>IF(B1307,INDEX(MineScale,C1307),"")</f>
        <v/>
      </c>
      <c r="L1307">
        <f>IF(B1307,INDEX(Dow,1,WEEKDAY(E1307,2)),"")</f>
        <v/>
      </c>
      <c r="M1307">
        <f>IF(B1307,(1+Trend)^D1307,"")</f>
        <v/>
      </c>
      <c r="N1307">
        <f>IF(B1307,EXP(SUMPRODUCT(LN(1+(EvEff-1)*INDEX(Affected,0,C1307)*EXP(-((E1307-EvCenter)^2)/(2*EvSigma^2))))),"")</f>
        <v/>
      </c>
      <c r="O1307">
        <f>IF(B1307,ROUND(MAX(0,J1307*K1307*L1307*M1307*N1307),2),"")</f>
        <v/>
      </c>
    </row>
    <row r="1308">
      <c r="A1308" t="n">
        <v>1307</v>
      </c>
      <c r="B1308">
        <f>A1308&lt;=MineCount*Days</f>
        <v/>
      </c>
      <c r="C1308">
        <f>IF(B1308,INT((A1308-1)/Days)+1,"")</f>
        <v/>
      </c>
      <c r="D1308">
        <f>IF(B1308,MOD(A1308-1,Days),"")</f>
        <v/>
      </c>
      <c r="E1308" s="16">
        <f>IF(B1308,StartDate+D1308,"")</f>
        <v/>
      </c>
      <c r="F1308">
        <f>IF(B1308,MAX(MOD(SIN(Seed*0.1373+C1308*12.9898+D1308*78.233)*43758.5453,1),1E-9),"")</f>
        <v/>
      </c>
      <c r="G1308">
        <f>IF(B1308,MOD(SIN(Seed*0.5917+C1308*39.3468+D1308*11.135)*24634.6345,1),"")</f>
        <v/>
      </c>
      <c r="H1308">
        <f>IF(B1308,SQRT(-2*LN(F1308))*COS(2*PI()*G1308),"")</f>
        <v/>
      </c>
      <c r="I1308">
        <f>IF(B1308,IF(D1308=0,H1308,Rho*I1307+SQRT(1-Rho^2)*H1308),"")</f>
        <v/>
      </c>
      <c r="J1308">
        <f>IF(B1308,IF(Dist="Normal",DistA+DistB*I1308,DistA+(DistB-DistA)*NORMSDIST(I1308)),"")</f>
        <v/>
      </c>
      <c r="K1308">
        <f>IF(B1308,INDEX(MineScale,C1308),"")</f>
        <v/>
      </c>
      <c r="L1308">
        <f>IF(B1308,INDEX(Dow,1,WEEKDAY(E1308,2)),"")</f>
        <v/>
      </c>
      <c r="M1308">
        <f>IF(B1308,(1+Trend)^D1308,"")</f>
        <v/>
      </c>
      <c r="N1308">
        <f>IF(B1308,EXP(SUMPRODUCT(LN(1+(EvEff-1)*INDEX(Affected,0,C1308)*EXP(-((E1308-EvCenter)^2)/(2*EvSigma^2))))),"")</f>
        <v/>
      </c>
      <c r="O1308">
        <f>IF(B1308,ROUND(MAX(0,J1308*K1308*L1308*M1308*N1308),2),"")</f>
        <v/>
      </c>
    </row>
    <row r="1309">
      <c r="A1309" t="n">
        <v>1308</v>
      </c>
      <c r="B1309">
        <f>A1309&lt;=MineCount*Days</f>
        <v/>
      </c>
      <c r="C1309">
        <f>IF(B1309,INT((A1309-1)/Days)+1,"")</f>
        <v/>
      </c>
      <c r="D1309">
        <f>IF(B1309,MOD(A1309-1,Days),"")</f>
        <v/>
      </c>
      <c r="E1309" s="16">
        <f>IF(B1309,StartDate+D1309,"")</f>
        <v/>
      </c>
      <c r="F1309">
        <f>IF(B1309,MAX(MOD(SIN(Seed*0.1373+C1309*12.9898+D1309*78.233)*43758.5453,1),1E-9),"")</f>
        <v/>
      </c>
      <c r="G1309">
        <f>IF(B1309,MOD(SIN(Seed*0.5917+C1309*39.3468+D1309*11.135)*24634.6345,1),"")</f>
        <v/>
      </c>
      <c r="H1309">
        <f>IF(B1309,SQRT(-2*LN(F1309))*COS(2*PI()*G1309),"")</f>
        <v/>
      </c>
      <c r="I1309">
        <f>IF(B1309,IF(D1309=0,H1309,Rho*I1308+SQRT(1-Rho^2)*H1309),"")</f>
        <v/>
      </c>
      <c r="J1309">
        <f>IF(B1309,IF(Dist="Normal",DistA+DistB*I1309,DistA+(DistB-DistA)*NORMSDIST(I1309)),"")</f>
        <v/>
      </c>
      <c r="K1309">
        <f>IF(B1309,INDEX(MineScale,C1309),"")</f>
        <v/>
      </c>
      <c r="L1309">
        <f>IF(B1309,INDEX(Dow,1,WEEKDAY(E1309,2)),"")</f>
        <v/>
      </c>
      <c r="M1309">
        <f>IF(B1309,(1+Trend)^D1309,"")</f>
        <v/>
      </c>
      <c r="N1309">
        <f>IF(B1309,EXP(SUMPRODUCT(LN(1+(EvEff-1)*INDEX(Affected,0,C1309)*EXP(-((E1309-EvCenter)^2)/(2*EvSigma^2))))),"")</f>
        <v/>
      </c>
      <c r="O1309">
        <f>IF(B1309,ROUND(MAX(0,J1309*K1309*L1309*M1309*N1309),2),"")</f>
        <v/>
      </c>
    </row>
    <row r="1310">
      <c r="A1310" t="n">
        <v>1309</v>
      </c>
      <c r="B1310">
        <f>A1310&lt;=MineCount*Days</f>
        <v/>
      </c>
      <c r="C1310">
        <f>IF(B1310,INT((A1310-1)/Days)+1,"")</f>
        <v/>
      </c>
      <c r="D1310">
        <f>IF(B1310,MOD(A1310-1,Days),"")</f>
        <v/>
      </c>
      <c r="E1310" s="16">
        <f>IF(B1310,StartDate+D1310,"")</f>
        <v/>
      </c>
      <c r="F1310">
        <f>IF(B1310,MAX(MOD(SIN(Seed*0.1373+C1310*12.9898+D1310*78.233)*43758.5453,1),1E-9),"")</f>
        <v/>
      </c>
      <c r="G1310">
        <f>IF(B1310,MOD(SIN(Seed*0.5917+C1310*39.3468+D1310*11.135)*24634.6345,1),"")</f>
        <v/>
      </c>
      <c r="H1310">
        <f>IF(B1310,SQRT(-2*LN(F1310))*COS(2*PI()*G1310),"")</f>
        <v/>
      </c>
      <c r="I1310">
        <f>IF(B1310,IF(D1310=0,H1310,Rho*I1309+SQRT(1-Rho^2)*H1310),"")</f>
        <v/>
      </c>
      <c r="J1310">
        <f>IF(B1310,IF(Dist="Normal",DistA+DistB*I1310,DistA+(DistB-DistA)*NORMSDIST(I1310)),"")</f>
        <v/>
      </c>
      <c r="K1310">
        <f>IF(B1310,INDEX(MineScale,C1310),"")</f>
        <v/>
      </c>
      <c r="L1310">
        <f>IF(B1310,INDEX(Dow,1,WEEKDAY(E1310,2)),"")</f>
        <v/>
      </c>
      <c r="M1310">
        <f>IF(B1310,(1+Trend)^D1310,"")</f>
        <v/>
      </c>
      <c r="N1310">
        <f>IF(B1310,EXP(SUMPRODUCT(LN(1+(EvEff-1)*INDEX(Affected,0,C1310)*EXP(-((E1310-EvCenter)^2)/(2*EvSigma^2))))),"")</f>
        <v/>
      </c>
      <c r="O1310">
        <f>IF(B1310,ROUND(MAX(0,J1310*K1310*L1310*M1310*N1310),2),"")</f>
        <v/>
      </c>
    </row>
    <row r="1311">
      <c r="A1311" t="n">
        <v>1310</v>
      </c>
      <c r="B1311">
        <f>A1311&lt;=MineCount*Days</f>
        <v/>
      </c>
      <c r="C1311">
        <f>IF(B1311,INT((A1311-1)/Days)+1,"")</f>
        <v/>
      </c>
      <c r="D1311">
        <f>IF(B1311,MOD(A1311-1,Days),"")</f>
        <v/>
      </c>
      <c r="E1311" s="16">
        <f>IF(B1311,StartDate+D1311,"")</f>
        <v/>
      </c>
      <c r="F1311">
        <f>IF(B1311,MAX(MOD(SIN(Seed*0.1373+C1311*12.9898+D1311*78.233)*43758.5453,1),1E-9),"")</f>
        <v/>
      </c>
      <c r="G1311">
        <f>IF(B1311,MOD(SIN(Seed*0.5917+C1311*39.3468+D1311*11.135)*24634.6345,1),"")</f>
        <v/>
      </c>
      <c r="H1311">
        <f>IF(B1311,SQRT(-2*LN(F1311))*COS(2*PI()*G1311),"")</f>
        <v/>
      </c>
      <c r="I1311">
        <f>IF(B1311,IF(D1311=0,H1311,Rho*I1310+SQRT(1-Rho^2)*H1311),"")</f>
        <v/>
      </c>
      <c r="J1311">
        <f>IF(B1311,IF(Dist="Normal",DistA+DistB*I1311,DistA+(DistB-DistA)*NORMSDIST(I1311)),"")</f>
        <v/>
      </c>
      <c r="K1311">
        <f>IF(B1311,INDEX(MineScale,C1311),"")</f>
        <v/>
      </c>
      <c r="L1311">
        <f>IF(B1311,INDEX(Dow,1,WEEKDAY(E1311,2)),"")</f>
        <v/>
      </c>
      <c r="M1311">
        <f>IF(B1311,(1+Trend)^D1311,"")</f>
        <v/>
      </c>
      <c r="N1311">
        <f>IF(B1311,EXP(SUMPRODUCT(LN(1+(EvEff-1)*INDEX(Affected,0,C1311)*EXP(-((E1311-EvCenter)^2)/(2*EvSigma^2))))),"")</f>
        <v/>
      </c>
      <c r="O1311">
        <f>IF(B1311,ROUND(MAX(0,J1311*K1311*L1311*M1311*N1311),2),"")</f>
        <v/>
      </c>
    </row>
    <row r="1312">
      <c r="A1312" t="n">
        <v>1311</v>
      </c>
      <c r="B1312">
        <f>A1312&lt;=MineCount*Days</f>
        <v/>
      </c>
      <c r="C1312">
        <f>IF(B1312,INT((A1312-1)/Days)+1,"")</f>
        <v/>
      </c>
      <c r="D1312">
        <f>IF(B1312,MOD(A1312-1,Days),"")</f>
        <v/>
      </c>
      <c r="E1312" s="16">
        <f>IF(B1312,StartDate+D1312,"")</f>
        <v/>
      </c>
      <c r="F1312">
        <f>IF(B1312,MAX(MOD(SIN(Seed*0.1373+C1312*12.9898+D1312*78.233)*43758.5453,1),1E-9),"")</f>
        <v/>
      </c>
      <c r="G1312">
        <f>IF(B1312,MOD(SIN(Seed*0.5917+C1312*39.3468+D1312*11.135)*24634.6345,1),"")</f>
        <v/>
      </c>
      <c r="H1312">
        <f>IF(B1312,SQRT(-2*LN(F1312))*COS(2*PI()*G1312),"")</f>
        <v/>
      </c>
      <c r="I1312">
        <f>IF(B1312,IF(D1312=0,H1312,Rho*I1311+SQRT(1-Rho^2)*H1312),"")</f>
        <v/>
      </c>
      <c r="J1312">
        <f>IF(B1312,IF(Dist="Normal",DistA+DistB*I1312,DistA+(DistB-DistA)*NORMSDIST(I1312)),"")</f>
        <v/>
      </c>
      <c r="K1312">
        <f>IF(B1312,INDEX(MineScale,C1312),"")</f>
        <v/>
      </c>
      <c r="L1312">
        <f>IF(B1312,INDEX(Dow,1,WEEKDAY(E1312,2)),"")</f>
        <v/>
      </c>
      <c r="M1312">
        <f>IF(B1312,(1+Trend)^D1312,"")</f>
        <v/>
      </c>
      <c r="N1312">
        <f>IF(B1312,EXP(SUMPRODUCT(LN(1+(EvEff-1)*INDEX(Affected,0,C1312)*EXP(-((E1312-EvCenter)^2)/(2*EvSigma^2))))),"")</f>
        <v/>
      </c>
      <c r="O1312">
        <f>IF(B1312,ROUND(MAX(0,J1312*K1312*L1312*M1312*N1312),2),"")</f>
        <v/>
      </c>
    </row>
    <row r="1313">
      <c r="A1313" t="n">
        <v>1312</v>
      </c>
      <c r="B1313">
        <f>A1313&lt;=MineCount*Days</f>
        <v/>
      </c>
      <c r="C1313">
        <f>IF(B1313,INT((A1313-1)/Days)+1,"")</f>
        <v/>
      </c>
      <c r="D1313">
        <f>IF(B1313,MOD(A1313-1,Days),"")</f>
        <v/>
      </c>
      <c r="E1313" s="16">
        <f>IF(B1313,StartDate+D1313,"")</f>
        <v/>
      </c>
      <c r="F1313">
        <f>IF(B1313,MAX(MOD(SIN(Seed*0.1373+C1313*12.9898+D1313*78.233)*43758.5453,1),1E-9),"")</f>
        <v/>
      </c>
      <c r="G1313">
        <f>IF(B1313,MOD(SIN(Seed*0.5917+C1313*39.3468+D1313*11.135)*24634.6345,1),"")</f>
        <v/>
      </c>
      <c r="H1313">
        <f>IF(B1313,SQRT(-2*LN(F1313))*COS(2*PI()*G1313),"")</f>
        <v/>
      </c>
      <c r="I1313">
        <f>IF(B1313,IF(D1313=0,H1313,Rho*I1312+SQRT(1-Rho^2)*H1313),"")</f>
        <v/>
      </c>
      <c r="J1313">
        <f>IF(B1313,IF(Dist="Normal",DistA+DistB*I1313,DistA+(DistB-DistA)*NORMSDIST(I1313)),"")</f>
        <v/>
      </c>
      <c r="K1313">
        <f>IF(B1313,INDEX(MineScale,C1313),"")</f>
        <v/>
      </c>
      <c r="L1313">
        <f>IF(B1313,INDEX(Dow,1,WEEKDAY(E1313,2)),"")</f>
        <v/>
      </c>
      <c r="M1313">
        <f>IF(B1313,(1+Trend)^D1313,"")</f>
        <v/>
      </c>
      <c r="N1313">
        <f>IF(B1313,EXP(SUMPRODUCT(LN(1+(EvEff-1)*INDEX(Affected,0,C1313)*EXP(-((E1313-EvCenter)^2)/(2*EvSigma^2))))),"")</f>
        <v/>
      </c>
      <c r="O1313">
        <f>IF(B1313,ROUND(MAX(0,J1313*K1313*L1313*M1313*N1313),2),"")</f>
        <v/>
      </c>
    </row>
    <row r="1314">
      <c r="A1314" t="n">
        <v>1313</v>
      </c>
      <c r="B1314">
        <f>A1314&lt;=MineCount*Days</f>
        <v/>
      </c>
      <c r="C1314">
        <f>IF(B1314,INT((A1314-1)/Days)+1,"")</f>
        <v/>
      </c>
      <c r="D1314">
        <f>IF(B1314,MOD(A1314-1,Days),"")</f>
        <v/>
      </c>
      <c r="E1314" s="16">
        <f>IF(B1314,StartDate+D1314,"")</f>
        <v/>
      </c>
      <c r="F1314">
        <f>IF(B1314,MAX(MOD(SIN(Seed*0.1373+C1314*12.9898+D1314*78.233)*43758.5453,1),1E-9),"")</f>
        <v/>
      </c>
      <c r="G1314">
        <f>IF(B1314,MOD(SIN(Seed*0.5917+C1314*39.3468+D1314*11.135)*24634.6345,1),"")</f>
        <v/>
      </c>
      <c r="H1314">
        <f>IF(B1314,SQRT(-2*LN(F1314))*COS(2*PI()*G1314),"")</f>
        <v/>
      </c>
      <c r="I1314">
        <f>IF(B1314,IF(D1314=0,H1314,Rho*I1313+SQRT(1-Rho^2)*H1314),"")</f>
        <v/>
      </c>
      <c r="J1314">
        <f>IF(B1314,IF(Dist="Normal",DistA+DistB*I1314,DistA+(DistB-DistA)*NORMSDIST(I1314)),"")</f>
        <v/>
      </c>
      <c r="K1314">
        <f>IF(B1314,INDEX(MineScale,C1314),"")</f>
        <v/>
      </c>
      <c r="L1314">
        <f>IF(B1314,INDEX(Dow,1,WEEKDAY(E1314,2)),"")</f>
        <v/>
      </c>
      <c r="M1314">
        <f>IF(B1314,(1+Trend)^D1314,"")</f>
        <v/>
      </c>
      <c r="N1314">
        <f>IF(B1314,EXP(SUMPRODUCT(LN(1+(EvEff-1)*INDEX(Affected,0,C1314)*EXP(-((E1314-EvCenter)^2)/(2*EvSigma^2))))),"")</f>
        <v/>
      </c>
      <c r="O1314">
        <f>IF(B1314,ROUND(MAX(0,J1314*K1314*L1314*M1314*N1314),2),"")</f>
        <v/>
      </c>
    </row>
    <row r="1315">
      <c r="A1315" t="n">
        <v>1314</v>
      </c>
      <c r="B1315">
        <f>A1315&lt;=MineCount*Days</f>
        <v/>
      </c>
      <c r="C1315">
        <f>IF(B1315,INT((A1315-1)/Days)+1,"")</f>
        <v/>
      </c>
      <c r="D1315">
        <f>IF(B1315,MOD(A1315-1,Days),"")</f>
        <v/>
      </c>
      <c r="E1315" s="16">
        <f>IF(B1315,StartDate+D1315,"")</f>
        <v/>
      </c>
      <c r="F1315">
        <f>IF(B1315,MAX(MOD(SIN(Seed*0.1373+C1315*12.9898+D1315*78.233)*43758.5453,1),1E-9),"")</f>
        <v/>
      </c>
      <c r="G1315">
        <f>IF(B1315,MOD(SIN(Seed*0.5917+C1315*39.3468+D1315*11.135)*24634.6345,1),"")</f>
        <v/>
      </c>
      <c r="H1315">
        <f>IF(B1315,SQRT(-2*LN(F1315))*COS(2*PI()*G1315),"")</f>
        <v/>
      </c>
      <c r="I1315">
        <f>IF(B1315,IF(D1315=0,H1315,Rho*I1314+SQRT(1-Rho^2)*H1315),"")</f>
        <v/>
      </c>
      <c r="J1315">
        <f>IF(B1315,IF(Dist="Normal",DistA+DistB*I1315,DistA+(DistB-DistA)*NORMSDIST(I1315)),"")</f>
        <v/>
      </c>
      <c r="K1315">
        <f>IF(B1315,INDEX(MineScale,C1315),"")</f>
        <v/>
      </c>
      <c r="L1315">
        <f>IF(B1315,INDEX(Dow,1,WEEKDAY(E1315,2)),"")</f>
        <v/>
      </c>
      <c r="M1315">
        <f>IF(B1315,(1+Trend)^D1315,"")</f>
        <v/>
      </c>
      <c r="N1315">
        <f>IF(B1315,EXP(SUMPRODUCT(LN(1+(EvEff-1)*INDEX(Affected,0,C1315)*EXP(-((E1315-EvCenter)^2)/(2*EvSigma^2))))),"")</f>
        <v/>
      </c>
      <c r="O1315">
        <f>IF(B1315,ROUND(MAX(0,J1315*K1315*L1315*M1315*N1315),2),"")</f>
        <v/>
      </c>
    </row>
    <row r="1316">
      <c r="A1316" t="n">
        <v>1315</v>
      </c>
      <c r="B1316">
        <f>A1316&lt;=MineCount*Days</f>
        <v/>
      </c>
      <c r="C1316">
        <f>IF(B1316,INT((A1316-1)/Days)+1,"")</f>
        <v/>
      </c>
      <c r="D1316">
        <f>IF(B1316,MOD(A1316-1,Days),"")</f>
        <v/>
      </c>
      <c r="E1316" s="16">
        <f>IF(B1316,StartDate+D1316,"")</f>
        <v/>
      </c>
      <c r="F1316">
        <f>IF(B1316,MAX(MOD(SIN(Seed*0.1373+C1316*12.9898+D1316*78.233)*43758.5453,1),1E-9),"")</f>
        <v/>
      </c>
      <c r="G1316">
        <f>IF(B1316,MOD(SIN(Seed*0.5917+C1316*39.3468+D1316*11.135)*24634.6345,1),"")</f>
        <v/>
      </c>
      <c r="H1316">
        <f>IF(B1316,SQRT(-2*LN(F1316))*COS(2*PI()*G1316),"")</f>
        <v/>
      </c>
      <c r="I1316">
        <f>IF(B1316,IF(D1316=0,H1316,Rho*I1315+SQRT(1-Rho^2)*H1316),"")</f>
        <v/>
      </c>
      <c r="J1316">
        <f>IF(B1316,IF(Dist="Normal",DistA+DistB*I1316,DistA+(DistB-DistA)*NORMSDIST(I1316)),"")</f>
        <v/>
      </c>
      <c r="K1316">
        <f>IF(B1316,INDEX(MineScale,C1316),"")</f>
        <v/>
      </c>
      <c r="L1316">
        <f>IF(B1316,INDEX(Dow,1,WEEKDAY(E1316,2)),"")</f>
        <v/>
      </c>
      <c r="M1316">
        <f>IF(B1316,(1+Trend)^D1316,"")</f>
        <v/>
      </c>
      <c r="N1316">
        <f>IF(B1316,EXP(SUMPRODUCT(LN(1+(EvEff-1)*INDEX(Affected,0,C1316)*EXP(-((E1316-EvCenter)^2)/(2*EvSigma^2))))),"")</f>
        <v/>
      </c>
      <c r="O1316">
        <f>IF(B1316,ROUND(MAX(0,J1316*K1316*L1316*M1316*N1316),2),"")</f>
        <v/>
      </c>
    </row>
    <row r="1317">
      <c r="A1317" t="n">
        <v>1316</v>
      </c>
      <c r="B1317">
        <f>A1317&lt;=MineCount*Days</f>
        <v/>
      </c>
      <c r="C1317">
        <f>IF(B1317,INT((A1317-1)/Days)+1,"")</f>
        <v/>
      </c>
      <c r="D1317">
        <f>IF(B1317,MOD(A1317-1,Days),"")</f>
        <v/>
      </c>
      <c r="E1317" s="16">
        <f>IF(B1317,StartDate+D1317,"")</f>
        <v/>
      </c>
      <c r="F1317">
        <f>IF(B1317,MAX(MOD(SIN(Seed*0.1373+C1317*12.9898+D1317*78.233)*43758.5453,1),1E-9),"")</f>
        <v/>
      </c>
      <c r="G1317">
        <f>IF(B1317,MOD(SIN(Seed*0.5917+C1317*39.3468+D1317*11.135)*24634.6345,1),"")</f>
        <v/>
      </c>
      <c r="H1317">
        <f>IF(B1317,SQRT(-2*LN(F1317))*COS(2*PI()*G1317),"")</f>
        <v/>
      </c>
      <c r="I1317">
        <f>IF(B1317,IF(D1317=0,H1317,Rho*I1316+SQRT(1-Rho^2)*H1317),"")</f>
        <v/>
      </c>
      <c r="J1317">
        <f>IF(B1317,IF(Dist="Normal",DistA+DistB*I1317,DistA+(DistB-DistA)*NORMSDIST(I1317)),"")</f>
        <v/>
      </c>
      <c r="K1317">
        <f>IF(B1317,INDEX(MineScale,C1317),"")</f>
        <v/>
      </c>
      <c r="L1317">
        <f>IF(B1317,INDEX(Dow,1,WEEKDAY(E1317,2)),"")</f>
        <v/>
      </c>
      <c r="M1317">
        <f>IF(B1317,(1+Trend)^D1317,"")</f>
        <v/>
      </c>
      <c r="N1317">
        <f>IF(B1317,EXP(SUMPRODUCT(LN(1+(EvEff-1)*INDEX(Affected,0,C1317)*EXP(-((E1317-EvCenter)^2)/(2*EvSigma^2))))),"")</f>
        <v/>
      </c>
      <c r="O1317">
        <f>IF(B1317,ROUND(MAX(0,J1317*K1317*L1317*M1317*N1317),2),"")</f>
        <v/>
      </c>
    </row>
    <row r="1318">
      <c r="A1318" t="n">
        <v>1317</v>
      </c>
      <c r="B1318">
        <f>A1318&lt;=MineCount*Days</f>
        <v/>
      </c>
      <c r="C1318">
        <f>IF(B1318,INT((A1318-1)/Days)+1,"")</f>
        <v/>
      </c>
      <c r="D1318">
        <f>IF(B1318,MOD(A1318-1,Days),"")</f>
        <v/>
      </c>
      <c r="E1318" s="16">
        <f>IF(B1318,StartDate+D1318,"")</f>
        <v/>
      </c>
      <c r="F1318">
        <f>IF(B1318,MAX(MOD(SIN(Seed*0.1373+C1318*12.9898+D1318*78.233)*43758.5453,1),1E-9),"")</f>
        <v/>
      </c>
      <c r="G1318">
        <f>IF(B1318,MOD(SIN(Seed*0.5917+C1318*39.3468+D1318*11.135)*24634.6345,1),"")</f>
        <v/>
      </c>
      <c r="H1318">
        <f>IF(B1318,SQRT(-2*LN(F1318))*COS(2*PI()*G1318),"")</f>
        <v/>
      </c>
      <c r="I1318">
        <f>IF(B1318,IF(D1318=0,H1318,Rho*I1317+SQRT(1-Rho^2)*H1318),"")</f>
        <v/>
      </c>
      <c r="J1318">
        <f>IF(B1318,IF(Dist="Normal",DistA+DistB*I1318,DistA+(DistB-DistA)*NORMSDIST(I1318)),"")</f>
        <v/>
      </c>
      <c r="K1318">
        <f>IF(B1318,INDEX(MineScale,C1318),"")</f>
        <v/>
      </c>
      <c r="L1318">
        <f>IF(B1318,INDEX(Dow,1,WEEKDAY(E1318,2)),"")</f>
        <v/>
      </c>
      <c r="M1318">
        <f>IF(B1318,(1+Trend)^D1318,"")</f>
        <v/>
      </c>
      <c r="N1318">
        <f>IF(B1318,EXP(SUMPRODUCT(LN(1+(EvEff-1)*INDEX(Affected,0,C1318)*EXP(-((E1318-EvCenter)^2)/(2*EvSigma^2))))),"")</f>
        <v/>
      </c>
      <c r="O1318">
        <f>IF(B1318,ROUND(MAX(0,J1318*K1318*L1318*M1318*N1318),2),"")</f>
        <v/>
      </c>
    </row>
    <row r="1319">
      <c r="A1319" t="n">
        <v>1318</v>
      </c>
      <c r="B1319">
        <f>A1319&lt;=MineCount*Days</f>
        <v/>
      </c>
      <c r="C1319">
        <f>IF(B1319,INT((A1319-1)/Days)+1,"")</f>
        <v/>
      </c>
      <c r="D1319">
        <f>IF(B1319,MOD(A1319-1,Days),"")</f>
        <v/>
      </c>
      <c r="E1319" s="16">
        <f>IF(B1319,StartDate+D1319,"")</f>
        <v/>
      </c>
      <c r="F1319">
        <f>IF(B1319,MAX(MOD(SIN(Seed*0.1373+C1319*12.9898+D1319*78.233)*43758.5453,1),1E-9),"")</f>
        <v/>
      </c>
      <c r="G1319">
        <f>IF(B1319,MOD(SIN(Seed*0.5917+C1319*39.3468+D1319*11.135)*24634.6345,1),"")</f>
        <v/>
      </c>
      <c r="H1319">
        <f>IF(B1319,SQRT(-2*LN(F1319))*COS(2*PI()*G1319),"")</f>
        <v/>
      </c>
      <c r="I1319">
        <f>IF(B1319,IF(D1319=0,H1319,Rho*I1318+SQRT(1-Rho^2)*H1319),"")</f>
        <v/>
      </c>
      <c r="J1319">
        <f>IF(B1319,IF(Dist="Normal",DistA+DistB*I1319,DistA+(DistB-DistA)*NORMSDIST(I1319)),"")</f>
        <v/>
      </c>
      <c r="K1319">
        <f>IF(B1319,INDEX(MineScale,C1319),"")</f>
        <v/>
      </c>
      <c r="L1319">
        <f>IF(B1319,INDEX(Dow,1,WEEKDAY(E1319,2)),"")</f>
        <v/>
      </c>
      <c r="M1319">
        <f>IF(B1319,(1+Trend)^D1319,"")</f>
        <v/>
      </c>
      <c r="N1319">
        <f>IF(B1319,EXP(SUMPRODUCT(LN(1+(EvEff-1)*INDEX(Affected,0,C1319)*EXP(-((E1319-EvCenter)^2)/(2*EvSigma^2))))),"")</f>
        <v/>
      </c>
      <c r="O1319">
        <f>IF(B1319,ROUND(MAX(0,J1319*K1319*L1319*M1319*N1319),2),"")</f>
        <v/>
      </c>
    </row>
    <row r="1320">
      <c r="A1320" t="n">
        <v>1319</v>
      </c>
      <c r="B1320">
        <f>A1320&lt;=MineCount*Days</f>
        <v/>
      </c>
      <c r="C1320">
        <f>IF(B1320,INT((A1320-1)/Days)+1,"")</f>
        <v/>
      </c>
      <c r="D1320">
        <f>IF(B1320,MOD(A1320-1,Days),"")</f>
        <v/>
      </c>
      <c r="E1320" s="16">
        <f>IF(B1320,StartDate+D1320,"")</f>
        <v/>
      </c>
      <c r="F1320">
        <f>IF(B1320,MAX(MOD(SIN(Seed*0.1373+C1320*12.9898+D1320*78.233)*43758.5453,1),1E-9),"")</f>
        <v/>
      </c>
      <c r="G1320">
        <f>IF(B1320,MOD(SIN(Seed*0.5917+C1320*39.3468+D1320*11.135)*24634.6345,1),"")</f>
        <v/>
      </c>
      <c r="H1320">
        <f>IF(B1320,SQRT(-2*LN(F1320))*COS(2*PI()*G1320),"")</f>
        <v/>
      </c>
      <c r="I1320">
        <f>IF(B1320,IF(D1320=0,H1320,Rho*I1319+SQRT(1-Rho^2)*H1320),"")</f>
        <v/>
      </c>
      <c r="J1320">
        <f>IF(B1320,IF(Dist="Normal",DistA+DistB*I1320,DistA+(DistB-DistA)*NORMSDIST(I1320)),"")</f>
        <v/>
      </c>
      <c r="K1320">
        <f>IF(B1320,INDEX(MineScale,C1320),"")</f>
        <v/>
      </c>
      <c r="L1320">
        <f>IF(B1320,INDEX(Dow,1,WEEKDAY(E1320,2)),"")</f>
        <v/>
      </c>
      <c r="M1320">
        <f>IF(B1320,(1+Trend)^D1320,"")</f>
        <v/>
      </c>
      <c r="N1320">
        <f>IF(B1320,EXP(SUMPRODUCT(LN(1+(EvEff-1)*INDEX(Affected,0,C1320)*EXP(-((E1320-EvCenter)^2)/(2*EvSigma^2))))),"")</f>
        <v/>
      </c>
      <c r="O1320">
        <f>IF(B1320,ROUND(MAX(0,J1320*K1320*L1320*M1320*N1320),2),"")</f>
        <v/>
      </c>
    </row>
    <row r="1321">
      <c r="A1321" t="n">
        <v>1320</v>
      </c>
      <c r="B1321">
        <f>A1321&lt;=MineCount*Days</f>
        <v/>
      </c>
      <c r="C1321">
        <f>IF(B1321,INT((A1321-1)/Days)+1,"")</f>
        <v/>
      </c>
      <c r="D1321">
        <f>IF(B1321,MOD(A1321-1,Days),"")</f>
        <v/>
      </c>
      <c r="E1321" s="16">
        <f>IF(B1321,StartDate+D1321,"")</f>
        <v/>
      </c>
      <c r="F1321">
        <f>IF(B1321,MAX(MOD(SIN(Seed*0.1373+C1321*12.9898+D1321*78.233)*43758.5453,1),1E-9),"")</f>
        <v/>
      </c>
      <c r="G1321">
        <f>IF(B1321,MOD(SIN(Seed*0.5917+C1321*39.3468+D1321*11.135)*24634.6345,1),"")</f>
        <v/>
      </c>
      <c r="H1321">
        <f>IF(B1321,SQRT(-2*LN(F1321))*COS(2*PI()*G1321),"")</f>
        <v/>
      </c>
      <c r="I1321">
        <f>IF(B1321,IF(D1321=0,H1321,Rho*I1320+SQRT(1-Rho^2)*H1321),"")</f>
        <v/>
      </c>
      <c r="J1321">
        <f>IF(B1321,IF(Dist="Normal",DistA+DistB*I1321,DistA+(DistB-DistA)*NORMSDIST(I1321)),"")</f>
        <v/>
      </c>
      <c r="K1321">
        <f>IF(B1321,INDEX(MineScale,C1321),"")</f>
        <v/>
      </c>
      <c r="L1321">
        <f>IF(B1321,INDEX(Dow,1,WEEKDAY(E1321,2)),"")</f>
        <v/>
      </c>
      <c r="M1321">
        <f>IF(B1321,(1+Trend)^D1321,"")</f>
        <v/>
      </c>
      <c r="N1321">
        <f>IF(B1321,EXP(SUMPRODUCT(LN(1+(EvEff-1)*INDEX(Affected,0,C1321)*EXP(-((E1321-EvCenter)^2)/(2*EvSigma^2))))),"")</f>
        <v/>
      </c>
      <c r="O1321">
        <f>IF(B1321,ROUND(MAX(0,J1321*K1321*L1321*M1321*N1321),2),"")</f>
        <v/>
      </c>
    </row>
    <row r="1322">
      <c r="A1322" t="n">
        <v>1321</v>
      </c>
      <c r="B1322">
        <f>A1322&lt;=MineCount*Days</f>
        <v/>
      </c>
      <c r="C1322">
        <f>IF(B1322,INT((A1322-1)/Days)+1,"")</f>
        <v/>
      </c>
      <c r="D1322">
        <f>IF(B1322,MOD(A1322-1,Days),"")</f>
        <v/>
      </c>
      <c r="E1322" s="16">
        <f>IF(B1322,StartDate+D1322,"")</f>
        <v/>
      </c>
      <c r="F1322">
        <f>IF(B1322,MAX(MOD(SIN(Seed*0.1373+C1322*12.9898+D1322*78.233)*43758.5453,1),1E-9),"")</f>
        <v/>
      </c>
      <c r="G1322">
        <f>IF(B1322,MOD(SIN(Seed*0.5917+C1322*39.3468+D1322*11.135)*24634.6345,1),"")</f>
        <v/>
      </c>
      <c r="H1322">
        <f>IF(B1322,SQRT(-2*LN(F1322))*COS(2*PI()*G1322),"")</f>
        <v/>
      </c>
      <c r="I1322">
        <f>IF(B1322,IF(D1322=0,H1322,Rho*I1321+SQRT(1-Rho^2)*H1322),"")</f>
        <v/>
      </c>
      <c r="J1322">
        <f>IF(B1322,IF(Dist="Normal",DistA+DistB*I1322,DistA+(DistB-DistA)*NORMSDIST(I1322)),"")</f>
        <v/>
      </c>
      <c r="K1322">
        <f>IF(B1322,INDEX(MineScale,C1322),"")</f>
        <v/>
      </c>
      <c r="L1322">
        <f>IF(B1322,INDEX(Dow,1,WEEKDAY(E1322,2)),"")</f>
        <v/>
      </c>
      <c r="M1322">
        <f>IF(B1322,(1+Trend)^D1322,"")</f>
        <v/>
      </c>
      <c r="N1322">
        <f>IF(B1322,EXP(SUMPRODUCT(LN(1+(EvEff-1)*INDEX(Affected,0,C1322)*EXP(-((E1322-EvCenter)^2)/(2*EvSigma^2))))),"")</f>
        <v/>
      </c>
      <c r="O1322">
        <f>IF(B1322,ROUND(MAX(0,J1322*K1322*L1322*M1322*N1322),2),"")</f>
        <v/>
      </c>
    </row>
    <row r="1323">
      <c r="A1323" t="n">
        <v>1322</v>
      </c>
      <c r="B1323">
        <f>A1323&lt;=MineCount*Days</f>
        <v/>
      </c>
      <c r="C1323">
        <f>IF(B1323,INT((A1323-1)/Days)+1,"")</f>
        <v/>
      </c>
      <c r="D1323">
        <f>IF(B1323,MOD(A1323-1,Days),"")</f>
        <v/>
      </c>
      <c r="E1323" s="16">
        <f>IF(B1323,StartDate+D1323,"")</f>
        <v/>
      </c>
      <c r="F1323">
        <f>IF(B1323,MAX(MOD(SIN(Seed*0.1373+C1323*12.9898+D1323*78.233)*43758.5453,1),1E-9),"")</f>
        <v/>
      </c>
      <c r="G1323">
        <f>IF(B1323,MOD(SIN(Seed*0.5917+C1323*39.3468+D1323*11.135)*24634.6345,1),"")</f>
        <v/>
      </c>
      <c r="H1323">
        <f>IF(B1323,SQRT(-2*LN(F1323))*COS(2*PI()*G1323),"")</f>
        <v/>
      </c>
      <c r="I1323">
        <f>IF(B1323,IF(D1323=0,H1323,Rho*I1322+SQRT(1-Rho^2)*H1323),"")</f>
        <v/>
      </c>
      <c r="J1323">
        <f>IF(B1323,IF(Dist="Normal",DistA+DistB*I1323,DistA+(DistB-DistA)*NORMSDIST(I1323)),"")</f>
        <v/>
      </c>
      <c r="K1323">
        <f>IF(B1323,INDEX(MineScale,C1323),"")</f>
        <v/>
      </c>
      <c r="L1323">
        <f>IF(B1323,INDEX(Dow,1,WEEKDAY(E1323,2)),"")</f>
        <v/>
      </c>
      <c r="M1323">
        <f>IF(B1323,(1+Trend)^D1323,"")</f>
        <v/>
      </c>
      <c r="N1323">
        <f>IF(B1323,EXP(SUMPRODUCT(LN(1+(EvEff-1)*INDEX(Affected,0,C1323)*EXP(-((E1323-EvCenter)^2)/(2*EvSigma^2))))),"")</f>
        <v/>
      </c>
      <c r="O1323">
        <f>IF(B1323,ROUND(MAX(0,J1323*K1323*L1323*M1323*N1323),2),"")</f>
        <v/>
      </c>
    </row>
    <row r="1324">
      <c r="A1324" t="n">
        <v>1323</v>
      </c>
      <c r="B1324">
        <f>A1324&lt;=MineCount*Days</f>
        <v/>
      </c>
      <c r="C1324">
        <f>IF(B1324,INT((A1324-1)/Days)+1,"")</f>
        <v/>
      </c>
      <c r="D1324">
        <f>IF(B1324,MOD(A1324-1,Days),"")</f>
        <v/>
      </c>
      <c r="E1324" s="16">
        <f>IF(B1324,StartDate+D1324,"")</f>
        <v/>
      </c>
      <c r="F1324">
        <f>IF(B1324,MAX(MOD(SIN(Seed*0.1373+C1324*12.9898+D1324*78.233)*43758.5453,1),1E-9),"")</f>
        <v/>
      </c>
      <c r="G1324">
        <f>IF(B1324,MOD(SIN(Seed*0.5917+C1324*39.3468+D1324*11.135)*24634.6345,1),"")</f>
        <v/>
      </c>
      <c r="H1324">
        <f>IF(B1324,SQRT(-2*LN(F1324))*COS(2*PI()*G1324),"")</f>
        <v/>
      </c>
      <c r="I1324">
        <f>IF(B1324,IF(D1324=0,H1324,Rho*I1323+SQRT(1-Rho^2)*H1324),"")</f>
        <v/>
      </c>
      <c r="J1324">
        <f>IF(B1324,IF(Dist="Normal",DistA+DistB*I1324,DistA+(DistB-DistA)*NORMSDIST(I1324)),"")</f>
        <v/>
      </c>
      <c r="K1324">
        <f>IF(B1324,INDEX(MineScale,C1324),"")</f>
        <v/>
      </c>
      <c r="L1324">
        <f>IF(B1324,INDEX(Dow,1,WEEKDAY(E1324,2)),"")</f>
        <v/>
      </c>
      <c r="M1324">
        <f>IF(B1324,(1+Trend)^D1324,"")</f>
        <v/>
      </c>
      <c r="N1324">
        <f>IF(B1324,EXP(SUMPRODUCT(LN(1+(EvEff-1)*INDEX(Affected,0,C1324)*EXP(-((E1324-EvCenter)^2)/(2*EvSigma^2))))),"")</f>
        <v/>
      </c>
      <c r="O1324">
        <f>IF(B1324,ROUND(MAX(0,J1324*K1324*L1324*M1324*N1324),2),"")</f>
        <v/>
      </c>
    </row>
    <row r="1325">
      <c r="A1325" t="n">
        <v>1324</v>
      </c>
      <c r="B1325">
        <f>A1325&lt;=MineCount*Days</f>
        <v/>
      </c>
      <c r="C1325">
        <f>IF(B1325,INT((A1325-1)/Days)+1,"")</f>
        <v/>
      </c>
      <c r="D1325">
        <f>IF(B1325,MOD(A1325-1,Days),"")</f>
        <v/>
      </c>
      <c r="E1325" s="16">
        <f>IF(B1325,StartDate+D1325,"")</f>
        <v/>
      </c>
      <c r="F1325">
        <f>IF(B1325,MAX(MOD(SIN(Seed*0.1373+C1325*12.9898+D1325*78.233)*43758.5453,1),1E-9),"")</f>
        <v/>
      </c>
      <c r="G1325">
        <f>IF(B1325,MOD(SIN(Seed*0.5917+C1325*39.3468+D1325*11.135)*24634.6345,1),"")</f>
        <v/>
      </c>
      <c r="H1325">
        <f>IF(B1325,SQRT(-2*LN(F1325))*COS(2*PI()*G1325),"")</f>
        <v/>
      </c>
      <c r="I1325">
        <f>IF(B1325,IF(D1325=0,H1325,Rho*I1324+SQRT(1-Rho^2)*H1325),"")</f>
        <v/>
      </c>
      <c r="J1325">
        <f>IF(B1325,IF(Dist="Normal",DistA+DistB*I1325,DistA+(DistB-DistA)*NORMSDIST(I1325)),"")</f>
        <v/>
      </c>
      <c r="K1325">
        <f>IF(B1325,INDEX(MineScale,C1325),"")</f>
        <v/>
      </c>
      <c r="L1325">
        <f>IF(B1325,INDEX(Dow,1,WEEKDAY(E1325,2)),"")</f>
        <v/>
      </c>
      <c r="M1325">
        <f>IF(B1325,(1+Trend)^D1325,"")</f>
        <v/>
      </c>
      <c r="N1325">
        <f>IF(B1325,EXP(SUMPRODUCT(LN(1+(EvEff-1)*INDEX(Affected,0,C1325)*EXP(-((E1325-EvCenter)^2)/(2*EvSigma^2))))),"")</f>
        <v/>
      </c>
      <c r="O1325">
        <f>IF(B1325,ROUND(MAX(0,J1325*K1325*L1325*M1325*N1325),2),"")</f>
        <v/>
      </c>
    </row>
    <row r="1326">
      <c r="A1326" t="n">
        <v>1325</v>
      </c>
      <c r="B1326">
        <f>A1326&lt;=MineCount*Days</f>
        <v/>
      </c>
      <c r="C1326">
        <f>IF(B1326,INT((A1326-1)/Days)+1,"")</f>
        <v/>
      </c>
      <c r="D1326">
        <f>IF(B1326,MOD(A1326-1,Days),"")</f>
        <v/>
      </c>
      <c r="E1326" s="16">
        <f>IF(B1326,StartDate+D1326,"")</f>
        <v/>
      </c>
      <c r="F1326">
        <f>IF(B1326,MAX(MOD(SIN(Seed*0.1373+C1326*12.9898+D1326*78.233)*43758.5453,1),1E-9),"")</f>
        <v/>
      </c>
      <c r="G1326">
        <f>IF(B1326,MOD(SIN(Seed*0.5917+C1326*39.3468+D1326*11.135)*24634.6345,1),"")</f>
        <v/>
      </c>
      <c r="H1326">
        <f>IF(B1326,SQRT(-2*LN(F1326))*COS(2*PI()*G1326),"")</f>
        <v/>
      </c>
      <c r="I1326">
        <f>IF(B1326,IF(D1326=0,H1326,Rho*I1325+SQRT(1-Rho^2)*H1326),"")</f>
        <v/>
      </c>
      <c r="J1326">
        <f>IF(B1326,IF(Dist="Normal",DistA+DistB*I1326,DistA+(DistB-DistA)*NORMSDIST(I1326)),"")</f>
        <v/>
      </c>
      <c r="K1326">
        <f>IF(B1326,INDEX(MineScale,C1326),"")</f>
        <v/>
      </c>
      <c r="L1326">
        <f>IF(B1326,INDEX(Dow,1,WEEKDAY(E1326,2)),"")</f>
        <v/>
      </c>
      <c r="M1326">
        <f>IF(B1326,(1+Trend)^D1326,"")</f>
        <v/>
      </c>
      <c r="N1326">
        <f>IF(B1326,EXP(SUMPRODUCT(LN(1+(EvEff-1)*INDEX(Affected,0,C1326)*EXP(-((E1326-EvCenter)^2)/(2*EvSigma^2))))),"")</f>
        <v/>
      </c>
      <c r="O1326">
        <f>IF(B1326,ROUND(MAX(0,J1326*K1326*L1326*M1326*N1326),2),"")</f>
        <v/>
      </c>
    </row>
    <row r="1327">
      <c r="A1327" t="n">
        <v>1326</v>
      </c>
      <c r="B1327">
        <f>A1327&lt;=MineCount*Days</f>
        <v/>
      </c>
      <c r="C1327">
        <f>IF(B1327,INT((A1327-1)/Days)+1,"")</f>
        <v/>
      </c>
      <c r="D1327">
        <f>IF(B1327,MOD(A1327-1,Days),"")</f>
        <v/>
      </c>
      <c r="E1327" s="16">
        <f>IF(B1327,StartDate+D1327,"")</f>
        <v/>
      </c>
      <c r="F1327">
        <f>IF(B1327,MAX(MOD(SIN(Seed*0.1373+C1327*12.9898+D1327*78.233)*43758.5453,1),1E-9),"")</f>
        <v/>
      </c>
      <c r="G1327">
        <f>IF(B1327,MOD(SIN(Seed*0.5917+C1327*39.3468+D1327*11.135)*24634.6345,1),"")</f>
        <v/>
      </c>
      <c r="H1327">
        <f>IF(B1327,SQRT(-2*LN(F1327))*COS(2*PI()*G1327),"")</f>
        <v/>
      </c>
      <c r="I1327">
        <f>IF(B1327,IF(D1327=0,H1327,Rho*I1326+SQRT(1-Rho^2)*H1327),"")</f>
        <v/>
      </c>
      <c r="J1327">
        <f>IF(B1327,IF(Dist="Normal",DistA+DistB*I1327,DistA+(DistB-DistA)*NORMSDIST(I1327)),"")</f>
        <v/>
      </c>
      <c r="K1327">
        <f>IF(B1327,INDEX(MineScale,C1327),"")</f>
        <v/>
      </c>
      <c r="L1327">
        <f>IF(B1327,INDEX(Dow,1,WEEKDAY(E1327,2)),"")</f>
        <v/>
      </c>
      <c r="M1327">
        <f>IF(B1327,(1+Trend)^D1327,"")</f>
        <v/>
      </c>
      <c r="N1327">
        <f>IF(B1327,EXP(SUMPRODUCT(LN(1+(EvEff-1)*INDEX(Affected,0,C1327)*EXP(-((E1327-EvCenter)^2)/(2*EvSigma^2))))),"")</f>
        <v/>
      </c>
      <c r="O1327">
        <f>IF(B1327,ROUND(MAX(0,J1327*K1327*L1327*M1327*N1327),2),"")</f>
        <v/>
      </c>
    </row>
    <row r="1328">
      <c r="A1328" t="n">
        <v>1327</v>
      </c>
      <c r="B1328">
        <f>A1328&lt;=MineCount*Days</f>
        <v/>
      </c>
      <c r="C1328">
        <f>IF(B1328,INT((A1328-1)/Days)+1,"")</f>
        <v/>
      </c>
      <c r="D1328">
        <f>IF(B1328,MOD(A1328-1,Days),"")</f>
        <v/>
      </c>
      <c r="E1328" s="16">
        <f>IF(B1328,StartDate+D1328,"")</f>
        <v/>
      </c>
      <c r="F1328">
        <f>IF(B1328,MAX(MOD(SIN(Seed*0.1373+C1328*12.9898+D1328*78.233)*43758.5453,1),1E-9),"")</f>
        <v/>
      </c>
      <c r="G1328">
        <f>IF(B1328,MOD(SIN(Seed*0.5917+C1328*39.3468+D1328*11.135)*24634.6345,1),"")</f>
        <v/>
      </c>
      <c r="H1328">
        <f>IF(B1328,SQRT(-2*LN(F1328))*COS(2*PI()*G1328),"")</f>
        <v/>
      </c>
      <c r="I1328">
        <f>IF(B1328,IF(D1328=0,H1328,Rho*I1327+SQRT(1-Rho^2)*H1328),"")</f>
        <v/>
      </c>
      <c r="J1328">
        <f>IF(B1328,IF(Dist="Normal",DistA+DistB*I1328,DistA+(DistB-DistA)*NORMSDIST(I1328)),"")</f>
        <v/>
      </c>
      <c r="K1328">
        <f>IF(B1328,INDEX(MineScale,C1328),"")</f>
        <v/>
      </c>
      <c r="L1328">
        <f>IF(B1328,INDEX(Dow,1,WEEKDAY(E1328,2)),"")</f>
        <v/>
      </c>
      <c r="M1328">
        <f>IF(B1328,(1+Trend)^D1328,"")</f>
        <v/>
      </c>
      <c r="N1328">
        <f>IF(B1328,EXP(SUMPRODUCT(LN(1+(EvEff-1)*INDEX(Affected,0,C1328)*EXP(-((E1328-EvCenter)^2)/(2*EvSigma^2))))),"")</f>
        <v/>
      </c>
      <c r="O1328">
        <f>IF(B1328,ROUND(MAX(0,J1328*K1328*L1328*M1328*N1328),2),"")</f>
        <v/>
      </c>
    </row>
    <row r="1329">
      <c r="A1329" t="n">
        <v>1328</v>
      </c>
      <c r="B1329">
        <f>A1329&lt;=MineCount*Days</f>
        <v/>
      </c>
      <c r="C1329">
        <f>IF(B1329,INT((A1329-1)/Days)+1,"")</f>
        <v/>
      </c>
      <c r="D1329">
        <f>IF(B1329,MOD(A1329-1,Days),"")</f>
        <v/>
      </c>
      <c r="E1329" s="16">
        <f>IF(B1329,StartDate+D1329,"")</f>
        <v/>
      </c>
      <c r="F1329">
        <f>IF(B1329,MAX(MOD(SIN(Seed*0.1373+C1329*12.9898+D1329*78.233)*43758.5453,1),1E-9),"")</f>
        <v/>
      </c>
      <c r="G1329">
        <f>IF(B1329,MOD(SIN(Seed*0.5917+C1329*39.3468+D1329*11.135)*24634.6345,1),"")</f>
        <v/>
      </c>
      <c r="H1329">
        <f>IF(B1329,SQRT(-2*LN(F1329))*COS(2*PI()*G1329),"")</f>
        <v/>
      </c>
      <c r="I1329">
        <f>IF(B1329,IF(D1329=0,H1329,Rho*I1328+SQRT(1-Rho^2)*H1329),"")</f>
        <v/>
      </c>
      <c r="J1329">
        <f>IF(B1329,IF(Dist="Normal",DistA+DistB*I1329,DistA+(DistB-DistA)*NORMSDIST(I1329)),"")</f>
        <v/>
      </c>
      <c r="K1329">
        <f>IF(B1329,INDEX(MineScale,C1329),"")</f>
        <v/>
      </c>
      <c r="L1329">
        <f>IF(B1329,INDEX(Dow,1,WEEKDAY(E1329,2)),"")</f>
        <v/>
      </c>
      <c r="M1329">
        <f>IF(B1329,(1+Trend)^D1329,"")</f>
        <v/>
      </c>
      <c r="N1329">
        <f>IF(B1329,EXP(SUMPRODUCT(LN(1+(EvEff-1)*INDEX(Affected,0,C1329)*EXP(-((E1329-EvCenter)^2)/(2*EvSigma^2))))),"")</f>
        <v/>
      </c>
      <c r="O1329">
        <f>IF(B1329,ROUND(MAX(0,J1329*K1329*L1329*M1329*N1329),2),"")</f>
        <v/>
      </c>
    </row>
    <row r="1330">
      <c r="A1330" t="n">
        <v>1329</v>
      </c>
      <c r="B1330">
        <f>A1330&lt;=MineCount*Days</f>
        <v/>
      </c>
      <c r="C1330">
        <f>IF(B1330,INT((A1330-1)/Days)+1,"")</f>
        <v/>
      </c>
      <c r="D1330">
        <f>IF(B1330,MOD(A1330-1,Days),"")</f>
        <v/>
      </c>
      <c r="E1330" s="16">
        <f>IF(B1330,StartDate+D1330,"")</f>
        <v/>
      </c>
      <c r="F1330">
        <f>IF(B1330,MAX(MOD(SIN(Seed*0.1373+C1330*12.9898+D1330*78.233)*43758.5453,1),1E-9),"")</f>
        <v/>
      </c>
      <c r="G1330">
        <f>IF(B1330,MOD(SIN(Seed*0.5917+C1330*39.3468+D1330*11.135)*24634.6345,1),"")</f>
        <v/>
      </c>
      <c r="H1330">
        <f>IF(B1330,SQRT(-2*LN(F1330))*COS(2*PI()*G1330),"")</f>
        <v/>
      </c>
      <c r="I1330">
        <f>IF(B1330,IF(D1330=0,H1330,Rho*I1329+SQRT(1-Rho^2)*H1330),"")</f>
        <v/>
      </c>
      <c r="J1330">
        <f>IF(B1330,IF(Dist="Normal",DistA+DistB*I1330,DistA+(DistB-DistA)*NORMSDIST(I1330)),"")</f>
        <v/>
      </c>
      <c r="K1330">
        <f>IF(B1330,INDEX(MineScale,C1330),"")</f>
        <v/>
      </c>
      <c r="L1330">
        <f>IF(B1330,INDEX(Dow,1,WEEKDAY(E1330,2)),"")</f>
        <v/>
      </c>
      <c r="M1330">
        <f>IF(B1330,(1+Trend)^D1330,"")</f>
        <v/>
      </c>
      <c r="N1330">
        <f>IF(B1330,EXP(SUMPRODUCT(LN(1+(EvEff-1)*INDEX(Affected,0,C1330)*EXP(-((E1330-EvCenter)^2)/(2*EvSigma^2))))),"")</f>
        <v/>
      </c>
      <c r="O1330">
        <f>IF(B1330,ROUND(MAX(0,J1330*K1330*L1330*M1330*N1330),2),"")</f>
        <v/>
      </c>
    </row>
    <row r="1331">
      <c r="A1331" t="n">
        <v>1330</v>
      </c>
      <c r="B1331">
        <f>A1331&lt;=MineCount*Days</f>
        <v/>
      </c>
      <c r="C1331">
        <f>IF(B1331,INT((A1331-1)/Days)+1,"")</f>
        <v/>
      </c>
      <c r="D1331">
        <f>IF(B1331,MOD(A1331-1,Days),"")</f>
        <v/>
      </c>
      <c r="E1331" s="16">
        <f>IF(B1331,StartDate+D1331,"")</f>
        <v/>
      </c>
      <c r="F1331">
        <f>IF(B1331,MAX(MOD(SIN(Seed*0.1373+C1331*12.9898+D1331*78.233)*43758.5453,1),1E-9),"")</f>
        <v/>
      </c>
      <c r="G1331">
        <f>IF(B1331,MOD(SIN(Seed*0.5917+C1331*39.3468+D1331*11.135)*24634.6345,1),"")</f>
        <v/>
      </c>
      <c r="H1331">
        <f>IF(B1331,SQRT(-2*LN(F1331))*COS(2*PI()*G1331),"")</f>
        <v/>
      </c>
      <c r="I1331">
        <f>IF(B1331,IF(D1331=0,H1331,Rho*I1330+SQRT(1-Rho^2)*H1331),"")</f>
        <v/>
      </c>
      <c r="J1331">
        <f>IF(B1331,IF(Dist="Normal",DistA+DistB*I1331,DistA+(DistB-DistA)*NORMSDIST(I1331)),"")</f>
        <v/>
      </c>
      <c r="K1331">
        <f>IF(B1331,INDEX(MineScale,C1331),"")</f>
        <v/>
      </c>
      <c r="L1331">
        <f>IF(B1331,INDEX(Dow,1,WEEKDAY(E1331,2)),"")</f>
        <v/>
      </c>
      <c r="M1331">
        <f>IF(B1331,(1+Trend)^D1331,"")</f>
        <v/>
      </c>
      <c r="N1331">
        <f>IF(B1331,EXP(SUMPRODUCT(LN(1+(EvEff-1)*INDEX(Affected,0,C1331)*EXP(-((E1331-EvCenter)^2)/(2*EvSigma^2))))),"")</f>
        <v/>
      </c>
      <c r="O1331">
        <f>IF(B1331,ROUND(MAX(0,J1331*K1331*L1331*M1331*N1331),2),"")</f>
        <v/>
      </c>
    </row>
    <row r="1332">
      <c r="A1332" t="n">
        <v>1331</v>
      </c>
      <c r="B1332">
        <f>A1332&lt;=MineCount*Days</f>
        <v/>
      </c>
      <c r="C1332">
        <f>IF(B1332,INT((A1332-1)/Days)+1,"")</f>
        <v/>
      </c>
      <c r="D1332">
        <f>IF(B1332,MOD(A1332-1,Days),"")</f>
        <v/>
      </c>
      <c r="E1332" s="16">
        <f>IF(B1332,StartDate+D1332,"")</f>
        <v/>
      </c>
      <c r="F1332">
        <f>IF(B1332,MAX(MOD(SIN(Seed*0.1373+C1332*12.9898+D1332*78.233)*43758.5453,1),1E-9),"")</f>
        <v/>
      </c>
      <c r="G1332">
        <f>IF(B1332,MOD(SIN(Seed*0.5917+C1332*39.3468+D1332*11.135)*24634.6345,1),"")</f>
        <v/>
      </c>
      <c r="H1332">
        <f>IF(B1332,SQRT(-2*LN(F1332))*COS(2*PI()*G1332),"")</f>
        <v/>
      </c>
      <c r="I1332">
        <f>IF(B1332,IF(D1332=0,H1332,Rho*I1331+SQRT(1-Rho^2)*H1332),"")</f>
        <v/>
      </c>
      <c r="J1332">
        <f>IF(B1332,IF(Dist="Normal",DistA+DistB*I1332,DistA+(DistB-DistA)*NORMSDIST(I1332)),"")</f>
        <v/>
      </c>
      <c r="K1332">
        <f>IF(B1332,INDEX(MineScale,C1332),"")</f>
        <v/>
      </c>
      <c r="L1332">
        <f>IF(B1332,INDEX(Dow,1,WEEKDAY(E1332,2)),"")</f>
        <v/>
      </c>
      <c r="M1332">
        <f>IF(B1332,(1+Trend)^D1332,"")</f>
        <v/>
      </c>
      <c r="N1332">
        <f>IF(B1332,EXP(SUMPRODUCT(LN(1+(EvEff-1)*INDEX(Affected,0,C1332)*EXP(-((E1332-EvCenter)^2)/(2*EvSigma^2))))),"")</f>
        <v/>
      </c>
      <c r="O1332">
        <f>IF(B1332,ROUND(MAX(0,J1332*K1332*L1332*M1332*N1332),2),"")</f>
        <v/>
      </c>
    </row>
    <row r="1333">
      <c r="A1333" t="n">
        <v>1332</v>
      </c>
      <c r="B1333">
        <f>A1333&lt;=MineCount*Days</f>
        <v/>
      </c>
      <c r="C1333">
        <f>IF(B1333,INT((A1333-1)/Days)+1,"")</f>
        <v/>
      </c>
      <c r="D1333">
        <f>IF(B1333,MOD(A1333-1,Days),"")</f>
        <v/>
      </c>
      <c r="E1333" s="16">
        <f>IF(B1333,StartDate+D1333,"")</f>
        <v/>
      </c>
      <c r="F1333">
        <f>IF(B1333,MAX(MOD(SIN(Seed*0.1373+C1333*12.9898+D1333*78.233)*43758.5453,1),1E-9),"")</f>
        <v/>
      </c>
      <c r="G1333">
        <f>IF(B1333,MOD(SIN(Seed*0.5917+C1333*39.3468+D1333*11.135)*24634.6345,1),"")</f>
        <v/>
      </c>
      <c r="H1333">
        <f>IF(B1333,SQRT(-2*LN(F1333))*COS(2*PI()*G1333),"")</f>
        <v/>
      </c>
      <c r="I1333">
        <f>IF(B1333,IF(D1333=0,H1333,Rho*I1332+SQRT(1-Rho^2)*H1333),"")</f>
        <v/>
      </c>
      <c r="J1333">
        <f>IF(B1333,IF(Dist="Normal",DistA+DistB*I1333,DistA+(DistB-DistA)*NORMSDIST(I1333)),"")</f>
        <v/>
      </c>
      <c r="K1333">
        <f>IF(B1333,INDEX(MineScale,C1333),"")</f>
        <v/>
      </c>
      <c r="L1333">
        <f>IF(B1333,INDEX(Dow,1,WEEKDAY(E1333,2)),"")</f>
        <v/>
      </c>
      <c r="M1333">
        <f>IF(B1333,(1+Trend)^D1333,"")</f>
        <v/>
      </c>
      <c r="N1333">
        <f>IF(B1333,EXP(SUMPRODUCT(LN(1+(EvEff-1)*INDEX(Affected,0,C1333)*EXP(-((E1333-EvCenter)^2)/(2*EvSigma^2))))),"")</f>
        <v/>
      </c>
      <c r="O1333">
        <f>IF(B1333,ROUND(MAX(0,J1333*K1333*L1333*M1333*N1333),2),"")</f>
        <v/>
      </c>
    </row>
    <row r="1334">
      <c r="A1334" t="n">
        <v>1333</v>
      </c>
      <c r="B1334">
        <f>A1334&lt;=MineCount*Days</f>
        <v/>
      </c>
      <c r="C1334">
        <f>IF(B1334,INT((A1334-1)/Days)+1,"")</f>
        <v/>
      </c>
      <c r="D1334">
        <f>IF(B1334,MOD(A1334-1,Days),"")</f>
        <v/>
      </c>
      <c r="E1334" s="16">
        <f>IF(B1334,StartDate+D1334,"")</f>
        <v/>
      </c>
      <c r="F1334">
        <f>IF(B1334,MAX(MOD(SIN(Seed*0.1373+C1334*12.9898+D1334*78.233)*43758.5453,1),1E-9),"")</f>
        <v/>
      </c>
      <c r="G1334">
        <f>IF(B1334,MOD(SIN(Seed*0.5917+C1334*39.3468+D1334*11.135)*24634.6345,1),"")</f>
        <v/>
      </c>
      <c r="H1334">
        <f>IF(B1334,SQRT(-2*LN(F1334))*COS(2*PI()*G1334),"")</f>
        <v/>
      </c>
      <c r="I1334">
        <f>IF(B1334,IF(D1334=0,H1334,Rho*I1333+SQRT(1-Rho^2)*H1334),"")</f>
        <v/>
      </c>
      <c r="J1334">
        <f>IF(B1334,IF(Dist="Normal",DistA+DistB*I1334,DistA+(DistB-DistA)*NORMSDIST(I1334)),"")</f>
        <v/>
      </c>
      <c r="K1334">
        <f>IF(B1334,INDEX(MineScale,C1334),"")</f>
        <v/>
      </c>
      <c r="L1334">
        <f>IF(B1334,INDEX(Dow,1,WEEKDAY(E1334,2)),"")</f>
        <v/>
      </c>
      <c r="M1334">
        <f>IF(B1334,(1+Trend)^D1334,"")</f>
        <v/>
      </c>
      <c r="N1334">
        <f>IF(B1334,EXP(SUMPRODUCT(LN(1+(EvEff-1)*INDEX(Affected,0,C1334)*EXP(-((E1334-EvCenter)^2)/(2*EvSigma^2))))),"")</f>
        <v/>
      </c>
      <c r="O1334">
        <f>IF(B1334,ROUND(MAX(0,J1334*K1334*L1334*M1334*N1334),2),"")</f>
        <v/>
      </c>
    </row>
    <row r="1335">
      <c r="A1335" t="n">
        <v>1334</v>
      </c>
      <c r="B1335">
        <f>A1335&lt;=MineCount*Days</f>
        <v/>
      </c>
      <c r="C1335">
        <f>IF(B1335,INT((A1335-1)/Days)+1,"")</f>
        <v/>
      </c>
      <c r="D1335">
        <f>IF(B1335,MOD(A1335-1,Days),"")</f>
        <v/>
      </c>
      <c r="E1335" s="16">
        <f>IF(B1335,StartDate+D1335,"")</f>
        <v/>
      </c>
      <c r="F1335">
        <f>IF(B1335,MAX(MOD(SIN(Seed*0.1373+C1335*12.9898+D1335*78.233)*43758.5453,1),1E-9),"")</f>
        <v/>
      </c>
      <c r="G1335">
        <f>IF(B1335,MOD(SIN(Seed*0.5917+C1335*39.3468+D1335*11.135)*24634.6345,1),"")</f>
        <v/>
      </c>
      <c r="H1335">
        <f>IF(B1335,SQRT(-2*LN(F1335))*COS(2*PI()*G1335),"")</f>
        <v/>
      </c>
      <c r="I1335">
        <f>IF(B1335,IF(D1335=0,H1335,Rho*I1334+SQRT(1-Rho^2)*H1335),"")</f>
        <v/>
      </c>
      <c r="J1335">
        <f>IF(B1335,IF(Dist="Normal",DistA+DistB*I1335,DistA+(DistB-DistA)*NORMSDIST(I1335)),"")</f>
        <v/>
      </c>
      <c r="K1335">
        <f>IF(B1335,INDEX(MineScale,C1335),"")</f>
        <v/>
      </c>
      <c r="L1335">
        <f>IF(B1335,INDEX(Dow,1,WEEKDAY(E1335,2)),"")</f>
        <v/>
      </c>
      <c r="M1335">
        <f>IF(B1335,(1+Trend)^D1335,"")</f>
        <v/>
      </c>
      <c r="N1335">
        <f>IF(B1335,EXP(SUMPRODUCT(LN(1+(EvEff-1)*INDEX(Affected,0,C1335)*EXP(-((E1335-EvCenter)^2)/(2*EvSigma^2))))),"")</f>
        <v/>
      </c>
      <c r="O1335">
        <f>IF(B1335,ROUND(MAX(0,J1335*K1335*L1335*M1335*N1335),2),"")</f>
        <v/>
      </c>
    </row>
    <row r="1336">
      <c r="A1336" t="n">
        <v>1335</v>
      </c>
      <c r="B1336">
        <f>A1336&lt;=MineCount*Days</f>
        <v/>
      </c>
      <c r="C1336">
        <f>IF(B1336,INT((A1336-1)/Days)+1,"")</f>
        <v/>
      </c>
      <c r="D1336">
        <f>IF(B1336,MOD(A1336-1,Days),"")</f>
        <v/>
      </c>
      <c r="E1336" s="16">
        <f>IF(B1336,StartDate+D1336,"")</f>
        <v/>
      </c>
      <c r="F1336">
        <f>IF(B1336,MAX(MOD(SIN(Seed*0.1373+C1336*12.9898+D1336*78.233)*43758.5453,1),1E-9),"")</f>
        <v/>
      </c>
      <c r="G1336">
        <f>IF(B1336,MOD(SIN(Seed*0.5917+C1336*39.3468+D1336*11.135)*24634.6345,1),"")</f>
        <v/>
      </c>
      <c r="H1336">
        <f>IF(B1336,SQRT(-2*LN(F1336))*COS(2*PI()*G1336),"")</f>
        <v/>
      </c>
      <c r="I1336">
        <f>IF(B1336,IF(D1336=0,H1336,Rho*I1335+SQRT(1-Rho^2)*H1336),"")</f>
        <v/>
      </c>
      <c r="J1336">
        <f>IF(B1336,IF(Dist="Normal",DistA+DistB*I1336,DistA+(DistB-DistA)*NORMSDIST(I1336)),"")</f>
        <v/>
      </c>
      <c r="K1336">
        <f>IF(B1336,INDEX(MineScale,C1336),"")</f>
        <v/>
      </c>
      <c r="L1336">
        <f>IF(B1336,INDEX(Dow,1,WEEKDAY(E1336,2)),"")</f>
        <v/>
      </c>
      <c r="M1336">
        <f>IF(B1336,(1+Trend)^D1336,"")</f>
        <v/>
      </c>
      <c r="N1336">
        <f>IF(B1336,EXP(SUMPRODUCT(LN(1+(EvEff-1)*INDEX(Affected,0,C1336)*EXP(-((E1336-EvCenter)^2)/(2*EvSigma^2))))),"")</f>
        <v/>
      </c>
      <c r="O1336">
        <f>IF(B1336,ROUND(MAX(0,J1336*K1336*L1336*M1336*N1336),2),"")</f>
        <v/>
      </c>
    </row>
    <row r="1337">
      <c r="A1337" t="n">
        <v>1336</v>
      </c>
      <c r="B1337">
        <f>A1337&lt;=MineCount*Days</f>
        <v/>
      </c>
      <c r="C1337">
        <f>IF(B1337,INT((A1337-1)/Days)+1,"")</f>
        <v/>
      </c>
      <c r="D1337">
        <f>IF(B1337,MOD(A1337-1,Days),"")</f>
        <v/>
      </c>
      <c r="E1337" s="16">
        <f>IF(B1337,StartDate+D1337,"")</f>
        <v/>
      </c>
      <c r="F1337">
        <f>IF(B1337,MAX(MOD(SIN(Seed*0.1373+C1337*12.9898+D1337*78.233)*43758.5453,1),1E-9),"")</f>
        <v/>
      </c>
      <c r="G1337">
        <f>IF(B1337,MOD(SIN(Seed*0.5917+C1337*39.3468+D1337*11.135)*24634.6345,1),"")</f>
        <v/>
      </c>
      <c r="H1337">
        <f>IF(B1337,SQRT(-2*LN(F1337))*COS(2*PI()*G1337),"")</f>
        <v/>
      </c>
      <c r="I1337">
        <f>IF(B1337,IF(D1337=0,H1337,Rho*I1336+SQRT(1-Rho^2)*H1337),"")</f>
        <v/>
      </c>
      <c r="J1337">
        <f>IF(B1337,IF(Dist="Normal",DistA+DistB*I1337,DistA+(DistB-DistA)*NORMSDIST(I1337)),"")</f>
        <v/>
      </c>
      <c r="K1337">
        <f>IF(B1337,INDEX(MineScale,C1337),"")</f>
        <v/>
      </c>
      <c r="L1337">
        <f>IF(B1337,INDEX(Dow,1,WEEKDAY(E1337,2)),"")</f>
        <v/>
      </c>
      <c r="M1337">
        <f>IF(B1337,(1+Trend)^D1337,"")</f>
        <v/>
      </c>
      <c r="N1337">
        <f>IF(B1337,EXP(SUMPRODUCT(LN(1+(EvEff-1)*INDEX(Affected,0,C1337)*EXP(-((E1337-EvCenter)^2)/(2*EvSigma^2))))),"")</f>
        <v/>
      </c>
      <c r="O1337">
        <f>IF(B1337,ROUND(MAX(0,J1337*K1337*L1337*M1337*N1337),2),"")</f>
        <v/>
      </c>
    </row>
    <row r="1338">
      <c r="A1338" t="n">
        <v>1337</v>
      </c>
      <c r="B1338">
        <f>A1338&lt;=MineCount*Days</f>
        <v/>
      </c>
      <c r="C1338">
        <f>IF(B1338,INT((A1338-1)/Days)+1,"")</f>
        <v/>
      </c>
      <c r="D1338">
        <f>IF(B1338,MOD(A1338-1,Days),"")</f>
        <v/>
      </c>
      <c r="E1338" s="16">
        <f>IF(B1338,StartDate+D1338,"")</f>
        <v/>
      </c>
      <c r="F1338">
        <f>IF(B1338,MAX(MOD(SIN(Seed*0.1373+C1338*12.9898+D1338*78.233)*43758.5453,1),1E-9),"")</f>
        <v/>
      </c>
      <c r="G1338">
        <f>IF(B1338,MOD(SIN(Seed*0.5917+C1338*39.3468+D1338*11.135)*24634.6345,1),"")</f>
        <v/>
      </c>
      <c r="H1338">
        <f>IF(B1338,SQRT(-2*LN(F1338))*COS(2*PI()*G1338),"")</f>
        <v/>
      </c>
      <c r="I1338">
        <f>IF(B1338,IF(D1338=0,H1338,Rho*I1337+SQRT(1-Rho^2)*H1338),"")</f>
        <v/>
      </c>
      <c r="J1338">
        <f>IF(B1338,IF(Dist="Normal",DistA+DistB*I1338,DistA+(DistB-DistA)*NORMSDIST(I1338)),"")</f>
        <v/>
      </c>
      <c r="K1338">
        <f>IF(B1338,INDEX(MineScale,C1338),"")</f>
        <v/>
      </c>
      <c r="L1338">
        <f>IF(B1338,INDEX(Dow,1,WEEKDAY(E1338,2)),"")</f>
        <v/>
      </c>
      <c r="M1338">
        <f>IF(B1338,(1+Trend)^D1338,"")</f>
        <v/>
      </c>
      <c r="N1338">
        <f>IF(B1338,EXP(SUMPRODUCT(LN(1+(EvEff-1)*INDEX(Affected,0,C1338)*EXP(-((E1338-EvCenter)^2)/(2*EvSigma^2))))),"")</f>
        <v/>
      </c>
      <c r="O1338">
        <f>IF(B1338,ROUND(MAX(0,J1338*K1338*L1338*M1338*N1338),2),"")</f>
        <v/>
      </c>
    </row>
    <row r="1339">
      <c r="A1339" t="n">
        <v>1338</v>
      </c>
      <c r="B1339">
        <f>A1339&lt;=MineCount*Days</f>
        <v/>
      </c>
      <c r="C1339">
        <f>IF(B1339,INT((A1339-1)/Days)+1,"")</f>
        <v/>
      </c>
      <c r="D1339">
        <f>IF(B1339,MOD(A1339-1,Days),"")</f>
        <v/>
      </c>
      <c r="E1339" s="16">
        <f>IF(B1339,StartDate+D1339,"")</f>
        <v/>
      </c>
      <c r="F1339">
        <f>IF(B1339,MAX(MOD(SIN(Seed*0.1373+C1339*12.9898+D1339*78.233)*43758.5453,1),1E-9),"")</f>
        <v/>
      </c>
      <c r="G1339">
        <f>IF(B1339,MOD(SIN(Seed*0.5917+C1339*39.3468+D1339*11.135)*24634.6345,1),"")</f>
        <v/>
      </c>
      <c r="H1339">
        <f>IF(B1339,SQRT(-2*LN(F1339))*COS(2*PI()*G1339),"")</f>
        <v/>
      </c>
      <c r="I1339">
        <f>IF(B1339,IF(D1339=0,H1339,Rho*I1338+SQRT(1-Rho^2)*H1339),"")</f>
        <v/>
      </c>
      <c r="J1339">
        <f>IF(B1339,IF(Dist="Normal",DistA+DistB*I1339,DistA+(DistB-DistA)*NORMSDIST(I1339)),"")</f>
        <v/>
      </c>
      <c r="K1339">
        <f>IF(B1339,INDEX(MineScale,C1339),"")</f>
        <v/>
      </c>
      <c r="L1339">
        <f>IF(B1339,INDEX(Dow,1,WEEKDAY(E1339,2)),"")</f>
        <v/>
      </c>
      <c r="M1339">
        <f>IF(B1339,(1+Trend)^D1339,"")</f>
        <v/>
      </c>
      <c r="N1339">
        <f>IF(B1339,EXP(SUMPRODUCT(LN(1+(EvEff-1)*INDEX(Affected,0,C1339)*EXP(-((E1339-EvCenter)^2)/(2*EvSigma^2))))),"")</f>
        <v/>
      </c>
      <c r="O1339">
        <f>IF(B1339,ROUND(MAX(0,J1339*K1339*L1339*M1339*N1339),2),"")</f>
        <v/>
      </c>
    </row>
    <row r="1340">
      <c r="A1340" t="n">
        <v>1339</v>
      </c>
      <c r="B1340">
        <f>A1340&lt;=MineCount*Days</f>
        <v/>
      </c>
      <c r="C1340">
        <f>IF(B1340,INT((A1340-1)/Days)+1,"")</f>
        <v/>
      </c>
      <c r="D1340">
        <f>IF(B1340,MOD(A1340-1,Days),"")</f>
        <v/>
      </c>
      <c r="E1340" s="16">
        <f>IF(B1340,StartDate+D1340,"")</f>
        <v/>
      </c>
      <c r="F1340">
        <f>IF(B1340,MAX(MOD(SIN(Seed*0.1373+C1340*12.9898+D1340*78.233)*43758.5453,1),1E-9),"")</f>
        <v/>
      </c>
      <c r="G1340">
        <f>IF(B1340,MOD(SIN(Seed*0.5917+C1340*39.3468+D1340*11.135)*24634.6345,1),"")</f>
        <v/>
      </c>
      <c r="H1340">
        <f>IF(B1340,SQRT(-2*LN(F1340))*COS(2*PI()*G1340),"")</f>
        <v/>
      </c>
      <c r="I1340">
        <f>IF(B1340,IF(D1340=0,H1340,Rho*I1339+SQRT(1-Rho^2)*H1340),"")</f>
        <v/>
      </c>
      <c r="J1340">
        <f>IF(B1340,IF(Dist="Normal",DistA+DistB*I1340,DistA+(DistB-DistA)*NORMSDIST(I1340)),"")</f>
        <v/>
      </c>
      <c r="K1340">
        <f>IF(B1340,INDEX(MineScale,C1340),"")</f>
        <v/>
      </c>
      <c r="L1340">
        <f>IF(B1340,INDEX(Dow,1,WEEKDAY(E1340,2)),"")</f>
        <v/>
      </c>
      <c r="M1340">
        <f>IF(B1340,(1+Trend)^D1340,"")</f>
        <v/>
      </c>
      <c r="N1340">
        <f>IF(B1340,EXP(SUMPRODUCT(LN(1+(EvEff-1)*INDEX(Affected,0,C1340)*EXP(-((E1340-EvCenter)^2)/(2*EvSigma^2))))),"")</f>
        <v/>
      </c>
      <c r="O1340">
        <f>IF(B1340,ROUND(MAX(0,J1340*K1340*L1340*M1340*N1340),2),"")</f>
        <v/>
      </c>
    </row>
    <row r="1341">
      <c r="A1341" t="n">
        <v>1340</v>
      </c>
      <c r="B1341">
        <f>A1341&lt;=MineCount*Days</f>
        <v/>
      </c>
      <c r="C1341">
        <f>IF(B1341,INT((A1341-1)/Days)+1,"")</f>
        <v/>
      </c>
      <c r="D1341">
        <f>IF(B1341,MOD(A1341-1,Days),"")</f>
        <v/>
      </c>
      <c r="E1341" s="16">
        <f>IF(B1341,StartDate+D1341,"")</f>
        <v/>
      </c>
      <c r="F1341">
        <f>IF(B1341,MAX(MOD(SIN(Seed*0.1373+C1341*12.9898+D1341*78.233)*43758.5453,1),1E-9),"")</f>
        <v/>
      </c>
      <c r="G1341">
        <f>IF(B1341,MOD(SIN(Seed*0.5917+C1341*39.3468+D1341*11.135)*24634.6345,1),"")</f>
        <v/>
      </c>
      <c r="H1341">
        <f>IF(B1341,SQRT(-2*LN(F1341))*COS(2*PI()*G1341),"")</f>
        <v/>
      </c>
      <c r="I1341">
        <f>IF(B1341,IF(D1341=0,H1341,Rho*I1340+SQRT(1-Rho^2)*H1341),"")</f>
        <v/>
      </c>
      <c r="J1341">
        <f>IF(B1341,IF(Dist="Normal",DistA+DistB*I1341,DistA+(DistB-DistA)*NORMSDIST(I1341)),"")</f>
        <v/>
      </c>
      <c r="K1341">
        <f>IF(B1341,INDEX(MineScale,C1341),"")</f>
        <v/>
      </c>
      <c r="L1341">
        <f>IF(B1341,INDEX(Dow,1,WEEKDAY(E1341,2)),"")</f>
        <v/>
      </c>
      <c r="M1341">
        <f>IF(B1341,(1+Trend)^D1341,"")</f>
        <v/>
      </c>
      <c r="N1341">
        <f>IF(B1341,EXP(SUMPRODUCT(LN(1+(EvEff-1)*INDEX(Affected,0,C1341)*EXP(-((E1341-EvCenter)^2)/(2*EvSigma^2))))),"")</f>
        <v/>
      </c>
      <c r="O1341">
        <f>IF(B1341,ROUND(MAX(0,J1341*K1341*L1341*M1341*N1341),2),"")</f>
        <v/>
      </c>
    </row>
    <row r="1342">
      <c r="A1342" t="n">
        <v>1341</v>
      </c>
      <c r="B1342">
        <f>A1342&lt;=MineCount*Days</f>
        <v/>
      </c>
      <c r="C1342">
        <f>IF(B1342,INT((A1342-1)/Days)+1,"")</f>
        <v/>
      </c>
      <c r="D1342">
        <f>IF(B1342,MOD(A1342-1,Days),"")</f>
        <v/>
      </c>
      <c r="E1342" s="16">
        <f>IF(B1342,StartDate+D1342,"")</f>
        <v/>
      </c>
      <c r="F1342">
        <f>IF(B1342,MAX(MOD(SIN(Seed*0.1373+C1342*12.9898+D1342*78.233)*43758.5453,1),1E-9),"")</f>
        <v/>
      </c>
      <c r="G1342">
        <f>IF(B1342,MOD(SIN(Seed*0.5917+C1342*39.3468+D1342*11.135)*24634.6345,1),"")</f>
        <v/>
      </c>
      <c r="H1342">
        <f>IF(B1342,SQRT(-2*LN(F1342))*COS(2*PI()*G1342),"")</f>
        <v/>
      </c>
      <c r="I1342">
        <f>IF(B1342,IF(D1342=0,H1342,Rho*I1341+SQRT(1-Rho^2)*H1342),"")</f>
        <v/>
      </c>
      <c r="J1342">
        <f>IF(B1342,IF(Dist="Normal",DistA+DistB*I1342,DistA+(DistB-DistA)*NORMSDIST(I1342)),"")</f>
        <v/>
      </c>
      <c r="K1342">
        <f>IF(B1342,INDEX(MineScale,C1342),"")</f>
        <v/>
      </c>
      <c r="L1342">
        <f>IF(B1342,INDEX(Dow,1,WEEKDAY(E1342,2)),"")</f>
        <v/>
      </c>
      <c r="M1342">
        <f>IF(B1342,(1+Trend)^D1342,"")</f>
        <v/>
      </c>
      <c r="N1342">
        <f>IF(B1342,EXP(SUMPRODUCT(LN(1+(EvEff-1)*INDEX(Affected,0,C1342)*EXP(-((E1342-EvCenter)^2)/(2*EvSigma^2))))),"")</f>
        <v/>
      </c>
      <c r="O1342">
        <f>IF(B1342,ROUND(MAX(0,J1342*K1342*L1342*M1342*N1342),2),"")</f>
        <v/>
      </c>
    </row>
    <row r="1343">
      <c r="A1343" t="n">
        <v>1342</v>
      </c>
      <c r="B1343">
        <f>A1343&lt;=MineCount*Days</f>
        <v/>
      </c>
      <c r="C1343">
        <f>IF(B1343,INT((A1343-1)/Days)+1,"")</f>
        <v/>
      </c>
      <c r="D1343">
        <f>IF(B1343,MOD(A1343-1,Days),"")</f>
        <v/>
      </c>
      <c r="E1343" s="16">
        <f>IF(B1343,StartDate+D1343,"")</f>
        <v/>
      </c>
      <c r="F1343">
        <f>IF(B1343,MAX(MOD(SIN(Seed*0.1373+C1343*12.9898+D1343*78.233)*43758.5453,1),1E-9),"")</f>
        <v/>
      </c>
      <c r="G1343">
        <f>IF(B1343,MOD(SIN(Seed*0.5917+C1343*39.3468+D1343*11.135)*24634.6345,1),"")</f>
        <v/>
      </c>
      <c r="H1343">
        <f>IF(B1343,SQRT(-2*LN(F1343))*COS(2*PI()*G1343),"")</f>
        <v/>
      </c>
      <c r="I1343">
        <f>IF(B1343,IF(D1343=0,H1343,Rho*I1342+SQRT(1-Rho^2)*H1343),"")</f>
        <v/>
      </c>
      <c r="J1343">
        <f>IF(B1343,IF(Dist="Normal",DistA+DistB*I1343,DistA+(DistB-DistA)*NORMSDIST(I1343)),"")</f>
        <v/>
      </c>
      <c r="K1343">
        <f>IF(B1343,INDEX(MineScale,C1343),"")</f>
        <v/>
      </c>
      <c r="L1343">
        <f>IF(B1343,INDEX(Dow,1,WEEKDAY(E1343,2)),"")</f>
        <v/>
      </c>
      <c r="M1343">
        <f>IF(B1343,(1+Trend)^D1343,"")</f>
        <v/>
      </c>
      <c r="N1343">
        <f>IF(B1343,EXP(SUMPRODUCT(LN(1+(EvEff-1)*INDEX(Affected,0,C1343)*EXP(-((E1343-EvCenter)^2)/(2*EvSigma^2))))),"")</f>
        <v/>
      </c>
      <c r="O1343">
        <f>IF(B1343,ROUND(MAX(0,J1343*K1343*L1343*M1343*N1343),2),"")</f>
        <v/>
      </c>
    </row>
    <row r="1344">
      <c r="A1344" t="n">
        <v>1343</v>
      </c>
      <c r="B1344">
        <f>A1344&lt;=MineCount*Days</f>
        <v/>
      </c>
      <c r="C1344">
        <f>IF(B1344,INT((A1344-1)/Days)+1,"")</f>
        <v/>
      </c>
      <c r="D1344">
        <f>IF(B1344,MOD(A1344-1,Days),"")</f>
        <v/>
      </c>
      <c r="E1344" s="16">
        <f>IF(B1344,StartDate+D1344,"")</f>
        <v/>
      </c>
      <c r="F1344">
        <f>IF(B1344,MAX(MOD(SIN(Seed*0.1373+C1344*12.9898+D1344*78.233)*43758.5453,1),1E-9),"")</f>
        <v/>
      </c>
      <c r="G1344">
        <f>IF(B1344,MOD(SIN(Seed*0.5917+C1344*39.3468+D1344*11.135)*24634.6345,1),"")</f>
        <v/>
      </c>
      <c r="H1344">
        <f>IF(B1344,SQRT(-2*LN(F1344))*COS(2*PI()*G1344),"")</f>
        <v/>
      </c>
      <c r="I1344">
        <f>IF(B1344,IF(D1344=0,H1344,Rho*I1343+SQRT(1-Rho^2)*H1344),"")</f>
        <v/>
      </c>
      <c r="J1344">
        <f>IF(B1344,IF(Dist="Normal",DistA+DistB*I1344,DistA+(DistB-DistA)*NORMSDIST(I1344)),"")</f>
        <v/>
      </c>
      <c r="K1344">
        <f>IF(B1344,INDEX(MineScale,C1344),"")</f>
        <v/>
      </c>
      <c r="L1344">
        <f>IF(B1344,INDEX(Dow,1,WEEKDAY(E1344,2)),"")</f>
        <v/>
      </c>
      <c r="M1344">
        <f>IF(B1344,(1+Trend)^D1344,"")</f>
        <v/>
      </c>
      <c r="N1344">
        <f>IF(B1344,EXP(SUMPRODUCT(LN(1+(EvEff-1)*INDEX(Affected,0,C1344)*EXP(-((E1344-EvCenter)^2)/(2*EvSigma^2))))),"")</f>
        <v/>
      </c>
      <c r="O1344">
        <f>IF(B1344,ROUND(MAX(0,J1344*K1344*L1344*M1344*N1344),2),"")</f>
        <v/>
      </c>
    </row>
    <row r="1345">
      <c r="A1345" t="n">
        <v>1344</v>
      </c>
      <c r="B1345">
        <f>A1345&lt;=MineCount*Days</f>
        <v/>
      </c>
      <c r="C1345">
        <f>IF(B1345,INT((A1345-1)/Days)+1,"")</f>
        <v/>
      </c>
      <c r="D1345">
        <f>IF(B1345,MOD(A1345-1,Days),"")</f>
        <v/>
      </c>
      <c r="E1345" s="16">
        <f>IF(B1345,StartDate+D1345,"")</f>
        <v/>
      </c>
      <c r="F1345">
        <f>IF(B1345,MAX(MOD(SIN(Seed*0.1373+C1345*12.9898+D1345*78.233)*43758.5453,1),1E-9),"")</f>
        <v/>
      </c>
      <c r="G1345">
        <f>IF(B1345,MOD(SIN(Seed*0.5917+C1345*39.3468+D1345*11.135)*24634.6345,1),"")</f>
        <v/>
      </c>
      <c r="H1345">
        <f>IF(B1345,SQRT(-2*LN(F1345))*COS(2*PI()*G1345),"")</f>
        <v/>
      </c>
      <c r="I1345">
        <f>IF(B1345,IF(D1345=0,H1345,Rho*I1344+SQRT(1-Rho^2)*H1345),"")</f>
        <v/>
      </c>
      <c r="J1345">
        <f>IF(B1345,IF(Dist="Normal",DistA+DistB*I1345,DistA+(DistB-DistA)*NORMSDIST(I1345)),"")</f>
        <v/>
      </c>
      <c r="K1345">
        <f>IF(B1345,INDEX(MineScale,C1345),"")</f>
        <v/>
      </c>
      <c r="L1345">
        <f>IF(B1345,INDEX(Dow,1,WEEKDAY(E1345,2)),"")</f>
        <v/>
      </c>
      <c r="M1345">
        <f>IF(B1345,(1+Trend)^D1345,"")</f>
        <v/>
      </c>
      <c r="N1345">
        <f>IF(B1345,EXP(SUMPRODUCT(LN(1+(EvEff-1)*INDEX(Affected,0,C1345)*EXP(-((E1345-EvCenter)^2)/(2*EvSigma^2))))),"")</f>
        <v/>
      </c>
      <c r="O1345">
        <f>IF(B1345,ROUND(MAX(0,J1345*K1345*L1345*M1345*N1345),2),"")</f>
        <v/>
      </c>
    </row>
    <row r="1346">
      <c r="A1346" t="n">
        <v>1345</v>
      </c>
      <c r="B1346">
        <f>A1346&lt;=MineCount*Days</f>
        <v/>
      </c>
      <c r="C1346">
        <f>IF(B1346,INT((A1346-1)/Days)+1,"")</f>
        <v/>
      </c>
      <c r="D1346">
        <f>IF(B1346,MOD(A1346-1,Days),"")</f>
        <v/>
      </c>
      <c r="E1346" s="16">
        <f>IF(B1346,StartDate+D1346,"")</f>
        <v/>
      </c>
      <c r="F1346">
        <f>IF(B1346,MAX(MOD(SIN(Seed*0.1373+C1346*12.9898+D1346*78.233)*43758.5453,1),1E-9),"")</f>
        <v/>
      </c>
      <c r="G1346">
        <f>IF(B1346,MOD(SIN(Seed*0.5917+C1346*39.3468+D1346*11.135)*24634.6345,1),"")</f>
        <v/>
      </c>
      <c r="H1346">
        <f>IF(B1346,SQRT(-2*LN(F1346))*COS(2*PI()*G1346),"")</f>
        <v/>
      </c>
      <c r="I1346">
        <f>IF(B1346,IF(D1346=0,H1346,Rho*I1345+SQRT(1-Rho^2)*H1346),"")</f>
        <v/>
      </c>
      <c r="J1346">
        <f>IF(B1346,IF(Dist="Normal",DistA+DistB*I1346,DistA+(DistB-DistA)*NORMSDIST(I1346)),"")</f>
        <v/>
      </c>
      <c r="K1346">
        <f>IF(B1346,INDEX(MineScale,C1346),"")</f>
        <v/>
      </c>
      <c r="L1346">
        <f>IF(B1346,INDEX(Dow,1,WEEKDAY(E1346,2)),"")</f>
        <v/>
      </c>
      <c r="M1346">
        <f>IF(B1346,(1+Trend)^D1346,"")</f>
        <v/>
      </c>
      <c r="N1346">
        <f>IF(B1346,EXP(SUMPRODUCT(LN(1+(EvEff-1)*INDEX(Affected,0,C1346)*EXP(-((E1346-EvCenter)^2)/(2*EvSigma^2))))),"")</f>
        <v/>
      </c>
      <c r="O1346">
        <f>IF(B1346,ROUND(MAX(0,J1346*K1346*L1346*M1346*N1346),2),"")</f>
        <v/>
      </c>
    </row>
    <row r="1347">
      <c r="A1347" t="n">
        <v>1346</v>
      </c>
      <c r="B1347">
        <f>A1347&lt;=MineCount*Days</f>
        <v/>
      </c>
      <c r="C1347">
        <f>IF(B1347,INT((A1347-1)/Days)+1,"")</f>
        <v/>
      </c>
      <c r="D1347">
        <f>IF(B1347,MOD(A1347-1,Days),"")</f>
        <v/>
      </c>
      <c r="E1347" s="16">
        <f>IF(B1347,StartDate+D1347,"")</f>
        <v/>
      </c>
      <c r="F1347">
        <f>IF(B1347,MAX(MOD(SIN(Seed*0.1373+C1347*12.9898+D1347*78.233)*43758.5453,1),1E-9),"")</f>
        <v/>
      </c>
      <c r="G1347">
        <f>IF(B1347,MOD(SIN(Seed*0.5917+C1347*39.3468+D1347*11.135)*24634.6345,1),"")</f>
        <v/>
      </c>
      <c r="H1347">
        <f>IF(B1347,SQRT(-2*LN(F1347))*COS(2*PI()*G1347),"")</f>
        <v/>
      </c>
      <c r="I1347">
        <f>IF(B1347,IF(D1347=0,H1347,Rho*I1346+SQRT(1-Rho^2)*H1347),"")</f>
        <v/>
      </c>
      <c r="J1347">
        <f>IF(B1347,IF(Dist="Normal",DistA+DistB*I1347,DistA+(DistB-DistA)*NORMSDIST(I1347)),"")</f>
        <v/>
      </c>
      <c r="K1347">
        <f>IF(B1347,INDEX(MineScale,C1347),"")</f>
        <v/>
      </c>
      <c r="L1347">
        <f>IF(B1347,INDEX(Dow,1,WEEKDAY(E1347,2)),"")</f>
        <v/>
      </c>
      <c r="M1347">
        <f>IF(B1347,(1+Trend)^D1347,"")</f>
        <v/>
      </c>
      <c r="N1347">
        <f>IF(B1347,EXP(SUMPRODUCT(LN(1+(EvEff-1)*INDEX(Affected,0,C1347)*EXP(-((E1347-EvCenter)^2)/(2*EvSigma^2))))),"")</f>
        <v/>
      </c>
      <c r="O1347">
        <f>IF(B1347,ROUND(MAX(0,J1347*K1347*L1347*M1347*N1347),2),"")</f>
        <v/>
      </c>
    </row>
    <row r="1348">
      <c r="A1348" t="n">
        <v>1347</v>
      </c>
      <c r="B1348">
        <f>A1348&lt;=MineCount*Days</f>
        <v/>
      </c>
      <c r="C1348">
        <f>IF(B1348,INT((A1348-1)/Days)+1,"")</f>
        <v/>
      </c>
      <c r="D1348">
        <f>IF(B1348,MOD(A1348-1,Days),"")</f>
        <v/>
      </c>
      <c r="E1348" s="16">
        <f>IF(B1348,StartDate+D1348,"")</f>
        <v/>
      </c>
      <c r="F1348">
        <f>IF(B1348,MAX(MOD(SIN(Seed*0.1373+C1348*12.9898+D1348*78.233)*43758.5453,1),1E-9),"")</f>
        <v/>
      </c>
      <c r="G1348">
        <f>IF(B1348,MOD(SIN(Seed*0.5917+C1348*39.3468+D1348*11.135)*24634.6345,1),"")</f>
        <v/>
      </c>
      <c r="H1348">
        <f>IF(B1348,SQRT(-2*LN(F1348))*COS(2*PI()*G1348),"")</f>
        <v/>
      </c>
      <c r="I1348">
        <f>IF(B1348,IF(D1348=0,H1348,Rho*I1347+SQRT(1-Rho^2)*H1348),"")</f>
        <v/>
      </c>
      <c r="J1348">
        <f>IF(B1348,IF(Dist="Normal",DistA+DistB*I1348,DistA+(DistB-DistA)*NORMSDIST(I1348)),"")</f>
        <v/>
      </c>
      <c r="K1348">
        <f>IF(B1348,INDEX(MineScale,C1348),"")</f>
        <v/>
      </c>
      <c r="L1348">
        <f>IF(B1348,INDEX(Dow,1,WEEKDAY(E1348,2)),"")</f>
        <v/>
      </c>
      <c r="M1348">
        <f>IF(B1348,(1+Trend)^D1348,"")</f>
        <v/>
      </c>
      <c r="N1348">
        <f>IF(B1348,EXP(SUMPRODUCT(LN(1+(EvEff-1)*INDEX(Affected,0,C1348)*EXP(-((E1348-EvCenter)^2)/(2*EvSigma^2))))),"")</f>
        <v/>
      </c>
      <c r="O1348">
        <f>IF(B1348,ROUND(MAX(0,J1348*K1348*L1348*M1348*N1348),2),"")</f>
        <v/>
      </c>
    </row>
    <row r="1349">
      <c r="A1349" t="n">
        <v>1348</v>
      </c>
      <c r="B1349">
        <f>A1349&lt;=MineCount*Days</f>
        <v/>
      </c>
      <c r="C1349">
        <f>IF(B1349,INT((A1349-1)/Days)+1,"")</f>
        <v/>
      </c>
      <c r="D1349">
        <f>IF(B1349,MOD(A1349-1,Days),"")</f>
        <v/>
      </c>
      <c r="E1349" s="16">
        <f>IF(B1349,StartDate+D1349,"")</f>
        <v/>
      </c>
      <c r="F1349">
        <f>IF(B1349,MAX(MOD(SIN(Seed*0.1373+C1349*12.9898+D1349*78.233)*43758.5453,1),1E-9),"")</f>
        <v/>
      </c>
      <c r="G1349">
        <f>IF(B1349,MOD(SIN(Seed*0.5917+C1349*39.3468+D1349*11.135)*24634.6345,1),"")</f>
        <v/>
      </c>
      <c r="H1349">
        <f>IF(B1349,SQRT(-2*LN(F1349))*COS(2*PI()*G1349),"")</f>
        <v/>
      </c>
      <c r="I1349">
        <f>IF(B1349,IF(D1349=0,H1349,Rho*I1348+SQRT(1-Rho^2)*H1349),"")</f>
        <v/>
      </c>
      <c r="J1349">
        <f>IF(B1349,IF(Dist="Normal",DistA+DistB*I1349,DistA+(DistB-DistA)*NORMSDIST(I1349)),"")</f>
        <v/>
      </c>
      <c r="K1349">
        <f>IF(B1349,INDEX(MineScale,C1349),"")</f>
        <v/>
      </c>
      <c r="L1349">
        <f>IF(B1349,INDEX(Dow,1,WEEKDAY(E1349,2)),"")</f>
        <v/>
      </c>
      <c r="M1349">
        <f>IF(B1349,(1+Trend)^D1349,"")</f>
        <v/>
      </c>
      <c r="N1349">
        <f>IF(B1349,EXP(SUMPRODUCT(LN(1+(EvEff-1)*INDEX(Affected,0,C1349)*EXP(-((E1349-EvCenter)^2)/(2*EvSigma^2))))),"")</f>
        <v/>
      </c>
      <c r="O1349">
        <f>IF(B1349,ROUND(MAX(0,J1349*K1349*L1349*M1349*N1349),2),"")</f>
        <v/>
      </c>
    </row>
    <row r="1350">
      <c r="A1350" t="n">
        <v>1349</v>
      </c>
      <c r="B1350">
        <f>A1350&lt;=MineCount*Days</f>
        <v/>
      </c>
      <c r="C1350">
        <f>IF(B1350,INT((A1350-1)/Days)+1,"")</f>
        <v/>
      </c>
      <c r="D1350">
        <f>IF(B1350,MOD(A1350-1,Days),"")</f>
        <v/>
      </c>
      <c r="E1350" s="16">
        <f>IF(B1350,StartDate+D1350,"")</f>
        <v/>
      </c>
      <c r="F1350">
        <f>IF(B1350,MAX(MOD(SIN(Seed*0.1373+C1350*12.9898+D1350*78.233)*43758.5453,1),1E-9),"")</f>
        <v/>
      </c>
      <c r="G1350">
        <f>IF(B1350,MOD(SIN(Seed*0.5917+C1350*39.3468+D1350*11.135)*24634.6345,1),"")</f>
        <v/>
      </c>
      <c r="H1350">
        <f>IF(B1350,SQRT(-2*LN(F1350))*COS(2*PI()*G1350),"")</f>
        <v/>
      </c>
      <c r="I1350">
        <f>IF(B1350,IF(D1350=0,H1350,Rho*I1349+SQRT(1-Rho^2)*H1350),"")</f>
        <v/>
      </c>
      <c r="J1350">
        <f>IF(B1350,IF(Dist="Normal",DistA+DistB*I1350,DistA+(DistB-DistA)*NORMSDIST(I1350)),"")</f>
        <v/>
      </c>
      <c r="K1350">
        <f>IF(B1350,INDEX(MineScale,C1350),"")</f>
        <v/>
      </c>
      <c r="L1350">
        <f>IF(B1350,INDEX(Dow,1,WEEKDAY(E1350,2)),"")</f>
        <v/>
      </c>
      <c r="M1350">
        <f>IF(B1350,(1+Trend)^D1350,"")</f>
        <v/>
      </c>
      <c r="N1350">
        <f>IF(B1350,EXP(SUMPRODUCT(LN(1+(EvEff-1)*INDEX(Affected,0,C1350)*EXP(-((E1350-EvCenter)^2)/(2*EvSigma^2))))),"")</f>
        <v/>
      </c>
      <c r="O1350">
        <f>IF(B1350,ROUND(MAX(0,J1350*K1350*L1350*M1350*N1350),2),"")</f>
        <v/>
      </c>
    </row>
    <row r="1351">
      <c r="A1351" t="n">
        <v>1350</v>
      </c>
      <c r="B1351">
        <f>A1351&lt;=MineCount*Days</f>
        <v/>
      </c>
      <c r="C1351">
        <f>IF(B1351,INT((A1351-1)/Days)+1,"")</f>
        <v/>
      </c>
      <c r="D1351">
        <f>IF(B1351,MOD(A1351-1,Days),"")</f>
        <v/>
      </c>
      <c r="E1351" s="16">
        <f>IF(B1351,StartDate+D1351,"")</f>
        <v/>
      </c>
      <c r="F1351">
        <f>IF(B1351,MAX(MOD(SIN(Seed*0.1373+C1351*12.9898+D1351*78.233)*43758.5453,1),1E-9),"")</f>
        <v/>
      </c>
      <c r="G1351">
        <f>IF(B1351,MOD(SIN(Seed*0.5917+C1351*39.3468+D1351*11.135)*24634.6345,1),"")</f>
        <v/>
      </c>
      <c r="H1351">
        <f>IF(B1351,SQRT(-2*LN(F1351))*COS(2*PI()*G1351),"")</f>
        <v/>
      </c>
      <c r="I1351">
        <f>IF(B1351,IF(D1351=0,H1351,Rho*I1350+SQRT(1-Rho^2)*H1351),"")</f>
        <v/>
      </c>
      <c r="J1351">
        <f>IF(B1351,IF(Dist="Normal",DistA+DistB*I1351,DistA+(DistB-DistA)*NORMSDIST(I1351)),"")</f>
        <v/>
      </c>
      <c r="K1351">
        <f>IF(B1351,INDEX(MineScale,C1351),"")</f>
        <v/>
      </c>
      <c r="L1351">
        <f>IF(B1351,INDEX(Dow,1,WEEKDAY(E1351,2)),"")</f>
        <v/>
      </c>
      <c r="M1351">
        <f>IF(B1351,(1+Trend)^D1351,"")</f>
        <v/>
      </c>
      <c r="N1351">
        <f>IF(B1351,EXP(SUMPRODUCT(LN(1+(EvEff-1)*INDEX(Affected,0,C1351)*EXP(-((E1351-EvCenter)^2)/(2*EvSigma^2))))),"")</f>
        <v/>
      </c>
      <c r="O1351">
        <f>IF(B1351,ROUND(MAX(0,J1351*K1351*L1351*M1351*N1351),2),"")</f>
        <v/>
      </c>
    </row>
    <row r="1352">
      <c r="A1352" t="n">
        <v>1351</v>
      </c>
      <c r="B1352">
        <f>A1352&lt;=MineCount*Days</f>
        <v/>
      </c>
      <c r="C1352">
        <f>IF(B1352,INT((A1352-1)/Days)+1,"")</f>
        <v/>
      </c>
      <c r="D1352">
        <f>IF(B1352,MOD(A1352-1,Days),"")</f>
        <v/>
      </c>
      <c r="E1352" s="16">
        <f>IF(B1352,StartDate+D1352,"")</f>
        <v/>
      </c>
      <c r="F1352">
        <f>IF(B1352,MAX(MOD(SIN(Seed*0.1373+C1352*12.9898+D1352*78.233)*43758.5453,1),1E-9),"")</f>
        <v/>
      </c>
      <c r="G1352">
        <f>IF(B1352,MOD(SIN(Seed*0.5917+C1352*39.3468+D1352*11.135)*24634.6345,1),"")</f>
        <v/>
      </c>
      <c r="H1352">
        <f>IF(B1352,SQRT(-2*LN(F1352))*COS(2*PI()*G1352),"")</f>
        <v/>
      </c>
      <c r="I1352">
        <f>IF(B1352,IF(D1352=0,H1352,Rho*I1351+SQRT(1-Rho^2)*H1352),"")</f>
        <v/>
      </c>
      <c r="J1352">
        <f>IF(B1352,IF(Dist="Normal",DistA+DistB*I1352,DistA+(DistB-DistA)*NORMSDIST(I1352)),"")</f>
        <v/>
      </c>
      <c r="K1352">
        <f>IF(B1352,INDEX(MineScale,C1352),"")</f>
        <v/>
      </c>
      <c r="L1352">
        <f>IF(B1352,INDEX(Dow,1,WEEKDAY(E1352,2)),"")</f>
        <v/>
      </c>
      <c r="M1352">
        <f>IF(B1352,(1+Trend)^D1352,"")</f>
        <v/>
      </c>
      <c r="N1352">
        <f>IF(B1352,EXP(SUMPRODUCT(LN(1+(EvEff-1)*INDEX(Affected,0,C1352)*EXP(-((E1352-EvCenter)^2)/(2*EvSigma^2))))),"")</f>
        <v/>
      </c>
      <c r="O1352">
        <f>IF(B1352,ROUND(MAX(0,J1352*K1352*L1352*M1352*N1352),2),"")</f>
        <v/>
      </c>
    </row>
    <row r="1353">
      <c r="A1353" t="n">
        <v>1352</v>
      </c>
      <c r="B1353">
        <f>A1353&lt;=MineCount*Days</f>
        <v/>
      </c>
      <c r="C1353">
        <f>IF(B1353,INT((A1353-1)/Days)+1,"")</f>
        <v/>
      </c>
      <c r="D1353">
        <f>IF(B1353,MOD(A1353-1,Days),"")</f>
        <v/>
      </c>
      <c r="E1353" s="16">
        <f>IF(B1353,StartDate+D1353,"")</f>
        <v/>
      </c>
      <c r="F1353">
        <f>IF(B1353,MAX(MOD(SIN(Seed*0.1373+C1353*12.9898+D1353*78.233)*43758.5453,1),1E-9),"")</f>
        <v/>
      </c>
      <c r="G1353">
        <f>IF(B1353,MOD(SIN(Seed*0.5917+C1353*39.3468+D1353*11.135)*24634.6345,1),"")</f>
        <v/>
      </c>
      <c r="H1353">
        <f>IF(B1353,SQRT(-2*LN(F1353))*COS(2*PI()*G1353),"")</f>
        <v/>
      </c>
      <c r="I1353">
        <f>IF(B1353,IF(D1353=0,H1353,Rho*I1352+SQRT(1-Rho^2)*H1353),"")</f>
        <v/>
      </c>
      <c r="J1353">
        <f>IF(B1353,IF(Dist="Normal",DistA+DistB*I1353,DistA+(DistB-DistA)*NORMSDIST(I1353)),"")</f>
        <v/>
      </c>
      <c r="K1353">
        <f>IF(B1353,INDEX(MineScale,C1353),"")</f>
        <v/>
      </c>
      <c r="L1353">
        <f>IF(B1353,INDEX(Dow,1,WEEKDAY(E1353,2)),"")</f>
        <v/>
      </c>
      <c r="M1353">
        <f>IF(B1353,(1+Trend)^D1353,"")</f>
        <v/>
      </c>
      <c r="N1353">
        <f>IF(B1353,EXP(SUMPRODUCT(LN(1+(EvEff-1)*INDEX(Affected,0,C1353)*EXP(-((E1353-EvCenter)^2)/(2*EvSigma^2))))),"")</f>
        <v/>
      </c>
      <c r="O1353">
        <f>IF(B1353,ROUND(MAX(0,J1353*K1353*L1353*M1353*N1353),2),"")</f>
        <v/>
      </c>
    </row>
    <row r="1354">
      <c r="A1354" t="n">
        <v>1353</v>
      </c>
      <c r="B1354">
        <f>A1354&lt;=MineCount*Days</f>
        <v/>
      </c>
      <c r="C1354">
        <f>IF(B1354,INT((A1354-1)/Days)+1,"")</f>
        <v/>
      </c>
      <c r="D1354">
        <f>IF(B1354,MOD(A1354-1,Days),"")</f>
        <v/>
      </c>
      <c r="E1354" s="16">
        <f>IF(B1354,StartDate+D1354,"")</f>
        <v/>
      </c>
      <c r="F1354">
        <f>IF(B1354,MAX(MOD(SIN(Seed*0.1373+C1354*12.9898+D1354*78.233)*43758.5453,1),1E-9),"")</f>
        <v/>
      </c>
      <c r="G1354">
        <f>IF(B1354,MOD(SIN(Seed*0.5917+C1354*39.3468+D1354*11.135)*24634.6345,1),"")</f>
        <v/>
      </c>
      <c r="H1354">
        <f>IF(B1354,SQRT(-2*LN(F1354))*COS(2*PI()*G1354),"")</f>
        <v/>
      </c>
      <c r="I1354">
        <f>IF(B1354,IF(D1354=0,H1354,Rho*I1353+SQRT(1-Rho^2)*H1354),"")</f>
        <v/>
      </c>
      <c r="J1354">
        <f>IF(B1354,IF(Dist="Normal",DistA+DistB*I1354,DistA+(DistB-DistA)*NORMSDIST(I1354)),"")</f>
        <v/>
      </c>
      <c r="K1354">
        <f>IF(B1354,INDEX(MineScale,C1354),"")</f>
        <v/>
      </c>
      <c r="L1354">
        <f>IF(B1354,INDEX(Dow,1,WEEKDAY(E1354,2)),"")</f>
        <v/>
      </c>
      <c r="M1354">
        <f>IF(B1354,(1+Trend)^D1354,"")</f>
        <v/>
      </c>
      <c r="N1354">
        <f>IF(B1354,EXP(SUMPRODUCT(LN(1+(EvEff-1)*INDEX(Affected,0,C1354)*EXP(-((E1354-EvCenter)^2)/(2*EvSigma^2))))),"")</f>
        <v/>
      </c>
      <c r="O1354">
        <f>IF(B1354,ROUND(MAX(0,J1354*K1354*L1354*M1354*N1354),2),"")</f>
        <v/>
      </c>
    </row>
    <row r="1355">
      <c r="A1355" t="n">
        <v>1354</v>
      </c>
      <c r="B1355">
        <f>A1355&lt;=MineCount*Days</f>
        <v/>
      </c>
      <c r="C1355">
        <f>IF(B1355,INT((A1355-1)/Days)+1,"")</f>
        <v/>
      </c>
      <c r="D1355">
        <f>IF(B1355,MOD(A1355-1,Days),"")</f>
        <v/>
      </c>
      <c r="E1355" s="16">
        <f>IF(B1355,StartDate+D1355,"")</f>
        <v/>
      </c>
      <c r="F1355">
        <f>IF(B1355,MAX(MOD(SIN(Seed*0.1373+C1355*12.9898+D1355*78.233)*43758.5453,1),1E-9),"")</f>
        <v/>
      </c>
      <c r="G1355">
        <f>IF(B1355,MOD(SIN(Seed*0.5917+C1355*39.3468+D1355*11.135)*24634.6345,1),"")</f>
        <v/>
      </c>
      <c r="H1355">
        <f>IF(B1355,SQRT(-2*LN(F1355))*COS(2*PI()*G1355),"")</f>
        <v/>
      </c>
      <c r="I1355">
        <f>IF(B1355,IF(D1355=0,H1355,Rho*I1354+SQRT(1-Rho^2)*H1355),"")</f>
        <v/>
      </c>
      <c r="J1355">
        <f>IF(B1355,IF(Dist="Normal",DistA+DistB*I1355,DistA+(DistB-DistA)*NORMSDIST(I1355)),"")</f>
        <v/>
      </c>
      <c r="K1355">
        <f>IF(B1355,INDEX(MineScale,C1355),"")</f>
        <v/>
      </c>
      <c r="L1355">
        <f>IF(B1355,INDEX(Dow,1,WEEKDAY(E1355,2)),"")</f>
        <v/>
      </c>
      <c r="M1355">
        <f>IF(B1355,(1+Trend)^D1355,"")</f>
        <v/>
      </c>
      <c r="N1355">
        <f>IF(B1355,EXP(SUMPRODUCT(LN(1+(EvEff-1)*INDEX(Affected,0,C1355)*EXP(-((E1355-EvCenter)^2)/(2*EvSigma^2))))),"")</f>
        <v/>
      </c>
      <c r="O1355">
        <f>IF(B1355,ROUND(MAX(0,J1355*K1355*L1355*M1355*N1355),2),"")</f>
        <v/>
      </c>
    </row>
    <row r="1356">
      <c r="A1356" t="n">
        <v>1355</v>
      </c>
      <c r="B1356">
        <f>A1356&lt;=MineCount*Days</f>
        <v/>
      </c>
      <c r="C1356">
        <f>IF(B1356,INT((A1356-1)/Days)+1,"")</f>
        <v/>
      </c>
      <c r="D1356">
        <f>IF(B1356,MOD(A1356-1,Days),"")</f>
        <v/>
      </c>
      <c r="E1356" s="16">
        <f>IF(B1356,StartDate+D1356,"")</f>
        <v/>
      </c>
      <c r="F1356">
        <f>IF(B1356,MAX(MOD(SIN(Seed*0.1373+C1356*12.9898+D1356*78.233)*43758.5453,1),1E-9),"")</f>
        <v/>
      </c>
      <c r="G1356">
        <f>IF(B1356,MOD(SIN(Seed*0.5917+C1356*39.3468+D1356*11.135)*24634.6345,1),"")</f>
        <v/>
      </c>
      <c r="H1356">
        <f>IF(B1356,SQRT(-2*LN(F1356))*COS(2*PI()*G1356),"")</f>
        <v/>
      </c>
      <c r="I1356">
        <f>IF(B1356,IF(D1356=0,H1356,Rho*I1355+SQRT(1-Rho^2)*H1356),"")</f>
        <v/>
      </c>
      <c r="J1356">
        <f>IF(B1356,IF(Dist="Normal",DistA+DistB*I1356,DistA+(DistB-DistA)*NORMSDIST(I1356)),"")</f>
        <v/>
      </c>
      <c r="K1356">
        <f>IF(B1356,INDEX(MineScale,C1356),"")</f>
        <v/>
      </c>
      <c r="L1356">
        <f>IF(B1356,INDEX(Dow,1,WEEKDAY(E1356,2)),"")</f>
        <v/>
      </c>
      <c r="M1356">
        <f>IF(B1356,(1+Trend)^D1356,"")</f>
        <v/>
      </c>
      <c r="N1356">
        <f>IF(B1356,EXP(SUMPRODUCT(LN(1+(EvEff-1)*INDEX(Affected,0,C1356)*EXP(-((E1356-EvCenter)^2)/(2*EvSigma^2))))),"")</f>
        <v/>
      </c>
      <c r="O1356">
        <f>IF(B1356,ROUND(MAX(0,J1356*K1356*L1356*M1356*N1356),2),"")</f>
        <v/>
      </c>
    </row>
    <row r="1357">
      <c r="A1357" t="n">
        <v>1356</v>
      </c>
      <c r="B1357">
        <f>A1357&lt;=MineCount*Days</f>
        <v/>
      </c>
      <c r="C1357">
        <f>IF(B1357,INT((A1357-1)/Days)+1,"")</f>
        <v/>
      </c>
      <c r="D1357">
        <f>IF(B1357,MOD(A1357-1,Days),"")</f>
        <v/>
      </c>
      <c r="E1357" s="16">
        <f>IF(B1357,StartDate+D1357,"")</f>
        <v/>
      </c>
      <c r="F1357">
        <f>IF(B1357,MAX(MOD(SIN(Seed*0.1373+C1357*12.9898+D1357*78.233)*43758.5453,1),1E-9),"")</f>
        <v/>
      </c>
      <c r="G1357">
        <f>IF(B1357,MOD(SIN(Seed*0.5917+C1357*39.3468+D1357*11.135)*24634.6345,1),"")</f>
        <v/>
      </c>
      <c r="H1357">
        <f>IF(B1357,SQRT(-2*LN(F1357))*COS(2*PI()*G1357),"")</f>
        <v/>
      </c>
      <c r="I1357">
        <f>IF(B1357,IF(D1357=0,H1357,Rho*I1356+SQRT(1-Rho^2)*H1357),"")</f>
        <v/>
      </c>
      <c r="J1357">
        <f>IF(B1357,IF(Dist="Normal",DistA+DistB*I1357,DistA+(DistB-DistA)*NORMSDIST(I1357)),"")</f>
        <v/>
      </c>
      <c r="K1357">
        <f>IF(B1357,INDEX(MineScale,C1357),"")</f>
        <v/>
      </c>
      <c r="L1357">
        <f>IF(B1357,INDEX(Dow,1,WEEKDAY(E1357,2)),"")</f>
        <v/>
      </c>
      <c r="M1357">
        <f>IF(B1357,(1+Trend)^D1357,"")</f>
        <v/>
      </c>
      <c r="N1357">
        <f>IF(B1357,EXP(SUMPRODUCT(LN(1+(EvEff-1)*INDEX(Affected,0,C1357)*EXP(-((E1357-EvCenter)^2)/(2*EvSigma^2))))),"")</f>
        <v/>
      </c>
      <c r="O1357">
        <f>IF(B1357,ROUND(MAX(0,J1357*K1357*L1357*M1357*N1357),2),"")</f>
        <v/>
      </c>
    </row>
    <row r="1358">
      <c r="A1358" t="n">
        <v>1357</v>
      </c>
      <c r="B1358">
        <f>A1358&lt;=MineCount*Days</f>
        <v/>
      </c>
      <c r="C1358">
        <f>IF(B1358,INT((A1358-1)/Days)+1,"")</f>
        <v/>
      </c>
      <c r="D1358">
        <f>IF(B1358,MOD(A1358-1,Days),"")</f>
        <v/>
      </c>
      <c r="E1358" s="16">
        <f>IF(B1358,StartDate+D1358,"")</f>
        <v/>
      </c>
      <c r="F1358">
        <f>IF(B1358,MAX(MOD(SIN(Seed*0.1373+C1358*12.9898+D1358*78.233)*43758.5453,1),1E-9),"")</f>
        <v/>
      </c>
      <c r="G1358">
        <f>IF(B1358,MOD(SIN(Seed*0.5917+C1358*39.3468+D1358*11.135)*24634.6345,1),"")</f>
        <v/>
      </c>
      <c r="H1358">
        <f>IF(B1358,SQRT(-2*LN(F1358))*COS(2*PI()*G1358),"")</f>
        <v/>
      </c>
      <c r="I1358">
        <f>IF(B1358,IF(D1358=0,H1358,Rho*I1357+SQRT(1-Rho^2)*H1358),"")</f>
        <v/>
      </c>
      <c r="J1358">
        <f>IF(B1358,IF(Dist="Normal",DistA+DistB*I1358,DistA+(DistB-DistA)*NORMSDIST(I1358)),"")</f>
        <v/>
      </c>
      <c r="K1358">
        <f>IF(B1358,INDEX(MineScale,C1358),"")</f>
        <v/>
      </c>
      <c r="L1358">
        <f>IF(B1358,INDEX(Dow,1,WEEKDAY(E1358,2)),"")</f>
        <v/>
      </c>
      <c r="M1358">
        <f>IF(B1358,(1+Trend)^D1358,"")</f>
        <v/>
      </c>
      <c r="N1358">
        <f>IF(B1358,EXP(SUMPRODUCT(LN(1+(EvEff-1)*INDEX(Affected,0,C1358)*EXP(-((E1358-EvCenter)^2)/(2*EvSigma^2))))),"")</f>
        <v/>
      </c>
      <c r="O1358">
        <f>IF(B1358,ROUND(MAX(0,J1358*K1358*L1358*M1358*N1358),2),"")</f>
        <v/>
      </c>
    </row>
    <row r="1359">
      <c r="A1359" t="n">
        <v>1358</v>
      </c>
      <c r="B1359">
        <f>A1359&lt;=MineCount*Days</f>
        <v/>
      </c>
      <c r="C1359">
        <f>IF(B1359,INT((A1359-1)/Days)+1,"")</f>
        <v/>
      </c>
      <c r="D1359">
        <f>IF(B1359,MOD(A1359-1,Days),"")</f>
        <v/>
      </c>
      <c r="E1359" s="16">
        <f>IF(B1359,StartDate+D1359,"")</f>
        <v/>
      </c>
      <c r="F1359">
        <f>IF(B1359,MAX(MOD(SIN(Seed*0.1373+C1359*12.9898+D1359*78.233)*43758.5453,1),1E-9),"")</f>
        <v/>
      </c>
      <c r="G1359">
        <f>IF(B1359,MOD(SIN(Seed*0.5917+C1359*39.3468+D1359*11.135)*24634.6345,1),"")</f>
        <v/>
      </c>
      <c r="H1359">
        <f>IF(B1359,SQRT(-2*LN(F1359))*COS(2*PI()*G1359),"")</f>
        <v/>
      </c>
      <c r="I1359">
        <f>IF(B1359,IF(D1359=0,H1359,Rho*I1358+SQRT(1-Rho^2)*H1359),"")</f>
        <v/>
      </c>
      <c r="J1359">
        <f>IF(B1359,IF(Dist="Normal",DistA+DistB*I1359,DistA+(DistB-DistA)*NORMSDIST(I1359)),"")</f>
        <v/>
      </c>
      <c r="K1359">
        <f>IF(B1359,INDEX(MineScale,C1359),"")</f>
        <v/>
      </c>
      <c r="L1359">
        <f>IF(B1359,INDEX(Dow,1,WEEKDAY(E1359,2)),"")</f>
        <v/>
      </c>
      <c r="M1359">
        <f>IF(B1359,(1+Trend)^D1359,"")</f>
        <v/>
      </c>
      <c r="N1359">
        <f>IF(B1359,EXP(SUMPRODUCT(LN(1+(EvEff-1)*INDEX(Affected,0,C1359)*EXP(-((E1359-EvCenter)^2)/(2*EvSigma^2))))),"")</f>
        <v/>
      </c>
      <c r="O1359">
        <f>IF(B1359,ROUND(MAX(0,J1359*K1359*L1359*M1359*N1359),2),"")</f>
        <v/>
      </c>
    </row>
    <row r="1360">
      <c r="A1360" t="n">
        <v>1359</v>
      </c>
      <c r="B1360">
        <f>A1360&lt;=MineCount*Days</f>
        <v/>
      </c>
      <c r="C1360">
        <f>IF(B1360,INT((A1360-1)/Days)+1,"")</f>
        <v/>
      </c>
      <c r="D1360">
        <f>IF(B1360,MOD(A1360-1,Days),"")</f>
        <v/>
      </c>
      <c r="E1360" s="16">
        <f>IF(B1360,StartDate+D1360,"")</f>
        <v/>
      </c>
      <c r="F1360">
        <f>IF(B1360,MAX(MOD(SIN(Seed*0.1373+C1360*12.9898+D1360*78.233)*43758.5453,1),1E-9),"")</f>
        <v/>
      </c>
      <c r="G1360">
        <f>IF(B1360,MOD(SIN(Seed*0.5917+C1360*39.3468+D1360*11.135)*24634.6345,1),"")</f>
        <v/>
      </c>
      <c r="H1360">
        <f>IF(B1360,SQRT(-2*LN(F1360))*COS(2*PI()*G1360),"")</f>
        <v/>
      </c>
      <c r="I1360">
        <f>IF(B1360,IF(D1360=0,H1360,Rho*I1359+SQRT(1-Rho^2)*H1360),"")</f>
        <v/>
      </c>
      <c r="J1360">
        <f>IF(B1360,IF(Dist="Normal",DistA+DistB*I1360,DistA+(DistB-DistA)*NORMSDIST(I1360)),"")</f>
        <v/>
      </c>
      <c r="K1360">
        <f>IF(B1360,INDEX(MineScale,C1360),"")</f>
        <v/>
      </c>
      <c r="L1360">
        <f>IF(B1360,INDEX(Dow,1,WEEKDAY(E1360,2)),"")</f>
        <v/>
      </c>
      <c r="M1360">
        <f>IF(B1360,(1+Trend)^D1360,"")</f>
        <v/>
      </c>
      <c r="N1360">
        <f>IF(B1360,EXP(SUMPRODUCT(LN(1+(EvEff-1)*INDEX(Affected,0,C1360)*EXP(-((E1360-EvCenter)^2)/(2*EvSigma^2))))),"")</f>
        <v/>
      </c>
      <c r="O1360">
        <f>IF(B1360,ROUND(MAX(0,J1360*K1360*L1360*M1360*N1360),2),"")</f>
        <v/>
      </c>
    </row>
    <row r="1361">
      <c r="A1361" t="n">
        <v>1360</v>
      </c>
      <c r="B1361">
        <f>A1361&lt;=MineCount*Days</f>
        <v/>
      </c>
      <c r="C1361">
        <f>IF(B1361,INT((A1361-1)/Days)+1,"")</f>
        <v/>
      </c>
      <c r="D1361">
        <f>IF(B1361,MOD(A1361-1,Days),"")</f>
        <v/>
      </c>
      <c r="E1361" s="16">
        <f>IF(B1361,StartDate+D1361,"")</f>
        <v/>
      </c>
      <c r="F1361">
        <f>IF(B1361,MAX(MOD(SIN(Seed*0.1373+C1361*12.9898+D1361*78.233)*43758.5453,1),1E-9),"")</f>
        <v/>
      </c>
      <c r="G1361">
        <f>IF(B1361,MOD(SIN(Seed*0.5917+C1361*39.3468+D1361*11.135)*24634.6345,1),"")</f>
        <v/>
      </c>
      <c r="H1361">
        <f>IF(B1361,SQRT(-2*LN(F1361))*COS(2*PI()*G1361),"")</f>
        <v/>
      </c>
      <c r="I1361">
        <f>IF(B1361,IF(D1361=0,H1361,Rho*I1360+SQRT(1-Rho^2)*H1361),"")</f>
        <v/>
      </c>
      <c r="J1361">
        <f>IF(B1361,IF(Dist="Normal",DistA+DistB*I1361,DistA+(DistB-DistA)*NORMSDIST(I1361)),"")</f>
        <v/>
      </c>
      <c r="K1361">
        <f>IF(B1361,INDEX(MineScale,C1361),"")</f>
        <v/>
      </c>
      <c r="L1361">
        <f>IF(B1361,INDEX(Dow,1,WEEKDAY(E1361,2)),"")</f>
        <v/>
      </c>
      <c r="M1361">
        <f>IF(B1361,(1+Trend)^D1361,"")</f>
        <v/>
      </c>
      <c r="N1361">
        <f>IF(B1361,EXP(SUMPRODUCT(LN(1+(EvEff-1)*INDEX(Affected,0,C1361)*EXP(-((E1361-EvCenter)^2)/(2*EvSigma^2))))),"")</f>
        <v/>
      </c>
      <c r="O1361">
        <f>IF(B1361,ROUND(MAX(0,J1361*K1361*L1361*M1361*N1361),2),"")</f>
        <v/>
      </c>
    </row>
    <row r="1362">
      <c r="A1362" t="n">
        <v>1361</v>
      </c>
      <c r="B1362">
        <f>A1362&lt;=MineCount*Days</f>
        <v/>
      </c>
      <c r="C1362">
        <f>IF(B1362,INT((A1362-1)/Days)+1,"")</f>
        <v/>
      </c>
      <c r="D1362">
        <f>IF(B1362,MOD(A1362-1,Days),"")</f>
        <v/>
      </c>
      <c r="E1362" s="16">
        <f>IF(B1362,StartDate+D1362,"")</f>
        <v/>
      </c>
      <c r="F1362">
        <f>IF(B1362,MAX(MOD(SIN(Seed*0.1373+C1362*12.9898+D1362*78.233)*43758.5453,1),1E-9),"")</f>
        <v/>
      </c>
      <c r="G1362">
        <f>IF(B1362,MOD(SIN(Seed*0.5917+C1362*39.3468+D1362*11.135)*24634.6345,1),"")</f>
        <v/>
      </c>
      <c r="H1362">
        <f>IF(B1362,SQRT(-2*LN(F1362))*COS(2*PI()*G1362),"")</f>
        <v/>
      </c>
      <c r="I1362">
        <f>IF(B1362,IF(D1362=0,H1362,Rho*I1361+SQRT(1-Rho^2)*H1362),"")</f>
        <v/>
      </c>
      <c r="J1362">
        <f>IF(B1362,IF(Dist="Normal",DistA+DistB*I1362,DistA+(DistB-DistA)*NORMSDIST(I1362)),"")</f>
        <v/>
      </c>
      <c r="K1362">
        <f>IF(B1362,INDEX(MineScale,C1362),"")</f>
        <v/>
      </c>
      <c r="L1362">
        <f>IF(B1362,INDEX(Dow,1,WEEKDAY(E1362,2)),"")</f>
        <v/>
      </c>
      <c r="M1362">
        <f>IF(B1362,(1+Trend)^D1362,"")</f>
        <v/>
      </c>
      <c r="N1362">
        <f>IF(B1362,EXP(SUMPRODUCT(LN(1+(EvEff-1)*INDEX(Affected,0,C1362)*EXP(-((E1362-EvCenter)^2)/(2*EvSigma^2))))),"")</f>
        <v/>
      </c>
      <c r="O1362">
        <f>IF(B1362,ROUND(MAX(0,J1362*K1362*L1362*M1362*N1362),2),"")</f>
        <v/>
      </c>
    </row>
    <row r="1363">
      <c r="A1363" t="n">
        <v>1362</v>
      </c>
      <c r="B1363">
        <f>A1363&lt;=MineCount*Days</f>
        <v/>
      </c>
      <c r="C1363">
        <f>IF(B1363,INT((A1363-1)/Days)+1,"")</f>
        <v/>
      </c>
      <c r="D1363">
        <f>IF(B1363,MOD(A1363-1,Days),"")</f>
        <v/>
      </c>
      <c r="E1363" s="16">
        <f>IF(B1363,StartDate+D1363,"")</f>
        <v/>
      </c>
      <c r="F1363">
        <f>IF(B1363,MAX(MOD(SIN(Seed*0.1373+C1363*12.9898+D1363*78.233)*43758.5453,1),1E-9),"")</f>
        <v/>
      </c>
      <c r="G1363">
        <f>IF(B1363,MOD(SIN(Seed*0.5917+C1363*39.3468+D1363*11.135)*24634.6345,1),"")</f>
        <v/>
      </c>
      <c r="H1363">
        <f>IF(B1363,SQRT(-2*LN(F1363))*COS(2*PI()*G1363),"")</f>
        <v/>
      </c>
      <c r="I1363">
        <f>IF(B1363,IF(D1363=0,H1363,Rho*I1362+SQRT(1-Rho^2)*H1363),"")</f>
        <v/>
      </c>
      <c r="J1363">
        <f>IF(B1363,IF(Dist="Normal",DistA+DistB*I1363,DistA+(DistB-DistA)*NORMSDIST(I1363)),"")</f>
        <v/>
      </c>
      <c r="K1363">
        <f>IF(B1363,INDEX(MineScale,C1363),"")</f>
        <v/>
      </c>
      <c r="L1363">
        <f>IF(B1363,INDEX(Dow,1,WEEKDAY(E1363,2)),"")</f>
        <v/>
      </c>
      <c r="M1363">
        <f>IF(B1363,(1+Trend)^D1363,"")</f>
        <v/>
      </c>
      <c r="N1363">
        <f>IF(B1363,EXP(SUMPRODUCT(LN(1+(EvEff-1)*INDEX(Affected,0,C1363)*EXP(-((E1363-EvCenter)^2)/(2*EvSigma^2))))),"")</f>
        <v/>
      </c>
      <c r="O1363">
        <f>IF(B1363,ROUND(MAX(0,J1363*K1363*L1363*M1363*N1363),2),"")</f>
        <v/>
      </c>
    </row>
    <row r="1364">
      <c r="A1364" t="n">
        <v>1363</v>
      </c>
      <c r="B1364">
        <f>A1364&lt;=MineCount*Days</f>
        <v/>
      </c>
      <c r="C1364">
        <f>IF(B1364,INT((A1364-1)/Days)+1,"")</f>
        <v/>
      </c>
      <c r="D1364">
        <f>IF(B1364,MOD(A1364-1,Days),"")</f>
        <v/>
      </c>
      <c r="E1364" s="16">
        <f>IF(B1364,StartDate+D1364,"")</f>
        <v/>
      </c>
      <c r="F1364">
        <f>IF(B1364,MAX(MOD(SIN(Seed*0.1373+C1364*12.9898+D1364*78.233)*43758.5453,1),1E-9),"")</f>
        <v/>
      </c>
      <c r="G1364">
        <f>IF(B1364,MOD(SIN(Seed*0.5917+C1364*39.3468+D1364*11.135)*24634.6345,1),"")</f>
        <v/>
      </c>
      <c r="H1364">
        <f>IF(B1364,SQRT(-2*LN(F1364))*COS(2*PI()*G1364),"")</f>
        <v/>
      </c>
      <c r="I1364">
        <f>IF(B1364,IF(D1364=0,H1364,Rho*I1363+SQRT(1-Rho^2)*H1364),"")</f>
        <v/>
      </c>
      <c r="J1364">
        <f>IF(B1364,IF(Dist="Normal",DistA+DistB*I1364,DistA+(DistB-DistA)*NORMSDIST(I1364)),"")</f>
        <v/>
      </c>
      <c r="K1364">
        <f>IF(B1364,INDEX(MineScale,C1364),"")</f>
        <v/>
      </c>
      <c r="L1364">
        <f>IF(B1364,INDEX(Dow,1,WEEKDAY(E1364,2)),"")</f>
        <v/>
      </c>
      <c r="M1364">
        <f>IF(B1364,(1+Trend)^D1364,"")</f>
        <v/>
      </c>
      <c r="N1364">
        <f>IF(B1364,EXP(SUMPRODUCT(LN(1+(EvEff-1)*INDEX(Affected,0,C1364)*EXP(-((E1364-EvCenter)^2)/(2*EvSigma^2))))),"")</f>
        <v/>
      </c>
      <c r="O1364">
        <f>IF(B1364,ROUND(MAX(0,J1364*K1364*L1364*M1364*N1364),2),"")</f>
        <v/>
      </c>
    </row>
    <row r="1365">
      <c r="A1365" t="n">
        <v>1364</v>
      </c>
      <c r="B1365">
        <f>A1365&lt;=MineCount*Days</f>
        <v/>
      </c>
      <c r="C1365">
        <f>IF(B1365,INT((A1365-1)/Days)+1,"")</f>
        <v/>
      </c>
      <c r="D1365">
        <f>IF(B1365,MOD(A1365-1,Days),"")</f>
        <v/>
      </c>
      <c r="E1365" s="16">
        <f>IF(B1365,StartDate+D1365,"")</f>
        <v/>
      </c>
      <c r="F1365">
        <f>IF(B1365,MAX(MOD(SIN(Seed*0.1373+C1365*12.9898+D1365*78.233)*43758.5453,1),1E-9),"")</f>
        <v/>
      </c>
      <c r="G1365">
        <f>IF(B1365,MOD(SIN(Seed*0.5917+C1365*39.3468+D1365*11.135)*24634.6345,1),"")</f>
        <v/>
      </c>
      <c r="H1365">
        <f>IF(B1365,SQRT(-2*LN(F1365))*COS(2*PI()*G1365),"")</f>
        <v/>
      </c>
      <c r="I1365">
        <f>IF(B1365,IF(D1365=0,H1365,Rho*I1364+SQRT(1-Rho^2)*H1365),"")</f>
        <v/>
      </c>
      <c r="J1365">
        <f>IF(B1365,IF(Dist="Normal",DistA+DistB*I1365,DistA+(DistB-DistA)*NORMSDIST(I1365)),"")</f>
        <v/>
      </c>
      <c r="K1365">
        <f>IF(B1365,INDEX(MineScale,C1365),"")</f>
        <v/>
      </c>
      <c r="L1365">
        <f>IF(B1365,INDEX(Dow,1,WEEKDAY(E1365,2)),"")</f>
        <v/>
      </c>
      <c r="M1365">
        <f>IF(B1365,(1+Trend)^D1365,"")</f>
        <v/>
      </c>
      <c r="N1365">
        <f>IF(B1365,EXP(SUMPRODUCT(LN(1+(EvEff-1)*INDEX(Affected,0,C1365)*EXP(-((E1365-EvCenter)^2)/(2*EvSigma^2))))),"")</f>
        <v/>
      </c>
      <c r="O1365">
        <f>IF(B1365,ROUND(MAX(0,J1365*K1365*L1365*M1365*N1365),2),"")</f>
        <v/>
      </c>
    </row>
    <row r="1366">
      <c r="A1366" t="n">
        <v>1365</v>
      </c>
      <c r="B1366">
        <f>A1366&lt;=MineCount*Days</f>
        <v/>
      </c>
      <c r="C1366">
        <f>IF(B1366,INT((A1366-1)/Days)+1,"")</f>
        <v/>
      </c>
      <c r="D1366">
        <f>IF(B1366,MOD(A1366-1,Days),"")</f>
        <v/>
      </c>
      <c r="E1366" s="16">
        <f>IF(B1366,StartDate+D1366,"")</f>
        <v/>
      </c>
      <c r="F1366">
        <f>IF(B1366,MAX(MOD(SIN(Seed*0.1373+C1366*12.9898+D1366*78.233)*43758.5453,1),1E-9),"")</f>
        <v/>
      </c>
      <c r="G1366">
        <f>IF(B1366,MOD(SIN(Seed*0.5917+C1366*39.3468+D1366*11.135)*24634.6345,1),"")</f>
        <v/>
      </c>
      <c r="H1366">
        <f>IF(B1366,SQRT(-2*LN(F1366))*COS(2*PI()*G1366),"")</f>
        <v/>
      </c>
      <c r="I1366">
        <f>IF(B1366,IF(D1366=0,H1366,Rho*I1365+SQRT(1-Rho^2)*H1366),"")</f>
        <v/>
      </c>
      <c r="J1366">
        <f>IF(B1366,IF(Dist="Normal",DistA+DistB*I1366,DistA+(DistB-DistA)*NORMSDIST(I1366)),"")</f>
        <v/>
      </c>
      <c r="K1366">
        <f>IF(B1366,INDEX(MineScale,C1366),"")</f>
        <v/>
      </c>
      <c r="L1366">
        <f>IF(B1366,INDEX(Dow,1,WEEKDAY(E1366,2)),"")</f>
        <v/>
      </c>
      <c r="M1366">
        <f>IF(B1366,(1+Trend)^D1366,"")</f>
        <v/>
      </c>
      <c r="N1366">
        <f>IF(B1366,EXP(SUMPRODUCT(LN(1+(EvEff-1)*INDEX(Affected,0,C1366)*EXP(-((E1366-EvCenter)^2)/(2*EvSigma^2))))),"")</f>
        <v/>
      </c>
      <c r="O1366">
        <f>IF(B1366,ROUND(MAX(0,J1366*K1366*L1366*M1366*N1366),2),"")</f>
        <v/>
      </c>
    </row>
    <row r="1367">
      <c r="A1367" t="n">
        <v>1366</v>
      </c>
      <c r="B1367">
        <f>A1367&lt;=MineCount*Days</f>
        <v/>
      </c>
      <c r="C1367">
        <f>IF(B1367,INT((A1367-1)/Days)+1,"")</f>
        <v/>
      </c>
      <c r="D1367">
        <f>IF(B1367,MOD(A1367-1,Days),"")</f>
        <v/>
      </c>
      <c r="E1367" s="16">
        <f>IF(B1367,StartDate+D1367,"")</f>
        <v/>
      </c>
      <c r="F1367">
        <f>IF(B1367,MAX(MOD(SIN(Seed*0.1373+C1367*12.9898+D1367*78.233)*43758.5453,1),1E-9),"")</f>
        <v/>
      </c>
      <c r="G1367">
        <f>IF(B1367,MOD(SIN(Seed*0.5917+C1367*39.3468+D1367*11.135)*24634.6345,1),"")</f>
        <v/>
      </c>
      <c r="H1367">
        <f>IF(B1367,SQRT(-2*LN(F1367))*COS(2*PI()*G1367),"")</f>
        <v/>
      </c>
      <c r="I1367">
        <f>IF(B1367,IF(D1367=0,H1367,Rho*I1366+SQRT(1-Rho^2)*H1367),"")</f>
        <v/>
      </c>
      <c r="J1367">
        <f>IF(B1367,IF(Dist="Normal",DistA+DistB*I1367,DistA+(DistB-DistA)*NORMSDIST(I1367)),"")</f>
        <v/>
      </c>
      <c r="K1367">
        <f>IF(B1367,INDEX(MineScale,C1367),"")</f>
        <v/>
      </c>
      <c r="L1367">
        <f>IF(B1367,INDEX(Dow,1,WEEKDAY(E1367,2)),"")</f>
        <v/>
      </c>
      <c r="M1367">
        <f>IF(B1367,(1+Trend)^D1367,"")</f>
        <v/>
      </c>
      <c r="N1367">
        <f>IF(B1367,EXP(SUMPRODUCT(LN(1+(EvEff-1)*INDEX(Affected,0,C1367)*EXP(-((E1367-EvCenter)^2)/(2*EvSigma^2))))),"")</f>
        <v/>
      </c>
      <c r="O1367">
        <f>IF(B1367,ROUND(MAX(0,J1367*K1367*L1367*M1367*N1367),2),"")</f>
        <v/>
      </c>
    </row>
    <row r="1368">
      <c r="A1368" t="n">
        <v>1367</v>
      </c>
      <c r="B1368">
        <f>A1368&lt;=MineCount*Days</f>
        <v/>
      </c>
      <c r="C1368">
        <f>IF(B1368,INT((A1368-1)/Days)+1,"")</f>
        <v/>
      </c>
      <c r="D1368">
        <f>IF(B1368,MOD(A1368-1,Days),"")</f>
        <v/>
      </c>
      <c r="E1368" s="16">
        <f>IF(B1368,StartDate+D1368,"")</f>
        <v/>
      </c>
      <c r="F1368">
        <f>IF(B1368,MAX(MOD(SIN(Seed*0.1373+C1368*12.9898+D1368*78.233)*43758.5453,1),1E-9),"")</f>
        <v/>
      </c>
      <c r="G1368">
        <f>IF(B1368,MOD(SIN(Seed*0.5917+C1368*39.3468+D1368*11.135)*24634.6345,1),"")</f>
        <v/>
      </c>
      <c r="H1368">
        <f>IF(B1368,SQRT(-2*LN(F1368))*COS(2*PI()*G1368),"")</f>
        <v/>
      </c>
      <c r="I1368">
        <f>IF(B1368,IF(D1368=0,H1368,Rho*I1367+SQRT(1-Rho^2)*H1368),"")</f>
        <v/>
      </c>
      <c r="J1368">
        <f>IF(B1368,IF(Dist="Normal",DistA+DistB*I1368,DistA+(DistB-DistA)*NORMSDIST(I1368)),"")</f>
        <v/>
      </c>
      <c r="K1368">
        <f>IF(B1368,INDEX(MineScale,C1368),"")</f>
        <v/>
      </c>
      <c r="L1368">
        <f>IF(B1368,INDEX(Dow,1,WEEKDAY(E1368,2)),"")</f>
        <v/>
      </c>
      <c r="M1368">
        <f>IF(B1368,(1+Trend)^D1368,"")</f>
        <v/>
      </c>
      <c r="N1368">
        <f>IF(B1368,EXP(SUMPRODUCT(LN(1+(EvEff-1)*INDEX(Affected,0,C1368)*EXP(-((E1368-EvCenter)^2)/(2*EvSigma^2))))),"")</f>
        <v/>
      </c>
      <c r="O1368">
        <f>IF(B1368,ROUND(MAX(0,J1368*K1368*L1368*M1368*N1368),2),"")</f>
        <v/>
      </c>
    </row>
    <row r="1369">
      <c r="A1369" t="n">
        <v>1368</v>
      </c>
      <c r="B1369">
        <f>A1369&lt;=MineCount*Days</f>
        <v/>
      </c>
      <c r="C1369">
        <f>IF(B1369,INT((A1369-1)/Days)+1,"")</f>
        <v/>
      </c>
      <c r="D1369">
        <f>IF(B1369,MOD(A1369-1,Days),"")</f>
        <v/>
      </c>
      <c r="E1369" s="16">
        <f>IF(B1369,StartDate+D1369,"")</f>
        <v/>
      </c>
      <c r="F1369">
        <f>IF(B1369,MAX(MOD(SIN(Seed*0.1373+C1369*12.9898+D1369*78.233)*43758.5453,1),1E-9),"")</f>
        <v/>
      </c>
      <c r="G1369">
        <f>IF(B1369,MOD(SIN(Seed*0.5917+C1369*39.3468+D1369*11.135)*24634.6345,1),"")</f>
        <v/>
      </c>
      <c r="H1369">
        <f>IF(B1369,SQRT(-2*LN(F1369))*COS(2*PI()*G1369),"")</f>
        <v/>
      </c>
      <c r="I1369">
        <f>IF(B1369,IF(D1369=0,H1369,Rho*I1368+SQRT(1-Rho^2)*H1369),"")</f>
        <v/>
      </c>
      <c r="J1369">
        <f>IF(B1369,IF(Dist="Normal",DistA+DistB*I1369,DistA+(DistB-DistA)*NORMSDIST(I1369)),"")</f>
        <v/>
      </c>
      <c r="K1369">
        <f>IF(B1369,INDEX(MineScale,C1369),"")</f>
        <v/>
      </c>
      <c r="L1369">
        <f>IF(B1369,INDEX(Dow,1,WEEKDAY(E1369,2)),"")</f>
        <v/>
      </c>
      <c r="M1369">
        <f>IF(B1369,(1+Trend)^D1369,"")</f>
        <v/>
      </c>
      <c r="N1369">
        <f>IF(B1369,EXP(SUMPRODUCT(LN(1+(EvEff-1)*INDEX(Affected,0,C1369)*EXP(-((E1369-EvCenter)^2)/(2*EvSigma^2))))),"")</f>
        <v/>
      </c>
      <c r="O1369">
        <f>IF(B1369,ROUND(MAX(0,J1369*K1369*L1369*M1369*N1369),2),"")</f>
        <v/>
      </c>
    </row>
    <row r="1370">
      <c r="A1370" t="n">
        <v>1369</v>
      </c>
      <c r="B1370">
        <f>A1370&lt;=MineCount*Days</f>
        <v/>
      </c>
      <c r="C1370">
        <f>IF(B1370,INT((A1370-1)/Days)+1,"")</f>
        <v/>
      </c>
      <c r="D1370">
        <f>IF(B1370,MOD(A1370-1,Days),"")</f>
        <v/>
      </c>
      <c r="E1370" s="16">
        <f>IF(B1370,StartDate+D1370,"")</f>
        <v/>
      </c>
      <c r="F1370">
        <f>IF(B1370,MAX(MOD(SIN(Seed*0.1373+C1370*12.9898+D1370*78.233)*43758.5453,1),1E-9),"")</f>
        <v/>
      </c>
      <c r="G1370">
        <f>IF(B1370,MOD(SIN(Seed*0.5917+C1370*39.3468+D1370*11.135)*24634.6345,1),"")</f>
        <v/>
      </c>
      <c r="H1370">
        <f>IF(B1370,SQRT(-2*LN(F1370))*COS(2*PI()*G1370),"")</f>
        <v/>
      </c>
      <c r="I1370">
        <f>IF(B1370,IF(D1370=0,H1370,Rho*I1369+SQRT(1-Rho^2)*H1370),"")</f>
        <v/>
      </c>
      <c r="J1370">
        <f>IF(B1370,IF(Dist="Normal",DistA+DistB*I1370,DistA+(DistB-DistA)*NORMSDIST(I1370)),"")</f>
        <v/>
      </c>
      <c r="K1370">
        <f>IF(B1370,INDEX(MineScale,C1370),"")</f>
        <v/>
      </c>
      <c r="L1370">
        <f>IF(B1370,INDEX(Dow,1,WEEKDAY(E1370,2)),"")</f>
        <v/>
      </c>
      <c r="M1370">
        <f>IF(B1370,(1+Trend)^D1370,"")</f>
        <v/>
      </c>
      <c r="N1370">
        <f>IF(B1370,EXP(SUMPRODUCT(LN(1+(EvEff-1)*INDEX(Affected,0,C1370)*EXP(-((E1370-EvCenter)^2)/(2*EvSigma^2))))),"")</f>
        <v/>
      </c>
      <c r="O1370">
        <f>IF(B1370,ROUND(MAX(0,J1370*K1370*L1370*M1370*N1370),2),"")</f>
        <v/>
      </c>
    </row>
    <row r="1371">
      <c r="A1371" t="n">
        <v>1370</v>
      </c>
      <c r="B1371">
        <f>A1371&lt;=MineCount*Days</f>
        <v/>
      </c>
      <c r="C1371">
        <f>IF(B1371,INT((A1371-1)/Days)+1,"")</f>
        <v/>
      </c>
      <c r="D1371">
        <f>IF(B1371,MOD(A1371-1,Days),"")</f>
        <v/>
      </c>
      <c r="E1371" s="16">
        <f>IF(B1371,StartDate+D1371,"")</f>
        <v/>
      </c>
      <c r="F1371">
        <f>IF(B1371,MAX(MOD(SIN(Seed*0.1373+C1371*12.9898+D1371*78.233)*43758.5453,1),1E-9),"")</f>
        <v/>
      </c>
      <c r="G1371">
        <f>IF(B1371,MOD(SIN(Seed*0.5917+C1371*39.3468+D1371*11.135)*24634.6345,1),"")</f>
        <v/>
      </c>
      <c r="H1371">
        <f>IF(B1371,SQRT(-2*LN(F1371))*COS(2*PI()*G1371),"")</f>
        <v/>
      </c>
      <c r="I1371">
        <f>IF(B1371,IF(D1371=0,H1371,Rho*I1370+SQRT(1-Rho^2)*H1371),"")</f>
        <v/>
      </c>
      <c r="J1371">
        <f>IF(B1371,IF(Dist="Normal",DistA+DistB*I1371,DistA+(DistB-DistA)*NORMSDIST(I1371)),"")</f>
        <v/>
      </c>
      <c r="K1371">
        <f>IF(B1371,INDEX(MineScale,C1371),"")</f>
        <v/>
      </c>
      <c r="L1371">
        <f>IF(B1371,INDEX(Dow,1,WEEKDAY(E1371,2)),"")</f>
        <v/>
      </c>
      <c r="M1371">
        <f>IF(B1371,(1+Trend)^D1371,"")</f>
        <v/>
      </c>
      <c r="N1371">
        <f>IF(B1371,EXP(SUMPRODUCT(LN(1+(EvEff-1)*INDEX(Affected,0,C1371)*EXP(-((E1371-EvCenter)^2)/(2*EvSigma^2))))),"")</f>
        <v/>
      </c>
      <c r="O1371">
        <f>IF(B1371,ROUND(MAX(0,J1371*K1371*L1371*M1371*N1371),2),"")</f>
        <v/>
      </c>
    </row>
    <row r="1372">
      <c r="A1372" t="n">
        <v>1371</v>
      </c>
      <c r="B1372">
        <f>A1372&lt;=MineCount*Days</f>
        <v/>
      </c>
      <c r="C1372">
        <f>IF(B1372,INT((A1372-1)/Days)+1,"")</f>
        <v/>
      </c>
      <c r="D1372">
        <f>IF(B1372,MOD(A1372-1,Days),"")</f>
        <v/>
      </c>
      <c r="E1372" s="16">
        <f>IF(B1372,StartDate+D1372,"")</f>
        <v/>
      </c>
      <c r="F1372">
        <f>IF(B1372,MAX(MOD(SIN(Seed*0.1373+C1372*12.9898+D1372*78.233)*43758.5453,1),1E-9),"")</f>
        <v/>
      </c>
      <c r="G1372">
        <f>IF(B1372,MOD(SIN(Seed*0.5917+C1372*39.3468+D1372*11.135)*24634.6345,1),"")</f>
        <v/>
      </c>
      <c r="H1372">
        <f>IF(B1372,SQRT(-2*LN(F1372))*COS(2*PI()*G1372),"")</f>
        <v/>
      </c>
      <c r="I1372">
        <f>IF(B1372,IF(D1372=0,H1372,Rho*I1371+SQRT(1-Rho^2)*H1372),"")</f>
        <v/>
      </c>
      <c r="J1372">
        <f>IF(B1372,IF(Dist="Normal",DistA+DistB*I1372,DistA+(DistB-DistA)*NORMSDIST(I1372)),"")</f>
        <v/>
      </c>
      <c r="K1372">
        <f>IF(B1372,INDEX(MineScale,C1372),"")</f>
        <v/>
      </c>
      <c r="L1372">
        <f>IF(B1372,INDEX(Dow,1,WEEKDAY(E1372,2)),"")</f>
        <v/>
      </c>
      <c r="M1372">
        <f>IF(B1372,(1+Trend)^D1372,"")</f>
        <v/>
      </c>
      <c r="N1372">
        <f>IF(B1372,EXP(SUMPRODUCT(LN(1+(EvEff-1)*INDEX(Affected,0,C1372)*EXP(-((E1372-EvCenter)^2)/(2*EvSigma^2))))),"")</f>
        <v/>
      </c>
      <c r="O1372">
        <f>IF(B1372,ROUND(MAX(0,J1372*K1372*L1372*M1372*N1372),2),"")</f>
        <v/>
      </c>
    </row>
    <row r="1373">
      <c r="A1373" t="n">
        <v>1372</v>
      </c>
      <c r="B1373">
        <f>A1373&lt;=MineCount*Days</f>
        <v/>
      </c>
      <c r="C1373">
        <f>IF(B1373,INT((A1373-1)/Days)+1,"")</f>
        <v/>
      </c>
      <c r="D1373">
        <f>IF(B1373,MOD(A1373-1,Days),"")</f>
        <v/>
      </c>
      <c r="E1373" s="16">
        <f>IF(B1373,StartDate+D1373,"")</f>
        <v/>
      </c>
      <c r="F1373">
        <f>IF(B1373,MAX(MOD(SIN(Seed*0.1373+C1373*12.9898+D1373*78.233)*43758.5453,1),1E-9),"")</f>
        <v/>
      </c>
      <c r="G1373">
        <f>IF(B1373,MOD(SIN(Seed*0.5917+C1373*39.3468+D1373*11.135)*24634.6345,1),"")</f>
        <v/>
      </c>
      <c r="H1373">
        <f>IF(B1373,SQRT(-2*LN(F1373))*COS(2*PI()*G1373),"")</f>
        <v/>
      </c>
      <c r="I1373">
        <f>IF(B1373,IF(D1373=0,H1373,Rho*I1372+SQRT(1-Rho^2)*H1373),"")</f>
        <v/>
      </c>
      <c r="J1373">
        <f>IF(B1373,IF(Dist="Normal",DistA+DistB*I1373,DistA+(DistB-DistA)*NORMSDIST(I1373)),"")</f>
        <v/>
      </c>
      <c r="K1373">
        <f>IF(B1373,INDEX(MineScale,C1373),"")</f>
        <v/>
      </c>
      <c r="L1373">
        <f>IF(B1373,INDEX(Dow,1,WEEKDAY(E1373,2)),"")</f>
        <v/>
      </c>
      <c r="M1373">
        <f>IF(B1373,(1+Trend)^D1373,"")</f>
        <v/>
      </c>
      <c r="N1373">
        <f>IF(B1373,EXP(SUMPRODUCT(LN(1+(EvEff-1)*INDEX(Affected,0,C1373)*EXP(-((E1373-EvCenter)^2)/(2*EvSigma^2))))),"")</f>
        <v/>
      </c>
      <c r="O1373">
        <f>IF(B1373,ROUND(MAX(0,J1373*K1373*L1373*M1373*N1373),2),"")</f>
        <v/>
      </c>
    </row>
    <row r="1374">
      <c r="A1374" t="n">
        <v>1373</v>
      </c>
      <c r="B1374">
        <f>A1374&lt;=MineCount*Days</f>
        <v/>
      </c>
      <c r="C1374">
        <f>IF(B1374,INT((A1374-1)/Days)+1,"")</f>
        <v/>
      </c>
      <c r="D1374">
        <f>IF(B1374,MOD(A1374-1,Days),"")</f>
        <v/>
      </c>
      <c r="E1374" s="16">
        <f>IF(B1374,StartDate+D1374,"")</f>
        <v/>
      </c>
      <c r="F1374">
        <f>IF(B1374,MAX(MOD(SIN(Seed*0.1373+C1374*12.9898+D1374*78.233)*43758.5453,1),1E-9),"")</f>
        <v/>
      </c>
      <c r="G1374">
        <f>IF(B1374,MOD(SIN(Seed*0.5917+C1374*39.3468+D1374*11.135)*24634.6345,1),"")</f>
        <v/>
      </c>
      <c r="H1374">
        <f>IF(B1374,SQRT(-2*LN(F1374))*COS(2*PI()*G1374),"")</f>
        <v/>
      </c>
      <c r="I1374">
        <f>IF(B1374,IF(D1374=0,H1374,Rho*I1373+SQRT(1-Rho^2)*H1374),"")</f>
        <v/>
      </c>
      <c r="J1374">
        <f>IF(B1374,IF(Dist="Normal",DistA+DistB*I1374,DistA+(DistB-DistA)*NORMSDIST(I1374)),"")</f>
        <v/>
      </c>
      <c r="K1374">
        <f>IF(B1374,INDEX(MineScale,C1374),"")</f>
        <v/>
      </c>
      <c r="L1374">
        <f>IF(B1374,INDEX(Dow,1,WEEKDAY(E1374,2)),"")</f>
        <v/>
      </c>
      <c r="M1374">
        <f>IF(B1374,(1+Trend)^D1374,"")</f>
        <v/>
      </c>
      <c r="N1374">
        <f>IF(B1374,EXP(SUMPRODUCT(LN(1+(EvEff-1)*INDEX(Affected,0,C1374)*EXP(-((E1374-EvCenter)^2)/(2*EvSigma^2))))),"")</f>
        <v/>
      </c>
      <c r="O1374">
        <f>IF(B1374,ROUND(MAX(0,J1374*K1374*L1374*M1374*N1374),2),"")</f>
        <v/>
      </c>
    </row>
    <row r="1375">
      <c r="A1375" t="n">
        <v>1374</v>
      </c>
      <c r="B1375">
        <f>A1375&lt;=MineCount*Days</f>
        <v/>
      </c>
      <c r="C1375">
        <f>IF(B1375,INT((A1375-1)/Days)+1,"")</f>
        <v/>
      </c>
      <c r="D1375">
        <f>IF(B1375,MOD(A1375-1,Days),"")</f>
        <v/>
      </c>
      <c r="E1375" s="16">
        <f>IF(B1375,StartDate+D1375,"")</f>
        <v/>
      </c>
      <c r="F1375">
        <f>IF(B1375,MAX(MOD(SIN(Seed*0.1373+C1375*12.9898+D1375*78.233)*43758.5453,1),1E-9),"")</f>
        <v/>
      </c>
      <c r="G1375">
        <f>IF(B1375,MOD(SIN(Seed*0.5917+C1375*39.3468+D1375*11.135)*24634.6345,1),"")</f>
        <v/>
      </c>
      <c r="H1375">
        <f>IF(B1375,SQRT(-2*LN(F1375))*COS(2*PI()*G1375),"")</f>
        <v/>
      </c>
      <c r="I1375">
        <f>IF(B1375,IF(D1375=0,H1375,Rho*I1374+SQRT(1-Rho^2)*H1375),"")</f>
        <v/>
      </c>
      <c r="J1375">
        <f>IF(B1375,IF(Dist="Normal",DistA+DistB*I1375,DistA+(DistB-DistA)*NORMSDIST(I1375)),"")</f>
        <v/>
      </c>
      <c r="K1375">
        <f>IF(B1375,INDEX(MineScale,C1375),"")</f>
        <v/>
      </c>
      <c r="L1375">
        <f>IF(B1375,INDEX(Dow,1,WEEKDAY(E1375,2)),"")</f>
        <v/>
      </c>
      <c r="M1375">
        <f>IF(B1375,(1+Trend)^D1375,"")</f>
        <v/>
      </c>
      <c r="N1375">
        <f>IF(B1375,EXP(SUMPRODUCT(LN(1+(EvEff-1)*INDEX(Affected,0,C1375)*EXP(-((E1375-EvCenter)^2)/(2*EvSigma^2))))),"")</f>
        <v/>
      </c>
      <c r="O1375">
        <f>IF(B1375,ROUND(MAX(0,J1375*K1375*L1375*M1375*N1375),2),"")</f>
        <v/>
      </c>
    </row>
    <row r="1376">
      <c r="A1376" t="n">
        <v>1375</v>
      </c>
      <c r="B1376">
        <f>A1376&lt;=MineCount*Days</f>
        <v/>
      </c>
      <c r="C1376">
        <f>IF(B1376,INT((A1376-1)/Days)+1,"")</f>
        <v/>
      </c>
      <c r="D1376">
        <f>IF(B1376,MOD(A1376-1,Days),"")</f>
        <v/>
      </c>
      <c r="E1376" s="16">
        <f>IF(B1376,StartDate+D1376,"")</f>
        <v/>
      </c>
      <c r="F1376">
        <f>IF(B1376,MAX(MOD(SIN(Seed*0.1373+C1376*12.9898+D1376*78.233)*43758.5453,1),1E-9),"")</f>
        <v/>
      </c>
      <c r="G1376">
        <f>IF(B1376,MOD(SIN(Seed*0.5917+C1376*39.3468+D1376*11.135)*24634.6345,1),"")</f>
        <v/>
      </c>
      <c r="H1376">
        <f>IF(B1376,SQRT(-2*LN(F1376))*COS(2*PI()*G1376),"")</f>
        <v/>
      </c>
      <c r="I1376">
        <f>IF(B1376,IF(D1376=0,H1376,Rho*I1375+SQRT(1-Rho^2)*H1376),"")</f>
        <v/>
      </c>
      <c r="J1376">
        <f>IF(B1376,IF(Dist="Normal",DistA+DistB*I1376,DistA+(DistB-DistA)*NORMSDIST(I1376)),"")</f>
        <v/>
      </c>
      <c r="K1376">
        <f>IF(B1376,INDEX(MineScale,C1376),"")</f>
        <v/>
      </c>
      <c r="L1376">
        <f>IF(B1376,INDEX(Dow,1,WEEKDAY(E1376,2)),"")</f>
        <v/>
      </c>
      <c r="M1376">
        <f>IF(B1376,(1+Trend)^D1376,"")</f>
        <v/>
      </c>
      <c r="N1376">
        <f>IF(B1376,EXP(SUMPRODUCT(LN(1+(EvEff-1)*INDEX(Affected,0,C1376)*EXP(-((E1376-EvCenter)^2)/(2*EvSigma^2))))),"")</f>
        <v/>
      </c>
      <c r="O1376">
        <f>IF(B1376,ROUND(MAX(0,J1376*K1376*L1376*M1376*N1376),2),"")</f>
        <v/>
      </c>
    </row>
    <row r="1377">
      <c r="A1377" t="n">
        <v>1376</v>
      </c>
      <c r="B1377">
        <f>A1377&lt;=MineCount*Days</f>
        <v/>
      </c>
      <c r="C1377">
        <f>IF(B1377,INT((A1377-1)/Days)+1,"")</f>
        <v/>
      </c>
      <c r="D1377">
        <f>IF(B1377,MOD(A1377-1,Days),"")</f>
        <v/>
      </c>
      <c r="E1377" s="16">
        <f>IF(B1377,StartDate+D1377,"")</f>
        <v/>
      </c>
      <c r="F1377">
        <f>IF(B1377,MAX(MOD(SIN(Seed*0.1373+C1377*12.9898+D1377*78.233)*43758.5453,1),1E-9),"")</f>
        <v/>
      </c>
      <c r="G1377">
        <f>IF(B1377,MOD(SIN(Seed*0.5917+C1377*39.3468+D1377*11.135)*24634.6345,1),"")</f>
        <v/>
      </c>
      <c r="H1377">
        <f>IF(B1377,SQRT(-2*LN(F1377))*COS(2*PI()*G1377),"")</f>
        <v/>
      </c>
      <c r="I1377">
        <f>IF(B1377,IF(D1377=0,H1377,Rho*I1376+SQRT(1-Rho^2)*H1377),"")</f>
        <v/>
      </c>
      <c r="J1377">
        <f>IF(B1377,IF(Dist="Normal",DistA+DistB*I1377,DistA+(DistB-DistA)*NORMSDIST(I1377)),"")</f>
        <v/>
      </c>
      <c r="K1377">
        <f>IF(B1377,INDEX(MineScale,C1377),"")</f>
        <v/>
      </c>
      <c r="L1377">
        <f>IF(B1377,INDEX(Dow,1,WEEKDAY(E1377,2)),"")</f>
        <v/>
      </c>
      <c r="M1377">
        <f>IF(B1377,(1+Trend)^D1377,"")</f>
        <v/>
      </c>
      <c r="N1377">
        <f>IF(B1377,EXP(SUMPRODUCT(LN(1+(EvEff-1)*INDEX(Affected,0,C1377)*EXP(-((E1377-EvCenter)^2)/(2*EvSigma^2))))),"")</f>
        <v/>
      </c>
      <c r="O1377">
        <f>IF(B1377,ROUND(MAX(0,J1377*K1377*L1377*M1377*N1377),2),"")</f>
        <v/>
      </c>
    </row>
    <row r="1378">
      <c r="A1378" t="n">
        <v>1377</v>
      </c>
      <c r="B1378">
        <f>A1378&lt;=MineCount*Days</f>
        <v/>
      </c>
      <c r="C1378">
        <f>IF(B1378,INT((A1378-1)/Days)+1,"")</f>
        <v/>
      </c>
      <c r="D1378">
        <f>IF(B1378,MOD(A1378-1,Days),"")</f>
        <v/>
      </c>
      <c r="E1378" s="16">
        <f>IF(B1378,StartDate+D1378,"")</f>
        <v/>
      </c>
      <c r="F1378">
        <f>IF(B1378,MAX(MOD(SIN(Seed*0.1373+C1378*12.9898+D1378*78.233)*43758.5453,1),1E-9),"")</f>
        <v/>
      </c>
      <c r="G1378">
        <f>IF(B1378,MOD(SIN(Seed*0.5917+C1378*39.3468+D1378*11.135)*24634.6345,1),"")</f>
        <v/>
      </c>
      <c r="H1378">
        <f>IF(B1378,SQRT(-2*LN(F1378))*COS(2*PI()*G1378),"")</f>
        <v/>
      </c>
      <c r="I1378">
        <f>IF(B1378,IF(D1378=0,H1378,Rho*I1377+SQRT(1-Rho^2)*H1378),"")</f>
        <v/>
      </c>
      <c r="J1378">
        <f>IF(B1378,IF(Dist="Normal",DistA+DistB*I1378,DistA+(DistB-DistA)*NORMSDIST(I1378)),"")</f>
        <v/>
      </c>
      <c r="K1378">
        <f>IF(B1378,INDEX(MineScale,C1378),"")</f>
        <v/>
      </c>
      <c r="L1378">
        <f>IF(B1378,INDEX(Dow,1,WEEKDAY(E1378,2)),"")</f>
        <v/>
      </c>
      <c r="M1378">
        <f>IF(B1378,(1+Trend)^D1378,"")</f>
        <v/>
      </c>
      <c r="N1378">
        <f>IF(B1378,EXP(SUMPRODUCT(LN(1+(EvEff-1)*INDEX(Affected,0,C1378)*EXP(-((E1378-EvCenter)^2)/(2*EvSigma^2))))),"")</f>
        <v/>
      </c>
      <c r="O1378">
        <f>IF(B1378,ROUND(MAX(0,J1378*K1378*L1378*M1378*N1378),2),"")</f>
        <v/>
      </c>
    </row>
    <row r="1379">
      <c r="A1379" t="n">
        <v>1378</v>
      </c>
      <c r="B1379">
        <f>A1379&lt;=MineCount*Days</f>
        <v/>
      </c>
      <c r="C1379">
        <f>IF(B1379,INT((A1379-1)/Days)+1,"")</f>
        <v/>
      </c>
      <c r="D1379">
        <f>IF(B1379,MOD(A1379-1,Days),"")</f>
        <v/>
      </c>
      <c r="E1379" s="16">
        <f>IF(B1379,StartDate+D1379,"")</f>
        <v/>
      </c>
      <c r="F1379">
        <f>IF(B1379,MAX(MOD(SIN(Seed*0.1373+C1379*12.9898+D1379*78.233)*43758.5453,1),1E-9),"")</f>
        <v/>
      </c>
      <c r="G1379">
        <f>IF(B1379,MOD(SIN(Seed*0.5917+C1379*39.3468+D1379*11.135)*24634.6345,1),"")</f>
        <v/>
      </c>
      <c r="H1379">
        <f>IF(B1379,SQRT(-2*LN(F1379))*COS(2*PI()*G1379),"")</f>
        <v/>
      </c>
      <c r="I1379">
        <f>IF(B1379,IF(D1379=0,H1379,Rho*I1378+SQRT(1-Rho^2)*H1379),"")</f>
        <v/>
      </c>
      <c r="J1379">
        <f>IF(B1379,IF(Dist="Normal",DistA+DistB*I1379,DistA+(DistB-DistA)*NORMSDIST(I1379)),"")</f>
        <v/>
      </c>
      <c r="K1379">
        <f>IF(B1379,INDEX(MineScale,C1379),"")</f>
        <v/>
      </c>
      <c r="L1379">
        <f>IF(B1379,INDEX(Dow,1,WEEKDAY(E1379,2)),"")</f>
        <v/>
      </c>
      <c r="M1379">
        <f>IF(B1379,(1+Trend)^D1379,"")</f>
        <v/>
      </c>
      <c r="N1379">
        <f>IF(B1379,EXP(SUMPRODUCT(LN(1+(EvEff-1)*INDEX(Affected,0,C1379)*EXP(-((E1379-EvCenter)^2)/(2*EvSigma^2))))),"")</f>
        <v/>
      </c>
      <c r="O1379">
        <f>IF(B1379,ROUND(MAX(0,J1379*K1379*L1379*M1379*N1379),2),"")</f>
        <v/>
      </c>
    </row>
    <row r="1380">
      <c r="A1380" t="n">
        <v>1379</v>
      </c>
      <c r="B1380">
        <f>A1380&lt;=MineCount*Days</f>
        <v/>
      </c>
      <c r="C1380">
        <f>IF(B1380,INT((A1380-1)/Days)+1,"")</f>
        <v/>
      </c>
      <c r="D1380">
        <f>IF(B1380,MOD(A1380-1,Days),"")</f>
        <v/>
      </c>
      <c r="E1380" s="16">
        <f>IF(B1380,StartDate+D1380,"")</f>
        <v/>
      </c>
      <c r="F1380">
        <f>IF(B1380,MAX(MOD(SIN(Seed*0.1373+C1380*12.9898+D1380*78.233)*43758.5453,1),1E-9),"")</f>
        <v/>
      </c>
      <c r="G1380">
        <f>IF(B1380,MOD(SIN(Seed*0.5917+C1380*39.3468+D1380*11.135)*24634.6345,1),"")</f>
        <v/>
      </c>
      <c r="H1380">
        <f>IF(B1380,SQRT(-2*LN(F1380))*COS(2*PI()*G1380),"")</f>
        <v/>
      </c>
      <c r="I1380">
        <f>IF(B1380,IF(D1380=0,H1380,Rho*I1379+SQRT(1-Rho^2)*H1380),"")</f>
        <v/>
      </c>
      <c r="J1380">
        <f>IF(B1380,IF(Dist="Normal",DistA+DistB*I1380,DistA+(DistB-DistA)*NORMSDIST(I1380)),"")</f>
        <v/>
      </c>
      <c r="K1380">
        <f>IF(B1380,INDEX(MineScale,C1380),"")</f>
        <v/>
      </c>
      <c r="L1380">
        <f>IF(B1380,INDEX(Dow,1,WEEKDAY(E1380,2)),"")</f>
        <v/>
      </c>
      <c r="M1380">
        <f>IF(B1380,(1+Trend)^D1380,"")</f>
        <v/>
      </c>
      <c r="N1380">
        <f>IF(B1380,EXP(SUMPRODUCT(LN(1+(EvEff-1)*INDEX(Affected,0,C1380)*EXP(-((E1380-EvCenter)^2)/(2*EvSigma^2))))),"")</f>
        <v/>
      </c>
      <c r="O1380">
        <f>IF(B1380,ROUND(MAX(0,J1380*K1380*L1380*M1380*N1380),2),"")</f>
        <v/>
      </c>
    </row>
    <row r="1381">
      <c r="A1381" t="n">
        <v>1380</v>
      </c>
      <c r="B1381">
        <f>A1381&lt;=MineCount*Days</f>
        <v/>
      </c>
      <c r="C1381">
        <f>IF(B1381,INT((A1381-1)/Days)+1,"")</f>
        <v/>
      </c>
      <c r="D1381">
        <f>IF(B1381,MOD(A1381-1,Days),"")</f>
        <v/>
      </c>
      <c r="E1381" s="16">
        <f>IF(B1381,StartDate+D1381,"")</f>
        <v/>
      </c>
      <c r="F1381">
        <f>IF(B1381,MAX(MOD(SIN(Seed*0.1373+C1381*12.9898+D1381*78.233)*43758.5453,1),1E-9),"")</f>
        <v/>
      </c>
      <c r="G1381">
        <f>IF(B1381,MOD(SIN(Seed*0.5917+C1381*39.3468+D1381*11.135)*24634.6345,1),"")</f>
        <v/>
      </c>
      <c r="H1381">
        <f>IF(B1381,SQRT(-2*LN(F1381))*COS(2*PI()*G1381),"")</f>
        <v/>
      </c>
      <c r="I1381">
        <f>IF(B1381,IF(D1381=0,H1381,Rho*I1380+SQRT(1-Rho^2)*H1381),"")</f>
        <v/>
      </c>
      <c r="J1381">
        <f>IF(B1381,IF(Dist="Normal",DistA+DistB*I1381,DistA+(DistB-DistA)*NORMSDIST(I1381)),"")</f>
        <v/>
      </c>
      <c r="K1381">
        <f>IF(B1381,INDEX(MineScale,C1381),"")</f>
        <v/>
      </c>
      <c r="L1381">
        <f>IF(B1381,INDEX(Dow,1,WEEKDAY(E1381,2)),"")</f>
        <v/>
      </c>
      <c r="M1381">
        <f>IF(B1381,(1+Trend)^D1381,"")</f>
        <v/>
      </c>
      <c r="N1381">
        <f>IF(B1381,EXP(SUMPRODUCT(LN(1+(EvEff-1)*INDEX(Affected,0,C1381)*EXP(-((E1381-EvCenter)^2)/(2*EvSigma^2))))),"")</f>
        <v/>
      </c>
      <c r="O1381">
        <f>IF(B1381,ROUND(MAX(0,J1381*K1381*L1381*M1381*N1381),2),"")</f>
        <v/>
      </c>
    </row>
    <row r="1382">
      <c r="A1382" t="n">
        <v>1381</v>
      </c>
      <c r="B1382">
        <f>A1382&lt;=MineCount*Days</f>
        <v/>
      </c>
      <c r="C1382">
        <f>IF(B1382,INT((A1382-1)/Days)+1,"")</f>
        <v/>
      </c>
      <c r="D1382">
        <f>IF(B1382,MOD(A1382-1,Days),"")</f>
        <v/>
      </c>
      <c r="E1382" s="16">
        <f>IF(B1382,StartDate+D1382,"")</f>
        <v/>
      </c>
      <c r="F1382">
        <f>IF(B1382,MAX(MOD(SIN(Seed*0.1373+C1382*12.9898+D1382*78.233)*43758.5453,1),1E-9),"")</f>
        <v/>
      </c>
      <c r="G1382">
        <f>IF(B1382,MOD(SIN(Seed*0.5917+C1382*39.3468+D1382*11.135)*24634.6345,1),"")</f>
        <v/>
      </c>
      <c r="H1382">
        <f>IF(B1382,SQRT(-2*LN(F1382))*COS(2*PI()*G1382),"")</f>
        <v/>
      </c>
      <c r="I1382">
        <f>IF(B1382,IF(D1382=0,H1382,Rho*I1381+SQRT(1-Rho^2)*H1382),"")</f>
        <v/>
      </c>
      <c r="J1382">
        <f>IF(B1382,IF(Dist="Normal",DistA+DistB*I1382,DistA+(DistB-DistA)*NORMSDIST(I1382)),"")</f>
        <v/>
      </c>
      <c r="K1382">
        <f>IF(B1382,INDEX(MineScale,C1382),"")</f>
        <v/>
      </c>
      <c r="L1382">
        <f>IF(B1382,INDEX(Dow,1,WEEKDAY(E1382,2)),"")</f>
        <v/>
      </c>
      <c r="M1382">
        <f>IF(B1382,(1+Trend)^D1382,"")</f>
        <v/>
      </c>
      <c r="N1382">
        <f>IF(B1382,EXP(SUMPRODUCT(LN(1+(EvEff-1)*INDEX(Affected,0,C1382)*EXP(-((E1382-EvCenter)^2)/(2*EvSigma^2))))),"")</f>
        <v/>
      </c>
      <c r="O1382">
        <f>IF(B1382,ROUND(MAX(0,J1382*K1382*L1382*M1382*N1382),2),"")</f>
        <v/>
      </c>
    </row>
    <row r="1383">
      <c r="A1383" t="n">
        <v>1382</v>
      </c>
      <c r="B1383">
        <f>A1383&lt;=MineCount*Days</f>
        <v/>
      </c>
      <c r="C1383">
        <f>IF(B1383,INT((A1383-1)/Days)+1,"")</f>
        <v/>
      </c>
      <c r="D1383">
        <f>IF(B1383,MOD(A1383-1,Days),"")</f>
        <v/>
      </c>
      <c r="E1383" s="16">
        <f>IF(B1383,StartDate+D1383,"")</f>
        <v/>
      </c>
      <c r="F1383">
        <f>IF(B1383,MAX(MOD(SIN(Seed*0.1373+C1383*12.9898+D1383*78.233)*43758.5453,1),1E-9),"")</f>
        <v/>
      </c>
      <c r="G1383">
        <f>IF(B1383,MOD(SIN(Seed*0.5917+C1383*39.3468+D1383*11.135)*24634.6345,1),"")</f>
        <v/>
      </c>
      <c r="H1383">
        <f>IF(B1383,SQRT(-2*LN(F1383))*COS(2*PI()*G1383),"")</f>
        <v/>
      </c>
      <c r="I1383">
        <f>IF(B1383,IF(D1383=0,H1383,Rho*I1382+SQRT(1-Rho^2)*H1383),"")</f>
        <v/>
      </c>
      <c r="J1383">
        <f>IF(B1383,IF(Dist="Normal",DistA+DistB*I1383,DistA+(DistB-DistA)*NORMSDIST(I1383)),"")</f>
        <v/>
      </c>
      <c r="K1383">
        <f>IF(B1383,INDEX(MineScale,C1383),"")</f>
        <v/>
      </c>
      <c r="L1383">
        <f>IF(B1383,INDEX(Dow,1,WEEKDAY(E1383,2)),"")</f>
        <v/>
      </c>
      <c r="M1383">
        <f>IF(B1383,(1+Trend)^D1383,"")</f>
        <v/>
      </c>
      <c r="N1383">
        <f>IF(B1383,EXP(SUMPRODUCT(LN(1+(EvEff-1)*INDEX(Affected,0,C1383)*EXP(-((E1383-EvCenter)^2)/(2*EvSigma^2))))),"")</f>
        <v/>
      </c>
      <c r="O1383">
        <f>IF(B1383,ROUND(MAX(0,J1383*K1383*L1383*M1383*N1383),2),"")</f>
        <v/>
      </c>
    </row>
    <row r="1384">
      <c r="A1384" t="n">
        <v>1383</v>
      </c>
      <c r="B1384">
        <f>A1384&lt;=MineCount*Days</f>
        <v/>
      </c>
      <c r="C1384">
        <f>IF(B1384,INT((A1384-1)/Days)+1,"")</f>
        <v/>
      </c>
      <c r="D1384">
        <f>IF(B1384,MOD(A1384-1,Days),"")</f>
        <v/>
      </c>
      <c r="E1384" s="16">
        <f>IF(B1384,StartDate+D1384,"")</f>
        <v/>
      </c>
      <c r="F1384">
        <f>IF(B1384,MAX(MOD(SIN(Seed*0.1373+C1384*12.9898+D1384*78.233)*43758.5453,1),1E-9),"")</f>
        <v/>
      </c>
      <c r="G1384">
        <f>IF(B1384,MOD(SIN(Seed*0.5917+C1384*39.3468+D1384*11.135)*24634.6345,1),"")</f>
        <v/>
      </c>
      <c r="H1384">
        <f>IF(B1384,SQRT(-2*LN(F1384))*COS(2*PI()*G1384),"")</f>
        <v/>
      </c>
      <c r="I1384">
        <f>IF(B1384,IF(D1384=0,H1384,Rho*I1383+SQRT(1-Rho^2)*H1384),"")</f>
        <v/>
      </c>
      <c r="J1384">
        <f>IF(B1384,IF(Dist="Normal",DistA+DistB*I1384,DistA+(DistB-DistA)*NORMSDIST(I1384)),"")</f>
        <v/>
      </c>
      <c r="K1384">
        <f>IF(B1384,INDEX(MineScale,C1384),"")</f>
        <v/>
      </c>
      <c r="L1384">
        <f>IF(B1384,INDEX(Dow,1,WEEKDAY(E1384,2)),"")</f>
        <v/>
      </c>
      <c r="M1384">
        <f>IF(B1384,(1+Trend)^D1384,"")</f>
        <v/>
      </c>
      <c r="N1384">
        <f>IF(B1384,EXP(SUMPRODUCT(LN(1+(EvEff-1)*INDEX(Affected,0,C1384)*EXP(-((E1384-EvCenter)^2)/(2*EvSigma^2))))),"")</f>
        <v/>
      </c>
      <c r="O1384">
        <f>IF(B1384,ROUND(MAX(0,J1384*K1384*L1384*M1384*N1384),2),"")</f>
        <v/>
      </c>
    </row>
    <row r="1385">
      <c r="A1385" t="n">
        <v>1384</v>
      </c>
      <c r="B1385">
        <f>A1385&lt;=MineCount*Days</f>
        <v/>
      </c>
      <c r="C1385">
        <f>IF(B1385,INT((A1385-1)/Days)+1,"")</f>
        <v/>
      </c>
      <c r="D1385">
        <f>IF(B1385,MOD(A1385-1,Days),"")</f>
        <v/>
      </c>
      <c r="E1385" s="16">
        <f>IF(B1385,StartDate+D1385,"")</f>
        <v/>
      </c>
      <c r="F1385">
        <f>IF(B1385,MAX(MOD(SIN(Seed*0.1373+C1385*12.9898+D1385*78.233)*43758.5453,1),1E-9),"")</f>
        <v/>
      </c>
      <c r="G1385">
        <f>IF(B1385,MOD(SIN(Seed*0.5917+C1385*39.3468+D1385*11.135)*24634.6345,1),"")</f>
        <v/>
      </c>
      <c r="H1385">
        <f>IF(B1385,SQRT(-2*LN(F1385))*COS(2*PI()*G1385),"")</f>
        <v/>
      </c>
      <c r="I1385">
        <f>IF(B1385,IF(D1385=0,H1385,Rho*I1384+SQRT(1-Rho^2)*H1385),"")</f>
        <v/>
      </c>
      <c r="J1385">
        <f>IF(B1385,IF(Dist="Normal",DistA+DistB*I1385,DistA+(DistB-DistA)*NORMSDIST(I1385)),"")</f>
        <v/>
      </c>
      <c r="K1385">
        <f>IF(B1385,INDEX(MineScale,C1385),"")</f>
        <v/>
      </c>
      <c r="L1385">
        <f>IF(B1385,INDEX(Dow,1,WEEKDAY(E1385,2)),"")</f>
        <v/>
      </c>
      <c r="M1385">
        <f>IF(B1385,(1+Trend)^D1385,"")</f>
        <v/>
      </c>
      <c r="N1385">
        <f>IF(B1385,EXP(SUMPRODUCT(LN(1+(EvEff-1)*INDEX(Affected,0,C1385)*EXP(-((E1385-EvCenter)^2)/(2*EvSigma^2))))),"")</f>
        <v/>
      </c>
      <c r="O1385">
        <f>IF(B1385,ROUND(MAX(0,J1385*K1385*L1385*M1385*N1385),2),"")</f>
        <v/>
      </c>
    </row>
    <row r="1386">
      <c r="A1386" t="n">
        <v>1385</v>
      </c>
      <c r="B1386">
        <f>A1386&lt;=MineCount*Days</f>
        <v/>
      </c>
      <c r="C1386">
        <f>IF(B1386,INT((A1386-1)/Days)+1,"")</f>
        <v/>
      </c>
      <c r="D1386">
        <f>IF(B1386,MOD(A1386-1,Days),"")</f>
        <v/>
      </c>
      <c r="E1386" s="16">
        <f>IF(B1386,StartDate+D1386,"")</f>
        <v/>
      </c>
      <c r="F1386">
        <f>IF(B1386,MAX(MOD(SIN(Seed*0.1373+C1386*12.9898+D1386*78.233)*43758.5453,1),1E-9),"")</f>
        <v/>
      </c>
      <c r="G1386">
        <f>IF(B1386,MOD(SIN(Seed*0.5917+C1386*39.3468+D1386*11.135)*24634.6345,1),"")</f>
        <v/>
      </c>
      <c r="H1386">
        <f>IF(B1386,SQRT(-2*LN(F1386))*COS(2*PI()*G1386),"")</f>
        <v/>
      </c>
      <c r="I1386">
        <f>IF(B1386,IF(D1386=0,H1386,Rho*I1385+SQRT(1-Rho^2)*H1386),"")</f>
        <v/>
      </c>
      <c r="J1386">
        <f>IF(B1386,IF(Dist="Normal",DistA+DistB*I1386,DistA+(DistB-DistA)*NORMSDIST(I1386)),"")</f>
        <v/>
      </c>
      <c r="K1386">
        <f>IF(B1386,INDEX(MineScale,C1386),"")</f>
        <v/>
      </c>
      <c r="L1386">
        <f>IF(B1386,INDEX(Dow,1,WEEKDAY(E1386,2)),"")</f>
        <v/>
      </c>
      <c r="M1386">
        <f>IF(B1386,(1+Trend)^D1386,"")</f>
        <v/>
      </c>
      <c r="N1386">
        <f>IF(B1386,EXP(SUMPRODUCT(LN(1+(EvEff-1)*INDEX(Affected,0,C1386)*EXP(-((E1386-EvCenter)^2)/(2*EvSigma^2))))),"")</f>
        <v/>
      </c>
      <c r="O1386">
        <f>IF(B1386,ROUND(MAX(0,J1386*K1386*L1386*M1386*N1386),2),"")</f>
        <v/>
      </c>
    </row>
    <row r="1387">
      <c r="A1387" t="n">
        <v>1386</v>
      </c>
      <c r="B1387">
        <f>A1387&lt;=MineCount*Days</f>
        <v/>
      </c>
      <c r="C1387">
        <f>IF(B1387,INT((A1387-1)/Days)+1,"")</f>
        <v/>
      </c>
      <c r="D1387">
        <f>IF(B1387,MOD(A1387-1,Days),"")</f>
        <v/>
      </c>
      <c r="E1387" s="16">
        <f>IF(B1387,StartDate+D1387,"")</f>
        <v/>
      </c>
      <c r="F1387">
        <f>IF(B1387,MAX(MOD(SIN(Seed*0.1373+C1387*12.9898+D1387*78.233)*43758.5453,1),1E-9),"")</f>
        <v/>
      </c>
      <c r="G1387">
        <f>IF(B1387,MOD(SIN(Seed*0.5917+C1387*39.3468+D1387*11.135)*24634.6345,1),"")</f>
        <v/>
      </c>
      <c r="H1387">
        <f>IF(B1387,SQRT(-2*LN(F1387))*COS(2*PI()*G1387),"")</f>
        <v/>
      </c>
      <c r="I1387">
        <f>IF(B1387,IF(D1387=0,H1387,Rho*I1386+SQRT(1-Rho^2)*H1387),"")</f>
        <v/>
      </c>
      <c r="J1387">
        <f>IF(B1387,IF(Dist="Normal",DistA+DistB*I1387,DistA+(DistB-DistA)*NORMSDIST(I1387)),"")</f>
        <v/>
      </c>
      <c r="K1387">
        <f>IF(B1387,INDEX(MineScale,C1387),"")</f>
        <v/>
      </c>
      <c r="L1387">
        <f>IF(B1387,INDEX(Dow,1,WEEKDAY(E1387,2)),"")</f>
        <v/>
      </c>
      <c r="M1387">
        <f>IF(B1387,(1+Trend)^D1387,"")</f>
        <v/>
      </c>
      <c r="N1387">
        <f>IF(B1387,EXP(SUMPRODUCT(LN(1+(EvEff-1)*INDEX(Affected,0,C1387)*EXP(-((E1387-EvCenter)^2)/(2*EvSigma^2))))),"")</f>
        <v/>
      </c>
      <c r="O1387">
        <f>IF(B1387,ROUND(MAX(0,J1387*K1387*L1387*M1387*N1387),2),"")</f>
        <v/>
      </c>
    </row>
    <row r="1388">
      <c r="A1388" t="n">
        <v>1387</v>
      </c>
      <c r="B1388">
        <f>A1388&lt;=MineCount*Days</f>
        <v/>
      </c>
      <c r="C1388">
        <f>IF(B1388,INT((A1388-1)/Days)+1,"")</f>
        <v/>
      </c>
      <c r="D1388">
        <f>IF(B1388,MOD(A1388-1,Days),"")</f>
        <v/>
      </c>
      <c r="E1388" s="16">
        <f>IF(B1388,StartDate+D1388,"")</f>
        <v/>
      </c>
      <c r="F1388">
        <f>IF(B1388,MAX(MOD(SIN(Seed*0.1373+C1388*12.9898+D1388*78.233)*43758.5453,1),1E-9),"")</f>
        <v/>
      </c>
      <c r="G1388">
        <f>IF(B1388,MOD(SIN(Seed*0.5917+C1388*39.3468+D1388*11.135)*24634.6345,1),"")</f>
        <v/>
      </c>
      <c r="H1388">
        <f>IF(B1388,SQRT(-2*LN(F1388))*COS(2*PI()*G1388),"")</f>
        <v/>
      </c>
      <c r="I1388">
        <f>IF(B1388,IF(D1388=0,H1388,Rho*I1387+SQRT(1-Rho^2)*H1388),"")</f>
        <v/>
      </c>
      <c r="J1388">
        <f>IF(B1388,IF(Dist="Normal",DistA+DistB*I1388,DistA+(DistB-DistA)*NORMSDIST(I1388)),"")</f>
        <v/>
      </c>
      <c r="K1388">
        <f>IF(B1388,INDEX(MineScale,C1388),"")</f>
        <v/>
      </c>
      <c r="L1388">
        <f>IF(B1388,INDEX(Dow,1,WEEKDAY(E1388,2)),"")</f>
        <v/>
      </c>
      <c r="M1388">
        <f>IF(B1388,(1+Trend)^D1388,"")</f>
        <v/>
      </c>
      <c r="N1388">
        <f>IF(B1388,EXP(SUMPRODUCT(LN(1+(EvEff-1)*INDEX(Affected,0,C1388)*EXP(-((E1388-EvCenter)^2)/(2*EvSigma^2))))),"")</f>
        <v/>
      </c>
      <c r="O1388">
        <f>IF(B1388,ROUND(MAX(0,J1388*K1388*L1388*M1388*N1388),2),"")</f>
        <v/>
      </c>
    </row>
    <row r="1389">
      <c r="A1389" t="n">
        <v>1388</v>
      </c>
      <c r="B1389">
        <f>A1389&lt;=MineCount*Days</f>
        <v/>
      </c>
      <c r="C1389">
        <f>IF(B1389,INT((A1389-1)/Days)+1,"")</f>
        <v/>
      </c>
      <c r="D1389">
        <f>IF(B1389,MOD(A1389-1,Days),"")</f>
        <v/>
      </c>
      <c r="E1389" s="16">
        <f>IF(B1389,StartDate+D1389,"")</f>
        <v/>
      </c>
      <c r="F1389">
        <f>IF(B1389,MAX(MOD(SIN(Seed*0.1373+C1389*12.9898+D1389*78.233)*43758.5453,1),1E-9),"")</f>
        <v/>
      </c>
      <c r="G1389">
        <f>IF(B1389,MOD(SIN(Seed*0.5917+C1389*39.3468+D1389*11.135)*24634.6345,1),"")</f>
        <v/>
      </c>
      <c r="H1389">
        <f>IF(B1389,SQRT(-2*LN(F1389))*COS(2*PI()*G1389),"")</f>
        <v/>
      </c>
      <c r="I1389">
        <f>IF(B1389,IF(D1389=0,H1389,Rho*I1388+SQRT(1-Rho^2)*H1389),"")</f>
        <v/>
      </c>
      <c r="J1389">
        <f>IF(B1389,IF(Dist="Normal",DistA+DistB*I1389,DistA+(DistB-DistA)*NORMSDIST(I1389)),"")</f>
        <v/>
      </c>
      <c r="K1389">
        <f>IF(B1389,INDEX(MineScale,C1389),"")</f>
        <v/>
      </c>
      <c r="L1389">
        <f>IF(B1389,INDEX(Dow,1,WEEKDAY(E1389,2)),"")</f>
        <v/>
      </c>
      <c r="M1389">
        <f>IF(B1389,(1+Trend)^D1389,"")</f>
        <v/>
      </c>
      <c r="N1389">
        <f>IF(B1389,EXP(SUMPRODUCT(LN(1+(EvEff-1)*INDEX(Affected,0,C1389)*EXP(-((E1389-EvCenter)^2)/(2*EvSigma^2))))),"")</f>
        <v/>
      </c>
      <c r="O1389">
        <f>IF(B1389,ROUND(MAX(0,J1389*K1389*L1389*M1389*N1389),2),"")</f>
        <v/>
      </c>
    </row>
    <row r="1390">
      <c r="A1390" t="n">
        <v>1389</v>
      </c>
      <c r="B1390">
        <f>A1390&lt;=MineCount*Days</f>
        <v/>
      </c>
      <c r="C1390">
        <f>IF(B1390,INT((A1390-1)/Days)+1,"")</f>
        <v/>
      </c>
      <c r="D1390">
        <f>IF(B1390,MOD(A1390-1,Days),"")</f>
        <v/>
      </c>
      <c r="E1390" s="16">
        <f>IF(B1390,StartDate+D1390,"")</f>
        <v/>
      </c>
      <c r="F1390">
        <f>IF(B1390,MAX(MOD(SIN(Seed*0.1373+C1390*12.9898+D1390*78.233)*43758.5453,1),1E-9),"")</f>
        <v/>
      </c>
      <c r="G1390">
        <f>IF(B1390,MOD(SIN(Seed*0.5917+C1390*39.3468+D1390*11.135)*24634.6345,1),"")</f>
        <v/>
      </c>
      <c r="H1390">
        <f>IF(B1390,SQRT(-2*LN(F1390))*COS(2*PI()*G1390),"")</f>
        <v/>
      </c>
      <c r="I1390">
        <f>IF(B1390,IF(D1390=0,H1390,Rho*I1389+SQRT(1-Rho^2)*H1390),"")</f>
        <v/>
      </c>
      <c r="J1390">
        <f>IF(B1390,IF(Dist="Normal",DistA+DistB*I1390,DistA+(DistB-DistA)*NORMSDIST(I1390)),"")</f>
        <v/>
      </c>
      <c r="K1390">
        <f>IF(B1390,INDEX(MineScale,C1390),"")</f>
        <v/>
      </c>
      <c r="L1390">
        <f>IF(B1390,INDEX(Dow,1,WEEKDAY(E1390,2)),"")</f>
        <v/>
      </c>
      <c r="M1390">
        <f>IF(B1390,(1+Trend)^D1390,"")</f>
        <v/>
      </c>
      <c r="N1390">
        <f>IF(B1390,EXP(SUMPRODUCT(LN(1+(EvEff-1)*INDEX(Affected,0,C1390)*EXP(-((E1390-EvCenter)^2)/(2*EvSigma^2))))),"")</f>
        <v/>
      </c>
      <c r="O1390">
        <f>IF(B1390,ROUND(MAX(0,J1390*K1390*L1390*M1390*N1390),2),"")</f>
        <v/>
      </c>
    </row>
    <row r="1391">
      <c r="A1391" t="n">
        <v>1390</v>
      </c>
      <c r="B1391">
        <f>A1391&lt;=MineCount*Days</f>
        <v/>
      </c>
      <c r="C1391">
        <f>IF(B1391,INT((A1391-1)/Days)+1,"")</f>
        <v/>
      </c>
      <c r="D1391">
        <f>IF(B1391,MOD(A1391-1,Days),"")</f>
        <v/>
      </c>
      <c r="E1391" s="16">
        <f>IF(B1391,StartDate+D1391,"")</f>
        <v/>
      </c>
      <c r="F1391">
        <f>IF(B1391,MAX(MOD(SIN(Seed*0.1373+C1391*12.9898+D1391*78.233)*43758.5453,1),1E-9),"")</f>
        <v/>
      </c>
      <c r="G1391">
        <f>IF(B1391,MOD(SIN(Seed*0.5917+C1391*39.3468+D1391*11.135)*24634.6345,1),"")</f>
        <v/>
      </c>
      <c r="H1391">
        <f>IF(B1391,SQRT(-2*LN(F1391))*COS(2*PI()*G1391),"")</f>
        <v/>
      </c>
      <c r="I1391">
        <f>IF(B1391,IF(D1391=0,H1391,Rho*I1390+SQRT(1-Rho^2)*H1391),"")</f>
        <v/>
      </c>
      <c r="J1391">
        <f>IF(B1391,IF(Dist="Normal",DistA+DistB*I1391,DistA+(DistB-DistA)*NORMSDIST(I1391)),"")</f>
        <v/>
      </c>
      <c r="K1391">
        <f>IF(B1391,INDEX(MineScale,C1391),"")</f>
        <v/>
      </c>
      <c r="L1391">
        <f>IF(B1391,INDEX(Dow,1,WEEKDAY(E1391,2)),"")</f>
        <v/>
      </c>
      <c r="M1391">
        <f>IF(B1391,(1+Trend)^D1391,"")</f>
        <v/>
      </c>
      <c r="N1391">
        <f>IF(B1391,EXP(SUMPRODUCT(LN(1+(EvEff-1)*INDEX(Affected,0,C1391)*EXP(-((E1391-EvCenter)^2)/(2*EvSigma^2))))),"")</f>
        <v/>
      </c>
      <c r="O1391">
        <f>IF(B1391,ROUND(MAX(0,J1391*K1391*L1391*M1391*N1391),2),"")</f>
        <v/>
      </c>
    </row>
    <row r="1392">
      <c r="A1392" t="n">
        <v>1391</v>
      </c>
      <c r="B1392">
        <f>A1392&lt;=MineCount*Days</f>
        <v/>
      </c>
      <c r="C1392">
        <f>IF(B1392,INT((A1392-1)/Days)+1,"")</f>
        <v/>
      </c>
      <c r="D1392">
        <f>IF(B1392,MOD(A1392-1,Days),"")</f>
        <v/>
      </c>
      <c r="E1392" s="16">
        <f>IF(B1392,StartDate+D1392,"")</f>
        <v/>
      </c>
      <c r="F1392">
        <f>IF(B1392,MAX(MOD(SIN(Seed*0.1373+C1392*12.9898+D1392*78.233)*43758.5453,1),1E-9),"")</f>
        <v/>
      </c>
      <c r="G1392">
        <f>IF(B1392,MOD(SIN(Seed*0.5917+C1392*39.3468+D1392*11.135)*24634.6345,1),"")</f>
        <v/>
      </c>
      <c r="H1392">
        <f>IF(B1392,SQRT(-2*LN(F1392))*COS(2*PI()*G1392),"")</f>
        <v/>
      </c>
      <c r="I1392">
        <f>IF(B1392,IF(D1392=0,H1392,Rho*I1391+SQRT(1-Rho^2)*H1392),"")</f>
        <v/>
      </c>
      <c r="J1392">
        <f>IF(B1392,IF(Dist="Normal",DistA+DistB*I1392,DistA+(DistB-DistA)*NORMSDIST(I1392)),"")</f>
        <v/>
      </c>
      <c r="K1392">
        <f>IF(B1392,INDEX(MineScale,C1392),"")</f>
        <v/>
      </c>
      <c r="L1392">
        <f>IF(B1392,INDEX(Dow,1,WEEKDAY(E1392,2)),"")</f>
        <v/>
      </c>
      <c r="M1392">
        <f>IF(B1392,(1+Trend)^D1392,"")</f>
        <v/>
      </c>
      <c r="N1392">
        <f>IF(B1392,EXP(SUMPRODUCT(LN(1+(EvEff-1)*INDEX(Affected,0,C1392)*EXP(-((E1392-EvCenter)^2)/(2*EvSigma^2))))),"")</f>
        <v/>
      </c>
      <c r="O1392">
        <f>IF(B1392,ROUND(MAX(0,J1392*K1392*L1392*M1392*N1392),2),"")</f>
        <v/>
      </c>
    </row>
    <row r="1393">
      <c r="A1393" t="n">
        <v>1392</v>
      </c>
      <c r="B1393">
        <f>A1393&lt;=MineCount*Days</f>
        <v/>
      </c>
      <c r="C1393">
        <f>IF(B1393,INT((A1393-1)/Days)+1,"")</f>
        <v/>
      </c>
      <c r="D1393">
        <f>IF(B1393,MOD(A1393-1,Days),"")</f>
        <v/>
      </c>
      <c r="E1393" s="16">
        <f>IF(B1393,StartDate+D1393,"")</f>
        <v/>
      </c>
      <c r="F1393">
        <f>IF(B1393,MAX(MOD(SIN(Seed*0.1373+C1393*12.9898+D1393*78.233)*43758.5453,1),1E-9),"")</f>
        <v/>
      </c>
      <c r="G1393">
        <f>IF(B1393,MOD(SIN(Seed*0.5917+C1393*39.3468+D1393*11.135)*24634.6345,1),"")</f>
        <v/>
      </c>
      <c r="H1393">
        <f>IF(B1393,SQRT(-2*LN(F1393))*COS(2*PI()*G1393),"")</f>
        <v/>
      </c>
      <c r="I1393">
        <f>IF(B1393,IF(D1393=0,H1393,Rho*I1392+SQRT(1-Rho^2)*H1393),"")</f>
        <v/>
      </c>
      <c r="J1393">
        <f>IF(B1393,IF(Dist="Normal",DistA+DistB*I1393,DistA+(DistB-DistA)*NORMSDIST(I1393)),"")</f>
        <v/>
      </c>
      <c r="K1393">
        <f>IF(B1393,INDEX(MineScale,C1393),"")</f>
        <v/>
      </c>
      <c r="L1393">
        <f>IF(B1393,INDEX(Dow,1,WEEKDAY(E1393,2)),"")</f>
        <v/>
      </c>
      <c r="M1393">
        <f>IF(B1393,(1+Trend)^D1393,"")</f>
        <v/>
      </c>
      <c r="N1393">
        <f>IF(B1393,EXP(SUMPRODUCT(LN(1+(EvEff-1)*INDEX(Affected,0,C1393)*EXP(-((E1393-EvCenter)^2)/(2*EvSigma^2))))),"")</f>
        <v/>
      </c>
      <c r="O1393">
        <f>IF(B1393,ROUND(MAX(0,J1393*K1393*L1393*M1393*N1393),2),"")</f>
        <v/>
      </c>
    </row>
    <row r="1394">
      <c r="A1394" t="n">
        <v>1393</v>
      </c>
      <c r="B1394">
        <f>A1394&lt;=MineCount*Days</f>
        <v/>
      </c>
      <c r="C1394">
        <f>IF(B1394,INT((A1394-1)/Days)+1,"")</f>
        <v/>
      </c>
      <c r="D1394">
        <f>IF(B1394,MOD(A1394-1,Days),"")</f>
        <v/>
      </c>
      <c r="E1394" s="16">
        <f>IF(B1394,StartDate+D1394,"")</f>
        <v/>
      </c>
      <c r="F1394">
        <f>IF(B1394,MAX(MOD(SIN(Seed*0.1373+C1394*12.9898+D1394*78.233)*43758.5453,1),1E-9),"")</f>
        <v/>
      </c>
      <c r="G1394">
        <f>IF(B1394,MOD(SIN(Seed*0.5917+C1394*39.3468+D1394*11.135)*24634.6345,1),"")</f>
        <v/>
      </c>
      <c r="H1394">
        <f>IF(B1394,SQRT(-2*LN(F1394))*COS(2*PI()*G1394),"")</f>
        <v/>
      </c>
      <c r="I1394">
        <f>IF(B1394,IF(D1394=0,H1394,Rho*I1393+SQRT(1-Rho^2)*H1394),"")</f>
        <v/>
      </c>
      <c r="J1394">
        <f>IF(B1394,IF(Dist="Normal",DistA+DistB*I1394,DistA+(DistB-DistA)*NORMSDIST(I1394)),"")</f>
        <v/>
      </c>
      <c r="K1394">
        <f>IF(B1394,INDEX(MineScale,C1394),"")</f>
        <v/>
      </c>
      <c r="L1394">
        <f>IF(B1394,INDEX(Dow,1,WEEKDAY(E1394,2)),"")</f>
        <v/>
      </c>
      <c r="M1394">
        <f>IF(B1394,(1+Trend)^D1394,"")</f>
        <v/>
      </c>
      <c r="N1394">
        <f>IF(B1394,EXP(SUMPRODUCT(LN(1+(EvEff-1)*INDEX(Affected,0,C1394)*EXP(-((E1394-EvCenter)^2)/(2*EvSigma^2))))),"")</f>
        <v/>
      </c>
      <c r="O1394">
        <f>IF(B1394,ROUND(MAX(0,J1394*K1394*L1394*M1394*N1394),2),"")</f>
        <v/>
      </c>
    </row>
    <row r="1395">
      <c r="A1395" t="n">
        <v>1394</v>
      </c>
      <c r="B1395">
        <f>A1395&lt;=MineCount*Days</f>
        <v/>
      </c>
      <c r="C1395">
        <f>IF(B1395,INT((A1395-1)/Days)+1,"")</f>
        <v/>
      </c>
      <c r="D1395">
        <f>IF(B1395,MOD(A1395-1,Days),"")</f>
        <v/>
      </c>
      <c r="E1395" s="16">
        <f>IF(B1395,StartDate+D1395,"")</f>
        <v/>
      </c>
      <c r="F1395">
        <f>IF(B1395,MAX(MOD(SIN(Seed*0.1373+C1395*12.9898+D1395*78.233)*43758.5453,1),1E-9),"")</f>
        <v/>
      </c>
      <c r="G1395">
        <f>IF(B1395,MOD(SIN(Seed*0.5917+C1395*39.3468+D1395*11.135)*24634.6345,1),"")</f>
        <v/>
      </c>
      <c r="H1395">
        <f>IF(B1395,SQRT(-2*LN(F1395))*COS(2*PI()*G1395),"")</f>
        <v/>
      </c>
      <c r="I1395">
        <f>IF(B1395,IF(D1395=0,H1395,Rho*I1394+SQRT(1-Rho^2)*H1395),"")</f>
        <v/>
      </c>
      <c r="J1395">
        <f>IF(B1395,IF(Dist="Normal",DistA+DistB*I1395,DistA+(DistB-DistA)*NORMSDIST(I1395)),"")</f>
        <v/>
      </c>
      <c r="K1395">
        <f>IF(B1395,INDEX(MineScale,C1395),"")</f>
        <v/>
      </c>
      <c r="L1395">
        <f>IF(B1395,INDEX(Dow,1,WEEKDAY(E1395,2)),"")</f>
        <v/>
      </c>
      <c r="M1395">
        <f>IF(B1395,(1+Trend)^D1395,"")</f>
        <v/>
      </c>
      <c r="N1395">
        <f>IF(B1395,EXP(SUMPRODUCT(LN(1+(EvEff-1)*INDEX(Affected,0,C1395)*EXP(-((E1395-EvCenter)^2)/(2*EvSigma^2))))),"")</f>
        <v/>
      </c>
      <c r="O1395">
        <f>IF(B1395,ROUND(MAX(0,J1395*K1395*L1395*M1395*N1395),2),"")</f>
        <v/>
      </c>
    </row>
    <row r="1396">
      <c r="A1396" t="n">
        <v>1395</v>
      </c>
      <c r="B1396">
        <f>A1396&lt;=MineCount*Days</f>
        <v/>
      </c>
      <c r="C1396">
        <f>IF(B1396,INT((A1396-1)/Days)+1,"")</f>
        <v/>
      </c>
      <c r="D1396">
        <f>IF(B1396,MOD(A1396-1,Days),"")</f>
        <v/>
      </c>
      <c r="E1396" s="16">
        <f>IF(B1396,StartDate+D1396,"")</f>
        <v/>
      </c>
      <c r="F1396">
        <f>IF(B1396,MAX(MOD(SIN(Seed*0.1373+C1396*12.9898+D1396*78.233)*43758.5453,1),1E-9),"")</f>
        <v/>
      </c>
      <c r="G1396">
        <f>IF(B1396,MOD(SIN(Seed*0.5917+C1396*39.3468+D1396*11.135)*24634.6345,1),"")</f>
        <v/>
      </c>
      <c r="H1396">
        <f>IF(B1396,SQRT(-2*LN(F1396))*COS(2*PI()*G1396),"")</f>
        <v/>
      </c>
      <c r="I1396">
        <f>IF(B1396,IF(D1396=0,H1396,Rho*I1395+SQRT(1-Rho^2)*H1396),"")</f>
        <v/>
      </c>
      <c r="J1396">
        <f>IF(B1396,IF(Dist="Normal",DistA+DistB*I1396,DistA+(DistB-DistA)*NORMSDIST(I1396)),"")</f>
        <v/>
      </c>
      <c r="K1396">
        <f>IF(B1396,INDEX(MineScale,C1396),"")</f>
        <v/>
      </c>
      <c r="L1396">
        <f>IF(B1396,INDEX(Dow,1,WEEKDAY(E1396,2)),"")</f>
        <v/>
      </c>
      <c r="M1396">
        <f>IF(B1396,(1+Trend)^D1396,"")</f>
        <v/>
      </c>
      <c r="N1396">
        <f>IF(B1396,EXP(SUMPRODUCT(LN(1+(EvEff-1)*INDEX(Affected,0,C1396)*EXP(-((E1396-EvCenter)^2)/(2*EvSigma^2))))),"")</f>
        <v/>
      </c>
      <c r="O1396">
        <f>IF(B1396,ROUND(MAX(0,J1396*K1396*L1396*M1396*N1396),2),"")</f>
        <v/>
      </c>
    </row>
    <row r="1397">
      <c r="A1397" t="n">
        <v>1396</v>
      </c>
      <c r="B1397">
        <f>A1397&lt;=MineCount*Days</f>
        <v/>
      </c>
      <c r="C1397">
        <f>IF(B1397,INT((A1397-1)/Days)+1,"")</f>
        <v/>
      </c>
      <c r="D1397">
        <f>IF(B1397,MOD(A1397-1,Days),"")</f>
        <v/>
      </c>
      <c r="E1397" s="16">
        <f>IF(B1397,StartDate+D1397,"")</f>
        <v/>
      </c>
      <c r="F1397">
        <f>IF(B1397,MAX(MOD(SIN(Seed*0.1373+C1397*12.9898+D1397*78.233)*43758.5453,1),1E-9),"")</f>
        <v/>
      </c>
      <c r="G1397">
        <f>IF(B1397,MOD(SIN(Seed*0.5917+C1397*39.3468+D1397*11.135)*24634.6345,1),"")</f>
        <v/>
      </c>
      <c r="H1397">
        <f>IF(B1397,SQRT(-2*LN(F1397))*COS(2*PI()*G1397),"")</f>
        <v/>
      </c>
      <c r="I1397">
        <f>IF(B1397,IF(D1397=0,H1397,Rho*I1396+SQRT(1-Rho^2)*H1397),"")</f>
        <v/>
      </c>
      <c r="J1397">
        <f>IF(B1397,IF(Dist="Normal",DistA+DistB*I1397,DistA+(DistB-DistA)*NORMSDIST(I1397)),"")</f>
        <v/>
      </c>
      <c r="K1397">
        <f>IF(B1397,INDEX(MineScale,C1397),"")</f>
        <v/>
      </c>
      <c r="L1397">
        <f>IF(B1397,INDEX(Dow,1,WEEKDAY(E1397,2)),"")</f>
        <v/>
      </c>
      <c r="M1397">
        <f>IF(B1397,(1+Trend)^D1397,"")</f>
        <v/>
      </c>
      <c r="N1397">
        <f>IF(B1397,EXP(SUMPRODUCT(LN(1+(EvEff-1)*INDEX(Affected,0,C1397)*EXP(-((E1397-EvCenter)^2)/(2*EvSigma^2))))),"")</f>
        <v/>
      </c>
      <c r="O1397">
        <f>IF(B1397,ROUND(MAX(0,J1397*K1397*L1397*M1397*N1397),2),"")</f>
        <v/>
      </c>
    </row>
    <row r="1398">
      <c r="A1398" t="n">
        <v>1397</v>
      </c>
      <c r="B1398">
        <f>A1398&lt;=MineCount*Days</f>
        <v/>
      </c>
      <c r="C1398">
        <f>IF(B1398,INT((A1398-1)/Days)+1,"")</f>
        <v/>
      </c>
      <c r="D1398">
        <f>IF(B1398,MOD(A1398-1,Days),"")</f>
        <v/>
      </c>
      <c r="E1398" s="16">
        <f>IF(B1398,StartDate+D1398,"")</f>
        <v/>
      </c>
      <c r="F1398">
        <f>IF(B1398,MAX(MOD(SIN(Seed*0.1373+C1398*12.9898+D1398*78.233)*43758.5453,1),1E-9),"")</f>
        <v/>
      </c>
      <c r="G1398">
        <f>IF(B1398,MOD(SIN(Seed*0.5917+C1398*39.3468+D1398*11.135)*24634.6345,1),"")</f>
        <v/>
      </c>
      <c r="H1398">
        <f>IF(B1398,SQRT(-2*LN(F1398))*COS(2*PI()*G1398),"")</f>
        <v/>
      </c>
      <c r="I1398">
        <f>IF(B1398,IF(D1398=0,H1398,Rho*I1397+SQRT(1-Rho^2)*H1398),"")</f>
        <v/>
      </c>
      <c r="J1398">
        <f>IF(B1398,IF(Dist="Normal",DistA+DistB*I1398,DistA+(DistB-DistA)*NORMSDIST(I1398)),"")</f>
        <v/>
      </c>
      <c r="K1398">
        <f>IF(B1398,INDEX(MineScale,C1398),"")</f>
        <v/>
      </c>
      <c r="L1398">
        <f>IF(B1398,INDEX(Dow,1,WEEKDAY(E1398,2)),"")</f>
        <v/>
      </c>
      <c r="M1398">
        <f>IF(B1398,(1+Trend)^D1398,"")</f>
        <v/>
      </c>
      <c r="N1398">
        <f>IF(B1398,EXP(SUMPRODUCT(LN(1+(EvEff-1)*INDEX(Affected,0,C1398)*EXP(-((E1398-EvCenter)^2)/(2*EvSigma^2))))),"")</f>
        <v/>
      </c>
      <c r="O1398">
        <f>IF(B1398,ROUND(MAX(0,J1398*K1398*L1398*M1398*N1398),2),"")</f>
        <v/>
      </c>
    </row>
    <row r="1399">
      <c r="A1399" t="n">
        <v>1398</v>
      </c>
      <c r="B1399">
        <f>A1399&lt;=MineCount*Days</f>
        <v/>
      </c>
      <c r="C1399">
        <f>IF(B1399,INT((A1399-1)/Days)+1,"")</f>
        <v/>
      </c>
      <c r="D1399">
        <f>IF(B1399,MOD(A1399-1,Days),"")</f>
        <v/>
      </c>
      <c r="E1399" s="16">
        <f>IF(B1399,StartDate+D1399,"")</f>
        <v/>
      </c>
      <c r="F1399">
        <f>IF(B1399,MAX(MOD(SIN(Seed*0.1373+C1399*12.9898+D1399*78.233)*43758.5453,1),1E-9),"")</f>
        <v/>
      </c>
      <c r="G1399">
        <f>IF(B1399,MOD(SIN(Seed*0.5917+C1399*39.3468+D1399*11.135)*24634.6345,1),"")</f>
        <v/>
      </c>
      <c r="H1399">
        <f>IF(B1399,SQRT(-2*LN(F1399))*COS(2*PI()*G1399),"")</f>
        <v/>
      </c>
      <c r="I1399">
        <f>IF(B1399,IF(D1399=0,H1399,Rho*I1398+SQRT(1-Rho^2)*H1399),"")</f>
        <v/>
      </c>
      <c r="J1399">
        <f>IF(B1399,IF(Dist="Normal",DistA+DistB*I1399,DistA+(DistB-DistA)*NORMSDIST(I1399)),"")</f>
        <v/>
      </c>
      <c r="K1399">
        <f>IF(B1399,INDEX(MineScale,C1399),"")</f>
        <v/>
      </c>
      <c r="L1399">
        <f>IF(B1399,INDEX(Dow,1,WEEKDAY(E1399,2)),"")</f>
        <v/>
      </c>
      <c r="M1399">
        <f>IF(B1399,(1+Trend)^D1399,"")</f>
        <v/>
      </c>
      <c r="N1399">
        <f>IF(B1399,EXP(SUMPRODUCT(LN(1+(EvEff-1)*INDEX(Affected,0,C1399)*EXP(-((E1399-EvCenter)^2)/(2*EvSigma^2))))),"")</f>
        <v/>
      </c>
      <c r="O1399">
        <f>IF(B1399,ROUND(MAX(0,J1399*K1399*L1399*M1399*N1399),2),"")</f>
        <v/>
      </c>
    </row>
    <row r="1400">
      <c r="A1400" t="n">
        <v>1399</v>
      </c>
      <c r="B1400">
        <f>A1400&lt;=MineCount*Days</f>
        <v/>
      </c>
      <c r="C1400">
        <f>IF(B1400,INT((A1400-1)/Days)+1,"")</f>
        <v/>
      </c>
      <c r="D1400">
        <f>IF(B1400,MOD(A1400-1,Days),"")</f>
        <v/>
      </c>
      <c r="E1400" s="16">
        <f>IF(B1400,StartDate+D1400,"")</f>
        <v/>
      </c>
      <c r="F1400">
        <f>IF(B1400,MAX(MOD(SIN(Seed*0.1373+C1400*12.9898+D1400*78.233)*43758.5453,1),1E-9),"")</f>
        <v/>
      </c>
      <c r="G1400">
        <f>IF(B1400,MOD(SIN(Seed*0.5917+C1400*39.3468+D1400*11.135)*24634.6345,1),"")</f>
        <v/>
      </c>
      <c r="H1400">
        <f>IF(B1400,SQRT(-2*LN(F1400))*COS(2*PI()*G1400),"")</f>
        <v/>
      </c>
      <c r="I1400">
        <f>IF(B1400,IF(D1400=0,H1400,Rho*I1399+SQRT(1-Rho^2)*H1400),"")</f>
        <v/>
      </c>
      <c r="J1400">
        <f>IF(B1400,IF(Dist="Normal",DistA+DistB*I1400,DistA+(DistB-DistA)*NORMSDIST(I1400)),"")</f>
        <v/>
      </c>
      <c r="K1400">
        <f>IF(B1400,INDEX(MineScale,C1400),"")</f>
        <v/>
      </c>
      <c r="L1400">
        <f>IF(B1400,INDEX(Dow,1,WEEKDAY(E1400,2)),"")</f>
        <v/>
      </c>
      <c r="M1400">
        <f>IF(B1400,(1+Trend)^D1400,"")</f>
        <v/>
      </c>
      <c r="N1400">
        <f>IF(B1400,EXP(SUMPRODUCT(LN(1+(EvEff-1)*INDEX(Affected,0,C1400)*EXP(-((E1400-EvCenter)^2)/(2*EvSigma^2))))),"")</f>
        <v/>
      </c>
      <c r="O1400">
        <f>IF(B1400,ROUND(MAX(0,J1400*K1400*L1400*M1400*N1400),2),"")</f>
        <v/>
      </c>
    </row>
    <row r="1401">
      <c r="A1401" t="n">
        <v>1400</v>
      </c>
      <c r="B1401">
        <f>A1401&lt;=MineCount*Days</f>
        <v/>
      </c>
      <c r="C1401">
        <f>IF(B1401,INT((A1401-1)/Days)+1,"")</f>
        <v/>
      </c>
      <c r="D1401">
        <f>IF(B1401,MOD(A1401-1,Days),"")</f>
        <v/>
      </c>
      <c r="E1401" s="16">
        <f>IF(B1401,StartDate+D1401,"")</f>
        <v/>
      </c>
      <c r="F1401">
        <f>IF(B1401,MAX(MOD(SIN(Seed*0.1373+C1401*12.9898+D1401*78.233)*43758.5453,1),1E-9),"")</f>
        <v/>
      </c>
      <c r="G1401">
        <f>IF(B1401,MOD(SIN(Seed*0.5917+C1401*39.3468+D1401*11.135)*24634.6345,1),"")</f>
        <v/>
      </c>
      <c r="H1401">
        <f>IF(B1401,SQRT(-2*LN(F1401))*COS(2*PI()*G1401),"")</f>
        <v/>
      </c>
      <c r="I1401">
        <f>IF(B1401,IF(D1401=0,H1401,Rho*I1400+SQRT(1-Rho^2)*H1401),"")</f>
        <v/>
      </c>
      <c r="J1401">
        <f>IF(B1401,IF(Dist="Normal",DistA+DistB*I1401,DistA+(DistB-DistA)*NORMSDIST(I1401)),"")</f>
        <v/>
      </c>
      <c r="K1401">
        <f>IF(B1401,INDEX(MineScale,C1401),"")</f>
        <v/>
      </c>
      <c r="L1401">
        <f>IF(B1401,INDEX(Dow,1,WEEKDAY(E1401,2)),"")</f>
        <v/>
      </c>
      <c r="M1401">
        <f>IF(B1401,(1+Trend)^D1401,"")</f>
        <v/>
      </c>
      <c r="N1401">
        <f>IF(B1401,EXP(SUMPRODUCT(LN(1+(EvEff-1)*INDEX(Affected,0,C1401)*EXP(-((E1401-EvCenter)^2)/(2*EvSigma^2))))),"")</f>
        <v/>
      </c>
      <c r="O1401">
        <f>IF(B1401,ROUND(MAX(0,J1401*K1401*L1401*M1401*N1401),2),"")</f>
        <v/>
      </c>
    </row>
    <row r="1402">
      <c r="A1402" t="n">
        <v>1401</v>
      </c>
      <c r="B1402">
        <f>A1402&lt;=MineCount*Days</f>
        <v/>
      </c>
      <c r="C1402">
        <f>IF(B1402,INT((A1402-1)/Days)+1,"")</f>
        <v/>
      </c>
      <c r="D1402">
        <f>IF(B1402,MOD(A1402-1,Days),"")</f>
        <v/>
      </c>
      <c r="E1402" s="16">
        <f>IF(B1402,StartDate+D1402,"")</f>
        <v/>
      </c>
      <c r="F1402">
        <f>IF(B1402,MAX(MOD(SIN(Seed*0.1373+C1402*12.9898+D1402*78.233)*43758.5453,1),1E-9),"")</f>
        <v/>
      </c>
      <c r="G1402">
        <f>IF(B1402,MOD(SIN(Seed*0.5917+C1402*39.3468+D1402*11.135)*24634.6345,1),"")</f>
        <v/>
      </c>
      <c r="H1402">
        <f>IF(B1402,SQRT(-2*LN(F1402))*COS(2*PI()*G1402),"")</f>
        <v/>
      </c>
      <c r="I1402">
        <f>IF(B1402,IF(D1402=0,H1402,Rho*I1401+SQRT(1-Rho^2)*H1402),"")</f>
        <v/>
      </c>
      <c r="J1402">
        <f>IF(B1402,IF(Dist="Normal",DistA+DistB*I1402,DistA+(DistB-DistA)*NORMSDIST(I1402)),"")</f>
        <v/>
      </c>
      <c r="K1402">
        <f>IF(B1402,INDEX(MineScale,C1402),"")</f>
        <v/>
      </c>
      <c r="L1402">
        <f>IF(B1402,INDEX(Dow,1,WEEKDAY(E1402,2)),"")</f>
        <v/>
      </c>
      <c r="M1402">
        <f>IF(B1402,(1+Trend)^D1402,"")</f>
        <v/>
      </c>
      <c r="N1402">
        <f>IF(B1402,EXP(SUMPRODUCT(LN(1+(EvEff-1)*INDEX(Affected,0,C1402)*EXP(-((E1402-EvCenter)^2)/(2*EvSigma^2))))),"")</f>
        <v/>
      </c>
      <c r="O1402">
        <f>IF(B1402,ROUND(MAX(0,J1402*K1402*L1402*M1402*N1402),2),"")</f>
        <v/>
      </c>
    </row>
    <row r="1403">
      <c r="A1403" t="n">
        <v>1402</v>
      </c>
      <c r="B1403">
        <f>A1403&lt;=MineCount*Days</f>
        <v/>
      </c>
      <c r="C1403">
        <f>IF(B1403,INT((A1403-1)/Days)+1,"")</f>
        <v/>
      </c>
      <c r="D1403">
        <f>IF(B1403,MOD(A1403-1,Days),"")</f>
        <v/>
      </c>
      <c r="E1403" s="16">
        <f>IF(B1403,StartDate+D1403,"")</f>
        <v/>
      </c>
      <c r="F1403">
        <f>IF(B1403,MAX(MOD(SIN(Seed*0.1373+C1403*12.9898+D1403*78.233)*43758.5453,1),1E-9),"")</f>
        <v/>
      </c>
      <c r="G1403">
        <f>IF(B1403,MOD(SIN(Seed*0.5917+C1403*39.3468+D1403*11.135)*24634.6345,1),"")</f>
        <v/>
      </c>
      <c r="H1403">
        <f>IF(B1403,SQRT(-2*LN(F1403))*COS(2*PI()*G1403),"")</f>
        <v/>
      </c>
      <c r="I1403">
        <f>IF(B1403,IF(D1403=0,H1403,Rho*I1402+SQRT(1-Rho^2)*H1403),"")</f>
        <v/>
      </c>
      <c r="J1403">
        <f>IF(B1403,IF(Dist="Normal",DistA+DistB*I1403,DistA+(DistB-DistA)*NORMSDIST(I1403)),"")</f>
        <v/>
      </c>
      <c r="K1403">
        <f>IF(B1403,INDEX(MineScale,C1403),"")</f>
        <v/>
      </c>
      <c r="L1403">
        <f>IF(B1403,INDEX(Dow,1,WEEKDAY(E1403,2)),"")</f>
        <v/>
      </c>
      <c r="M1403">
        <f>IF(B1403,(1+Trend)^D1403,"")</f>
        <v/>
      </c>
      <c r="N1403">
        <f>IF(B1403,EXP(SUMPRODUCT(LN(1+(EvEff-1)*INDEX(Affected,0,C1403)*EXP(-((E1403-EvCenter)^2)/(2*EvSigma^2))))),"")</f>
        <v/>
      </c>
      <c r="O1403">
        <f>IF(B1403,ROUND(MAX(0,J1403*K1403*L1403*M1403*N1403),2),"")</f>
        <v/>
      </c>
    </row>
    <row r="1404">
      <c r="A1404" t="n">
        <v>1403</v>
      </c>
      <c r="B1404">
        <f>A1404&lt;=MineCount*Days</f>
        <v/>
      </c>
      <c r="C1404">
        <f>IF(B1404,INT((A1404-1)/Days)+1,"")</f>
        <v/>
      </c>
      <c r="D1404">
        <f>IF(B1404,MOD(A1404-1,Days),"")</f>
        <v/>
      </c>
      <c r="E1404" s="16">
        <f>IF(B1404,StartDate+D1404,"")</f>
        <v/>
      </c>
      <c r="F1404">
        <f>IF(B1404,MAX(MOD(SIN(Seed*0.1373+C1404*12.9898+D1404*78.233)*43758.5453,1),1E-9),"")</f>
        <v/>
      </c>
      <c r="G1404">
        <f>IF(B1404,MOD(SIN(Seed*0.5917+C1404*39.3468+D1404*11.135)*24634.6345,1),"")</f>
        <v/>
      </c>
      <c r="H1404">
        <f>IF(B1404,SQRT(-2*LN(F1404))*COS(2*PI()*G1404),"")</f>
        <v/>
      </c>
      <c r="I1404">
        <f>IF(B1404,IF(D1404=0,H1404,Rho*I1403+SQRT(1-Rho^2)*H1404),"")</f>
        <v/>
      </c>
      <c r="J1404">
        <f>IF(B1404,IF(Dist="Normal",DistA+DistB*I1404,DistA+(DistB-DistA)*NORMSDIST(I1404)),"")</f>
        <v/>
      </c>
      <c r="K1404">
        <f>IF(B1404,INDEX(MineScale,C1404),"")</f>
        <v/>
      </c>
      <c r="L1404">
        <f>IF(B1404,INDEX(Dow,1,WEEKDAY(E1404,2)),"")</f>
        <v/>
      </c>
      <c r="M1404">
        <f>IF(B1404,(1+Trend)^D1404,"")</f>
        <v/>
      </c>
      <c r="N1404">
        <f>IF(B1404,EXP(SUMPRODUCT(LN(1+(EvEff-1)*INDEX(Affected,0,C1404)*EXP(-((E1404-EvCenter)^2)/(2*EvSigma^2))))),"")</f>
        <v/>
      </c>
      <c r="O1404">
        <f>IF(B1404,ROUND(MAX(0,J1404*K1404*L1404*M1404*N1404),2),"")</f>
        <v/>
      </c>
    </row>
    <row r="1405">
      <c r="A1405" t="n">
        <v>1404</v>
      </c>
      <c r="B1405">
        <f>A1405&lt;=MineCount*Days</f>
        <v/>
      </c>
      <c r="C1405">
        <f>IF(B1405,INT((A1405-1)/Days)+1,"")</f>
        <v/>
      </c>
      <c r="D1405">
        <f>IF(B1405,MOD(A1405-1,Days),"")</f>
        <v/>
      </c>
      <c r="E1405" s="16">
        <f>IF(B1405,StartDate+D1405,"")</f>
        <v/>
      </c>
      <c r="F1405">
        <f>IF(B1405,MAX(MOD(SIN(Seed*0.1373+C1405*12.9898+D1405*78.233)*43758.5453,1),1E-9),"")</f>
        <v/>
      </c>
      <c r="G1405">
        <f>IF(B1405,MOD(SIN(Seed*0.5917+C1405*39.3468+D1405*11.135)*24634.6345,1),"")</f>
        <v/>
      </c>
      <c r="H1405">
        <f>IF(B1405,SQRT(-2*LN(F1405))*COS(2*PI()*G1405),"")</f>
        <v/>
      </c>
      <c r="I1405">
        <f>IF(B1405,IF(D1405=0,H1405,Rho*I1404+SQRT(1-Rho^2)*H1405),"")</f>
        <v/>
      </c>
      <c r="J1405">
        <f>IF(B1405,IF(Dist="Normal",DistA+DistB*I1405,DistA+(DistB-DistA)*NORMSDIST(I1405)),"")</f>
        <v/>
      </c>
      <c r="K1405">
        <f>IF(B1405,INDEX(MineScale,C1405),"")</f>
        <v/>
      </c>
      <c r="L1405">
        <f>IF(B1405,INDEX(Dow,1,WEEKDAY(E1405,2)),"")</f>
        <v/>
      </c>
      <c r="M1405">
        <f>IF(B1405,(1+Trend)^D1405,"")</f>
        <v/>
      </c>
      <c r="N1405">
        <f>IF(B1405,EXP(SUMPRODUCT(LN(1+(EvEff-1)*INDEX(Affected,0,C1405)*EXP(-((E1405-EvCenter)^2)/(2*EvSigma^2))))),"")</f>
        <v/>
      </c>
      <c r="O1405">
        <f>IF(B1405,ROUND(MAX(0,J1405*K1405*L1405*M1405*N1405),2),"")</f>
        <v/>
      </c>
    </row>
    <row r="1406">
      <c r="A1406" t="n">
        <v>1405</v>
      </c>
      <c r="B1406">
        <f>A1406&lt;=MineCount*Days</f>
        <v/>
      </c>
      <c r="C1406">
        <f>IF(B1406,INT((A1406-1)/Days)+1,"")</f>
        <v/>
      </c>
      <c r="D1406">
        <f>IF(B1406,MOD(A1406-1,Days),"")</f>
        <v/>
      </c>
      <c r="E1406" s="16">
        <f>IF(B1406,StartDate+D1406,"")</f>
        <v/>
      </c>
      <c r="F1406">
        <f>IF(B1406,MAX(MOD(SIN(Seed*0.1373+C1406*12.9898+D1406*78.233)*43758.5453,1),1E-9),"")</f>
        <v/>
      </c>
      <c r="G1406">
        <f>IF(B1406,MOD(SIN(Seed*0.5917+C1406*39.3468+D1406*11.135)*24634.6345,1),"")</f>
        <v/>
      </c>
      <c r="H1406">
        <f>IF(B1406,SQRT(-2*LN(F1406))*COS(2*PI()*G1406),"")</f>
        <v/>
      </c>
      <c r="I1406">
        <f>IF(B1406,IF(D1406=0,H1406,Rho*I1405+SQRT(1-Rho^2)*H1406),"")</f>
        <v/>
      </c>
      <c r="J1406">
        <f>IF(B1406,IF(Dist="Normal",DistA+DistB*I1406,DistA+(DistB-DistA)*NORMSDIST(I1406)),"")</f>
        <v/>
      </c>
      <c r="K1406">
        <f>IF(B1406,INDEX(MineScale,C1406),"")</f>
        <v/>
      </c>
      <c r="L1406">
        <f>IF(B1406,INDEX(Dow,1,WEEKDAY(E1406,2)),"")</f>
        <v/>
      </c>
      <c r="M1406">
        <f>IF(B1406,(1+Trend)^D1406,"")</f>
        <v/>
      </c>
      <c r="N1406">
        <f>IF(B1406,EXP(SUMPRODUCT(LN(1+(EvEff-1)*INDEX(Affected,0,C1406)*EXP(-((E1406-EvCenter)^2)/(2*EvSigma^2))))),"")</f>
        <v/>
      </c>
      <c r="O1406">
        <f>IF(B1406,ROUND(MAX(0,J1406*K1406*L1406*M1406*N1406),2),"")</f>
        <v/>
      </c>
    </row>
    <row r="1407">
      <c r="A1407" t="n">
        <v>1406</v>
      </c>
      <c r="B1407">
        <f>A1407&lt;=MineCount*Days</f>
        <v/>
      </c>
      <c r="C1407">
        <f>IF(B1407,INT((A1407-1)/Days)+1,"")</f>
        <v/>
      </c>
      <c r="D1407">
        <f>IF(B1407,MOD(A1407-1,Days),"")</f>
        <v/>
      </c>
      <c r="E1407" s="16">
        <f>IF(B1407,StartDate+D1407,"")</f>
        <v/>
      </c>
      <c r="F1407">
        <f>IF(B1407,MAX(MOD(SIN(Seed*0.1373+C1407*12.9898+D1407*78.233)*43758.5453,1),1E-9),"")</f>
        <v/>
      </c>
      <c r="G1407">
        <f>IF(B1407,MOD(SIN(Seed*0.5917+C1407*39.3468+D1407*11.135)*24634.6345,1),"")</f>
        <v/>
      </c>
      <c r="H1407">
        <f>IF(B1407,SQRT(-2*LN(F1407))*COS(2*PI()*G1407),"")</f>
        <v/>
      </c>
      <c r="I1407">
        <f>IF(B1407,IF(D1407=0,H1407,Rho*I1406+SQRT(1-Rho^2)*H1407),"")</f>
        <v/>
      </c>
      <c r="J1407">
        <f>IF(B1407,IF(Dist="Normal",DistA+DistB*I1407,DistA+(DistB-DistA)*NORMSDIST(I1407)),"")</f>
        <v/>
      </c>
      <c r="K1407">
        <f>IF(B1407,INDEX(MineScale,C1407),"")</f>
        <v/>
      </c>
      <c r="L1407">
        <f>IF(B1407,INDEX(Dow,1,WEEKDAY(E1407,2)),"")</f>
        <v/>
      </c>
      <c r="M1407">
        <f>IF(B1407,(1+Trend)^D1407,"")</f>
        <v/>
      </c>
      <c r="N1407">
        <f>IF(B1407,EXP(SUMPRODUCT(LN(1+(EvEff-1)*INDEX(Affected,0,C1407)*EXP(-((E1407-EvCenter)^2)/(2*EvSigma^2))))),"")</f>
        <v/>
      </c>
      <c r="O1407">
        <f>IF(B1407,ROUND(MAX(0,J1407*K1407*L1407*M1407*N1407),2),"")</f>
        <v/>
      </c>
    </row>
    <row r="1408">
      <c r="A1408" t="n">
        <v>1407</v>
      </c>
      <c r="B1408">
        <f>A1408&lt;=MineCount*Days</f>
        <v/>
      </c>
      <c r="C1408">
        <f>IF(B1408,INT((A1408-1)/Days)+1,"")</f>
        <v/>
      </c>
      <c r="D1408">
        <f>IF(B1408,MOD(A1408-1,Days),"")</f>
        <v/>
      </c>
      <c r="E1408" s="16">
        <f>IF(B1408,StartDate+D1408,"")</f>
        <v/>
      </c>
      <c r="F1408">
        <f>IF(B1408,MAX(MOD(SIN(Seed*0.1373+C1408*12.9898+D1408*78.233)*43758.5453,1),1E-9),"")</f>
        <v/>
      </c>
      <c r="G1408">
        <f>IF(B1408,MOD(SIN(Seed*0.5917+C1408*39.3468+D1408*11.135)*24634.6345,1),"")</f>
        <v/>
      </c>
      <c r="H1408">
        <f>IF(B1408,SQRT(-2*LN(F1408))*COS(2*PI()*G1408),"")</f>
        <v/>
      </c>
      <c r="I1408">
        <f>IF(B1408,IF(D1408=0,H1408,Rho*I1407+SQRT(1-Rho^2)*H1408),"")</f>
        <v/>
      </c>
      <c r="J1408">
        <f>IF(B1408,IF(Dist="Normal",DistA+DistB*I1408,DistA+(DistB-DistA)*NORMSDIST(I1408)),"")</f>
        <v/>
      </c>
      <c r="K1408">
        <f>IF(B1408,INDEX(MineScale,C1408),"")</f>
        <v/>
      </c>
      <c r="L1408">
        <f>IF(B1408,INDEX(Dow,1,WEEKDAY(E1408,2)),"")</f>
        <v/>
      </c>
      <c r="M1408">
        <f>IF(B1408,(1+Trend)^D1408,"")</f>
        <v/>
      </c>
      <c r="N1408">
        <f>IF(B1408,EXP(SUMPRODUCT(LN(1+(EvEff-1)*INDEX(Affected,0,C1408)*EXP(-((E1408-EvCenter)^2)/(2*EvSigma^2))))),"")</f>
        <v/>
      </c>
      <c r="O1408">
        <f>IF(B1408,ROUND(MAX(0,J1408*K1408*L1408*M1408*N1408),2),"")</f>
        <v/>
      </c>
    </row>
    <row r="1409">
      <c r="A1409" t="n">
        <v>1408</v>
      </c>
      <c r="B1409">
        <f>A1409&lt;=MineCount*Days</f>
        <v/>
      </c>
      <c r="C1409">
        <f>IF(B1409,INT((A1409-1)/Days)+1,"")</f>
        <v/>
      </c>
      <c r="D1409">
        <f>IF(B1409,MOD(A1409-1,Days),"")</f>
        <v/>
      </c>
      <c r="E1409" s="16">
        <f>IF(B1409,StartDate+D1409,"")</f>
        <v/>
      </c>
      <c r="F1409">
        <f>IF(B1409,MAX(MOD(SIN(Seed*0.1373+C1409*12.9898+D1409*78.233)*43758.5453,1),1E-9),"")</f>
        <v/>
      </c>
      <c r="G1409">
        <f>IF(B1409,MOD(SIN(Seed*0.5917+C1409*39.3468+D1409*11.135)*24634.6345,1),"")</f>
        <v/>
      </c>
      <c r="H1409">
        <f>IF(B1409,SQRT(-2*LN(F1409))*COS(2*PI()*G1409),"")</f>
        <v/>
      </c>
      <c r="I1409">
        <f>IF(B1409,IF(D1409=0,H1409,Rho*I1408+SQRT(1-Rho^2)*H1409),"")</f>
        <v/>
      </c>
      <c r="J1409">
        <f>IF(B1409,IF(Dist="Normal",DistA+DistB*I1409,DistA+(DistB-DistA)*NORMSDIST(I1409)),"")</f>
        <v/>
      </c>
      <c r="K1409">
        <f>IF(B1409,INDEX(MineScale,C1409),"")</f>
        <v/>
      </c>
      <c r="L1409">
        <f>IF(B1409,INDEX(Dow,1,WEEKDAY(E1409,2)),"")</f>
        <v/>
      </c>
      <c r="M1409">
        <f>IF(B1409,(1+Trend)^D1409,"")</f>
        <v/>
      </c>
      <c r="N1409">
        <f>IF(B1409,EXP(SUMPRODUCT(LN(1+(EvEff-1)*INDEX(Affected,0,C1409)*EXP(-((E1409-EvCenter)^2)/(2*EvSigma^2))))),"")</f>
        <v/>
      </c>
      <c r="O1409">
        <f>IF(B1409,ROUND(MAX(0,J1409*K1409*L1409*M1409*N1409),2),"")</f>
        <v/>
      </c>
    </row>
    <row r="1410">
      <c r="A1410" t="n">
        <v>1409</v>
      </c>
      <c r="B1410">
        <f>A1410&lt;=MineCount*Days</f>
        <v/>
      </c>
      <c r="C1410">
        <f>IF(B1410,INT((A1410-1)/Days)+1,"")</f>
        <v/>
      </c>
      <c r="D1410">
        <f>IF(B1410,MOD(A1410-1,Days),"")</f>
        <v/>
      </c>
      <c r="E1410" s="16">
        <f>IF(B1410,StartDate+D1410,"")</f>
        <v/>
      </c>
      <c r="F1410">
        <f>IF(B1410,MAX(MOD(SIN(Seed*0.1373+C1410*12.9898+D1410*78.233)*43758.5453,1),1E-9),"")</f>
        <v/>
      </c>
      <c r="G1410">
        <f>IF(B1410,MOD(SIN(Seed*0.5917+C1410*39.3468+D1410*11.135)*24634.6345,1),"")</f>
        <v/>
      </c>
      <c r="H1410">
        <f>IF(B1410,SQRT(-2*LN(F1410))*COS(2*PI()*G1410),"")</f>
        <v/>
      </c>
      <c r="I1410">
        <f>IF(B1410,IF(D1410=0,H1410,Rho*I1409+SQRT(1-Rho^2)*H1410),"")</f>
        <v/>
      </c>
      <c r="J1410">
        <f>IF(B1410,IF(Dist="Normal",DistA+DistB*I1410,DistA+(DistB-DistA)*NORMSDIST(I1410)),"")</f>
        <v/>
      </c>
      <c r="K1410">
        <f>IF(B1410,INDEX(MineScale,C1410),"")</f>
        <v/>
      </c>
      <c r="L1410">
        <f>IF(B1410,INDEX(Dow,1,WEEKDAY(E1410,2)),"")</f>
        <v/>
      </c>
      <c r="M1410">
        <f>IF(B1410,(1+Trend)^D1410,"")</f>
        <v/>
      </c>
      <c r="N1410">
        <f>IF(B1410,EXP(SUMPRODUCT(LN(1+(EvEff-1)*INDEX(Affected,0,C1410)*EXP(-((E1410-EvCenter)^2)/(2*EvSigma^2))))),"")</f>
        <v/>
      </c>
      <c r="O1410">
        <f>IF(B1410,ROUND(MAX(0,J1410*K1410*L1410*M1410*N1410),2),"")</f>
        <v/>
      </c>
    </row>
    <row r="1411">
      <c r="A1411" t="n">
        <v>1410</v>
      </c>
      <c r="B1411">
        <f>A1411&lt;=MineCount*Days</f>
        <v/>
      </c>
      <c r="C1411">
        <f>IF(B1411,INT((A1411-1)/Days)+1,"")</f>
        <v/>
      </c>
      <c r="D1411">
        <f>IF(B1411,MOD(A1411-1,Days),"")</f>
        <v/>
      </c>
      <c r="E1411" s="16">
        <f>IF(B1411,StartDate+D1411,"")</f>
        <v/>
      </c>
      <c r="F1411">
        <f>IF(B1411,MAX(MOD(SIN(Seed*0.1373+C1411*12.9898+D1411*78.233)*43758.5453,1),1E-9),"")</f>
        <v/>
      </c>
      <c r="G1411">
        <f>IF(B1411,MOD(SIN(Seed*0.5917+C1411*39.3468+D1411*11.135)*24634.6345,1),"")</f>
        <v/>
      </c>
      <c r="H1411">
        <f>IF(B1411,SQRT(-2*LN(F1411))*COS(2*PI()*G1411),"")</f>
        <v/>
      </c>
      <c r="I1411">
        <f>IF(B1411,IF(D1411=0,H1411,Rho*I1410+SQRT(1-Rho^2)*H1411),"")</f>
        <v/>
      </c>
      <c r="J1411">
        <f>IF(B1411,IF(Dist="Normal",DistA+DistB*I1411,DistA+(DistB-DistA)*NORMSDIST(I1411)),"")</f>
        <v/>
      </c>
      <c r="K1411">
        <f>IF(B1411,INDEX(MineScale,C1411),"")</f>
        <v/>
      </c>
      <c r="L1411">
        <f>IF(B1411,INDEX(Dow,1,WEEKDAY(E1411,2)),"")</f>
        <v/>
      </c>
      <c r="M1411">
        <f>IF(B1411,(1+Trend)^D1411,"")</f>
        <v/>
      </c>
      <c r="N1411">
        <f>IF(B1411,EXP(SUMPRODUCT(LN(1+(EvEff-1)*INDEX(Affected,0,C1411)*EXP(-((E1411-EvCenter)^2)/(2*EvSigma^2))))),"")</f>
        <v/>
      </c>
      <c r="O1411">
        <f>IF(B1411,ROUND(MAX(0,J1411*K1411*L1411*M1411*N1411),2),"")</f>
        <v/>
      </c>
    </row>
    <row r="1412">
      <c r="A1412" t="n">
        <v>1411</v>
      </c>
      <c r="B1412">
        <f>A1412&lt;=MineCount*Days</f>
        <v/>
      </c>
      <c r="C1412">
        <f>IF(B1412,INT((A1412-1)/Days)+1,"")</f>
        <v/>
      </c>
      <c r="D1412">
        <f>IF(B1412,MOD(A1412-1,Days),"")</f>
        <v/>
      </c>
      <c r="E1412" s="16">
        <f>IF(B1412,StartDate+D1412,"")</f>
        <v/>
      </c>
      <c r="F1412">
        <f>IF(B1412,MAX(MOD(SIN(Seed*0.1373+C1412*12.9898+D1412*78.233)*43758.5453,1),1E-9),"")</f>
        <v/>
      </c>
      <c r="G1412">
        <f>IF(B1412,MOD(SIN(Seed*0.5917+C1412*39.3468+D1412*11.135)*24634.6345,1),"")</f>
        <v/>
      </c>
      <c r="H1412">
        <f>IF(B1412,SQRT(-2*LN(F1412))*COS(2*PI()*G1412),"")</f>
        <v/>
      </c>
      <c r="I1412">
        <f>IF(B1412,IF(D1412=0,H1412,Rho*I1411+SQRT(1-Rho^2)*H1412),"")</f>
        <v/>
      </c>
      <c r="J1412">
        <f>IF(B1412,IF(Dist="Normal",DistA+DistB*I1412,DistA+(DistB-DistA)*NORMSDIST(I1412)),"")</f>
        <v/>
      </c>
      <c r="K1412">
        <f>IF(B1412,INDEX(MineScale,C1412),"")</f>
        <v/>
      </c>
      <c r="L1412">
        <f>IF(B1412,INDEX(Dow,1,WEEKDAY(E1412,2)),"")</f>
        <v/>
      </c>
      <c r="M1412">
        <f>IF(B1412,(1+Trend)^D1412,"")</f>
        <v/>
      </c>
      <c r="N1412">
        <f>IF(B1412,EXP(SUMPRODUCT(LN(1+(EvEff-1)*INDEX(Affected,0,C1412)*EXP(-((E1412-EvCenter)^2)/(2*EvSigma^2))))),"")</f>
        <v/>
      </c>
      <c r="O1412">
        <f>IF(B1412,ROUND(MAX(0,J1412*K1412*L1412*M1412*N1412),2),"")</f>
        <v/>
      </c>
    </row>
    <row r="1413">
      <c r="A1413" t="n">
        <v>1412</v>
      </c>
      <c r="B1413">
        <f>A1413&lt;=MineCount*Days</f>
        <v/>
      </c>
      <c r="C1413">
        <f>IF(B1413,INT((A1413-1)/Days)+1,"")</f>
        <v/>
      </c>
      <c r="D1413">
        <f>IF(B1413,MOD(A1413-1,Days),"")</f>
        <v/>
      </c>
      <c r="E1413" s="16">
        <f>IF(B1413,StartDate+D1413,"")</f>
        <v/>
      </c>
      <c r="F1413">
        <f>IF(B1413,MAX(MOD(SIN(Seed*0.1373+C1413*12.9898+D1413*78.233)*43758.5453,1),1E-9),"")</f>
        <v/>
      </c>
      <c r="G1413">
        <f>IF(B1413,MOD(SIN(Seed*0.5917+C1413*39.3468+D1413*11.135)*24634.6345,1),"")</f>
        <v/>
      </c>
      <c r="H1413">
        <f>IF(B1413,SQRT(-2*LN(F1413))*COS(2*PI()*G1413),"")</f>
        <v/>
      </c>
      <c r="I1413">
        <f>IF(B1413,IF(D1413=0,H1413,Rho*I1412+SQRT(1-Rho^2)*H1413),"")</f>
        <v/>
      </c>
      <c r="J1413">
        <f>IF(B1413,IF(Dist="Normal",DistA+DistB*I1413,DistA+(DistB-DistA)*NORMSDIST(I1413)),"")</f>
        <v/>
      </c>
      <c r="K1413">
        <f>IF(B1413,INDEX(MineScale,C1413),"")</f>
        <v/>
      </c>
      <c r="L1413">
        <f>IF(B1413,INDEX(Dow,1,WEEKDAY(E1413,2)),"")</f>
        <v/>
      </c>
      <c r="M1413">
        <f>IF(B1413,(1+Trend)^D1413,"")</f>
        <v/>
      </c>
      <c r="N1413">
        <f>IF(B1413,EXP(SUMPRODUCT(LN(1+(EvEff-1)*INDEX(Affected,0,C1413)*EXP(-((E1413-EvCenter)^2)/(2*EvSigma^2))))),"")</f>
        <v/>
      </c>
      <c r="O1413">
        <f>IF(B1413,ROUND(MAX(0,J1413*K1413*L1413*M1413*N1413),2),"")</f>
        <v/>
      </c>
    </row>
    <row r="1414">
      <c r="A1414" t="n">
        <v>1413</v>
      </c>
      <c r="B1414">
        <f>A1414&lt;=MineCount*Days</f>
        <v/>
      </c>
      <c r="C1414">
        <f>IF(B1414,INT((A1414-1)/Days)+1,"")</f>
        <v/>
      </c>
      <c r="D1414">
        <f>IF(B1414,MOD(A1414-1,Days),"")</f>
        <v/>
      </c>
      <c r="E1414" s="16">
        <f>IF(B1414,StartDate+D1414,"")</f>
        <v/>
      </c>
      <c r="F1414">
        <f>IF(B1414,MAX(MOD(SIN(Seed*0.1373+C1414*12.9898+D1414*78.233)*43758.5453,1),1E-9),"")</f>
        <v/>
      </c>
      <c r="G1414">
        <f>IF(B1414,MOD(SIN(Seed*0.5917+C1414*39.3468+D1414*11.135)*24634.6345,1),"")</f>
        <v/>
      </c>
      <c r="H1414">
        <f>IF(B1414,SQRT(-2*LN(F1414))*COS(2*PI()*G1414),"")</f>
        <v/>
      </c>
      <c r="I1414">
        <f>IF(B1414,IF(D1414=0,H1414,Rho*I1413+SQRT(1-Rho^2)*H1414),"")</f>
        <v/>
      </c>
      <c r="J1414">
        <f>IF(B1414,IF(Dist="Normal",DistA+DistB*I1414,DistA+(DistB-DistA)*NORMSDIST(I1414)),"")</f>
        <v/>
      </c>
      <c r="K1414">
        <f>IF(B1414,INDEX(MineScale,C1414),"")</f>
        <v/>
      </c>
      <c r="L1414">
        <f>IF(B1414,INDEX(Dow,1,WEEKDAY(E1414,2)),"")</f>
        <v/>
      </c>
      <c r="M1414">
        <f>IF(B1414,(1+Trend)^D1414,"")</f>
        <v/>
      </c>
      <c r="N1414">
        <f>IF(B1414,EXP(SUMPRODUCT(LN(1+(EvEff-1)*INDEX(Affected,0,C1414)*EXP(-((E1414-EvCenter)^2)/(2*EvSigma^2))))),"")</f>
        <v/>
      </c>
      <c r="O1414">
        <f>IF(B1414,ROUND(MAX(0,J1414*K1414*L1414*M1414*N1414),2),"")</f>
        <v/>
      </c>
    </row>
    <row r="1415">
      <c r="A1415" t="n">
        <v>1414</v>
      </c>
      <c r="B1415">
        <f>A1415&lt;=MineCount*Days</f>
        <v/>
      </c>
      <c r="C1415">
        <f>IF(B1415,INT((A1415-1)/Days)+1,"")</f>
        <v/>
      </c>
      <c r="D1415">
        <f>IF(B1415,MOD(A1415-1,Days),"")</f>
        <v/>
      </c>
      <c r="E1415" s="16">
        <f>IF(B1415,StartDate+D1415,"")</f>
        <v/>
      </c>
      <c r="F1415">
        <f>IF(B1415,MAX(MOD(SIN(Seed*0.1373+C1415*12.9898+D1415*78.233)*43758.5453,1),1E-9),"")</f>
        <v/>
      </c>
      <c r="G1415">
        <f>IF(B1415,MOD(SIN(Seed*0.5917+C1415*39.3468+D1415*11.135)*24634.6345,1),"")</f>
        <v/>
      </c>
      <c r="H1415">
        <f>IF(B1415,SQRT(-2*LN(F1415))*COS(2*PI()*G1415),"")</f>
        <v/>
      </c>
      <c r="I1415">
        <f>IF(B1415,IF(D1415=0,H1415,Rho*I1414+SQRT(1-Rho^2)*H1415),"")</f>
        <v/>
      </c>
      <c r="J1415">
        <f>IF(B1415,IF(Dist="Normal",DistA+DistB*I1415,DistA+(DistB-DistA)*NORMSDIST(I1415)),"")</f>
        <v/>
      </c>
      <c r="K1415">
        <f>IF(B1415,INDEX(MineScale,C1415),"")</f>
        <v/>
      </c>
      <c r="L1415">
        <f>IF(B1415,INDEX(Dow,1,WEEKDAY(E1415,2)),"")</f>
        <v/>
      </c>
      <c r="M1415">
        <f>IF(B1415,(1+Trend)^D1415,"")</f>
        <v/>
      </c>
      <c r="N1415">
        <f>IF(B1415,EXP(SUMPRODUCT(LN(1+(EvEff-1)*INDEX(Affected,0,C1415)*EXP(-((E1415-EvCenter)^2)/(2*EvSigma^2))))),"")</f>
        <v/>
      </c>
      <c r="O1415">
        <f>IF(B1415,ROUND(MAX(0,J1415*K1415*L1415*M1415*N1415),2),"")</f>
        <v/>
      </c>
    </row>
    <row r="1416">
      <c r="A1416" t="n">
        <v>1415</v>
      </c>
      <c r="B1416">
        <f>A1416&lt;=MineCount*Days</f>
        <v/>
      </c>
      <c r="C1416">
        <f>IF(B1416,INT((A1416-1)/Days)+1,"")</f>
        <v/>
      </c>
      <c r="D1416">
        <f>IF(B1416,MOD(A1416-1,Days),"")</f>
        <v/>
      </c>
      <c r="E1416" s="16">
        <f>IF(B1416,StartDate+D1416,"")</f>
        <v/>
      </c>
      <c r="F1416">
        <f>IF(B1416,MAX(MOD(SIN(Seed*0.1373+C1416*12.9898+D1416*78.233)*43758.5453,1),1E-9),"")</f>
        <v/>
      </c>
      <c r="G1416">
        <f>IF(B1416,MOD(SIN(Seed*0.5917+C1416*39.3468+D1416*11.135)*24634.6345,1),"")</f>
        <v/>
      </c>
      <c r="H1416">
        <f>IF(B1416,SQRT(-2*LN(F1416))*COS(2*PI()*G1416),"")</f>
        <v/>
      </c>
      <c r="I1416">
        <f>IF(B1416,IF(D1416=0,H1416,Rho*I1415+SQRT(1-Rho^2)*H1416),"")</f>
        <v/>
      </c>
      <c r="J1416">
        <f>IF(B1416,IF(Dist="Normal",DistA+DistB*I1416,DistA+(DistB-DistA)*NORMSDIST(I1416)),"")</f>
        <v/>
      </c>
      <c r="K1416">
        <f>IF(B1416,INDEX(MineScale,C1416),"")</f>
        <v/>
      </c>
      <c r="L1416">
        <f>IF(B1416,INDEX(Dow,1,WEEKDAY(E1416,2)),"")</f>
        <v/>
      </c>
      <c r="M1416">
        <f>IF(B1416,(1+Trend)^D1416,"")</f>
        <v/>
      </c>
      <c r="N1416">
        <f>IF(B1416,EXP(SUMPRODUCT(LN(1+(EvEff-1)*INDEX(Affected,0,C1416)*EXP(-((E1416-EvCenter)^2)/(2*EvSigma^2))))),"")</f>
        <v/>
      </c>
      <c r="O1416">
        <f>IF(B1416,ROUND(MAX(0,J1416*K1416*L1416*M1416*N1416),2),"")</f>
        <v/>
      </c>
    </row>
    <row r="1417">
      <c r="A1417" t="n">
        <v>1416</v>
      </c>
      <c r="B1417">
        <f>A1417&lt;=MineCount*Days</f>
        <v/>
      </c>
      <c r="C1417">
        <f>IF(B1417,INT((A1417-1)/Days)+1,"")</f>
        <v/>
      </c>
      <c r="D1417">
        <f>IF(B1417,MOD(A1417-1,Days),"")</f>
        <v/>
      </c>
      <c r="E1417" s="16">
        <f>IF(B1417,StartDate+D1417,"")</f>
        <v/>
      </c>
      <c r="F1417">
        <f>IF(B1417,MAX(MOD(SIN(Seed*0.1373+C1417*12.9898+D1417*78.233)*43758.5453,1),1E-9),"")</f>
        <v/>
      </c>
      <c r="G1417">
        <f>IF(B1417,MOD(SIN(Seed*0.5917+C1417*39.3468+D1417*11.135)*24634.6345,1),"")</f>
        <v/>
      </c>
      <c r="H1417">
        <f>IF(B1417,SQRT(-2*LN(F1417))*COS(2*PI()*G1417),"")</f>
        <v/>
      </c>
      <c r="I1417">
        <f>IF(B1417,IF(D1417=0,H1417,Rho*I1416+SQRT(1-Rho^2)*H1417),"")</f>
        <v/>
      </c>
      <c r="J1417">
        <f>IF(B1417,IF(Dist="Normal",DistA+DistB*I1417,DistA+(DistB-DistA)*NORMSDIST(I1417)),"")</f>
        <v/>
      </c>
      <c r="K1417">
        <f>IF(B1417,INDEX(MineScale,C1417),"")</f>
        <v/>
      </c>
      <c r="L1417">
        <f>IF(B1417,INDEX(Dow,1,WEEKDAY(E1417,2)),"")</f>
        <v/>
      </c>
      <c r="M1417">
        <f>IF(B1417,(1+Trend)^D1417,"")</f>
        <v/>
      </c>
      <c r="N1417">
        <f>IF(B1417,EXP(SUMPRODUCT(LN(1+(EvEff-1)*INDEX(Affected,0,C1417)*EXP(-((E1417-EvCenter)^2)/(2*EvSigma^2))))),"")</f>
        <v/>
      </c>
      <c r="O1417">
        <f>IF(B1417,ROUND(MAX(0,J1417*K1417*L1417*M1417*N1417),2),"")</f>
        <v/>
      </c>
    </row>
    <row r="1418">
      <c r="A1418" t="n">
        <v>1417</v>
      </c>
      <c r="B1418">
        <f>A1418&lt;=MineCount*Days</f>
        <v/>
      </c>
      <c r="C1418">
        <f>IF(B1418,INT((A1418-1)/Days)+1,"")</f>
        <v/>
      </c>
      <c r="D1418">
        <f>IF(B1418,MOD(A1418-1,Days),"")</f>
        <v/>
      </c>
      <c r="E1418" s="16">
        <f>IF(B1418,StartDate+D1418,"")</f>
        <v/>
      </c>
      <c r="F1418">
        <f>IF(B1418,MAX(MOD(SIN(Seed*0.1373+C1418*12.9898+D1418*78.233)*43758.5453,1),1E-9),"")</f>
        <v/>
      </c>
      <c r="G1418">
        <f>IF(B1418,MOD(SIN(Seed*0.5917+C1418*39.3468+D1418*11.135)*24634.6345,1),"")</f>
        <v/>
      </c>
      <c r="H1418">
        <f>IF(B1418,SQRT(-2*LN(F1418))*COS(2*PI()*G1418),"")</f>
        <v/>
      </c>
      <c r="I1418">
        <f>IF(B1418,IF(D1418=0,H1418,Rho*I1417+SQRT(1-Rho^2)*H1418),"")</f>
        <v/>
      </c>
      <c r="J1418">
        <f>IF(B1418,IF(Dist="Normal",DistA+DistB*I1418,DistA+(DistB-DistA)*NORMSDIST(I1418)),"")</f>
        <v/>
      </c>
      <c r="K1418">
        <f>IF(B1418,INDEX(MineScale,C1418),"")</f>
        <v/>
      </c>
      <c r="L1418">
        <f>IF(B1418,INDEX(Dow,1,WEEKDAY(E1418,2)),"")</f>
        <v/>
      </c>
      <c r="M1418">
        <f>IF(B1418,(1+Trend)^D1418,"")</f>
        <v/>
      </c>
      <c r="N1418">
        <f>IF(B1418,EXP(SUMPRODUCT(LN(1+(EvEff-1)*INDEX(Affected,0,C1418)*EXP(-((E1418-EvCenter)^2)/(2*EvSigma^2))))),"")</f>
        <v/>
      </c>
      <c r="O1418">
        <f>IF(B1418,ROUND(MAX(0,J1418*K1418*L1418*M1418*N1418),2),"")</f>
        <v/>
      </c>
    </row>
    <row r="1419">
      <c r="A1419" t="n">
        <v>1418</v>
      </c>
      <c r="B1419">
        <f>A1419&lt;=MineCount*Days</f>
        <v/>
      </c>
      <c r="C1419">
        <f>IF(B1419,INT((A1419-1)/Days)+1,"")</f>
        <v/>
      </c>
      <c r="D1419">
        <f>IF(B1419,MOD(A1419-1,Days),"")</f>
        <v/>
      </c>
      <c r="E1419" s="16">
        <f>IF(B1419,StartDate+D1419,"")</f>
        <v/>
      </c>
      <c r="F1419">
        <f>IF(B1419,MAX(MOD(SIN(Seed*0.1373+C1419*12.9898+D1419*78.233)*43758.5453,1),1E-9),"")</f>
        <v/>
      </c>
      <c r="G1419">
        <f>IF(B1419,MOD(SIN(Seed*0.5917+C1419*39.3468+D1419*11.135)*24634.6345,1),"")</f>
        <v/>
      </c>
      <c r="H1419">
        <f>IF(B1419,SQRT(-2*LN(F1419))*COS(2*PI()*G1419),"")</f>
        <v/>
      </c>
      <c r="I1419">
        <f>IF(B1419,IF(D1419=0,H1419,Rho*I1418+SQRT(1-Rho^2)*H1419),"")</f>
        <v/>
      </c>
      <c r="J1419">
        <f>IF(B1419,IF(Dist="Normal",DistA+DistB*I1419,DistA+(DistB-DistA)*NORMSDIST(I1419)),"")</f>
        <v/>
      </c>
      <c r="K1419">
        <f>IF(B1419,INDEX(MineScale,C1419),"")</f>
        <v/>
      </c>
      <c r="L1419">
        <f>IF(B1419,INDEX(Dow,1,WEEKDAY(E1419,2)),"")</f>
        <v/>
      </c>
      <c r="M1419">
        <f>IF(B1419,(1+Trend)^D1419,"")</f>
        <v/>
      </c>
      <c r="N1419">
        <f>IF(B1419,EXP(SUMPRODUCT(LN(1+(EvEff-1)*INDEX(Affected,0,C1419)*EXP(-((E1419-EvCenter)^2)/(2*EvSigma^2))))),"")</f>
        <v/>
      </c>
      <c r="O1419">
        <f>IF(B1419,ROUND(MAX(0,J1419*K1419*L1419*M1419*N1419),2),"")</f>
        <v/>
      </c>
    </row>
    <row r="1420">
      <c r="A1420" t="n">
        <v>1419</v>
      </c>
      <c r="B1420">
        <f>A1420&lt;=MineCount*Days</f>
        <v/>
      </c>
      <c r="C1420">
        <f>IF(B1420,INT((A1420-1)/Days)+1,"")</f>
        <v/>
      </c>
      <c r="D1420">
        <f>IF(B1420,MOD(A1420-1,Days),"")</f>
        <v/>
      </c>
      <c r="E1420" s="16">
        <f>IF(B1420,StartDate+D1420,"")</f>
        <v/>
      </c>
      <c r="F1420">
        <f>IF(B1420,MAX(MOD(SIN(Seed*0.1373+C1420*12.9898+D1420*78.233)*43758.5453,1),1E-9),"")</f>
        <v/>
      </c>
      <c r="G1420">
        <f>IF(B1420,MOD(SIN(Seed*0.5917+C1420*39.3468+D1420*11.135)*24634.6345,1),"")</f>
        <v/>
      </c>
      <c r="H1420">
        <f>IF(B1420,SQRT(-2*LN(F1420))*COS(2*PI()*G1420),"")</f>
        <v/>
      </c>
      <c r="I1420">
        <f>IF(B1420,IF(D1420=0,H1420,Rho*I1419+SQRT(1-Rho^2)*H1420),"")</f>
        <v/>
      </c>
      <c r="J1420">
        <f>IF(B1420,IF(Dist="Normal",DistA+DistB*I1420,DistA+(DistB-DistA)*NORMSDIST(I1420)),"")</f>
        <v/>
      </c>
      <c r="K1420">
        <f>IF(B1420,INDEX(MineScale,C1420),"")</f>
        <v/>
      </c>
      <c r="L1420">
        <f>IF(B1420,INDEX(Dow,1,WEEKDAY(E1420,2)),"")</f>
        <v/>
      </c>
      <c r="M1420">
        <f>IF(B1420,(1+Trend)^D1420,"")</f>
        <v/>
      </c>
      <c r="N1420">
        <f>IF(B1420,EXP(SUMPRODUCT(LN(1+(EvEff-1)*INDEX(Affected,0,C1420)*EXP(-((E1420-EvCenter)^2)/(2*EvSigma^2))))),"")</f>
        <v/>
      </c>
      <c r="O1420">
        <f>IF(B1420,ROUND(MAX(0,J1420*K1420*L1420*M1420*N1420),2),"")</f>
        <v/>
      </c>
    </row>
    <row r="1421">
      <c r="A1421" t="n">
        <v>1420</v>
      </c>
      <c r="B1421">
        <f>A1421&lt;=MineCount*Days</f>
        <v/>
      </c>
      <c r="C1421">
        <f>IF(B1421,INT((A1421-1)/Days)+1,"")</f>
        <v/>
      </c>
      <c r="D1421">
        <f>IF(B1421,MOD(A1421-1,Days),"")</f>
        <v/>
      </c>
      <c r="E1421" s="16">
        <f>IF(B1421,StartDate+D1421,"")</f>
        <v/>
      </c>
      <c r="F1421">
        <f>IF(B1421,MAX(MOD(SIN(Seed*0.1373+C1421*12.9898+D1421*78.233)*43758.5453,1),1E-9),"")</f>
        <v/>
      </c>
      <c r="G1421">
        <f>IF(B1421,MOD(SIN(Seed*0.5917+C1421*39.3468+D1421*11.135)*24634.6345,1),"")</f>
        <v/>
      </c>
      <c r="H1421">
        <f>IF(B1421,SQRT(-2*LN(F1421))*COS(2*PI()*G1421),"")</f>
        <v/>
      </c>
      <c r="I1421">
        <f>IF(B1421,IF(D1421=0,H1421,Rho*I1420+SQRT(1-Rho^2)*H1421),"")</f>
        <v/>
      </c>
      <c r="J1421">
        <f>IF(B1421,IF(Dist="Normal",DistA+DistB*I1421,DistA+(DistB-DistA)*NORMSDIST(I1421)),"")</f>
        <v/>
      </c>
      <c r="K1421">
        <f>IF(B1421,INDEX(MineScale,C1421),"")</f>
        <v/>
      </c>
      <c r="L1421">
        <f>IF(B1421,INDEX(Dow,1,WEEKDAY(E1421,2)),"")</f>
        <v/>
      </c>
      <c r="M1421">
        <f>IF(B1421,(1+Trend)^D1421,"")</f>
        <v/>
      </c>
      <c r="N1421">
        <f>IF(B1421,EXP(SUMPRODUCT(LN(1+(EvEff-1)*INDEX(Affected,0,C1421)*EXP(-((E1421-EvCenter)^2)/(2*EvSigma^2))))),"")</f>
        <v/>
      </c>
      <c r="O1421">
        <f>IF(B1421,ROUND(MAX(0,J1421*K1421*L1421*M1421*N1421),2),"")</f>
        <v/>
      </c>
    </row>
    <row r="1422">
      <c r="A1422" t="n">
        <v>1421</v>
      </c>
      <c r="B1422">
        <f>A1422&lt;=MineCount*Days</f>
        <v/>
      </c>
      <c r="C1422">
        <f>IF(B1422,INT((A1422-1)/Days)+1,"")</f>
        <v/>
      </c>
      <c r="D1422">
        <f>IF(B1422,MOD(A1422-1,Days),"")</f>
        <v/>
      </c>
      <c r="E1422" s="16">
        <f>IF(B1422,StartDate+D1422,"")</f>
        <v/>
      </c>
      <c r="F1422">
        <f>IF(B1422,MAX(MOD(SIN(Seed*0.1373+C1422*12.9898+D1422*78.233)*43758.5453,1),1E-9),"")</f>
        <v/>
      </c>
      <c r="G1422">
        <f>IF(B1422,MOD(SIN(Seed*0.5917+C1422*39.3468+D1422*11.135)*24634.6345,1),"")</f>
        <v/>
      </c>
      <c r="H1422">
        <f>IF(B1422,SQRT(-2*LN(F1422))*COS(2*PI()*G1422),"")</f>
        <v/>
      </c>
      <c r="I1422">
        <f>IF(B1422,IF(D1422=0,H1422,Rho*I1421+SQRT(1-Rho^2)*H1422),"")</f>
        <v/>
      </c>
      <c r="J1422">
        <f>IF(B1422,IF(Dist="Normal",DistA+DistB*I1422,DistA+(DistB-DistA)*NORMSDIST(I1422)),"")</f>
        <v/>
      </c>
      <c r="K1422">
        <f>IF(B1422,INDEX(MineScale,C1422),"")</f>
        <v/>
      </c>
      <c r="L1422">
        <f>IF(B1422,INDEX(Dow,1,WEEKDAY(E1422,2)),"")</f>
        <v/>
      </c>
      <c r="M1422">
        <f>IF(B1422,(1+Trend)^D1422,"")</f>
        <v/>
      </c>
      <c r="N1422">
        <f>IF(B1422,EXP(SUMPRODUCT(LN(1+(EvEff-1)*INDEX(Affected,0,C1422)*EXP(-((E1422-EvCenter)^2)/(2*EvSigma^2))))),"")</f>
        <v/>
      </c>
      <c r="O1422">
        <f>IF(B1422,ROUND(MAX(0,J1422*K1422*L1422*M1422*N1422),2),"")</f>
        <v/>
      </c>
    </row>
    <row r="1423">
      <c r="A1423" t="n">
        <v>1422</v>
      </c>
      <c r="B1423">
        <f>A1423&lt;=MineCount*Days</f>
        <v/>
      </c>
      <c r="C1423">
        <f>IF(B1423,INT((A1423-1)/Days)+1,"")</f>
        <v/>
      </c>
      <c r="D1423">
        <f>IF(B1423,MOD(A1423-1,Days),"")</f>
        <v/>
      </c>
      <c r="E1423" s="16">
        <f>IF(B1423,StartDate+D1423,"")</f>
        <v/>
      </c>
      <c r="F1423">
        <f>IF(B1423,MAX(MOD(SIN(Seed*0.1373+C1423*12.9898+D1423*78.233)*43758.5453,1),1E-9),"")</f>
        <v/>
      </c>
      <c r="G1423">
        <f>IF(B1423,MOD(SIN(Seed*0.5917+C1423*39.3468+D1423*11.135)*24634.6345,1),"")</f>
        <v/>
      </c>
      <c r="H1423">
        <f>IF(B1423,SQRT(-2*LN(F1423))*COS(2*PI()*G1423),"")</f>
        <v/>
      </c>
      <c r="I1423">
        <f>IF(B1423,IF(D1423=0,H1423,Rho*I1422+SQRT(1-Rho^2)*H1423),"")</f>
        <v/>
      </c>
      <c r="J1423">
        <f>IF(B1423,IF(Dist="Normal",DistA+DistB*I1423,DistA+(DistB-DistA)*NORMSDIST(I1423)),"")</f>
        <v/>
      </c>
      <c r="K1423">
        <f>IF(B1423,INDEX(MineScale,C1423),"")</f>
        <v/>
      </c>
      <c r="L1423">
        <f>IF(B1423,INDEX(Dow,1,WEEKDAY(E1423,2)),"")</f>
        <v/>
      </c>
      <c r="M1423">
        <f>IF(B1423,(1+Trend)^D1423,"")</f>
        <v/>
      </c>
      <c r="N1423">
        <f>IF(B1423,EXP(SUMPRODUCT(LN(1+(EvEff-1)*INDEX(Affected,0,C1423)*EXP(-((E1423-EvCenter)^2)/(2*EvSigma^2))))),"")</f>
        <v/>
      </c>
      <c r="O1423">
        <f>IF(B1423,ROUND(MAX(0,J1423*K1423*L1423*M1423*N1423),2),"")</f>
        <v/>
      </c>
    </row>
    <row r="1424">
      <c r="A1424" t="n">
        <v>1423</v>
      </c>
      <c r="B1424">
        <f>A1424&lt;=MineCount*Days</f>
        <v/>
      </c>
      <c r="C1424">
        <f>IF(B1424,INT((A1424-1)/Days)+1,"")</f>
        <v/>
      </c>
      <c r="D1424">
        <f>IF(B1424,MOD(A1424-1,Days),"")</f>
        <v/>
      </c>
      <c r="E1424" s="16">
        <f>IF(B1424,StartDate+D1424,"")</f>
        <v/>
      </c>
      <c r="F1424">
        <f>IF(B1424,MAX(MOD(SIN(Seed*0.1373+C1424*12.9898+D1424*78.233)*43758.5453,1),1E-9),"")</f>
        <v/>
      </c>
      <c r="G1424">
        <f>IF(B1424,MOD(SIN(Seed*0.5917+C1424*39.3468+D1424*11.135)*24634.6345,1),"")</f>
        <v/>
      </c>
      <c r="H1424">
        <f>IF(B1424,SQRT(-2*LN(F1424))*COS(2*PI()*G1424),"")</f>
        <v/>
      </c>
      <c r="I1424">
        <f>IF(B1424,IF(D1424=0,H1424,Rho*I1423+SQRT(1-Rho^2)*H1424),"")</f>
        <v/>
      </c>
      <c r="J1424">
        <f>IF(B1424,IF(Dist="Normal",DistA+DistB*I1424,DistA+(DistB-DistA)*NORMSDIST(I1424)),"")</f>
        <v/>
      </c>
      <c r="K1424">
        <f>IF(B1424,INDEX(MineScale,C1424),"")</f>
        <v/>
      </c>
      <c r="L1424">
        <f>IF(B1424,INDEX(Dow,1,WEEKDAY(E1424,2)),"")</f>
        <v/>
      </c>
      <c r="M1424">
        <f>IF(B1424,(1+Trend)^D1424,"")</f>
        <v/>
      </c>
      <c r="N1424">
        <f>IF(B1424,EXP(SUMPRODUCT(LN(1+(EvEff-1)*INDEX(Affected,0,C1424)*EXP(-((E1424-EvCenter)^2)/(2*EvSigma^2))))),"")</f>
        <v/>
      </c>
      <c r="O1424">
        <f>IF(B1424,ROUND(MAX(0,J1424*K1424*L1424*M1424*N1424),2),"")</f>
        <v/>
      </c>
    </row>
    <row r="1425">
      <c r="A1425" t="n">
        <v>1424</v>
      </c>
      <c r="B1425">
        <f>A1425&lt;=MineCount*Days</f>
        <v/>
      </c>
      <c r="C1425">
        <f>IF(B1425,INT((A1425-1)/Days)+1,"")</f>
        <v/>
      </c>
      <c r="D1425">
        <f>IF(B1425,MOD(A1425-1,Days),"")</f>
        <v/>
      </c>
      <c r="E1425" s="16">
        <f>IF(B1425,StartDate+D1425,"")</f>
        <v/>
      </c>
      <c r="F1425">
        <f>IF(B1425,MAX(MOD(SIN(Seed*0.1373+C1425*12.9898+D1425*78.233)*43758.5453,1),1E-9),"")</f>
        <v/>
      </c>
      <c r="G1425">
        <f>IF(B1425,MOD(SIN(Seed*0.5917+C1425*39.3468+D1425*11.135)*24634.6345,1),"")</f>
        <v/>
      </c>
      <c r="H1425">
        <f>IF(B1425,SQRT(-2*LN(F1425))*COS(2*PI()*G1425),"")</f>
        <v/>
      </c>
      <c r="I1425">
        <f>IF(B1425,IF(D1425=0,H1425,Rho*I1424+SQRT(1-Rho^2)*H1425),"")</f>
        <v/>
      </c>
      <c r="J1425">
        <f>IF(B1425,IF(Dist="Normal",DistA+DistB*I1425,DistA+(DistB-DistA)*NORMSDIST(I1425)),"")</f>
        <v/>
      </c>
      <c r="K1425">
        <f>IF(B1425,INDEX(MineScale,C1425),"")</f>
        <v/>
      </c>
      <c r="L1425">
        <f>IF(B1425,INDEX(Dow,1,WEEKDAY(E1425,2)),"")</f>
        <v/>
      </c>
      <c r="M1425">
        <f>IF(B1425,(1+Trend)^D1425,"")</f>
        <v/>
      </c>
      <c r="N1425">
        <f>IF(B1425,EXP(SUMPRODUCT(LN(1+(EvEff-1)*INDEX(Affected,0,C1425)*EXP(-((E1425-EvCenter)^2)/(2*EvSigma^2))))),"")</f>
        <v/>
      </c>
      <c r="O1425">
        <f>IF(B1425,ROUND(MAX(0,J1425*K1425*L1425*M1425*N1425),2),"")</f>
        <v/>
      </c>
    </row>
    <row r="1426">
      <c r="A1426" t="n">
        <v>1425</v>
      </c>
      <c r="B1426">
        <f>A1426&lt;=MineCount*Days</f>
        <v/>
      </c>
      <c r="C1426">
        <f>IF(B1426,INT((A1426-1)/Days)+1,"")</f>
        <v/>
      </c>
      <c r="D1426">
        <f>IF(B1426,MOD(A1426-1,Days),"")</f>
        <v/>
      </c>
      <c r="E1426" s="16">
        <f>IF(B1426,StartDate+D1426,"")</f>
        <v/>
      </c>
      <c r="F1426">
        <f>IF(B1426,MAX(MOD(SIN(Seed*0.1373+C1426*12.9898+D1426*78.233)*43758.5453,1),1E-9),"")</f>
        <v/>
      </c>
      <c r="G1426">
        <f>IF(B1426,MOD(SIN(Seed*0.5917+C1426*39.3468+D1426*11.135)*24634.6345,1),"")</f>
        <v/>
      </c>
      <c r="H1426">
        <f>IF(B1426,SQRT(-2*LN(F1426))*COS(2*PI()*G1426),"")</f>
        <v/>
      </c>
      <c r="I1426">
        <f>IF(B1426,IF(D1426=0,H1426,Rho*I1425+SQRT(1-Rho^2)*H1426),"")</f>
        <v/>
      </c>
      <c r="J1426">
        <f>IF(B1426,IF(Dist="Normal",DistA+DistB*I1426,DistA+(DistB-DistA)*NORMSDIST(I1426)),"")</f>
        <v/>
      </c>
      <c r="K1426">
        <f>IF(B1426,INDEX(MineScale,C1426),"")</f>
        <v/>
      </c>
      <c r="L1426">
        <f>IF(B1426,INDEX(Dow,1,WEEKDAY(E1426,2)),"")</f>
        <v/>
      </c>
      <c r="M1426">
        <f>IF(B1426,(1+Trend)^D1426,"")</f>
        <v/>
      </c>
      <c r="N1426">
        <f>IF(B1426,EXP(SUMPRODUCT(LN(1+(EvEff-1)*INDEX(Affected,0,C1426)*EXP(-((E1426-EvCenter)^2)/(2*EvSigma^2))))),"")</f>
        <v/>
      </c>
      <c r="O1426">
        <f>IF(B1426,ROUND(MAX(0,J1426*K1426*L1426*M1426*N1426),2),"")</f>
        <v/>
      </c>
    </row>
    <row r="1427">
      <c r="A1427" t="n">
        <v>1426</v>
      </c>
      <c r="B1427">
        <f>A1427&lt;=MineCount*Days</f>
        <v/>
      </c>
      <c r="C1427">
        <f>IF(B1427,INT((A1427-1)/Days)+1,"")</f>
        <v/>
      </c>
      <c r="D1427">
        <f>IF(B1427,MOD(A1427-1,Days),"")</f>
        <v/>
      </c>
      <c r="E1427" s="16">
        <f>IF(B1427,StartDate+D1427,"")</f>
        <v/>
      </c>
      <c r="F1427">
        <f>IF(B1427,MAX(MOD(SIN(Seed*0.1373+C1427*12.9898+D1427*78.233)*43758.5453,1),1E-9),"")</f>
        <v/>
      </c>
      <c r="G1427">
        <f>IF(B1427,MOD(SIN(Seed*0.5917+C1427*39.3468+D1427*11.135)*24634.6345,1),"")</f>
        <v/>
      </c>
      <c r="H1427">
        <f>IF(B1427,SQRT(-2*LN(F1427))*COS(2*PI()*G1427),"")</f>
        <v/>
      </c>
      <c r="I1427">
        <f>IF(B1427,IF(D1427=0,H1427,Rho*I1426+SQRT(1-Rho^2)*H1427),"")</f>
        <v/>
      </c>
      <c r="J1427">
        <f>IF(B1427,IF(Dist="Normal",DistA+DistB*I1427,DistA+(DistB-DistA)*NORMSDIST(I1427)),"")</f>
        <v/>
      </c>
      <c r="K1427">
        <f>IF(B1427,INDEX(MineScale,C1427),"")</f>
        <v/>
      </c>
      <c r="L1427">
        <f>IF(B1427,INDEX(Dow,1,WEEKDAY(E1427,2)),"")</f>
        <v/>
      </c>
      <c r="M1427">
        <f>IF(B1427,(1+Trend)^D1427,"")</f>
        <v/>
      </c>
      <c r="N1427">
        <f>IF(B1427,EXP(SUMPRODUCT(LN(1+(EvEff-1)*INDEX(Affected,0,C1427)*EXP(-((E1427-EvCenter)^2)/(2*EvSigma^2))))),"")</f>
        <v/>
      </c>
      <c r="O1427">
        <f>IF(B1427,ROUND(MAX(0,J1427*K1427*L1427*M1427*N1427),2),"")</f>
        <v/>
      </c>
    </row>
    <row r="1428">
      <c r="A1428" t="n">
        <v>1427</v>
      </c>
      <c r="B1428">
        <f>A1428&lt;=MineCount*Days</f>
        <v/>
      </c>
      <c r="C1428">
        <f>IF(B1428,INT((A1428-1)/Days)+1,"")</f>
        <v/>
      </c>
      <c r="D1428">
        <f>IF(B1428,MOD(A1428-1,Days),"")</f>
        <v/>
      </c>
      <c r="E1428" s="16">
        <f>IF(B1428,StartDate+D1428,"")</f>
        <v/>
      </c>
      <c r="F1428">
        <f>IF(B1428,MAX(MOD(SIN(Seed*0.1373+C1428*12.9898+D1428*78.233)*43758.5453,1),1E-9),"")</f>
        <v/>
      </c>
      <c r="G1428">
        <f>IF(B1428,MOD(SIN(Seed*0.5917+C1428*39.3468+D1428*11.135)*24634.6345,1),"")</f>
        <v/>
      </c>
      <c r="H1428">
        <f>IF(B1428,SQRT(-2*LN(F1428))*COS(2*PI()*G1428),"")</f>
        <v/>
      </c>
      <c r="I1428">
        <f>IF(B1428,IF(D1428=0,H1428,Rho*I1427+SQRT(1-Rho^2)*H1428),"")</f>
        <v/>
      </c>
      <c r="J1428">
        <f>IF(B1428,IF(Dist="Normal",DistA+DistB*I1428,DistA+(DistB-DistA)*NORMSDIST(I1428)),"")</f>
        <v/>
      </c>
      <c r="K1428">
        <f>IF(B1428,INDEX(MineScale,C1428),"")</f>
        <v/>
      </c>
      <c r="L1428">
        <f>IF(B1428,INDEX(Dow,1,WEEKDAY(E1428,2)),"")</f>
        <v/>
      </c>
      <c r="M1428">
        <f>IF(B1428,(1+Trend)^D1428,"")</f>
        <v/>
      </c>
      <c r="N1428">
        <f>IF(B1428,EXP(SUMPRODUCT(LN(1+(EvEff-1)*INDEX(Affected,0,C1428)*EXP(-((E1428-EvCenter)^2)/(2*EvSigma^2))))),"")</f>
        <v/>
      </c>
      <c r="O1428">
        <f>IF(B1428,ROUND(MAX(0,J1428*K1428*L1428*M1428*N1428),2),"")</f>
        <v/>
      </c>
    </row>
    <row r="1429">
      <c r="A1429" t="n">
        <v>1428</v>
      </c>
      <c r="B1429">
        <f>A1429&lt;=MineCount*Days</f>
        <v/>
      </c>
      <c r="C1429">
        <f>IF(B1429,INT((A1429-1)/Days)+1,"")</f>
        <v/>
      </c>
      <c r="D1429">
        <f>IF(B1429,MOD(A1429-1,Days),"")</f>
        <v/>
      </c>
      <c r="E1429" s="16">
        <f>IF(B1429,StartDate+D1429,"")</f>
        <v/>
      </c>
      <c r="F1429">
        <f>IF(B1429,MAX(MOD(SIN(Seed*0.1373+C1429*12.9898+D1429*78.233)*43758.5453,1),1E-9),"")</f>
        <v/>
      </c>
      <c r="G1429">
        <f>IF(B1429,MOD(SIN(Seed*0.5917+C1429*39.3468+D1429*11.135)*24634.6345,1),"")</f>
        <v/>
      </c>
      <c r="H1429">
        <f>IF(B1429,SQRT(-2*LN(F1429))*COS(2*PI()*G1429),"")</f>
        <v/>
      </c>
      <c r="I1429">
        <f>IF(B1429,IF(D1429=0,H1429,Rho*I1428+SQRT(1-Rho^2)*H1429),"")</f>
        <v/>
      </c>
      <c r="J1429">
        <f>IF(B1429,IF(Dist="Normal",DistA+DistB*I1429,DistA+(DistB-DistA)*NORMSDIST(I1429)),"")</f>
        <v/>
      </c>
      <c r="K1429">
        <f>IF(B1429,INDEX(MineScale,C1429),"")</f>
        <v/>
      </c>
      <c r="L1429">
        <f>IF(B1429,INDEX(Dow,1,WEEKDAY(E1429,2)),"")</f>
        <v/>
      </c>
      <c r="M1429">
        <f>IF(B1429,(1+Trend)^D1429,"")</f>
        <v/>
      </c>
      <c r="N1429">
        <f>IF(B1429,EXP(SUMPRODUCT(LN(1+(EvEff-1)*INDEX(Affected,0,C1429)*EXP(-((E1429-EvCenter)^2)/(2*EvSigma^2))))),"")</f>
        <v/>
      </c>
      <c r="O1429">
        <f>IF(B1429,ROUND(MAX(0,J1429*K1429*L1429*M1429*N1429),2),"")</f>
        <v/>
      </c>
    </row>
    <row r="1430">
      <c r="A1430" t="n">
        <v>1429</v>
      </c>
      <c r="B1430">
        <f>A1430&lt;=MineCount*Days</f>
        <v/>
      </c>
      <c r="C1430">
        <f>IF(B1430,INT((A1430-1)/Days)+1,"")</f>
        <v/>
      </c>
      <c r="D1430">
        <f>IF(B1430,MOD(A1430-1,Days),"")</f>
        <v/>
      </c>
      <c r="E1430" s="16">
        <f>IF(B1430,StartDate+D1430,"")</f>
        <v/>
      </c>
      <c r="F1430">
        <f>IF(B1430,MAX(MOD(SIN(Seed*0.1373+C1430*12.9898+D1430*78.233)*43758.5453,1),1E-9),"")</f>
        <v/>
      </c>
      <c r="G1430">
        <f>IF(B1430,MOD(SIN(Seed*0.5917+C1430*39.3468+D1430*11.135)*24634.6345,1),"")</f>
        <v/>
      </c>
      <c r="H1430">
        <f>IF(B1430,SQRT(-2*LN(F1430))*COS(2*PI()*G1430),"")</f>
        <v/>
      </c>
      <c r="I1430">
        <f>IF(B1430,IF(D1430=0,H1430,Rho*I1429+SQRT(1-Rho^2)*H1430),"")</f>
        <v/>
      </c>
      <c r="J1430">
        <f>IF(B1430,IF(Dist="Normal",DistA+DistB*I1430,DistA+(DistB-DistA)*NORMSDIST(I1430)),"")</f>
        <v/>
      </c>
      <c r="K1430">
        <f>IF(B1430,INDEX(MineScale,C1430),"")</f>
        <v/>
      </c>
      <c r="L1430">
        <f>IF(B1430,INDEX(Dow,1,WEEKDAY(E1430,2)),"")</f>
        <v/>
      </c>
      <c r="M1430">
        <f>IF(B1430,(1+Trend)^D1430,"")</f>
        <v/>
      </c>
      <c r="N1430">
        <f>IF(B1430,EXP(SUMPRODUCT(LN(1+(EvEff-1)*INDEX(Affected,0,C1430)*EXP(-((E1430-EvCenter)^2)/(2*EvSigma^2))))),"")</f>
        <v/>
      </c>
      <c r="O1430">
        <f>IF(B1430,ROUND(MAX(0,J1430*K1430*L1430*M1430*N1430),2),"")</f>
        <v/>
      </c>
    </row>
    <row r="1431">
      <c r="A1431" t="n">
        <v>1430</v>
      </c>
      <c r="B1431">
        <f>A1431&lt;=MineCount*Days</f>
        <v/>
      </c>
      <c r="C1431">
        <f>IF(B1431,INT((A1431-1)/Days)+1,"")</f>
        <v/>
      </c>
      <c r="D1431">
        <f>IF(B1431,MOD(A1431-1,Days),"")</f>
        <v/>
      </c>
      <c r="E1431" s="16">
        <f>IF(B1431,StartDate+D1431,"")</f>
        <v/>
      </c>
      <c r="F1431">
        <f>IF(B1431,MAX(MOD(SIN(Seed*0.1373+C1431*12.9898+D1431*78.233)*43758.5453,1),1E-9),"")</f>
        <v/>
      </c>
      <c r="G1431">
        <f>IF(B1431,MOD(SIN(Seed*0.5917+C1431*39.3468+D1431*11.135)*24634.6345,1),"")</f>
        <v/>
      </c>
      <c r="H1431">
        <f>IF(B1431,SQRT(-2*LN(F1431))*COS(2*PI()*G1431),"")</f>
        <v/>
      </c>
      <c r="I1431">
        <f>IF(B1431,IF(D1431=0,H1431,Rho*I1430+SQRT(1-Rho^2)*H1431),"")</f>
        <v/>
      </c>
      <c r="J1431">
        <f>IF(B1431,IF(Dist="Normal",DistA+DistB*I1431,DistA+(DistB-DistA)*NORMSDIST(I1431)),"")</f>
        <v/>
      </c>
      <c r="K1431">
        <f>IF(B1431,INDEX(MineScale,C1431),"")</f>
        <v/>
      </c>
      <c r="L1431">
        <f>IF(B1431,INDEX(Dow,1,WEEKDAY(E1431,2)),"")</f>
        <v/>
      </c>
      <c r="M1431">
        <f>IF(B1431,(1+Trend)^D1431,"")</f>
        <v/>
      </c>
      <c r="N1431">
        <f>IF(B1431,EXP(SUMPRODUCT(LN(1+(EvEff-1)*INDEX(Affected,0,C1431)*EXP(-((E1431-EvCenter)^2)/(2*EvSigma^2))))),"")</f>
        <v/>
      </c>
      <c r="O1431">
        <f>IF(B1431,ROUND(MAX(0,J1431*K1431*L1431*M1431*N1431),2),"")</f>
        <v/>
      </c>
    </row>
    <row r="1432">
      <c r="A1432" t="n">
        <v>1431</v>
      </c>
      <c r="B1432">
        <f>A1432&lt;=MineCount*Days</f>
        <v/>
      </c>
      <c r="C1432">
        <f>IF(B1432,INT((A1432-1)/Days)+1,"")</f>
        <v/>
      </c>
      <c r="D1432">
        <f>IF(B1432,MOD(A1432-1,Days),"")</f>
        <v/>
      </c>
      <c r="E1432" s="16">
        <f>IF(B1432,StartDate+D1432,"")</f>
        <v/>
      </c>
      <c r="F1432">
        <f>IF(B1432,MAX(MOD(SIN(Seed*0.1373+C1432*12.9898+D1432*78.233)*43758.5453,1),1E-9),"")</f>
        <v/>
      </c>
      <c r="G1432">
        <f>IF(B1432,MOD(SIN(Seed*0.5917+C1432*39.3468+D1432*11.135)*24634.6345,1),"")</f>
        <v/>
      </c>
      <c r="H1432">
        <f>IF(B1432,SQRT(-2*LN(F1432))*COS(2*PI()*G1432),"")</f>
        <v/>
      </c>
      <c r="I1432">
        <f>IF(B1432,IF(D1432=0,H1432,Rho*I1431+SQRT(1-Rho^2)*H1432),"")</f>
        <v/>
      </c>
      <c r="J1432">
        <f>IF(B1432,IF(Dist="Normal",DistA+DistB*I1432,DistA+(DistB-DistA)*NORMSDIST(I1432)),"")</f>
        <v/>
      </c>
      <c r="K1432">
        <f>IF(B1432,INDEX(MineScale,C1432),"")</f>
        <v/>
      </c>
      <c r="L1432">
        <f>IF(B1432,INDEX(Dow,1,WEEKDAY(E1432,2)),"")</f>
        <v/>
      </c>
      <c r="M1432">
        <f>IF(B1432,(1+Trend)^D1432,"")</f>
        <v/>
      </c>
      <c r="N1432">
        <f>IF(B1432,EXP(SUMPRODUCT(LN(1+(EvEff-1)*INDEX(Affected,0,C1432)*EXP(-((E1432-EvCenter)^2)/(2*EvSigma^2))))),"")</f>
        <v/>
      </c>
      <c r="O1432">
        <f>IF(B1432,ROUND(MAX(0,J1432*K1432*L1432*M1432*N1432),2),"")</f>
        <v/>
      </c>
    </row>
    <row r="1433">
      <c r="A1433" t="n">
        <v>1432</v>
      </c>
      <c r="B1433">
        <f>A1433&lt;=MineCount*Days</f>
        <v/>
      </c>
      <c r="C1433">
        <f>IF(B1433,INT((A1433-1)/Days)+1,"")</f>
        <v/>
      </c>
      <c r="D1433">
        <f>IF(B1433,MOD(A1433-1,Days),"")</f>
        <v/>
      </c>
      <c r="E1433" s="16">
        <f>IF(B1433,StartDate+D1433,"")</f>
        <v/>
      </c>
      <c r="F1433">
        <f>IF(B1433,MAX(MOD(SIN(Seed*0.1373+C1433*12.9898+D1433*78.233)*43758.5453,1),1E-9),"")</f>
        <v/>
      </c>
      <c r="G1433">
        <f>IF(B1433,MOD(SIN(Seed*0.5917+C1433*39.3468+D1433*11.135)*24634.6345,1),"")</f>
        <v/>
      </c>
      <c r="H1433">
        <f>IF(B1433,SQRT(-2*LN(F1433))*COS(2*PI()*G1433),"")</f>
        <v/>
      </c>
      <c r="I1433">
        <f>IF(B1433,IF(D1433=0,H1433,Rho*I1432+SQRT(1-Rho^2)*H1433),"")</f>
        <v/>
      </c>
      <c r="J1433">
        <f>IF(B1433,IF(Dist="Normal",DistA+DistB*I1433,DistA+(DistB-DistA)*NORMSDIST(I1433)),"")</f>
        <v/>
      </c>
      <c r="K1433">
        <f>IF(B1433,INDEX(MineScale,C1433),"")</f>
        <v/>
      </c>
      <c r="L1433">
        <f>IF(B1433,INDEX(Dow,1,WEEKDAY(E1433,2)),"")</f>
        <v/>
      </c>
      <c r="M1433">
        <f>IF(B1433,(1+Trend)^D1433,"")</f>
        <v/>
      </c>
      <c r="N1433">
        <f>IF(B1433,EXP(SUMPRODUCT(LN(1+(EvEff-1)*INDEX(Affected,0,C1433)*EXP(-((E1433-EvCenter)^2)/(2*EvSigma^2))))),"")</f>
        <v/>
      </c>
      <c r="O1433">
        <f>IF(B1433,ROUND(MAX(0,J1433*K1433*L1433*M1433*N1433),2),"")</f>
        <v/>
      </c>
    </row>
    <row r="1434">
      <c r="A1434" t="n">
        <v>1433</v>
      </c>
      <c r="B1434">
        <f>A1434&lt;=MineCount*Days</f>
        <v/>
      </c>
      <c r="C1434">
        <f>IF(B1434,INT((A1434-1)/Days)+1,"")</f>
        <v/>
      </c>
      <c r="D1434">
        <f>IF(B1434,MOD(A1434-1,Days),"")</f>
        <v/>
      </c>
      <c r="E1434" s="16">
        <f>IF(B1434,StartDate+D1434,"")</f>
        <v/>
      </c>
      <c r="F1434">
        <f>IF(B1434,MAX(MOD(SIN(Seed*0.1373+C1434*12.9898+D1434*78.233)*43758.5453,1),1E-9),"")</f>
        <v/>
      </c>
      <c r="G1434">
        <f>IF(B1434,MOD(SIN(Seed*0.5917+C1434*39.3468+D1434*11.135)*24634.6345,1),"")</f>
        <v/>
      </c>
      <c r="H1434">
        <f>IF(B1434,SQRT(-2*LN(F1434))*COS(2*PI()*G1434),"")</f>
        <v/>
      </c>
      <c r="I1434">
        <f>IF(B1434,IF(D1434=0,H1434,Rho*I1433+SQRT(1-Rho^2)*H1434),"")</f>
        <v/>
      </c>
      <c r="J1434">
        <f>IF(B1434,IF(Dist="Normal",DistA+DistB*I1434,DistA+(DistB-DistA)*NORMSDIST(I1434)),"")</f>
        <v/>
      </c>
      <c r="K1434">
        <f>IF(B1434,INDEX(MineScale,C1434),"")</f>
        <v/>
      </c>
      <c r="L1434">
        <f>IF(B1434,INDEX(Dow,1,WEEKDAY(E1434,2)),"")</f>
        <v/>
      </c>
      <c r="M1434">
        <f>IF(B1434,(1+Trend)^D1434,"")</f>
        <v/>
      </c>
      <c r="N1434">
        <f>IF(B1434,EXP(SUMPRODUCT(LN(1+(EvEff-1)*INDEX(Affected,0,C1434)*EXP(-((E1434-EvCenter)^2)/(2*EvSigma^2))))),"")</f>
        <v/>
      </c>
      <c r="O1434">
        <f>IF(B1434,ROUND(MAX(0,J1434*K1434*L1434*M1434*N1434),2),"")</f>
        <v/>
      </c>
    </row>
    <row r="1435">
      <c r="A1435" t="n">
        <v>1434</v>
      </c>
      <c r="B1435">
        <f>A1435&lt;=MineCount*Days</f>
        <v/>
      </c>
      <c r="C1435">
        <f>IF(B1435,INT((A1435-1)/Days)+1,"")</f>
        <v/>
      </c>
      <c r="D1435">
        <f>IF(B1435,MOD(A1435-1,Days),"")</f>
        <v/>
      </c>
      <c r="E1435" s="16">
        <f>IF(B1435,StartDate+D1435,"")</f>
        <v/>
      </c>
      <c r="F1435">
        <f>IF(B1435,MAX(MOD(SIN(Seed*0.1373+C1435*12.9898+D1435*78.233)*43758.5453,1),1E-9),"")</f>
        <v/>
      </c>
      <c r="G1435">
        <f>IF(B1435,MOD(SIN(Seed*0.5917+C1435*39.3468+D1435*11.135)*24634.6345,1),"")</f>
        <v/>
      </c>
      <c r="H1435">
        <f>IF(B1435,SQRT(-2*LN(F1435))*COS(2*PI()*G1435),"")</f>
        <v/>
      </c>
      <c r="I1435">
        <f>IF(B1435,IF(D1435=0,H1435,Rho*I1434+SQRT(1-Rho^2)*H1435),"")</f>
        <v/>
      </c>
      <c r="J1435">
        <f>IF(B1435,IF(Dist="Normal",DistA+DistB*I1435,DistA+(DistB-DistA)*NORMSDIST(I1435)),"")</f>
        <v/>
      </c>
      <c r="K1435">
        <f>IF(B1435,INDEX(MineScale,C1435),"")</f>
        <v/>
      </c>
      <c r="L1435">
        <f>IF(B1435,INDEX(Dow,1,WEEKDAY(E1435,2)),"")</f>
        <v/>
      </c>
      <c r="M1435">
        <f>IF(B1435,(1+Trend)^D1435,"")</f>
        <v/>
      </c>
      <c r="N1435">
        <f>IF(B1435,EXP(SUMPRODUCT(LN(1+(EvEff-1)*INDEX(Affected,0,C1435)*EXP(-((E1435-EvCenter)^2)/(2*EvSigma^2))))),"")</f>
        <v/>
      </c>
      <c r="O1435">
        <f>IF(B1435,ROUND(MAX(0,J1435*K1435*L1435*M1435*N1435),2),"")</f>
        <v/>
      </c>
    </row>
    <row r="1436">
      <c r="A1436" t="n">
        <v>1435</v>
      </c>
      <c r="B1436">
        <f>A1436&lt;=MineCount*Days</f>
        <v/>
      </c>
      <c r="C1436">
        <f>IF(B1436,INT((A1436-1)/Days)+1,"")</f>
        <v/>
      </c>
      <c r="D1436">
        <f>IF(B1436,MOD(A1436-1,Days),"")</f>
        <v/>
      </c>
      <c r="E1436" s="16">
        <f>IF(B1436,StartDate+D1436,"")</f>
        <v/>
      </c>
      <c r="F1436">
        <f>IF(B1436,MAX(MOD(SIN(Seed*0.1373+C1436*12.9898+D1436*78.233)*43758.5453,1),1E-9),"")</f>
        <v/>
      </c>
      <c r="G1436">
        <f>IF(B1436,MOD(SIN(Seed*0.5917+C1436*39.3468+D1436*11.135)*24634.6345,1),"")</f>
        <v/>
      </c>
      <c r="H1436">
        <f>IF(B1436,SQRT(-2*LN(F1436))*COS(2*PI()*G1436),"")</f>
        <v/>
      </c>
      <c r="I1436">
        <f>IF(B1436,IF(D1436=0,H1436,Rho*I1435+SQRT(1-Rho^2)*H1436),"")</f>
        <v/>
      </c>
      <c r="J1436">
        <f>IF(B1436,IF(Dist="Normal",DistA+DistB*I1436,DistA+(DistB-DistA)*NORMSDIST(I1436)),"")</f>
        <v/>
      </c>
      <c r="K1436">
        <f>IF(B1436,INDEX(MineScale,C1436),"")</f>
        <v/>
      </c>
      <c r="L1436">
        <f>IF(B1436,INDEX(Dow,1,WEEKDAY(E1436,2)),"")</f>
        <v/>
      </c>
      <c r="M1436">
        <f>IF(B1436,(1+Trend)^D1436,"")</f>
        <v/>
      </c>
      <c r="N1436">
        <f>IF(B1436,EXP(SUMPRODUCT(LN(1+(EvEff-1)*INDEX(Affected,0,C1436)*EXP(-((E1436-EvCenter)^2)/(2*EvSigma^2))))),"")</f>
        <v/>
      </c>
      <c r="O1436">
        <f>IF(B1436,ROUND(MAX(0,J1436*K1436*L1436*M1436*N1436),2),"")</f>
        <v/>
      </c>
    </row>
    <row r="1437">
      <c r="A1437" t="n">
        <v>1436</v>
      </c>
      <c r="B1437">
        <f>A1437&lt;=MineCount*Days</f>
        <v/>
      </c>
      <c r="C1437">
        <f>IF(B1437,INT((A1437-1)/Days)+1,"")</f>
        <v/>
      </c>
      <c r="D1437">
        <f>IF(B1437,MOD(A1437-1,Days),"")</f>
        <v/>
      </c>
      <c r="E1437" s="16">
        <f>IF(B1437,StartDate+D1437,"")</f>
        <v/>
      </c>
      <c r="F1437">
        <f>IF(B1437,MAX(MOD(SIN(Seed*0.1373+C1437*12.9898+D1437*78.233)*43758.5453,1),1E-9),"")</f>
        <v/>
      </c>
      <c r="G1437">
        <f>IF(B1437,MOD(SIN(Seed*0.5917+C1437*39.3468+D1437*11.135)*24634.6345,1),"")</f>
        <v/>
      </c>
      <c r="H1437">
        <f>IF(B1437,SQRT(-2*LN(F1437))*COS(2*PI()*G1437),"")</f>
        <v/>
      </c>
      <c r="I1437">
        <f>IF(B1437,IF(D1437=0,H1437,Rho*I1436+SQRT(1-Rho^2)*H1437),"")</f>
        <v/>
      </c>
      <c r="J1437">
        <f>IF(B1437,IF(Dist="Normal",DistA+DistB*I1437,DistA+(DistB-DistA)*NORMSDIST(I1437)),"")</f>
        <v/>
      </c>
      <c r="K1437">
        <f>IF(B1437,INDEX(MineScale,C1437),"")</f>
        <v/>
      </c>
      <c r="L1437">
        <f>IF(B1437,INDEX(Dow,1,WEEKDAY(E1437,2)),"")</f>
        <v/>
      </c>
      <c r="M1437">
        <f>IF(B1437,(1+Trend)^D1437,"")</f>
        <v/>
      </c>
      <c r="N1437">
        <f>IF(B1437,EXP(SUMPRODUCT(LN(1+(EvEff-1)*INDEX(Affected,0,C1437)*EXP(-((E1437-EvCenter)^2)/(2*EvSigma^2))))),"")</f>
        <v/>
      </c>
      <c r="O1437">
        <f>IF(B1437,ROUND(MAX(0,J1437*K1437*L1437*M1437*N1437),2),"")</f>
        <v/>
      </c>
    </row>
    <row r="1438">
      <c r="A1438" t="n">
        <v>1437</v>
      </c>
      <c r="B1438">
        <f>A1438&lt;=MineCount*Days</f>
        <v/>
      </c>
      <c r="C1438">
        <f>IF(B1438,INT((A1438-1)/Days)+1,"")</f>
        <v/>
      </c>
      <c r="D1438">
        <f>IF(B1438,MOD(A1438-1,Days),"")</f>
        <v/>
      </c>
      <c r="E1438" s="16">
        <f>IF(B1438,StartDate+D1438,"")</f>
        <v/>
      </c>
      <c r="F1438">
        <f>IF(B1438,MAX(MOD(SIN(Seed*0.1373+C1438*12.9898+D1438*78.233)*43758.5453,1),1E-9),"")</f>
        <v/>
      </c>
      <c r="G1438">
        <f>IF(B1438,MOD(SIN(Seed*0.5917+C1438*39.3468+D1438*11.135)*24634.6345,1),"")</f>
        <v/>
      </c>
      <c r="H1438">
        <f>IF(B1438,SQRT(-2*LN(F1438))*COS(2*PI()*G1438),"")</f>
        <v/>
      </c>
      <c r="I1438">
        <f>IF(B1438,IF(D1438=0,H1438,Rho*I1437+SQRT(1-Rho^2)*H1438),"")</f>
        <v/>
      </c>
      <c r="J1438">
        <f>IF(B1438,IF(Dist="Normal",DistA+DistB*I1438,DistA+(DistB-DistA)*NORMSDIST(I1438)),"")</f>
        <v/>
      </c>
      <c r="K1438">
        <f>IF(B1438,INDEX(MineScale,C1438),"")</f>
        <v/>
      </c>
      <c r="L1438">
        <f>IF(B1438,INDEX(Dow,1,WEEKDAY(E1438,2)),"")</f>
        <v/>
      </c>
      <c r="M1438">
        <f>IF(B1438,(1+Trend)^D1438,"")</f>
        <v/>
      </c>
      <c r="N1438">
        <f>IF(B1438,EXP(SUMPRODUCT(LN(1+(EvEff-1)*INDEX(Affected,0,C1438)*EXP(-((E1438-EvCenter)^2)/(2*EvSigma^2))))),"")</f>
        <v/>
      </c>
      <c r="O1438">
        <f>IF(B1438,ROUND(MAX(0,J1438*K1438*L1438*M1438*N1438),2),"")</f>
        <v/>
      </c>
    </row>
    <row r="1439">
      <c r="A1439" t="n">
        <v>1438</v>
      </c>
      <c r="B1439">
        <f>A1439&lt;=MineCount*Days</f>
        <v/>
      </c>
      <c r="C1439">
        <f>IF(B1439,INT((A1439-1)/Days)+1,"")</f>
        <v/>
      </c>
      <c r="D1439">
        <f>IF(B1439,MOD(A1439-1,Days),"")</f>
        <v/>
      </c>
      <c r="E1439" s="16">
        <f>IF(B1439,StartDate+D1439,"")</f>
        <v/>
      </c>
      <c r="F1439">
        <f>IF(B1439,MAX(MOD(SIN(Seed*0.1373+C1439*12.9898+D1439*78.233)*43758.5453,1),1E-9),"")</f>
        <v/>
      </c>
      <c r="G1439">
        <f>IF(B1439,MOD(SIN(Seed*0.5917+C1439*39.3468+D1439*11.135)*24634.6345,1),"")</f>
        <v/>
      </c>
      <c r="H1439">
        <f>IF(B1439,SQRT(-2*LN(F1439))*COS(2*PI()*G1439),"")</f>
        <v/>
      </c>
      <c r="I1439">
        <f>IF(B1439,IF(D1439=0,H1439,Rho*I1438+SQRT(1-Rho^2)*H1439),"")</f>
        <v/>
      </c>
      <c r="J1439">
        <f>IF(B1439,IF(Dist="Normal",DistA+DistB*I1439,DistA+(DistB-DistA)*NORMSDIST(I1439)),"")</f>
        <v/>
      </c>
      <c r="K1439">
        <f>IF(B1439,INDEX(MineScale,C1439),"")</f>
        <v/>
      </c>
      <c r="L1439">
        <f>IF(B1439,INDEX(Dow,1,WEEKDAY(E1439,2)),"")</f>
        <v/>
      </c>
      <c r="M1439">
        <f>IF(B1439,(1+Trend)^D1439,"")</f>
        <v/>
      </c>
      <c r="N1439">
        <f>IF(B1439,EXP(SUMPRODUCT(LN(1+(EvEff-1)*INDEX(Affected,0,C1439)*EXP(-((E1439-EvCenter)^2)/(2*EvSigma^2))))),"")</f>
        <v/>
      </c>
      <c r="O1439">
        <f>IF(B1439,ROUND(MAX(0,J1439*K1439*L1439*M1439*N1439),2),"")</f>
        <v/>
      </c>
    </row>
    <row r="1440">
      <c r="A1440" t="n">
        <v>1439</v>
      </c>
      <c r="B1440">
        <f>A1440&lt;=MineCount*Days</f>
        <v/>
      </c>
      <c r="C1440">
        <f>IF(B1440,INT((A1440-1)/Days)+1,"")</f>
        <v/>
      </c>
      <c r="D1440">
        <f>IF(B1440,MOD(A1440-1,Days),"")</f>
        <v/>
      </c>
      <c r="E1440" s="16">
        <f>IF(B1440,StartDate+D1440,"")</f>
        <v/>
      </c>
      <c r="F1440">
        <f>IF(B1440,MAX(MOD(SIN(Seed*0.1373+C1440*12.9898+D1440*78.233)*43758.5453,1),1E-9),"")</f>
        <v/>
      </c>
      <c r="G1440">
        <f>IF(B1440,MOD(SIN(Seed*0.5917+C1440*39.3468+D1440*11.135)*24634.6345,1),"")</f>
        <v/>
      </c>
      <c r="H1440">
        <f>IF(B1440,SQRT(-2*LN(F1440))*COS(2*PI()*G1440),"")</f>
        <v/>
      </c>
      <c r="I1440">
        <f>IF(B1440,IF(D1440=0,H1440,Rho*I1439+SQRT(1-Rho^2)*H1440),"")</f>
        <v/>
      </c>
      <c r="J1440">
        <f>IF(B1440,IF(Dist="Normal",DistA+DistB*I1440,DistA+(DistB-DistA)*NORMSDIST(I1440)),"")</f>
        <v/>
      </c>
      <c r="K1440">
        <f>IF(B1440,INDEX(MineScale,C1440),"")</f>
        <v/>
      </c>
      <c r="L1440">
        <f>IF(B1440,INDEX(Dow,1,WEEKDAY(E1440,2)),"")</f>
        <v/>
      </c>
      <c r="M1440">
        <f>IF(B1440,(1+Trend)^D1440,"")</f>
        <v/>
      </c>
      <c r="N1440">
        <f>IF(B1440,EXP(SUMPRODUCT(LN(1+(EvEff-1)*INDEX(Affected,0,C1440)*EXP(-((E1440-EvCenter)^2)/(2*EvSigma^2))))),"")</f>
        <v/>
      </c>
      <c r="O1440">
        <f>IF(B1440,ROUND(MAX(0,J1440*K1440*L1440*M1440*N1440),2),"")</f>
        <v/>
      </c>
    </row>
    <row r="1441">
      <c r="A1441" t="n">
        <v>1440</v>
      </c>
      <c r="B1441">
        <f>A1441&lt;=MineCount*Days</f>
        <v/>
      </c>
      <c r="C1441">
        <f>IF(B1441,INT((A1441-1)/Days)+1,"")</f>
        <v/>
      </c>
      <c r="D1441">
        <f>IF(B1441,MOD(A1441-1,Days),"")</f>
        <v/>
      </c>
      <c r="E1441" s="16">
        <f>IF(B1441,StartDate+D1441,"")</f>
        <v/>
      </c>
      <c r="F1441">
        <f>IF(B1441,MAX(MOD(SIN(Seed*0.1373+C1441*12.9898+D1441*78.233)*43758.5453,1),1E-9),"")</f>
        <v/>
      </c>
      <c r="G1441">
        <f>IF(B1441,MOD(SIN(Seed*0.5917+C1441*39.3468+D1441*11.135)*24634.6345,1),"")</f>
        <v/>
      </c>
      <c r="H1441">
        <f>IF(B1441,SQRT(-2*LN(F1441))*COS(2*PI()*G1441),"")</f>
        <v/>
      </c>
      <c r="I1441">
        <f>IF(B1441,IF(D1441=0,H1441,Rho*I1440+SQRT(1-Rho^2)*H1441),"")</f>
        <v/>
      </c>
      <c r="J1441">
        <f>IF(B1441,IF(Dist="Normal",DistA+DistB*I1441,DistA+(DistB-DistA)*NORMSDIST(I1441)),"")</f>
        <v/>
      </c>
      <c r="K1441">
        <f>IF(B1441,INDEX(MineScale,C1441),"")</f>
        <v/>
      </c>
      <c r="L1441">
        <f>IF(B1441,INDEX(Dow,1,WEEKDAY(E1441,2)),"")</f>
        <v/>
      </c>
      <c r="M1441">
        <f>IF(B1441,(1+Trend)^D1441,"")</f>
        <v/>
      </c>
      <c r="N1441">
        <f>IF(B1441,EXP(SUMPRODUCT(LN(1+(EvEff-1)*INDEX(Affected,0,C1441)*EXP(-((E1441-EvCenter)^2)/(2*EvSigma^2))))),"")</f>
        <v/>
      </c>
      <c r="O1441">
        <f>IF(B1441,ROUND(MAX(0,J1441*K1441*L1441*M1441*N1441),2),"")</f>
        <v/>
      </c>
    </row>
    <row r="1442">
      <c r="A1442" t="n">
        <v>1441</v>
      </c>
      <c r="B1442">
        <f>A1442&lt;=MineCount*Days</f>
        <v/>
      </c>
      <c r="C1442">
        <f>IF(B1442,INT((A1442-1)/Days)+1,"")</f>
        <v/>
      </c>
      <c r="D1442">
        <f>IF(B1442,MOD(A1442-1,Days),"")</f>
        <v/>
      </c>
      <c r="E1442" s="16">
        <f>IF(B1442,StartDate+D1442,"")</f>
        <v/>
      </c>
      <c r="F1442">
        <f>IF(B1442,MAX(MOD(SIN(Seed*0.1373+C1442*12.9898+D1442*78.233)*43758.5453,1),1E-9),"")</f>
        <v/>
      </c>
      <c r="G1442">
        <f>IF(B1442,MOD(SIN(Seed*0.5917+C1442*39.3468+D1442*11.135)*24634.6345,1),"")</f>
        <v/>
      </c>
      <c r="H1442">
        <f>IF(B1442,SQRT(-2*LN(F1442))*COS(2*PI()*G1442),"")</f>
        <v/>
      </c>
      <c r="I1442">
        <f>IF(B1442,IF(D1442=0,H1442,Rho*I1441+SQRT(1-Rho^2)*H1442),"")</f>
        <v/>
      </c>
      <c r="J1442">
        <f>IF(B1442,IF(Dist="Normal",DistA+DistB*I1442,DistA+(DistB-DistA)*NORMSDIST(I1442)),"")</f>
        <v/>
      </c>
      <c r="K1442">
        <f>IF(B1442,INDEX(MineScale,C1442),"")</f>
        <v/>
      </c>
      <c r="L1442">
        <f>IF(B1442,INDEX(Dow,1,WEEKDAY(E1442,2)),"")</f>
        <v/>
      </c>
      <c r="M1442">
        <f>IF(B1442,(1+Trend)^D1442,"")</f>
        <v/>
      </c>
      <c r="N1442">
        <f>IF(B1442,EXP(SUMPRODUCT(LN(1+(EvEff-1)*INDEX(Affected,0,C1442)*EXP(-((E1442-EvCenter)^2)/(2*EvSigma^2))))),"")</f>
        <v/>
      </c>
      <c r="O1442">
        <f>IF(B1442,ROUND(MAX(0,J1442*K1442*L1442*M1442*N1442),2),"")</f>
        <v/>
      </c>
    </row>
    <row r="1443">
      <c r="A1443" t="n">
        <v>1442</v>
      </c>
      <c r="B1443">
        <f>A1443&lt;=MineCount*Days</f>
        <v/>
      </c>
      <c r="C1443">
        <f>IF(B1443,INT((A1443-1)/Days)+1,"")</f>
        <v/>
      </c>
      <c r="D1443">
        <f>IF(B1443,MOD(A1443-1,Days),"")</f>
        <v/>
      </c>
      <c r="E1443" s="16">
        <f>IF(B1443,StartDate+D1443,"")</f>
        <v/>
      </c>
      <c r="F1443">
        <f>IF(B1443,MAX(MOD(SIN(Seed*0.1373+C1443*12.9898+D1443*78.233)*43758.5453,1),1E-9),"")</f>
        <v/>
      </c>
      <c r="G1443">
        <f>IF(B1443,MOD(SIN(Seed*0.5917+C1443*39.3468+D1443*11.135)*24634.6345,1),"")</f>
        <v/>
      </c>
      <c r="H1443">
        <f>IF(B1443,SQRT(-2*LN(F1443))*COS(2*PI()*G1443),"")</f>
        <v/>
      </c>
      <c r="I1443">
        <f>IF(B1443,IF(D1443=0,H1443,Rho*I1442+SQRT(1-Rho^2)*H1443),"")</f>
        <v/>
      </c>
      <c r="J1443">
        <f>IF(B1443,IF(Dist="Normal",DistA+DistB*I1443,DistA+(DistB-DistA)*NORMSDIST(I1443)),"")</f>
        <v/>
      </c>
      <c r="K1443">
        <f>IF(B1443,INDEX(MineScale,C1443),"")</f>
        <v/>
      </c>
      <c r="L1443">
        <f>IF(B1443,INDEX(Dow,1,WEEKDAY(E1443,2)),"")</f>
        <v/>
      </c>
      <c r="M1443">
        <f>IF(B1443,(1+Trend)^D1443,"")</f>
        <v/>
      </c>
      <c r="N1443">
        <f>IF(B1443,EXP(SUMPRODUCT(LN(1+(EvEff-1)*INDEX(Affected,0,C1443)*EXP(-((E1443-EvCenter)^2)/(2*EvSigma^2))))),"")</f>
        <v/>
      </c>
      <c r="O1443">
        <f>IF(B1443,ROUND(MAX(0,J1443*K1443*L1443*M1443*N1443),2),"")</f>
        <v/>
      </c>
    </row>
    <row r="1444">
      <c r="A1444" t="n">
        <v>1443</v>
      </c>
      <c r="B1444">
        <f>A1444&lt;=MineCount*Days</f>
        <v/>
      </c>
      <c r="C1444">
        <f>IF(B1444,INT((A1444-1)/Days)+1,"")</f>
        <v/>
      </c>
      <c r="D1444">
        <f>IF(B1444,MOD(A1444-1,Days),"")</f>
        <v/>
      </c>
      <c r="E1444" s="16">
        <f>IF(B1444,StartDate+D1444,"")</f>
        <v/>
      </c>
      <c r="F1444">
        <f>IF(B1444,MAX(MOD(SIN(Seed*0.1373+C1444*12.9898+D1444*78.233)*43758.5453,1),1E-9),"")</f>
        <v/>
      </c>
      <c r="G1444">
        <f>IF(B1444,MOD(SIN(Seed*0.5917+C1444*39.3468+D1444*11.135)*24634.6345,1),"")</f>
        <v/>
      </c>
      <c r="H1444">
        <f>IF(B1444,SQRT(-2*LN(F1444))*COS(2*PI()*G1444),"")</f>
        <v/>
      </c>
      <c r="I1444">
        <f>IF(B1444,IF(D1444=0,H1444,Rho*I1443+SQRT(1-Rho^2)*H1444),"")</f>
        <v/>
      </c>
      <c r="J1444">
        <f>IF(B1444,IF(Dist="Normal",DistA+DistB*I1444,DistA+(DistB-DistA)*NORMSDIST(I1444)),"")</f>
        <v/>
      </c>
      <c r="K1444">
        <f>IF(B1444,INDEX(MineScale,C1444),"")</f>
        <v/>
      </c>
      <c r="L1444">
        <f>IF(B1444,INDEX(Dow,1,WEEKDAY(E1444,2)),"")</f>
        <v/>
      </c>
      <c r="M1444">
        <f>IF(B1444,(1+Trend)^D1444,"")</f>
        <v/>
      </c>
      <c r="N1444">
        <f>IF(B1444,EXP(SUMPRODUCT(LN(1+(EvEff-1)*INDEX(Affected,0,C1444)*EXP(-((E1444-EvCenter)^2)/(2*EvSigma^2))))),"")</f>
        <v/>
      </c>
      <c r="O1444">
        <f>IF(B1444,ROUND(MAX(0,J1444*K1444*L1444*M1444*N1444),2),"")</f>
        <v/>
      </c>
    </row>
    <row r="1445">
      <c r="A1445" t="n">
        <v>1444</v>
      </c>
      <c r="B1445">
        <f>A1445&lt;=MineCount*Days</f>
        <v/>
      </c>
      <c r="C1445">
        <f>IF(B1445,INT((A1445-1)/Days)+1,"")</f>
        <v/>
      </c>
      <c r="D1445">
        <f>IF(B1445,MOD(A1445-1,Days),"")</f>
        <v/>
      </c>
      <c r="E1445" s="16">
        <f>IF(B1445,StartDate+D1445,"")</f>
        <v/>
      </c>
      <c r="F1445">
        <f>IF(B1445,MAX(MOD(SIN(Seed*0.1373+C1445*12.9898+D1445*78.233)*43758.5453,1),1E-9),"")</f>
        <v/>
      </c>
      <c r="G1445">
        <f>IF(B1445,MOD(SIN(Seed*0.5917+C1445*39.3468+D1445*11.135)*24634.6345,1),"")</f>
        <v/>
      </c>
      <c r="H1445">
        <f>IF(B1445,SQRT(-2*LN(F1445))*COS(2*PI()*G1445),"")</f>
        <v/>
      </c>
      <c r="I1445">
        <f>IF(B1445,IF(D1445=0,H1445,Rho*I1444+SQRT(1-Rho^2)*H1445),"")</f>
        <v/>
      </c>
      <c r="J1445">
        <f>IF(B1445,IF(Dist="Normal",DistA+DistB*I1445,DistA+(DistB-DistA)*NORMSDIST(I1445)),"")</f>
        <v/>
      </c>
      <c r="K1445">
        <f>IF(B1445,INDEX(MineScale,C1445),"")</f>
        <v/>
      </c>
      <c r="L1445">
        <f>IF(B1445,INDEX(Dow,1,WEEKDAY(E1445,2)),"")</f>
        <v/>
      </c>
      <c r="M1445">
        <f>IF(B1445,(1+Trend)^D1445,"")</f>
        <v/>
      </c>
      <c r="N1445">
        <f>IF(B1445,EXP(SUMPRODUCT(LN(1+(EvEff-1)*INDEX(Affected,0,C1445)*EXP(-((E1445-EvCenter)^2)/(2*EvSigma^2))))),"")</f>
        <v/>
      </c>
      <c r="O1445">
        <f>IF(B1445,ROUND(MAX(0,J1445*K1445*L1445*M1445*N1445),2),"")</f>
        <v/>
      </c>
    </row>
    <row r="1446">
      <c r="A1446" t="n">
        <v>1445</v>
      </c>
      <c r="B1446">
        <f>A1446&lt;=MineCount*Days</f>
        <v/>
      </c>
      <c r="C1446">
        <f>IF(B1446,INT((A1446-1)/Days)+1,"")</f>
        <v/>
      </c>
      <c r="D1446">
        <f>IF(B1446,MOD(A1446-1,Days),"")</f>
        <v/>
      </c>
      <c r="E1446" s="16">
        <f>IF(B1446,StartDate+D1446,"")</f>
        <v/>
      </c>
      <c r="F1446">
        <f>IF(B1446,MAX(MOD(SIN(Seed*0.1373+C1446*12.9898+D1446*78.233)*43758.5453,1),1E-9),"")</f>
        <v/>
      </c>
      <c r="G1446">
        <f>IF(B1446,MOD(SIN(Seed*0.5917+C1446*39.3468+D1446*11.135)*24634.6345,1),"")</f>
        <v/>
      </c>
      <c r="H1446">
        <f>IF(B1446,SQRT(-2*LN(F1446))*COS(2*PI()*G1446),"")</f>
        <v/>
      </c>
      <c r="I1446">
        <f>IF(B1446,IF(D1446=0,H1446,Rho*I1445+SQRT(1-Rho^2)*H1446),"")</f>
        <v/>
      </c>
      <c r="J1446">
        <f>IF(B1446,IF(Dist="Normal",DistA+DistB*I1446,DistA+(DistB-DistA)*NORMSDIST(I1446)),"")</f>
        <v/>
      </c>
      <c r="K1446">
        <f>IF(B1446,INDEX(MineScale,C1446),"")</f>
        <v/>
      </c>
      <c r="L1446">
        <f>IF(B1446,INDEX(Dow,1,WEEKDAY(E1446,2)),"")</f>
        <v/>
      </c>
      <c r="M1446">
        <f>IF(B1446,(1+Trend)^D1446,"")</f>
        <v/>
      </c>
      <c r="N1446">
        <f>IF(B1446,EXP(SUMPRODUCT(LN(1+(EvEff-1)*INDEX(Affected,0,C1446)*EXP(-((E1446-EvCenter)^2)/(2*EvSigma^2))))),"")</f>
        <v/>
      </c>
      <c r="O1446">
        <f>IF(B1446,ROUND(MAX(0,J1446*K1446*L1446*M1446*N1446),2),"")</f>
        <v/>
      </c>
    </row>
    <row r="1447">
      <c r="A1447" t="n">
        <v>1446</v>
      </c>
      <c r="B1447">
        <f>A1447&lt;=MineCount*Days</f>
        <v/>
      </c>
      <c r="C1447">
        <f>IF(B1447,INT((A1447-1)/Days)+1,"")</f>
        <v/>
      </c>
      <c r="D1447">
        <f>IF(B1447,MOD(A1447-1,Days),"")</f>
        <v/>
      </c>
      <c r="E1447" s="16">
        <f>IF(B1447,StartDate+D1447,"")</f>
        <v/>
      </c>
      <c r="F1447">
        <f>IF(B1447,MAX(MOD(SIN(Seed*0.1373+C1447*12.9898+D1447*78.233)*43758.5453,1),1E-9),"")</f>
        <v/>
      </c>
      <c r="G1447">
        <f>IF(B1447,MOD(SIN(Seed*0.5917+C1447*39.3468+D1447*11.135)*24634.6345,1),"")</f>
        <v/>
      </c>
      <c r="H1447">
        <f>IF(B1447,SQRT(-2*LN(F1447))*COS(2*PI()*G1447),"")</f>
        <v/>
      </c>
      <c r="I1447">
        <f>IF(B1447,IF(D1447=0,H1447,Rho*I1446+SQRT(1-Rho^2)*H1447),"")</f>
        <v/>
      </c>
      <c r="J1447">
        <f>IF(B1447,IF(Dist="Normal",DistA+DistB*I1447,DistA+(DistB-DistA)*NORMSDIST(I1447)),"")</f>
        <v/>
      </c>
      <c r="K1447">
        <f>IF(B1447,INDEX(MineScale,C1447),"")</f>
        <v/>
      </c>
      <c r="L1447">
        <f>IF(B1447,INDEX(Dow,1,WEEKDAY(E1447,2)),"")</f>
        <v/>
      </c>
      <c r="M1447">
        <f>IF(B1447,(1+Trend)^D1447,"")</f>
        <v/>
      </c>
      <c r="N1447">
        <f>IF(B1447,EXP(SUMPRODUCT(LN(1+(EvEff-1)*INDEX(Affected,0,C1447)*EXP(-((E1447-EvCenter)^2)/(2*EvSigma^2))))),"")</f>
        <v/>
      </c>
      <c r="O1447">
        <f>IF(B1447,ROUND(MAX(0,J1447*K1447*L1447*M1447*N1447),2),"")</f>
        <v/>
      </c>
    </row>
    <row r="1448">
      <c r="A1448" t="n">
        <v>1447</v>
      </c>
      <c r="B1448">
        <f>A1448&lt;=MineCount*Days</f>
        <v/>
      </c>
      <c r="C1448">
        <f>IF(B1448,INT((A1448-1)/Days)+1,"")</f>
        <v/>
      </c>
      <c r="D1448">
        <f>IF(B1448,MOD(A1448-1,Days),"")</f>
        <v/>
      </c>
      <c r="E1448" s="16">
        <f>IF(B1448,StartDate+D1448,"")</f>
        <v/>
      </c>
      <c r="F1448">
        <f>IF(B1448,MAX(MOD(SIN(Seed*0.1373+C1448*12.9898+D1448*78.233)*43758.5453,1),1E-9),"")</f>
        <v/>
      </c>
      <c r="G1448">
        <f>IF(B1448,MOD(SIN(Seed*0.5917+C1448*39.3468+D1448*11.135)*24634.6345,1),"")</f>
        <v/>
      </c>
      <c r="H1448">
        <f>IF(B1448,SQRT(-2*LN(F1448))*COS(2*PI()*G1448),"")</f>
        <v/>
      </c>
      <c r="I1448">
        <f>IF(B1448,IF(D1448=0,H1448,Rho*I1447+SQRT(1-Rho^2)*H1448),"")</f>
        <v/>
      </c>
      <c r="J1448">
        <f>IF(B1448,IF(Dist="Normal",DistA+DistB*I1448,DistA+(DistB-DistA)*NORMSDIST(I1448)),"")</f>
        <v/>
      </c>
      <c r="K1448">
        <f>IF(B1448,INDEX(MineScale,C1448),"")</f>
        <v/>
      </c>
      <c r="L1448">
        <f>IF(B1448,INDEX(Dow,1,WEEKDAY(E1448,2)),"")</f>
        <v/>
      </c>
      <c r="M1448">
        <f>IF(B1448,(1+Trend)^D1448,"")</f>
        <v/>
      </c>
      <c r="N1448">
        <f>IF(B1448,EXP(SUMPRODUCT(LN(1+(EvEff-1)*INDEX(Affected,0,C1448)*EXP(-((E1448-EvCenter)^2)/(2*EvSigma^2))))),"")</f>
        <v/>
      </c>
      <c r="O1448">
        <f>IF(B1448,ROUND(MAX(0,J1448*K1448*L1448*M1448*N1448),2),"")</f>
        <v/>
      </c>
    </row>
    <row r="1449">
      <c r="A1449" t="n">
        <v>1448</v>
      </c>
      <c r="B1449">
        <f>A1449&lt;=MineCount*Days</f>
        <v/>
      </c>
      <c r="C1449">
        <f>IF(B1449,INT((A1449-1)/Days)+1,"")</f>
        <v/>
      </c>
      <c r="D1449">
        <f>IF(B1449,MOD(A1449-1,Days),"")</f>
        <v/>
      </c>
      <c r="E1449" s="16">
        <f>IF(B1449,StartDate+D1449,"")</f>
        <v/>
      </c>
      <c r="F1449">
        <f>IF(B1449,MAX(MOD(SIN(Seed*0.1373+C1449*12.9898+D1449*78.233)*43758.5453,1),1E-9),"")</f>
        <v/>
      </c>
      <c r="G1449">
        <f>IF(B1449,MOD(SIN(Seed*0.5917+C1449*39.3468+D1449*11.135)*24634.6345,1),"")</f>
        <v/>
      </c>
      <c r="H1449">
        <f>IF(B1449,SQRT(-2*LN(F1449))*COS(2*PI()*G1449),"")</f>
        <v/>
      </c>
      <c r="I1449">
        <f>IF(B1449,IF(D1449=0,H1449,Rho*I1448+SQRT(1-Rho^2)*H1449),"")</f>
        <v/>
      </c>
      <c r="J1449">
        <f>IF(B1449,IF(Dist="Normal",DistA+DistB*I1449,DistA+(DistB-DistA)*NORMSDIST(I1449)),"")</f>
        <v/>
      </c>
      <c r="K1449">
        <f>IF(B1449,INDEX(MineScale,C1449),"")</f>
        <v/>
      </c>
      <c r="L1449">
        <f>IF(B1449,INDEX(Dow,1,WEEKDAY(E1449,2)),"")</f>
        <v/>
      </c>
      <c r="M1449">
        <f>IF(B1449,(1+Trend)^D1449,"")</f>
        <v/>
      </c>
      <c r="N1449">
        <f>IF(B1449,EXP(SUMPRODUCT(LN(1+(EvEff-1)*INDEX(Affected,0,C1449)*EXP(-((E1449-EvCenter)^2)/(2*EvSigma^2))))),"")</f>
        <v/>
      </c>
      <c r="O1449">
        <f>IF(B1449,ROUND(MAX(0,J1449*K1449*L1449*M1449*N1449),2),"")</f>
        <v/>
      </c>
    </row>
    <row r="1450">
      <c r="A1450" t="n">
        <v>1449</v>
      </c>
      <c r="B1450">
        <f>A1450&lt;=MineCount*Days</f>
        <v/>
      </c>
      <c r="C1450">
        <f>IF(B1450,INT((A1450-1)/Days)+1,"")</f>
        <v/>
      </c>
      <c r="D1450">
        <f>IF(B1450,MOD(A1450-1,Days),"")</f>
        <v/>
      </c>
      <c r="E1450" s="16">
        <f>IF(B1450,StartDate+D1450,"")</f>
        <v/>
      </c>
      <c r="F1450">
        <f>IF(B1450,MAX(MOD(SIN(Seed*0.1373+C1450*12.9898+D1450*78.233)*43758.5453,1),1E-9),"")</f>
        <v/>
      </c>
      <c r="G1450">
        <f>IF(B1450,MOD(SIN(Seed*0.5917+C1450*39.3468+D1450*11.135)*24634.6345,1),"")</f>
        <v/>
      </c>
      <c r="H1450">
        <f>IF(B1450,SQRT(-2*LN(F1450))*COS(2*PI()*G1450),"")</f>
        <v/>
      </c>
      <c r="I1450">
        <f>IF(B1450,IF(D1450=0,H1450,Rho*I1449+SQRT(1-Rho^2)*H1450),"")</f>
        <v/>
      </c>
      <c r="J1450">
        <f>IF(B1450,IF(Dist="Normal",DistA+DistB*I1450,DistA+(DistB-DistA)*NORMSDIST(I1450)),"")</f>
        <v/>
      </c>
      <c r="K1450">
        <f>IF(B1450,INDEX(MineScale,C1450),"")</f>
        <v/>
      </c>
      <c r="L1450">
        <f>IF(B1450,INDEX(Dow,1,WEEKDAY(E1450,2)),"")</f>
        <v/>
      </c>
      <c r="M1450">
        <f>IF(B1450,(1+Trend)^D1450,"")</f>
        <v/>
      </c>
      <c r="N1450">
        <f>IF(B1450,EXP(SUMPRODUCT(LN(1+(EvEff-1)*INDEX(Affected,0,C1450)*EXP(-((E1450-EvCenter)^2)/(2*EvSigma^2))))),"")</f>
        <v/>
      </c>
      <c r="O1450">
        <f>IF(B1450,ROUND(MAX(0,J1450*K1450*L1450*M1450*N1450),2),"")</f>
        <v/>
      </c>
    </row>
    <row r="1451">
      <c r="A1451" t="n">
        <v>1450</v>
      </c>
      <c r="B1451">
        <f>A1451&lt;=MineCount*Days</f>
        <v/>
      </c>
      <c r="C1451">
        <f>IF(B1451,INT((A1451-1)/Days)+1,"")</f>
        <v/>
      </c>
      <c r="D1451">
        <f>IF(B1451,MOD(A1451-1,Days),"")</f>
        <v/>
      </c>
      <c r="E1451" s="16">
        <f>IF(B1451,StartDate+D1451,"")</f>
        <v/>
      </c>
      <c r="F1451">
        <f>IF(B1451,MAX(MOD(SIN(Seed*0.1373+C1451*12.9898+D1451*78.233)*43758.5453,1),1E-9),"")</f>
        <v/>
      </c>
      <c r="G1451">
        <f>IF(B1451,MOD(SIN(Seed*0.5917+C1451*39.3468+D1451*11.135)*24634.6345,1),"")</f>
        <v/>
      </c>
      <c r="H1451">
        <f>IF(B1451,SQRT(-2*LN(F1451))*COS(2*PI()*G1451),"")</f>
        <v/>
      </c>
      <c r="I1451">
        <f>IF(B1451,IF(D1451=0,H1451,Rho*I1450+SQRT(1-Rho^2)*H1451),"")</f>
        <v/>
      </c>
      <c r="J1451">
        <f>IF(B1451,IF(Dist="Normal",DistA+DistB*I1451,DistA+(DistB-DistA)*NORMSDIST(I1451)),"")</f>
        <v/>
      </c>
      <c r="K1451">
        <f>IF(B1451,INDEX(MineScale,C1451),"")</f>
        <v/>
      </c>
      <c r="L1451">
        <f>IF(B1451,INDEX(Dow,1,WEEKDAY(E1451,2)),"")</f>
        <v/>
      </c>
      <c r="M1451">
        <f>IF(B1451,(1+Trend)^D1451,"")</f>
        <v/>
      </c>
      <c r="N1451">
        <f>IF(B1451,EXP(SUMPRODUCT(LN(1+(EvEff-1)*INDEX(Affected,0,C1451)*EXP(-((E1451-EvCenter)^2)/(2*EvSigma^2))))),"")</f>
        <v/>
      </c>
      <c r="O1451">
        <f>IF(B1451,ROUND(MAX(0,J1451*K1451*L1451*M1451*N1451),2),"")</f>
        <v/>
      </c>
    </row>
    <row r="1452">
      <c r="A1452" t="n">
        <v>1451</v>
      </c>
      <c r="B1452">
        <f>A1452&lt;=MineCount*Days</f>
        <v/>
      </c>
      <c r="C1452">
        <f>IF(B1452,INT((A1452-1)/Days)+1,"")</f>
        <v/>
      </c>
      <c r="D1452">
        <f>IF(B1452,MOD(A1452-1,Days),"")</f>
        <v/>
      </c>
      <c r="E1452" s="16">
        <f>IF(B1452,StartDate+D1452,"")</f>
        <v/>
      </c>
      <c r="F1452">
        <f>IF(B1452,MAX(MOD(SIN(Seed*0.1373+C1452*12.9898+D1452*78.233)*43758.5453,1),1E-9),"")</f>
        <v/>
      </c>
      <c r="G1452">
        <f>IF(B1452,MOD(SIN(Seed*0.5917+C1452*39.3468+D1452*11.135)*24634.6345,1),"")</f>
        <v/>
      </c>
      <c r="H1452">
        <f>IF(B1452,SQRT(-2*LN(F1452))*COS(2*PI()*G1452),"")</f>
        <v/>
      </c>
      <c r="I1452">
        <f>IF(B1452,IF(D1452=0,H1452,Rho*I1451+SQRT(1-Rho^2)*H1452),"")</f>
        <v/>
      </c>
      <c r="J1452">
        <f>IF(B1452,IF(Dist="Normal",DistA+DistB*I1452,DistA+(DistB-DistA)*NORMSDIST(I1452)),"")</f>
        <v/>
      </c>
      <c r="K1452">
        <f>IF(B1452,INDEX(MineScale,C1452),"")</f>
        <v/>
      </c>
      <c r="L1452">
        <f>IF(B1452,INDEX(Dow,1,WEEKDAY(E1452,2)),"")</f>
        <v/>
      </c>
      <c r="M1452">
        <f>IF(B1452,(1+Trend)^D1452,"")</f>
        <v/>
      </c>
      <c r="N1452">
        <f>IF(B1452,EXP(SUMPRODUCT(LN(1+(EvEff-1)*INDEX(Affected,0,C1452)*EXP(-((E1452-EvCenter)^2)/(2*EvSigma^2))))),"")</f>
        <v/>
      </c>
      <c r="O1452">
        <f>IF(B1452,ROUND(MAX(0,J1452*K1452*L1452*M1452*N1452),2),"")</f>
        <v/>
      </c>
    </row>
    <row r="1453">
      <c r="A1453" t="n">
        <v>1452</v>
      </c>
      <c r="B1453">
        <f>A1453&lt;=MineCount*Days</f>
        <v/>
      </c>
      <c r="C1453">
        <f>IF(B1453,INT((A1453-1)/Days)+1,"")</f>
        <v/>
      </c>
      <c r="D1453">
        <f>IF(B1453,MOD(A1453-1,Days),"")</f>
        <v/>
      </c>
      <c r="E1453" s="16">
        <f>IF(B1453,StartDate+D1453,"")</f>
        <v/>
      </c>
      <c r="F1453">
        <f>IF(B1453,MAX(MOD(SIN(Seed*0.1373+C1453*12.9898+D1453*78.233)*43758.5453,1),1E-9),"")</f>
        <v/>
      </c>
      <c r="G1453">
        <f>IF(B1453,MOD(SIN(Seed*0.5917+C1453*39.3468+D1453*11.135)*24634.6345,1),"")</f>
        <v/>
      </c>
      <c r="H1453">
        <f>IF(B1453,SQRT(-2*LN(F1453))*COS(2*PI()*G1453),"")</f>
        <v/>
      </c>
      <c r="I1453">
        <f>IF(B1453,IF(D1453=0,H1453,Rho*I1452+SQRT(1-Rho^2)*H1453),"")</f>
        <v/>
      </c>
      <c r="J1453">
        <f>IF(B1453,IF(Dist="Normal",DistA+DistB*I1453,DistA+(DistB-DistA)*NORMSDIST(I1453)),"")</f>
        <v/>
      </c>
      <c r="K1453">
        <f>IF(B1453,INDEX(MineScale,C1453),"")</f>
        <v/>
      </c>
      <c r="L1453">
        <f>IF(B1453,INDEX(Dow,1,WEEKDAY(E1453,2)),"")</f>
        <v/>
      </c>
      <c r="M1453">
        <f>IF(B1453,(1+Trend)^D1453,"")</f>
        <v/>
      </c>
      <c r="N1453">
        <f>IF(B1453,EXP(SUMPRODUCT(LN(1+(EvEff-1)*INDEX(Affected,0,C1453)*EXP(-((E1453-EvCenter)^2)/(2*EvSigma^2))))),"")</f>
        <v/>
      </c>
      <c r="O1453">
        <f>IF(B1453,ROUND(MAX(0,J1453*K1453*L1453*M1453*N1453),2),"")</f>
        <v/>
      </c>
    </row>
    <row r="1454">
      <c r="A1454" t="n">
        <v>1453</v>
      </c>
      <c r="B1454">
        <f>A1454&lt;=MineCount*Days</f>
        <v/>
      </c>
      <c r="C1454">
        <f>IF(B1454,INT((A1454-1)/Days)+1,"")</f>
        <v/>
      </c>
      <c r="D1454">
        <f>IF(B1454,MOD(A1454-1,Days),"")</f>
        <v/>
      </c>
      <c r="E1454" s="16">
        <f>IF(B1454,StartDate+D1454,"")</f>
        <v/>
      </c>
      <c r="F1454">
        <f>IF(B1454,MAX(MOD(SIN(Seed*0.1373+C1454*12.9898+D1454*78.233)*43758.5453,1),1E-9),"")</f>
        <v/>
      </c>
      <c r="G1454">
        <f>IF(B1454,MOD(SIN(Seed*0.5917+C1454*39.3468+D1454*11.135)*24634.6345,1),"")</f>
        <v/>
      </c>
      <c r="H1454">
        <f>IF(B1454,SQRT(-2*LN(F1454))*COS(2*PI()*G1454),"")</f>
        <v/>
      </c>
      <c r="I1454">
        <f>IF(B1454,IF(D1454=0,H1454,Rho*I1453+SQRT(1-Rho^2)*H1454),"")</f>
        <v/>
      </c>
      <c r="J1454">
        <f>IF(B1454,IF(Dist="Normal",DistA+DistB*I1454,DistA+(DistB-DistA)*NORMSDIST(I1454)),"")</f>
        <v/>
      </c>
      <c r="K1454">
        <f>IF(B1454,INDEX(MineScale,C1454),"")</f>
        <v/>
      </c>
      <c r="L1454">
        <f>IF(B1454,INDEX(Dow,1,WEEKDAY(E1454,2)),"")</f>
        <v/>
      </c>
      <c r="M1454">
        <f>IF(B1454,(1+Trend)^D1454,"")</f>
        <v/>
      </c>
      <c r="N1454">
        <f>IF(B1454,EXP(SUMPRODUCT(LN(1+(EvEff-1)*INDEX(Affected,0,C1454)*EXP(-((E1454-EvCenter)^2)/(2*EvSigma^2))))),"")</f>
        <v/>
      </c>
      <c r="O1454">
        <f>IF(B1454,ROUND(MAX(0,J1454*K1454*L1454*M1454*N1454),2),"")</f>
        <v/>
      </c>
    </row>
    <row r="1455">
      <c r="A1455" t="n">
        <v>1454</v>
      </c>
      <c r="B1455">
        <f>A1455&lt;=MineCount*Days</f>
        <v/>
      </c>
      <c r="C1455">
        <f>IF(B1455,INT((A1455-1)/Days)+1,"")</f>
        <v/>
      </c>
      <c r="D1455">
        <f>IF(B1455,MOD(A1455-1,Days),"")</f>
        <v/>
      </c>
      <c r="E1455" s="16">
        <f>IF(B1455,StartDate+D1455,"")</f>
        <v/>
      </c>
      <c r="F1455">
        <f>IF(B1455,MAX(MOD(SIN(Seed*0.1373+C1455*12.9898+D1455*78.233)*43758.5453,1),1E-9),"")</f>
        <v/>
      </c>
      <c r="G1455">
        <f>IF(B1455,MOD(SIN(Seed*0.5917+C1455*39.3468+D1455*11.135)*24634.6345,1),"")</f>
        <v/>
      </c>
      <c r="H1455">
        <f>IF(B1455,SQRT(-2*LN(F1455))*COS(2*PI()*G1455),"")</f>
        <v/>
      </c>
      <c r="I1455">
        <f>IF(B1455,IF(D1455=0,H1455,Rho*I1454+SQRT(1-Rho^2)*H1455),"")</f>
        <v/>
      </c>
      <c r="J1455">
        <f>IF(B1455,IF(Dist="Normal",DistA+DistB*I1455,DistA+(DistB-DistA)*NORMSDIST(I1455)),"")</f>
        <v/>
      </c>
      <c r="K1455">
        <f>IF(B1455,INDEX(MineScale,C1455),"")</f>
        <v/>
      </c>
      <c r="L1455">
        <f>IF(B1455,INDEX(Dow,1,WEEKDAY(E1455,2)),"")</f>
        <v/>
      </c>
      <c r="M1455">
        <f>IF(B1455,(1+Trend)^D1455,"")</f>
        <v/>
      </c>
      <c r="N1455">
        <f>IF(B1455,EXP(SUMPRODUCT(LN(1+(EvEff-1)*INDEX(Affected,0,C1455)*EXP(-((E1455-EvCenter)^2)/(2*EvSigma^2))))),"")</f>
        <v/>
      </c>
      <c r="O1455">
        <f>IF(B1455,ROUND(MAX(0,J1455*K1455*L1455*M1455*N1455),2),"")</f>
        <v/>
      </c>
    </row>
    <row r="1456">
      <c r="A1456" t="n">
        <v>1455</v>
      </c>
      <c r="B1456">
        <f>A1456&lt;=MineCount*Days</f>
        <v/>
      </c>
      <c r="C1456">
        <f>IF(B1456,INT((A1456-1)/Days)+1,"")</f>
        <v/>
      </c>
      <c r="D1456">
        <f>IF(B1456,MOD(A1456-1,Days),"")</f>
        <v/>
      </c>
      <c r="E1456" s="16">
        <f>IF(B1456,StartDate+D1456,"")</f>
        <v/>
      </c>
      <c r="F1456">
        <f>IF(B1456,MAX(MOD(SIN(Seed*0.1373+C1456*12.9898+D1456*78.233)*43758.5453,1),1E-9),"")</f>
        <v/>
      </c>
      <c r="G1456">
        <f>IF(B1456,MOD(SIN(Seed*0.5917+C1456*39.3468+D1456*11.135)*24634.6345,1),"")</f>
        <v/>
      </c>
      <c r="H1456">
        <f>IF(B1456,SQRT(-2*LN(F1456))*COS(2*PI()*G1456),"")</f>
        <v/>
      </c>
      <c r="I1456">
        <f>IF(B1456,IF(D1456=0,H1456,Rho*I1455+SQRT(1-Rho^2)*H1456),"")</f>
        <v/>
      </c>
      <c r="J1456">
        <f>IF(B1456,IF(Dist="Normal",DistA+DistB*I1456,DistA+(DistB-DistA)*NORMSDIST(I1456)),"")</f>
        <v/>
      </c>
      <c r="K1456">
        <f>IF(B1456,INDEX(MineScale,C1456),"")</f>
        <v/>
      </c>
      <c r="L1456">
        <f>IF(B1456,INDEX(Dow,1,WEEKDAY(E1456,2)),"")</f>
        <v/>
      </c>
      <c r="M1456">
        <f>IF(B1456,(1+Trend)^D1456,"")</f>
        <v/>
      </c>
      <c r="N1456">
        <f>IF(B1456,EXP(SUMPRODUCT(LN(1+(EvEff-1)*INDEX(Affected,0,C1456)*EXP(-((E1456-EvCenter)^2)/(2*EvSigma^2))))),"")</f>
        <v/>
      </c>
      <c r="O1456">
        <f>IF(B1456,ROUND(MAX(0,J1456*K1456*L1456*M1456*N1456),2),"")</f>
        <v/>
      </c>
    </row>
    <row r="1457">
      <c r="A1457" t="n">
        <v>1456</v>
      </c>
      <c r="B1457">
        <f>A1457&lt;=MineCount*Days</f>
        <v/>
      </c>
      <c r="C1457">
        <f>IF(B1457,INT((A1457-1)/Days)+1,"")</f>
        <v/>
      </c>
      <c r="D1457">
        <f>IF(B1457,MOD(A1457-1,Days),"")</f>
        <v/>
      </c>
      <c r="E1457" s="16">
        <f>IF(B1457,StartDate+D1457,"")</f>
        <v/>
      </c>
      <c r="F1457">
        <f>IF(B1457,MAX(MOD(SIN(Seed*0.1373+C1457*12.9898+D1457*78.233)*43758.5453,1),1E-9),"")</f>
        <v/>
      </c>
      <c r="G1457">
        <f>IF(B1457,MOD(SIN(Seed*0.5917+C1457*39.3468+D1457*11.135)*24634.6345,1),"")</f>
        <v/>
      </c>
      <c r="H1457">
        <f>IF(B1457,SQRT(-2*LN(F1457))*COS(2*PI()*G1457),"")</f>
        <v/>
      </c>
      <c r="I1457">
        <f>IF(B1457,IF(D1457=0,H1457,Rho*I1456+SQRT(1-Rho^2)*H1457),"")</f>
        <v/>
      </c>
      <c r="J1457">
        <f>IF(B1457,IF(Dist="Normal",DistA+DistB*I1457,DistA+(DistB-DistA)*NORMSDIST(I1457)),"")</f>
        <v/>
      </c>
      <c r="K1457">
        <f>IF(B1457,INDEX(MineScale,C1457),"")</f>
        <v/>
      </c>
      <c r="L1457">
        <f>IF(B1457,INDEX(Dow,1,WEEKDAY(E1457,2)),"")</f>
        <v/>
      </c>
      <c r="M1457">
        <f>IF(B1457,(1+Trend)^D1457,"")</f>
        <v/>
      </c>
      <c r="N1457">
        <f>IF(B1457,EXP(SUMPRODUCT(LN(1+(EvEff-1)*INDEX(Affected,0,C1457)*EXP(-((E1457-EvCenter)^2)/(2*EvSigma^2))))),"")</f>
        <v/>
      </c>
      <c r="O1457">
        <f>IF(B1457,ROUND(MAX(0,J1457*K1457*L1457*M1457*N1457),2),"")</f>
        <v/>
      </c>
    </row>
    <row r="1458">
      <c r="A1458" t="n">
        <v>1457</v>
      </c>
      <c r="B1458">
        <f>A1458&lt;=MineCount*Days</f>
        <v/>
      </c>
      <c r="C1458">
        <f>IF(B1458,INT((A1458-1)/Days)+1,"")</f>
        <v/>
      </c>
      <c r="D1458">
        <f>IF(B1458,MOD(A1458-1,Days),"")</f>
        <v/>
      </c>
      <c r="E1458" s="16">
        <f>IF(B1458,StartDate+D1458,"")</f>
        <v/>
      </c>
      <c r="F1458">
        <f>IF(B1458,MAX(MOD(SIN(Seed*0.1373+C1458*12.9898+D1458*78.233)*43758.5453,1),1E-9),"")</f>
        <v/>
      </c>
      <c r="G1458">
        <f>IF(B1458,MOD(SIN(Seed*0.5917+C1458*39.3468+D1458*11.135)*24634.6345,1),"")</f>
        <v/>
      </c>
      <c r="H1458">
        <f>IF(B1458,SQRT(-2*LN(F1458))*COS(2*PI()*G1458),"")</f>
        <v/>
      </c>
      <c r="I1458">
        <f>IF(B1458,IF(D1458=0,H1458,Rho*I1457+SQRT(1-Rho^2)*H1458),"")</f>
        <v/>
      </c>
      <c r="J1458">
        <f>IF(B1458,IF(Dist="Normal",DistA+DistB*I1458,DistA+(DistB-DistA)*NORMSDIST(I1458)),"")</f>
        <v/>
      </c>
      <c r="K1458">
        <f>IF(B1458,INDEX(MineScale,C1458),"")</f>
        <v/>
      </c>
      <c r="L1458">
        <f>IF(B1458,INDEX(Dow,1,WEEKDAY(E1458,2)),"")</f>
        <v/>
      </c>
      <c r="M1458">
        <f>IF(B1458,(1+Trend)^D1458,"")</f>
        <v/>
      </c>
      <c r="N1458">
        <f>IF(B1458,EXP(SUMPRODUCT(LN(1+(EvEff-1)*INDEX(Affected,0,C1458)*EXP(-((E1458-EvCenter)^2)/(2*EvSigma^2))))),"")</f>
        <v/>
      </c>
      <c r="O1458">
        <f>IF(B1458,ROUND(MAX(0,J1458*K1458*L1458*M1458*N1458),2),"")</f>
        <v/>
      </c>
    </row>
    <row r="1459">
      <c r="A1459" t="n">
        <v>1458</v>
      </c>
      <c r="B1459">
        <f>A1459&lt;=MineCount*Days</f>
        <v/>
      </c>
      <c r="C1459">
        <f>IF(B1459,INT((A1459-1)/Days)+1,"")</f>
        <v/>
      </c>
      <c r="D1459">
        <f>IF(B1459,MOD(A1459-1,Days),"")</f>
        <v/>
      </c>
      <c r="E1459" s="16">
        <f>IF(B1459,StartDate+D1459,"")</f>
        <v/>
      </c>
      <c r="F1459">
        <f>IF(B1459,MAX(MOD(SIN(Seed*0.1373+C1459*12.9898+D1459*78.233)*43758.5453,1),1E-9),"")</f>
        <v/>
      </c>
      <c r="G1459">
        <f>IF(B1459,MOD(SIN(Seed*0.5917+C1459*39.3468+D1459*11.135)*24634.6345,1),"")</f>
        <v/>
      </c>
      <c r="H1459">
        <f>IF(B1459,SQRT(-2*LN(F1459))*COS(2*PI()*G1459),"")</f>
        <v/>
      </c>
      <c r="I1459">
        <f>IF(B1459,IF(D1459=0,H1459,Rho*I1458+SQRT(1-Rho^2)*H1459),"")</f>
        <v/>
      </c>
      <c r="J1459">
        <f>IF(B1459,IF(Dist="Normal",DistA+DistB*I1459,DistA+(DistB-DistA)*NORMSDIST(I1459)),"")</f>
        <v/>
      </c>
      <c r="K1459">
        <f>IF(B1459,INDEX(MineScale,C1459),"")</f>
        <v/>
      </c>
      <c r="L1459">
        <f>IF(B1459,INDEX(Dow,1,WEEKDAY(E1459,2)),"")</f>
        <v/>
      </c>
      <c r="M1459">
        <f>IF(B1459,(1+Trend)^D1459,"")</f>
        <v/>
      </c>
      <c r="N1459">
        <f>IF(B1459,EXP(SUMPRODUCT(LN(1+(EvEff-1)*INDEX(Affected,0,C1459)*EXP(-((E1459-EvCenter)^2)/(2*EvSigma^2))))),"")</f>
        <v/>
      </c>
      <c r="O1459">
        <f>IF(B1459,ROUND(MAX(0,J1459*K1459*L1459*M1459*N1459),2),"")</f>
        <v/>
      </c>
    </row>
    <row r="1460">
      <c r="A1460" t="n">
        <v>1459</v>
      </c>
      <c r="B1460">
        <f>A1460&lt;=MineCount*Days</f>
        <v/>
      </c>
      <c r="C1460">
        <f>IF(B1460,INT((A1460-1)/Days)+1,"")</f>
        <v/>
      </c>
      <c r="D1460">
        <f>IF(B1460,MOD(A1460-1,Days),"")</f>
        <v/>
      </c>
      <c r="E1460" s="16">
        <f>IF(B1460,StartDate+D1460,"")</f>
        <v/>
      </c>
      <c r="F1460">
        <f>IF(B1460,MAX(MOD(SIN(Seed*0.1373+C1460*12.9898+D1460*78.233)*43758.5453,1),1E-9),"")</f>
        <v/>
      </c>
      <c r="G1460">
        <f>IF(B1460,MOD(SIN(Seed*0.5917+C1460*39.3468+D1460*11.135)*24634.6345,1),"")</f>
        <v/>
      </c>
      <c r="H1460">
        <f>IF(B1460,SQRT(-2*LN(F1460))*COS(2*PI()*G1460),"")</f>
        <v/>
      </c>
      <c r="I1460">
        <f>IF(B1460,IF(D1460=0,H1460,Rho*I1459+SQRT(1-Rho^2)*H1460),"")</f>
        <v/>
      </c>
      <c r="J1460">
        <f>IF(B1460,IF(Dist="Normal",DistA+DistB*I1460,DistA+(DistB-DistA)*NORMSDIST(I1460)),"")</f>
        <v/>
      </c>
      <c r="K1460">
        <f>IF(B1460,INDEX(MineScale,C1460),"")</f>
        <v/>
      </c>
      <c r="L1460">
        <f>IF(B1460,INDEX(Dow,1,WEEKDAY(E1460,2)),"")</f>
        <v/>
      </c>
      <c r="M1460">
        <f>IF(B1460,(1+Trend)^D1460,"")</f>
        <v/>
      </c>
      <c r="N1460">
        <f>IF(B1460,EXP(SUMPRODUCT(LN(1+(EvEff-1)*INDEX(Affected,0,C1460)*EXP(-((E1460-EvCenter)^2)/(2*EvSigma^2))))),"")</f>
        <v/>
      </c>
      <c r="O1460">
        <f>IF(B1460,ROUND(MAX(0,J1460*K1460*L1460*M1460*N1460),2),"")</f>
        <v/>
      </c>
    </row>
    <row r="1461">
      <c r="A1461" t="n">
        <v>1460</v>
      </c>
      <c r="B1461">
        <f>A1461&lt;=MineCount*Days</f>
        <v/>
      </c>
      <c r="C1461">
        <f>IF(B1461,INT((A1461-1)/Days)+1,"")</f>
        <v/>
      </c>
      <c r="D1461">
        <f>IF(B1461,MOD(A1461-1,Days),"")</f>
        <v/>
      </c>
      <c r="E1461" s="16">
        <f>IF(B1461,StartDate+D1461,"")</f>
        <v/>
      </c>
      <c r="F1461">
        <f>IF(B1461,MAX(MOD(SIN(Seed*0.1373+C1461*12.9898+D1461*78.233)*43758.5453,1),1E-9),"")</f>
        <v/>
      </c>
      <c r="G1461">
        <f>IF(B1461,MOD(SIN(Seed*0.5917+C1461*39.3468+D1461*11.135)*24634.6345,1),"")</f>
        <v/>
      </c>
      <c r="H1461">
        <f>IF(B1461,SQRT(-2*LN(F1461))*COS(2*PI()*G1461),"")</f>
        <v/>
      </c>
      <c r="I1461">
        <f>IF(B1461,IF(D1461=0,H1461,Rho*I1460+SQRT(1-Rho^2)*H1461),"")</f>
        <v/>
      </c>
      <c r="J1461">
        <f>IF(B1461,IF(Dist="Normal",DistA+DistB*I1461,DistA+(DistB-DistA)*NORMSDIST(I1461)),"")</f>
        <v/>
      </c>
      <c r="K1461">
        <f>IF(B1461,INDEX(MineScale,C1461),"")</f>
        <v/>
      </c>
      <c r="L1461">
        <f>IF(B1461,INDEX(Dow,1,WEEKDAY(E1461,2)),"")</f>
        <v/>
      </c>
      <c r="M1461">
        <f>IF(B1461,(1+Trend)^D1461,"")</f>
        <v/>
      </c>
      <c r="N1461">
        <f>IF(B1461,EXP(SUMPRODUCT(LN(1+(EvEff-1)*INDEX(Affected,0,C1461)*EXP(-((E1461-EvCenter)^2)/(2*EvSigma^2))))),"")</f>
        <v/>
      </c>
      <c r="O1461">
        <f>IF(B1461,ROUND(MAX(0,J1461*K1461*L1461*M1461*N1461),2),"")</f>
        <v/>
      </c>
    </row>
    <row r="1462">
      <c r="A1462" t="n">
        <v>1461</v>
      </c>
      <c r="B1462">
        <f>A1462&lt;=MineCount*Days</f>
        <v/>
      </c>
      <c r="C1462">
        <f>IF(B1462,INT((A1462-1)/Days)+1,"")</f>
        <v/>
      </c>
      <c r="D1462">
        <f>IF(B1462,MOD(A1462-1,Days),"")</f>
        <v/>
      </c>
      <c r="E1462" s="16">
        <f>IF(B1462,StartDate+D1462,"")</f>
        <v/>
      </c>
      <c r="F1462">
        <f>IF(B1462,MAX(MOD(SIN(Seed*0.1373+C1462*12.9898+D1462*78.233)*43758.5453,1),1E-9),"")</f>
        <v/>
      </c>
      <c r="G1462">
        <f>IF(B1462,MOD(SIN(Seed*0.5917+C1462*39.3468+D1462*11.135)*24634.6345,1),"")</f>
        <v/>
      </c>
      <c r="H1462">
        <f>IF(B1462,SQRT(-2*LN(F1462))*COS(2*PI()*G1462),"")</f>
        <v/>
      </c>
      <c r="I1462">
        <f>IF(B1462,IF(D1462=0,H1462,Rho*I1461+SQRT(1-Rho^2)*H1462),"")</f>
        <v/>
      </c>
      <c r="J1462">
        <f>IF(B1462,IF(Dist="Normal",DistA+DistB*I1462,DistA+(DistB-DistA)*NORMSDIST(I1462)),"")</f>
        <v/>
      </c>
      <c r="K1462">
        <f>IF(B1462,INDEX(MineScale,C1462),"")</f>
        <v/>
      </c>
      <c r="L1462">
        <f>IF(B1462,INDEX(Dow,1,WEEKDAY(E1462,2)),"")</f>
        <v/>
      </c>
      <c r="M1462">
        <f>IF(B1462,(1+Trend)^D1462,"")</f>
        <v/>
      </c>
      <c r="N1462">
        <f>IF(B1462,EXP(SUMPRODUCT(LN(1+(EvEff-1)*INDEX(Affected,0,C1462)*EXP(-((E1462-EvCenter)^2)/(2*EvSigma^2))))),"")</f>
        <v/>
      </c>
      <c r="O1462">
        <f>IF(B1462,ROUND(MAX(0,J1462*K1462*L1462*M1462*N1462),2),"")</f>
        <v/>
      </c>
    </row>
    <row r="1463">
      <c r="A1463" t="n">
        <v>1462</v>
      </c>
      <c r="B1463">
        <f>A1463&lt;=MineCount*Days</f>
        <v/>
      </c>
      <c r="C1463">
        <f>IF(B1463,INT((A1463-1)/Days)+1,"")</f>
        <v/>
      </c>
      <c r="D1463">
        <f>IF(B1463,MOD(A1463-1,Days),"")</f>
        <v/>
      </c>
      <c r="E1463" s="16">
        <f>IF(B1463,StartDate+D1463,"")</f>
        <v/>
      </c>
      <c r="F1463">
        <f>IF(B1463,MAX(MOD(SIN(Seed*0.1373+C1463*12.9898+D1463*78.233)*43758.5453,1),1E-9),"")</f>
        <v/>
      </c>
      <c r="G1463">
        <f>IF(B1463,MOD(SIN(Seed*0.5917+C1463*39.3468+D1463*11.135)*24634.6345,1),"")</f>
        <v/>
      </c>
      <c r="H1463">
        <f>IF(B1463,SQRT(-2*LN(F1463))*COS(2*PI()*G1463),"")</f>
        <v/>
      </c>
      <c r="I1463">
        <f>IF(B1463,IF(D1463=0,H1463,Rho*I1462+SQRT(1-Rho^2)*H1463),"")</f>
        <v/>
      </c>
      <c r="J1463">
        <f>IF(B1463,IF(Dist="Normal",DistA+DistB*I1463,DistA+(DistB-DistA)*NORMSDIST(I1463)),"")</f>
        <v/>
      </c>
      <c r="K1463">
        <f>IF(B1463,INDEX(MineScale,C1463),"")</f>
        <v/>
      </c>
      <c r="L1463">
        <f>IF(B1463,INDEX(Dow,1,WEEKDAY(E1463,2)),"")</f>
        <v/>
      </c>
      <c r="M1463">
        <f>IF(B1463,(1+Trend)^D1463,"")</f>
        <v/>
      </c>
      <c r="N1463">
        <f>IF(B1463,EXP(SUMPRODUCT(LN(1+(EvEff-1)*INDEX(Affected,0,C1463)*EXP(-((E1463-EvCenter)^2)/(2*EvSigma^2))))),"")</f>
        <v/>
      </c>
      <c r="O1463">
        <f>IF(B1463,ROUND(MAX(0,J1463*K1463*L1463*M1463*N1463),2),"")</f>
        <v/>
      </c>
    </row>
    <row r="1464">
      <c r="A1464" t="n">
        <v>1463</v>
      </c>
      <c r="B1464">
        <f>A1464&lt;=MineCount*Days</f>
        <v/>
      </c>
      <c r="C1464">
        <f>IF(B1464,INT((A1464-1)/Days)+1,"")</f>
        <v/>
      </c>
      <c r="D1464">
        <f>IF(B1464,MOD(A1464-1,Days),"")</f>
        <v/>
      </c>
      <c r="E1464" s="16">
        <f>IF(B1464,StartDate+D1464,"")</f>
        <v/>
      </c>
      <c r="F1464">
        <f>IF(B1464,MAX(MOD(SIN(Seed*0.1373+C1464*12.9898+D1464*78.233)*43758.5453,1),1E-9),"")</f>
        <v/>
      </c>
      <c r="G1464">
        <f>IF(B1464,MOD(SIN(Seed*0.5917+C1464*39.3468+D1464*11.135)*24634.6345,1),"")</f>
        <v/>
      </c>
      <c r="H1464">
        <f>IF(B1464,SQRT(-2*LN(F1464))*COS(2*PI()*G1464),"")</f>
        <v/>
      </c>
      <c r="I1464">
        <f>IF(B1464,IF(D1464=0,H1464,Rho*I1463+SQRT(1-Rho^2)*H1464),"")</f>
        <v/>
      </c>
      <c r="J1464">
        <f>IF(B1464,IF(Dist="Normal",DistA+DistB*I1464,DistA+(DistB-DistA)*NORMSDIST(I1464)),"")</f>
        <v/>
      </c>
      <c r="K1464">
        <f>IF(B1464,INDEX(MineScale,C1464),"")</f>
        <v/>
      </c>
      <c r="L1464">
        <f>IF(B1464,INDEX(Dow,1,WEEKDAY(E1464,2)),"")</f>
        <v/>
      </c>
      <c r="M1464">
        <f>IF(B1464,(1+Trend)^D1464,"")</f>
        <v/>
      </c>
      <c r="N1464">
        <f>IF(B1464,EXP(SUMPRODUCT(LN(1+(EvEff-1)*INDEX(Affected,0,C1464)*EXP(-((E1464-EvCenter)^2)/(2*EvSigma^2))))),"")</f>
        <v/>
      </c>
      <c r="O1464">
        <f>IF(B1464,ROUND(MAX(0,J1464*K1464*L1464*M1464*N1464),2),"")</f>
        <v/>
      </c>
    </row>
    <row r="1465">
      <c r="A1465" t="n">
        <v>1464</v>
      </c>
      <c r="B1465">
        <f>A1465&lt;=MineCount*Days</f>
        <v/>
      </c>
      <c r="C1465">
        <f>IF(B1465,INT((A1465-1)/Days)+1,"")</f>
        <v/>
      </c>
      <c r="D1465">
        <f>IF(B1465,MOD(A1465-1,Days),"")</f>
        <v/>
      </c>
      <c r="E1465" s="16">
        <f>IF(B1465,StartDate+D1465,"")</f>
        <v/>
      </c>
      <c r="F1465">
        <f>IF(B1465,MAX(MOD(SIN(Seed*0.1373+C1465*12.9898+D1465*78.233)*43758.5453,1),1E-9),"")</f>
        <v/>
      </c>
      <c r="G1465">
        <f>IF(B1465,MOD(SIN(Seed*0.5917+C1465*39.3468+D1465*11.135)*24634.6345,1),"")</f>
        <v/>
      </c>
      <c r="H1465">
        <f>IF(B1465,SQRT(-2*LN(F1465))*COS(2*PI()*G1465),"")</f>
        <v/>
      </c>
      <c r="I1465">
        <f>IF(B1465,IF(D1465=0,H1465,Rho*I1464+SQRT(1-Rho^2)*H1465),"")</f>
        <v/>
      </c>
      <c r="J1465">
        <f>IF(B1465,IF(Dist="Normal",DistA+DistB*I1465,DistA+(DistB-DistA)*NORMSDIST(I1465)),"")</f>
        <v/>
      </c>
      <c r="K1465">
        <f>IF(B1465,INDEX(MineScale,C1465),"")</f>
        <v/>
      </c>
      <c r="L1465">
        <f>IF(B1465,INDEX(Dow,1,WEEKDAY(E1465,2)),"")</f>
        <v/>
      </c>
      <c r="M1465">
        <f>IF(B1465,(1+Trend)^D1465,"")</f>
        <v/>
      </c>
      <c r="N1465">
        <f>IF(B1465,EXP(SUMPRODUCT(LN(1+(EvEff-1)*INDEX(Affected,0,C1465)*EXP(-((E1465-EvCenter)^2)/(2*EvSigma^2))))),"")</f>
        <v/>
      </c>
      <c r="O1465">
        <f>IF(B1465,ROUND(MAX(0,J1465*K1465*L1465*M1465*N1465),2),"")</f>
        <v/>
      </c>
    </row>
    <row r="1466">
      <c r="A1466" t="n">
        <v>1465</v>
      </c>
      <c r="B1466">
        <f>A1466&lt;=MineCount*Days</f>
        <v/>
      </c>
      <c r="C1466">
        <f>IF(B1466,INT((A1466-1)/Days)+1,"")</f>
        <v/>
      </c>
      <c r="D1466">
        <f>IF(B1466,MOD(A1466-1,Days),"")</f>
        <v/>
      </c>
      <c r="E1466" s="16">
        <f>IF(B1466,StartDate+D1466,"")</f>
        <v/>
      </c>
      <c r="F1466">
        <f>IF(B1466,MAX(MOD(SIN(Seed*0.1373+C1466*12.9898+D1466*78.233)*43758.5453,1),1E-9),"")</f>
        <v/>
      </c>
      <c r="G1466">
        <f>IF(B1466,MOD(SIN(Seed*0.5917+C1466*39.3468+D1466*11.135)*24634.6345,1),"")</f>
        <v/>
      </c>
      <c r="H1466">
        <f>IF(B1466,SQRT(-2*LN(F1466))*COS(2*PI()*G1466),"")</f>
        <v/>
      </c>
      <c r="I1466">
        <f>IF(B1466,IF(D1466=0,H1466,Rho*I1465+SQRT(1-Rho^2)*H1466),"")</f>
        <v/>
      </c>
      <c r="J1466">
        <f>IF(B1466,IF(Dist="Normal",DistA+DistB*I1466,DistA+(DistB-DistA)*NORMSDIST(I1466)),"")</f>
        <v/>
      </c>
      <c r="K1466">
        <f>IF(B1466,INDEX(MineScale,C1466),"")</f>
        <v/>
      </c>
      <c r="L1466">
        <f>IF(B1466,INDEX(Dow,1,WEEKDAY(E1466,2)),"")</f>
        <v/>
      </c>
      <c r="M1466">
        <f>IF(B1466,(1+Trend)^D1466,"")</f>
        <v/>
      </c>
      <c r="N1466">
        <f>IF(B1466,EXP(SUMPRODUCT(LN(1+(EvEff-1)*INDEX(Affected,0,C1466)*EXP(-((E1466-EvCenter)^2)/(2*EvSigma^2))))),"")</f>
        <v/>
      </c>
      <c r="O1466">
        <f>IF(B1466,ROUND(MAX(0,J1466*K1466*L1466*M1466*N1466),2),"")</f>
        <v/>
      </c>
    </row>
    <row r="1467">
      <c r="A1467" t="n">
        <v>1466</v>
      </c>
      <c r="B1467">
        <f>A1467&lt;=MineCount*Days</f>
        <v/>
      </c>
      <c r="C1467">
        <f>IF(B1467,INT((A1467-1)/Days)+1,"")</f>
        <v/>
      </c>
      <c r="D1467">
        <f>IF(B1467,MOD(A1467-1,Days),"")</f>
        <v/>
      </c>
      <c r="E1467" s="16">
        <f>IF(B1467,StartDate+D1467,"")</f>
        <v/>
      </c>
      <c r="F1467">
        <f>IF(B1467,MAX(MOD(SIN(Seed*0.1373+C1467*12.9898+D1467*78.233)*43758.5453,1),1E-9),"")</f>
        <v/>
      </c>
      <c r="G1467">
        <f>IF(B1467,MOD(SIN(Seed*0.5917+C1467*39.3468+D1467*11.135)*24634.6345,1),"")</f>
        <v/>
      </c>
      <c r="H1467">
        <f>IF(B1467,SQRT(-2*LN(F1467))*COS(2*PI()*G1467),"")</f>
        <v/>
      </c>
      <c r="I1467">
        <f>IF(B1467,IF(D1467=0,H1467,Rho*I1466+SQRT(1-Rho^2)*H1467),"")</f>
        <v/>
      </c>
      <c r="J1467">
        <f>IF(B1467,IF(Dist="Normal",DistA+DistB*I1467,DistA+(DistB-DistA)*NORMSDIST(I1467)),"")</f>
        <v/>
      </c>
      <c r="K1467">
        <f>IF(B1467,INDEX(MineScale,C1467),"")</f>
        <v/>
      </c>
      <c r="L1467">
        <f>IF(B1467,INDEX(Dow,1,WEEKDAY(E1467,2)),"")</f>
        <v/>
      </c>
      <c r="M1467">
        <f>IF(B1467,(1+Trend)^D1467,"")</f>
        <v/>
      </c>
      <c r="N1467">
        <f>IF(B1467,EXP(SUMPRODUCT(LN(1+(EvEff-1)*INDEX(Affected,0,C1467)*EXP(-((E1467-EvCenter)^2)/(2*EvSigma^2))))),"")</f>
        <v/>
      </c>
      <c r="O1467">
        <f>IF(B1467,ROUND(MAX(0,J1467*K1467*L1467*M1467*N1467),2),"")</f>
        <v/>
      </c>
    </row>
    <row r="1468">
      <c r="A1468" t="n">
        <v>1467</v>
      </c>
      <c r="B1468">
        <f>A1468&lt;=MineCount*Days</f>
        <v/>
      </c>
      <c r="C1468">
        <f>IF(B1468,INT((A1468-1)/Days)+1,"")</f>
        <v/>
      </c>
      <c r="D1468">
        <f>IF(B1468,MOD(A1468-1,Days),"")</f>
        <v/>
      </c>
      <c r="E1468" s="16">
        <f>IF(B1468,StartDate+D1468,"")</f>
        <v/>
      </c>
      <c r="F1468">
        <f>IF(B1468,MAX(MOD(SIN(Seed*0.1373+C1468*12.9898+D1468*78.233)*43758.5453,1),1E-9),"")</f>
        <v/>
      </c>
      <c r="G1468">
        <f>IF(B1468,MOD(SIN(Seed*0.5917+C1468*39.3468+D1468*11.135)*24634.6345,1),"")</f>
        <v/>
      </c>
      <c r="H1468">
        <f>IF(B1468,SQRT(-2*LN(F1468))*COS(2*PI()*G1468),"")</f>
        <v/>
      </c>
      <c r="I1468">
        <f>IF(B1468,IF(D1468=0,H1468,Rho*I1467+SQRT(1-Rho^2)*H1468),"")</f>
        <v/>
      </c>
      <c r="J1468">
        <f>IF(B1468,IF(Dist="Normal",DistA+DistB*I1468,DistA+(DistB-DistA)*NORMSDIST(I1468)),"")</f>
        <v/>
      </c>
      <c r="K1468">
        <f>IF(B1468,INDEX(MineScale,C1468),"")</f>
        <v/>
      </c>
      <c r="L1468">
        <f>IF(B1468,INDEX(Dow,1,WEEKDAY(E1468,2)),"")</f>
        <v/>
      </c>
      <c r="M1468">
        <f>IF(B1468,(1+Trend)^D1468,"")</f>
        <v/>
      </c>
      <c r="N1468">
        <f>IF(B1468,EXP(SUMPRODUCT(LN(1+(EvEff-1)*INDEX(Affected,0,C1468)*EXP(-((E1468-EvCenter)^2)/(2*EvSigma^2))))),"")</f>
        <v/>
      </c>
      <c r="O1468">
        <f>IF(B1468,ROUND(MAX(0,J1468*K1468*L1468*M1468*N1468),2),"")</f>
        <v/>
      </c>
    </row>
    <row r="1469">
      <c r="A1469" t="n">
        <v>1468</v>
      </c>
      <c r="B1469">
        <f>A1469&lt;=MineCount*Days</f>
        <v/>
      </c>
      <c r="C1469">
        <f>IF(B1469,INT((A1469-1)/Days)+1,"")</f>
        <v/>
      </c>
      <c r="D1469">
        <f>IF(B1469,MOD(A1469-1,Days),"")</f>
        <v/>
      </c>
      <c r="E1469" s="16">
        <f>IF(B1469,StartDate+D1469,"")</f>
        <v/>
      </c>
      <c r="F1469">
        <f>IF(B1469,MAX(MOD(SIN(Seed*0.1373+C1469*12.9898+D1469*78.233)*43758.5453,1),1E-9),"")</f>
        <v/>
      </c>
      <c r="G1469">
        <f>IF(B1469,MOD(SIN(Seed*0.5917+C1469*39.3468+D1469*11.135)*24634.6345,1),"")</f>
        <v/>
      </c>
      <c r="H1469">
        <f>IF(B1469,SQRT(-2*LN(F1469))*COS(2*PI()*G1469),"")</f>
        <v/>
      </c>
      <c r="I1469">
        <f>IF(B1469,IF(D1469=0,H1469,Rho*I1468+SQRT(1-Rho^2)*H1469),"")</f>
        <v/>
      </c>
      <c r="J1469">
        <f>IF(B1469,IF(Dist="Normal",DistA+DistB*I1469,DistA+(DistB-DistA)*NORMSDIST(I1469)),"")</f>
        <v/>
      </c>
      <c r="K1469">
        <f>IF(B1469,INDEX(MineScale,C1469),"")</f>
        <v/>
      </c>
      <c r="L1469">
        <f>IF(B1469,INDEX(Dow,1,WEEKDAY(E1469,2)),"")</f>
        <v/>
      </c>
      <c r="M1469">
        <f>IF(B1469,(1+Trend)^D1469,"")</f>
        <v/>
      </c>
      <c r="N1469">
        <f>IF(B1469,EXP(SUMPRODUCT(LN(1+(EvEff-1)*INDEX(Affected,0,C1469)*EXP(-((E1469-EvCenter)^2)/(2*EvSigma^2))))),"")</f>
        <v/>
      </c>
      <c r="O1469">
        <f>IF(B1469,ROUND(MAX(0,J1469*K1469*L1469*M1469*N1469),2),"")</f>
        <v/>
      </c>
    </row>
    <row r="1470">
      <c r="A1470" t="n">
        <v>1469</v>
      </c>
      <c r="B1470">
        <f>A1470&lt;=MineCount*Days</f>
        <v/>
      </c>
      <c r="C1470">
        <f>IF(B1470,INT((A1470-1)/Days)+1,"")</f>
        <v/>
      </c>
      <c r="D1470">
        <f>IF(B1470,MOD(A1470-1,Days),"")</f>
        <v/>
      </c>
      <c r="E1470" s="16">
        <f>IF(B1470,StartDate+D1470,"")</f>
        <v/>
      </c>
      <c r="F1470">
        <f>IF(B1470,MAX(MOD(SIN(Seed*0.1373+C1470*12.9898+D1470*78.233)*43758.5453,1),1E-9),"")</f>
        <v/>
      </c>
      <c r="G1470">
        <f>IF(B1470,MOD(SIN(Seed*0.5917+C1470*39.3468+D1470*11.135)*24634.6345,1),"")</f>
        <v/>
      </c>
      <c r="H1470">
        <f>IF(B1470,SQRT(-2*LN(F1470))*COS(2*PI()*G1470),"")</f>
        <v/>
      </c>
      <c r="I1470">
        <f>IF(B1470,IF(D1470=0,H1470,Rho*I1469+SQRT(1-Rho^2)*H1470),"")</f>
        <v/>
      </c>
      <c r="J1470">
        <f>IF(B1470,IF(Dist="Normal",DistA+DistB*I1470,DistA+(DistB-DistA)*NORMSDIST(I1470)),"")</f>
        <v/>
      </c>
      <c r="K1470">
        <f>IF(B1470,INDEX(MineScale,C1470),"")</f>
        <v/>
      </c>
      <c r="L1470">
        <f>IF(B1470,INDEX(Dow,1,WEEKDAY(E1470,2)),"")</f>
        <v/>
      </c>
      <c r="M1470">
        <f>IF(B1470,(1+Trend)^D1470,"")</f>
        <v/>
      </c>
      <c r="N1470">
        <f>IF(B1470,EXP(SUMPRODUCT(LN(1+(EvEff-1)*INDEX(Affected,0,C1470)*EXP(-((E1470-EvCenter)^2)/(2*EvSigma^2))))),"")</f>
        <v/>
      </c>
      <c r="O1470">
        <f>IF(B1470,ROUND(MAX(0,J1470*K1470*L1470*M1470*N1470),2),"")</f>
        <v/>
      </c>
    </row>
    <row r="1471">
      <c r="A1471" t="n">
        <v>1470</v>
      </c>
      <c r="B1471">
        <f>A1471&lt;=MineCount*Days</f>
        <v/>
      </c>
      <c r="C1471">
        <f>IF(B1471,INT((A1471-1)/Days)+1,"")</f>
        <v/>
      </c>
      <c r="D1471">
        <f>IF(B1471,MOD(A1471-1,Days),"")</f>
        <v/>
      </c>
      <c r="E1471" s="16">
        <f>IF(B1471,StartDate+D1471,"")</f>
        <v/>
      </c>
      <c r="F1471">
        <f>IF(B1471,MAX(MOD(SIN(Seed*0.1373+C1471*12.9898+D1471*78.233)*43758.5453,1),1E-9),"")</f>
        <v/>
      </c>
      <c r="G1471">
        <f>IF(B1471,MOD(SIN(Seed*0.5917+C1471*39.3468+D1471*11.135)*24634.6345,1),"")</f>
        <v/>
      </c>
      <c r="H1471">
        <f>IF(B1471,SQRT(-2*LN(F1471))*COS(2*PI()*G1471),"")</f>
        <v/>
      </c>
      <c r="I1471">
        <f>IF(B1471,IF(D1471=0,H1471,Rho*I1470+SQRT(1-Rho^2)*H1471),"")</f>
        <v/>
      </c>
      <c r="J1471">
        <f>IF(B1471,IF(Dist="Normal",DistA+DistB*I1471,DistA+(DistB-DistA)*NORMSDIST(I1471)),"")</f>
        <v/>
      </c>
      <c r="K1471">
        <f>IF(B1471,INDEX(MineScale,C1471),"")</f>
        <v/>
      </c>
      <c r="L1471">
        <f>IF(B1471,INDEX(Dow,1,WEEKDAY(E1471,2)),"")</f>
        <v/>
      </c>
      <c r="M1471">
        <f>IF(B1471,(1+Trend)^D1471,"")</f>
        <v/>
      </c>
      <c r="N1471">
        <f>IF(B1471,EXP(SUMPRODUCT(LN(1+(EvEff-1)*INDEX(Affected,0,C1471)*EXP(-((E1471-EvCenter)^2)/(2*EvSigma^2))))),"")</f>
        <v/>
      </c>
      <c r="O1471">
        <f>IF(B1471,ROUND(MAX(0,J1471*K1471*L1471*M1471*N1471),2),"")</f>
        <v/>
      </c>
    </row>
    <row r="1472">
      <c r="A1472" t="n">
        <v>1471</v>
      </c>
      <c r="B1472">
        <f>A1472&lt;=MineCount*Days</f>
        <v/>
      </c>
      <c r="C1472">
        <f>IF(B1472,INT((A1472-1)/Days)+1,"")</f>
        <v/>
      </c>
      <c r="D1472">
        <f>IF(B1472,MOD(A1472-1,Days),"")</f>
        <v/>
      </c>
      <c r="E1472" s="16">
        <f>IF(B1472,StartDate+D1472,"")</f>
        <v/>
      </c>
      <c r="F1472">
        <f>IF(B1472,MAX(MOD(SIN(Seed*0.1373+C1472*12.9898+D1472*78.233)*43758.5453,1),1E-9),"")</f>
        <v/>
      </c>
      <c r="G1472">
        <f>IF(B1472,MOD(SIN(Seed*0.5917+C1472*39.3468+D1472*11.135)*24634.6345,1),"")</f>
        <v/>
      </c>
      <c r="H1472">
        <f>IF(B1472,SQRT(-2*LN(F1472))*COS(2*PI()*G1472),"")</f>
        <v/>
      </c>
      <c r="I1472">
        <f>IF(B1472,IF(D1472=0,H1472,Rho*I1471+SQRT(1-Rho^2)*H1472),"")</f>
        <v/>
      </c>
      <c r="J1472">
        <f>IF(B1472,IF(Dist="Normal",DistA+DistB*I1472,DistA+(DistB-DistA)*NORMSDIST(I1472)),"")</f>
        <v/>
      </c>
      <c r="K1472">
        <f>IF(B1472,INDEX(MineScale,C1472),"")</f>
        <v/>
      </c>
      <c r="L1472">
        <f>IF(B1472,INDEX(Dow,1,WEEKDAY(E1472,2)),"")</f>
        <v/>
      </c>
      <c r="M1472">
        <f>IF(B1472,(1+Trend)^D1472,"")</f>
        <v/>
      </c>
      <c r="N1472">
        <f>IF(B1472,EXP(SUMPRODUCT(LN(1+(EvEff-1)*INDEX(Affected,0,C1472)*EXP(-((E1472-EvCenter)^2)/(2*EvSigma^2))))),"")</f>
        <v/>
      </c>
      <c r="O1472">
        <f>IF(B1472,ROUND(MAX(0,J1472*K1472*L1472*M1472*N1472),2),"")</f>
        <v/>
      </c>
    </row>
    <row r="1473">
      <c r="A1473" t="n">
        <v>1472</v>
      </c>
      <c r="B1473">
        <f>A1473&lt;=MineCount*Days</f>
        <v/>
      </c>
      <c r="C1473">
        <f>IF(B1473,INT((A1473-1)/Days)+1,"")</f>
        <v/>
      </c>
      <c r="D1473">
        <f>IF(B1473,MOD(A1473-1,Days),"")</f>
        <v/>
      </c>
      <c r="E1473" s="16">
        <f>IF(B1473,StartDate+D1473,"")</f>
        <v/>
      </c>
      <c r="F1473">
        <f>IF(B1473,MAX(MOD(SIN(Seed*0.1373+C1473*12.9898+D1473*78.233)*43758.5453,1),1E-9),"")</f>
        <v/>
      </c>
      <c r="G1473">
        <f>IF(B1473,MOD(SIN(Seed*0.5917+C1473*39.3468+D1473*11.135)*24634.6345,1),"")</f>
        <v/>
      </c>
      <c r="H1473">
        <f>IF(B1473,SQRT(-2*LN(F1473))*COS(2*PI()*G1473),"")</f>
        <v/>
      </c>
      <c r="I1473">
        <f>IF(B1473,IF(D1473=0,H1473,Rho*I1472+SQRT(1-Rho^2)*H1473),"")</f>
        <v/>
      </c>
      <c r="J1473">
        <f>IF(B1473,IF(Dist="Normal",DistA+DistB*I1473,DistA+(DistB-DistA)*NORMSDIST(I1473)),"")</f>
        <v/>
      </c>
      <c r="K1473">
        <f>IF(B1473,INDEX(MineScale,C1473),"")</f>
        <v/>
      </c>
      <c r="L1473">
        <f>IF(B1473,INDEX(Dow,1,WEEKDAY(E1473,2)),"")</f>
        <v/>
      </c>
      <c r="M1473">
        <f>IF(B1473,(1+Trend)^D1473,"")</f>
        <v/>
      </c>
      <c r="N1473">
        <f>IF(B1473,EXP(SUMPRODUCT(LN(1+(EvEff-1)*INDEX(Affected,0,C1473)*EXP(-((E1473-EvCenter)^2)/(2*EvSigma^2))))),"")</f>
        <v/>
      </c>
      <c r="O1473">
        <f>IF(B1473,ROUND(MAX(0,J1473*K1473*L1473*M1473*N1473),2),"")</f>
        <v/>
      </c>
    </row>
    <row r="1474">
      <c r="A1474" t="n">
        <v>1473</v>
      </c>
      <c r="B1474">
        <f>A1474&lt;=MineCount*Days</f>
        <v/>
      </c>
      <c r="C1474">
        <f>IF(B1474,INT((A1474-1)/Days)+1,"")</f>
        <v/>
      </c>
      <c r="D1474">
        <f>IF(B1474,MOD(A1474-1,Days),"")</f>
        <v/>
      </c>
      <c r="E1474" s="16">
        <f>IF(B1474,StartDate+D1474,"")</f>
        <v/>
      </c>
      <c r="F1474">
        <f>IF(B1474,MAX(MOD(SIN(Seed*0.1373+C1474*12.9898+D1474*78.233)*43758.5453,1),1E-9),"")</f>
        <v/>
      </c>
      <c r="G1474">
        <f>IF(B1474,MOD(SIN(Seed*0.5917+C1474*39.3468+D1474*11.135)*24634.6345,1),"")</f>
        <v/>
      </c>
      <c r="H1474">
        <f>IF(B1474,SQRT(-2*LN(F1474))*COS(2*PI()*G1474),"")</f>
        <v/>
      </c>
      <c r="I1474">
        <f>IF(B1474,IF(D1474=0,H1474,Rho*I1473+SQRT(1-Rho^2)*H1474),"")</f>
        <v/>
      </c>
      <c r="J1474">
        <f>IF(B1474,IF(Dist="Normal",DistA+DistB*I1474,DistA+(DistB-DistA)*NORMSDIST(I1474)),"")</f>
        <v/>
      </c>
      <c r="K1474">
        <f>IF(B1474,INDEX(MineScale,C1474),"")</f>
        <v/>
      </c>
      <c r="L1474">
        <f>IF(B1474,INDEX(Dow,1,WEEKDAY(E1474,2)),"")</f>
        <v/>
      </c>
      <c r="M1474">
        <f>IF(B1474,(1+Trend)^D1474,"")</f>
        <v/>
      </c>
      <c r="N1474">
        <f>IF(B1474,EXP(SUMPRODUCT(LN(1+(EvEff-1)*INDEX(Affected,0,C1474)*EXP(-((E1474-EvCenter)^2)/(2*EvSigma^2))))),"")</f>
        <v/>
      </c>
      <c r="O1474">
        <f>IF(B1474,ROUND(MAX(0,J1474*K1474*L1474*M1474*N1474),2),"")</f>
        <v/>
      </c>
    </row>
    <row r="1475">
      <c r="A1475" t="n">
        <v>1474</v>
      </c>
      <c r="B1475">
        <f>A1475&lt;=MineCount*Days</f>
        <v/>
      </c>
      <c r="C1475">
        <f>IF(B1475,INT((A1475-1)/Days)+1,"")</f>
        <v/>
      </c>
      <c r="D1475">
        <f>IF(B1475,MOD(A1475-1,Days),"")</f>
        <v/>
      </c>
      <c r="E1475" s="16">
        <f>IF(B1475,StartDate+D1475,"")</f>
        <v/>
      </c>
      <c r="F1475">
        <f>IF(B1475,MAX(MOD(SIN(Seed*0.1373+C1475*12.9898+D1475*78.233)*43758.5453,1),1E-9),"")</f>
        <v/>
      </c>
      <c r="G1475">
        <f>IF(B1475,MOD(SIN(Seed*0.5917+C1475*39.3468+D1475*11.135)*24634.6345,1),"")</f>
        <v/>
      </c>
      <c r="H1475">
        <f>IF(B1475,SQRT(-2*LN(F1475))*COS(2*PI()*G1475),"")</f>
        <v/>
      </c>
      <c r="I1475">
        <f>IF(B1475,IF(D1475=0,H1475,Rho*I1474+SQRT(1-Rho^2)*H1475),"")</f>
        <v/>
      </c>
      <c r="J1475">
        <f>IF(B1475,IF(Dist="Normal",DistA+DistB*I1475,DistA+(DistB-DistA)*NORMSDIST(I1475)),"")</f>
        <v/>
      </c>
      <c r="K1475">
        <f>IF(B1475,INDEX(MineScale,C1475),"")</f>
        <v/>
      </c>
      <c r="L1475">
        <f>IF(B1475,INDEX(Dow,1,WEEKDAY(E1475,2)),"")</f>
        <v/>
      </c>
      <c r="M1475">
        <f>IF(B1475,(1+Trend)^D1475,"")</f>
        <v/>
      </c>
      <c r="N1475">
        <f>IF(B1475,EXP(SUMPRODUCT(LN(1+(EvEff-1)*INDEX(Affected,0,C1475)*EXP(-((E1475-EvCenter)^2)/(2*EvSigma^2))))),"")</f>
        <v/>
      </c>
      <c r="O1475">
        <f>IF(B1475,ROUND(MAX(0,J1475*K1475*L1475*M1475*N1475),2),"")</f>
        <v/>
      </c>
    </row>
    <row r="1476">
      <c r="A1476" t="n">
        <v>1475</v>
      </c>
      <c r="B1476">
        <f>A1476&lt;=MineCount*Days</f>
        <v/>
      </c>
      <c r="C1476">
        <f>IF(B1476,INT((A1476-1)/Days)+1,"")</f>
        <v/>
      </c>
      <c r="D1476">
        <f>IF(B1476,MOD(A1476-1,Days),"")</f>
        <v/>
      </c>
      <c r="E1476" s="16">
        <f>IF(B1476,StartDate+D1476,"")</f>
        <v/>
      </c>
      <c r="F1476">
        <f>IF(B1476,MAX(MOD(SIN(Seed*0.1373+C1476*12.9898+D1476*78.233)*43758.5453,1),1E-9),"")</f>
        <v/>
      </c>
      <c r="G1476">
        <f>IF(B1476,MOD(SIN(Seed*0.5917+C1476*39.3468+D1476*11.135)*24634.6345,1),"")</f>
        <v/>
      </c>
      <c r="H1476">
        <f>IF(B1476,SQRT(-2*LN(F1476))*COS(2*PI()*G1476),"")</f>
        <v/>
      </c>
      <c r="I1476">
        <f>IF(B1476,IF(D1476=0,H1476,Rho*I1475+SQRT(1-Rho^2)*H1476),"")</f>
        <v/>
      </c>
      <c r="J1476">
        <f>IF(B1476,IF(Dist="Normal",DistA+DistB*I1476,DistA+(DistB-DistA)*NORMSDIST(I1476)),"")</f>
        <v/>
      </c>
      <c r="K1476">
        <f>IF(B1476,INDEX(MineScale,C1476),"")</f>
        <v/>
      </c>
      <c r="L1476">
        <f>IF(B1476,INDEX(Dow,1,WEEKDAY(E1476,2)),"")</f>
        <v/>
      </c>
      <c r="M1476">
        <f>IF(B1476,(1+Trend)^D1476,"")</f>
        <v/>
      </c>
      <c r="N1476">
        <f>IF(B1476,EXP(SUMPRODUCT(LN(1+(EvEff-1)*INDEX(Affected,0,C1476)*EXP(-((E1476-EvCenter)^2)/(2*EvSigma^2))))),"")</f>
        <v/>
      </c>
      <c r="O1476">
        <f>IF(B1476,ROUND(MAX(0,J1476*K1476*L1476*M1476*N1476),2),"")</f>
        <v/>
      </c>
    </row>
    <row r="1477">
      <c r="A1477" t="n">
        <v>1476</v>
      </c>
      <c r="B1477">
        <f>A1477&lt;=MineCount*Days</f>
        <v/>
      </c>
      <c r="C1477">
        <f>IF(B1477,INT((A1477-1)/Days)+1,"")</f>
        <v/>
      </c>
      <c r="D1477">
        <f>IF(B1477,MOD(A1477-1,Days),"")</f>
        <v/>
      </c>
      <c r="E1477" s="16">
        <f>IF(B1477,StartDate+D1477,"")</f>
        <v/>
      </c>
      <c r="F1477">
        <f>IF(B1477,MAX(MOD(SIN(Seed*0.1373+C1477*12.9898+D1477*78.233)*43758.5453,1),1E-9),"")</f>
        <v/>
      </c>
      <c r="G1477">
        <f>IF(B1477,MOD(SIN(Seed*0.5917+C1477*39.3468+D1477*11.135)*24634.6345,1),"")</f>
        <v/>
      </c>
      <c r="H1477">
        <f>IF(B1477,SQRT(-2*LN(F1477))*COS(2*PI()*G1477),"")</f>
        <v/>
      </c>
      <c r="I1477">
        <f>IF(B1477,IF(D1477=0,H1477,Rho*I1476+SQRT(1-Rho^2)*H1477),"")</f>
        <v/>
      </c>
      <c r="J1477">
        <f>IF(B1477,IF(Dist="Normal",DistA+DistB*I1477,DistA+(DistB-DistA)*NORMSDIST(I1477)),"")</f>
        <v/>
      </c>
      <c r="K1477">
        <f>IF(B1477,INDEX(MineScale,C1477),"")</f>
        <v/>
      </c>
      <c r="L1477">
        <f>IF(B1477,INDEX(Dow,1,WEEKDAY(E1477,2)),"")</f>
        <v/>
      </c>
      <c r="M1477">
        <f>IF(B1477,(1+Trend)^D1477,"")</f>
        <v/>
      </c>
      <c r="N1477">
        <f>IF(B1477,EXP(SUMPRODUCT(LN(1+(EvEff-1)*INDEX(Affected,0,C1477)*EXP(-((E1477-EvCenter)^2)/(2*EvSigma^2))))),"")</f>
        <v/>
      </c>
      <c r="O1477">
        <f>IF(B1477,ROUND(MAX(0,J1477*K1477*L1477*M1477*N1477),2),"")</f>
        <v/>
      </c>
    </row>
    <row r="1478">
      <c r="A1478" t="n">
        <v>1477</v>
      </c>
      <c r="B1478">
        <f>A1478&lt;=MineCount*Days</f>
        <v/>
      </c>
      <c r="C1478">
        <f>IF(B1478,INT((A1478-1)/Days)+1,"")</f>
        <v/>
      </c>
      <c r="D1478">
        <f>IF(B1478,MOD(A1478-1,Days),"")</f>
        <v/>
      </c>
      <c r="E1478" s="16">
        <f>IF(B1478,StartDate+D1478,"")</f>
        <v/>
      </c>
      <c r="F1478">
        <f>IF(B1478,MAX(MOD(SIN(Seed*0.1373+C1478*12.9898+D1478*78.233)*43758.5453,1),1E-9),"")</f>
        <v/>
      </c>
      <c r="G1478">
        <f>IF(B1478,MOD(SIN(Seed*0.5917+C1478*39.3468+D1478*11.135)*24634.6345,1),"")</f>
        <v/>
      </c>
      <c r="H1478">
        <f>IF(B1478,SQRT(-2*LN(F1478))*COS(2*PI()*G1478),"")</f>
        <v/>
      </c>
      <c r="I1478">
        <f>IF(B1478,IF(D1478=0,H1478,Rho*I1477+SQRT(1-Rho^2)*H1478),"")</f>
        <v/>
      </c>
      <c r="J1478">
        <f>IF(B1478,IF(Dist="Normal",DistA+DistB*I1478,DistA+(DistB-DistA)*NORMSDIST(I1478)),"")</f>
        <v/>
      </c>
      <c r="K1478">
        <f>IF(B1478,INDEX(MineScale,C1478),"")</f>
        <v/>
      </c>
      <c r="L1478">
        <f>IF(B1478,INDEX(Dow,1,WEEKDAY(E1478,2)),"")</f>
        <v/>
      </c>
      <c r="M1478">
        <f>IF(B1478,(1+Trend)^D1478,"")</f>
        <v/>
      </c>
      <c r="N1478">
        <f>IF(B1478,EXP(SUMPRODUCT(LN(1+(EvEff-1)*INDEX(Affected,0,C1478)*EXP(-((E1478-EvCenter)^2)/(2*EvSigma^2))))),"")</f>
        <v/>
      </c>
      <c r="O1478">
        <f>IF(B1478,ROUND(MAX(0,J1478*K1478*L1478*M1478*N1478),2),"")</f>
        <v/>
      </c>
    </row>
    <row r="1479">
      <c r="A1479" t="n">
        <v>1478</v>
      </c>
      <c r="B1479">
        <f>A1479&lt;=MineCount*Days</f>
        <v/>
      </c>
      <c r="C1479">
        <f>IF(B1479,INT((A1479-1)/Days)+1,"")</f>
        <v/>
      </c>
      <c r="D1479">
        <f>IF(B1479,MOD(A1479-1,Days),"")</f>
        <v/>
      </c>
      <c r="E1479" s="16">
        <f>IF(B1479,StartDate+D1479,"")</f>
        <v/>
      </c>
      <c r="F1479">
        <f>IF(B1479,MAX(MOD(SIN(Seed*0.1373+C1479*12.9898+D1479*78.233)*43758.5453,1),1E-9),"")</f>
        <v/>
      </c>
      <c r="G1479">
        <f>IF(B1479,MOD(SIN(Seed*0.5917+C1479*39.3468+D1479*11.135)*24634.6345,1),"")</f>
        <v/>
      </c>
      <c r="H1479">
        <f>IF(B1479,SQRT(-2*LN(F1479))*COS(2*PI()*G1479),"")</f>
        <v/>
      </c>
      <c r="I1479">
        <f>IF(B1479,IF(D1479=0,H1479,Rho*I1478+SQRT(1-Rho^2)*H1479),"")</f>
        <v/>
      </c>
      <c r="J1479">
        <f>IF(B1479,IF(Dist="Normal",DistA+DistB*I1479,DistA+(DistB-DistA)*NORMSDIST(I1479)),"")</f>
        <v/>
      </c>
      <c r="K1479">
        <f>IF(B1479,INDEX(MineScale,C1479),"")</f>
        <v/>
      </c>
      <c r="L1479">
        <f>IF(B1479,INDEX(Dow,1,WEEKDAY(E1479,2)),"")</f>
        <v/>
      </c>
      <c r="M1479">
        <f>IF(B1479,(1+Trend)^D1479,"")</f>
        <v/>
      </c>
      <c r="N1479">
        <f>IF(B1479,EXP(SUMPRODUCT(LN(1+(EvEff-1)*INDEX(Affected,0,C1479)*EXP(-((E1479-EvCenter)^2)/(2*EvSigma^2))))),"")</f>
        <v/>
      </c>
      <c r="O1479">
        <f>IF(B1479,ROUND(MAX(0,J1479*K1479*L1479*M1479*N1479),2),"")</f>
        <v/>
      </c>
    </row>
    <row r="1480">
      <c r="A1480" t="n">
        <v>1479</v>
      </c>
      <c r="B1480">
        <f>A1480&lt;=MineCount*Days</f>
        <v/>
      </c>
      <c r="C1480">
        <f>IF(B1480,INT((A1480-1)/Days)+1,"")</f>
        <v/>
      </c>
      <c r="D1480">
        <f>IF(B1480,MOD(A1480-1,Days),"")</f>
        <v/>
      </c>
      <c r="E1480" s="16">
        <f>IF(B1480,StartDate+D1480,"")</f>
        <v/>
      </c>
      <c r="F1480">
        <f>IF(B1480,MAX(MOD(SIN(Seed*0.1373+C1480*12.9898+D1480*78.233)*43758.5453,1),1E-9),"")</f>
        <v/>
      </c>
      <c r="G1480">
        <f>IF(B1480,MOD(SIN(Seed*0.5917+C1480*39.3468+D1480*11.135)*24634.6345,1),"")</f>
        <v/>
      </c>
      <c r="H1480">
        <f>IF(B1480,SQRT(-2*LN(F1480))*COS(2*PI()*G1480),"")</f>
        <v/>
      </c>
      <c r="I1480">
        <f>IF(B1480,IF(D1480=0,H1480,Rho*I1479+SQRT(1-Rho^2)*H1480),"")</f>
        <v/>
      </c>
      <c r="J1480">
        <f>IF(B1480,IF(Dist="Normal",DistA+DistB*I1480,DistA+(DistB-DistA)*NORMSDIST(I1480)),"")</f>
        <v/>
      </c>
      <c r="K1480">
        <f>IF(B1480,INDEX(MineScale,C1480),"")</f>
        <v/>
      </c>
      <c r="L1480">
        <f>IF(B1480,INDEX(Dow,1,WEEKDAY(E1480,2)),"")</f>
        <v/>
      </c>
      <c r="M1480">
        <f>IF(B1480,(1+Trend)^D1480,"")</f>
        <v/>
      </c>
      <c r="N1480">
        <f>IF(B1480,EXP(SUMPRODUCT(LN(1+(EvEff-1)*INDEX(Affected,0,C1480)*EXP(-((E1480-EvCenter)^2)/(2*EvSigma^2))))),"")</f>
        <v/>
      </c>
      <c r="O1480">
        <f>IF(B1480,ROUND(MAX(0,J1480*K1480*L1480*M1480*N1480),2),"")</f>
        <v/>
      </c>
    </row>
    <row r="1481">
      <c r="A1481" t="n">
        <v>1480</v>
      </c>
      <c r="B1481">
        <f>A1481&lt;=MineCount*Days</f>
        <v/>
      </c>
      <c r="C1481">
        <f>IF(B1481,INT((A1481-1)/Days)+1,"")</f>
        <v/>
      </c>
      <c r="D1481">
        <f>IF(B1481,MOD(A1481-1,Days),"")</f>
        <v/>
      </c>
      <c r="E1481" s="16">
        <f>IF(B1481,StartDate+D1481,"")</f>
        <v/>
      </c>
      <c r="F1481">
        <f>IF(B1481,MAX(MOD(SIN(Seed*0.1373+C1481*12.9898+D1481*78.233)*43758.5453,1),1E-9),"")</f>
        <v/>
      </c>
      <c r="G1481">
        <f>IF(B1481,MOD(SIN(Seed*0.5917+C1481*39.3468+D1481*11.135)*24634.6345,1),"")</f>
        <v/>
      </c>
      <c r="H1481">
        <f>IF(B1481,SQRT(-2*LN(F1481))*COS(2*PI()*G1481),"")</f>
        <v/>
      </c>
      <c r="I1481">
        <f>IF(B1481,IF(D1481=0,H1481,Rho*I1480+SQRT(1-Rho^2)*H1481),"")</f>
        <v/>
      </c>
      <c r="J1481">
        <f>IF(B1481,IF(Dist="Normal",DistA+DistB*I1481,DistA+(DistB-DistA)*NORMSDIST(I1481)),"")</f>
        <v/>
      </c>
      <c r="K1481">
        <f>IF(B1481,INDEX(MineScale,C1481),"")</f>
        <v/>
      </c>
      <c r="L1481">
        <f>IF(B1481,INDEX(Dow,1,WEEKDAY(E1481,2)),"")</f>
        <v/>
      </c>
      <c r="M1481">
        <f>IF(B1481,(1+Trend)^D1481,"")</f>
        <v/>
      </c>
      <c r="N1481">
        <f>IF(B1481,EXP(SUMPRODUCT(LN(1+(EvEff-1)*INDEX(Affected,0,C1481)*EXP(-((E1481-EvCenter)^2)/(2*EvSigma^2))))),"")</f>
        <v/>
      </c>
      <c r="O1481">
        <f>IF(B1481,ROUND(MAX(0,J1481*K1481*L1481*M1481*N1481),2),"")</f>
        <v/>
      </c>
    </row>
    <row r="1482">
      <c r="A1482" t="n">
        <v>1481</v>
      </c>
      <c r="B1482">
        <f>A1482&lt;=MineCount*Days</f>
        <v/>
      </c>
      <c r="C1482">
        <f>IF(B1482,INT((A1482-1)/Days)+1,"")</f>
        <v/>
      </c>
      <c r="D1482">
        <f>IF(B1482,MOD(A1482-1,Days),"")</f>
        <v/>
      </c>
      <c r="E1482" s="16">
        <f>IF(B1482,StartDate+D1482,"")</f>
        <v/>
      </c>
      <c r="F1482">
        <f>IF(B1482,MAX(MOD(SIN(Seed*0.1373+C1482*12.9898+D1482*78.233)*43758.5453,1),1E-9),"")</f>
        <v/>
      </c>
      <c r="G1482">
        <f>IF(B1482,MOD(SIN(Seed*0.5917+C1482*39.3468+D1482*11.135)*24634.6345,1),"")</f>
        <v/>
      </c>
      <c r="H1482">
        <f>IF(B1482,SQRT(-2*LN(F1482))*COS(2*PI()*G1482),"")</f>
        <v/>
      </c>
      <c r="I1482">
        <f>IF(B1482,IF(D1482=0,H1482,Rho*I1481+SQRT(1-Rho^2)*H1482),"")</f>
        <v/>
      </c>
      <c r="J1482">
        <f>IF(B1482,IF(Dist="Normal",DistA+DistB*I1482,DistA+(DistB-DistA)*NORMSDIST(I1482)),"")</f>
        <v/>
      </c>
      <c r="K1482">
        <f>IF(B1482,INDEX(MineScale,C1482),"")</f>
        <v/>
      </c>
      <c r="L1482">
        <f>IF(B1482,INDEX(Dow,1,WEEKDAY(E1482,2)),"")</f>
        <v/>
      </c>
      <c r="M1482">
        <f>IF(B1482,(1+Trend)^D1482,"")</f>
        <v/>
      </c>
      <c r="N1482">
        <f>IF(B1482,EXP(SUMPRODUCT(LN(1+(EvEff-1)*INDEX(Affected,0,C1482)*EXP(-((E1482-EvCenter)^2)/(2*EvSigma^2))))),"")</f>
        <v/>
      </c>
      <c r="O1482">
        <f>IF(B1482,ROUND(MAX(0,J1482*K1482*L1482*M1482*N1482),2),"")</f>
        <v/>
      </c>
    </row>
    <row r="1483">
      <c r="A1483" t="n">
        <v>1482</v>
      </c>
      <c r="B1483">
        <f>A1483&lt;=MineCount*Days</f>
        <v/>
      </c>
      <c r="C1483">
        <f>IF(B1483,INT((A1483-1)/Days)+1,"")</f>
        <v/>
      </c>
      <c r="D1483">
        <f>IF(B1483,MOD(A1483-1,Days),"")</f>
        <v/>
      </c>
      <c r="E1483" s="16">
        <f>IF(B1483,StartDate+D1483,"")</f>
        <v/>
      </c>
      <c r="F1483">
        <f>IF(B1483,MAX(MOD(SIN(Seed*0.1373+C1483*12.9898+D1483*78.233)*43758.5453,1),1E-9),"")</f>
        <v/>
      </c>
      <c r="G1483">
        <f>IF(B1483,MOD(SIN(Seed*0.5917+C1483*39.3468+D1483*11.135)*24634.6345,1),"")</f>
        <v/>
      </c>
      <c r="H1483">
        <f>IF(B1483,SQRT(-2*LN(F1483))*COS(2*PI()*G1483),"")</f>
        <v/>
      </c>
      <c r="I1483">
        <f>IF(B1483,IF(D1483=0,H1483,Rho*I1482+SQRT(1-Rho^2)*H1483),"")</f>
        <v/>
      </c>
      <c r="J1483">
        <f>IF(B1483,IF(Dist="Normal",DistA+DistB*I1483,DistA+(DistB-DistA)*NORMSDIST(I1483)),"")</f>
        <v/>
      </c>
      <c r="K1483">
        <f>IF(B1483,INDEX(MineScale,C1483),"")</f>
        <v/>
      </c>
      <c r="L1483">
        <f>IF(B1483,INDEX(Dow,1,WEEKDAY(E1483,2)),"")</f>
        <v/>
      </c>
      <c r="M1483">
        <f>IF(B1483,(1+Trend)^D1483,"")</f>
        <v/>
      </c>
      <c r="N1483">
        <f>IF(B1483,EXP(SUMPRODUCT(LN(1+(EvEff-1)*INDEX(Affected,0,C1483)*EXP(-((E1483-EvCenter)^2)/(2*EvSigma^2))))),"")</f>
        <v/>
      </c>
      <c r="O1483">
        <f>IF(B1483,ROUND(MAX(0,J1483*K1483*L1483*M1483*N1483),2),"")</f>
        <v/>
      </c>
    </row>
    <row r="1484">
      <c r="A1484" t="n">
        <v>1483</v>
      </c>
      <c r="B1484">
        <f>A1484&lt;=MineCount*Days</f>
        <v/>
      </c>
      <c r="C1484">
        <f>IF(B1484,INT((A1484-1)/Days)+1,"")</f>
        <v/>
      </c>
      <c r="D1484">
        <f>IF(B1484,MOD(A1484-1,Days),"")</f>
        <v/>
      </c>
      <c r="E1484" s="16">
        <f>IF(B1484,StartDate+D1484,"")</f>
        <v/>
      </c>
      <c r="F1484">
        <f>IF(B1484,MAX(MOD(SIN(Seed*0.1373+C1484*12.9898+D1484*78.233)*43758.5453,1),1E-9),"")</f>
        <v/>
      </c>
      <c r="G1484">
        <f>IF(B1484,MOD(SIN(Seed*0.5917+C1484*39.3468+D1484*11.135)*24634.6345,1),"")</f>
        <v/>
      </c>
      <c r="H1484">
        <f>IF(B1484,SQRT(-2*LN(F1484))*COS(2*PI()*G1484),"")</f>
        <v/>
      </c>
      <c r="I1484">
        <f>IF(B1484,IF(D1484=0,H1484,Rho*I1483+SQRT(1-Rho^2)*H1484),"")</f>
        <v/>
      </c>
      <c r="J1484">
        <f>IF(B1484,IF(Dist="Normal",DistA+DistB*I1484,DistA+(DistB-DistA)*NORMSDIST(I1484)),"")</f>
        <v/>
      </c>
      <c r="K1484">
        <f>IF(B1484,INDEX(MineScale,C1484),"")</f>
        <v/>
      </c>
      <c r="L1484">
        <f>IF(B1484,INDEX(Dow,1,WEEKDAY(E1484,2)),"")</f>
        <v/>
      </c>
      <c r="M1484">
        <f>IF(B1484,(1+Trend)^D1484,"")</f>
        <v/>
      </c>
      <c r="N1484">
        <f>IF(B1484,EXP(SUMPRODUCT(LN(1+(EvEff-1)*INDEX(Affected,0,C1484)*EXP(-((E1484-EvCenter)^2)/(2*EvSigma^2))))),"")</f>
        <v/>
      </c>
      <c r="O1484">
        <f>IF(B1484,ROUND(MAX(0,J1484*K1484*L1484*M1484*N1484),2),"")</f>
        <v/>
      </c>
    </row>
    <row r="1485">
      <c r="A1485" t="n">
        <v>1484</v>
      </c>
      <c r="B1485">
        <f>A1485&lt;=MineCount*Days</f>
        <v/>
      </c>
      <c r="C1485">
        <f>IF(B1485,INT((A1485-1)/Days)+1,"")</f>
        <v/>
      </c>
      <c r="D1485">
        <f>IF(B1485,MOD(A1485-1,Days),"")</f>
        <v/>
      </c>
      <c r="E1485" s="16">
        <f>IF(B1485,StartDate+D1485,"")</f>
        <v/>
      </c>
      <c r="F1485">
        <f>IF(B1485,MAX(MOD(SIN(Seed*0.1373+C1485*12.9898+D1485*78.233)*43758.5453,1),1E-9),"")</f>
        <v/>
      </c>
      <c r="G1485">
        <f>IF(B1485,MOD(SIN(Seed*0.5917+C1485*39.3468+D1485*11.135)*24634.6345,1),"")</f>
        <v/>
      </c>
      <c r="H1485">
        <f>IF(B1485,SQRT(-2*LN(F1485))*COS(2*PI()*G1485),"")</f>
        <v/>
      </c>
      <c r="I1485">
        <f>IF(B1485,IF(D1485=0,H1485,Rho*I1484+SQRT(1-Rho^2)*H1485),"")</f>
        <v/>
      </c>
      <c r="J1485">
        <f>IF(B1485,IF(Dist="Normal",DistA+DistB*I1485,DistA+(DistB-DistA)*NORMSDIST(I1485)),"")</f>
        <v/>
      </c>
      <c r="K1485">
        <f>IF(B1485,INDEX(MineScale,C1485),"")</f>
        <v/>
      </c>
      <c r="L1485">
        <f>IF(B1485,INDEX(Dow,1,WEEKDAY(E1485,2)),"")</f>
        <v/>
      </c>
      <c r="M1485">
        <f>IF(B1485,(1+Trend)^D1485,"")</f>
        <v/>
      </c>
      <c r="N1485">
        <f>IF(B1485,EXP(SUMPRODUCT(LN(1+(EvEff-1)*INDEX(Affected,0,C1485)*EXP(-((E1485-EvCenter)^2)/(2*EvSigma^2))))),"")</f>
        <v/>
      </c>
      <c r="O1485">
        <f>IF(B1485,ROUND(MAX(0,J1485*K1485*L1485*M1485*N1485),2),"")</f>
        <v/>
      </c>
    </row>
    <row r="1486">
      <c r="A1486" t="n">
        <v>1485</v>
      </c>
      <c r="B1486">
        <f>A1486&lt;=MineCount*Days</f>
        <v/>
      </c>
      <c r="C1486">
        <f>IF(B1486,INT((A1486-1)/Days)+1,"")</f>
        <v/>
      </c>
      <c r="D1486">
        <f>IF(B1486,MOD(A1486-1,Days),"")</f>
        <v/>
      </c>
      <c r="E1486" s="16">
        <f>IF(B1486,StartDate+D1486,"")</f>
        <v/>
      </c>
      <c r="F1486">
        <f>IF(B1486,MAX(MOD(SIN(Seed*0.1373+C1486*12.9898+D1486*78.233)*43758.5453,1),1E-9),"")</f>
        <v/>
      </c>
      <c r="G1486">
        <f>IF(B1486,MOD(SIN(Seed*0.5917+C1486*39.3468+D1486*11.135)*24634.6345,1),"")</f>
        <v/>
      </c>
      <c r="H1486">
        <f>IF(B1486,SQRT(-2*LN(F1486))*COS(2*PI()*G1486),"")</f>
        <v/>
      </c>
      <c r="I1486">
        <f>IF(B1486,IF(D1486=0,H1486,Rho*I1485+SQRT(1-Rho^2)*H1486),"")</f>
        <v/>
      </c>
      <c r="J1486">
        <f>IF(B1486,IF(Dist="Normal",DistA+DistB*I1486,DistA+(DistB-DistA)*NORMSDIST(I1486)),"")</f>
        <v/>
      </c>
      <c r="K1486">
        <f>IF(B1486,INDEX(MineScale,C1486),"")</f>
        <v/>
      </c>
      <c r="L1486">
        <f>IF(B1486,INDEX(Dow,1,WEEKDAY(E1486,2)),"")</f>
        <v/>
      </c>
      <c r="M1486">
        <f>IF(B1486,(1+Trend)^D1486,"")</f>
        <v/>
      </c>
      <c r="N1486">
        <f>IF(B1486,EXP(SUMPRODUCT(LN(1+(EvEff-1)*INDEX(Affected,0,C1486)*EXP(-((E1486-EvCenter)^2)/(2*EvSigma^2))))),"")</f>
        <v/>
      </c>
      <c r="O1486">
        <f>IF(B1486,ROUND(MAX(0,J1486*K1486*L1486*M1486*N1486),2),"")</f>
        <v/>
      </c>
    </row>
    <row r="1487">
      <c r="A1487" t="n">
        <v>1486</v>
      </c>
      <c r="B1487">
        <f>A1487&lt;=MineCount*Days</f>
        <v/>
      </c>
      <c r="C1487">
        <f>IF(B1487,INT((A1487-1)/Days)+1,"")</f>
        <v/>
      </c>
      <c r="D1487">
        <f>IF(B1487,MOD(A1487-1,Days),"")</f>
        <v/>
      </c>
      <c r="E1487" s="16">
        <f>IF(B1487,StartDate+D1487,"")</f>
        <v/>
      </c>
      <c r="F1487">
        <f>IF(B1487,MAX(MOD(SIN(Seed*0.1373+C1487*12.9898+D1487*78.233)*43758.5453,1),1E-9),"")</f>
        <v/>
      </c>
      <c r="G1487">
        <f>IF(B1487,MOD(SIN(Seed*0.5917+C1487*39.3468+D1487*11.135)*24634.6345,1),"")</f>
        <v/>
      </c>
      <c r="H1487">
        <f>IF(B1487,SQRT(-2*LN(F1487))*COS(2*PI()*G1487),"")</f>
        <v/>
      </c>
      <c r="I1487">
        <f>IF(B1487,IF(D1487=0,H1487,Rho*I1486+SQRT(1-Rho^2)*H1487),"")</f>
        <v/>
      </c>
      <c r="J1487">
        <f>IF(B1487,IF(Dist="Normal",DistA+DistB*I1487,DistA+(DistB-DistA)*NORMSDIST(I1487)),"")</f>
        <v/>
      </c>
      <c r="K1487">
        <f>IF(B1487,INDEX(MineScale,C1487),"")</f>
        <v/>
      </c>
      <c r="L1487">
        <f>IF(B1487,INDEX(Dow,1,WEEKDAY(E1487,2)),"")</f>
        <v/>
      </c>
      <c r="M1487">
        <f>IF(B1487,(1+Trend)^D1487,"")</f>
        <v/>
      </c>
      <c r="N1487">
        <f>IF(B1487,EXP(SUMPRODUCT(LN(1+(EvEff-1)*INDEX(Affected,0,C1487)*EXP(-((E1487-EvCenter)^2)/(2*EvSigma^2))))),"")</f>
        <v/>
      </c>
      <c r="O1487">
        <f>IF(B1487,ROUND(MAX(0,J1487*K1487*L1487*M1487*N1487),2),"")</f>
        <v/>
      </c>
    </row>
    <row r="1488">
      <c r="A1488" t="n">
        <v>1487</v>
      </c>
      <c r="B1488">
        <f>A1488&lt;=MineCount*Days</f>
        <v/>
      </c>
      <c r="C1488">
        <f>IF(B1488,INT((A1488-1)/Days)+1,"")</f>
        <v/>
      </c>
      <c r="D1488">
        <f>IF(B1488,MOD(A1488-1,Days),"")</f>
        <v/>
      </c>
      <c r="E1488" s="16">
        <f>IF(B1488,StartDate+D1488,"")</f>
        <v/>
      </c>
      <c r="F1488">
        <f>IF(B1488,MAX(MOD(SIN(Seed*0.1373+C1488*12.9898+D1488*78.233)*43758.5453,1),1E-9),"")</f>
        <v/>
      </c>
      <c r="G1488">
        <f>IF(B1488,MOD(SIN(Seed*0.5917+C1488*39.3468+D1488*11.135)*24634.6345,1),"")</f>
        <v/>
      </c>
      <c r="H1488">
        <f>IF(B1488,SQRT(-2*LN(F1488))*COS(2*PI()*G1488),"")</f>
        <v/>
      </c>
      <c r="I1488">
        <f>IF(B1488,IF(D1488=0,H1488,Rho*I1487+SQRT(1-Rho^2)*H1488),"")</f>
        <v/>
      </c>
      <c r="J1488">
        <f>IF(B1488,IF(Dist="Normal",DistA+DistB*I1488,DistA+(DistB-DistA)*NORMSDIST(I1488)),"")</f>
        <v/>
      </c>
      <c r="K1488">
        <f>IF(B1488,INDEX(MineScale,C1488),"")</f>
        <v/>
      </c>
      <c r="L1488">
        <f>IF(B1488,INDEX(Dow,1,WEEKDAY(E1488,2)),"")</f>
        <v/>
      </c>
      <c r="M1488">
        <f>IF(B1488,(1+Trend)^D1488,"")</f>
        <v/>
      </c>
      <c r="N1488">
        <f>IF(B1488,EXP(SUMPRODUCT(LN(1+(EvEff-1)*INDEX(Affected,0,C1488)*EXP(-((E1488-EvCenter)^2)/(2*EvSigma^2))))),"")</f>
        <v/>
      </c>
      <c r="O1488">
        <f>IF(B1488,ROUND(MAX(0,J1488*K1488*L1488*M1488*N1488),2),"")</f>
        <v/>
      </c>
    </row>
    <row r="1489">
      <c r="A1489" t="n">
        <v>1488</v>
      </c>
      <c r="B1489">
        <f>A1489&lt;=MineCount*Days</f>
        <v/>
      </c>
      <c r="C1489">
        <f>IF(B1489,INT((A1489-1)/Days)+1,"")</f>
        <v/>
      </c>
      <c r="D1489">
        <f>IF(B1489,MOD(A1489-1,Days),"")</f>
        <v/>
      </c>
      <c r="E1489" s="16">
        <f>IF(B1489,StartDate+D1489,"")</f>
        <v/>
      </c>
      <c r="F1489">
        <f>IF(B1489,MAX(MOD(SIN(Seed*0.1373+C1489*12.9898+D1489*78.233)*43758.5453,1),1E-9),"")</f>
        <v/>
      </c>
      <c r="G1489">
        <f>IF(B1489,MOD(SIN(Seed*0.5917+C1489*39.3468+D1489*11.135)*24634.6345,1),"")</f>
        <v/>
      </c>
      <c r="H1489">
        <f>IF(B1489,SQRT(-2*LN(F1489))*COS(2*PI()*G1489),"")</f>
        <v/>
      </c>
      <c r="I1489">
        <f>IF(B1489,IF(D1489=0,H1489,Rho*I1488+SQRT(1-Rho^2)*H1489),"")</f>
        <v/>
      </c>
      <c r="J1489">
        <f>IF(B1489,IF(Dist="Normal",DistA+DistB*I1489,DistA+(DistB-DistA)*NORMSDIST(I1489)),"")</f>
        <v/>
      </c>
      <c r="K1489">
        <f>IF(B1489,INDEX(MineScale,C1489),"")</f>
        <v/>
      </c>
      <c r="L1489">
        <f>IF(B1489,INDEX(Dow,1,WEEKDAY(E1489,2)),"")</f>
        <v/>
      </c>
      <c r="M1489">
        <f>IF(B1489,(1+Trend)^D1489,"")</f>
        <v/>
      </c>
      <c r="N1489">
        <f>IF(B1489,EXP(SUMPRODUCT(LN(1+(EvEff-1)*INDEX(Affected,0,C1489)*EXP(-((E1489-EvCenter)^2)/(2*EvSigma^2))))),"")</f>
        <v/>
      </c>
      <c r="O1489">
        <f>IF(B1489,ROUND(MAX(0,J1489*K1489*L1489*M1489*N1489),2),"")</f>
        <v/>
      </c>
    </row>
    <row r="1490">
      <c r="A1490" t="n">
        <v>1489</v>
      </c>
      <c r="B1490">
        <f>A1490&lt;=MineCount*Days</f>
        <v/>
      </c>
      <c r="C1490">
        <f>IF(B1490,INT((A1490-1)/Days)+1,"")</f>
        <v/>
      </c>
      <c r="D1490">
        <f>IF(B1490,MOD(A1490-1,Days),"")</f>
        <v/>
      </c>
      <c r="E1490" s="16">
        <f>IF(B1490,StartDate+D1490,"")</f>
        <v/>
      </c>
      <c r="F1490">
        <f>IF(B1490,MAX(MOD(SIN(Seed*0.1373+C1490*12.9898+D1490*78.233)*43758.5453,1),1E-9),"")</f>
        <v/>
      </c>
      <c r="G1490">
        <f>IF(B1490,MOD(SIN(Seed*0.5917+C1490*39.3468+D1490*11.135)*24634.6345,1),"")</f>
        <v/>
      </c>
      <c r="H1490">
        <f>IF(B1490,SQRT(-2*LN(F1490))*COS(2*PI()*G1490),"")</f>
        <v/>
      </c>
      <c r="I1490">
        <f>IF(B1490,IF(D1490=0,H1490,Rho*I1489+SQRT(1-Rho^2)*H1490),"")</f>
        <v/>
      </c>
      <c r="J1490">
        <f>IF(B1490,IF(Dist="Normal",DistA+DistB*I1490,DistA+(DistB-DistA)*NORMSDIST(I1490)),"")</f>
        <v/>
      </c>
      <c r="K1490">
        <f>IF(B1490,INDEX(MineScale,C1490),"")</f>
        <v/>
      </c>
      <c r="L1490">
        <f>IF(B1490,INDEX(Dow,1,WEEKDAY(E1490,2)),"")</f>
        <v/>
      </c>
      <c r="M1490">
        <f>IF(B1490,(1+Trend)^D1490,"")</f>
        <v/>
      </c>
      <c r="N1490">
        <f>IF(B1490,EXP(SUMPRODUCT(LN(1+(EvEff-1)*INDEX(Affected,0,C1490)*EXP(-((E1490-EvCenter)^2)/(2*EvSigma^2))))),"")</f>
        <v/>
      </c>
      <c r="O1490">
        <f>IF(B1490,ROUND(MAX(0,J1490*K1490*L1490*M1490*N1490),2),"")</f>
        <v/>
      </c>
    </row>
    <row r="1491">
      <c r="A1491" t="n">
        <v>1490</v>
      </c>
      <c r="B1491">
        <f>A1491&lt;=MineCount*Days</f>
        <v/>
      </c>
      <c r="C1491">
        <f>IF(B1491,INT((A1491-1)/Days)+1,"")</f>
        <v/>
      </c>
      <c r="D1491">
        <f>IF(B1491,MOD(A1491-1,Days),"")</f>
        <v/>
      </c>
      <c r="E1491" s="16">
        <f>IF(B1491,StartDate+D1491,"")</f>
        <v/>
      </c>
      <c r="F1491">
        <f>IF(B1491,MAX(MOD(SIN(Seed*0.1373+C1491*12.9898+D1491*78.233)*43758.5453,1),1E-9),"")</f>
        <v/>
      </c>
      <c r="G1491">
        <f>IF(B1491,MOD(SIN(Seed*0.5917+C1491*39.3468+D1491*11.135)*24634.6345,1),"")</f>
        <v/>
      </c>
      <c r="H1491">
        <f>IF(B1491,SQRT(-2*LN(F1491))*COS(2*PI()*G1491),"")</f>
        <v/>
      </c>
      <c r="I1491">
        <f>IF(B1491,IF(D1491=0,H1491,Rho*I1490+SQRT(1-Rho^2)*H1491),"")</f>
        <v/>
      </c>
      <c r="J1491">
        <f>IF(B1491,IF(Dist="Normal",DistA+DistB*I1491,DistA+(DistB-DistA)*NORMSDIST(I1491)),"")</f>
        <v/>
      </c>
      <c r="K1491">
        <f>IF(B1491,INDEX(MineScale,C1491),"")</f>
        <v/>
      </c>
      <c r="L1491">
        <f>IF(B1491,INDEX(Dow,1,WEEKDAY(E1491,2)),"")</f>
        <v/>
      </c>
      <c r="M1491">
        <f>IF(B1491,(1+Trend)^D1491,"")</f>
        <v/>
      </c>
      <c r="N1491">
        <f>IF(B1491,EXP(SUMPRODUCT(LN(1+(EvEff-1)*INDEX(Affected,0,C1491)*EXP(-((E1491-EvCenter)^2)/(2*EvSigma^2))))),"")</f>
        <v/>
      </c>
      <c r="O1491">
        <f>IF(B1491,ROUND(MAX(0,J1491*K1491*L1491*M1491*N1491),2),"")</f>
        <v/>
      </c>
    </row>
    <row r="1492">
      <c r="A1492" t="n">
        <v>1491</v>
      </c>
      <c r="B1492">
        <f>A1492&lt;=MineCount*Days</f>
        <v/>
      </c>
      <c r="C1492">
        <f>IF(B1492,INT((A1492-1)/Days)+1,"")</f>
        <v/>
      </c>
      <c r="D1492">
        <f>IF(B1492,MOD(A1492-1,Days),"")</f>
        <v/>
      </c>
      <c r="E1492" s="16">
        <f>IF(B1492,StartDate+D1492,"")</f>
        <v/>
      </c>
      <c r="F1492">
        <f>IF(B1492,MAX(MOD(SIN(Seed*0.1373+C1492*12.9898+D1492*78.233)*43758.5453,1),1E-9),"")</f>
        <v/>
      </c>
      <c r="G1492">
        <f>IF(B1492,MOD(SIN(Seed*0.5917+C1492*39.3468+D1492*11.135)*24634.6345,1),"")</f>
        <v/>
      </c>
      <c r="H1492">
        <f>IF(B1492,SQRT(-2*LN(F1492))*COS(2*PI()*G1492),"")</f>
        <v/>
      </c>
      <c r="I1492">
        <f>IF(B1492,IF(D1492=0,H1492,Rho*I1491+SQRT(1-Rho^2)*H1492),"")</f>
        <v/>
      </c>
      <c r="J1492">
        <f>IF(B1492,IF(Dist="Normal",DistA+DistB*I1492,DistA+(DistB-DistA)*NORMSDIST(I1492)),"")</f>
        <v/>
      </c>
      <c r="K1492">
        <f>IF(B1492,INDEX(MineScale,C1492),"")</f>
        <v/>
      </c>
      <c r="L1492">
        <f>IF(B1492,INDEX(Dow,1,WEEKDAY(E1492,2)),"")</f>
        <v/>
      </c>
      <c r="M1492">
        <f>IF(B1492,(1+Trend)^D1492,"")</f>
        <v/>
      </c>
      <c r="N1492">
        <f>IF(B1492,EXP(SUMPRODUCT(LN(1+(EvEff-1)*INDEX(Affected,0,C1492)*EXP(-((E1492-EvCenter)^2)/(2*EvSigma^2))))),"")</f>
        <v/>
      </c>
      <c r="O1492">
        <f>IF(B1492,ROUND(MAX(0,J1492*K1492*L1492*M1492*N1492),2),"")</f>
        <v/>
      </c>
    </row>
    <row r="1493">
      <c r="A1493" t="n">
        <v>1492</v>
      </c>
      <c r="B1493">
        <f>A1493&lt;=MineCount*Days</f>
        <v/>
      </c>
      <c r="C1493">
        <f>IF(B1493,INT((A1493-1)/Days)+1,"")</f>
        <v/>
      </c>
      <c r="D1493">
        <f>IF(B1493,MOD(A1493-1,Days),"")</f>
        <v/>
      </c>
      <c r="E1493" s="16">
        <f>IF(B1493,StartDate+D1493,"")</f>
        <v/>
      </c>
      <c r="F1493">
        <f>IF(B1493,MAX(MOD(SIN(Seed*0.1373+C1493*12.9898+D1493*78.233)*43758.5453,1),1E-9),"")</f>
        <v/>
      </c>
      <c r="G1493">
        <f>IF(B1493,MOD(SIN(Seed*0.5917+C1493*39.3468+D1493*11.135)*24634.6345,1),"")</f>
        <v/>
      </c>
      <c r="H1493">
        <f>IF(B1493,SQRT(-2*LN(F1493))*COS(2*PI()*G1493),"")</f>
        <v/>
      </c>
      <c r="I1493">
        <f>IF(B1493,IF(D1493=0,H1493,Rho*I1492+SQRT(1-Rho^2)*H1493),"")</f>
        <v/>
      </c>
      <c r="J1493">
        <f>IF(B1493,IF(Dist="Normal",DistA+DistB*I1493,DistA+(DistB-DistA)*NORMSDIST(I1493)),"")</f>
        <v/>
      </c>
      <c r="K1493">
        <f>IF(B1493,INDEX(MineScale,C1493),"")</f>
        <v/>
      </c>
      <c r="L1493">
        <f>IF(B1493,INDEX(Dow,1,WEEKDAY(E1493,2)),"")</f>
        <v/>
      </c>
      <c r="M1493">
        <f>IF(B1493,(1+Trend)^D1493,"")</f>
        <v/>
      </c>
      <c r="N1493">
        <f>IF(B1493,EXP(SUMPRODUCT(LN(1+(EvEff-1)*INDEX(Affected,0,C1493)*EXP(-((E1493-EvCenter)^2)/(2*EvSigma^2))))),"")</f>
        <v/>
      </c>
      <c r="O1493">
        <f>IF(B1493,ROUND(MAX(0,J1493*K1493*L1493*M1493*N1493),2),"")</f>
        <v/>
      </c>
    </row>
    <row r="1494">
      <c r="A1494" t="n">
        <v>1493</v>
      </c>
      <c r="B1494">
        <f>A1494&lt;=MineCount*Days</f>
        <v/>
      </c>
      <c r="C1494">
        <f>IF(B1494,INT((A1494-1)/Days)+1,"")</f>
        <v/>
      </c>
      <c r="D1494">
        <f>IF(B1494,MOD(A1494-1,Days),"")</f>
        <v/>
      </c>
      <c r="E1494" s="16">
        <f>IF(B1494,StartDate+D1494,"")</f>
        <v/>
      </c>
      <c r="F1494">
        <f>IF(B1494,MAX(MOD(SIN(Seed*0.1373+C1494*12.9898+D1494*78.233)*43758.5453,1),1E-9),"")</f>
        <v/>
      </c>
      <c r="G1494">
        <f>IF(B1494,MOD(SIN(Seed*0.5917+C1494*39.3468+D1494*11.135)*24634.6345,1),"")</f>
        <v/>
      </c>
      <c r="H1494">
        <f>IF(B1494,SQRT(-2*LN(F1494))*COS(2*PI()*G1494),"")</f>
        <v/>
      </c>
      <c r="I1494">
        <f>IF(B1494,IF(D1494=0,H1494,Rho*I1493+SQRT(1-Rho^2)*H1494),"")</f>
        <v/>
      </c>
      <c r="J1494">
        <f>IF(B1494,IF(Dist="Normal",DistA+DistB*I1494,DistA+(DistB-DistA)*NORMSDIST(I1494)),"")</f>
        <v/>
      </c>
      <c r="K1494">
        <f>IF(B1494,INDEX(MineScale,C1494),"")</f>
        <v/>
      </c>
      <c r="L1494">
        <f>IF(B1494,INDEX(Dow,1,WEEKDAY(E1494,2)),"")</f>
        <v/>
      </c>
      <c r="M1494">
        <f>IF(B1494,(1+Trend)^D1494,"")</f>
        <v/>
      </c>
      <c r="N1494">
        <f>IF(B1494,EXP(SUMPRODUCT(LN(1+(EvEff-1)*INDEX(Affected,0,C1494)*EXP(-((E1494-EvCenter)^2)/(2*EvSigma^2))))),"")</f>
        <v/>
      </c>
      <c r="O1494">
        <f>IF(B1494,ROUND(MAX(0,J1494*K1494*L1494*M1494*N1494),2),"")</f>
        <v/>
      </c>
    </row>
    <row r="1495">
      <c r="A1495" t="n">
        <v>1494</v>
      </c>
      <c r="B1495">
        <f>A1495&lt;=MineCount*Days</f>
        <v/>
      </c>
      <c r="C1495">
        <f>IF(B1495,INT((A1495-1)/Days)+1,"")</f>
        <v/>
      </c>
      <c r="D1495">
        <f>IF(B1495,MOD(A1495-1,Days),"")</f>
        <v/>
      </c>
      <c r="E1495" s="16">
        <f>IF(B1495,StartDate+D1495,"")</f>
        <v/>
      </c>
      <c r="F1495">
        <f>IF(B1495,MAX(MOD(SIN(Seed*0.1373+C1495*12.9898+D1495*78.233)*43758.5453,1),1E-9),"")</f>
        <v/>
      </c>
      <c r="G1495">
        <f>IF(B1495,MOD(SIN(Seed*0.5917+C1495*39.3468+D1495*11.135)*24634.6345,1),"")</f>
        <v/>
      </c>
      <c r="H1495">
        <f>IF(B1495,SQRT(-2*LN(F1495))*COS(2*PI()*G1495),"")</f>
        <v/>
      </c>
      <c r="I1495">
        <f>IF(B1495,IF(D1495=0,H1495,Rho*I1494+SQRT(1-Rho^2)*H1495),"")</f>
        <v/>
      </c>
      <c r="J1495">
        <f>IF(B1495,IF(Dist="Normal",DistA+DistB*I1495,DistA+(DistB-DistA)*NORMSDIST(I1495)),"")</f>
        <v/>
      </c>
      <c r="K1495">
        <f>IF(B1495,INDEX(MineScale,C1495),"")</f>
        <v/>
      </c>
      <c r="L1495">
        <f>IF(B1495,INDEX(Dow,1,WEEKDAY(E1495,2)),"")</f>
        <v/>
      </c>
      <c r="M1495">
        <f>IF(B1495,(1+Trend)^D1495,"")</f>
        <v/>
      </c>
      <c r="N1495">
        <f>IF(B1495,EXP(SUMPRODUCT(LN(1+(EvEff-1)*INDEX(Affected,0,C1495)*EXP(-((E1495-EvCenter)^2)/(2*EvSigma^2))))),"")</f>
        <v/>
      </c>
      <c r="O1495">
        <f>IF(B1495,ROUND(MAX(0,J1495*K1495*L1495*M1495*N1495),2),"")</f>
        <v/>
      </c>
    </row>
    <row r="1496">
      <c r="A1496" t="n">
        <v>1495</v>
      </c>
      <c r="B1496">
        <f>A1496&lt;=MineCount*Days</f>
        <v/>
      </c>
      <c r="C1496">
        <f>IF(B1496,INT((A1496-1)/Days)+1,"")</f>
        <v/>
      </c>
      <c r="D1496">
        <f>IF(B1496,MOD(A1496-1,Days),"")</f>
        <v/>
      </c>
      <c r="E1496" s="16">
        <f>IF(B1496,StartDate+D1496,"")</f>
        <v/>
      </c>
      <c r="F1496">
        <f>IF(B1496,MAX(MOD(SIN(Seed*0.1373+C1496*12.9898+D1496*78.233)*43758.5453,1),1E-9),"")</f>
        <v/>
      </c>
      <c r="G1496">
        <f>IF(B1496,MOD(SIN(Seed*0.5917+C1496*39.3468+D1496*11.135)*24634.6345,1),"")</f>
        <v/>
      </c>
      <c r="H1496">
        <f>IF(B1496,SQRT(-2*LN(F1496))*COS(2*PI()*G1496),"")</f>
        <v/>
      </c>
      <c r="I1496">
        <f>IF(B1496,IF(D1496=0,H1496,Rho*I1495+SQRT(1-Rho^2)*H1496),"")</f>
        <v/>
      </c>
      <c r="J1496">
        <f>IF(B1496,IF(Dist="Normal",DistA+DistB*I1496,DistA+(DistB-DistA)*NORMSDIST(I1496)),"")</f>
        <v/>
      </c>
      <c r="K1496">
        <f>IF(B1496,INDEX(MineScale,C1496),"")</f>
        <v/>
      </c>
      <c r="L1496">
        <f>IF(B1496,INDEX(Dow,1,WEEKDAY(E1496,2)),"")</f>
        <v/>
      </c>
      <c r="M1496">
        <f>IF(B1496,(1+Trend)^D1496,"")</f>
        <v/>
      </c>
      <c r="N1496">
        <f>IF(B1496,EXP(SUMPRODUCT(LN(1+(EvEff-1)*INDEX(Affected,0,C1496)*EXP(-((E1496-EvCenter)^2)/(2*EvSigma^2))))),"")</f>
        <v/>
      </c>
      <c r="O1496">
        <f>IF(B1496,ROUND(MAX(0,J1496*K1496*L1496*M1496*N1496),2),"")</f>
        <v/>
      </c>
    </row>
    <row r="1497">
      <c r="A1497" t="n">
        <v>1496</v>
      </c>
      <c r="B1497">
        <f>A1497&lt;=MineCount*Days</f>
        <v/>
      </c>
      <c r="C1497">
        <f>IF(B1497,INT((A1497-1)/Days)+1,"")</f>
        <v/>
      </c>
      <c r="D1497">
        <f>IF(B1497,MOD(A1497-1,Days),"")</f>
        <v/>
      </c>
      <c r="E1497" s="16">
        <f>IF(B1497,StartDate+D1497,"")</f>
        <v/>
      </c>
      <c r="F1497">
        <f>IF(B1497,MAX(MOD(SIN(Seed*0.1373+C1497*12.9898+D1497*78.233)*43758.5453,1),1E-9),"")</f>
        <v/>
      </c>
      <c r="G1497">
        <f>IF(B1497,MOD(SIN(Seed*0.5917+C1497*39.3468+D1497*11.135)*24634.6345,1),"")</f>
        <v/>
      </c>
      <c r="H1497">
        <f>IF(B1497,SQRT(-2*LN(F1497))*COS(2*PI()*G1497),"")</f>
        <v/>
      </c>
      <c r="I1497">
        <f>IF(B1497,IF(D1497=0,H1497,Rho*I1496+SQRT(1-Rho^2)*H1497),"")</f>
        <v/>
      </c>
      <c r="J1497">
        <f>IF(B1497,IF(Dist="Normal",DistA+DistB*I1497,DistA+(DistB-DistA)*NORMSDIST(I1497)),"")</f>
        <v/>
      </c>
      <c r="K1497">
        <f>IF(B1497,INDEX(MineScale,C1497),"")</f>
        <v/>
      </c>
      <c r="L1497">
        <f>IF(B1497,INDEX(Dow,1,WEEKDAY(E1497,2)),"")</f>
        <v/>
      </c>
      <c r="M1497">
        <f>IF(B1497,(1+Trend)^D1497,"")</f>
        <v/>
      </c>
      <c r="N1497">
        <f>IF(B1497,EXP(SUMPRODUCT(LN(1+(EvEff-1)*INDEX(Affected,0,C1497)*EXP(-((E1497-EvCenter)^2)/(2*EvSigma^2))))),"")</f>
        <v/>
      </c>
      <c r="O1497">
        <f>IF(B1497,ROUND(MAX(0,J1497*K1497*L1497*M1497*N1497),2),"")</f>
        <v/>
      </c>
    </row>
    <row r="1498">
      <c r="A1498" t="n">
        <v>1497</v>
      </c>
      <c r="B1498">
        <f>A1498&lt;=MineCount*Days</f>
        <v/>
      </c>
      <c r="C1498">
        <f>IF(B1498,INT((A1498-1)/Days)+1,"")</f>
        <v/>
      </c>
      <c r="D1498">
        <f>IF(B1498,MOD(A1498-1,Days),"")</f>
        <v/>
      </c>
      <c r="E1498" s="16">
        <f>IF(B1498,StartDate+D1498,"")</f>
        <v/>
      </c>
      <c r="F1498">
        <f>IF(B1498,MAX(MOD(SIN(Seed*0.1373+C1498*12.9898+D1498*78.233)*43758.5453,1),1E-9),"")</f>
        <v/>
      </c>
      <c r="G1498">
        <f>IF(B1498,MOD(SIN(Seed*0.5917+C1498*39.3468+D1498*11.135)*24634.6345,1),"")</f>
        <v/>
      </c>
      <c r="H1498">
        <f>IF(B1498,SQRT(-2*LN(F1498))*COS(2*PI()*G1498),"")</f>
        <v/>
      </c>
      <c r="I1498">
        <f>IF(B1498,IF(D1498=0,H1498,Rho*I1497+SQRT(1-Rho^2)*H1498),"")</f>
        <v/>
      </c>
      <c r="J1498">
        <f>IF(B1498,IF(Dist="Normal",DistA+DistB*I1498,DistA+(DistB-DistA)*NORMSDIST(I1498)),"")</f>
        <v/>
      </c>
      <c r="K1498">
        <f>IF(B1498,INDEX(MineScale,C1498),"")</f>
        <v/>
      </c>
      <c r="L1498">
        <f>IF(B1498,INDEX(Dow,1,WEEKDAY(E1498,2)),"")</f>
        <v/>
      </c>
      <c r="M1498">
        <f>IF(B1498,(1+Trend)^D1498,"")</f>
        <v/>
      </c>
      <c r="N1498">
        <f>IF(B1498,EXP(SUMPRODUCT(LN(1+(EvEff-1)*INDEX(Affected,0,C1498)*EXP(-((E1498-EvCenter)^2)/(2*EvSigma^2))))),"")</f>
        <v/>
      </c>
      <c r="O1498">
        <f>IF(B1498,ROUND(MAX(0,J1498*K1498*L1498*M1498*N1498),2),"")</f>
        <v/>
      </c>
    </row>
    <row r="1499">
      <c r="A1499" t="n">
        <v>1498</v>
      </c>
      <c r="B1499">
        <f>A1499&lt;=MineCount*Days</f>
        <v/>
      </c>
      <c r="C1499">
        <f>IF(B1499,INT((A1499-1)/Days)+1,"")</f>
        <v/>
      </c>
      <c r="D1499">
        <f>IF(B1499,MOD(A1499-1,Days),"")</f>
        <v/>
      </c>
      <c r="E1499" s="16">
        <f>IF(B1499,StartDate+D1499,"")</f>
        <v/>
      </c>
      <c r="F1499">
        <f>IF(B1499,MAX(MOD(SIN(Seed*0.1373+C1499*12.9898+D1499*78.233)*43758.5453,1),1E-9),"")</f>
        <v/>
      </c>
      <c r="G1499">
        <f>IF(B1499,MOD(SIN(Seed*0.5917+C1499*39.3468+D1499*11.135)*24634.6345,1),"")</f>
        <v/>
      </c>
      <c r="H1499">
        <f>IF(B1499,SQRT(-2*LN(F1499))*COS(2*PI()*G1499),"")</f>
        <v/>
      </c>
      <c r="I1499">
        <f>IF(B1499,IF(D1499=0,H1499,Rho*I1498+SQRT(1-Rho^2)*H1499),"")</f>
        <v/>
      </c>
      <c r="J1499">
        <f>IF(B1499,IF(Dist="Normal",DistA+DistB*I1499,DistA+(DistB-DistA)*NORMSDIST(I1499)),"")</f>
        <v/>
      </c>
      <c r="K1499">
        <f>IF(B1499,INDEX(MineScale,C1499),"")</f>
        <v/>
      </c>
      <c r="L1499">
        <f>IF(B1499,INDEX(Dow,1,WEEKDAY(E1499,2)),"")</f>
        <v/>
      </c>
      <c r="M1499">
        <f>IF(B1499,(1+Trend)^D1499,"")</f>
        <v/>
      </c>
      <c r="N1499">
        <f>IF(B1499,EXP(SUMPRODUCT(LN(1+(EvEff-1)*INDEX(Affected,0,C1499)*EXP(-((E1499-EvCenter)^2)/(2*EvSigma^2))))),"")</f>
        <v/>
      </c>
      <c r="O1499">
        <f>IF(B1499,ROUND(MAX(0,J1499*K1499*L1499*M1499*N1499),2),"")</f>
        <v/>
      </c>
    </row>
    <row r="1500">
      <c r="A1500" t="n">
        <v>1499</v>
      </c>
      <c r="B1500">
        <f>A1500&lt;=MineCount*Days</f>
        <v/>
      </c>
      <c r="C1500">
        <f>IF(B1500,INT((A1500-1)/Days)+1,"")</f>
        <v/>
      </c>
      <c r="D1500">
        <f>IF(B1500,MOD(A1500-1,Days),"")</f>
        <v/>
      </c>
      <c r="E1500" s="16">
        <f>IF(B1500,StartDate+D1500,"")</f>
        <v/>
      </c>
      <c r="F1500">
        <f>IF(B1500,MAX(MOD(SIN(Seed*0.1373+C1500*12.9898+D1500*78.233)*43758.5453,1),1E-9),"")</f>
        <v/>
      </c>
      <c r="G1500">
        <f>IF(B1500,MOD(SIN(Seed*0.5917+C1500*39.3468+D1500*11.135)*24634.6345,1),"")</f>
        <v/>
      </c>
      <c r="H1500">
        <f>IF(B1500,SQRT(-2*LN(F1500))*COS(2*PI()*G1500),"")</f>
        <v/>
      </c>
      <c r="I1500">
        <f>IF(B1500,IF(D1500=0,H1500,Rho*I1499+SQRT(1-Rho^2)*H1500),"")</f>
        <v/>
      </c>
      <c r="J1500">
        <f>IF(B1500,IF(Dist="Normal",DistA+DistB*I1500,DistA+(DistB-DistA)*NORMSDIST(I1500)),"")</f>
        <v/>
      </c>
      <c r="K1500">
        <f>IF(B1500,INDEX(MineScale,C1500),"")</f>
        <v/>
      </c>
      <c r="L1500">
        <f>IF(B1500,INDEX(Dow,1,WEEKDAY(E1500,2)),"")</f>
        <v/>
      </c>
      <c r="M1500">
        <f>IF(B1500,(1+Trend)^D1500,"")</f>
        <v/>
      </c>
      <c r="N1500">
        <f>IF(B1500,EXP(SUMPRODUCT(LN(1+(EvEff-1)*INDEX(Affected,0,C1500)*EXP(-((E1500-EvCenter)^2)/(2*EvSigma^2))))),"")</f>
        <v/>
      </c>
      <c r="O1500">
        <f>IF(B1500,ROUND(MAX(0,J1500*K1500*L1500*M1500*N1500),2),"")</f>
        <v/>
      </c>
    </row>
    <row r="1501">
      <c r="A1501" t="n">
        <v>1500</v>
      </c>
      <c r="B1501">
        <f>A1501&lt;=MineCount*Days</f>
        <v/>
      </c>
      <c r="C1501">
        <f>IF(B1501,INT((A1501-1)/Days)+1,"")</f>
        <v/>
      </c>
      <c r="D1501">
        <f>IF(B1501,MOD(A1501-1,Days),"")</f>
        <v/>
      </c>
      <c r="E1501" s="16">
        <f>IF(B1501,StartDate+D1501,"")</f>
        <v/>
      </c>
      <c r="F1501">
        <f>IF(B1501,MAX(MOD(SIN(Seed*0.1373+C1501*12.9898+D1501*78.233)*43758.5453,1),1E-9),"")</f>
        <v/>
      </c>
      <c r="G1501">
        <f>IF(B1501,MOD(SIN(Seed*0.5917+C1501*39.3468+D1501*11.135)*24634.6345,1),"")</f>
        <v/>
      </c>
      <c r="H1501">
        <f>IF(B1501,SQRT(-2*LN(F1501))*COS(2*PI()*G1501),"")</f>
        <v/>
      </c>
      <c r="I1501">
        <f>IF(B1501,IF(D1501=0,H1501,Rho*I1500+SQRT(1-Rho^2)*H1501),"")</f>
        <v/>
      </c>
      <c r="J1501">
        <f>IF(B1501,IF(Dist="Normal",DistA+DistB*I1501,DistA+(DistB-DistA)*NORMSDIST(I1501)),"")</f>
        <v/>
      </c>
      <c r="K1501">
        <f>IF(B1501,INDEX(MineScale,C1501),"")</f>
        <v/>
      </c>
      <c r="L1501">
        <f>IF(B1501,INDEX(Dow,1,WEEKDAY(E1501,2)),"")</f>
        <v/>
      </c>
      <c r="M1501">
        <f>IF(B1501,(1+Trend)^D1501,"")</f>
        <v/>
      </c>
      <c r="N1501">
        <f>IF(B1501,EXP(SUMPRODUCT(LN(1+(EvEff-1)*INDEX(Affected,0,C1501)*EXP(-((E1501-EvCenter)^2)/(2*EvSigma^2))))),"")</f>
        <v/>
      </c>
      <c r="O1501">
        <f>IF(B1501,ROUND(MAX(0,J1501*K1501*L1501*M1501*N1501),2),"")</f>
        <v/>
      </c>
    </row>
    <row r="1502">
      <c r="A1502" t="n">
        <v>1501</v>
      </c>
      <c r="B1502">
        <f>A1502&lt;=MineCount*Days</f>
        <v/>
      </c>
      <c r="C1502">
        <f>IF(B1502,INT((A1502-1)/Days)+1,"")</f>
        <v/>
      </c>
      <c r="D1502">
        <f>IF(B1502,MOD(A1502-1,Days),"")</f>
        <v/>
      </c>
      <c r="E1502" s="16">
        <f>IF(B1502,StartDate+D1502,"")</f>
        <v/>
      </c>
      <c r="F1502">
        <f>IF(B1502,MAX(MOD(SIN(Seed*0.1373+C1502*12.9898+D1502*78.233)*43758.5453,1),1E-9),"")</f>
        <v/>
      </c>
      <c r="G1502">
        <f>IF(B1502,MOD(SIN(Seed*0.5917+C1502*39.3468+D1502*11.135)*24634.6345,1),"")</f>
        <v/>
      </c>
      <c r="H1502">
        <f>IF(B1502,SQRT(-2*LN(F1502))*COS(2*PI()*G1502),"")</f>
        <v/>
      </c>
      <c r="I1502">
        <f>IF(B1502,IF(D1502=0,H1502,Rho*I1501+SQRT(1-Rho^2)*H1502),"")</f>
        <v/>
      </c>
      <c r="J1502">
        <f>IF(B1502,IF(Dist="Normal",DistA+DistB*I1502,DistA+(DistB-DistA)*NORMSDIST(I1502)),"")</f>
        <v/>
      </c>
      <c r="K1502">
        <f>IF(B1502,INDEX(MineScale,C1502),"")</f>
        <v/>
      </c>
      <c r="L1502">
        <f>IF(B1502,INDEX(Dow,1,WEEKDAY(E1502,2)),"")</f>
        <v/>
      </c>
      <c r="M1502">
        <f>IF(B1502,(1+Trend)^D1502,"")</f>
        <v/>
      </c>
      <c r="N1502">
        <f>IF(B1502,EXP(SUMPRODUCT(LN(1+(EvEff-1)*INDEX(Affected,0,C1502)*EXP(-((E1502-EvCenter)^2)/(2*EvSigma^2))))),"")</f>
        <v/>
      </c>
      <c r="O1502">
        <f>IF(B1502,ROUND(MAX(0,J1502*K1502*L1502*M1502*N1502),2),"")</f>
        <v/>
      </c>
    </row>
    <row r="1503">
      <c r="A1503" t="n">
        <v>1502</v>
      </c>
      <c r="B1503">
        <f>A1503&lt;=MineCount*Days</f>
        <v/>
      </c>
      <c r="C1503">
        <f>IF(B1503,INT((A1503-1)/Days)+1,"")</f>
        <v/>
      </c>
      <c r="D1503">
        <f>IF(B1503,MOD(A1503-1,Days),"")</f>
        <v/>
      </c>
      <c r="E1503" s="16">
        <f>IF(B1503,StartDate+D1503,"")</f>
        <v/>
      </c>
      <c r="F1503">
        <f>IF(B1503,MAX(MOD(SIN(Seed*0.1373+C1503*12.9898+D1503*78.233)*43758.5453,1),1E-9),"")</f>
        <v/>
      </c>
      <c r="G1503">
        <f>IF(B1503,MOD(SIN(Seed*0.5917+C1503*39.3468+D1503*11.135)*24634.6345,1),"")</f>
        <v/>
      </c>
      <c r="H1503">
        <f>IF(B1503,SQRT(-2*LN(F1503))*COS(2*PI()*G1503),"")</f>
        <v/>
      </c>
      <c r="I1503">
        <f>IF(B1503,IF(D1503=0,H1503,Rho*I1502+SQRT(1-Rho^2)*H1503),"")</f>
        <v/>
      </c>
      <c r="J1503">
        <f>IF(B1503,IF(Dist="Normal",DistA+DistB*I1503,DistA+(DistB-DistA)*NORMSDIST(I1503)),"")</f>
        <v/>
      </c>
      <c r="K1503">
        <f>IF(B1503,INDEX(MineScale,C1503),"")</f>
        <v/>
      </c>
      <c r="L1503">
        <f>IF(B1503,INDEX(Dow,1,WEEKDAY(E1503,2)),"")</f>
        <v/>
      </c>
      <c r="M1503">
        <f>IF(B1503,(1+Trend)^D1503,"")</f>
        <v/>
      </c>
      <c r="N1503">
        <f>IF(B1503,EXP(SUMPRODUCT(LN(1+(EvEff-1)*INDEX(Affected,0,C1503)*EXP(-((E1503-EvCenter)^2)/(2*EvSigma^2))))),"")</f>
        <v/>
      </c>
      <c r="O1503">
        <f>IF(B1503,ROUND(MAX(0,J1503*K1503*L1503*M1503*N1503),2),"")</f>
        <v/>
      </c>
    </row>
    <row r="1504">
      <c r="A1504" t="n">
        <v>1503</v>
      </c>
      <c r="B1504">
        <f>A1504&lt;=MineCount*Days</f>
        <v/>
      </c>
      <c r="C1504">
        <f>IF(B1504,INT((A1504-1)/Days)+1,"")</f>
        <v/>
      </c>
      <c r="D1504">
        <f>IF(B1504,MOD(A1504-1,Days),"")</f>
        <v/>
      </c>
      <c r="E1504" s="16">
        <f>IF(B1504,StartDate+D1504,"")</f>
        <v/>
      </c>
      <c r="F1504">
        <f>IF(B1504,MAX(MOD(SIN(Seed*0.1373+C1504*12.9898+D1504*78.233)*43758.5453,1),1E-9),"")</f>
        <v/>
      </c>
      <c r="G1504">
        <f>IF(B1504,MOD(SIN(Seed*0.5917+C1504*39.3468+D1504*11.135)*24634.6345,1),"")</f>
        <v/>
      </c>
      <c r="H1504">
        <f>IF(B1504,SQRT(-2*LN(F1504))*COS(2*PI()*G1504),"")</f>
        <v/>
      </c>
      <c r="I1504">
        <f>IF(B1504,IF(D1504=0,H1504,Rho*I1503+SQRT(1-Rho^2)*H1504),"")</f>
        <v/>
      </c>
      <c r="J1504">
        <f>IF(B1504,IF(Dist="Normal",DistA+DistB*I1504,DistA+(DistB-DistA)*NORMSDIST(I1504)),"")</f>
        <v/>
      </c>
      <c r="K1504">
        <f>IF(B1504,INDEX(MineScale,C1504),"")</f>
        <v/>
      </c>
      <c r="L1504">
        <f>IF(B1504,INDEX(Dow,1,WEEKDAY(E1504,2)),"")</f>
        <v/>
      </c>
      <c r="M1504">
        <f>IF(B1504,(1+Trend)^D1504,"")</f>
        <v/>
      </c>
      <c r="N1504">
        <f>IF(B1504,EXP(SUMPRODUCT(LN(1+(EvEff-1)*INDEX(Affected,0,C1504)*EXP(-((E1504-EvCenter)^2)/(2*EvSigma^2))))),"")</f>
        <v/>
      </c>
      <c r="O1504">
        <f>IF(B1504,ROUND(MAX(0,J1504*K1504*L1504*M1504*N1504),2),"")</f>
        <v/>
      </c>
    </row>
    <row r="1505">
      <c r="A1505" t="n">
        <v>1504</v>
      </c>
      <c r="B1505">
        <f>A1505&lt;=MineCount*Days</f>
        <v/>
      </c>
      <c r="C1505">
        <f>IF(B1505,INT((A1505-1)/Days)+1,"")</f>
        <v/>
      </c>
      <c r="D1505">
        <f>IF(B1505,MOD(A1505-1,Days),"")</f>
        <v/>
      </c>
      <c r="E1505" s="16">
        <f>IF(B1505,StartDate+D1505,"")</f>
        <v/>
      </c>
      <c r="F1505">
        <f>IF(B1505,MAX(MOD(SIN(Seed*0.1373+C1505*12.9898+D1505*78.233)*43758.5453,1),1E-9),"")</f>
        <v/>
      </c>
      <c r="G1505">
        <f>IF(B1505,MOD(SIN(Seed*0.5917+C1505*39.3468+D1505*11.135)*24634.6345,1),"")</f>
        <v/>
      </c>
      <c r="H1505">
        <f>IF(B1505,SQRT(-2*LN(F1505))*COS(2*PI()*G1505),"")</f>
        <v/>
      </c>
      <c r="I1505">
        <f>IF(B1505,IF(D1505=0,H1505,Rho*I1504+SQRT(1-Rho^2)*H1505),"")</f>
        <v/>
      </c>
      <c r="J1505">
        <f>IF(B1505,IF(Dist="Normal",DistA+DistB*I1505,DistA+(DistB-DistA)*NORMSDIST(I1505)),"")</f>
        <v/>
      </c>
      <c r="K1505">
        <f>IF(B1505,INDEX(MineScale,C1505),"")</f>
        <v/>
      </c>
      <c r="L1505">
        <f>IF(B1505,INDEX(Dow,1,WEEKDAY(E1505,2)),"")</f>
        <v/>
      </c>
      <c r="M1505">
        <f>IF(B1505,(1+Trend)^D1505,"")</f>
        <v/>
      </c>
      <c r="N1505">
        <f>IF(B1505,EXP(SUMPRODUCT(LN(1+(EvEff-1)*INDEX(Affected,0,C1505)*EXP(-((E1505-EvCenter)^2)/(2*EvSigma^2))))),"")</f>
        <v/>
      </c>
      <c r="O1505">
        <f>IF(B1505,ROUND(MAX(0,J1505*K1505*L1505*M1505*N1505),2),"")</f>
        <v/>
      </c>
    </row>
    <row r="1506">
      <c r="A1506" t="n">
        <v>1505</v>
      </c>
      <c r="B1506">
        <f>A1506&lt;=MineCount*Days</f>
        <v/>
      </c>
      <c r="C1506">
        <f>IF(B1506,INT((A1506-1)/Days)+1,"")</f>
        <v/>
      </c>
      <c r="D1506">
        <f>IF(B1506,MOD(A1506-1,Days),"")</f>
        <v/>
      </c>
      <c r="E1506" s="16">
        <f>IF(B1506,StartDate+D1506,"")</f>
        <v/>
      </c>
      <c r="F1506">
        <f>IF(B1506,MAX(MOD(SIN(Seed*0.1373+C1506*12.9898+D1506*78.233)*43758.5453,1),1E-9),"")</f>
        <v/>
      </c>
      <c r="G1506">
        <f>IF(B1506,MOD(SIN(Seed*0.5917+C1506*39.3468+D1506*11.135)*24634.6345,1),"")</f>
        <v/>
      </c>
      <c r="H1506">
        <f>IF(B1506,SQRT(-2*LN(F1506))*COS(2*PI()*G1506),"")</f>
        <v/>
      </c>
      <c r="I1506">
        <f>IF(B1506,IF(D1506=0,H1506,Rho*I1505+SQRT(1-Rho^2)*H1506),"")</f>
        <v/>
      </c>
      <c r="J1506">
        <f>IF(B1506,IF(Dist="Normal",DistA+DistB*I1506,DistA+(DistB-DistA)*NORMSDIST(I1506)),"")</f>
        <v/>
      </c>
      <c r="K1506">
        <f>IF(B1506,INDEX(MineScale,C1506),"")</f>
        <v/>
      </c>
      <c r="L1506">
        <f>IF(B1506,INDEX(Dow,1,WEEKDAY(E1506,2)),"")</f>
        <v/>
      </c>
      <c r="M1506">
        <f>IF(B1506,(1+Trend)^D1506,"")</f>
        <v/>
      </c>
      <c r="N1506">
        <f>IF(B1506,EXP(SUMPRODUCT(LN(1+(EvEff-1)*INDEX(Affected,0,C1506)*EXP(-((E1506-EvCenter)^2)/(2*EvSigma^2))))),"")</f>
        <v/>
      </c>
      <c r="O1506">
        <f>IF(B1506,ROUND(MAX(0,J1506*K1506*L1506*M1506*N1506),2),"")</f>
        <v/>
      </c>
    </row>
    <row r="1507">
      <c r="A1507" t="n">
        <v>1506</v>
      </c>
      <c r="B1507">
        <f>A1507&lt;=MineCount*Days</f>
        <v/>
      </c>
      <c r="C1507">
        <f>IF(B1507,INT((A1507-1)/Days)+1,"")</f>
        <v/>
      </c>
      <c r="D1507">
        <f>IF(B1507,MOD(A1507-1,Days),"")</f>
        <v/>
      </c>
      <c r="E1507" s="16">
        <f>IF(B1507,StartDate+D1507,"")</f>
        <v/>
      </c>
      <c r="F1507">
        <f>IF(B1507,MAX(MOD(SIN(Seed*0.1373+C1507*12.9898+D1507*78.233)*43758.5453,1),1E-9),"")</f>
        <v/>
      </c>
      <c r="G1507">
        <f>IF(B1507,MOD(SIN(Seed*0.5917+C1507*39.3468+D1507*11.135)*24634.6345,1),"")</f>
        <v/>
      </c>
      <c r="H1507">
        <f>IF(B1507,SQRT(-2*LN(F1507))*COS(2*PI()*G1507),"")</f>
        <v/>
      </c>
      <c r="I1507">
        <f>IF(B1507,IF(D1507=0,H1507,Rho*I1506+SQRT(1-Rho^2)*H1507),"")</f>
        <v/>
      </c>
      <c r="J1507">
        <f>IF(B1507,IF(Dist="Normal",DistA+DistB*I1507,DistA+(DistB-DistA)*NORMSDIST(I1507)),"")</f>
        <v/>
      </c>
      <c r="K1507">
        <f>IF(B1507,INDEX(MineScale,C1507),"")</f>
        <v/>
      </c>
      <c r="L1507">
        <f>IF(B1507,INDEX(Dow,1,WEEKDAY(E1507,2)),"")</f>
        <v/>
      </c>
      <c r="M1507">
        <f>IF(B1507,(1+Trend)^D1507,"")</f>
        <v/>
      </c>
      <c r="N1507">
        <f>IF(B1507,EXP(SUMPRODUCT(LN(1+(EvEff-1)*INDEX(Affected,0,C1507)*EXP(-((E1507-EvCenter)^2)/(2*EvSigma^2))))),"")</f>
        <v/>
      </c>
      <c r="O1507">
        <f>IF(B1507,ROUND(MAX(0,J1507*K1507*L1507*M1507*N1507),2),"")</f>
        <v/>
      </c>
    </row>
    <row r="1508">
      <c r="A1508" t="n">
        <v>1507</v>
      </c>
      <c r="B1508">
        <f>A1508&lt;=MineCount*Days</f>
        <v/>
      </c>
      <c r="C1508">
        <f>IF(B1508,INT((A1508-1)/Days)+1,"")</f>
        <v/>
      </c>
      <c r="D1508">
        <f>IF(B1508,MOD(A1508-1,Days),"")</f>
        <v/>
      </c>
      <c r="E1508" s="16">
        <f>IF(B1508,StartDate+D1508,"")</f>
        <v/>
      </c>
      <c r="F1508">
        <f>IF(B1508,MAX(MOD(SIN(Seed*0.1373+C1508*12.9898+D1508*78.233)*43758.5453,1),1E-9),"")</f>
        <v/>
      </c>
      <c r="G1508">
        <f>IF(B1508,MOD(SIN(Seed*0.5917+C1508*39.3468+D1508*11.135)*24634.6345,1),"")</f>
        <v/>
      </c>
      <c r="H1508">
        <f>IF(B1508,SQRT(-2*LN(F1508))*COS(2*PI()*G1508),"")</f>
        <v/>
      </c>
      <c r="I1508">
        <f>IF(B1508,IF(D1508=0,H1508,Rho*I1507+SQRT(1-Rho^2)*H1508),"")</f>
        <v/>
      </c>
      <c r="J1508">
        <f>IF(B1508,IF(Dist="Normal",DistA+DistB*I1508,DistA+(DistB-DistA)*NORMSDIST(I1508)),"")</f>
        <v/>
      </c>
      <c r="K1508">
        <f>IF(B1508,INDEX(MineScale,C1508),"")</f>
        <v/>
      </c>
      <c r="L1508">
        <f>IF(B1508,INDEX(Dow,1,WEEKDAY(E1508,2)),"")</f>
        <v/>
      </c>
      <c r="M1508">
        <f>IF(B1508,(1+Trend)^D1508,"")</f>
        <v/>
      </c>
      <c r="N1508">
        <f>IF(B1508,EXP(SUMPRODUCT(LN(1+(EvEff-1)*INDEX(Affected,0,C1508)*EXP(-((E1508-EvCenter)^2)/(2*EvSigma^2))))),"")</f>
        <v/>
      </c>
      <c r="O1508">
        <f>IF(B1508,ROUND(MAX(0,J1508*K1508*L1508*M1508*N1508),2),"")</f>
        <v/>
      </c>
    </row>
    <row r="1509">
      <c r="A1509" t="n">
        <v>1508</v>
      </c>
      <c r="B1509">
        <f>A1509&lt;=MineCount*Days</f>
        <v/>
      </c>
      <c r="C1509">
        <f>IF(B1509,INT((A1509-1)/Days)+1,"")</f>
        <v/>
      </c>
      <c r="D1509">
        <f>IF(B1509,MOD(A1509-1,Days),"")</f>
        <v/>
      </c>
      <c r="E1509" s="16">
        <f>IF(B1509,StartDate+D1509,"")</f>
        <v/>
      </c>
      <c r="F1509">
        <f>IF(B1509,MAX(MOD(SIN(Seed*0.1373+C1509*12.9898+D1509*78.233)*43758.5453,1),1E-9),"")</f>
        <v/>
      </c>
      <c r="G1509">
        <f>IF(B1509,MOD(SIN(Seed*0.5917+C1509*39.3468+D1509*11.135)*24634.6345,1),"")</f>
        <v/>
      </c>
      <c r="H1509">
        <f>IF(B1509,SQRT(-2*LN(F1509))*COS(2*PI()*G1509),"")</f>
        <v/>
      </c>
      <c r="I1509">
        <f>IF(B1509,IF(D1509=0,H1509,Rho*I1508+SQRT(1-Rho^2)*H1509),"")</f>
        <v/>
      </c>
      <c r="J1509">
        <f>IF(B1509,IF(Dist="Normal",DistA+DistB*I1509,DistA+(DistB-DistA)*NORMSDIST(I1509)),"")</f>
        <v/>
      </c>
      <c r="K1509">
        <f>IF(B1509,INDEX(MineScale,C1509),"")</f>
        <v/>
      </c>
      <c r="L1509">
        <f>IF(B1509,INDEX(Dow,1,WEEKDAY(E1509,2)),"")</f>
        <v/>
      </c>
      <c r="M1509">
        <f>IF(B1509,(1+Trend)^D1509,"")</f>
        <v/>
      </c>
      <c r="N1509">
        <f>IF(B1509,EXP(SUMPRODUCT(LN(1+(EvEff-1)*INDEX(Affected,0,C1509)*EXP(-((E1509-EvCenter)^2)/(2*EvSigma^2))))),"")</f>
        <v/>
      </c>
      <c r="O1509">
        <f>IF(B1509,ROUND(MAX(0,J1509*K1509*L1509*M1509*N1509),2),"")</f>
        <v/>
      </c>
    </row>
    <row r="1510">
      <c r="A1510" t="n">
        <v>1509</v>
      </c>
      <c r="B1510">
        <f>A1510&lt;=MineCount*Days</f>
        <v/>
      </c>
      <c r="C1510">
        <f>IF(B1510,INT((A1510-1)/Days)+1,"")</f>
        <v/>
      </c>
      <c r="D1510">
        <f>IF(B1510,MOD(A1510-1,Days),"")</f>
        <v/>
      </c>
      <c r="E1510" s="16">
        <f>IF(B1510,StartDate+D1510,"")</f>
        <v/>
      </c>
      <c r="F1510">
        <f>IF(B1510,MAX(MOD(SIN(Seed*0.1373+C1510*12.9898+D1510*78.233)*43758.5453,1),1E-9),"")</f>
        <v/>
      </c>
      <c r="G1510">
        <f>IF(B1510,MOD(SIN(Seed*0.5917+C1510*39.3468+D1510*11.135)*24634.6345,1),"")</f>
        <v/>
      </c>
      <c r="H1510">
        <f>IF(B1510,SQRT(-2*LN(F1510))*COS(2*PI()*G1510),"")</f>
        <v/>
      </c>
      <c r="I1510">
        <f>IF(B1510,IF(D1510=0,H1510,Rho*I1509+SQRT(1-Rho^2)*H1510),"")</f>
        <v/>
      </c>
      <c r="J1510">
        <f>IF(B1510,IF(Dist="Normal",DistA+DistB*I1510,DistA+(DistB-DistA)*NORMSDIST(I1510)),"")</f>
        <v/>
      </c>
      <c r="K1510">
        <f>IF(B1510,INDEX(MineScale,C1510),"")</f>
        <v/>
      </c>
      <c r="L1510">
        <f>IF(B1510,INDEX(Dow,1,WEEKDAY(E1510,2)),"")</f>
        <v/>
      </c>
      <c r="M1510">
        <f>IF(B1510,(1+Trend)^D1510,"")</f>
        <v/>
      </c>
      <c r="N1510">
        <f>IF(B1510,EXP(SUMPRODUCT(LN(1+(EvEff-1)*INDEX(Affected,0,C1510)*EXP(-((E1510-EvCenter)^2)/(2*EvSigma^2))))),"")</f>
        <v/>
      </c>
      <c r="O1510">
        <f>IF(B1510,ROUND(MAX(0,J1510*K1510*L1510*M1510*N1510),2),"")</f>
        <v/>
      </c>
    </row>
    <row r="1511">
      <c r="A1511" t="n">
        <v>1510</v>
      </c>
      <c r="B1511">
        <f>A1511&lt;=MineCount*Days</f>
        <v/>
      </c>
      <c r="C1511">
        <f>IF(B1511,INT((A1511-1)/Days)+1,"")</f>
        <v/>
      </c>
      <c r="D1511">
        <f>IF(B1511,MOD(A1511-1,Days),"")</f>
        <v/>
      </c>
      <c r="E1511" s="16">
        <f>IF(B1511,StartDate+D1511,"")</f>
        <v/>
      </c>
      <c r="F1511">
        <f>IF(B1511,MAX(MOD(SIN(Seed*0.1373+C1511*12.9898+D1511*78.233)*43758.5453,1),1E-9),"")</f>
        <v/>
      </c>
      <c r="G1511">
        <f>IF(B1511,MOD(SIN(Seed*0.5917+C1511*39.3468+D1511*11.135)*24634.6345,1),"")</f>
        <v/>
      </c>
      <c r="H1511">
        <f>IF(B1511,SQRT(-2*LN(F1511))*COS(2*PI()*G1511),"")</f>
        <v/>
      </c>
      <c r="I1511">
        <f>IF(B1511,IF(D1511=0,H1511,Rho*I1510+SQRT(1-Rho^2)*H1511),"")</f>
        <v/>
      </c>
      <c r="J1511">
        <f>IF(B1511,IF(Dist="Normal",DistA+DistB*I1511,DistA+(DistB-DistA)*NORMSDIST(I1511)),"")</f>
        <v/>
      </c>
      <c r="K1511">
        <f>IF(B1511,INDEX(MineScale,C1511),"")</f>
        <v/>
      </c>
      <c r="L1511">
        <f>IF(B1511,INDEX(Dow,1,WEEKDAY(E1511,2)),"")</f>
        <v/>
      </c>
      <c r="M1511">
        <f>IF(B1511,(1+Trend)^D1511,"")</f>
        <v/>
      </c>
      <c r="N1511">
        <f>IF(B1511,EXP(SUMPRODUCT(LN(1+(EvEff-1)*INDEX(Affected,0,C1511)*EXP(-((E1511-EvCenter)^2)/(2*EvSigma^2))))),"")</f>
        <v/>
      </c>
      <c r="O1511">
        <f>IF(B1511,ROUND(MAX(0,J1511*K1511*L1511*M1511*N1511),2),"")</f>
        <v/>
      </c>
    </row>
    <row r="1512">
      <c r="A1512" t="n">
        <v>1511</v>
      </c>
      <c r="B1512">
        <f>A1512&lt;=MineCount*Days</f>
        <v/>
      </c>
      <c r="C1512">
        <f>IF(B1512,INT((A1512-1)/Days)+1,"")</f>
        <v/>
      </c>
      <c r="D1512">
        <f>IF(B1512,MOD(A1512-1,Days),"")</f>
        <v/>
      </c>
      <c r="E1512" s="16">
        <f>IF(B1512,StartDate+D1512,"")</f>
        <v/>
      </c>
      <c r="F1512">
        <f>IF(B1512,MAX(MOD(SIN(Seed*0.1373+C1512*12.9898+D1512*78.233)*43758.5453,1),1E-9),"")</f>
        <v/>
      </c>
      <c r="G1512">
        <f>IF(B1512,MOD(SIN(Seed*0.5917+C1512*39.3468+D1512*11.135)*24634.6345,1),"")</f>
        <v/>
      </c>
      <c r="H1512">
        <f>IF(B1512,SQRT(-2*LN(F1512))*COS(2*PI()*G1512),"")</f>
        <v/>
      </c>
      <c r="I1512">
        <f>IF(B1512,IF(D1512=0,H1512,Rho*I1511+SQRT(1-Rho^2)*H1512),"")</f>
        <v/>
      </c>
      <c r="J1512">
        <f>IF(B1512,IF(Dist="Normal",DistA+DistB*I1512,DistA+(DistB-DistA)*NORMSDIST(I1512)),"")</f>
        <v/>
      </c>
      <c r="K1512">
        <f>IF(B1512,INDEX(MineScale,C1512),"")</f>
        <v/>
      </c>
      <c r="L1512">
        <f>IF(B1512,INDEX(Dow,1,WEEKDAY(E1512,2)),"")</f>
        <v/>
      </c>
      <c r="M1512">
        <f>IF(B1512,(1+Trend)^D1512,"")</f>
        <v/>
      </c>
      <c r="N1512">
        <f>IF(B1512,EXP(SUMPRODUCT(LN(1+(EvEff-1)*INDEX(Affected,0,C1512)*EXP(-((E1512-EvCenter)^2)/(2*EvSigma^2))))),"")</f>
        <v/>
      </c>
      <c r="O1512">
        <f>IF(B1512,ROUND(MAX(0,J1512*K1512*L1512*M1512*N1512),2),"")</f>
        <v/>
      </c>
    </row>
    <row r="1513">
      <c r="A1513" t="n">
        <v>1512</v>
      </c>
      <c r="B1513">
        <f>A1513&lt;=MineCount*Days</f>
        <v/>
      </c>
      <c r="C1513">
        <f>IF(B1513,INT((A1513-1)/Days)+1,"")</f>
        <v/>
      </c>
      <c r="D1513">
        <f>IF(B1513,MOD(A1513-1,Days),"")</f>
        <v/>
      </c>
      <c r="E1513" s="16">
        <f>IF(B1513,StartDate+D1513,"")</f>
        <v/>
      </c>
      <c r="F1513">
        <f>IF(B1513,MAX(MOD(SIN(Seed*0.1373+C1513*12.9898+D1513*78.233)*43758.5453,1),1E-9),"")</f>
        <v/>
      </c>
      <c r="G1513">
        <f>IF(B1513,MOD(SIN(Seed*0.5917+C1513*39.3468+D1513*11.135)*24634.6345,1),"")</f>
        <v/>
      </c>
      <c r="H1513">
        <f>IF(B1513,SQRT(-2*LN(F1513))*COS(2*PI()*G1513),"")</f>
        <v/>
      </c>
      <c r="I1513">
        <f>IF(B1513,IF(D1513=0,H1513,Rho*I1512+SQRT(1-Rho^2)*H1513),"")</f>
        <v/>
      </c>
      <c r="J1513">
        <f>IF(B1513,IF(Dist="Normal",DistA+DistB*I1513,DistA+(DistB-DistA)*NORMSDIST(I1513)),"")</f>
        <v/>
      </c>
      <c r="K1513">
        <f>IF(B1513,INDEX(MineScale,C1513),"")</f>
        <v/>
      </c>
      <c r="L1513">
        <f>IF(B1513,INDEX(Dow,1,WEEKDAY(E1513,2)),"")</f>
        <v/>
      </c>
      <c r="M1513">
        <f>IF(B1513,(1+Trend)^D1513,"")</f>
        <v/>
      </c>
      <c r="N1513">
        <f>IF(B1513,EXP(SUMPRODUCT(LN(1+(EvEff-1)*INDEX(Affected,0,C1513)*EXP(-((E1513-EvCenter)^2)/(2*EvSigma^2))))),"")</f>
        <v/>
      </c>
      <c r="O1513">
        <f>IF(B1513,ROUND(MAX(0,J1513*K1513*L1513*M1513*N1513),2),"")</f>
        <v/>
      </c>
    </row>
    <row r="1514">
      <c r="A1514" t="n">
        <v>1513</v>
      </c>
      <c r="B1514">
        <f>A1514&lt;=MineCount*Days</f>
        <v/>
      </c>
      <c r="C1514">
        <f>IF(B1514,INT((A1514-1)/Days)+1,"")</f>
        <v/>
      </c>
      <c r="D1514">
        <f>IF(B1514,MOD(A1514-1,Days),"")</f>
        <v/>
      </c>
      <c r="E1514" s="16">
        <f>IF(B1514,StartDate+D1514,"")</f>
        <v/>
      </c>
      <c r="F1514">
        <f>IF(B1514,MAX(MOD(SIN(Seed*0.1373+C1514*12.9898+D1514*78.233)*43758.5453,1),1E-9),"")</f>
        <v/>
      </c>
      <c r="G1514">
        <f>IF(B1514,MOD(SIN(Seed*0.5917+C1514*39.3468+D1514*11.135)*24634.6345,1),"")</f>
        <v/>
      </c>
      <c r="H1514">
        <f>IF(B1514,SQRT(-2*LN(F1514))*COS(2*PI()*G1514),"")</f>
        <v/>
      </c>
      <c r="I1514">
        <f>IF(B1514,IF(D1514=0,H1514,Rho*I1513+SQRT(1-Rho^2)*H1514),"")</f>
        <v/>
      </c>
      <c r="J1514">
        <f>IF(B1514,IF(Dist="Normal",DistA+DistB*I1514,DistA+(DistB-DistA)*NORMSDIST(I1514)),"")</f>
        <v/>
      </c>
      <c r="K1514">
        <f>IF(B1514,INDEX(MineScale,C1514),"")</f>
        <v/>
      </c>
      <c r="L1514">
        <f>IF(B1514,INDEX(Dow,1,WEEKDAY(E1514,2)),"")</f>
        <v/>
      </c>
      <c r="M1514">
        <f>IF(B1514,(1+Trend)^D1514,"")</f>
        <v/>
      </c>
      <c r="N1514">
        <f>IF(B1514,EXP(SUMPRODUCT(LN(1+(EvEff-1)*INDEX(Affected,0,C1514)*EXP(-((E1514-EvCenter)^2)/(2*EvSigma^2))))),"")</f>
        <v/>
      </c>
      <c r="O1514">
        <f>IF(B1514,ROUND(MAX(0,J1514*K1514*L1514*M1514*N1514),2),"")</f>
        <v/>
      </c>
    </row>
    <row r="1515">
      <c r="A1515" t="n">
        <v>1514</v>
      </c>
      <c r="B1515">
        <f>A1515&lt;=MineCount*Days</f>
        <v/>
      </c>
      <c r="C1515">
        <f>IF(B1515,INT((A1515-1)/Days)+1,"")</f>
        <v/>
      </c>
      <c r="D1515">
        <f>IF(B1515,MOD(A1515-1,Days),"")</f>
        <v/>
      </c>
      <c r="E1515" s="16">
        <f>IF(B1515,StartDate+D1515,"")</f>
        <v/>
      </c>
      <c r="F1515">
        <f>IF(B1515,MAX(MOD(SIN(Seed*0.1373+C1515*12.9898+D1515*78.233)*43758.5453,1),1E-9),"")</f>
        <v/>
      </c>
      <c r="G1515">
        <f>IF(B1515,MOD(SIN(Seed*0.5917+C1515*39.3468+D1515*11.135)*24634.6345,1),"")</f>
        <v/>
      </c>
      <c r="H1515">
        <f>IF(B1515,SQRT(-2*LN(F1515))*COS(2*PI()*G1515),"")</f>
        <v/>
      </c>
      <c r="I1515">
        <f>IF(B1515,IF(D1515=0,H1515,Rho*I1514+SQRT(1-Rho^2)*H1515),"")</f>
        <v/>
      </c>
      <c r="J1515">
        <f>IF(B1515,IF(Dist="Normal",DistA+DistB*I1515,DistA+(DistB-DistA)*NORMSDIST(I1515)),"")</f>
        <v/>
      </c>
      <c r="K1515">
        <f>IF(B1515,INDEX(MineScale,C1515),"")</f>
        <v/>
      </c>
      <c r="L1515">
        <f>IF(B1515,INDEX(Dow,1,WEEKDAY(E1515,2)),"")</f>
        <v/>
      </c>
      <c r="M1515">
        <f>IF(B1515,(1+Trend)^D1515,"")</f>
        <v/>
      </c>
      <c r="N1515">
        <f>IF(B1515,EXP(SUMPRODUCT(LN(1+(EvEff-1)*INDEX(Affected,0,C1515)*EXP(-((E1515-EvCenter)^2)/(2*EvSigma^2))))),"")</f>
        <v/>
      </c>
      <c r="O1515">
        <f>IF(B1515,ROUND(MAX(0,J1515*K1515*L1515*M1515*N1515),2),"")</f>
        <v/>
      </c>
    </row>
    <row r="1516">
      <c r="A1516" t="n">
        <v>1515</v>
      </c>
      <c r="B1516">
        <f>A1516&lt;=MineCount*Days</f>
        <v/>
      </c>
      <c r="C1516">
        <f>IF(B1516,INT((A1516-1)/Days)+1,"")</f>
        <v/>
      </c>
      <c r="D1516">
        <f>IF(B1516,MOD(A1516-1,Days),"")</f>
        <v/>
      </c>
      <c r="E1516" s="16">
        <f>IF(B1516,StartDate+D1516,"")</f>
        <v/>
      </c>
      <c r="F1516">
        <f>IF(B1516,MAX(MOD(SIN(Seed*0.1373+C1516*12.9898+D1516*78.233)*43758.5453,1),1E-9),"")</f>
        <v/>
      </c>
      <c r="G1516">
        <f>IF(B1516,MOD(SIN(Seed*0.5917+C1516*39.3468+D1516*11.135)*24634.6345,1),"")</f>
        <v/>
      </c>
      <c r="H1516">
        <f>IF(B1516,SQRT(-2*LN(F1516))*COS(2*PI()*G1516),"")</f>
        <v/>
      </c>
      <c r="I1516">
        <f>IF(B1516,IF(D1516=0,H1516,Rho*I1515+SQRT(1-Rho^2)*H1516),"")</f>
        <v/>
      </c>
      <c r="J1516">
        <f>IF(B1516,IF(Dist="Normal",DistA+DistB*I1516,DistA+(DistB-DistA)*NORMSDIST(I1516)),"")</f>
        <v/>
      </c>
      <c r="K1516">
        <f>IF(B1516,INDEX(MineScale,C1516),"")</f>
        <v/>
      </c>
      <c r="L1516">
        <f>IF(B1516,INDEX(Dow,1,WEEKDAY(E1516,2)),"")</f>
        <v/>
      </c>
      <c r="M1516">
        <f>IF(B1516,(1+Trend)^D1516,"")</f>
        <v/>
      </c>
      <c r="N1516">
        <f>IF(B1516,EXP(SUMPRODUCT(LN(1+(EvEff-1)*INDEX(Affected,0,C1516)*EXP(-((E1516-EvCenter)^2)/(2*EvSigma^2))))),"")</f>
        <v/>
      </c>
      <c r="O1516">
        <f>IF(B1516,ROUND(MAX(0,J1516*K1516*L1516*M1516*N1516),2),"")</f>
        <v/>
      </c>
    </row>
    <row r="1517">
      <c r="A1517" t="n">
        <v>1516</v>
      </c>
      <c r="B1517">
        <f>A1517&lt;=MineCount*Days</f>
        <v/>
      </c>
      <c r="C1517">
        <f>IF(B1517,INT((A1517-1)/Days)+1,"")</f>
        <v/>
      </c>
      <c r="D1517">
        <f>IF(B1517,MOD(A1517-1,Days),"")</f>
        <v/>
      </c>
      <c r="E1517" s="16">
        <f>IF(B1517,StartDate+D1517,"")</f>
        <v/>
      </c>
      <c r="F1517">
        <f>IF(B1517,MAX(MOD(SIN(Seed*0.1373+C1517*12.9898+D1517*78.233)*43758.5453,1),1E-9),"")</f>
        <v/>
      </c>
      <c r="G1517">
        <f>IF(B1517,MOD(SIN(Seed*0.5917+C1517*39.3468+D1517*11.135)*24634.6345,1),"")</f>
        <v/>
      </c>
      <c r="H1517">
        <f>IF(B1517,SQRT(-2*LN(F1517))*COS(2*PI()*G1517),"")</f>
        <v/>
      </c>
      <c r="I1517">
        <f>IF(B1517,IF(D1517=0,H1517,Rho*I1516+SQRT(1-Rho^2)*H1517),"")</f>
        <v/>
      </c>
      <c r="J1517">
        <f>IF(B1517,IF(Dist="Normal",DistA+DistB*I1517,DistA+(DistB-DistA)*NORMSDIST(I1517)),"")</f>
        <v/>
      </c>
      <c r="K1517">
        <f>IF(B1517,INDEX(MineScale,C1517),"")</f>
        <v/>
      </c>
      <c r="L1517">
        <f>IF(B1517,INDEX(Dow,1,WEEKDAY(E1517,2)),"")</f>
        <v/>
      </c>
      <c r="M1517">
        <f>IF(B1517,(1+Trend)^D1517,"")</f>
        <v/>
      </c>
      <c r="N1517">
        <f>IF(B1517,EXP(SUMPRODUCT(LN(1+(EvEff-1)*INDEX(Affected,0,C1517)*EXP(-((E1517-EvCenter)^2)/(2*EvSigma^2))))),"")</f>
        <v/>
      </c>
      <c r="O1517">
        <f>IF(B1517,ROUND(MAX(0,J1517*K1517*L1517*M1517*N1517),2),"")</f>
        <v/>
      </c>
    </row>
    <row r="1518">
      <c r="A1518" t="n">
        <v>1517</v>
      </c>
      <c r="B1518">
        <f>A1518&lt;=MineCount*Days</f>
        <v/>
      </c>
      <c r="C1518">
        <f>IF(B1518,INT((A1518-1)/Days)+1,"")</f>
        <v/>
      </c>
      <c r="D1518">
        <f>IF(B1518,MOD(A1518-1,Days),"")</f>
        <v/>
      </c>
      <c r="E1518" s="16">
        <f>IF(B1518,StartDate+D1518,"")</f>
        <v/>
      </c>
      <c r="F1518">
        <f>IF(B1518,MAX(MOD(SIN(Seed*0.1373+C1518*12.9898+D1518*78.233)*43758.5453,1),1E-9),"")</f>
        <v/>
      </c>
      <c r="G1518">
        <f>IF(B1518,MOD(SIN(Seed*0.5917+C1518*39.3468+D1518*11.135)*24634.6345,1),"")</f>
        <v/>
      </c>
      <c r="H1518">
        <f>IF(B1518,SQRT(-2*LN(F1518))*COS(2*PI()*G1518),"")</f>
        <v/>
      </c>
      <c r="I1518">
        <f>IF(B1518,IF(D1518=0,H1518,Rho*I1517+SQRT(1-Rho^2)*H1518),"")</f>
        <v/>
      </c>
      <c r="J1518">
        <f>IF(B1518,IF(Dist="Normal",DistA+DistB*I1518,DistA+(DistB-DistA)*NORMSDIST(I1518)),"")</f>
        <v/>
      </c>
      <c r="K1518">
        <f>IF(B1518,INDEX(MineScale,C1518),"")</f>
        <v/>
      </c>
      <c r="L1518">
        <f>IF(B1518,INDEX(Dow,1,WEEKDAY(E1518,2)),"")</f>
        <v/>
      </c>
      <c r="M1518">
        <f>IF(B1518,(1+Trend)^D1518,"")</f>
        <v/>
      </c>
      <c r="N1518">
        <f>IF(B1518,EXP(SUMPRODUCT(LN(1+(EvEff-1)*INDEX(Affected,0,C1518)*EXP(-((E1518-EvCenter)^2)/(2*EvSigma^2))))),"")</f>
        <v/>
      </c>
      <c r="O1518">
        <f>IF(B1518,ROUND(MAX(0,J1518*K1518*L1518*M1518*N1518),2),"")</f>
        <v/>
      </c>
    </row>
    <row r="1519">
      <c r="A1519" t="n">
        <v>1518</v>
      </c>
      <c r="B1519">
        <f>A1519&lt;=MineCount*Days</f>
        <v/>
      </c>
      <c r="C1519">
        <f>IF(B1519,INT((A1519-1)/Days)+1,"")</f>
        <v/>
      </c>
      <c r="D1519">
        <f>IF(B1519,MOD(A1519-1,Days),"")</f>
        <v/>
      </c>
      <c r="E1519" s="16">
        <f>IF(B1519,StartDate+D1519,"")</f>
        <v/>
      </c>
      <c r="F1519">
        <f>IF(B1519,MAX(MOD(SIN(Seed*0.1373+C1519*12.9898+D1519*78.233)*43758.5453,1),1E-9),"")</f>
        <v/>
      </c>
      <c r="G1519">
        <f>IF(B1519,MOD(SIN(Seed*0.5917+C1519*39.3468+D1519*11.135)*24634.6345,1),"")</f>
        <v/>
      </c>
      <c r="H1519">
        <f>IF(B1519,SQRT(-2*LN(F1519))*COS(2*PI()*G1519),"")</f>
        <v/>
      </c>
      <c r="I1519">
        <f>IF(B1519,IF(D1519=0,H1519,Rho*I1518+SQRT(1-Rho^2)*H1519),"")</f>
        <v/>
      </c>
      <c r="J1519">
        <f>IF(B1519,IF(Dist="Normal",DistA+DistB*I1519,DistA+(DistB-DistA)*NORMSDIST(I1519)),"")</f>
        <v/>
      </c>
      <c r="K1519">
        <f>IF(B1519,INDEX(MineScale,C1519),"")</f>
        <v/>
      </c>
      <c r="L1519">
        <f>IF(B1519,INDEX(Dow,1,WEEKDAY(E1519,2)),"")</f>
        <v/>
      </c>
      <c r="M1519">
        <f>IF(B1519,(1+Trend)^D1519,"")</f>
        <v/>
      </c>
      <c r="N1519">
        <f>IF(B1519,EXP(SUMPRODUCT(LN(1+(EvEff-1)*INDEX(Affected,0,C1519)*EXP(-((E1519-EvCenter)^2)/(2*EvSigma^2))))),"")</f>
        <v/>
      </c>
      <c r="O1519">
        <f>IF(B1519,ROUND(MAX(0,J1519*K1519*L1519*M1519*N1519),2),"")</f>
        <v/>
      </c>
    </row>
    <row r="1520">
      <c r="A1520" t="n">
        <v>1519</v>
      </c>
      <c r="B1520">
        <f>A1520&lt;=MineCount*Days</f>
        <v/>
      </c>
      <c r="C1520">
        <f>IF(B1520,INT((A1520-1)/Days)+1,"")</f>
        <v/>
      </c>
      <c r="D1520">
        <f>IF(B1520,MOD(A1520-1,Days),"")</f>
        <v/>
      </c>
      <c r="E1520" s="16">
        <f>IF(B1520,StartDate+D1520,"")</f>
        <v/>
      </c>
      <c r="F1520">
        <f>IF(B1520,MAX(MOD(SIN(Seed*0.1373+C1520*12.9898+D1520*78.233)*43758.5453,1),1E-9),"")</f>
        <v/>
      </c>
      <c r="G1520">
        <f>IF(B1520,MOD(SIN(Seed*0.5917+C1520*39.3468+D1520*11.135)*24634.6345,1),"")</f>
        <v/>
      </c>
      <c r="H1520">
        <f>IF(B1520,SQRT(-2*LN(F1520))*COS(2*PI()*G1520),"")</f>
        <v/>
      </c>
      <c r="I1520">
        <f>IF(B1520,IF(D1520=0,H1520,Rho*I1519+SQRT(1-Rho^2)*H1520),"")</f>
        <v/>
      </c>
      <c r="J1520">
        <f>IF(B1520,IF(Dist="Normal",DistA+DistB*I1520,DistA+(DistB-DistA)*NORMSDIST(I1520)),"")</f>
        <v/>
      </c>
      <c r="K1520">
        <f>IF(B1520,INDEX(MineScale,C1520),"")</f>
        <v/>
      </c>
      <c r="L1520">
        <f>IF(B1520,INDEX(Dow,1,WEEKDAY(E1520,2)),"")</f>
        <v/>
      </c>
      <c r="M1520">
        <f>IF(B1520,(1+Trend)^D1520,"")</f>
        <v/>
      </c>
      <c r="N1520">
        <f>IF(B1520,EXP(SUMPRODUCT(LN(1+(EvEff-1)*INDEX(Affected,0,C1520)*EXP(-((E1520-EvCenter)^2)/(2*EvSigma^2))))),"")</f>
        <v/>
      </c>
      <c r="O1520">
        <f>IF(B1520,ROUND(MAX(0,J1520*K1520*L1520*M1520*N1520),2),"")</f>
        <v/>
      </c>
    </row>
    <row r="1521">
      <c r="A1521" t="n">
        <v>1520</v>
      </c>
      <c r="B1521">
        <f>A1521&lt;=MineCount*Days</f>
        <v/>
      </c>
      <c r="C1521">
        <f>IF(B1521,INT((A1521-1)/Days)+1,"")</f>
        <v/>
      </c>
      <c r="D1521">
        <f>IF(B1521,MOD(A1521-1,Days),"")</f>
        <v/>
      </c>
      <c r="E1521" s="16">
        <f>IF(B1521,StartDate+D1521,"")</f>
        <v/>
      </c>
      <c r="F1521">
        <f>IF(B1521,MAX(MOD(SIN(Seed*0.1373+C1521*12.9898+D1521*78.233)*43758.5453,1),1E-9),"")</f>
        <v/>
      </c>
      <c r="G1521">
        <f>IF(B1521,MOD(SIN(Seed*0.5917+C1521*39.3468+D1521*11.135)*24634.6345,1),"")</f>
        <v/>
      </c>
      <c r="H1521">
        <f>IF(B1521,SQRT(-2*LN(F1521))*COS(2*PI()*G1521),"")</f>
        <v/>
      </c>
      <c r="I1521">
        <f>IF(B1521,IF(D1521=0,H1521,Rho*I1520+SQRT(1-Rho^2)*H1521),"")</f>
        <v/>
      </c>
      <c r="J1521">
        <f>IF(B1521,IF(Dist="Normal",DistA+DistB*I1521,DistA+(DistB-DistA)*NORMSDIST(I1521)),"")</f>
        <v/>
      </c>
      <c r="K1521">
        <f>IF(B1521,INDEX(MineScale,C1521),"")</f>
        <v/>
      </c>
      <c r="L1521">
        <f>IF(B1521,INDEX(Dow,1,WEEKDAY(E1521,2)),"")</f>
        <v/>
      </c>
      <c r="M1521">
        <f>IF(B1521,(1+Trend)^D1521,"")</f>
        <v/>
      </c>
      <c r="N1521">
        <f>IF(B1521,EXP(SUMPRODUCT(LN(1+(EvEff-1)*INDEX(Affected,0,C1521)*EXP(-((E1521-EvCenter)^2)/(2*EvSigma^2))))),"")</f>
        <v/>
      </c>
      <c r="O1521">
        <f>IF(B1521,ROUND(MAX(0,J1521*K1521*L1521*M1521*N1521),2),"")</f>
        <v/>
      </c>
    </row>
    <row r="1522">
      <c r="A1522" t="n">
        <v>1521</v>
      </c>
      <c r="B1522">
        <f>A1522&lt;=MineCount*Days</f>
        <v/>
      </c>
      <c r="C1522">
        <f>IF(B1522,INT((A1522-1)/Days)+1,"")</f>
        <v/>
      </c>
      <c r="D1522">
        <f>IF(B1522,MOD(A1522-1,Days),"")</f>
        <v/>
      </c>
      <c r="E1522" s="16">
        <f>IF(B1522,StartDate+D1522,"")</f>
        <v/>
      </c>
      <c r="F1522">
        <f>IF(B1522,MAX(MOD(SIN(Seed*0.1373+C1522*12.9898+D1522*78.233)*43758.5453,1),1E-9),"")</f>
        <v/>
      </c>
      <c r="G1522">
        <f>IF(B1522,MOD(SIN(Seed*0.5917+C1522*39.3468+D1522*11.135)*24634.6345,1),"")</f>
        <v/>
      </c>
      <c r="H1522">
        <f>IF(B1522,SQRT(-2*LN(F1522))*COS(2*PI()*G1522),"")</f>
        <v/>
      </c>
      <c r="I1522">
        <f>IF(B1522,IF(D1522=0,H1522,Rho*I1521+SQRT(1-Rho^2)*H1522),"")</f>
        <v/>
      </c>
      <c r="J1522">
        <f>IF(B1522,IF(Dist="Normal",DistA+DistB*I1522,DistA+(DistB-DistA)*NORMSDIST(I1522)),"")</f>
        <v/>
      </c>
      <c r="K1522">
        <f>IF(B1522,INDEX(MineScale,C1522),"")</f>
        <v/>
      </c>
      <c r="L1522">
        <f>IF(B1522,INDEX(Dow,1,WEEKDAY(E1522,2)),"")</f>
        <v/>
      </c>
      <c r="M1522">
        <f>IF(B1522,(1+Trend)^D1522,"")</f>
        <v/>
      </c>
      <c r="N1522">
        <f>IF(B1522,EXP(SUMPRODUCT(LN(1+(EvEff-1)*INDEX(Affected,0,C1522)*EXP(-((E1522-EvCenter)^2)/(2*EvSigma^2))))),"")</f>
        <v/>
      </c>
      <c r="O1522">
        <f>IF(B1522,ROUND(MAX(0,J1522*K1522*L1522*M1522*N1522),2),"")</f>
        <v/>
      </c>
    </row>
    <row r="1523">
      <c r="A1523" t="n">
        <v>1522</v>
      </c>
      <c r="B1523">
        <f>A1523&lt;=MineCount*Days</f>
        <v/>
      </c>
      <c r="C1523">
        <f>IF(B1523,INT((A1523-1)/Days)+1,"")</f>
        <v/>
      </c>
      <c r="D1523">
        <f>IF(B1523,MOD(A1523-1,Days),"")</f>
        <v/>
      </c>
      <c r="E1523" s="16">
        <f>IF(B1523,StartDate+D1523,"")</f>
        <v/>
      </c>
      <c r="F1523">
        <f>IF(B1523,MAX(MOD(SIN(Seed*0.1373+C1523*12.9898+D1523*78.233)*43758.5453,1),1E-9),"")</f>
        <v/>
      </c>
      <c r="G1523">
        <f>IF(B1523,MOD(SIN(Seed*0.5917+C1523*39.3468+D1523*11.135)*24634.6345,1),"")</f>
        <v/>
      </c>
      <c r="H1523">
        <f>IF(B1523,SQRT(-2*LN(F1523))*COS(2*PI()*G1523),"")</f>
        <v/>
      </c>
      <c r="I1523">
        <f>IF(B1523,IF(D1523=0,H1523,Rho*I1522+SQRT(1-Rho^2)*H1523),"")</f>
        <v/>
      </c>
      <c r="J1523">
        <f>IF(B1523,IF(Dist="Normal",DistA+DistB*I1523,DistA+(DistB-DistA)*NORMSDIST(I1523)),"")</f>
        <v/>
      </c>
      <c r="K1523">
        <f>IF(B1523,INDEX(MineScale,C1523),"")</f>
        <v/>
      </c>
      <c r="L1523">
        <f>IF(B1523,INDEX(Dow,1,WEEKDAY(E1523,2)),"")</f>
        <v/>
      </c>
      <c r="M1523">
        <f>IF(B1523,(1+Trend)^D1523,"")</f>
        <v/>
      </c>
      <c r="N1523">
        <f>IF(B1523,EXP(SUMPRODUCT(LN(1+(EvEff-1)*INDEX(Affected,0,C1523)*EXP(-((E1523-EvCenter)^2)/(2*EvSigma^2))))),"")</f>
        <v/>
      </c>
      <c r="O1523">
        <f>IF(B1523,ROUND(MAX(0,J1523*K1523*L1523*M1523*N1523),2),"")</f>
        <v/>
      </c>
    </row>
    <row r="1524">
      <c r="A1524" t="n">
        <v>1523</v>
      </c>
      <c r="B1524">
        <f>A1524&lt;=MineCount*Days</f>
        <v/>
      </c>
      <c r="C1524">
        <f>IF(B1524,INT((A1524-1)/Days)+1,"")</f>
        <v/>
      </c>
      <c r="D1524">
        <f>IF(B1524,MOD(A1524-1,Days),"")</f>
        <v/>
      </c>
      <c r="E1524" s="16">
        <f>IF(B1524,StartDate+D1524,"")</f>
        <v/>
      </c>
      <c r="F1524">
        <f>IF(B1524,MAX(MOD(SIN(Seed*0.1373+C1524*12.9898+D1524*78.233)*43758.5453,1),1E-9),"")</f>
        <v/>
      </c>
      <c r="G1524">
        <f>IF(B1524,MOD(SIN(Seed*0.5917+C1524*39.3468+D1524*11.135)*24634.6345,1),"")</f>
        <v/>
      </c>
      <c r="H1524">
        <f>IF(B1524,SQRT(-2*LN(F1524))*COS(2*PI()*G1524),"")</f>
        <v/>
      </c>
      <c r="I1524">
        <f>IF(B1524,IF(D1524=0,H1524,Rho*I1523+SQRT(1-Rho^2)*H1524),"")</f>
        <v/>
      </c>
      <c r="J1524">
        <f>IF(B1524,IF(Dist="Normal",DistA+DistB*I1524,DistA+(DistB-DistA)*NORMSDIST(I1524)),"")</f>
        <v/>
      </c>
      <c r="K1524">
        <f>IF(B1524,INDEX(MineScale,C1524),"")</f>
        <v/>
      </c>
      <c r="L1524">
        <f>IF(B1524,INDEX(Dow,1,WEEKDAY(E1524,2)),"")</f>
        <v/>
      </c>
      <c r="M1524">
        <f>IF(B1524,(1+Trend)^D1524,"")</f>
        <v/>
      </c>
      <c r="N1524">
        <f>IF(B1524,EXP(SUMPRODUCT(LN(1+(EvEff-1)*INDEX(Affected,0,C1524)*EXP(-((E1524-EvCenter)^2)/(2*EvSigma^2))))),"")</f>
        <v/>
      </c>
      <c r="O1524">
        <f>IF(B1524,ROUND(MAX(0,J1524*K1524*L1524*M1524*N1524),2),"")</f>
        <v/>
      </c>
    </row>
    <row r="1525">
      <c r="A1525" t="n">
        <v>1524</v>
      </c>
      <c r="B1525">
        <f>A1525&lt;=MineCount*Days</f>
        <v/>
      </c>
      <c r="C1525">
        <f>IF(B1525,INT((A1525-1)/Days)+1,"")</f>
        <v/>
      </c>
      <c r="D1525">
        <f>IF(B1525,MOD(A1525-1,Days),"")</f>
        <v/>
      </c>
      <c r="E1525" s="16">
        <f>IF(B1525,StartDate+D1525,"")</f>
        <v/>
      </c>
      <c r="F1525">
        <f>IF(B1525,MAX(MOD(SIN(Seed*0.1373+C1525*12.9898+D1525*78.233)*43758.5453,1),1E-9),"")</f>
        <v/>
      </c>
      <c r="G1525">
        <f>IF(B1525,MOD(SIN(Seed*0.5917+C1525*39.3468+D1525*11.135)*24634.6345,1),"")</f>
        <v/>
      </c>
      <c r="H1525">
        <f>IF(B1525,SQRT(-2*LN(F1525))*COS(2*PI()*G1525),"")</f>
        <v/>
      </c>
      <c r="I1525">
        <f>IF(B1525,IF(D1525=0,H1525,Rho*I1524+SQRT(1-Rho^2)*H1525),"")</f>
        <v/>
      </c>
      <c r="J1525">
        <f>IF(B1525,IF(Dist="Normal",DistA+DistB*I1525,DistA+(DistB-DistA)*NORMSDIST(I1525)),"")</f>
        <v/>
      </c>
      <c r="K1525">
        <f>IF(B1525,INDEX(MineScale,C1525),"")</f>
        <v/>
      </c>
      <c r="L1525">
        <f>IF(B1525,INDEX(Dow,1,WEEKDAY(E1525,2)),"")</f>
        <v/>
      </c>
      <c r="M1525">
        <f>IF(B1525,(1+Trend)^D1525,"")</f>
        <v/>
      </c>
      <c r="N1525">
        <f>IF(B1525,EXP(SUMPRODUCT(LN(1+(EvEff-1)*INDEX(Affected,0,C1525)*EXP(-((E1525-EvCenter)^2)/(2*EvSigma^2))))),"")</f>
        <v/>
      </c>
      <c r="O1525">
        <f>IF(B1525,ROUND(MAX(0,J1525*K1525*L1525*M1525*N1525),2),"")</f>
        <v/>
      </c>
    </row>
    <row r="1526">
      <c r="A1526" t="n">
        <v>1525</v>
      </c>
      <c r="B1526">
        <f>A1526&lt;=MineCount*Days</f>
        <v/>
      </c>
      <c r="C1526">
        <f>IF(B1526,INT((A1526-1)/Days)+1,"")</f>
        <v/>
      </c>
      <c r="D1526">
        <f>IF(B1526,MOD(A1526-1,Days),"")</f>
        <v/>
      </c>
      <c r="E1526" s="16">
        <f>IF(B1526,StartDate+D1526,"")</f>
        <v/>
      </c>
      <c r="F1526">
        <f>IF(B1526,MAX(MOD(SIN(Seed*0.1373+C1526*12.9898+D1526*78.233)*43758.5453,1),1E-9),"")</f>
        <v/>
      </c>
      <c r="G1526">
        <f>IF(B1526,MOD(SIN(Seed*0.5917+C1526*39.3468+D1526*11.135)*24634.6345,1),"")</f>
        <v/>
      </c>
      <c r="H1526">
        <f>IF(B1526,SQRT(-2*LN(F1526))*COS(2*PI()*G1526),"")</f>
        <v/>
      </c>
      <c r="I1526">
        <f>IF(B1526,IF(D1526=0,H1526,Rho*I1525+SQRT(1-Rho^2)*H1526),"")</f>
        <v/>
      </c>
      <c r="J1526">
        <f>IF(B1526,IF(Dist="Normal",DistA+DistB*I1526,DistA+(DistB-DistA)*NORMSDIST(I1526)),"")</f>
        <v/>
      </c>
      <c r="K1526">
        <f>IF(B1526,INDEX(MineScale,C1526),"")</f>
        <v/>
      </c>
      <c r="L1526">
        <f>IF(B1526,INDEX(Dow,1,WEEKDAY(E1526,2)),"")</f>
        <v/>
      </c>
      <c r="M1526">
        <f>IF(B1526,(1+Trend)^D1526,"")</f>
        <v/>
      </c>
      <c r="N1526">
        <f>IF(B1526,EXP(SUMPRODUCT(LN(1+(EvEff-1)*INDEX(Affected,0,C1526)*EXP(-((E1526-EvCenter)^2)/(2*EvSigma^2))))),"")</f>
        <v/>
      </c>
      <c r="O1526">
        <f>IF(B1526,ROUND(MAX(0,J1526*K1526*L1526*M1526*N1526),2),"")</f>
        <v/>
      </c>
    </row>
    <row r="1527">
      <c r="A1527" t="n">
        <v>1526</v>
      </c>
      <c r="B1527">
        <f>A1527&lt;=MineCount*Days</f>
        <v/>
      </c>
      <c r="C1527">
        <f>IF(B1527,INT((A1527-1)/Days)+1,"")</f>
        <v/>
      </c>
      <c r="D1527">
        <f>IF(B1527,MOD(A1527-1,Days),"")</f>
        <v/>
      </c>
      <c r="E1527" s="16">
        <f>IF(B1527,StartDate+D1527,"")</f>
        <v/>
      </c>
      <c r="F1527">
        <f>IF(B1527,MAX(MOD(SIN(Seed*0.1373+C1527*12.9898+D1527*78.233)*43758.5453,1),1E-9),"")</f>
        <v/>
      </c>
      <c r="G1527">
        <f>IF(B1527,MOD(SIN(Seed*0.5917+C1527*39.3468+D1527*11.135)*24634.6345,1),"")</f>
        <v/>
      </c>
      <c r="H1527">
        <f>IF(B1527,SQRT(-2*LN(F1527))*COS(2*PI()*G1527),"")</f>
        <v/>
      </c>
      <c r="I1527">
        <f>IF(B1527,IF(D1527=0,H1527,Rho*I1526+SQRT(1-Rho^2)*H1527),"")</f>
        <v/>
      </c>
      <c r="J1527">
        <f>IF(B1527,IF(Dist="Normal",DistA+DistB*I1527,DistA+(DistB-DistA)*NORMSDIST(I1527)),"")</f>
        <v/>
      </c>
      <c r="K1527">
        <f>IF(B1527,INDEX(MineScale,C1527),"")</f>
        <v/>
      </c>
      <c r="L1527">
        <f>IF(B1527,INDEX(Dow,1,WEEKDAY(E1527,2)),"")</f>
        <v/>
      </c>
      <c r="M1527">
        <f>IF(B1527,(1+Trend)^D1527,"")</f>
        <v/>
      </c>
      <c r="N1527">
        <f>IF(B1527,EXP(SUMPRODUCT(LN(1+(EvEff-1)*INDEX(Affected,0,C1527)*EXP(-((E1527-EvCenter)^2)/(2*EvSigma^2))))),"")</f>
        <v/>
      </c>
      <c r="O1527">
        <f>IF(B1527,ROUND(MAX(0,J1527*K1527*L1527*M1527*N1527),2),"")</f>
        <v/>
      </c>
    </row>
    <row r="1528">
      <c r="A1528" t="n">
        <v>1527</v>
      </c>
      <c r="B1528">
        <f>A1528&lt;=MineCount*Days</f>
        <v/>
      </c>
      <c r="C1528">
        <f>IF(B1528,INT((A1528-1)/Days)+1,"")</f>
        <v/>
      </c>
      <c r="D1528">
        <f>IF(B1528,MOD(A1528-1,Days),"")</f>
        <v/>
      </c>
      <c r="E1528" s="16">
        <f>IF(B1528,StartDate+D1528,"")</f>
        <v/>
      </c>
      <c r="F1528">
        <f>IF(B1528,MAX(MOD(SIN(Seed*0.1373+C1528*12.9898+D1528*78.233)*43758.5453,1),1E-9),"")</f>
        <v/>
      </c>
      <c r="G1528">
        <f>IF(B1528,MOD(SIN(Seed*0.5917+C1528*39.3468+D1528*11.135)*24634.6345,1),"")</f>
        <v/>
      </c>
      <c r="H1528">
        <f>IF(B1528,SQRT(-2*LN(F1528))*COS(2*PI()*G1528),"")</f>
        <v/>
      </c>
      <c r="I1528">
        <f>IF(B1528,IF(D1528=0,H1528,Rho*I1527+SQRT(1-Rho^2)*H1528),"")</f>
        <v/>
      </c>
      <c r="J1528">
        <f>IF(B1528,IF(Dist="Normal",DistA+DistB*I1528,DistA+(DistB-DistA)*NORMSDIST(I1528)),"")</f>
        <v/>
      </c>
      <c r="K1528">
        <f>IF(B1528,INDEX(MineScale,C1528),"")</f>
        <v/>
      </c>
      <c r="L1528">
        <f>IF(B1528,INDEX(Dow,1,WEEKDAY(E1528,2)),"")</f>
        <v/>
      </c>
      <c r="M1528">
        <f>IF(B1528,(1+Trend)^D1528,"")</f>
        <v/>
      </c>
      <c r="N1528">
        <f>IF(B1528,EXP(SUMPRODUCT(LN(1+(EvEff-1)*INDEX(Affected,0,C1528)*EXP(-((E1528-EvCenter)^2)/(2*EvSigma^2))))),"")</f>
        <v/>
      </c>
      <c r="O1528">
        <f>IF(B1528,ROUND(MAX(0,J1528*K1528*L1528*M1528*N1528),2),"")</f>
        <v/>
      </c>
    </row>
    <row r="1529">
      <c r="A1529" t="n">
        <v>1528</v>
      </c>
      <c r="B1529">
        <f>A1529&lt;=MineCount*Days</f>
        <v/>
      </c>
      <c r="C1529">
        <f>IF(B1529,INT((A1529-1)/Days)+1,"")</f>
        <v/>
      </c>
      <c r="D1529">
        <f>IF(B1529,MOD(A1529-1,Days),"")</f>
        <v/>
      </c>
      <c r="E1529" s="16">
        <f>IF(B1529,StartDate+D1529,"")</f>
        <v/>
      </c>
      <c r="F1529">
        <f>IF(B1529,MAX(MOD(SIN(Seed*0.1373+C1529*12.9898+D1529*78.233)*43758.5453,1),1E-9),"")</f>
        <v/>
      </c>
      <c r="G1529">
        <f>IF(B1529,MOD(SIN(Seed*0.5917+C1529*39.3468+D1529*11.135)*24634.6345,1),"")</f>
        <v/>
      </c>
      <c r="H1529">
        <f>IF(B1529,SQRT(-2*LN(F1529))*COS(2*PI()*G1529),"")</f>
        <v/>
      </c>
      <c r="I1529">
        <f>IF(B1529,IF(D1529=0,H1529,Rho*I1528+SQRT(1-Rho^2)*H1529),"")</f>
        <v/>
      </c>
      <c r="J1529">
        <f>IF(B1529,IF(Dist="Normal",DistA+DistB*I1529,DistA+(DistB-DistA)*NORMSDIST(I1529)),"")</f>
        <v/>
      </c>
      <c r="K1529">
        <f>IF(B1529,INDEX(MineScale,C1529),"")</f>
        <v/>
      </c>
      <c r="L1529">
        <f>IF(B1529,INDEX(Dow,1,WEEKDAY(E1529,2)),"")</f>
        <v/>
      </c>
      <c r="M1529">
        <f>IF(B1529,(1+Trend)^D1529,"")</f>
        <v/>
      </c>
      <c r="N1529">
        <f>IF(B1529,EXP(SUMPRODUCT(LN(1+(EvEff-1)*INDEX(Affected,0,C1529)*EXP(-((E1529-EvCenter)^2)/(2*EvSigma^2))))),"")</f>
        <v/>
      </c>
      <c r="O1529">
        <f>IF(B1529,ROUND(MAX(0,J1529*K1529*L1529*M1529*N1529),2),"")</f>
        <v/>
      </c>
    </row>
    <row r="1530">
      <c r="A1530" t="n">
        <v>1529</v>
      </c>
      <c r="B1530">
        <f>A1530&lt;=MineCount*Days</f>
        <v/>
      </c>
      <c r="C1530">
        <f>IF(B1530,INT((A1530-1)/Days)+1,"")</f>
        <v/>
      </c>
      <c r="D1530">
        <f>IF(B1530,MOD(A1530-1,Days),"")</f>
        <v/>
      </c>
      <c r="E1530" s="16">
        <f>IF(B1530,StartDate+D1530,"")</f>
        <v/>
      </c>
      <c r="F1530">
        <f>IF(B1530,MAX(MOD(SIN(Seed*0.1373+C1530*12.9898+D1530*78.233)*43758.5453,1),1E-9),"")</f>
        <v/>
      </c>
      <c r="G1530">
        <f>IF(B1530,MOD(SIN(Seed*0.5917+C1530*39.3468+D1530*11.135)*24634.6345,1),"")</f>
        <v/>
      </c>
      <c r="H1530">
        <f>IF(B1530,SQRT(-2*LN(F1530))*COS(2*PI()*G1530),"")</f>
        <v/>
      </c>
      <c r="I1530">
        <f>IF(B1530,IF(D1530=0,H1530,Rho*I1529+SQRT(1-Rho^2)*H1530),"")</f>
        <v/>
      </c>
      <c r="J1530">
        <f>IF(B1530,IF(Dist="Normal",DistA+DistB*I1530,DistA+(DistB-DistA)*NORMSDIST(I1530)),"")</f>
        <v/>
      </c>
      <c r="K1530">
        <f>IF(B1530,INDEX(MineScale,C1530),"")</f>
        <v/>
      </c>
      <c r="L1530">
        <f>IF(B1530,INDEX(Dow,1,WEEKDAY(E1530,2)),"")</f>
        <v/>
      </c>
      <c r="M1530">
        <f>IF(B1530,(1+Trend)^D1530,"")</f>
        <v/>
      </c>
      <c r="N1530">
        <f>IF(B1530,EXP(SUMPRODUCT(LN(1+(EvEff-1)*INDEX(Affected,0,C1530)*EXP(-((E1530-EvCenter)^2)/(2*EvSigma^2))))),"")</f>
        <v/>
      </c>
      <c r="O1530">
        <f>IF(B1530,ROUND(MAX(0,J1530*K1530*L1530*M1530*N1530),2),"")</f>
        <v/>
      </c>
    </row>
    <row r="1531">
      <c r="A1531" t="n">
        <v>1530</v>
      </c>
      <c r="B1531">
        <f>A1531&lt;=MineCount*Days</f>
        <v/>
      </c>
      <c r="C1531">
        <f>IF(B1531,INT((A1531-1)/Days)+1,"")</f>
        <v/>
      </c>
      <c r="D1531">
        <f>IF(B1531,MOD(A1531-1,Days),"")</f>
        <v/>
      </c>
      <c r="E1531" s="16">
        <f>IF(B1531,StartDate+D1531,"")</f>
        <v/>
      </c>
      <c r="F1531">
        <f>IF(B1531,MAX(MOD(SIN(Seed*0.1373+C1531*12.9898+D1531*78.233)*43758.5453,1),1E-9),"")</f>
        <v/>
      </c>
      <c r="G1531">
        <f>IF(B1531,MOD(SIN(Seed*0.5917+C1531*39.3468+D1531*11.135)*24634.6345,1),"")</f>
        <v/>
      </c>
      <c r="H1531">
        <f>IF(B1531,SQRT(-2*LN(F1531))*COS(2*PI()*G1531),"")</f>
        <v/>
      </c>
      <c r="I1531">
        <f>IF(B1531,IF(D1531=0,H1531,Rho*I1530+SQRT(1-Rho^2)*H1531),"")</f>
        <v/>
      </c>
      <c r="J1531">
        <f>IF(B1531,IF(Dist="Normal",DistA+DistB*I1531,DistA+(DistB-DistA)*NORMSDIST(I1531)),"")</f>
        <v/>
      </c>
      <c r="K1531">
        <f>IF(B1531,INDEX(MineScale,C1531),"")</f>
        <v/>
      </c>
      <c r="L1531">
        <f>IF(B1531,INDEX(Dow,1,WEEKDAY(E1531,2)),"")</f>
        <v/>
      </c>
      <c r="M1531">
        <f>IF(B1531,(1+Trend)^D1531,"")</f>
        <v/>
      </c>
      <c r="N1531">
        <f>IF(B1531,EXP(SUMPRODUCT(LN(1+(EvEff-1)*INDEX(Affected,0,C1531)*EXP(-((E1531-EvCenter)^2)/(2*EvSigma^2))))),"")</f>
        <v/>
      </c>
      <c r="O1531">
        <f>IF(B1531,ROUND(MAX(0,J1531*K1531*L1531*M1531*N1531),2),"")</f>
        <v/>
      </c>
    </row>
    <row r="1532">
      <c r="A1532" t="n">
        <v>1531</v>
      </c>
      <c r="B1532">
        <f>A1532&lt;=MineCount*Days</f>
        <v/>
      </c>
      <c r="C1532">
        <f>IF(B1532,INT((A1532-1)/Days)+1,"")</f>
        <v/>
      </c>
      <c r="D1532">
        <f>IF(B1532,MOD(A1532-1,Days),"")</f>
        <v/>
      </c>
      <c r="E1532" s="16">
        <f>IF(B1532,StartDate+D1532,"")</f>
        <v/>
      </c>
      <c r="F1532">
        <f>IF(B1532,MAX(MOD(SIN(Seed*0.1373+C1532*12.9898+D1532*78.233)*43758.5453,1),1E-9),"")</f>
        <v/>
      </c>
      <c r="G1532">
        <f>IF(B1532,MOD(SIN(Seed*0.5917+C1532*39.3468+D1532*11.135)*24634.6345,1),"")</f>
        <v/>
      </c>
      <c r="H1532">
        <f>IF(B1532,SQRT(-2*LN(F1532))*COS(2*PI()*G1532),"")</f>
        <v/>
      </c>
      <c r="I1532">
        <f>IF(B1532,IF(D1532=0,H1532,Rho*I1531+SQRT(1-Rho^2)*H1532),"")</f>
        <v/>
      </c>
      <c r="J1532">
        <f>IF(B1532,IF(Dist="Normal",DistA+DistB*I1532,DistA+(DistB-DistA)*NORMSDIST(I1532)),"")</f>
        <v/>
      </c>
      <c r="K1532">
        <f>IF(B1532,INDEX(MineScale,C1532),"")</f>
        <v/>
      </c>
      <c r="L1532">
        <f>IF(B1532,INDEX(Dow,1,WEEKDAY(E1532,2)),"")</f>
        <v/>
      </c>
      <c r="M1532">
        <f>IF(B1532,(1+Trend)^D1532,"")</f>
        <v/>
      </c>
      <c r="N1532">
        <f>IF(B1532,EXP(SUMPRODUCT(LN(1+(EvEff-1)*INDEX(Affected,0,C1532)*EXP(-((E1532-EvCenter)^2)/(2*EvSigma^2))))),"")</f>
        <v/>
      </c>
      <c r="O1532">
        <f>IF(B1532,ROUND(MAX(0,J1532*K1532*L1532*M1532*N1532),2),"")</f>
        <v/>
      </c>
    </row>
    <row r="1533">
      <c r="A1533" t="n">
        <v>1532</v>
      </c>
      <c r="B1533">
        <f>A1533&lt;=MineCount*Days</f>
        <v/>
      </c>
      <c r="C1533">
        <f>IF(B1533,INT((A1533-1)/Days)+1,"")</f>
        <v/>
      </c>
      <c r="D1533">
        <f>IF(B1533,MOD(A1533-1,Days),"")</f>
        <v/>
      </c>
      <c r="E1533" s="16">
        <f>IF(B1533,StartDate+D1533,"")</f>
        <v/>
      </c>
      <c r="F1533">
        <f>IF(B1533,MAX(MOD(SIN(Seed*0.1373+C1533*12.9898+D1533*78.233)*43758.5453,1),1E-9),"")</f>
        <v/>
      </c>
      <c r="G1533">
        <f>IF(B1533,MOD(SIN(Seed*0.5917+C1533*39.3468+D1533*11.135)*24634.6345,1),"")</f>
        <v/>
      </c>
      <c r="H1533">
        <f>IF(B1533,SQRT(-2*LN(F1533))*COS(2*PI()*G1533),"")</f>
        <v/>
      </c>
      <c r="I1533">
        <f>IF(B1533,IF(D1533=0,H1533,Rho*I1532+SQRT(1-Rho^2)*H1533),"")</f>
        <v/>
      </c>
      <c r="J1533">
        <f>IF(B1533,IF(Dist="Normal",DistA+DistB*I1533,DistA+(DistB-DistA)*NORMSDIST(I1533)),"")</f>
        <v/>
      </c>
      <c r="K1533">
        <f>IF(B1533,INDEX(MineScale,C1533),"")</f>
        <v/>
      </c>
      <c r="L1533">
        <f>IF(B1533,INDEX(Dow,1,WEEKDAY(E1533,2)),"")</f>
        <v/>
      </c>
      <c r="M1533">
        <f>IF(B1533,(1+Trend)^D1533,"")</f>
        <v/>
      </c>
      <c r="N1533">
        <f>IF(B1533,EXP(SUMPRODUCT(LN(1+(EvEff-1)*INDEX(Affected,0,C1533)*EXP(-((E1533-EvCenter)^2)/(2*EvSigma^2))))),"")</f>
        <v/>
      </c>
      <c r="O1533">
        <f>IF(B1533,ROUND(MAX(0,J1533*K1533*L1533*M1533*N1533),2),"")</f>
        <v/>
      </c>
    </row>
    <row r="1534">
      <c r="A1534" t="n">
        <v>1533</v>
      </c>
      <c r="B1534">
        <f>A1534&lt;=MineCount*Days</f>
        <v/>
      </c>
      <c r="C1534">
        <f>IF(B1534,INT((A1534-1)/Days)+1,"")</f>
        <v/>
      </c>
      <c r="D1534">
        <f>IF(B1534,MOD(A1534-1,Days),"")</f>
        <v/>
      </c>
      <c r="E1534" s="16">
        <f>IF(B1534,StartDate+D1534,"")</f>
        <v/>
      </c>
      <c r="F1534">
        <f>IF(B1534,MAX(MOD(SIN(Seed*0.1373+C1534*12.9898+D1534*78.233)*43758.5453,1),1E-9),"")</f>
        <v/>
      </c>
      <c r="G1534">
        <f>IF(B1534,MOD(SIN(Seed*0.5917+C1534*39.3468+D1534*11.135)*24634.6345,1),"")</f>
        <v/>
      </c>
      <c r="H1534">
        <f>IF(B1534,SQRT(-2*LN(F1534))*COS(2*PI()*G1534),"")</f>
        <v/>
      </c>
      <c r="I1534">
        <f>IF(B1534,IF(D1534=0,H1534,Rho*I1533+SQRT(1-Rho^2)*H1534),"")</f>
        <v/>
      </c>
      <c r="J1534">
        <f>IF(B1534,IF(Dist="Normal",DistA+DistB*I1534,DistA+(DistB-DistA)*NORMSDIST(I1534)),"")</f>
        <v/>
      </c>
      <c r="K1534">
        <f>IF(B1534,INDEX(MineScale,C1534),"")</f>
        <v/>
      </c>
      <c r="L1534">
        <f>IF(B1534,INDEX(Dow,1,WEEKDAY(E1534,2)),"")</f>
        <v/>
      </c>
      <c r="M1534">
        <f>IF(B1534,(1+Trend)^D1534,"")</f>
        <v/>
      </c>
      <c r="N1534">
        <f>IF(B1534,EXP(SUMPRODUCT(LN(1+(EvEff-1)*INDEX(Affected,0,C1534)*EXP(-((E1534-EvCenter)^2)/(2*EvSigma^2))))),"")</f>
        <v/>
      </c>
      <c r="O1534">
        <f>IF(B1534,ROUND(MAX(0,J1534*K1534*L1534*M1534*N1534),2),"")</f>
        <v/>
      </c>
    </row>
    <row r="1535">
      <c r="A1535" t="n">
        <v>1534</v>
      </c>
      <c r="B1535">
        <f>A1535&lt;=MineCount*Days</f>
        <v/>
      </c>
      <c r="C1535">
        <f>IF(B1535,INT((A1535-1)/Days)+1,"")</f>
        <v/>
      </c>
      <c r="D1535">
        <f>IF(B1535,MOD(A1535-1,Days),"")</f>
        <v/>
      </c>
      <c r="E1535" s="16">
        <f>IF(B1535,StartDate+D1535,"")</f>
        <v/>
      </c>
      <c r="F1535">
        <f>IF(B1535,MAX(MOD(SIN(Seed*0.1373+C1535*12.9898+D1535*78.233)*43758.5453,1),1E-9),"")</f>
        <v/>
      </c>
      <c r="G1535">
        <f>IF(B1535,MOD(SIN(Seed*0.5917+C1535*39.3468+D1535*11.135)*24634.6345,1),"")</f>
        <v/>
      </c>
      <c r="H1535">
        <f>IF(B1535,SQRT(-2*LN(F1535))*COS(2*PI()*G1535),"")</f>
        <v/>
      </c>
      <c r="I1535">
        <f>IF(B1535,IF(D1535=0,H1535,Rho*I1534+SQRT(1-Rho^2)*H1535),"")</f>
        <v/>
      </c>
      <c r="J1535">
        <f>IF(B1535,IF(Dist="Normal",DistA+DistB*I1535,DistA+(DistB-DistA)*NORMSDIST(I1535)),"")</f>
        <v/>
      </c>
      <c r="K1535">
        <f>IF(B1535,INDEX(MineScale,C1535),"")</f>
        <v/>
      </c>
      <c r="L1535">
        <f>IF(B1535,INDEX(Dow,1,WEEKDAY(E1535,2)),"")</f>
        <v/>
      </c>
      <c r="M1535">
        <f>IF(B1535,(1+Trend)^D1535,"")</f>
        <v/>
      </c>
      <c r="N1535">
        <f>IF(B1535,EXP(SUMPRODUCT(LN(1+(EvEff-1)*INDEX(Affected,0,C1535)*EXP(-((E1535-EvCenter)^2)/(2*EvSigma^2))))),"")</f>
        <v/>
      </c>
      <c r="O1535">
        <f>IF(B1535,ROUND(MAX(0,J1535*K1535*L1535*M1535*N1535),2),"")</f>
        <v/>
      </c>
    </row>
    <row r="1536">
      <c r="A1536" t="n">
        <v>1535</v>
      </c>
      <c r="B1536">
        <f>A1536&lt;=MineCount*Days</f>
        <v/>
      </c>
      <c r="C1536">
        <f>IF(B1536,INT((A1536-1)/Days)+1,"")</f>
        <v/>
      </c>
      <c r="D1536">
        <f>IF(B1536,MOD(A1536-1,Days),"")</f>
        <v/>
      </c>
      <c r="E1536" s="16">
        <f>IF(B1536,StartDate+D1536,"")</f>
        <v/>
      </c>
      <c r="F1536">
        <f>IF(B1536,MAX(MOD(SIN(Seed*0.1373+C1536*12.9898+D1536*78.233)*43758.5453,1),1E-9),"")</f>
        <v/>
      </c>
      <c r="G1536">
        <f>IF(B1536,MOD(SIN(Seed*0.5917+C1536*39.3468+D1536*11.135)*24634.6345,1),"")</f>
        <v/>
      </c>
      <c r="H1536">
        <f>IF(B1536,SQRT(-2*LN(F1536))*COS(2*PI()*G1536),"")</f>
        <v/>
      </c>
      <c r="I1536">
        <f>IF(B1536,IF(D1536=0,H1536,Rho*I1535+SQRT(1-Rho^2)*H1536),"")</f>
        <v/>
      </c>
      <c r="J1536">
        <f>IF(B1536,IF(Dist="Normal",DistA+DistB*I1536,DistA+(DistB-DistA)*NORMSDIST(I1536)),"")</f>
        <v/>
      </c>
      <c r="K1536">
        <f>IF(B1536,INDEX(MineScale,C1536),"")</f>
        <v/>
      </c>
      <c r="L1536">
        <f>IF(B1536,INDEX(Dow,1,WEEKDAY(E1536,2)),"")</f>
        <v/>
      </c>
      <c r="M1536">
        <f>IF(B1536,(1+Trend)^D1536,"")</f>
        <v/>
      </c>
      <c r="N1536">
        <f>IF(B1536,EXP(SUMPRODUCT(LN(1+(EvEff-1)*INDEX(Affected,0,C1536)*EXP(-((E1536-EvCenter)^2)/(2*EvSigma^2))))),"")</f>
        <v/>
      </c>
      <c r="O1536">
        <f>IF(B1536,ROUND(MAX(0,J1536*K1536*L1536*M1536*N1536),2),"")</f>
        <v/>
      </c>
    </row>
    <row r="1537">
      <c r="A1537" t="n">
        <v>1536</v>
      </c>
      <c r="B1537">
        <f>A1537&lt;=MineCount*Days</f>
        <v/>
      </c>
      <c r="C1537">
        <f>IF(B1537,INT((A1537-1)/Days)+1,"")</f>
        <v/>
      </c>
      <c r="D1537">
        <f>IF(B1537,MOD(A1537-1,Days),"")</f>
        <v/>
      </c>
      <c r="E1537" s="16">
        <f>IF(B1537,StartDate+D1537,"")</f>
        <v/>
      </c>
      <c r="F1537">
        <f>IF(B1537,MAX(MOD(SIN(Seed*0.1373+C1537*12.9898+D1537*78.233)*43758.5453,1),1E-9),"")</f>
        <v/>
      </c>
      <c r="G1537">
        <f>IF(B1537,MOD(SIN(Seed*0.5917+C1537*39.3468+D1537*11.135)*24634.6345,1),"")</f>
        <v/>
      </c>
      <c r="H1537">
        <f>IF(B1537,SQRT(-2*LN(F1537))*COS(2*PI()*G1537),"")</f>
        <v/>
      </c>
      <c r="I1537">
        <f>IF(B1537,IF(D1537=0,H1537,Rho*I1536+SQRT(1-Rho^2)*H1537),"")</f>
        <v/>
      </c>
      <c r="J1537">
        <f>IF(B1537,IF(Dist="Normal",DistA+DistB*I1537,DistA+(DistB-DistA)*NORMSDIST(I1537)),"")</f>
        <v/>
      </c>
      <c r="K1537">
        <f>IF(B1537,INDEX(MineScale,C1537),"")</f>
        <v/>
      </c>
      <c r="L1537">
        <f>IF(B1537,INDEX(Dow,1,WEEKDAY(E1537,2)),"")</f>
        <v/>
      </c>
      <c r="M1537">
        <f>IF(B1537,(1+Trend)^D1537,"")</f>
        <v/>
      </c>
      <c r="N1537">
        <f>IF(B1537,EXP(SUMPRODUCT(LN(1+(EvEff-1)*INDEX(Affected,0,C1537)*EXP(-((E1537-EvCenter)^2)/(2*EvSigma^2))))),"")</f>
        <v/>
      </c>
      <c r="O1537">
        <f>IF(B1537,ROUND(MAX(0,J1537*K1537*L1537*M1537*N1537),2),"")</f>
        <v/>
      </c>
    </row>
    <row r="1538">
      <c r="A1538" t="n">
        <v>1537</v>
      </c>
      <c r="B1538">
        <f>A1538&lt;=MineCount*Days</f>
        <v/>
      </c>
      <c r="C1538">
        <f>IF(B1538,INT((A1538-1)/Days)+1,"")</f>
        <v/>
      </c>
      <c r="D1538">
        <f>IF(B1538,MOD(A1538-1,Days),"")</f>
        <v/>
      </c>
      <c r="E1538" s="16">
        <f>IF(B1538,StartDate+D1538,"")</f>
        <v/>
      </c>
      <c r="F1538">
        <f>IF(B1538,MAX(MOD(SIN(Seed*0.1373+C1538*12.9898+D1538*78.233)*43758.5453,1),1E-9),"")</f>
        <v/>
      </c>
      <c r="G1538">
        <f>IF(B1538,MOD(SIN(Seed*0.5917+C1538*39.3468+D1538*11.135)*24634.6345,1),"")</f>
        <v/>
      </c>
      <c r="H1538">
        <f>IF(B1538,SQRT(-2*LN(F1538))*COS(2*PI()*G1538),"")</f>
        <v/>
      </c>
      <c r="I1538">
        <f>IF(B1538,IF(D1538=0,H1538,Rho*I1537+SQRT(1-Rho^2)*H1538),"")</f>
        <v/>
      </c>
      <c r="J1538">
        <f>IF(B1538,IF(Dist="Normal",DistA+DistB*I1538,DistA+(DistB-DistA)*NORMSDIST(I1538)),"")</f>
        <v/>
      </c>
      <c r="K1538">
        <f>IF(B1538,INDEX(MineScale,C1538),"")</f>
        <v/>
      </c>
      <c r="L1538">
        <f>IF(B1538,INDEX(Dow,1,WEEKDAY(E1538,2)),"")</f>
        <v/>
      </c>
      <c r="M1538">
        <f>IF(B1538,(1+Trend)^D1538,"")</f>
        <v/>
      </c>
      <c r="N1538">
        <f>IF(B1538,EXP(SUMPRODUCT(LN(1+(EvEff-1)*INDEX(Affected,0,C1538)*EXP(-((E1538-EvCenter)^2)/(2*EvSigma^2))))),"")</f>
        <v/>
      </c>
      <c r="O1538">
        <f>IF(B1538,ROUND(MAX(0,J1538*K1538*L1538*M1538*N1538),2),"")</f>
        <v/>
      </c>
    </row>
    <row r="1539">
      <c r="A1539" t="n">
        <v>1538</v>
      </c>
      <c r="B1539">
        <f>A1539&lt;=MineCount*Days</f>
        <v/>
      </c>
      <c r="C1539">
        <f>IF(B1539,INT((A1539-1)/Days)+1,"")</f>
        <v/>
      </c>
      <c r="D1539">
        <f>IF(B1539,MOD(A1539-1,Days),"")</f>
        <v/>
      </c>
      <c r="E1539" s="16">
        <f>IF(B1539,StartDate+D1539,"")</f>
        <v/>
      </c>
      <c r="F1539">
        <f>IF(B1539,MAX(MOD(SIN(Seed*0.1373+C1539*12.9898+D1539*78.233)*43758.5453,1),1E-9),"")</f>
        <v/>
      </c>
      <c r="G1539">
        <f>IF(B1539,MOD(SIN(Seed*0.5917+C1539*39.3468+D1539*11.135)*24634.6345,1),"")</f>
        <v/>
      </c>
      <c r="H1539">
        <f>IF(B1539,SQRT(-2*LN(F1539))*COS(2*PI()*G1539),"")</f>
        <v/>
      </c>
      <c r="I1539">
        <f>IF(B1539,IF(D1539=0,H1539,Rho*I1538+SQRT(1-Rho^2)*H1539),"")</f>
        <v/>
      </c>
      <c r="J1539">
        <f>IF(B1539,IF(Dist="Normal",DistA+DistB*I1539,DistA+(DistB-DistA)*NORMSDIST(I1539)),"")</f>
        <v/>
      </c>
      <c r="K1539">
        <f>IF(B1539,INDEX(MineScale,C1539),"")</f>
        <v/>
      </c>
      <c r="L1539">
        <f>IF(B1539,INDEX(Dow,1,WEEKDAY(E1539,2)),"")</f>
        <v/>
      </c>
      <c r="M1539">
        <f>IF(B1539,(1+Trend)^D1539,"")</f>
        <v/>
      </c>
      <c r="N1539">
        <f>IF(B1539,EXP(SUMPRODUCT(LN(1+(EvEff-1)*INDEX(Affected,0,C1539)*EXP(-((E1539-EvCenter)^2)/(2*EvSigma^2))))),"")</f>
        <v/>
      </c>
      <c r="O1539">
        <f>IF(B1539,ROUND(MAX(0,J1539*K1539*L1539*M1539*N1539),2),"")</f>
        <v/>
      </c>
    </row>
    <row r="1540">
      <c r="A1540" t="n">
        <v>1539</v>
      </c>
      <c r="B1540">
        <f>A1540&lt;=MineCount*Days</f>
        <v/>
      </c>
      <c r="C1540">
        <f>IF(B1540,INT((A1540-1)/Days)+1,"")</f>
        <v/>
      </c>
      <c r="D1540">
        <f>IF(B1540,MOD(A1540-1,Days),"")</f>
        <v/>
      </c>
      <c r="E1540" s="16">
        <f>IF(B1540,StartDate+D1540,"")</f>
        <v/>
      </c>
      <c r="F1540">
        <f>IF(B1540,MAX(MOD(SIN(Seed*0.1373+C1540*12.9898+D1540*78.233)*43758.5453,1),1E-9),"")</f>
        <v/>
      </c>
      <c r="G1540">
        <f>IF(B1540,MOD(SIN(Seed*0.5917+C1540*39.3468+D1540*11.135)*24634.6345,1),"")</f>
        <v/>
      </c>
      <c r="H1540">
        <f>IF(B1540,SQRT(-2*LN(F1540))*COS(2*PI()*G1540),"")</f>
        <v/>
      </c>
      <c r="I1540">
        <f>IF(B1540,IF(D1540=0,H1540,Rho*I1539+SQRT(1-Rho^2)*H1540),"")</f>
        <v/>
      </c>
      <c r="J1540">
        <f>IF(B1540,IF(Dist="Normal",DistA+DistB*I1540,DistA+(DistB-DistA)*NORMSDIST(I1540)),"")</f>
        <v/>
      </c>
      <c r="K1540">
        <f>IF(B1540,INDEX(MineScale,C1540),"")</f>
        <v/>
      </c>
      <c r="L1540">
        <f>IF(B1540,INDEX(Dow,1,WEEKDAY(E1540,2)),"")</f>
        <v/>
      </c>
      <c r="M1540">
        <f>IF(B1540,(1+Trend)^D1540,"")</f>
        <v/>
      </c>
      <c r="N1540">
        <f>IF(B1540,EXP(SUMPRODUCT(LN(1+(EvEff-1)*INDEX(Affected,0,C1540)*EXP(-((E1540-EvCenter)^2)/(2*EvSigma^2))))),"")</f>
        <v/>
      </c>
      <c r="O1540">
        <f>IF(B1540,ROUND(MAX(0,J1540*K1540*L1540*M1540*N1540),2),"")</f>
        <v/>
      </c>
    </row>
    <row r="1541">
      <c r="A1541" t="n">
        <v>1540</v>
      </c>
      <c r="B1541">
        <f>A1541&lt;=MineCount*Days</f>
        <v/>
      </c>
      <c r="C1541">
        <f>IF(B1541,INT((A1541-1)/Days)+1,"")</f>
        <v/>
      </c>
      <c r="D1541">
        <f>IF(B1541,MOD(A1541-1,Days),"")</f>
        <v/>
      </c>
      <c r="E1541" s="16">
        <f>IF(B1541,StartDate+D1541,"")</f>
        <v/>
      </c>
      <c r="F1541">
        <f>IF(B1541,MAX(MOD(SIN(Seed*0.1373+C1541*12.9898+D1541*78.233)*43758.5453,1),1E-9),"")</f>
        <v/>
      </c>
      <c r="G1541">
        <f>IF(B1541,MOD(SIN(Seed*0.5917+C1541*39.3468+D1541*11.135)*24634.6345,1),"")</f>
        <v/>
      </c>
      <c r="H1541">
        <f>IF(B1541,SQRT(-2*LN(F1541))*COS(2*PI()*G1541),"")</f>
        <v/>
      </c>
      <c r="I1541">
        <f>IF(B1541,IF(D1541=0,H1541,Rho*I1540+SQRT(1-Rho^2)*H1541),"")</f>
        <v/>
      </c>
      <c r="J1541">
        <f>IF(B1541,IF(Dist="Normal",DistA+DistB*I1541,DistA+(DistB-DistA)*NORMSDIST(I1541)),"")</f>
        <v/>
      </c>
      <c r="K1541">
        <f>IF(B1541,INDEX(MineScale,C1541),"")</f>
        <v/>
      </c>
      <c r="L1541">
        <f>IF(B1541,INDEX(Dow,1,WEEKDAY(E1541,2)),"")</f>
        <v/>
      </c>
      <c r="M1541">
        <f>IF(B1541,(1+Trend)^D1541,"")</f>
        <v/>
      </c>
      <c r="N1541">
        <f>IF(B1541,EXP(SUMPRODUCT(LN(1+(EvEff-1)*INDEX(Affected,0,C1541)*EXP(-((E1541-EvCenter)^2)/(2*EvSigma^2))))),"")</f>
        <v/>
      </c>
      <c r="O1541">
        <f>IF(B1541,ROUND(MAX(0,J1541*K1541*L1541*M1541*N1541),2),"")</f>
        <v/>
      </c>
    </row>
    <row r="1542">
      <c r="A1542" t="n">
        <v>1541</v>
      </c>
      <c r="B1542">
        <f>A1542&lt;=MineCount*Days</f>
        <v/>
      </c>
      <c r="C1542">
        <f>IF(B1542,INT((A1542-1)/Days)+1,"")</f>
        <v/>
      </c>
      <c r="D1542">
        <f>IF(B1542,MOD(A1542-1,Days),"")</f>
        <v/>
      </c>
      <c r="E1542" s="16">
        <f>IF(B1542,StartDate+D1542,"")</f>
        <v/>
      </c>
      <c r="F1542">
        <f>IF(B1542,MAX(MOD(SIN(Seed*0.1373+C1542*12.9898+D1542*78.233)*43758.5453,1),1E-9),"")</f>
        <v/>
      </c>
      <c r="G1542">
        <f>IF(B1542,MOD(SIN(Seed*0.5917+C1542*39.3468+D1542*11.135)*24634.6345,1),"")</f>
        <v/>
      </c>
      <c r="H1542">
        <f>IF(B1542,SQRT(-2*LN(F1542))*COS(2*PI()*G1542),"")</f>
        <v/>
      </c>
      <c r="I1542">
        <f>IF(B1542,IF(D1542=0,H1542,Rho*I1541+SQRT(1-Rho^2)*H1542),"")</f>
        <v/>
      </c>
      <c r="J1542">
        <f>IF(B1542,IF(Dist="Normal",DistA+DistB*I1542,DistA+(DistB-DistA)*NORMSDIST(I1542)),"")</f>
        <v/>
      </c>
      <c r="K1542">
        <f>IF(B1542,INDEX(MineScale,C1542),"")</f>
        <v/>
      </c>
      <c r="L1542">
        <f>IF(B1542,INDEX(Dow,1,WEEKDAY(E1542,2)),"")</f>
        <v/>
      </c>
      <c r="M1542">
        <f>IF(B1542,(1+Trend)^D1542,"")</f>
        <v/>
      </c>
      <c r="N1542">
        <f>IF(B1542,EXP(SUMPRODUCT(LN(1+(EvEff-1)*INDEX(Affected,0,C1542)*EXP(-((E1542-EvCenter)^2)/(2*EvSigma^2))))),"")</f>
        <v/>
      </c>
      <c r="O1542">
        <f>IF(B1542,ROUND(MAX(0,J1542*K1542*L1542*M1542*N1542),2),"")</f>
        <v/>
      </c>
    </row>
    <row r="1543">
      <c r="A1543" t="n">
        <v>1542</v>
      </c>
      <c r="B1543">
        <f>A1543&lt;=MineCount*Days</f>
        <v/>
      </c>
      <c r="C1543">
        <f>IF(B1543,INT((A1543-1)/Days)+1,"")</f>
        <v/>
      </c>
      <c r="D1543">
        <f>IF(B1543,MOD(A1543-1,Days),"")</f>
        <v/>
      </c>
      <c r="E1543" s="16">
        <f>IF(B1543,StartDate+D1543,"")</f>
        <v/>
      </c>
      <c r="F1543">
        <f>IF(B1543,MAX(MOD(SIN(Seed*0.1373+C1543*12.9898+D1543*78.233)*43758.5453,1),1E-9),"")</f>
        <v/>
      </c>
      <c r="G1543">
        <f>IF(B1543,MOD(SIN(Seed*0.5917+C1543*39.3468+D1543*11.135)*24634.6345,1),"")</f>
        <v/>
      </c>
      <c r="H1543">
        <f>IF(B1543,SQRT(-2*LN(F1543))*COS(2*PI()*G1543),"")</f>
        <v/>
      </c>
      <c r="I1543">
        <f>IF(B1543,IF(D1543=0,H1543,Rho*I1542+SQRT(1-Rho^2)*H1543),"")</f>
        <v/>
      </c>
      <c r="J1543">
        <f>IF(B1543,IF(Dist="Normal",DistA+DistB*I1543,DistA+(DistB-DistA)*NORMSDIST(I1543)),"")</f>
        <v/>
      </c>
      <c r="K1543">
        <f>IF(B1543,INDEX(MineScale,C1543),"")</f>
        <v/>
      </c>
      <c r="L1543">
        <f>IF(B1543,INDEX(Dow,1,WEEKDAY(E1543,2)),"")</f>
        <v/>
      </c>
      <c r="M1543">
        <f>IF(B1543,(1+Trend)^D1543,"")</f>
        <v/>
      </c>
      <c r="N1543">
        <f>IF(B1543,EXP(SUMPRODUCT(LN(1+(EvEff-1)*INDEX(Affected,0,C1543)*EXP(-((E1543-EvCenter)^2)/(2*EvSigma^2))))),"")</f>
        <v/>
      </c>
      <c r="O1543">
        <f>IF(B1543,ROUND(MAX(0,J1543*K1543*L1543*M1543*N1543),2),"")</f>
        <v/>
      </c>
    </row>
    <row r="1544">
      <c r="A1544" t="n">
        <v>1543</v>
      </c>
      <c r="B1544">
        <f>A1544&lt;=MineCount*Days</f>
        <v/>
      </c>
      <c r="C1544">
        <f>IF(B1544,INT((A1544-1)/Days)+1,"")</f>
        <v/>
      </c>
      <c r="D1544">
        <f>IF(B1544,MOD(A1544-1,Days),"")</f>
        <v/>
      </c>
      <c r="E1544" s="16">
        <f>IF(B1544,StartDate+D1544,"")</f>
        <v/>
      </c>
      <c r="F1544">
        <f>IF(B1544,MAX(MOD(SIN(Seed*0.1373+C1544*12.9898+D1544*78.233)*43758.5453,1),1E-9),"")</f>
        <v/>
      </c>
      <c r="G1544">
        <f>IF(B1544,MOD(SIN(Seed*0.5917+C1544*39.3468+D1544*11.135)*24634.6345,1),"")</f>
        <v/>
      </c>
      <c r="H1544">
        <f>IF(B1544,SQRT(-2*LN(F1544))*COS(2*PI()*G1544),"")</f>
        <v/>
      </c>
      <c r="I1544">
        <f>IF(B1544,IF(D1544=0,H1544,Rho*I1543+SQRT(1-Rho^2)*H1544),"")</f>
        <v/>
      </c>
      <c r="J1544">
        <f>IF(B1544,IF(Dist="Normal",DistA+DistB*I1544,DistA+(DistB-DistA)*NORMSDIST(I1544)),"")</f>
        <v/>
      </c>
      <c r="K1544">
        <f>IF(B1544,INDEX(MineScale,C1544),"")</f>
        <v/>
      </c>
      <c r="L1544">
        <f>IF(B1544,INDEX(Dow,1,WEEKDAY(E1544,2)),"")</f>
        <v/>
      </c>
      <c r="M1544">
        <f>IF(B1544,(1+Trend)^D1544,"")</f>
        <v/>
      </c>
      <c r="N1544">
        <f>IF(B1544,EXP(SUMPRODUCT(LN(1+(EvEff-1)*INDEX(Affected,0,C1544)*EXP(-((E1544-EvCenter)^2)/(2*EvSigma^2))))),"")</f>
        <v/>
      </c>
      <c r="O1544">
        <f>IF(B1544,ROUND(MAX(0,J1544*K1544*L1544*M1544*N1544),2),"")</f>
        <v/>
      </c>
    </row>
    <row r="1545">
      <c r="A1545" t="n">
        <v>1544</v>
      </c>
      <c r="B1545">
        <f>A1545&lt;=MineCount*Days</f>
        <v/>
      </c>
      <c r="C1545">
        <f>IF(B1545,INT((A1545-1)/Days)+1,"")</f>
        <v/>
      </c>
      <c r="D1545">
        <f>IF(B1545,MOD(A1545-1,Days),"")</f>
        <v/>
      </c>
      <c r="E1545" s="16">
        <f>IF(B1545,StartDate+D1545,"")</f>
        <v/>
      </c>
      <c r="F1545">
        <f>IF(B1545,MAX(MOD(SIN(Seed*0.1373+C1545*12.9898+D1545*78.233)*43758.5453,1),1E-9),"")</f>
        <v/>
      </c>
      <c r="G1545">
        <f>IF(B1545,MOD(SIN(Seed*0.5917+C1545*39.3468+D1545*11.135)*24634.6345,1),"")</f>
        <v/>
      </c>
      <c r="H1545">
        <f>IF(B1545,SQRT(-2*LN(F1545))*COS(2*PI()*G1545),"")</f>
        <v/>
      </c>
      <c r="I1545">
        <f>IF(B1545,IF(D1545=0,H1545,Rho*I1544+SQRT(1-Rho^2)*H1545),"")</f>
        <v/>
      </c>
      <c r="J1545">
        <f>IF(B1545,IF(Dist="Normal",DistA+DistB*I1545,DistA+(DistB-DistA)*NORMSDIST(I1545)),"")</f>
        <v/>
      </c>
      <c r="K1545">
        <f>IF(B1545,INDEX(MineScale,C1545),"")</f>
        <v/>
      </c>
      <c r="L1545">
        <f>IF(B1545,INDEX(Dow,1,WEEKDAY(E1545,2)),"")</f>
        <v/>
      </c>
      <c r="M1545">
        <f>IF(B1545,(1+Trend)^D1545,"")</f>
        <v/>
      </c>
      <c r="N1545">
        <f>IF(B1545,EXP(SUMPRODUCT(LN(1+(EvEff-1)*INDEX(Affected,0,C1545)*EXP(-((E1545-EvCenter)^2)/(2*EvSigma^2))))),"")</f>
        <v/>
      </c>
      <c r="O1545">
        <f>IF(B1545,ROUND(MAX(0,J1545*K1545*L1545*M1545*N1545),2),"")</f>
        <v/>
      </c>
    </row>
    <row r="1546">
      <c r="A1546" t="n">
        <v>1545</v>
      </c>
      <c r="B1546">
        <f>A1546&lt;=MineCount*Days</f>
        <v/>
      </c>
      <c r="C1546">
        <f>IF(B1546,INT((A1546-1)/Days)+1,"")</f>
        <v/>
      </c>
      <c r="D1546">
        <f>IF(B1546,MOD(A1546-1,Days),"")</f>
        <v/>
      </c>
      <c r="E1546" s="16">
        <f>IF(B1546,StartDate+D1546,"")</f>
        <v/>
      </c>
      <c r="F1546">
        <f>IF(B1546,MAX(MOD(SIN(Seed*0.1373+C1546*12.9898+D1546*78.233)*43758.5453,1),1E-9),"")</f>
        <v/>
      </c>
      <c r="G1546">
        <f>IF(B1546,MOD(SIN(Seed*0.5917+C1546*39.3468+D1546*11.135)*24634.6345,1),"")</f>
        <v/>
      </c>
      <c r="H1546">
        <f>IF(B1546,SQRT(-2*LN(F1546))*COS(2*PI()*G1546),"")</f>
        <v/>
      </c>
      <c r="I1546">
        <f>IF(B1546,IF(D1546=0,H1546,Rho*I1545+SQRT(1-Rho^2)*H1546),"")</f>
        <v/>
      </c>
      <c r="J1546">
        <f>IF(B1546,IF(Dist="Normal",DistA+DistB*I1546,DistA+(DistB-DistA)*NORMSDIST(I1546)),"")</f>
        <v/>
      </c>
      <c r="K1546">
        <f>IF(B1546,INDEX(MineScale,C1546),"")</f>
        <v/>
      </c>
      <c r="L1546">
        <f>IF(B1546,INDEX(Dow,1,WEEKDAY(E1546,2)),"")</f>
        <v/>
      </c>
      <c r="M1546">
        <f>IF(B1546,(1+Trend)^D1546,"")</f>
        <v/>
      </c>
      <c r="N1546">
        <f>IF(B1546,EXP(SUMPRODUCT(LN(1+(EvEff-1)*INDEX(Affected,0,C1546)*EXP(-((E1546-EvCenter)^2)/(2*EvSigma^2))))),"")</f>
        <v/>
      </c>
      <c r="O1546">
        <f>IF(B1546,ROUND(MAX(0,J1546*K1546*L1546*M1546*N1546),2),"")</f>
        <v/>
      </c>
    </row>
    <row r="1547">
      <c r="A1547" t="n">
        <v>1546</v>
      </c>
      <c r="B1547">
        <f>A1547&lt;=MineCount*Days</f>
        <v/>
      </c>
      <c r="C1547">
        <f>IF(B1547,INT((A1547-1)/Days)+1,"")</f>
        <v/>
      </c>
      <c r="D1547">
        <f>IF(B1547,MOD(A1547-1,Days),"")</f>
        <v/>
      </c>
      <c r="E1547" s="16">
        <f>IF(B1547,StartDate+D1547,"")</f>
        <v/>
      </c>
      <c r="F1547">
        <f>IF(B1547,MAX(MOD(SIN(Seed*0.1373+C1547*12.9898+D1547*78.233)*43758.5453,1),1E-9),"")</f>
        <v/>
      </c>
      <c r="G1547">
        <f>IF(B1547,MOD(SIN(Seed*0.5917+C1547*39.3468+D1547*11.135)*24634.6345,1),"")</f>
        <v/>
      </c>
      <c r="H1547">
        <f>IF(B1547,SQRT(-2*LN(F1547))*COS(2*PI()*G1547),"")</f>
        <v/>
      </c>
      <c r="I1547">
        <f>IF(B1547,IF(D1547=0,H1547,Rho*I1546+SQRT(1-Rho^2)*H1547),"")</f>
        <v/>
      </c>
      <c r="J1547">
        <f>IF(B1547,IF(Dist="Normal",DistA+DistB*I1547,DistA+(DistB-DistA)*NORMSDIST(I1547)),"")</f>
        <v/>
      </c>
      <c r="K1547">
        <f>IF(B1547,INDEX(MineScale,C1547),"")</f>
        <v/>
      </c>
      <c r="L1547">
        <f>IF(B1547,INDEX(Dow,1,WEEKDAY(E1547,2)),"")</f>
        <v/>
      </c>
      <c r="M1547">
        <f>IF(B1547,(1+Trend)^D1547,"")</f>
        <v/>
      </c>
      <c r="N1547">
        <f>IF(B1547,EXP(SUMPRODUCT(LN(1+(EvEff-1)*INDEX(Affected,0,C1547)*EXP(-((E1547-EvCenter)^2)/(2*EvSigma^2))))),"")</f>
        <v/>
      </c>
      <c r="O1547">
        <f>IF(B1547,ROUND(MAX(0,J1547*K1547*L1547*M1547*N1547),2),"")</f>
        <v/>
      </c>
    </row>
    <row r="1548">
      <c r="A1548" t="n">
        <v>1547</v>
      </c>
      <c r="B1548">
        <f>A1548&lt;=MineCount*Days</f>
        <v/>
      </c>
      <c r="C1548">
        <f>IF(B1548,INT((A1548-1)/Days)+1,"")</f>
        <v/>
      </c>
      <c r="D1548">
        <f>IF(B1548,MOD(A1548-1,Days),"")</f>
        <v/>
      </c>
      <c r="E1548" s="16">
        <f>IF(B1548,StartDate+D1548,"")</f>
        <v/>
      </c>
      <c r="F1548">
        <f>IF(B1548,MAX(MOD(SIN(Seed*0.1373+C1548*12.9898+D1548*78.233)*43758.5453,1),1E-9),"")</f>
        <v/>
      </c>
      <c r="G1548">
        <f>IF(B1548,MOD(SIN(Seed*0.5917+C1548*39.3468+D1548*11.135)*24634.6345,1),"")</f>
        <v/>
      </c>
      <c r="H1548">
        <f>IF(B1548,SQRT(-2*LN(F1548))*COS(2*PI()*G1548),"")</f>
        <v/>
      </c>
      <c r="I1548">
        <f>IF(B1548,IF(D1548=0,H1548,Rho*I1547+SQRT(1-Rho^2)*H1548),"")</f>
        <v/>
      </c>
      <c r="J1548">
        <f>IF(B1548,IF(Dist="Normal",DistA+DistB*I1548,DistA+(DistB-DistA)*NORMSDIST(I1548)),"")</f>
        <v/>
      </c>
      <c r="K1548">
        <f>IF(B1548,INDEX(MineScale,C1548),"")</f>
        <v/>
      </c>
      <c r="L1548">
        <f>IF(B1548,INDEX(Dow,1,WEEKDAY(E1548,2)),"")</f>
        <v/>
      </c>
      <c r="M1548">
        <f>IF(B1548,(1+Trend)^D1548,"")</f>
        <v/>
      </c>
      <c r="N1548">
        <f>IF(B1548,EXP(SUMPRODUCT(LN(1+(EvEff-1)*INDEX(Affected,0,C1548)*EXP(-((E1548-EvCenter)^2)/(2*EvSigma^2))))),"")</f>
        <v/>
      </c>
      <c r="O1548">
        <f>IF(B1548,ROUND(MAX(0,J1548*K1548*L1548*M1548*N1548),2),"")</f>
        <v/>
      </c>
    </row>
    <row r="1549">
      <c r="A1549" t="n">
        <v>1548</v>
      </c>
      <c r="B1549">
        <f>A1549&lt;=MineCount*Days</f>
        <v/>
      </c>
      <c r="C1549">
        <f>IF(B1549,INT((A1549-1)/Days)+1,"")</f>
        <v/>
      </c>
      <c r="D1549">
        <f>IF(B1549,MOD(A1549-1,Days),"")</f>
        <v/>
      </c>
      <c r="E1549" s="16">
        <f>IF(B1549,StartDate+D1549,"")</f>
        <v/>
      </c>
      <c r="F1549">
        <f>IF(B1549,MAX(MOD(SIN(Seed*0.1373+C1549*12.9898+D1549*78.233)*43758.5453,1),1E-9),"")</f>
        <v/>
      </c>
      <c r="G1549">
        <f>IF(B1549,MOD(SIN(Seed*0.5917+C1549*39.3468+D1549*11.135)*24634.6345,1),"")</f>
        <v/>
      </c>
      <c r="H1549">
        <f>IF(B1549,SQRT(-2*LN(F1549))*COS(2*PI()*G1549),"")</f>
        <v/>
      </c>
      <c r="I1549">
        <f>IF(B1549,IF(D1549=0,H1549,Rho*I1548+SQRT(1-Rho^2)*H1549),"")</f>
        <v/>
      </c>
      <c r="J1549">
        <f>IF(B1549,IF(Dist="Normal",DistA+DistB*I1549,DistA+(DistB-DistA)*NORMSDIST(I1549)),"")</f>
        <v/>
      </c>
      <c r="K1549">
        <f>IF(B1549,INDEX(MineScale,C1549),"")</f>
        <v/>
      </c>
      <c r="L1549">
        <f>IF(B1549,INDEX(Dow,1,WEEKDAY(E1549,2)),"")</f>
        <v/>
      </c>
      <c r="M1549">
        <f>IF(B1549,(1+Trend)^D1549,"")</f>
        <v/>
      </c>
      <c r="N1549">
        <f>IF(B1549,EXP(SUMPRODUCT(LN(1+(EvEff-1)*INDEX(Affected,0,C1549)*EXP(-((E1549-EvCenter)^2)/(2*EvSigma^2))))),"")</f>
        <v/>
      </c>
      <c r="O1549">
        <f>IF(B1549,ROUND(MAX(0,J1549*K1549*L1549*M1549*N1549),2),"")</f>
        <v/>
      </c>
    </row>
    <row r="1550">
      <c r="A1550" t="n">
        <v>1549</v>
      </c>
      <c r="B1550">
        <f>A1550&lt;=MineCount*Days</f>
        <v/>
      </c>
      <c r="C1550">
        <f>IF(B1550,INT((A1550-1)/Days)+1,"")</f>
        <v/>
      </c>
      <c r="D1550">
        <f>IF(B1550,MOD(A1550-1,Days),"")</f>
        <v/>
      </c>
      <c r="E1550" s="16">
        <f>IF(B1550,StartDate+D1550,"")</f>
        <v/>
      </c>
      <c r="F1550">
        <f>IF(B1550,MAX(MOD(SIN(Seed*0.1373+C1550*12.9898+D1550*78.233)*43758.5453,1),1E-9),"")</f>
        <v/>
      </c>
      <c r="G1550">
        <f>IF(B1550,MOD(SIN(Seed*0.5917+C1550*39.3468+D1550*11.135)*24634.6345,1),"")</f>
        <v/>
      </c>
      <c r="H1550">
        <f>IF(B1550,SQRT(-2*LN(F1550))*COS(2*PI()*G1550),"")</f>
        <v/>
      </c>
      <c r="I1550">
        <f>IF(B1550,IF(D1550=0,H1550,Rho*I1549+SQRT(1-Rho^2)*H1550),"")</f>
        <v/>
      </c>
      <c r="J1550">
        <f>IF(B1550,IF(Dist="Normal",DistA+DistB*I1550,DistA+(DistB-DistA)*NORMSDIST(I1550)),"")</f>
        <v/>
      </c>
      <c r="K1550">
        <f>IF(B1550,INDEX(MineScale,C1550),"")</f>
        <v/>
      </c>
      <c r="L1550">
        <f>IF(B1550,INDEX(Dow,1,WEEKDAY(E1550,2)),"")</f>
        <v/>
      </c>
      <c r="M1550">
        <f>IF(B1550,(1+Trend)^D1550,"")</f>
        <v/>
      </c>
      <c r="N1550">
        <f>IF(B1550,EXP(SUMPRODUCT(LN(1+(EvEff-1)*INDEX(Affected,0,C1550)*EXP(-((E1550-EvCenter)^2)/(2*EvSigma^2))))),"")</f>
        <v/>
      </c>
      <c r="O1550">
        <f>IF(B1550,ROUND(MAX(0,J1550*K1550*L1550*M1550*N1550),2),"")</f>
        <v/>
      </c>
    </row>
    <row r="1551">
      <c r="A1551" t="n">
        <v>1550</v>
      </c>
      <c r="B1551">
        <f>A1551&lt;=MineCount*Days</f>
        <v/>
      </c>
      <c r="C1551">
        <f>IF(B1551,INT((A1551-1)/Days)+1,"")</f>
        <v/>
      </c>
      <c r="D1551">
        <f>IF(B1551,MOD(A1551-1,Days),"")</f>
        <v/>
      </c>
      <c r="E1551" s="16">
        <f>IF(B1551,StartDate+D1551,"")</f>
        <v/>
      </c>
      <c r="F1551">
        <f>IF(B1551,MAX(MOD(SIN(Seed*0.1373+C1551*12.9898+D1551*78.233)*43758.5453,1),1E-9),"")</f>
        <v/>
      </c>
      <c r="G1551">
        <f>IF(B1551,MOD(SIN(Seed*0.5917+C1551*39.3468+D1551*11.135)*24634.6345,1),"")</f>
        <v/>
      </c>
      <c r="H1551">
        <f>IF(B1551,SQRT(-2*LN(F1551))*COS(2*PI()*G1551),"")</f>
        <v/>
      </c>
      <c r="I1551">
        <f>IF(B1551,IF(D1551=0,H1551,Rho*I1550+SQRT(1-Rho^2)*H1551),"")</f>
        <v/>
      </c>
      <c r="J1551">
        <f>IF(B1551,IF(Dist="Normal",DistA+DistB*I1551,DistA+(DistB-DistA)*NORMSDIST(I1551)),"")</f>
        <v/>
      </c>
      <c r="K1551">
        <f>IF(B1551,INDEX(MineScale,C1551),"")</f>
        <v/>
      </c>
      <c r="L1551">
        <f>IF(B1551,INDEX(Dow,1,WEEKDAY(E1551,2)),"")</f>
        <v/>
      </c>
      <c r="M1551">
        <f>IF(B1551,(1+Trend)^D1551,"")</f>
        <v/>
      </c>
      <c r="N1551">
        <f>IF(B1551,EXP(SUMPRODUCT(LN(1+(EvEff-1)*INDEX(Affected,0,C1551)*EXP(-((E1551-EvCenter)^2)/(2*EvSigma^2))))),"")</f>
        <v/>
      </c>
      <c r="O1551">
        <f>IF(B1551,ROUND(MAX(0,J1551*K1551*L1551*M1551*N1551),2),"")</f>
        <v/>
      </c>
    </row>
    <row r="1552">
      <c r="A1552" t="n">
        <v>1551</v>
      </c>
      <c r="B1552">
        <f>A1552&lt;=MineCount*Days</f>
        <v/>
      </c>
      <c r="C1552">
        <f>IF(B1552,INT((A1552-1)/Days)+1,"")</f>
        <v/>
      </c>
      <c r="D1552">
        <f>IF(B1552,MOD(A1552-1,Days),"")</f>
        <v/>
      </c>
      <c r="E1552" s="16">
        <f>IF(B1552,StartDate+D1552,"")</f>
        <v/>
      </c>
      <c r="F1552">
        <f>IF(B1552,MAX(MOD(SIN(Seed*0.1373+C1552*12.9898+D1552*78.233)*43758.5453,1),1E-9),"")</f>
        <v/>
      </c>
      <c r="G1552">
        <f>IF(B1552,MOD(SIN(Seed*0.5917+C1552*39.3468+D1552*11.135)*24634.6345,1),"")</f>
        <v/>
      </c>
      <c r="H1552">
        <f>IF(B1552,SQRT(-2*LN(F1552))*COS(2*PI()*G1552),"")</f>
        <v/>
      </c>
      <c r="I1552">
        <f>IF(B1552,IF(D1552=0,H1552,Rho*I1551+SQRT(1-Rho^2)*H1552),"")</f>
        <v/>
      </c>
      <c r="J1552">
        <f>IF(B1552,IF(Dist="Normal",DistA+DistB*I1552,DistA+(DistB-DistA)*NORMSDIST(I1552)),"")</f>
        <v/>
      </c>
      <c r="K1552">
        <f>IF(B1552,INDEX(MineScale,C1552),"")</f>
        <v/>
      </c>
      <c r="L1552">
        <f>IF(B1552,INDEX(Dow,1,WEEKDAY(E1552,2)),"")</f>
        <v/>
      </c>
      <c r="M1552">
        <f>IF(B1552,(1+Trend)^D1552,"")</f>
        <v/>
      </c>
      <c r="N1552">
        <f>IF(B1552,EXP(SUMPRODUCT(LN(1+(EvEff-1)*INDEX(Affected,0,C1552)*EXP(-((E1552-EvCenter)^2)/(2*EvSigma^2))))),"")</f>
        <v/>
      </c>
      <c r="O1552">
        <f>IF(B1552,ROUND(MAX(0,J1552*K1552*L1552*M1552*N1552),2),"")</f>
        <v/>
      </c>
    </row>
    <row r="1553">
      <c r="A1553" t="n">
        <v>1552</v>
      </c>
      <c r="B1553">
        <f>A1553&lt;=MineCount*Days</f>
        <v/>
      </c>
      <c r="C1553">
        <f>IF(B1553,INT((A1553-1)/Days)+1,"")</f>
        <v/>
      </c>
      <c r="D1553">
        <f>IF(B1553,MOD(A1553-1,Days),"")</f>
        <v/>
      </c>
      <c r="E1553" s="16">
        <f>IF(B1553,StartDate+D1553,"")</f>
        <v/>
      </c>
      <c r="F1553">
        <f>IF(B1553,MAX(MOD(SIN(Seed*0.1373+C1553*12.9898+D1553*78.233)*43758.5453,1),1E-9),"")</f>
        <v/>
      </c>
      <c r="G1553">
        <f>IF(B1553,MOD(SIN(Seed*0.5917+C1553*39.3468+D1553*11.135)*24634.6345,1),"")</f>
        <v/>
      </c>
      <c r="H1553">
        <f>IF(B1553,SQRT(-2*LN(F1553))*COS(2*PI()*G1553),"")</f>
        <v/>
      </c>
      <c r="I1553">
        <f>IF(B1553,IF(D1553=0,H1553,Rho*I1552+SQRT(1-Rho^2)*H1553),"")</f>
        <v/>
      </c>
      <c r="J1553">
        <f>IF(B1553,IF(Dist="Normal",DistA+DistB*I1553,DistA+(DistB-DistA)*NORMSDIST(I1553)),"")</f>
        <v/>
      </c>
      <c r="K1553">
        <f>IF(B1553,INDEX(MineScale,C1553),"")</f>
        <v/>
      </c>
      <c r="L1553">
        <f>IF(B1553,INDEX(Dow,1,WEEKDAY(E1553,2)),"")</f>
        <v/>
      </c>
      <c r="M1553">
        <f>IF(B1553,(1+Trend)^D1553,"")</f>
        <v/>
      </c>
      <c r="N1553">
        <f>IF(B1553,EXP(SUMPRODUCT(LN(1+(EvEff-1)*INDEX(Affected,0,C1553)*EXP(-((E1553-EvCenter)^2)/(2*EvSigma^2))))),"")</f>
        <v/>
      </c>
      <c r="O1553">
        <f>IF(B1553,ROUND(MAX(0,J1553*K1553*L1553*M1553*N1553),2),"")</f>
        <v/>
      </c>
    </row>
    <row r="1554">
      <c r="A1554" t="n">
        <v>1553</v>
      </c>
      <c r="B1554">
        <f>A1554&lt;=MineCount*Days</f>
        <v/>
      </c>
      <c r="C1554">
        <f>IF(B1554,INT((A1554-1)/Days)+1,"")</f>
        <v/>
      </c>
      <c r="D1554">
        <f>IF(B1554,MOD(A1554-1,Days),"")</f>
        <v/>
      </c>
      <c r="E1554" s="16">
        <f>IF(B1554,StartDate+D1554,"")</f>
        <v/>
      </c>
      <c r="F1554">
        <f>IF(B1554,MAX(MOD(SIN(Seed*0.1373+C1554*12.9898+D1554*78.233)*43758.5453,1),1E-9),"")</f>
        <v/>
      </c>
      <c r="G1554">
        <f>IF(B1554,MOD(SIN(Seed*0.5917+C1554*39.3468+D1554*11.135)*24634.6345,1),"")</f>
        <v/>
      </c>
      <c r="H1554">
        <f>IF(B1554,SQRT(-2*LN(F1554))*COS(2*PI()*G1554),"")</f>
        <v/>
      </c>
      <c r="I1554">
        <f>IF(B1554,IF(D1554=0,H1554,Rho*I1553+SQRT(1-Rho^2)*H1554),"")</f>
        <v/>
      </c>
      <c r="J1554">
        <f>IF(B1554,IF(Dist="Normal",DistA+DistB*I1554,DistA+(DistB-DistA)*NORMSDIST(I1554)),"")</f>
        <v/>
      </c>
      <c r="K1554">
        <f>IF(B1554,INDEX(MineScale,C1554),"")</f>
        <v/>
      </c>
      <c r="L1554">
        <f>IF(B1554,INDEX(Dow,1,WEEKDAY(E1554,2)),"")</f>
        <v/>
      </c>
      <c r="M1554">
        <f>IF(B1554,(1+Trend)^D1554,"")</f>
        <v/>
      </c>
      <c r="N1554">
        <f>IF(B1554,EXP(SUMPRODUCT(LN(1+(EvEff-1)*INDEX(Affected,0,C1554)*EXP(-((E1554-EvCenter)^2)/(2*EvSigma^2))))),"")</f>
        <v/>
      </c>
      <c r="O1554">
        <f>IF(B1554,ROUND(MAX(0,J1554*K1554*L1554*M1554*N1554),2),"")</f>
        <v/>
      </c>
    </row>
    <row r="1555">
      <c r="A1555" t="n">
        <v>1554</v>
      </c>
      <c r="B1555">
        <f>A1555&lt;=MineCount*Days</f>
        <v/>
      </c>
      <c r="C1555">
        <f>IF(B1555,INT((A1555-1)/Days)+1,"")</f>
        <v/>
      </c>
      <c r="D1555">
        <f>IF(B1555,MOD(A1555-1,Days),"")</f>
        <v/>
      </c>
      <c r="E1555" s="16">
        <f>IF(B1555,StartDate+D1555,"")</f>
        <v/>
      </c>
      <c r="F1555">
        <f>IF(B1555,MAX(MOD(SIN(Seed*0.1373+C1555*12.9898+D1555*78.233)*43758.5453,1),1E-9),"")</f>
        <v/>
      </c>
      <c r="G1555">
        <f>IF(B1555,MOD(SIN(Seed*0.5917+C1555*39.3468+D1555*11.135)*24634.6345,1),"")</f>
        <v/>
      </c>
      <c r="H1555">
        <f>IF(B1555,SQRT(-2*LN(F1555))*COS(2*PI()*G1555),"")</f>
        <v/>
      </c>
      <c r="I1555">
        <f>IF(B1555,IF(D1555=0,H1555,Rho*I1554+SQRT(1-Rho^2)*H1555),"")</f>
        <v/>
      </c>
      <c r="J1555">
        <f>IF(B1555,IF(Dist="Normal",DistA+DistB*I1555,DistA+(DistB-DistA)*NORMSDIST(I1555)),"")</f>
        <v/>
      </c>
      <c r="K1555">
        <f>IF(B1555,INDEX(MineScale,C1555),"")</f>
        <v/>
      </c>
      <c r="L1555">
        <f>IF(B1555,INDEX(Dow,1,WEEKDAY(E1555,2)),"")</f>
        <v/>
      </c>
      <c r="M1555">
        <f>IF(B1555,(1+Trend)^D1555,"")</f>
        <v/>
      </c>
      <c r="N1555">
        <f>IF(B1555,EXP(SUMPRODUCT(LN(1+(EvEff-1)*INDEX(Affected,0,C1555)*EXP(-((E1555-EvCenter)^2)/(2*EvSigma^2))))),"")</f>
        <v/>
      </c>
      <c r="O1555">
        <f>IF(B1555,ROUND(MAX(0,J1555*K1555*L1555*M1555*N1555),2),"")</f>
        <v/>
      </c>
    </row>
    <row r="1556">
      <c r="A1556" t="n">
        <v>1555</v>
      </c>
      <c r="B1556">
        <f>A1556&lt;=MineCount*Days</f>
        <v/>
      </c>
      <c r="C1556">
        <f>IF(B1556,INT((A1556-1)/Days)+1,"")</f>
        <v/>
      </c>
      <c r="D1556">
        <f>IF(B1556,MOD(A1556-1,Days),"")</f>
        <v/>
      </c>
      <c r="E1556" s="16">
        <f>IF(B1556,StartDate+D1556,"")</f>
        <v/>
      </c>
      <c r="F1556">
        <f>IF(B1556,MAX(MOD(SIN(Seed*0.1373+C1556*12.9898+D1556*78.233)*43758.5453,1),1E-9),"")</f>
        <v/>
      </c>
      <c r="G1556">
        <f>IF(B1556,MOD(SIN(Seed*0.5917+C1556*39.3468+D1556*11.135)*24634.6345,1),"")</f>
        <v/>
      </c>
      <c r="H1556">
        <f>IF(B1556,SQRT(-2*LN(F1556))*COS(2*PI()*G1556),"")</f>
        <v/>
      </c>
      <c r="I1556">
        <f>IF(B1556,IF(D1556=0,H1556,Rho*I1555+SQRT(1-Rho^2)*H1556),"")</f>
        <v/>
      </c>
      <c r="J1556">
        <f>IF(B1556,IF(Dist="Normal",DistA+DistB*I1556,DistA+(DistB-DistA)*NORMSDIST(I1556)),"")</f>
        <v/>
      </c>
      <c r="K1556">
        <f>IF(B1556,INDEX(MineScale,C1556),"")</f>
        <v/>
      </c>
      <c r="L1556">
        <f>IF(B1556,INDEX(Dow,1,WEEKDAY(E1556,2)),"")</f>
        <v/>
      </c>
      <c r="M1556">
        <f>IF(B1556,(1+Trend)^D1556,"")</f>
        <v/>
      </c>
      <c r="N1556">
        <f>IF(B1556,EXP(SUMPRODUCT(LN(1+(EvEff-1)*INDEX(Affected,0,C1556)*EXP(-((E1556-EvCenter)^2)/(2*EvSigma^2))))),"")</f>
        <v/>
      </c>
      <c r="O1556">
        <f>IF(B1556,ROUND(MAX(0,J1556*K1556*L1556*M1556*N1556),2),"")</f>
        <v/>
      </c>
    </row>
    <row r="1557">
      <c r="A1557" t="n">
        <v>1556</v>
      </c>
      <c r="B1557">
        <f>A1557&lt;=MineCount*Days</f>
        <v/>
      </c>
      <c r="C1557">
        <f>IF(B1557,INT((A1557-1)/Days)+1,"")</f>
        <v/>
      </c>
      <c r="D1557">
        <f>IF(B1557,MOD(A1557-1,Days),"")</f>
        <v/>
      </c>
      <c r="E1557" s="16">
        <f>IF(B1557,StartDate+D1557,"")</f>
        <v/>
      </c>
      <c r="F1557">
        <f>IF(B1557,MAX(MOD(SIN(Seed*0.1373+C1557*12.9898+D1557*78.233)*43758.5453,1),1E-9),"")</f>
        <v/>
      </c>
      <c r="G1557">
        <f>IF(B1557,MOD(SIN(Seed*0.5917+C1557*39.3468+D1557*11.135)*24634.6345,1),"")</f>
        <v/>
      </c>
      <c r="H1557">
        <f>IF(B1557,SQRT(-2*LN(F1557))*COS(2*PI()*G1557),"")</f>
        <v/>
      </c>
      <c r="I1557">
        <f>IF(B1557,IF(D1557=0,H1557,Rho*I1556+SQRT(1-Rho^2)*H1557),"")</f>
        <v/>
      </c>
      <c r="J1557">
        <f>IF(B1557,IF(Dist="Normal",DistA+DistB*I1557,DistA+(DistB-DistA)*NORMSDIST(I1557)),"")</f>
        <v/>
      </c>
      <c r="K1557">
        <f>IF(B1557,INDEX(MineScale,C1557),"")</f>
        <v/>
      </c>
      <c r="L1557">
        <f>IF(B1557,INDEX(Dow,1,WEEKDAY(E1557,2)),"")</f>
        <v/>
      </c>
      <c r="M1557">
        <f>IF(B1557,(1+Trend)^D1557,"")</f>
        <v/>
      </c>
      <c r="N1557">
        <f>IF(B1557,EXP(SUMPRODUCT(LN(1+(EvEff-1)*INDEX(Affected,0,C1557)*EXP(-((E1557-EvCenter)^2)/(2*EvSigma^2))))),"")</f>
        <v/>
      </c>
      <c r="O1557">
        <f>IF(B1557,ROUND(MAX(0,J1557*K1557*L1557*M1557*N1557),2),"")</f>
        <v/>
      </c>
    </row>
    <row r="1558">
      <c r="A1558" t="n">
        <v>1557</v>
      </c>
      <c r="B1558">
        <f>A1558&lt;=MineCount*Days</f>
        <v/>
      </c>
      <c r="C1558">
        <f>IF(B1558,INT((A1558-1)/Days)+1,"")</f>
        <v/>
      </c>
      <c r="D1558">
        <f>IF(B1558,MOD(A1558-1,Days),"")</f>
        <v/>
      </c>
      <c r="E1558" s="16">
        <f>IF(B1558,StartDate+D1558,"")</f>
        <v/>
      </c>
      <c r="F1558">
        <f>IF(B1558,MAX(MOD(SIN(Seed*0.1373+C1558*12.9898+D1558*78.233)*43758.5453,1),1E-9),"")</f>
        <v/>
      </c>
      <c r="G1558">
        <f>IF(B1558,MOD(SIN(Seed*0.5917+C1558*39.3468+D1558*11.135)*24634.6345,1),"")</f>
        <v/>
      </c>
      <c r="H1558">
        <f>IF(B1558,SQRT(-2*LN(F1558))*COS(2*PI()*G1558),"")</f>
        <v/>
      </c>
      <c r="I1558">
        <f>IF(B1558,IF(D1558=0,H1558,Rho*I1557+SQRT(1-Rho^2)*H1558),"")</f>
        <v/>
      </c>
      <c r="J1558">
        <f>IF(B1558,IF(Dist="Normal",DistA+DistB*I1558,DistA+(DistB-DistA)*NORMSDIST(I1558)),"")</f>
        <v/>
      </c>
      <c r="K1558">
        <f>IF(B1558,INDEX(MineScale,C1558),"")</f>
        <v/>
      </c>
      <c r="L1558">
        <f>IF(B1558,INDEX(Dow,1,WEEKDAY(E1558,2)),"")</f>
        <v/>
      </c>
      <c r="M1558">
        <f>IF(B1558,(1+Trend)^D1558,"")</f>
        <v/>
      </c>
      <c r="N1558">
        <f>IF(B1558,EXP(SUMPRODUCT(LN(1+(EvEff-1)*INDEX(Affected,0,C1558)*EXP(-((E1558-EvCenter)^2)/(2*EvSigma^2))))),"")</f>
        <v/>
      </c>
      <c r="O1558">
        <f>IF(B1558,ROUND(MAX(0,J1558*K1558*L1558*M1558*N1558),2),"")</f>
        <v/>
      </c>
    </row>
    <row r="1559">
      <c r="A1559" t="n">
        <v>1558</v>
      </c>
      <c r="B1559">
        <f>A1559&lt;=MineCount*Days</f>
        <v/>
      </c>
      <c r="C1559">
        <f>IF(B1559,INT((A1559-1)/Days)+1,"")</f>
        <v/>
      </c>
      <c r="D1559">
        <f>IF(B1559,MOD(A1559-1,Days),"")</f>
        <v/>
      </c>
      <c r="E1559" s="16">
        <f>IF(B1559,StartDate+D1559,"")</f>
        <v/>
      </c>
      <c r="F1559">
        <f>IF(B1559,MAX(MOD(SIN(Seed*0.1373+C1559*12.9898+D1559*78.233)*43758.5453,1),1E-9),"")</f>
        <v/>
      </c>
      <c r="G1559">
        <f>IF(B1559,MOD(SIN(Seed*0.5917+C1559*39.3468+D1559*11.135)*24634.6345,1),"")</f>
        <v/>
      </c>
      <c r="H1559">
        <f>IF(B1559,SQRT(-2*LN(F1559))*COS(2*PI()*G1559),"")</f>
        <v/>
      </c>
      <c r="I1559">
        <f>IF(B1559,IF(D1559=0,H1559,Rho*I1558+SQRT(1-Rho^2)*H1559),"")</f>
        <v/>
      </c>
      <c r="J1559">
        <f>IF(B1559,IF(Dist="Normal",DistA+DistB*I1559,DistA+(DistB-DistA)*NORMSDIST(I1559)),"")</f>
        <v/>
      </c>
      <c r="K1559">
        <f>IF(B1559,INDEX(MineScale,C1559),"")</f>
        <v/>
      </c>
      <c r="L1559">
        <f>IF(B1559,INDEX(Dow,1,WEEKDAY(E1559,2)),"")</f>
        <v/>
      </c>
      <c r="M1559">
        <f>IF(B1559,(1+Trend)^D1559,"")</f>
        <v/>
      </c>
      <c r="N1559">
        <f>IF(B1559,EXP(SUMPRODUCT(LN(1+(EvEff-1)*INDEX(Affected,0,C1559)*EXP(-((E1559-EvCenter)^2)/(2*EvSigma^2))))),"")</f>
        <v/>
      </c>
      <c r="O1559">
        <f>IF(B1559,ROUND(MAX(0,J1559*K1559*L1559*M1559*N1559),2),"")</f>
        <v/>
      </c>
    </row>
    <row r="1560">
      <c r="A1560" t="n">
        <v>1559</v>
      </c>
      <c r="B1560">
        <f>A1560&lt;=MineCount*Days</f>
        <v/>
      </c>
      <c r="C1560">
        <f>IF(B1560,INT((A1560-1)/Days)+1,"")</f>
        <v/>
      </c>
      <c r="D1560">
        <f>IF(B1560,MOD(A1560-1,Days),"")</f>
        <v/>
      </c>
      <c r="E1560" s="16">
        <f>IF(B1560,StartDate+D1560,"")</f>
        <v/>
      </c>
      <c r="F1560">
        <f>IF(B1560,MAX(MOD(SIN(Seed*0.1373+C1560*12.9898+D1560*78.233)*43758.5453,1),1E-9),"")</f>
        <v/>
      </c>
      <c r="G1560">
        <f>IF(B1560,MOD(SIN(Seed*0.5917+C1560*39.3468+D1560*11.135)*24634.6345,1),"")</f>
        <v/>
      </c>
      <c r="H1560">
        <f>IF(B1560,SQRT(-2*LN(F1560))*COS(2*PI()*G1560),"")</f>
        <v/>
      </c>
      <c r="I1560">
        <f>IF(B1560,IF(D1560=0,H1560,Rho*I1559+SQRT(1-Rho^2)*H1560),"")</f>
        <v/>
      </c>
      <c r="J1560">
        <f>IF(B1560,IF(Dist="Normal",DistA+DistB*I1560,DistA+(DistB-DistA)*NORMSDIST(I1560)),"")</f>
        <v/>
      </c>
      <c r="K1560">
        <f>IF(B1560,INDEX(MineScale,C1560),"")</f>
        <v/>
      </c>
      <c r="L1560">
        <f>IF(B1560,INDEX(Dow,1,WEEKDAY(E1560,2)),"")</f>
        <v/>
      </c>
      <c r="M1560">
        <f>IF(B1560,(1+Trend)^D1560,"")</f>
        <v/>
      </c>
      <c r="N1560">
        <f>IF(B1560,EXP(SUMPRODUCT(LN(1+(EvEff-1)*INDEX(Affected,0,C1560)*EXP(-((E1560-EvCenter)^2)/(2*EvSigma^2))))),"")</f>
        <v/>
      </c>
      <c r="O1560">
        <f>IF(B1560,ROUND(MAX(0,J1560*K1560*L1560*M1560*N1560),2),"")</f>
        <v/>
      </c>
    </row>
    <row r="1561">
      <c r="A1561" t="n">
        <v>1560</v>
      </c>
      <c r="B1561">
        <f>A1561&lt;=MineCount*Days</f>
        <v/>
      </c>
      <c r="C1561">
        <f>IF(B1561,INT((A1561-1)/Days)+1,"")</f>
        <v/>
      </c>
      <c r="D1561">
        <f>IF(B1561,MOD(A1561-1,Days),"")</f>
        <v/>
      </c>
      <c r="E1561" s="16">
        <f>IF(B1561,StartDate+D1561,"")</f>
        <v/>
      </c>
      <c r="F1561">
        <f>IF(B1561,MAX(MOD(SIN(Seed*0.1373+C1561*12.9898+D1561*78.233)*43758.5453,1),1E-9),"")</f>
        <v/>
      </c>
      <c r="G1561">
        <f>IF(B1561,MOD(SIN(Seed*0.5917+C1561*39.3468+D1561*11.135)*24634.6345,1),"")</f>
        <v/>
      </c>
      <c r="H1561">
        <f>IF(B1561,SQRT(-2*LN(F1561))*COS(2*PI()*G1561),"")</f>
        <v/>
      </c>
      <c r="I1561">
        <f>IF(B1561,IF(D1561=0,H1561,Rho*I1560+SQRT(1-Rho^2)*H1561),"")</f>
        <v/>
      </c>
      <c r="J1561">
        <f>IF(B1561,IF(Dist="Normal",DistA+DistB*I1561,DistA+(DistB-DistA)*NORMSDIST(I1561)),"")</f>
        <v/>
      </c>
      <c r="K1561">
        <f>IF(B1561,INDEX(MineScale,C1561),"")</f>
        <v/>
      </c>
      <c r="L1561">
        <f>IF(B1561,INDEX(Dow,1,WEEKDAY(E1561,2)),"")</f>
        <v/>
      </c>
      <c r="M1561">
        <f>IF(B1561,(1+Trend)^D1561,"")</f>
        <v/>
      </c>
      <c r="N1561">
        <f>IF(B1561,EXP(SUMPRODUCT(LN(1+(EvEff-1)*INDEX(Affected,0,C1561)*EXP(-((E1561-EvCenter)^2)/(2*EvSigma^2))))),"")</f>
        <v/>
      </c>
      <c r="O1561">
        <f>IF(B1561,ROUND(MAX(0,J1561*K1561*L1561*M1561*N1561),2),"")</f>
        <v/>
      </c>
    </row>
    <row r="1562">
      <c r="A1562" t="n">
        <v>1561</v>
      </c>
      <c r="B1562">
        <f>A1562&lt;=MineCount*Days</f>
        <v/>
      </c>
      <c r="C1562">
        <f>IF(B1562,INT((A1562-1)/Days)+1,"")</f>
        <v/>
      </c>
      <c r="D1562">
        <f>IF(B1562,MOD(A1562-1,Days),"")</f>
        <v/>
      </c>
      <c r="E1562" s="16">
        <f>IF(B1562,StartDate+D1562,"")</f>
        <v/>
      </c>
      <c r="F1562">
        <f>IF(B1562,MAX(MOD(SIN(Seed*0.1373+C1562*12.9898+D1562*78.233)*43758.5453,1),1E-9),"")</f>
        <v/>
      </c>
      <c r="G1562">
        <f>IF(B1562,MOD(SIN(Seed*0.5917+C1562*39.3468+D1562*11.135)*24634.6345,1),"")</f>
        <v/>
      </c>
      <c r="H1562">
        <f>IF(B1562,SQRT(-2*LN(F1562))*COS(2*PI()*G1562),"")</f>
        <v/>
      </c>
      <c r="I1562">
        <f>IF(B1562,IF(D1562=0,H1562,Rho*I1561+SQRT(1-Rho^2)*H1562),"")</f>
        <v/>
      </c>
      <c r="J1562">
        <f>IF(B1562,IF(Dist="Normal",DistA+DistB*I1562,DistA+(DistB-DistA)*NORMSDIST(I1562)),"")</f>
        <v/>
      </c>
      <c r="K1562">
        <f>IF(B1562,INDEX(MineScale,C1562),"")</f>
        <v/>
      </c>
      <c r="L1562">
        <f>IF(B1562,INDEX(Dow,1,WEEKDAY(E1562,2)),"")</f>
        <v/>
      </c>
      <c r="M1562">
        <f>IF(B1562,(1+Trend)^D1562,"")</f>
        <v/>
      </c>
      <c r="N1562">
        <f>IF(B1562,EXP(SUMPRODUCT(LN(1+(EvEff-1)*INDEX(Affected,0,C1562)*EXP(-((E1562-EvCenter)^2)/(2*EvSigma^2))))),"")</f>
        <v/>
      </c>
      <c r="O1562">
        <f>IF(B1562,ROUND(MAX(0,J1562*K1562*L1562*M1562*N1562),2),"")</f>
        <v/>
      </c>
    </row>
    <row r="1563">
      <c r="A1563" t="n">
        <v>1562</v>
      </c>
      <c r="B1563">
        <f>A1563&lt;=MineCount*Days</f>
        <v/>
      </c>
      <c r="C1563">
        <f>IF(B1563,INT((A1563-1)/Days)+1,"")</f>
        <v/>
      </c>
      <c r="D1563">
        <f>IF(B1563,MOD(A1563-1,Days),"")</f>
        <v/>
      </c>
      <c r="E1563" s="16">
        <f>IF(B1563,StartDate+D1563,"")</f>
        <v/>
      </c>
      <c r="F1563">
        <f>IF(B1563,MAX(MOD(SIN(Seed*0.1373+C1563*12.9898+D1563*78.233)*43758.5453,1),1E-9),"")</f>
        <v/>
      </c>
      <c r="G1563">
        <f>IF(B1563,MOD(SIN(Seed*0.5917+C1563*39.3468+D1563*11.135)*24634.6345,1),"")</f>
        <v/>
      </c>
      <c r="H1563">
        <f>IF(B1563,SQRT(-2*LN(F1563))*COS(2*PI()*G1563),"")</f>
        <v/>
      </c>
      <c r="I1563">
        <f>IF(B1563,IF(D1563=0,H1563,Rho*I1562+SQRT(1-Rho^2)*H1563),"")</f>
        <v/>
      </c>
      <c r="J1563">
        <f>IF(B1563,IF(Dist="Normal",DistA+DistB*I1563,DistA+(DistB-DistA)*NORMSDIST(I1563)),"")</f>
        <v/>
      </c>
      <c r="K1563">
        <f>IF(B1563,INDEX(MineScale,C1563),"")</f>
        <v/>
      </c>
      <c r="L1563">
        <f>IF(B1563,INDEX(Dow,1,WEEKDAY(E1563,2)),"")</f>
        <v/>
      </c>
      <c r="M1563">
        <f>IF(B1563,(1+Trend)^D1563,"")</f>
        <v/>
      </c>
      <c r="N1563">
        <f>IF(B1563,EXP(SUMPRODUCT(LN(1+(EvEff-1)*INDEX(Affected,0,C1563)*EXP(-((E1563-EvCenter)^2)/(2*EvSigma^2))))),"")</f>
        <v/>
      </c>
      <c r="O1563">
        <f>IF(B1563,ROUND(MAX(0,J1563*K1563*L1563*M1563*N1563),2),"")</f>
        <v/>
      </c>
    </row>
    <row r="1564">
      <c r="A1564" t="n">
        <v>1563</v>
      </c>
      <c r="B1564">
        <f>A1564&lt;=MineCount*Days</f>
        <v/>
      </c>
      <c r="C1564">
        <f>IF(B1564,INT((A1564-1)/Days)+1,"")</f>
        <v/>
      </c>
      <c r="D1564">
        <f>IF(B1564,MOD(A1564-1,Days),"")</f>
        <v/>
      </c>
      <c r="E1564" s="16">
        <f>IF(B1564,StartDate+D1564,"")</f>
        <v/>
      </c>
      <c r="F1564">
        <f>IF(B1564,MAX(MOD(SIN(Seed*0.1373+C1564*12.9898+D1564*78.233)*43758.5453,1),1E-9),"")</f>
        <v/>
      </c>
      <c r="G1564">
        <f>IF(B1564,MOD(SIN(Seed*0.5917+C1564*39.3468+D1564*11.135)*24634.6345,1),"")</f>
        <v/>
      </c>
      <c r="H1564">
        <f>IF(B1564,SQRT(-2*LN(F1564))*COS(2*PI()*G1564),"")</f>
        <v/>
      </c>
      <c r="I1564">
        <f>IF(B1564,IF(D1564=0,H1564,Rho*I1563+SQRT(1-Rho^2)*H1564),"")</f>
        <v/>
      </c>
      <c r="J1564">
        <f>IF(B1564,IF(Dist="Normal",DistA+DistB*I1564,DistA+(DistB-DistA)*NORMSDIST(I1564)),"")</f>
        <v/>
      </c>
      <c r="K1564">
        <f>IF(B1564,INDEX(MineScale,C1564),"")</f>
        <v/>
      </c>
      <c r="L1564">
        <f>IF(B1564,INDEX(Dow,1,WEEKDAY(E1564,2)),"")</f>
        <v/>
      </c>
      <c r="M1564">
        <f>IF(B1564,(1+Trend)^D1564,"")</f>
        <v/>
      </c>
      <c r="N1564">
        <f>IF(B1564,EXP(SUMPRODUCT(LN(1+(EvEff-1)*INDEX(Affected,0,C1564)*EXP(-((E1564-EvCenter)^2)/(2*EvSigma^2))))),"")</f>
        <v/>
      </c>
      <c r="O1564">
        <f>IF(B1564,ROUND(MAX(0,J1564*K1564*L1564*M1564*N1564),2),"")</f>
        <v/>
      </c>
    </row>
    <row r="1565">
      <c r="A1565" t="n">
        <v>1564</v>
      </c>
      <c r="B1565">
        <f>A1565&lt;=MineCount*Days</f>
        <v/>
      </c>
      <c r="C1565">
        <f>IF(B1565,INT((A1565-1)/Days)+1,"")</f>
        <v/>
      </c>
      <c r="D1565">
        <f>IF(B1565,MOD(A1565-1,Days),"")</f>
        <v/>
      </c>
      <c r="E1565" s="16">
        <f>IF(B1565,StartDate+D1565,"")</f>
        <v/>
      </c>
      <c r="F1565">
        <f>IF(B1565,MAX(MOD(SIN(Seed*0.1373+C1565*12.9898+D1565*78.233)*43758.5453,1),1E-9),"")</f>
        <v/>
      </c>
      <c r="G1565">
        <f>IF(B1565,MOD(SIN(Seed*0.5917+C1565*39.3468+D1565*11.135)*24634.6345,1),"")</f>
        <v/>
      </c>
      <c r="H1565">
        <f>IF(B1565,SQRT(-2*LN(F1565))*COS(2*PI()*G1565),"")</f>
        <v/>
      </c>
      <c r="I1565">
        <f>IF(B1565,IF(D1565=0,H1565,Rho*I1564+SQRT(1-Rho^2)*H1565),"")</f>
        <v/>
      </c>
      <c r="J1565">
        <f>IF(B1565,IF(Dist="Normal",DistA+DistB*I1565,DistA+(DistB-DistA)*NORMSDIST(I1565)),"")</f>
        <v/>
      </c>
      <c r="K1565">
        <f>IF(B1565,INDEX(MineScale,C1565),"")</f>
        <v/>
      </c>
      <c r="L1565">
        <f>IF(B1565,INDEX(Dow,1,WEEKDAY(E1565,2)),"")</f>
        <v/>
      </c>
      <c r="M1565">
        <f>IF(B1565,(1+Trend)^D1565,"")</f>
        <v/>
      </c>
      <c r="N1565">
        <f>IF(B1565,EXP(SUMPRODUCT(LN(1+(EvEff-1)*INDEX(Affected,0,C1565)*EXP(-((E1565-EvCenter)^2)/(2*EvSigma^2))))),"")</f>
        <v/>
      </c>
      <c r="O1565">
        <f>IF(B1565,ROUND(MAX(0,J1565*K1565*L1565*M1565*N1565),2),"")</f>
        <v/>
      </c>
    </row>
    <row r="1566">
      <c r="A1566" t="n">
        <v>1565</v>
      </c>
      <c r="B1566">
        <f>A1566&lt;=MineCount*Days</f>
        <v/>
      </c>
      <c r="C1566">
        <f>IF(B1566,INT((A1566-1)/Days)+1,"")</f>
        <v/>
      </c>
      <c r="D1566">
        <f>IF(B1566,MOD(A1566-1,Days),"")</f>
        <v/>
      </c>
      <c r="E1566" s="16">
        <f>IF(B1566,StartDate+D1566,"")</f>
        <v/>
      </c>
      <c r="F1566">
        <f>IF(B1566,MAX(MOD(SIN(Seed*0.1373+C1566*12.9898+D1566*78.233)*43758.5453,1),1E-9),"")</f>
        <v/>
      </c>
      <c r="G1566">
        <f>IF(B1566,MOD(SIN(Seed*0.5917+C1566*39.3468+D1566*11.135)*24634.6345,1),"")</f>
        <v/>
      </c>
      <c r="H1566">
        <f>IF(B1566,SQRT(-2*LN(F1566))*COS(2*PI()*G1566),"")</f>
        <v/>
      </c>
      <c r="I1566">
        <f>IF(B1566,IF(D1566=0,H1566,Rho*I1565+SQRT(1-Rho^2)*H1566),"")</f>
        <v/>
      </c>
      <c r="J1566">
        <f>IF(B1566,IF(Dist="Normal",DistA+DistB*I1566,DistA+(DistB-DistA)*NORMSDIST(I1566)),"")</f>
        <v/>
      </c>
      <c r="K1566">
        <f>IF(B1566,INDEX(MineScale,C1566),"")</f>
        <v/>
      </c>
      <c r="L1566">
        <f>IF(B1566,INDEX(Dow,1,WEEKDAY(E1566,2)),"")</f>
        <v/>
      </c>
      <c r="M1566">
        <f>IF(B1566,(1+Trend)^D1566,"")</f>
        <v/>
      </c>
      <c r="N1566">
        <f>IF(B1566,EXP(SUMPRODUCT(LN(1+(EvEff-1)*INDEX(Affected,0,C1566)*EXP(-((E1566-EvCenter)^2)/(2*EvSigma^2))))),"")</f>
        <v/>
      </c>
      <c r="O1566">
        <f>IF(B1566,ROUND(MAX(0,J1566*K1566*L1566*M1566*N1566),2),"")</f>
        <v/>
      </c>
    </row>
    <row r="1567">
      <c r="A1567" t="n">
        <v>1566</v>
      </c>
      <c r="B1567">
        <f>A1567&lt;=MineCount*Days</f>
        <v/>
      </c>
      <c r="C1567">
        <f>IF(B1567,INT((A1567-1)/Days)+1,"")</f>
        <v/>
      </c>
      <c r="D1567">
        <f>IF(B1567,MOD(A1567-1,Days),"")</f>
        <v/>
      </c>
      <c r="E1567" s="16">
        <f>IF(B1567,StartDate+D1567,"")</f>
        <v/>
      </c>
      <c r="F1567">
        <f>IF(B1567,MAX(MOD(SIN(Seed*0.1373+C1567*12.9898+D1567*78.233)*43758.5453,1),1E-9),"")</f>
        <v/>
      </c>
      <c r="G1567">
        <f>IF(B1567,MOD(SIN(Seed*0.5917+C1567*39.3468+D1567*11.135)*24634.6345,1),"")</f>
        <v/>
      </c>
      <c r="H1567">
        <f>IF(B1567,SQRT(-2*LN(F1567))*COS(2*PI()*G1567),"")</f>
        <v/>
      </c>
      <c r="I1567">
        <f>IF(B1567,IF(D1567=0,H1567,Rho*I1566+SQRT(1-Rho^2)*H1567),"")</f>
        <v/>
      </c>
      <c r="J1567">
        <f>IF(B1567,IF(Dist="Normal",DistA+DistB*I1567,DistA+(DistB-DistA)*NORMSDIST(I1567)),"")</f>
        <v/>
      </c>
      <c r="K1567">
        <f>IF(B1567,INDEX(MineScale,C1567),"")</f>
        <v/>
      </c>
      <c r="L1567">
        <f>IF(B1567,INDEX(Dow,1,WEEKDAY(E1567,2)),"")</f>
        <v/>
      </c>
      <c r="M1567">
        <f>IF(B1567,(1+Trend)^D1567,"")</f>
        <v/>
      </c>
      <c r="N1567">
        <f>IF(B1567,EXP(SUMPRODUCT(LN(1+(EvEff-1)*INDEX(Affected,0,C1567)*EXP(-((E1567-EvCenter)^2)/(2*EvSigma^2))))),"")</f>
        <v/>
      </c>
      <c r="O1567">
        <f>IF(B1567,ROUND(MAX(0,J1567*K1567*L1567*M1567*N1567),2),"")</f>
        <v/>
      </c>
    </row>
    <row r="1568">
      <c r="A1568" t="n">
        <v>1567</v>
      </c>
      <c r="B1568">
        <f>A1568&lt;=MineCount*Days</f>
        <v/>
      </c>
      <c r="C1568">
        <f>IF(B1568,INT((A1568-1)/Days)+1,"")</f>
        <v/>
      </c>
      <c r="D1568">
        <f>IF(B1568,MOD(A1568-1,Days),"")</f>
        <v/>
      </c>
      <c r="E1568" s="16">
        <f>IF(B1568,StartDate+D1568,"")</f>
        <v/>
      </c>
      <c r="F1568">
        <f>IF(B1568,MAX(MOD(SIN(Seed*0.1373+C1568*12.9898+D1568*78.233)*43758.5453,1),1E-9),"")</f>
        <v/>
      </c>
      <c r="G1568">
        <f>IF(B1568,MOD(SIN(Seed*0.5917+C1568*39.3468+D1568*11.135)*24634.6345,1),"")</f>
        <v/>
      </c>
      <c r="H1568">
        <f>IF(B1568,SQRT(-2*LN(F1568))*COS(2*PI()*G1568),"")</f>
        <v/>
      </c>
      <c r="I1568">
        <f>IF(B1568,IF(D1568=0,H1568,Rho*I1567+SQRT(1-Rho^2)*H1568),"")</f>
        <v/>
      </c>
      <c r="J1568">
        <f>IF(B1568,IF(Dist="Normal",DistA+DistB*I1568,DistA+(DistB-DistA)*NORMSDIST(I1568)),"")</f>
        <v/>
      </c>
      <c r="K1568">
        <f>IF(B1568,INDEX(MineScale,C1568),"")</f>
        <v/>
      </c>
      <c r="L1568">
        <f>IF(B1568,INDEX(Dow,1,WEEKDAY(E1568,2)),"")</f>
        <v/>
      </c>
      <c r="M1568">
        <f>IF(B1568,(1+Trend)^D1568,"")</f>
        <v/>
      </c>
      <c r="N1568">
        <f>IF(B1568,EXP(SUMPRODUCT(LN(1+(EvEff-1)*INDEX(Affected,0,C1568)*EXP(-((E1568-EvCenter)^2)/(2*EvSigma^2))))),"")</f>
        <v/>
      </c>
      <c r="O1568">
        <f>IF(B1568,ROUND(MAX(0,J1568*K1568*L1568*M1568*N1568),2),"")</f>
        <v/>
      </c>
    </row>
    <row r="1569">
      <c r="A1569" t="n">
        <v>1568</v>
      </c>
      <c r="B1569">
        <f>A1569&lt;=MineCount*Days</f>
        <v/>
      </c>
      <c r="C1569">
        <f>IF(B1569,INT((A1569-1)/Days)+1,"")</f>
        <v/>
      </c>
      <c r="D1569">
        <f>IF(B1569,MOD(A1569-1,Days),"")</f>
        <v/>
      </c>
      <c r="E1569" s="16">
        <f>IF(B1569,StartDate+D1569,"")</f>
        <v/>
      </c>
      <c r="F1569">
        <f>IF(B1569,MAX(MOD(SIN(Seed*0.1373+C1569*12.9898+D1569*78.233)*43758.5453,1),1E-9),"")</f>
        <v/>
      </c>
      <c r="G1569">
        <f>IF(B1569,MOD(SIN(Seed*0.5917+C1569*39.3468+D1569*11.135)*24634.6345,1),"")</f>
        <v/>
      </c>
      <c r="H1569">
        <f>IF(B1569,SQRT(-2*LN(F1569))*COS(2*PI()*G1569),"")</f>
        <v/>
      </c>
      <c r="I1569">
        <f>IF(B1569,IF(D1569=0,H1569,Rho*I1568+SQRT(1-Rho^2)*H1569),"")</f>
        <v/>
      </c>
      <c r="J1569">
        <f>IF(B1569,IF(Dist="Normal",DistA+DistB*I1569,DistA+(DistB-DistA)*NORMSDIST(I1569)),"")</f>
        <v/>
      </c>
      <c r="K1569">
        <f>IF(B1569,INDEX(MineScale,C1569),"")</f>
        <v/>
      </c>
      <c r="L1569">
        <f>IF(B1569,INDEX(Dow,1,WEEKDAY(E1569,2)),"")</f>
        <v/>
      </c>
      <c r="M1569">
        <f>IF(B1569,(1+Trend)^D1569,"")</f>
        <v/>
      </c>
      <c r="N1569">
        <f>IF(B1569,EXP(SUMPRODUCT(LN(1+(EvEff-1)*INDEX(Affected,0,C1569)*EXP(-((E1569-EvCenter)^2)/(2*EvSigma^2))))),"")</f>
        <v/>
      </c>
      <c r="O1569">
        <f>IF(B1569,ROUND(MAX(0,J1569*K1569*L1569*M1569*N1569),2),"")</f>
        <v/>
      </c>
    </row>
    <row r="1570">
      <c r="A1570" t="n">
        <v>1569</v>
      </c>
      <c r="B1570">
        <f>A1570&lt;=MineCount*Days</f>
        <v/>
      </c>
      <c r="C1570">
        <f>IF(B1570,INT((A1570-1)/Days)+1,"")</f>
        <v/>
      </c>
      <c r="D1570">
        <f>IF(B1570,MOD(A1570-1,Days),"")</f>
        <v/>
      </c>
      <c r="E1570" s="16">
        <f>IF(B1570,StartDate+D1570,"")</f>
        <v/>
      </c>
      <c r="F1570">
        <f>IF(B1570,MAX(MOD(SIN(Seed*0.1373+C1570*12.9898+D1570*78.233)*43758.5453,1),1E-9),"")</f>
        <v/>
      </c>
      <c r="G1570">
        <f>IF(B1570,MOD(SIN(Seed*0.5917+C1570*39.3468+D1570*11.135)*24634.6345,1),"")</f>
        <v/>
      </c>
      <c r="H1570">
        <f>IF(B1570,SQRT(-2*LN(F1570))*COS(2*PI()*G1570),"")</f>
        <v/>
      </c>
      <c r="I1570">
        <f>IF(B1570,IF(D1570=0,H1570,Rho*I1569+SQRT(1-Rho^2)*H1570),"")</f>
        <v/>
      </c>
      <c r="J1570">
        <f>IF(B1570,IF(Dist="Normal",DistA+DistB*I1570,DistA+(DistB-DistA)*NORMSDIST(I1570)),"")</f>
        <v/>
      </c>
      <c r="K1570">
        <f>IF(B1570,INDEX(MineScale,C1570),"")</f>
        <v/>
      </c>
      <c r="L1570">
        <f>IF(B1570,INDEX(Dow,1,WEEKDAY(E1570,2)),"")</f>
        <v/>
      </c>
      <c r="M1570">
        <f>IF(B1570,(1+Trend)^D1570,"")</f>
        <v/>
      </c>
      <c r="N1570">
        <f>IF(B1570,EXP(SUMPRODUCT(LN(1+(EvEff-1)*INDEX(Affected,0,C1570)*EXP(-((E1570-EvCenter)^2)/(2*EvSigma^2))))),"")</f>
        <v/>
      </c>
      <c r="O1570">
        <f>IF(B1570,ROUND(MAX(0,J1570*K1570*L1570*M1570*N1570),2),"")</f>
        <v/>
      </c>
    </row>
    <row r="1571">
      <c r="A1571" t="n">
        <v>1570</v>
      </c>
      <c r="B1571">
        <f>A1571&lt;=MineCount*Days</f>
        <v/>
      </c>
      <c r="C1571">
        <f>IF(B1571,INT((A1571-1)/Days)+1,"")</f>
        <v/>
      </c>
      <c r="D1571">
        <f>IF(B1571,MOD(A1571-1,Days),"")</f>
        <v/>
      </c>
      <c r="E1571" s="16">
        <f>IF(B1571,StartDate+D1571,"")</f>
        <v/>
      </c>
      <c r="F1571">
        <f>IF(B1571,MAX(MOD(SIN(Seed*0.1373+C1571*12.9898+D1571*78.233)*43758.5453,1),1E-9),"")</f>
        <v/>
      </c>
      <c r="G1571">
        <f>IF(B1571,MOD(SIN(Seed*0.5917+C1571*39.3468+D1571*11.135)*24634.6345,1),"")</f>
        <v/>
      </c>
      <c r="H1571">
        <f>IF(B1571,SQRT(-2*LN(F1571))*COS(2*PI()*G1571),"")</f>
        <v/>
      </c>
      <c r="I1571">
        <f>IF(B1571,IF(D1571=0,H1571,Rho*I1570+SQRT(1-Rho^2)*H1571),"")</f>
        <v/>
      </c>
      <c r="J1571">
        <f>IF(B1571,IF(Dist="Normal",DistA+DistB*I1571,DistA+(DistB-DistA)*NORMSDIST(I1571)),"")</f>
        <v/>
      </c>
      <c r="K1571">
        <f>IF(B1571,INDEX(MineScale,C1571),"")</f>
        <v/>
      </c>
      <c r="L1571">
        <f>IF(B1571,INDEX(Dow,1,WEEKDAY(E1571,2)),"")</f>
        <v/>
      </c>
      <c r="M1571">
        <f>IF(B1571,(1+Trend)^D1571,"")</f>
        <v/>
      </c>
      <c r="N1571">
        <f>IF(B1571,EXP(SUMPRODUCT(LN(1+(EvEff-1)*INDEX(Affected,0,C1571)*EXP(-((E1571-EvCenter)^2)/(2*EvSigma^2))))),"")</f>
        <v/>
      </c>
      <c r="O1571">
        <f>IF(B1571,ROUND(MAX(0,J1571*K1571*L1571*M1571*N1571),2),"")</f>
        <v/>
      </c>
    </row>
    <row r="1572">
      <c r="A1572" t="n">
        <v>1571</v>
      </c>
      <c r="B1572">
        <f>A1572&lt;=MineCount*Days</f>
        <v/>
      </c>
      <c r="C1572">
        <f>IF(B1572,INT((A1572-1)/Days)+1,"")</f>
        <v/>
      </c>
      <c r="D1572">
        <f>IF(B1572,MOD(A1572-1,Days),"")</f>
        <v/>
      </c>
      <c r="E1572" s="16">
        <f>IF(B1572,StartDate+D1572,"")</f>
        <v/>
      </c>
      <c r="F1572">
        <f>IF(B1572,MAX(MOD(SIN(Seed*0.1373+C1572*12.9898+D1572*78.233)*43758.5453,1),1E-9),"")</f>
        <v/>
      </c>
      <c r="G1572">
        <f>IF(B1572,MOD(SIN(Seed*0.5917+C1572*39.3468+D1572*11.135)*24634.6345,1),"")</f>
        <v/>
      </c>
      <c r="H1572">
        <f>IF(B1572,SQRT(-2*LN(F1572))*COS(2*PI()*G1572),"")</f>
        <v/>
      </c>
      <c r="I1572">
        <f>IF(B1572,IF(D1572=0,H1572,Rho*I1571+SQRT(1-Rho^2)*H1572),"")</f>
        <v/>
      </c>
      <c r="J1572">
        <f>IF(B1572,IF(Dist="Normal",DistA+DistB*I1572,DistA+(DistB-DistA)*NORMSDIST(I1572)),"")</f>
        <v/>
      </c>
      <c r="K1572">
        <f>IF(B1572,INDEX(MineScale,C1572),"")</f>
        <v/>
      </c>
      <c r="L1572">
        <f>IF(B1572,INDEX(Dow,1,WEEKDAY(E1572,2)),"")</f>
        <v/>
      </c>
      <c r="M1572">
        <f>IF(B1572,(1+Trend)^D1572,"")</f>
        <v/>
      </c>
      <c r="N1572">
        <f>IF(B1572,EXP(SUMPRODUCT(LN(1+(EvEff-1)*INDEX(Affected,0,C1572)*EXP(-((E1572-EvCenter)^2)/(2*EvSigma^2))))),"")</f>
        <v/>
      </c>
      <c r="O1572">
        <f>IF(B1572,ROUND(MAX(0,J1572*K1572*L1572*M1572*N1572),2),"")</f>
        <v/>
      </c>
    </row>
    <row r="1573">
      <c r="A1573" t="n">
        <v>1572</v>
      </c>
      <c r="B1573">
        <f>A1573&lt;=MineCount*Days</f>
        <v/>
      </c>
      <c r="C1573">
        <f>IF(B1573,INT((A1573-1)/Days)+1,"")</f>
        <v/>
      </c>
      <c r="D1573">
        <f>IF(B1573,MOD(A1573-1,Days),"")</f>
        <v/>
      </c>
      <c r="E1573" s="16">
        <f>IF(B1573,StartDate+D1573,"")</f>
        <v/>
      </c>
      <c r="F1573">
        <f>IF(B1573,MAX(MOD(SIN(Seed*0.1373+C1573*12.9898+D1573*78.233)*43758.5453,1),1E-9),"")</f>
        <v/>
      </c>
      <c r="G1573">
        <f>IF(B1573,MOD(SIN(Seed*0.5917+C1573*39.3468+D1573*11.135)*24634.6345,1),"")</f>
        <v/>
      </c>
      <c r="H1573">
        <f>IF(B1573,SQRT(-2*LN(F1573))*COS(2*PI()*G1573),"")</f>
        <v/>
      </c>
      <c r="I1573">
        <f>IF(B1573,IF(D1573=0,H1573,Rho*I1572+SQRT(1-Rho^2)*H1573),"")</f>
        <v/>
      </c>
      <c r="J1573">
        <f>IF(B1573,IF(Dist="Normal",DistA+DistB*I1573,DistA+(DistB-DistA)*NORMSDIST(I1573)),"")</f>
        <v/>
      </c>
      <c r="K1573">
        <f>IF(B1573,INDEX(MineScale,C1573),"")</f>
        <v/>
      </c>
      <c r="L1573">
        <f>IF(B1573,INDEX(Dow,1,WEEKDAY(E1573,2)),"")</f>
        <v/>
      </c>
      <c r="M1573">
        <f>IF(B1573,(1+Trend)^D1573,"")</f>
        <v/>
      </c>
      <c r="N1573">
        <f>IF(B1573,EXP(SUMPRODUCT(LN(1+(EvEff-1)*INDEX(Affected,0,C1573)*EXP(-((E1573-EvCenter)^2)/(2*EvSigma^2))))),"")</f>
        <v/>
      </c>
      <c r="O1573">
        <f>IF(B1573,ROUND(MAX(0,J1573*K1573*L1573*M1573*N1573),2),"")</f>
        <v/>
      </c>
    </row>
    <row r="1574">
      <c r="A1574" t="n">
        <v>1573</v>
      </c>
      <c r="B1574">
        <f>A1574&lt;=MineCount*Days</f>
        <v/>
      </c>
      <c r="C1574">
        <f>IF(B1574,INT((A1574-1)/Days)+1,"")</f>
        <v/>
      </c>
      <c r="D1574">
        <f>IF(B1574,MOD(A1574-1,Days),"")</f>
        <v/>
      </c>
      <c r="E1574" s="16">
        <f>IF(B1574,StartDate+D1574,"")</f>
        <v/>
      </c>
      <c r="F1574">
        <f>IF(B1574,MAX(MOD(SIN(Seed*0.1373+C1574*12.9898+D1574*78.233)*43758.5453,1),1E-9),"")</f>
        <v/>
      </c>
      <c r="G1574">
        <f>IF(B1574,MOD(SIN(Seed*0.5917+C1574*39.3468+D1574*11.135)*24634.6345,1),"")</f>
        <v/>
      </c>
      <c r="H1574">
        <f>IF(B1574,SQRT(-2*LN(F1574))*COS(2*PI()*G1574),"")</f>
        <v/>
      </c>
      <c r="I1574">
        <f>IF(B1574,IF(D1574=0,H1574,Rho*I1573+SQRT(1-Rho^2)*H1574),"")</f>
        <v/>
      </c>
      <c r="J1574">
        <f>IF(B1574,IF(Dist="Normal",DistA+DistB*I1574,DistA+(DistB-DistA)*NORMSDIST(I1574)),"")</f>
        <v/>
      </c>
      <c r="K1574">
        <f>IF(B1574,INDEX(MineScale,C1574),"")</f>
        <v/>
      </c>
      <c r="L1574">
        <f>IF(B1574,INDEX(Dow,1,WEEKDAY(E1574,2)),"")</f>
        <v/>
      </c>
      <c r="M1574">
        <f>IF(B1574,(1+Trend)^D1574,"")</f>
        <v/>
      </c>
      <c r="N1574">
        <f>IF(B1574,EXP(SUMPRODUCT(LN(1+(EvEff-1)*INDEX(Affected,0,C1574)*EXP(-((E1574-EvCenter)^2)/(2*EvSigma^2))))),"")</f>
        <v/>
      </c>
      <c r="O1574">
        <f>IF(B1574,ROUND(MAX(0,J1574*K1574*L1574*M1574*N1574),2),"")</f>
        <v/>
      </c>
    </row>
    <row r="1575">
      <c r="A1575" t="n">
        <v>1574</v>
      </c>
      <c r="B1575">
        <f>A1575&lt;=MineCount*Days</f>
        <v/>
      </c>
      <c r="C1575">
        <f>IF(B1575,INT((A1575-1)/Days)+1,"")</f>
        <v/>
      </c>
      <c r="D1575">
        <f>IF(B1575,MOD(A1575-1,Days),"")</f>
        <v/>
      </c>
      <c r="E1575" s="16">
        <f>IF(B1575,StartDate+D1575,"")</f>
        <v/>
      </c>
      <c r="F1575">
        <f>IF(B1575,MAX(MOD(SIN(Seed*0.1373+C1575*12.9898+D1575*78.233)*43758.5453,1),1E-9),"")</f>
        <v/>
      </c>
      <c r="G1575">
        <f>IF(B1575,MOD(SIN(Seed*0.5917+C1575*39.3468+D1575*11.135)*24634.6345,1),"")</f>
        <v/>
      </c>
      <c r="H1575">
        <f>IF(B1575,SQRT(-2*LN(F1575))*COS(2*PI()*G1575),"")</f>
        <v/>
      </c>
      <c r="I1575">
        <f>IF(B1575,IF(D1575=0,H1575,Rho*I1574+SQRT(1-Rho^2)*H1575),"")</f>
        <v/>
      </c>
      <c r="J1575">
        <f>IF(B1575,IF(Dist="Normal",DistA+DistB*I1575,DistA+(DistB-DistA)*NORMSDIST(I1575)),"")</f>
        <v/>
      </c>
      <c r="K1575">
        <f>IF(B1575,INDEX(MineScale,C1575),"")</f>
        <v/>
      </c>
      <c r="L1575">
        <f>IF(B1575,INDEX(Dow,1,WEEKDAY(E1575,2)),"")</f>
        <v/>
      </c>
      <c r="M1575">
        <f>IF(B1575,(1+Trend)^D1575,"")</f>
        <v/>
      </c>
      <c r="N1575">
        <f>IF(B1575,EXP(SUMPRODUCT(LN(1+(EvEff-1)*INDEX(Affected,0,C1575)*EXP(-((E1575-EvCenter)^2)/(2*EvSigma^2))))),"")</f>
        <v/>
      </c>
      <c r="O1575">
        <f>IF(B1575,ROUND(MAX(0,J1575*K1575*L1575*M1575*N1575),2),"")</f>
        <v/>
      </c>
    </row>
    <row r="1576">
      <c r="A1576" t="n">
        <v>1575</v>
      </c>
      <c r="B1576">
        <f>A1576&lt;=MineCount*Days</f>
        <v/>
      </c>
      <c r="C1576">
        <f>IF(B1576,INT((A1576-1)/Days)+1,"")</f>
        <v/>
      </c>
      <c r="D1576">
        <f>IF(B1576,MOD(A1576-1,Days),"")</f>
        <v/>
      </c>
      <c r="E1576" s="16">
        <f>IF(B1576,StartDate+D1576,"")</f>
        <v/>
      </c>
      <c r="F1576">
        <f>IF(B1576,MAX(MOD(SIN(Seed*0.1373+C1576*12.9898+D1576*78.233)*43758.5453,1),1E-9),"")</f>
        <v/>
      </c>
      <c r="G1576">
        <f>IF(B1576,MOD(SIN(Seed*0.5917+C1576*39.3468+D1576*11.135)*24634.6345,1),"")</f>
        <v/>
      </c>
      <c r="H1576">
        <f>IF(B1576,SQRT(-2*LN(F1576))*COS(2*PI()*G1576),"")</f>
        <v/>
      </c>
      <c r="I1576">
        <f>IF(B1576,IF(D1576=0,H1576,Rho*I1575+SQRT(1-Rho^2)*H1576),"")</f>
        <v/>
      </c>
      <c r="J1576">
        <f>IF(B1576,IF(Dist="Normal",DistA+DistB*I1576,DistA+(DistB-DistA)*NORMSDIST(I1576)),"")</f>
        <v/>
      </c>
      <c r="K1576">
        <f>IF(B1576,INDEX(MineScale,C1576),"")</f>
        <v/>
      </c>
      <c r="L1576">
        <f>IF(B1576,INDEX(Dow,1,WEEKDAY(E1576,2)),"")</f>
        <v/>
      </c>
      <c r="M1576">
        <f>IF(B1576,(1+Trend)^D1576,"")</f>
        <v/>
      </c>
      <c r="N1576">
        <f>IF(B1576,EXP(SUMPRODUCT(LN(1+(EvEff-1)*INDEX(Affected,0,C1576)*EXP(-((E1576-EvCenter)^2)/(2*EvSigma^2))))),"")</f>
        <v/>
      </c>
      <c r="O1576">
        <f>IF(B1576,ROUND(MAX(0,J1576*K1576*L1576*M1576*N1576),2),"")</f>
        <v/>
      </c>
    </row>
    <row r="1577">
      <c r="A1577" t="n">
        <v>1576</v>
      </c>
      <c r="B1577">
        <f>A1577&lt;=MineCount*Days</f>
        <v/>
      </c>
      <c r="C1577">
        <f>IF(B1577,INT((A1577-1)/Days)+1,"")</f>
        <v/>
      </c>
      <c r="D1577">
        <f>IF(B1577,MOD(A1577-1,Days),"")</f>
        <v/>
      </c>
      <c r="E1577" s="16">
        <f>IF(B1577,StartDate+D1577,"")</f>
        <v/>
      </c>
      <c r="F1577">
        <f>IF(B1577,MAX(MOD(SIN(Seed*0.1373+C1577*12.9898+D1577*78.233)*43758.5453,1),1E-9),"")</f>
        <v/>
      </c>
      <c r="G1577">
        <f>IF(B1577,MOD(SIN(Seed*0.5917+C1577*39.3468+D1577*11.135)*24634.6345,1),"")</f>
        <v/>
      </c>
      <c r="H1577">
        <f>IF(B1577,SQRT(-2*LN(F1577))*COS(2*PI()*G1577),"")</f>
        <v/>
      </c>
      <c r="I1577">
        <f>IF(B1577,IF(D1577=0,H1577,Rho*I1576+SQRT(1-Rho^2)*H1577),"")</f>
        <v/>
      </c>
      <c r="J1577">
        <f>IF(B1577,IF(Dist="Normal",DistA+DistB*I1577,DistA+(DistB-DistA)*NORMSDIST(I1577)),"")</f>
        <v/>
      </c>
      <c r="K1577">
        <f>IF(B1577,INDEX(MineScale,C1577),"")</f>
        <v/>
      </c>
      <c r="L1577">
        <f>IF(B1577,INDEX(Dow,1,WEEKDAY(E1577,2)),"")</f>
        <v/>
      </c>
      <c r="M1577">
        <f>IF(B1577,(1+Trend)^D1577,"")</f>
        <v/>
      </c>
      <c r="N1577">
        <f>IF(B1577,EXP(SUMPRODUCT(LN(1+(EvEff-1)*INDEX(Affected,0,C1577)*EXP(-((E1577-EvCenter)^2)/(2*EvSigma^2))))),"")</f>
        <v/>
      </c>
      <c r="O1577">
        <f>IF(B1577,ROUND(MAX(0,J1577*K1577*L1577*M1577*N1577),2),"")</f>
        <v/>
      </c>
    </row>
    <row r="1578">
      <c r="A1578" t="n">
        <v>1577</v>
      </c>
      <c r="B1578">
        <f>A1578&lt;=MineCount*Days</f>
        <v/>
      </c>
      <c r="C1578">
        <f>IF(B1578,INT((A1578-1)/Days)+1,"")</f>
        <v/>
      </c>
      <c r="D1578">
        <f>IF(B1578,MOD(A1578-1,Days),"")</f>
        <v/>
      </c>
      <c r="E1578" s="16">
        <f>IF(B1578,StartDate+D1578,"")</f>
        <v/>
      </c>
      <c r="F1578">
        <f>IF(B1578,MAX(MOD(SIN(Seed*0.1373+C1578*12.9898+D1578*78.233)*43758.5453,1),1E-9),"")</f>
        <v/>
      </c>
      <c r="G1578">
        <f>IF(B1578,MOD(SIN(Seed*0.5917+C1578*39.3468+D1578*11.135)*24634.6345,1),"")</f>
        <v/>
      </c>
      <c r="H1578">
        <f>IF(B1578,SQRT(-2*LN(F1578))*COS(2*PI()*G1578),"")</f>
        <v/>
      </c>
      <c r="I1578">
        <f>IF(B1578,IF(D1578=0,H1578,Rho*I1577+SQRT(1-Rho^2)*H1578),"")</f>
        <v/>
      </c>
      <c r="J1578">
        <f>IF(B1578,IF(Dist="Normal",DistA+DistB*I1578,DistA+(DistB-DistA)*NORMSDIST(I1578)),"")</f>
        <v/>
      </c>
      <c r="K1578">
        <f>IF(B1578,INDEX(MineScale,C1578),"")</f>
        <v/>
      </c>
      <c r="L1578">
        <f>IF(B1578,INDEX(Dow,1,WEEKDAY(E1578,2)),"")</f>
        <v/>
      </c>
      <c r="M1578">
        <f>IF(B1578,(1+Trend)^D1578,"")</f>
        <v/>
      </c>
      <c r="N1578">
        <f>IF(B1578,EXP(SUMPRODUCT(LN(1+(EvEff-1)*INDEX(Affected,0,C1578)*EXP(-((E1578-EvCenter)^2)/(2*EvSigma^2))))),"")</f>
        <v/>
      </c>
      <c r="O1578">
        <f>IF(B1578,ROUND(MAX(0,J1578*K1578*L1578*M1578*N1578),2),"")</f>
        <v/>
      </c>
    </row>
    <row r="1579">
      <c r="A1579" t="n">
        <v>1578</v>
      </c>
      <c r="B1579">
        <f>A1579&lt;=MineCount*Days</f>
        <v/>
      </c>
      <c r="C1579">
        <f>IF(B1579,INT((A1579-1)/Days)+1,"")</f>
        <v/>
      </c>
      <c r="D1579">
        <f>IF(B1579,MOD(A1579-1,Days),"")</f>
        <v/>
      </c>
      <c r="E1579" s="16">
        <f>IF(B1579,StartDate+D1579,"")</f>
        <v/>
      </c>
      <c r="F1579">
        <f>IF(B1579,MAX(MOD(SIN(Seed*0.1373+C1579*12.9898+D1579*78.233)*43758.5453,1),1E-9),"")</f>
        <v/>
      </c>
      <c r="G1579">
        <f>IF(B1579,MOD(SIN(Seed*0.5917+C1579*39.3468+D1579*11.135)*24634.6345,1),"")</f>
        <v/>
      </c>
      <c r="H1579">
        <f>IF(B1579,SQRT(-2*LN(F1579))*COS(2*PI()*G1579),"")</f>
        <v/>
      </c>
      <c r="I1579">
        <f>IF(B1579,IF(D1579=0,H1579,Rho*I1578+SQRT(1-Rho^2)*H1579),"")</f>
        <v/>
      </c>
      <c r="J1579">
        <f>IF(B1579,IF(Dist="Normal",DistA+DistB*I1579,DistA+(DistB-DistA)*NORMSDIST(I1579)),"")</f>
        <v/>
      </c>
      <c r="K1579">
        <f>IF(B1579,INDEX(MineScale,C1579),"")</f>
        <v/>
      </c>
      <c r="L1579">
        <f>IF(B1579,INDEX(Dow,1,WEEKDAY(E1579,2)),"")</f>
        <v/>
      </c>
      <c r="M1579">
        <f>IF(B1579,(1+Trend)^D1579,"")</f>
        <v/>
      </c>
      <c r="N1579">
        <f>IF(B1579,EXP(SUMPRODUCT(LN(1+(EvEff-1)*INDEX(Affected,0,C1579)*EXP(-((E1579-EvCenter)^2)/(2*EvSigma^2))))),"")</f>
        <v/>
      </c>
      <c r="O1579">
        <f>IF(B1579,ROUND(MAX(0,J1579*K1579*L1579*M1579*N1579),2),"")</f>
        <v/>
      </c>
    </row>
    <row r="1580">
      <c r="A1580" t="n">
        <v>1579</v>
      </c>
      <c r="B1580">
        <f>A1580&lt;=MineCount*Days</f>
        <v/>
      </c>
      <c r="C1580">
        <f>IF(B1580,INT((A1580-1)/Days)+1,"")</f>
        <v/>
      </c>
      <c r="D1580">
        <f>IF(B1580,MOD(A1580-1,Days),"")</f>
        <v/>
      </c>
      <c r="E1580" s="16">
        <f>IF(B1580,StartDate+D1580,"")</f>
        <v/>
      </c>
      <c r="F1580">
        <f>IF(B1580,MAX(MOD(SIN(Seed*0.1373+C1580*12.9898+D1580*78.233)*43758.5453,1),1E-9),"")</f>
        <v/>
      </c>
      <c r="G1580">
        <f>IF(B1580,MOD(SIN(Seed*0.5917+C1580*39.3468+D1580*11.135)*24634.6345,1),"")</f>
        <v/>
      </c>
      <c r="H1580">
        <f>IF(B1580,SQRT(-2*LN(F1580))*COS(2*PI()*G1580),"")</f>
        <v/>
      </c>
      <c r="I1580">
        <f>IF(B1580,IF(D1580=0,H1580,Rho*I1579+SQRT(1-Rho^2)*H1580),"")</f>
        <v/>
      </c>
      <c r="J1580">
        <f>IF(B1580,IF(Dist="Normal",DistA+DistB*I1580,DistA+(DistB-DistA)*NORMSDIST(I1580)),"")</f>
        <v/>
      </c>
      <c r="K1580">
        <f>IF(B1580,INDEX(MineScale,C1580),"")</f>
        <v/>
      </c>
      <c r="L1580">
        <f>IF(B1580,INDEX(Dow,1,WEEKDAY(E1580,2)),"")</f>
        <v/>
      </c>
      <c r="M1580">
        <f>IF(B1580,(1+Trend)^D1580,"")</f>
        <v/>
      </c>
      <c r="N1580">
        <f>IF(B1580,EXP(SUMPRODUCT(LN(1+(EvEff-1)*INDEX(Affected,0,C1580)*EXP(-((E1580-EvCenter)^2)/(2*EvSigma^2))))),"")</f>
        <v/>
      </c>
      <c r="O1580">
        <f>IF(B1580,ROUND(MAX(0,J1580*K1580*L1580*M1580*N1580),2),"")</f>
        <v/>
      </c>
    </row>
    <row r="1581">
      <c r="A1581" t="n">
        <v>1580</v>
      </c>
      <c r="B1581">
        <f>A1581&lt;=MineCount*Days</f>
        <v/>
      </c>
      <c r="C1581">
        <f>IF(B1581,INT((A1581-1)/Days)+1,"")</f>
        <v/>
      </c>
      <c r="D1581">
        <f>IF(B1581,MOD(A1581-1,Days),"")</f>
        <v/>
      </c>
      <c r="E1581" s="16">
        <f>IF(B1581,StartDate+D1581,"")</f>
        <v/>
      </c>
      <c r="F1581">
        <f>IF(B1581,MAX(MOD(SIN(Seed*0.1373+C1581*12.9898+D1581*78.233)*43758.5453,1),1E-9),"")</f>
        <v/>
      </c>
      <c r="G1581">
        <f>IF(B1581,MOD(SIN(Seed*0.5917+C1581*39.3468+D1581*11.135)*24634.6345,1),"")</f>
        <v/>
      </c>
      <c r="H1581">
        <f>IF(B1581,SQRT(-2*LN(F1581))*COS(2*PI()*G1581),"")</f>
        <v/>
      </c>
      <c r="I1581">
        <f>IF(B1581,IF(D1581=0,H1581,Rho*I1580+SQRT(1-Rho^2)*H1581),"")</f>
        <v/>
      </c>
      <c r="J1581">
        <f>IF(B1581,IF(Dist="Normal",DistA+DistB*I1581,DistA+(DistB-DistA)*NORMSDIST(I1581)),"")</f>
        <v/>
      </c>
      <c r="K1581">
        <f>IF(B1581,INDEX(MineScale,C1581),"")</f>
        <v/>
      </c>
      <c r="L1581">
        <f>IF(B1581,INDEX(Dow,1,WEEKDAY(E1581,2)),"")</f>
        <v/>
      </c>
      <c r="M1581">
        <f>IF(B1581,(1+Trend)^D1581,"")</f>
        <v/>
      </c>
      <c r="N1581">
        <f>IF(B1581,EXP(SUMPRODUCT(LN(1+(EvEff-1)*INDEX(Affected,0,C1581)*EXP(-((E1581-EvCenter)^2)/(2*EvSigma^2))))),"")</f>
        <v/>
      </c>
      <c r="O1581">
        <f>IF(B1581,ROUND(MAX(0,J1581*K1581*L1581*M1581*N1581),2),"")</f>
        <v/>
      </c>
    </row>
    <row r="1582">
      <c r="A1582" t="n">
        <v>1581</v>
      </c>
      <c r="B1582">
        <f>A1582&lt;=MineCount*Days</f>
        <v/>
      </c>
      <c r="C1582">
        <f>IF(B1582,INT((A1582-1)/Days)+1,"")</f>
        <v/>
      </c>
      <c r="D1582">
        <f>IF(B1582,MOD(A1582-1,Days),"")</f>
        <v/>
      </c>
      <c r="E1582" s="16">
        <f>IF(B1582,StartDate+D1582,"")</f>
        <v/>
      </c>
      <c r="F1582">
        <f>IF(B1582,MAX(MOD(SIN(Seed*0.1373+C1582*12.9898+D1582*78.233)*43758.5453,1),1E-9),"")</f>
        <v/>
      </c>
      <c r="G1582">
        <f>IF(B1582,MOD(SIN(Seed*0.5917+C1582*39.3468+D1582*11.135)*24634.6345,1),"")</f>
        <v/>
      </c>
      <c r="H1582">
        <f>IF(B1582,SQRT(-2*LN(F1582))*COS(2*PI()*G1582),"")</f>
        <v/>
      </c>
      <c r="I1582">
        <f>IF(B1582,IF(D1582=0,H1582,Rho*I1581+SQRT(1-Rho^2)*H1582),"")</f>
        <v/>
      </c>
      <c r="J1582">
        <f>IF(B1582,IF(Dist="Normal",DistA+DistB*I1582,DistA+(DistB-DistA)*NORMSDIST(I1582)),"")</f>
        <v/>
      </c>
      <c r="K1582">
        <f>IF(B1582,INDEX(MineScale,C1582),"")</f>
        <v/>
      </c>
      <c r="L1582">
        <f>IF(B1582,INDEX(Dow,1,WEEKDAY(E1582,2)),"")</f>
        <v/>
      </c>
      <c r="M1582">
        <f>IF(B1582,(1+Trend)^D1582,"")</f>
        <v/>
      </c>
      <c r="N1582">
        <f>IF(B1582,EXP(SUMPRODUCT(LN(1+(EvEff-1)*INDEX(Affected,0,C1582)*EXP(-((E1582-EvCenter)^2)/(2*EvSigma^2))))),"")</f>
        <v/>
      </c>
      <c r="O1582">
        <f>IF(B1582,ROUND(MAX(0,J1582*K1582*L1582*M1582*N1582),2),"")</f>
        <v/>
      </c>
    </row>
    <row r="1583">
      <c r="A1583" t="n">
        <v>1582</v>
      </c>
      <c r="B1583">
        <f>A1583&lt;=MineCount*Days</f>
        <v/>
      </c>
      <c r="C1583">
        <f>IF(B1583,INT((A1583-1)/Days)+1,"")</f>
        <v/>
      </c>
      <c r="D1583">
        <f>IF(B1583,MOD(A1583-1,Days),"")</f>
        <v/>
      </c>
      <c r="E1583" s="16">
        <f>IF(B1583,StartDate+D1583,"")</f>
        <v/>
      </c>
      <c r="F1583">
        <f>IF(B1583,MAX(MOD(SIN(Seed*0.1373+C1583*12.9898+D1583*78.233)*43758.5453,1),1E-9),"")</f>
        <v/>
      </c>
      <c r="G1583">
        <f>IF(B1583,MOD(SIN(Seed*0.5917+C1583*39.3468+D1583*11.135)*24634.6345,1),"")</f>
        <v/>
      </c>
      <c r="H1583">
        <f>IF(B1583,SQRT(-2*LN(F1583))*COS(2*PI()*G1583),"")</f>
        <v/>
      </c>
      <c r="I1583">
        <f>IF(B1583,IF(D1583=0,H1583,Rho*I1582+SQRT(1-Rho^2)*H1583),"")</f>
        <v/>
      </c>
      <c r="J1583">
        <f>IF(B1583,IF(Dist="Normal",DistA+DistB*I1583,DistA+(DistB-DistA)*NORMSDIST(I1583)),"")</f>
        <v/>
      </c>
      <c r="K1583">
        <f>IF(B1583,INDEX(MineScale,C1583),"")</f>
        <v/>
      </c>
      <c r="L1583">
        <f>IF(B1583,INDEX(Dow,1,WEEKDAY(E1583,2)),"")</f>
        <v/>
      </c>
      <c r="M1583">
        <f>IF(B1583,(1+Trend)^D1583,"")</f>
        <v/>
      </c>
      <c r="N1583">
        <f>IF(B1583,EXP(SUMPRODUCT(LN(1+(EvEff-1)*INDEX(Affected,0,C1583)*EXP(-((E1583-EvCenter)^2)/(2*EvSigma^2))))),"")</f>
        <v/>
      </c>
      <c r="O1583">
        <f>IF(B1583,ROUND(MAX(0,J1583*K1583*L1583*M1583*N1583),2),"")</f>
        <v/>
      </c>
    </row>
    <row r="1584">
      <c r="A1584" t="n">
        <v>1583</v>
      </c>
      <c r="B1584">
        <f>A1584&lt;=MineCount*Days</f>
        <v/>
      </c>
      <c r="C1584">
        <f>IF(B1584,INT((A1584-1)/Days)+1,"")</f>
        <v/>
      </c>
      <c r="D1584">
        <f>IF(B1584,MOD(A1584-1,Days),"")</f>
        <v/>
      </c>
      <c r="E1584" s="16">
        <f>IF(B1584,StartDate+D1584,"")</f>
        <v/>
      </c>
      <c r="F1584">
        <f>IF(B1584,MAX(MOD(SIN(Seed*0.1373+C1584*12.9898+D1584*78.233)*43758.5453,1),1E-9),"")</f>
        <v/>
      </c>
      <c r="G1584">
        <f>IF(B1584,MOD(SIN(Seed*0.5917+C1584*39.3468+D1584*11.135)*24634.6345,1),"")</f>
        <v/>
      </c>
      <c r="H1584">
        <f>IF(B1584,SQRT(-2*LN(F1584))*COS(2*PI()*G1584),"")</f>
        <v/>
      </c>
      <c r="I1584">
        <f>IF(B1584,IF(D1584=0,H1584,Rho*I1583+SQRT(1-Rho^2)*H1584),"")</f>
        <v/>
      </c>
      <c r="J1584">
        <f>IF(B1584,IF(Dist="Normal",DistA+DistB*I1584,DistA+(DistB-DistA)*NORMSDIST(I1584)),"")</f>
        <v/>
      </c>
      <c r="K1584">
        <f>IF(B1584,INDEX(MineScale,C1584),"")</f>
        <v/>
      </c>
      <c r="L1584">
        <f>IF(B1584,INDEX(Dow,1,WEEKDAY(E1584,2)),"")</f>
        <v/>
      </c>
      <c r="M1584">
        <f>IF(B1584,(1+Trend)^D1584,"")</f>
        <v/>
      </c>
      <c r="N1584">
        <f>IF(B1584,EXP(SUMPRODUCT(LN(1+(EvEff-1)*INDEX(Affected,0,C1584)*EXP(-((E1584-EvCenter)^2)/(2*EvSigma^2))))),"")</f>
        <v/>
      </c>
      <c r="O1584">
        <f>IF(B1584,ROUND(MAX(0,J1584*K1584*L1584*M1584*N1584),2),"")</f>
        <v/>
      </c>
    </row>
    <row r="1585">
      <c r="A1585" t="n">
        <v>1584</v>
      </c>
      <c r="B1585">
        <f>A1585&lt;=MineCount*Days</f>
        <v/>
      </c>
      <c r="C1585">
        <f>IF(B1585,INT((A1585-1)/Days)+1,"")</f>
        <v/>
      </c>
      <c r="D1585">
        <f>IF(B1585,MOD(A1585-1,Days),"")</f>
        <v/>
      </c>
      <c r="E1585" s="16">
        <f>IF(B1585,StartDate+D1585,"")</f>
        <v/>
      </c>
      <c r="F1585">
        <f>IF(B1585,MAX(MOD(SIN(Seed*0.1373+C1585*12.9898+D1585*78.233)*43758.5453,1),1E-9),"")</f>
        <v/>
      </c>
      <c r="G1585">
        <f>IF(B1585,MOD(SIN(Seed*0.5917+C1585*39.3468+D1585*11.135)*24634.6345,1),"")</f>
        <v/>
      </c>
      <c r="H1585">
        <f>IF(B1585,SQRT(-2*LN(F1585))*COS(2*PI()*G1585),"")</f>
        <v/>
      </c>
      <c r="I1585">
        <f>IF(B1585,IF(D1585=0,H1585,Rho*I1584+SQRT(1-Rho^2)*H1585),"")</f>
        <v/>
      </c>
      <c r="J1585">
        <f>IF(B1585,IF(Dist="Normal",DistA+DistB*I1585,DistA+(DistB-DistA)*NORMSDIST(I1585)),"")</f>
        <v/>
      </c>
      <c r="K1585">
        <f>IF(B1585,INDEX(MineScale,C1585),"")</f>
        <v/>
      </c>
      <c r="L1585">
        <f>IF(B1585,INDEX(Dow,1,WEEKDAY(E1585,2)),"")</f>
        <v/>
      </c>
      <c r="M1585">
        <f>IF(B1585,(1+Trend)^D1585,"")</f>
        <v/>
      </c>
      <c r="N1585">
        <f>IF(B1585,EXP(SUMPRODUCT(LN(1+(EvEff-1)*INDEX(Affected,0,C1585)*EXP(-((E1585-EvCenter)^2)/(2*EvSigma^2))))),"")</f>
        <v/>
      </c>
      <c r="O1585">
        <f>IF(B1585,ROUND(MAX(0,J1585*K1585*L1585*M1585*N1585),2),"")</f>
        <v/>
      </c>
    </row>
    <row r="1586">
      <c r="A1586" t="n">
        <v>1585</v>
      </c>
      <c r="B1586">
        <f>A1586&lt;=MineCount*Days</f>
        <v/>
      </c>
      <c r="C1586">
        <f>IF(B1586,INT((A1586-1)/Days)+1,"")</f>
        <v/>
      </c>
      <c r="D1586">
        <f>IF(B1586,MOD(A1586-1,Days),"")</f>
        <v/>
      </c>
      <c r="E1586" s="16">
        <f>IF(B1586,StartDate+D1586,"")</f>
        <v/>
      </c>
      <c r="F1586">
        <f>IF(B1586,MAX(MOD(SIN(Seed*0.1373+C1586*12.9898+D1586*78.233)*43758.5453,1),1E-9),"")</f>
        <v/>
      </c>
      <c r="G1586">
        <f>IF(B1586,MOD(SIN(Seed*0.5917+C1586*39.3468+D1586*11.135)*24634.6345,1),"")</f>
        <v/>
      </c>
      <c r="H1586">
        <f>IF(B1586,SQRT(-2*LN(F1586))*COS(2*PI()*G1586),"")</f>
        <v/>
      </c>
      <c r="I1586">
        <f>IF(B1586,IF(D1586=0,H1586,Rho*I1585+SQRT(1-Rho^2)*H1586),"")</f>
        <v/>
      </c>
      <c r="J1586">
        <f>IF(B1586,IF(Dist="Normal",DistA+DistB*I1586,DistA+(DistB-DistA)*NORMSDIST(I1586)),"")</f>
        <v/>
      </c>
      <c r="K1586">
        <f>IF(B1586,INDEX(MineScale,C1586),"")</f>
        <v/>
      </c>
      <c r="L1586">
        <f>IF(B1586,INDEX(Dow,1,WEEKDAY(E1586,2)),"")</f>
        <v/>
      </c>
      <c r="M1586">
        <f>IF(B1586,(1+Trend)^D1586,"")</f>
        <v/>
      </c>
      <c r="N1586">
        <f>IF(B1586,EXP(SUMPRODUCT(LN(1+(EvEff-1)*INDEX(Affected,0,C1586)*EXP(-((E1586-EvCenter)^2)/(2*EvSigma^2))))),"")</f>
        <v/>
      </c>
      <c r="O1586">
        <f>IF(B1586,ROUND(MAX(0,J1586*K1586*L1586*M1586*N1586),2),"")</f>
        <v/>
      </c>
    </row>
    <row r="1587">
      <c r="A1587" t="n">
        <v>1586</v>
      </c>
      <c r="B1587">
        <f>A1587&lt;=MineCount*Days</f>
        <v/>
      </c>
      <c r="C1587">
        <f>IF(B1587,INT((A1587-1)/Days)+1,"")</f>
        <v/>
      </c>
      <c r="D1587">
        <f>IF(B1587,MOD(A1587-1,Days),"")</f>
        <v/>
      </c>
      <c r="E1587" s="16">
        <f>IF(B1587,StartDate+D1587,"")</f>
        <v/>
      </c>
      <c r="F1587">
        <f>IF(B1587,MAX(MOD(SIN(Seed*0.1373+C1587*12.9898+D1587*78.233)*43758.5453,1),1E-9),"")</f>
        <v/>
      </c>
      <c r="G1587">
        <f>IF(B1587,MOD(SIN(Seed*0.5917+C1587*39.3468+D1587*11.135)*24634.6345,1),"")</f>
        <v/>
      </c>
      <c r="H1587">
        <f>IF(B1587,SQRT(-2*LN(F1587))*COS(2*PI()*G1587),"")</f>
        <v/>
      </c>
      <c r="I1587">
        <f>IF(B1587,IF(D1587=0,H1587,Rho*I1586+SQRT(1-Rho^2)*H1587),"")</f>
        <v/>
      </c>
      <c r="J1587">
        <f>IF(B1587,IF(Dist="Normal",DistA+DistB*I1587,DistA+(DistB-DistA)*NORMSDIST(I1587)),"")</f>
        <v/>
      </c>
      <c r="K1587">
        <f>IF(B1587,INDEX(MineScale,C1587),"")</f>
        <v/>
      </c>
      <c r="L1587">
        <f>IF(B1587,INDEX(Dow,1,WEEKDAY(E1587,2)),"")</f>
        <v/>
      </c>
      <c r="M1587">
        <f>IF(B1587,(1+Trend)^D1587,"")</f>
        <v/>
      </c>
      <c r="N1587">
        <f>IF(B1587,EXP(SUMPRODUCT(LN(1+(EvEff-1)*INDEX(Affected,0,C1587)*EXP(-((E1587-EvCenter)^2)/(2*EvSigma^2))))),"")</f>
        <v/>
      </c>
      <c r="O1587">
        <f>IF(B1587,ROUND(MAX(0,J1587*K1587*L1587*M1587*N1587),2),"")</f>
        <v/>
      </c>
    </row>
    <row r="1588">
      <c r="A1588" t="n">
        <v>1587</v>
      </c>
      <c r="B1588">
        <f>A1588&lt;=MineCount*Days</f>
        <v/>
      </c>
      <c r="C1588">
        <f>IF(B1588,INT((A1588-1)/Days)+1,"")</f>
        <v/>
      </c>
      <c r="D1588">
        <f>IF(B1588,MOD(A1588-1,Days),"")</f>
        <v/>
      </c>
      <c r="E1588" s="16">
        <f>IF(B1588,StartDate+D1588,"")</f>
        <v/>
      </c>
      <c r="F1588">
        <f>IF(B1588,MAX(MOD(SIN(Seed*0.1373+C1588*12.9898+D1588*78.233)*43758.5453,1),1E-9),"")</f>
        <v/>
      </c>
      <c r="G1588">
        <f>IF(B1588,MOD(SIN(Seed*0.5917+C1588*39.3468+D1588*11.135)*24634.6345,1),"")</f>
        <v/>
      </c>
      <c r="H1588">
        <f>IF(B1588,SQRT(-2*LN(F1588))*COS(2*PI()*G1588),"")</f>
        <v/>
      </c>
      <c r="I1588">
        <f>IF(B1588,IF(D1588=0,H1588,Rho*I1587+SQRT(1-Rho^2)*H1588),"")</f>
        <v/>
      </c>
      <c r="J1588">
        <f>IF(B1588,IF(Dist="Normal",DistA+DistB*I1588,DistA+(DistB-DistA)*NORMSDIST(I1588)),"")</f>
        <v/>
      </c>
      <c r="K1588">
        <f>IF(B1588,INDEX(MineScale,C1588),"")</f>
        <v/>
      </c>
      <c r="L1588">
        <f>IF(B1588,INDEX(Dow,1,WEEKDAY(E1588,2)),"")</f>
        <v/>
      </c>
      <c r="M1588">
        <f>IF(B1588,(1+Trend)^D1588,"")</f>
        <v/>
      </c>
      <c r="N1588">
        <f>IF(B1588,EXP(SUMPRODUCT(LN(1+(EvEff-1)*INDEX(Affected,0,C1588)*EXP(-((E1588-EvCenter)^2)/(2*EvSigma^2))))),"")</f>
        <v/>
      </c>
      <c r="O1588">
        <f>IF(B1588,ROUND(MAX(0,J1588*K1588*L1588*M1588*N1588),2),"")</f>
        <v/>
      </c>
    </row>
    <row r="1589">
      <c r="A1589" t="n">
        <v>1588</v>
      </c>
      <c r="B1589">
        <f>A1589&lt;=MineCount*Days</f>
        <v/>
      </c>
      <c r="C1589">
        <f>IF(B1589,INT((A1589-1)/Days)+1,"")</f>
        <v/>
      </c>
      <c r="D1589">
        <f>IF(B1589,MOD(A1589-1,Days),"")</f>
        <v/>
      </c>
      <c r="E1589" s="16">
        <f>IF(B1589,StartDate+D1589,"")</f>
        <v/>
      </c>
      <c r="F1589">
        <f>IF(B1589,MAX(MOD(SIN(Seed*0.1373+C1589*12.9898+D1589*78.233)*43758.5453,1),1E-9),"")</f>
        <v/>
      </c>
      <c r="G1589">
        <f>IF(B1589,MOD(SIN(Seed*0.5917+C1589*39.3468+D1589*11.135)*24634.6345,1),"")</f>
        <v/>
      </c>
      <c r="H1589">
        <f>IF(B1589,SQRT(-2*LN(F1589))*COS(2*PI()*G1589),"")</f>
        <v/>
      </c>
      <c r="I1589">
        <f>IF(B1589,IF(D1589=0,H1589,Rho*I1588+SQRT(1-Rho^2)*H1589),"")</f>
        <v/>
      </c>
      <c r="J1589">
        <f>IF(B1589,IF(Dist="Normal",DistA+DistB*I1589,DistA+(DistB-DistA)*NORMSDIST(I1589)),"")</f>
        <v/>
      </c>
      <c r="K1589">
        <f>IF(B1589,INDEX(MineScale,C1589),"")</f>
        <v/>
      </c>
      <c r="L1589">
        <f>IF(B1589,INDEX(Dow,1,WEEKDAY(E1589,2)),"")</f>
        <v/>
      </c>
      <c r="M1589">
        <f>IF(B1589,(1+Trend)^D1589,"")</f>
        <v/>
      </c>
      <c r="N1589">
        <f>IF(B1589,EXP(SUMPRODUCT(LN(1+(EvEff-1)*INDEX(Affected,0,C1589)*EXP(-((E1589-EvCenter)^2)/(2*EvSigma^2))))),"")</f>
        <v/>
      </c>
      <c r="O1589">
        <f>IF(B1589,ROUND(MAX(0,J1589*K1589*L1589*M1589*N1589),2),"")</f>
        <v/>
      </c>
    </row>
    <row r="1590">
      <c r="A1590" t="n">
        <v>1589</v>
      </c>
      <c r="B1590">
        <f>A1590&lt;=MineCount*Days</f>
        <v/>
      </c>
      <c r="C1590">
        <f>IF(B1590,INT((A1590-1)/Days)+1,"")</f>
        <v/>
      </c>
      <c r="D1590">
        <f>IF(B1590,MOD(A1590-1,Days),"")</f>
        <v/>
      </c>
      <c r="E1590" s="16">
        <f>IF(B1590,StartDate+D1590,"")</f>
        <v/>
      </c>
      <c r="F1590">
        <f>IF(B1590,MAX(MOD(SIN(Seed*0.1373+C1590*12.9898+D1590*78.233)*43758.5453,1),1E-9),"")</f>
        <v/>
      </c>
      <c r="G1590">
        <f>IF(B1590,MOD(SIN(Seed*0.5917+C1590*39.3468+D1590*11.135)*24634.6345,1),"")</f>
        <v/>
      </c>
      <c r="H1590">
        <f>IF(B1590,SQRT(-2*LN(F1590))*COS(2*PI()*G1590),"")</f>
        <v/>
      </c>
      <c r="I1590">
        <f>IF(B1590,IF(D1590=0,H1590,Rho*I1589+SQRT(1-Rho^2)*H1590),"")</f>
        <v/>
      </c>
      <c r="J1590">
        <f>IF(B1590,IF(Dist="Normal",DistA+DistB*I1590,DistA+(DistB-DistA)*NORMSDIST(I1590)),"")</f>
        <v/>
      </c>
      <c r="K1590">
        <f>IF(B1590,INDEX(MineScale,C1590),"")</f>
        <v/>
      </c>
      <c r="L1590">
        <f>IF(B1590,INDEX(Dow,1,WEEKDAY(E1590,2)),"")</f>
        <v/>
      </c>
      <c r="M1590">
        <f>IF(B1590,(1+Trend)^D1590,"")</f>
        <v/>
      </c>
      <c r="N1590">
        <f>IF(B1590,EXP(SUMPRODUCT(LN(1+(EvEff-1)*INDEX(Affected,0,C1590)*EXP(-((E1590-EvCenter)^2)/(2*EvSigma^2))))),"")</f>
        <v/>
      </c>
      <c r="O1590">
        <f>IF(B1590,ROUND(MAX(0,J1590*K1590*L1590*M1590*N1590),2),"")</f>
        <v/>
      </c>
    </row>
    <row r="1591">
      <c r="A1591" t="n">
        <v>1590</v>
      </c>
      <c r="B1591">
        <f>A1591&lt;=MineCount*Days</f>
        <v/>
      </c>
      <c r="C1591">
        <f>IF(B1591,INT((A1591-1)/Days)+1,"")</f>
        <v/>
      </c>
      <c r="D1591">
        <f>IF(B1591,MOD(A1591-1,Days),"")</f>
        <v/>
      </c>
      <c r="E1591" s="16">
        <f>IF(B1591,StartDate+D1591,"")</f>
        <v/>
      </c>
      <c r="F1591">
        <f>IF(B1591,MAX(MOD(SIN(Seed*0.1373+C1591*12.9898+D1591*78.233)*43758.5453,1),1E-9),"")</f>
        <v/>
      </c>
      <c r="G1591">
        <f>IF(B1591,MOD(SIN(Seed*0.5917+C1591*39.3468+D1591*11.135)*24634.6345,1),"")</f>
        <v/>
      </c>
      <c r="H1591">
        <f>IF(B1591,SQRT(-2*LN(F1591))*COS(2*PI()*G1591),"")</f>
        <v/>
      </c>
      <c r="I1591">
        <f>IF(B1591,IF(D1591=0,H1591,Rho*I1590+SQRT(1-Rho^2)*H1591),"")</f>
        <v/>
      </c>
      <c r="J1591">
        <f>IF(B1591,IF(Dist="Normal",DistA+DistB*I1591,DistA+(DistB-DistA)*NORMSDIST(I1591)),"")</f>
        <v/>
      </c>
      <c r="K1591">
        <f>IF(B1591,INDEX(MineScale,C1591),"")</f>
        <v/>
      </c>
      <c r="L1591">
        <f>IF(B1591,INDEX(Dow,1,WEEKDAY(E1591,2)),"")</f>
        <v/>
      </c>
      <c r="M1591">
        <f>IF(B1591,(1+Trend)^D1591,"")</f>
        <v/>
      </c>
      <c r="N1591">
        <f>IF(B1591,EXP(SUMPRODUCT(LN(1+(EvEff-1)*INDEX(Affected,0,C1591)*EXP(-((E1591-EvCenter)^2)/(2*EvSigma^2))))),"")</f>
        <v/>
      </c>
      <c r="O1591">
        <f>IF(B1591,ROUND(MAX(0,J1591*K1591*L1591*M1591*N1591),2),"")</f>
        <v/>
      </c>
    </row>
    <row r="1592">
      <c r="A1592" t="n">
        <v>1591</v>
      </c>
      <c r="B1592">
        <f>A1592&lt;=MineCount*Days</f>
        <v/>
      </c>
      <c r="C1592">
        <f>IF(B1592,INT((A1592-1)/Days)+1,"")</f>
        <v/>
      </c>
      <c r="D1592">
        <f>IF(B1592,MOD(A1592-1,Days),"")</f>
        <v/>
      </c>
      <c r="E1592" s="16">
        <f>IF(B1592,StartDate+D1592,"")</f>
        <v/>
      </c>
      <c r="F1592">
        <f>IF(B1592,MAX(MOD(SIN(Seed*0.1373+C1592*12.9898+D1592*78.233)*43758.5453,1),1E-9),"")</f>
        <v/>
      </c>
      <c r="G1592">
        <f>IF(B1592,MOD(SIN(Seed*0.5917+C1592*39.3468+D1592*11.135)*24634.6345,1),"")</f>
        <v/>
      </c>
      <c r="H1592">
        <f>IF(B1592,SQRT(-2*LN(F1592))*COS(2*PI()*G1592),"")</f>
        <v/>
      </c>
      <c r="I1592">
        <f>IF(B1592,IF(D1592=0,H1592,Rho*I1591+SQRT(1-Rho^2)*H1592),"")</f>
        <v/>
      </c>
      <c r="J1592">
        <f>IF(B1592,IF(Dist="Normal",DistA+DistB*I1592,DistA+(DistB-DistA)*NORMSDIST(I1592)),"")</f>
        <v/>
      </c>
      <c r="K1592">
        <f>IF(B1592,INDEX(MineScale,C1592),"")</f>
        <v/>
      </c>
      <c r="L1592">
        <f>IF(B1592,INDEX(Dow,1,WEEKDAY(E1592,2)),"")</f>
        <v/>
      </c>
      <c r="M1592">
        <f>IF(B1592,(1+Trend)^D1592,"")</f>
        <v/>
      </c>
      <c r="N1592">
        <f>IF(B1592,EXP(SUMPRODUCT(LN(1+(EvEff-1)*INDEX(Affected,0,C1592)*EXP(-((E1592-EvCenter)^2)/(2*EvSigma^2))))),"")</f>
        <v/>
      </c>
      <c r="O1592">
        <f>IF(B1592,ROUND(MAX(0,J1592*K1592*L1592*M1592*N1592),2),"")</f>
        <v/>
      </c>
    </row>
    <row r="1593">
      <c r="A1593" t="n">
        <v>1592</v>
      </c>
      <c r="B1593">
        <f>A1593&lt;=MineCount*Days</f>
        <v/>
      </c>
      <c r="C1593">
        <f>IF(B1593,INT((A1593-1)/Days)+1,"")</f>
        <v/>
      </c>
      <c r="D1593">
        <f>IF(B1593,MOD(A1593-1,Days),"")</f>
        <v/>
      </c>
      <c r="E1593" s="16">
        <f>IF(B1593,StartDate+D1593,"")</f>
        <v/>
      </c>
      <c r="F1593">
        <f>IF(B1593,MAX(MOD(SIN(Seed*0.1373+C1593*12.9898+D1593*78.233)*43758.5453,1),1E-9),"")</f>
        <v/>
      </c>
      <c r="G1593">
        <f>IF(B1593,MOD(SIN(Seed*0.5917+C1593*39.3468+D1593*11.135)*24634.6345,1),"")</f>
        <v/>
      </c>
      <c r="H1593">
        <f>IF(B1593,SQRT(-2*LN(F1593))*COS(2*PI()*G1593),"")</f>
        <v/>
      </c>
      <c r="I1593">
        <f>IF(B1593,IF(D1593=0,H1593,Rho*I1592+SQRT(1-Rho^2)*H1593),"")</f>
        <v/>
      </c>
      <c r="J1593">
        <f>IF(B1593,IF(Dist="Normal",DistA+DistB*I1593,DistA+(DistB-DistA)*NORMSDIST(I1593)),"")</f>
        <v/>
      </c>
      <c r="K1593">
        <f>IF(B1593,INDEX(MineScale,C1593),"")</f>
        <v/>
      </c>
      <c r="L1593">
        <f>IF(B1593,INDEX(Dow,1,WEEKDAY(E1593,2)),"")</f>
        <v/>
      </c>
      <c r="M1593">
        <f>IF(B1593,(1+Trend)^D1593,"")</f>
        <v/>
      </c>
      <c r="N1593">
        <f>IF(B1593,EXP(SUMPRODUCT(LN(1+(EvEff-1)*INDEX(Affected,0,C1593)*EXP(-((E1593-EvCenter)^2)/(2*EvSigma^2))))),"")</f>
        <v/>
      </c>
      <c r="O1593">
        <f>IF(B1593,ROUND(MAX(0,J1593*K1593*L1593*M1593*N1593),2),"")</f>
        <v/>
      </c>
    </row>
    <row r="1594">
      <c r="A1594" t="n">
        <v>1593</v>
      </c>
      <c r="B1594">
        <f>A1594&lt;=MineCount*Days</f>
        <v/>
      </c>
      <c r="C1594">
        <f>IF(B1594,INT((A1594-1)/Days)+1,"")</f>
        <v/>
      </c>
      <c r="D1594">
        <f>IF(B1594,MOD(A1594-1,Days),"")</f>
        <v/>
      </c>
      <c r="E1594" s="16">
        <f>IF(B1594,StartDate+D1594,"")</f>
        <v/>
      </c>
      <c r="F1594">
        <f>IF(B1594,MAX(MOD(SIN(Seed*0.1373+C1594*12.9898+D1594*78.233)*43758.5453,1),1E-9),"")</f>
        <v/>
      </c>
      <c r="G1594">
        <f>IF(B1594,MOD(SIN(Seed*0.5917+C1594*39.3468+D1594*11.135)*24634.6345,1),"")</f>
        <v/>
      </c>
      <c r="H1594">
        <f>IF(B1594,SQRT(-2*LN(F1594))*COS(2*PI()*G1594),"")</f>
        <v/>
      </c>
      <c r="I1594">
        <f>IF(B1594,IF(D1594=0,H1594,Rho*I1593+SQRT(1-Rho^2)*H1594),"")</f>
        <v/>
      </c>
      <c r="J1594">
        <f>IF(B1594,IF(Dist="Normal",DistA+DistB*I1594,DistA+(DistB-DistA)*NORMSDIST(I1594)),"")</f>
        <v/>
      </c>
      <c r="K1594">
        <f>IF(B1594,INDEX(MineScale,C1594),"")</f>
        <v/>
      </c>
      <c r="L1594">
        <f>IF(B1594,INDEX(Dow,1,WEEKDAY(E1594,2)),"")</f>
        <v/>
      </c>
      <c r="M1594">
        <f>IF(B1594,(1+Trend)^D1594,"")</f>
        <v/>
      </c>
      <c r="N1594">
        <f>IF(B1594,EXP(SUMPRODUCT(LN(1+(EvEff-1)*INDEX(Affected,0,C1594)*EXP(-((E1594-EvCenter)^2)/(2*EvSigma^2))))),"")</f>
        <v/>
      </c>
      <c r="O1594">
        <f>IF(B1594,ROUND(MAX(0,J1594*K1594*L1594*M1594*N1594),2),"")</f>
        <v/>
      </c>
    </row>
    <row r="1595">
      <c r="A1595" t="n">
        <v>1594</v>
      </c>
      <c r="B1595">
        <f>A1595&lt;=MineCount*Days</f>
        <v/>
      </c>
      <c r="C1595">
        <f>IF(B1595,INT((A1595-1)/Days)+1,"")</f>
        <v/>
      </c>
      <c r="D1595">
        <f>IF(B1595,MOD(A1595-1,Days),"")</f>
        <v/>
      </c>
      <c r="E1595" s="16">
        <f>IF(B1595,StartDate+D1595,"")</f>
        <v/>
      </c>
      <c r="F1595">
        <f>IF(B1595,MAX(MOD(SIN(Seed*0.1373+C1595*12.9898+D1595*78.233)*43758.5453,1),1E-9),"")</f>
        <v/>
      </c>
      <c r="G1595">
        <f>IF(B1595,MOD(SIN(Seed*0.5917+C1595*39.3468+D1595*11.135)*24634.6345,1),"")</f>
        <v/>
      </c>
      <c r="H1595">
        <f>IF(B1595,SQRT(-2*LN(F1595))*COS(2*PI()*G1595),"")</f>
        <v/>
      </c>
      <c r="I1595">
        <f>IF(B1595,IF(D1595=0,H1595,Rho*I1594+SQRT(1-Rho^2)*H1595),"")</f>
        <v/>
      </c>
      <c r="J1595">
        <f>IF(B1595,IF(Dist="Normal",DistA+DistB*I1595,DistA+(DistB-DistA)*NORMSDIST(I1595)),"")</f>
        <v/>
      </c>
      <c r="K1595">
        <f>IF(B1595,INDEX(MineScale,C1595),"")</f>
        <v/>
      </c>
      <c r="L1595">
        <f>IF(B1595,INDEX(Dow,1,WEEKDAY(E1595,2)),"")</f>
        <v/>
      </c>
      <c r="M1595">
        <f>IF(B1595,(1+Trend)^D1595,"")</f>
        <v/>
      </c>
      <c r="N1595">
        <f>IF(B1595,EXP(SUMPRODUCT(LN(1+(EvEff-1)*INDEX(Affected,0,C1595)*EXP(-((E1595-EvCenter)^2)/(2*EvSigma^2))))),"")</f>
        <v/>
      </c>
      <c r="O1595">
        <f>IF(B1595,ROUND(MAX(0,J1595*K1595*L1595*M1595*N1595),2),"")</f>
        <v/>
      </c>
    </row>
    <row r="1596">
      <c r="A1596" t="n">
        <v>1595</v>
      </c>
      <c r="B1596">
        <f>A1596&lt;=MineCount*Days</f>
        <v/>
      </c>
      <c r="C1596">
        <f>IF(B1596,INT((A1596-1)/Days)+1,"")</f>
        <v/>
      </c>
      <c r="D1596">
        <f>IF(B1596,MOD(A1596-1,Days),"")</f>
        <v/>
      </c>
      <c r="E1596" s="16">
        <f>IF(B1596,StartDate+D1596,"")</f>
        <v/>
      </c>
      <c r="F1596">
        <f>IF(B1596,MAX(MOD(SIN(Seed*0.1373+C1596*12.9898+D1596*78.233)*43758.5453,1),1E-9),"")</f>
        <v/>
      </c>
      <c r="G1596">
        <f>IF(B1596,MOD(SIN(Seed*0.5917+C1596*39.3468+D1596*11.135)*24634.6345,1),"")</f>
        <v/>
      </c>
      <c r="H1596">
        <f>IF(B1596,SQRT(-2*LN(F1596))*COS(2*PI()*G1596),"")</f>
        <v/>
      </c>
      <c r="I1596">
        <f>IF(B1596,IF(D1596=0,H1596,Rho*I1595+SQRT(1-Rho^2)*H1596),"")</f>
        <v/>
      </c>
      <c r="J1596">
        <f>IF(B1596,IF(Dist="Normal",DistA+DistB*I1596,DistA+(DistB-DistA)*NORMSDIST(I1596)),"")</f>
        <v/>
      </c>
      <c r="K1596">
        <f>IF(B1596,INDEX(MineScale,C1596),"")</f>
        <v/>
      </c>
      <c r="L1596">
        <f>IF(B1596,INDEX(Dow,1,WEEKDAY(E1596,2)),"")</f>
        <v/>
      </c>
      <c r="M1596">
        <f>IF(B1596,(1+Trend)^D1596,"")</f>
        <v/>
      </c>
      <c r="N1596">
        <f>IF(B1596,EXP(SUMPRODUCT(LN(1+(EvEff-1)*INDEX(Affected,0,C1596)*EXP(-((E1596-EvCenter)^2)/(2*EvSigma^2))))),"")</f>
        <v/>
      </c>
      <c r="O1596">
        <f>IF(B1596,ROUND(MAX(0,J1596*K1596*L1596*M1596*N1596),2),"")</f>
        <v/>
      </c>
    </row>
    <row r="1597">
      <c r="A1597" t="n">
        <v>1596</v>
      </c>
      <c r="B1597">
        <f>A1597&lt;=MineCount*Days</f>
        <v/>
      </c>
      <c r="C1597">
        <f>IF(B1597,INT((A1597-1)/Days)+1,"")</f>
        <v/>
      </c>
      <c r="D1597">
        <f>IF(B1597,MOD(A1597-1,Days),"")</f>
        <v/>
      </c>
      <c r="E1597" s="16">
        <f>IF(B1597,StartDate+D1597,"")</f>
        <v/>
      </c>
      <c r="F1597">
        <f>IF(B1597,MAX(MOD(SIN(Seed*0.1373+C1597*12.9898+D1597*78.233)*43758.5453,1),1E-9),"")</f>
        <v/>
      </c>
      <c r="G1597">
        <f>IF(B1597,MOD(SIN(Seed*0.5917+C1597*39.3468+D1597*11.135)*24634.6345,1),"")</f>
        <v/>
      </c>
      <c r="H1597">
        <f>IF(B1597,SQRT(-2*LN(F1597))*COS(2*PI()*G1597),"")</f>
        <v/>
      </c>
      <c r="I1597">
        <f>IF(B1597,IF(D1597=0,H1597,Rho*I1596+SQRT(1-Rho^2)*H1597),"")</f>
        <v/>
      </c>
      <c r="J1597">
        <f>IF(B1597,IF(Dist="Normal",DistA+DistB*I1597,DistA+(DistB-DistA)*NORMSDIST(I1597)),"")</f>
        <v/>
      </c>
      <c r="K1597">
        <f>IF(B1597,INDEX(MineScale,C1597),"")</f>
        <v/>
      </c>
      <c r="L1597">
        <f>IF(B1597,INDEX(Dow,1,WEEKDAY(E1597,2)),"")</f>
        <v/>
      </c>
      <c r="M1597">
        <f>IF(B1597,(1+Trend)^D1597,"")</f>
        <v/>
      </c>
      <c r="N1597">
        <f>IF(B1597,EXP(SUMPRODUCT(LN(1+(EvEff-1)*INDEX(Affected,0,C1597)*EXP(-((E1597-EvCenter)^2)/(2*EvSigma^2))))),"")</f>
        <v/>
      </c>
      <c r="O1597">
        <f>IF(B1597,ROUND(MAX(0,J1597*K1597*L1597*M1597*N1597),2),"")</f>
        <v/>
      </c>
    </row>
    <row r="1598">
      <c r="A1598" t="n">
        <v>1597</v>
      </c>
      <c r="B1598">
        <f>A1598&lt;=MineCount*Days</f>
        <v/>
      </c>
      <c r="C1598">
        <f>IF(B1598,INT((A1598-1)/Days)+1,"")</f>
        <v/>
      </c>
      <c r="D1598">
        <f>IF(B1598,MOD(A1598-1,Days),"")</f>
        <v/>
      </c>
      <c r="E1598" s="16">
        <f>IF(B1598,StartDate+D1598,"")</f>
        <v/>
      </c>
      <c r="F1598">
        <f>IF(B1598,MAX(MOD(SIN(Seed*0.1373+C1598*12.9898+D1598*78.233)*43758.5453,1),1E-9),"")</f>
        <v/>
      </c>
      <c r="G1598">
        <f>IF(B1598,MOD(SIN(Seed*0.5917+C1598*39.3468+D1598*11.135)*24634.6345,1),"")</f>
        <v/>
      </c>
      <c r="H1598">
        <f>IF(B1598,SQRT(-2*LN(F1598))*COS(2*PI()*G1598),"")</f>
        <v/>
      </c>
      <c r="I1598">
        <f>IF(B1598,IF(D1598=0,H1598,Rho*I1597+SQRT(1-Rho^2)*H1598),"")</f>
        <v/>
      </c>
      <c r="J1598">
        <f>IF(B1598,IF(Dist="Normal",DistA+DistB*I1598,DistA+(DistB-DistA)*NORMSDIST(I1598)),"")</f>
        <v/>
      </c>
      <c r="K1598">
        <f>IF(B1598,INDEX(MineScale,C1598),"")</f>
        <v/>
      </c>
      <c r="L1598">
        <f>IF(B1598,INDEX(Dow,1,WEEKDAY(E1598,2)),"")</f>
        <v/>
      </c>
      <c r="M1598">
        <f>IF(B1598,(1+Trend)^D1598,"")</f>
        <v/>
      </c>
      <c r="N1598">
        <f>IF(B1598,EXP(SUMPRODUCT(LN(1+(EvEff-1)*INDEX(Affected,0,C1598)*EXP(-((E1598-EvCenter)^2)/(2*EvSigma^2))))),"")</f>
        <v/>
      </c>
      <c r="O1598">
        <f>IF(B1598,ROUND(MAX(0,J1598*K1598*L1598*M1598*N1598),2),"")</f>
        <v/>
      </c>
    </row>
    <row r="1599">
      <c r="A1599" t="n">
        <v>1598</v>
      </c>
      <c r="B1599">
        <f>A1599&lt;=MineCount*Days</f>
        <v/>
      </c>
      <c r="C1599">
        <f>IF(B1599,INT((A1599-1)/Days)+1,"")</f>
        <v/>
      </c>
      <c r="D1599">
        <f>IF(B1599,MOD(A1599-1,Days),"")</f>
        <v/>
      </c>
      <c r="E1599" s="16">
        <f>IF(B1599,StartDate+D1599,"")</f>
        <v/>
      </c>
      <c r="F1599">
        <f>IF(B1599,MAX(MOD(SIN(Seed*0.1373+C1599*12.9898+D1599*78.233)*43758.5453,1),1E-9),"")</f>
        <v/>
      </c>
      <c r="G1599">
        <f>IF(B1599,MOD(SIN(Seed*0.5917+C1599*39.3468+D1599*11.135)*24634.6345,1),"")</f>
        <v/>
      </c>
      <c r="H1599">
        <f>IF(B1599,SQRT(-2*LN(F1599))*COS(2*PI()*G1599),"")</f>
        <v/>
      </c>
      <c r="I1599">
        <f>IF(B1599,IF(D1599=0,H1599,Rho*I1598+SQRT(1-Rho^2)*H1599),"")</f>
        <v/>
      </c>
      <c r="J1599">
        <f>IF(B1599,IF(Dist="Normal",DistA+DistB*I1599,DistA+(DistB-DistA)*NORMSDIST(I1599)),"")</f>
        <v/>
      </c>
      <c r="K1599">
        <f>IF(B1599,INDEX(MineScale,C1599),"")</f>
        <v/>
      </c>
      <c r="L1599">
        <f>IF(B1599,INDEX(Dow,1,WEEKDAY(E1599,2)),"")</f>
        <v/>
      </c>
      <c r="M1599">
        <f>IF(B1599,(1+Trend)^D1599,"")</f>
        <v/>
      </c>
      <c r="N1599">
        <f>IF(B1599,EXP(SUMPRODUCT(LN(1+(EvEff-1)*INDEX(Affected,0,C1599)*EXP(-((E1599-EvCenter)^2)/(2*EvSigma^2))))),"")</f>
        <v/>
      </c>
      <c r="O1599">
        <f>IF(B1599,ROUND(MAX(0,J1599*K1599*L1599*M1599*N1599),2),"")</f>
        <v/>
      </c>
    </row>
    <row r="1600">
      <c r="A1600" t="n">
        <v>1599</v>
      </c>
      <c r="B1600">
        <f>A1600&lt;=MineCount*Days</f>
        <v/>
      </c>
      <c r="C1600">
        <f>IF(B1600,INT((A1600-1)/Days)+1,"")</f>
        <v/>
      </c>
      <c r="D1600">
        <f>IF(B1600,MOD(A1600-1,Days),"")</f>
        <v/>
      </c>
      <c r="E1600" s="16">
        <f>IF(B1600,StartDate+D1600,"")</f>
        <v/>
      </c>
      <c r="F1600">
        <f>IF(B1600,MAX(MOD(SIN(Seed*0.1373+C1600*12.9898+D1600*78.233)*43758.5453,1),1E-9),"")</f>
        <v/>
      </c>
      <c r="G1600">
        <f>IF(B1600,MOD(SIN(Seed*0.5917+C1600*39.3468+D1600*11.135)*24634.6345,1),"")</f>
        <v/>
      </c>
      <c r="H1600">
        <f>IF(B1600,SQRT(-2*LN(F1600))*COS(2*PI()*G1600),"")</f>
        <v/>
      </c>
      <c r="I1600">
        <f>IF(B1600,IF(D1600=0,H1600,Rho*I1599+SQRT(1-Rho^2)*H1600),"")</f>
        <v/>
      </c>
      <c r="J1600">
        <f>IF(B1600,IF(Dist="Normal",DistA+DistB*I1600,DistA+(DistB-DistA)*NORMSDIST(I1600)),"")</f>
        <v/>
      </c>
      <c r="K1600">
        <f>IF(B1600,INDEX(MineScale,C1600),"")</f>
        <v/>
      </c>
      <c r="L1600">
        <f>IF(B1600,INDEX(Dow,1,WEEKDAY(E1600,2)),"")</f>
        <v/>
      </c>
      <c r="M1600">
        <f>IF(B1600,(1+Trend)^D1600,"")</f>
        <v/>
      </c>
      <c r="N1600">
        <f>IF(B1600,EXP(SUMPRODUCT(LN(1+(EvEff-1)*INDEX(Affected,0,C1600)*EXP(-((E1600-EvCenter)^2)/(2*EvSigma^2))))),"")</f>
        <v/>
      </c>
      <c r="O1600">
        <f>IF(B1600,ROUND(MAX(0,J1600*K1600*L1600*M1600*N1600),2),"")</f>
        <v/>
      </c>
    </row>
    <row r="1601">
      <c r="A1601" t="n">
        <v>1600</v>
      </c>
      <c r="B1601">
        <f>A1601&lt;=MineCount*Days</f>
        <v/>
      </c>
      <c r="C1601">
        <f>IF(B1601,INT((A1601-1)/Days)+1,"")</f>
        <v/>
      </c>
      <c r="D1601">
        <f>IF(B1601,MOD(A1601-1,Days),"")</f>
        <v/>
      </c>
      <c r="E1601" s="16">
        <f>IF(B1601,StartDate+D1601,"")</f>
        <v/>
      </c>
      <c r="F1601">
        <f>IF(B1601,MAX(MOD(SIN(Seed*0.1373+C1601*12.9898+D1601*78.233)*43758.5453,1),1E-9),"")</f>
        <v/>
      </c>
      <c r="G1601">
        <f>IF(B1601,MOD(SIN(Seed*0.5917+C1601*39.3468+D1601*11.135)*24634.6345,1),"")</f>
        <v/>
      </c>
      <c r="H1601">
        <f>IF(B1601,SQRT(-2*LN(F1601))*COS(2*PI()*G1601),"")</f>
        <v/>
      </c>
      <c r="I1601">
        <f>IF(B1601,IF(D1601=0,H1601,Rho*I1600+SQRT(1-Rho^2)*H1601),"")</f>
        <v/>
      </c>
      <c r="J1601">
        <f>IF(B1601,IF(Dist="Normal",DistA+DistB*I1601,DistA+(DistB-DistA)*NORMSDIST(I1601)),"")</f>
        <v/>
      </c>
      <c r="K1601">
        <f>IF(B1601,INDEX(MineScale,C1601),"")</f>
        <v/>
      </c>
      <c r="L1601">
        <f>IF(B1601,INDEX(Dow,1,WEEKDAY(E1601,2)),"")</f>
        <v/>
      </c>
      <c r="M1601">
        <f>IF(B1601,(1+Trend)^D1601,"")</f>
        <v/>
      </c>
      <c r="N1601">
        <f>IF(B1601,EXP(SUMPRODUCT(LN(1+(EvEff-1)*INDEX(Affected,0,C1601)*EXP(-((E1601-EvCenter)^2)/(2*EvSigma^2))))),"")</f>
        <v/>
      </c>
      <c r="O1601">
        <f>IF(B1601,ROUND(MAX(0,J1601*K1601*L1601*M1601*N1601),2),"")</f>
        <v/>
      </c>
    </row>
    <row r="1602">
      <c r="A1602" t="n">
        <v>1601</v>
      </c>
      <c r="B1602">
        <f>A1602&lt;=MineCount*Days</f>
        <v/>
      </c>
      <c r="C1602">
        <f>IF(B1602,INT((A1602-1)/Days)+1,"")</f>
        <v/>
      </c>
      <c r="D1602">
        <f>IF(B1602,MOD(A1602-1,Days),"")</f>
        <v/>
      </c>
      <c r="E1602" s="16">
        <f>IF(B1602,StartDate+D1602,"")</f>
        <v/>
      </c>
      <c r="F1602">
        <f>IF(B1602,MAX(MOD(SIN(Seed*0.1373+C1602*12.9898+D1602*78.233)*43758.5453,1),1E-9),"")</f>
        <v/>
      </c>
      <c r="G1602">
        <f>IF(B1602,MOD(SIN(Seed*0.5917+C1602*39.3468+D1602*11.135)*24634.6345,1),"")</f>
        <v/>
      </c>
      <c r="H1602">
        <f>IF(B1602,SQRT(-2*LN(F1602))*COS(2*PI()*G1602),"")</f>
        <v/>
      </c>
      <c r="I1602">
        <f>IF(B1602,IF(D1602=0,H1602,Rho*I1601+SQRT(1-Rho^2)*H1602),"")</f>
        <v/>
      </c>
      <c r="J1602">
        <f>IF(B1602,IF(Dist="Normal",DistA+DistB*I1602,DistA+(DistB-DistA)*NORMSDIST(I1602)),"")</f>
        <v/>
      </c>
      <c r="K1602">
        <f>IF(B1602,INDEX(MineScale,C1602),"")</f>
        <v/>
      </c>
      <c r="L1602">
        <f>IF(B1602,INDEX(Dow,1,WEEKDAY(E1602,2)),"")</f>
        <v/>
      </c>
      <c r="M1602">
        <f>IF(B1602,(1+Trend)^D1602,"")</f>
        <v/>
      </c>
      <c r="N1602">
        <f>IF(B1602,EXP(SUMPRODUCT(LN(1+(EvEff-1)*INDEX(Affected,0,C1602)*EXP(-((E1602-EvCenter)^2)/(2*EvSigma^2))))),"")</f>
        <v/>
      </c>
      <c r="O1602">
        <f>IF(B1602,ROUND(MAX(0,J1602*K1602*L1602*M1602*N1602),2),"")</f>
        <v/>
      </c>
    </row>
    <row r="1603">
      <c r="A1603" t="n">
        <v>1602</v>
      </c>
      <c r="B1603">
        <f>A1603&lt;=MineCount*Days</f>
        <v/>
      </c>
      <c r="C1603">
        <f>IF(B1603,INT((A1603-1)/Days)+1,"")</f>
        <v/>
      </c>
      <c r="D1603">
        <f>IF(B1603,MOD(A1603-1,Days),"")</f>
        <v/>
      </c>
      <c r="E1603" s="16">
        <f>IF(B1603,StartDate+D1603,"")</f>
        <v/>
      </c>
      <c r="F1603">
        <f>IF(B1603,MAX(MOD(SIN(Seed*0.1373+C1603*12.9898+D1603*78.233)*43758.5453,1),1E-9),"")</f>
        <v/>
      </c>
      <c r="G1603">
        <f>IF(B1603,MOD(SIN(Seed*0.5917+C1603*39.3468+D1603*11.135)*24634.6345,1),"")</f>
        <v/>
      </c>
      <c r="H1603">
        <f>IF(B1603,SQRT(-2*LN(F1603))*COS(2*PI()*G1603),"")</f>
        <v/>
      </c>
      <c r="I1603">
        <f>IF(B1603,IF(D1603=0,H1603,Rho*I1602+SQRT(1-Rho^2)*H1603),"")</f>
        <v/>
      </c>
      <c r="J1603">
        <f>IF(B1603,IF(Dist="Normal",DistA+DistB*I1603,DistA+(DistB-DistA)*NORMSDIST(I1603)),"")</f>
        <v/>
      </c>
      <c r="K1603">
        <f>IF(B1603,INDEX(MineScale,C1603),"")</f>
        <v/>
      </c>
      <c r="L1603">
        <f>IF(B1603,INDEX(Dow,1,WEEKDAY(E1603,2)),"")</f>
        <v/>
      </c>
      <c r="M1603">
        <f>IF(B1603,(1+Trend)^D1603,"")</f>
        <v/>
      </c>
      <c r="N1603">
        <f>IF(B1603,EXP(SUMPRODUCT(LN(1+(EvEff-1)*INDEX(Affected,0,C1603)*EXP(-((E1603-EvCenter)^2)/(2*EvSigma^2))))),"")</f>
        <v/>
      </c>
      <c r="O1603">
        <f>IF(B1603,ROUND(MAX(0,J1603*K1603*L1603*M1603*N1603),2),"")</f>
        <v/>
      </c>
    </row>
    <row r="1604">
      <c r="A1604" t="n">
        <v>1603</v>
      </c>
      <c r="B1604">
        <f>A1604&lt;=MineCount*Days</f>
        <v/>
      </c>
      <c r="C1604">
        <f>IF(B1604,INT((A1604-1)/Days)+1,"")</f>
        <v/>
      </c>
      <c r="D1604">
        <f>IF(B1604,MOD(A1604-1,Days),"")</f>
        <v/>
      </c>
      <c r="E1604" s="16">
        <f>IF(B1604,StartDate+D1604,"")</f>
        <v/>
      </c>
      <c r="F1604">
        <f>IF(B1604,MAX(MOD(SIN(Seed*0.1373+C1604*12.9898+D1604*78.233)*43758.5453,1),1E-9),"")</f>
        <v/>
      </c>
      <c r="G1604">
        <f>IF(B1604,MOD(SIN(Seed*0.5917+C1604*39.3468+D1604*11.135)*24634.6345,1),"")</f>
        <v/>
      </c>
      <c r="H1604">
        <f>IF(B1604,SQRT(-2*LN(F1604))*COS(2*PI()*G1604),"")</f>
        <v/>
      </c>
      <c r="I1604">
        <f>IF(B1604,IF(D1604=0,H1604,Rho*I1603+SQRT(1-Rho^2)*H1604),"")</f>
        <v/>
      </c>
      <c r="J1604">
        <f>IF(B1604,IF(Dist="Normal",DistA+DistB*I1604,DistA+(DistB-DistA)*NORMSDIST(I1604)),"")</f>
        <v/>
      </c>
      <c r="K1604">
        <f>IF(B1604,INDEX(MineScale,C1604),"")</f>
        <v/>
      </c>
      <c r="L1604">
        <f>IF(B1604,INDEX(Dow,1,WEEKDAY(E1604,2)),"")</f>
        <v/>
      </c>
      <c r="M1604">
        <f>IF(B1604,(1+Trend)^D1604,"")</f>
        <v/>
      </c>
      <c r="N1604">
        <f>IF(B1604,EXP(SUMPRODUCT(LN(1+(EvEff-1)*INDEX(Affected,0,C1604)*EXP(-((E1604-EvCenter)^2)/(2*EvSigma^2))))),"")</f>
        <v/>
      </c>
      <c r="O1604">
        <f>IF(B1604,ROUND(MAX(0,J1604*K1604*L1604*M1604*N1604),2),"")</f>
        <v/>
      </c>
    </row>
    <row r="1605">
      <c r="A1605" t="n">
        <v>1604</v>
      </c>
      <c r="B1605">
        <f>A1605&lt;=MineCount*Days</f>
        <v/>
      </c>
      <c r="C1605">
        <f>IF(B1605,INT((A1605-1)/Days)+1,"")</f>
        <v/>
      </c>
      <c r="D1605">
        <f>IF(B1605,MOD(A1605-1,Days),"")</f>
        <v/>
      </c>
      <c r="E1605" s="16">
        <f>IF(B1605,StartDate+D1605,"")</f>
        <v/>
      </c>
      <c r="F1605">
        <f>IF(B1605,MAX(MOD(SIN(Seed*0.1373+C1605*12.9898+D1605*78.233)*43758.5453,1),1E-9),"")</f>
        <v/>
      </c>
      <c r="G1605">
        <f>IF(B1605,MOD(SIN(Seed*0.5917+C1605*39.3468+D1605*11.135)*24634.6345,1),"")</f>
        <v/>
      </c>
      <c r="H1605">
        <f>IF(B1605,SQRT(-2*LN(F1605))*COS(2*PI()*G1605),"")</f>
        <v/>
      </c>
      <c r="I1605">
        <f>IF(B1605,IF(D1605=0,H1605,Rho*I1604+SQRT(1-Rho^2)*H1605),"")</f>
        <v/>
      </c>
      <c r="J1605">
        <f>IF(B1605,IF(Dist="Normal",DistA+DistB*I1605,DistA+(DistB-DistA)*NORMSDIST(I1605)),"")</f>
        <v/>
      </c>
      <c r="K1605">
        <f>IF(B1605,INDEX(MineScale,C1605),"")</f>
        <v/>
      </c>
      <c r="L1605">
        <f>IF(B1605,INDEX(Dow,1,WEEKDAY(E1605,2)),"")</f>
        <v/>
      </c>
      <c r="M1605">
        <f>IF(B1605,(1+Trend)^D1605,"")</f>
        <v/>
      </c>
      <c r="N1605">
        <f>IF(B1605,EXP(SUMPRODUCT(LN(1+(EvEff-1)*INDEX(Affected,0,C1605)*EXP(-((E1605-EvCenter)^2)/(2*EvSigma^2))))),"")</f>
        <v/>
      </c>
      <c r="O1605">
        <f>IF(B1605,ROUND(MAX(0,J1605*K1605*L1605*M1605*N1605),2),"")</f>
        <v/>
      </c>
    </row>
    <row r="1606">
      <c r="A1606" t="n">
        <v>1605</v>
      </c>
      <c r="B1606">
        <f>A1606&lt;=MineCount*Days</f>
        <v/>
      </c>
      <c r="C1606">
        <f>IF(B1606,INT((A1606-1)/Days)+1,"")</f>
        <v/>
      </c>
      <c r="D1606">
        <f>IF(B1606,MOD(A1606-1,Days),"")</f>
        <v/>
      </c>
      <c r="E1606" s="16">
        <f>IF(B1606,StartDate+D1606,"")</f>
        <v/>
      </c>
      <c r="F1606">
        <f>IF(B1606,MAX(MOD(SIN(Seed*0.1373+C1606*12.9898+D1606*78.233)*43758.5453,1),1E-9),"")</f>
        <v/>
      </c>
      <c r="G1606">
        <f>IF(B1606,MOD(SIN(Seed*0.5917+C1606*39.3468+D1606*11.135)*24634.6345,1),"")</f>
        <v/>
      </c>
      <c r="H1606">
        <f>IF(B1606,SQRT(-2*LN(F1606))*COS(2*PI()*G1606),"")</f>
        <v/>
      </c>
      <c r="I1606">
        <f>IF(B1606,IF(D1606=0,H1606,Rho*I1605+SQRT(1-Rho^2)*H1606),"")</f>
        <v/>
      </c>
      <c r="J1606">
        <f>IF(B1606,IF(Dist="Normal",DistA+DistB*I1606,DistA+(DistB-DistA)*NORMSDIST(I1606)),"")</f>
        <v/>
      </c>
      <c r="K1606">
        <f>IF(B1606,INDEX(MineScale,C1606),"")</f>
        <v/>
      </c>
      <c r="L1606">
        <f>IF(B1606,INDEX(Dow,1,WEEKDAY(E1606,2)),"")</f>
        <v/>
      </c>
      <c r="M1606">
        <f>IF(B1606,(1+Trend)^D1606,"")</f>
        <v/>
      </c>
      <c r="N1606">
        <f>IF(B1606,EXP(SUMPRODUCT(LN(1+(EvEff-1)*INDEX(Affected,0,C1606)*EXP(-((E1606-EvCenter)^2)/(2*EvSigma^2))))),"")</f>
        <v/>
      </c>
      <c r="O1606">
        <f>IF(B1606,ROUND(MAX(0,J1606*K1606*L1606*M1606*N1606),2),"")</f>
        <v/>
      </c>
    </row>
    <row r="1607">
      <c r="A1607" t="n">
        <v>1606</v>
      </c>
      <c r="B1607">
        <f>A1607&lt;=MineCount*Days</f>
        <v/>
      </c>
      <c r="C1607">
        <f>IF(B1607,INT((A1607-1)/Days)+1,"")</f>
        <v/>
      </c>
      <c r="D1607">
        <f>IF(B1607,MOD(A1607-1,Days),"")</f>
        <v/>
      </c>
      <c r="E1607" s="16">
        <f>IF(B1607,StartDate+D1607,"")</f>
        <v/>
      </c>
      <c r="F1607">
        <f>IF(B1607,MAX(MOD(SIN(Seed*0.1373+C1607*12.9898+D1607*78.233)*43758.5453,1),1E-9),"")</f>
        <v/>
      </c>
      <c r="G1607">
        <f>IF(B1607,MOD(SIN(Seed*0.5917+C1607*39.3468+D1607*11.135)*24634.6345,1),"")</f>
        <v/>
      </c>
      <c r="H1607">
        <f>IF(B1607,SQRT(-2*LN(F1607))*COS(2*PI()*G1607),"")</f>
        <v/>
      </c>
      <c r="I1607">
        <f>IF(B1607,IF(D1607=0,H1607,Rho*I1606+SQRT(1-Rho^2)*H1607),"")</f>
        <v/>
      </c>
      <c r="J1607">
        <f>IF(B1607,IF(Dist="Normal",DistA+DistB*I1607,DistA+(DistB-DistA)*NORMSDIST(I1607)),"")</f>
        <v/>
      </c>
      <c r="K1607">
        <f>IF(B1607,INDEX(MineScale,C1607),"")</f>
        <v/>
      </c>
      <c r="L1607">
        <f>IF(B1607,INDEX(Dow,1,WEEKDAY(E1607,2)),"")</f>
        <v/>
      </c>
      <c r="M1607">
        <f>IF(B1607,(1+Trend)^D1607,"")</f>
        <v/>
      </c>
      <c r="N1607">
        <f>IF(B1607,EXP(SUMPRODUCT(LN(1+(EvEff-1)*INDEX(Affected,0,C1607)*EXP(-((E1607-EvCenter)^2)/(2*EvSigma^2))))),"")</f>
        <v/>
      </c>
      <c r="O1607">
        <f>IF(B1607,ROUND(MAX(0,J1607*K1607*L1607*M1607*N1607),2),"")</f>
        <v/>
      </c>
    </row>
    <row r="1608">
      <c r="A1608" t="n">
        <v>1607</v>
      </c>
      <c r="B1608">
        <f>A1608&lt;=MineCount*Days</f>
        <v/>
      </c>
      <c r="C1608">
        <f>IF(B1608,INT((A1608-1)/Days)+1,"")</f>
        <v/>
      </c>
      <c r="D1608">
        <f>IF(B1608,MOD(A1608-1,Days),"")</f>
        <v/>
      </c>
      <c r="E1608" s="16">
        <f>IF(B1608,StartDate+D1608,"")</f>
        <v/>
      </c>
      <c r="F1608">
        <f>IF(B1608,MAX(MOD(SIN(Seed*0.1373+C1608*12.9898+D1608*78.233)*43758.5453,1),1E-9),"")</f>
        <v/>
      </c>
      <c r="G1608">
        <f>IF(B1608,MOD(SIN(Seed*0.5917+C1608*39.3468+D1608*11.135)*24634.6345,1),"")</f>
        <v/>
      </c>
      <c r="H1608">
        <f>IF(B1608,SQRT(-2*LN(F1608))*COS(2*PI()*G1608),"")</f>
        <v/>
      </c>
      <c r="I1608">
        <f>IF(B1608,IF(D1608=0,H1608,Rho*I1607+SQRT(1-Rho^2)*H1608),"")</f>
        <v/>
      </c>
      <c r="J1608">
        <f>IF(B1608,IF(Dist="Normal",DistA+DistB*I1608,DistA+(DistB-DistA)*NORMSDIST(I1608)),"")</f>
        <v/>
      </c>
      <c r="K1608">
        <f>IF(B1608,INDEX(MineScale,C1608),"")</f>
        <v/>
      </c>
      <c r="L1608">
        <f>IF(B1608,INDEX(Dow,1,WEEKDAY(E1608,2)),"")</f>
        <v/>
      </c>
      <c r="M1608">
        <f>IF(B1608,(1+Trend)^D1608,"")</f>
        <v/>
      </c>
      <c r="N1608">
        <f>IF(B1608,EXP(SUMPRODUCT(LN(1+(EvEff-1)*INDEX(Affected,0,C1608)*EXP(-((E1608-EvCenter)^2)/(2*EvSigma^2))))),"")</f>
        <v/>
      </c>
      <c r="O1608">
        <f>IF(B1608,ROUND(MAX(0,J1608*K1608*L1608*M1608*N1608),2),"")</f>
        <v/>
      </c>
    </row>
    <row r="1609">
      <c r="A1609" t="n">
        <v>1608</v>
      </c>
      <c r="B1609">
        <f>A1609&lt;=MineCount*Days</f>
        <v/>
      </c>
      <c r="C1609">
        <f>IF(B1609,INT((A1609-1)/Days)+1,"")</f>
        <v/>
      </c>
      <c r="D1609">
        <f>IF(B1609,MOD(A1609-1,Days),"")</f>
        <v/>
      </c>
      <c r="E1609" s="16">
        <f>IF(B1609,StartDate+D1609,"")</f>
        <v/>
      </c>
      <c r="F1609">
        <f>IF(B1609,MAX(MOD(SIN(Seed*0.1373+C1609*12.9898+D1609*78.233)*43758.5453,1),1E-9),"")</f>
        <v/>
      </c>
      <c r="G1609">
        <f>IF(B1609,MOD(SIN(Seed*0.5917+C1609*39.3468+D1609*11.135)*24634.6345,1),"")</f>
        <v/>
      </c>
      <c r="H1609">
        <f>IF(B1609,SQRT(-2*LN(F1609))*COS(2*PI()*G1609),"")</f>
        <v/>
      </c>
      <c r="I1609">
        <f>IF(B1609,IF(D1609=0,H1609,Rho*I1608+SQRT(1-Rho^2)*H1609),"")</f>
        <v/>
      </c>
      <c r="J1609">
        <f>IF(B1609,IF(Dist="Normal",DistA+DistB*I1609,DistA+(DistB-DistA)*NORMSDIST(I1609)),"")</f>
        <v/>
      </c>
      <c r="K1609">
        <f>IF(B1609,INDEX(MineScale,C1609),"")</f>
        <v/>
      </c>
      <c r="L1609">
        <f>IF(B1609,INDEX(Dow,1,WEEKDAY(E1609,2)),"")</f>
        <v/>
      </c>
      <c r="M1609">
        <f>IF(B1609,(1+Trend)^D1609,"")</f>
        <v/>
      </c>
      <c r="N1609">
        <f>IF(B1609,EXP(SUMPRODUCT(LN(1+(EvEff-1)*INDEX(Affected,0,C1609)*EXP(-((E1609-EvCenter)^2)/(2*EvSigma^2))))),"")</f>
        <v/>
      </c>
      <c r="O1609">
        <f>IF(B1609,ROUND(MAX(0,J1609*K1609*L1609*M1609*N1609),2),"")</f>
        <v/>
      </c>
    </row>
    <row r="1610">
      <c r="A1610" t="n">
        <v>1609</v>
      </c>
      <c r="B1610">
        <f>A1610&lt;=MineCount*Days</f>
        <v/>
      </c>
      <c r="C1610">
        <f>IF(B1610,INT((A1610-1)/Days)+1,"")</f>
        <v/>
      </c>
      <c r="D1610">
        <f>IF(B1610,MOD(A1610-1,Days),"")</f>
        <v/>
      </c>
      <c r="E1610" s="16">
        <f>IF(B1610,StartDate+D1610,"")</f>
        <v/>
      </c>
      <c r="F1610">
        <f>IF(B1610,MAX(MOD(SIN(Seed*0.1373+C1610*12.9898+D1610*78.233)*43758.5453,1),1E-9),"")</f>
        <v/>
      </c>
      <c r="G1610">
        <f>IF(B1610,MOD(SIN(Seed*0.5917+C1610*39.3468+D1610*11.135)*24634.6345,1),"")</f>
        <v/>
      </c>
      <c r="H1610">
        <f>IF(B1610,SQRT(-2*LN(F1610))*COS(2*PI()*G1610),"")</f>
        <v/>
      </c>
      <c r="I1610">
        <f>IF(B1610,IF(D1610=0,H1610,Rho*I1609+SQRT(1-Rho^2)*H1610),"")</f>
        <v/>
      </c>
      <c r="J1610">
        <f>IF(B1610,IF(Dist="Normal",DistA+DistB*I1610,DistA+(DistB-DistA)*NORMSDIST(I1610)),"")</f>
        <v/>
      </c>
      <c r="K1610">
        <f>IF(B1610,INDEX(MineScale,C1610),"")</f>
        <v/>
      </c>
      <c r="L1610">
        <f>IF(B1610,INDEX(Dow,1,WEEKDAY(E1610,2)),"")</f>
        <v/>
      </c>
      <c r="M1610">
        <f>IF(B1610,(1+Trend)^D1610,"")</f>
        <v/>
      </c>
      <c r="N1610">
        <f>IF(B1610,EXP(SUMPRODUCT(LN(1+(EvEff-1)*INDEX(Affected,0,C1610)*EXP(-((E1610-EvCenter)^2)/(2*EvSigma^2))))),"")</f>
        <v/>
      </c>
      <c r="O1610">
        <f>IF(B1610,ROUND(MAX(0,J1610*K1610*L1610*M1610*N1610),2),"")</f>
        <v/>
      </c>
    </row>
    <row r="1611">
      <c r="A1611" t="n">
        <v>1610</v>
      </c>
      <c r="B1611">
        <f>A1611&lt;=MineCount*Days</f>
        <v/>
      </c>
      <c r="C1611">
        <f>IF(B1611,INT((A1611-1)/Days)+1,"")</f>
        <v/>
      </c>
      <c r="D1611">
        <f>IF(B1611,MOD(A1611-1,Days),"")</f>
        <v/>
      </c>
      <c r="E1611" s="16">
        <f>IF(B1611,StartDate+D1611,"")</f>
        <v/>
      </c>
      <c r="F1611">
        <f>IF(B1611,MAX(MOD(SIN(Seed*0.1373+C1611*12.9898+D1611*78.233)*43758.5453,1),1E-9),"")</f>
        <v/>
      </c>
      <c r="G1611">
        <f>IF(B1611,MOD(SIN(Seed*0.5917+C1611*39.3468+D1611*11.135)*24634.6345,1),"")</f>
        <v/>
      </c>
      <c r="H1611">
        <f>IF(B1611,SQRT(-2*LN(F1611))*COS(2*PI()*G1611),"")</f>
        <v/>
      </c>
      <c r="I1611">
        <f>IF(B1611,IF(D1611=0,H1611,Rho*I1610+SQRT(1-Rho^2)*H1611),"")</f>
        <v/>
      </c>
      <c r="J1611">
        <f>IF(B1611,IF(Dist="Normal",DistA+DistB*I1611,DistA+(DistB-DistA)*NORMSDIST(I1611)),"")</f>
        <v/>
      </c>
      <c r="K1611">
        <f>IF(B1611,INDEX(MineScale,C1611),"")</f>
        <v/>
      </c>
      <c r="L1611">
        <f>IF(B1611,INDEX(Dow,1,WEEKDAY(E1611,2)),"")</f>
        <v/>
      </c>
      <c r="M1611">
        <f>IF(B1611,(1+Trend)^D1611,"")</f>
        <v/>
      </c>
      <c r="N1611">
        <f>IF(B1611,EXP(SUMPRODUCT(LN(1+(EvEff-1)*INDEX(Affected,0,C1611)*EXP(-((E1611-EvCenter)^2)/(2*EvSigma^2))))),"")</f>
        <v/>
      </c>
      <c r="O1611">
        <f>IF(B1611,ROUND(MAX(0,J1611*K1611*L1611*M1611*N1611),2),"")</f>
        <v/>
      </c>
    </row>
    <row r="1612">
      <c r="A1612" t="n">
        <v>1611</v>
      </c>
      <c r="B1612">
        <f>A1612&lt;=MineCount*Days</f>
        <v/>
      </c>
      <c r="C1612">
        <f>IF(B1612,INT((A1612-1)/Days)+1,"")</f>
        <v/>
      </c>
      <c r="D1612">
        <f>IF(B1612,MOD(A1612-1,Days),"")</f>
        <v/>
      </c>
      <c r="E1612" s="16">
        <f>IF(B1612,StartDate+D1612,"")</f>
        <v/>
      </c>
      <c r="F1612">
        <f>IF(B1612,MAX(MOD(SIN(Seed*0.1373+C1612*12.9898+D1612*78.233)*43758.5453,1),1E-9),"")</f>
        <v/>
      </c>
      <c r="G1612">
        <f>IF(B1612,MOD(SIN(Seed*0.5917+C1612*39.3468+D1612*11.135)*24634.6345,1),"")</f>
        <v/>
      </c>
      <c r="H1612">
        <f>IF(B1612,SQRT(-2*LN(F1612))*COS(2*PI()*G1612),"")</f>
        <v/>
      </c>
      <c r="I1612">
        <f>IF(B1612,IF(D1612=0,H1612,Rho*I1611+SQRT(1-Rho^2)*H1612),"")</f>
        <v/>
      </c>
      <c r="J1612">
        <f>IF(B1612,IF(Dist="Normal",DistA+DistB*I1612,DistA+(DistB-DistA)*NORMSDIST(I1612)),"")</f>
        <v/>
      </c>
      <c r="K1612">
        <f>IF(B1612,INDEX(MineScale,C1612),"")</f>
        <v/>
      </c>
      <c r="L1612">
        <f>IF(B1612,INDEX(Dow,1,WEEKDAY(E1612,2)),"")</f>
        <v/>
      </c>
      <c r="M1612">
        <f>IF(B1612,(1+Trend)^D1612,"")</f>
        <v/>
      </c>
      <c r="N1612">
        <f>IF(B1612,EXP(SUMPRODUCT(LN(1+(EvEff-1)*INDEX(Affected,0,C1612)*EXP(-((E1612-EvCenter)^2)/(2*EvSigma^2))))),"")</f>
        <v/>
      </c>
      <c r="O1612">
        <f>IF(B1612,ROUND(MAX(0,J1612*K1612*L1612*M1612*N1612),2),"")</f>
        <v/>
      </c>
    </row>
    <row r="1613">
      <c r="A1613" t="n">
        <v>1612</v>
      </c>
      <c r="B1613">
        <f>A1613&lt;=MineCount*Days</f>
        <v/>
      </c>
      <c r="C1613">
        <f>IF(B1613,INT((A1613-1)/Days)+1,"")</f>
        <v/>
      </c>
      <c r="D1613">
        <f>IF(B1613,MOD(A1613-1,Days),"")</f>
        <v/>
      </c>
      <c r="E1613" s="16">
        <f>IF(B1613,StartDate+D1613,"")</f>
        <v/>
      </c>
      <c r="F1613">
        <f>IF(B1613,MAX(MOD(SIN(Seed*0.1373+C1613*12.9898+D1613*78.233)*43758.5453,1),1E-9),"")</f>
        <v/>
      </c>
      <c r="G1613">
        <f>IF(B1613,MOD(SIN(Seed*0.5917+C1613*39.3468+D1613*11.135)*24634.6345,1),"")</f>
        <v/>
      </c>
      <c r="H1613">
        <f>IF(B1613,SQRT(-2*LN(F1613))*COS(2*PI()*G1613),"")</f>
        <v/>
      </c>
      <c r="I1613">
        <f>IF(B1613,IF(D1613=0,H1613,Rho*I1612+SQRT(1-Rho^2)*H1613),"")</f>
        <v/>
      </c>
      <c r="J1613">
        <f>IF(B1613,IF(Dist="Normal",DistA+DistB*I1613,DistA+(DistB-DistA)*NORMSDIST(I1613)),"")</f>
        <v/>
      </c>
      <c r="K1613">
        <f>IF(B1613,INDEX(MineScale,C1613),"")</f>
        <v/>
      </c>
      <c r="L1613">
        <f>IF(B1613,INDEX(Dow,1,WEEKDAY(E1613,2)),"")</f>
        <v/>
      </c>
      <c r="M1613">
        <f>IF(B1613,(1+Trend)^D1613,"")</f>
        <v/>
      </c>
      <c r="N1613">
        <f>IF(B1613,EXP(SUMPRODUCT(LN(1+(EvEff-1)*INDEX(Affected,0,C1613)*EXP(-((E1613-EvCenter)^2)/(2*EvSigma^2))))),"")</f>
        <v/>
      </c>
      <c r="O1613">
        <f>IF(B1613,ROUND(MAX(0,J1613*K1613*L1613*M1613*N1613),2),"")</f>
        <v/>
      </c>
    </row>
    <row r="1614">
      <c r="A1614" t="n">
        <v>1613</v>
      </c>
      <c r="B1614">
        <f>A1614&lt;=MineCount*Days</f>
        <v/>
      </c>
      <c r="C1614">
        <f>IF(B1614,INT((A1614-1)/Days)+1,"")</f>
        <v/>
      </c>
      <c r="D1614">
        <f>IF(B1614,MOD(A1614-1,Days),"")</f>
        <v/>
      </c>
      <c r="E1614" s="16">
        <f>IF(B1614,StartDate+D1614,"")</f>
        <v/>
      </c>
      <c r="F1614">
        <f>IF(B1614,MAX(MOD(SIN(Seed*0.1373+C1614*12.9898+D1614*78.233)*43758.5453,1),1E-9),"")</f>
        <v/>
      </c>
      <c r="G1614">
        <f>IF(B1614,MOD(SIN(Seed*0.5917+C1614*39.3468+D1614*11.135)*24634.6345,1),"")</f>
        <v/>
      </c>
      <c r="H1614">
        <f>IF(B1614,SQRT(-2*LN(F1614))*COS(2*PI()*G1614),"")</f>
        <v/>
      </c>
      <c r="I1614">
        <f>IF(B1614,IF(D1614=0,H1614,Rho*I1613+SQRT(1-Rho^2)*H1614),"")</f>
        <v/>
      </c>
      <c r="J1614">
        <f>IF(B1614,IF(Dist="Normal",DistA+DistB*I1614,DistA+(DistB-DistA)*NORMSDIST(I1614)),"")</f>
        <v/>
      </c>
      <c r="K1614">
        <f>IF(B1614,INDEX(MineScale,C1614),"")</f>
        <v/>
      </c>
      <c r="L1614">
        <f>IF(B1614,INDEX(Dow,1,WEEKDAY(E1614,2)),"")</f>
        <v/>
      </c>
      <c r="M1614">
        <f>IF(B1614,(1+Trend)^D1614,"")</f>
        <v/>
      </c>
      <c r="N1614">
        <f>IF(B1614,EXP(SUMPRODUCT(LN(1+(EvEff-1)*INDEX(Affected,0,C1614)*EXP(-((E1614-EvCenter)^2)/(2*EvSigma^2))))),"")</f>
        <v/>
      </c>
      <c r="O1614">
        <f>IF(B1614,ROUND(MAX(0,J1614*K1614*L1614*M1614*N1614),2),"")</f>
        <v/>
      </c>
    </row>
    <row r="1615">
      <c r="A1615" t="n">
        <v>1614</v>
      </c>
      <c r="B1615">
        <f>A1615&lt;=MineCount*Days</f>
        <v/>
      </c>
      <c r="C1615">
        <f>IF(B1615,INT((A1615-1)/Days)+1,"")</f>
        <v/>
      </c>
      <c r="D1615">
        <f>IF(B1615,MOD(A1615-1,Days),"")</f>
        <v/>
      </c>
      <c r="E1615" s="16">
        <f>IF(B1615,StartDate+D1615,"")</f>
        <v/>
      </c>
      <c r="F1615">
        <f>IF(B1615,MAX(MOD(SIN(Seed*0.1373+C1615*12.9898+D1615*78.233)*43758.5453,1),1E-9),"")</f>
        <v/>
      </c>
      <c r="G1615">
        <f>IF(B1615,MOD(SIN(Seed*0.5917+C1615*39.3468+D1615*11.135)*24634.6345,1),"")</f>
        <v/>
      </c>
      <c r="H1615">
        <f>IF(B1615,SQRT(-2*LN(F1615))*COS(2*PI()*G1615),"")</f>
        <v/>
      </c>
      <c r="I1615">
        <f>IF(B1615,IF(D1615=0,H1615,Rho*I1614+SQRT(1-Rho^2)*H1615),"")</f>
        <v/>
      </c>
      <c r="J1615">
        <f>IF(B1615,IF(Dist="Normal",DistA+DistB*I1615,DistA+(DistB-DistA)*NORMSDIST(I1615)),"")</f>
        <v/>
      </c>
      <c r="K1615">
        <f>IF(B1615,INDEX(MineScale,C1615),"")</f>
        <v/>
      </c>
      <c r="L1615">
        <f>IF(B1615,INDEX(Dow,1,WEEKDAY(E1615,2)),"")</f>
        <v/>
      </c>
      <c r="M1615">
        <f>IF(B1615,(1+Trend)^D1615,"")</f>
        <v/>
      </c>
      <c r="N1615">
        <f>IF(B1615,EXP(SUMPRODUCT(LN(1+(EvEff-1)*INDEX(Affected,0,C1615)*EXP(-((E1615-EvCenter)^2)/(2*EvSigma^2))))),"")</f>
        <v/>
      </c>
      <c r="O1615">
        <f>IF(B1615,ROUND(MAX(0,J1615*K1615*L1615*M1615*N1615),2),"")</f>
        <v/>
      </c>
    </row>
    <row r="1616">
      <c r="A1616" t="n">
        <v>1615</v>
      </c>
      <c r="B1616">
        <f>A1616&lt;=MineCount*Days</f>
        <v/>
      </c>
      <c r="C1616">
        <f>IF(B1616,INT((A1616-1)/Days)+1,"")</f>
        <v/>
      </c>
      <c r="D1616">
        <f>IF(B1616,MOD(A1616-1,Days),"")</f>
        <v/>
      </c>
      <c r="E1616" s="16">
        <f>IF(B1616,StartDate+D1616,"")</f>
        <v/>
      </c>
      <c r="F1616">
        <f>IF(B1616,MAX(MOD(SIN(Seed*0.1373+C1616*12.9898+D1616*78.233)*43758.5453,1),1E-9),"")</f>
        <v/>
      </c>
      <c r="G1616">
        <f>IF(B1616,MOD(SIN(Seed*0.5917+C1616*39.3468+D1616*11.135)*24634.6345,1),"")</f>
        <v/>
      </c>
      <c r="H1616">
        <f>IF(B1616,SQRT(-2*LN(F1616))*COS(2*PI()*G1616),"")</f>
        <v/>
      </c>
      <c r="I1616">
        <f>IF(B1616,IF(D1616=0,H1616,Rho*I1615+SQRT(1-Rho^2)*H1616),"")</f>
        <v/>
      </c>
      <c r="J1616">
        <f>IF(B1616,IF(Dist="Normal",DistA+DistB*I1616,DistA+(DistB-DistA)*NORMSDIST(I1616)),"")</f>
        <v/>
      </c>
      <c r="K1616">
        <f>IF(B1616,INDEX(MineScale,C1616),"")</f>
        <v/>
      </c>
      <c r="L1616">
        <f>IF(B1616,INDEX(Dow,1,WEEKDAY(E1616,2)),"")</f>
        <v/>
      </c>
      <c r="M1616">
        <f>IF(B1616,(1+Trend)^D1616,"")</f>
        <v/>
      </c>
      <c r="N1616">
        <f>IF(B1616,EXP(SUMPRODUCT(LN(1+(EvEff-1)*INDEX(Affected,0,C1616)*EXP(-((E1616-EvCenter)^2)/(2*EvSigma^2))))),"")</f>
        <v/>
      </c>
      <c r="O1616">
        <f>IF(B1616,ROUND(MAX(0,J1616*K1616*L1616*M1616*N1616),2),"")</f>
        <v/>
      </c>
    </row>
    <row r="1617">
      <c r="A1617" t="n">
        <v>1616</v>
      </c>
      <c r="B1617">
        <f>A1617&lt;=MineCount*Days</f>
        <v/>
      </c>
      <c r="C1617">
        <f>IF(B1617,INT((A1617-1)/Days)+1,"")</f>
        <v/>
      </c>
      <c r="D1617">
        <f>IF(B1617,MOD(A1617-1,Days),"")</f>
        <v/>
      </c>
      <c r="E1617" s="16">
        <f>IF(B1617,StartDate+D1617,"")</f>
        <v/>
      </c>
      <c r="F1617">
        <f>IF(B1617,MAX(MOD(SIN(Seed*0.1373+C1617*12.9898+D1617*78.233)*43758.5453,1),1E-9),"")</f>
        <v/>
      </c>
      <c r="G1617">
        <f>IF(B1617,MOD(SIN(Seed*0.5917+C1617*39.3468+D1617*11.135)*24634.6345,1),"")</f>
        <v/>
      </c>
      <c r="H1617">
        <f>IF(B1617,SQRT(-2*LN(F1617))*COS(2*PI()*G1617),"")</f>
        <v/>
      </c>
      <c r="I1617">
        <f>IF(B1617,IF(D1617=0,H1617,Rho*I1616+SQRT(1-Rho^2)*H1617),"")</f>
        <v/>
      </c>
      <c r="J1617">
        <f>IF(B1617,IF(Dist="Normal",DistA+DistB*I1617,DistA+(DistB-DistA)*NORMSDIST(I1617)),"")</f>
        <v/>
      </c>
      <c r="K1617">
        <f>IF(B1617,INDEX(MineScale,C1617),"")</f>
        <v/>
      </c>
      <c r="L1617">
        <f>IF(B1617,INDEX(Dow,1,WEEKDAY(E1617,2)),"")</f>
        <v/>
      </c>
      <c r="M1617">
        <f>IF(B1617,(1+Trend)^D1617,"")</f>
        <v/>
      </c>
      <c r="N1617">
        <f>IF(B1617,EXP(SUMPRODUCT(LN(1+(EvEff-1)*INDEX(Affected,0,C1617)*EXP(-((E1617-EvCenter)^2)/(2*EvSigma^2))))),"")</f>
        <v/>
      </c>
      <c r="O1617">
        <f>IF(B1617,ROUND(MAX(0,J1617*K1617*L1617*M1617*N1617),2),"")</f>
        <v/>
      </c>
    </row>
    <row r="1618">
      <c r="A1618" t="n">
        <v>1617</v>
      </c>
      <c r="B1618">
        <f>A1618&lt;=MineCount*Days</f>
        <v/>
      </c>
      <c r="C1618">
        <f>IF(B1618,INT((A1618-1)/Days)+1,"")</f>
        <v/>
      </c>
      <c r="D1618">
        <f>IF(B1618,MOD(A1618-1,Days),"")</f>
        <v/>
      </c>
      <c r="E1618" s="16">
        <f>IF(B1618,StartDate+D1618,"")</f>
        <v/>
      </c>
      <c r="F1618">
        <f>IF(B1618,MAX(MOD(SIN(Seed*0.1373+C1618*12.9898+D1618*78.233)*43758.5453,1),1E-9),"")</f>
        <v/>
      </c>
      <c r="G1618">
        <f>IF(B1618,MOD(SIN(Seed*0.5917+C1618*39.3468+D1618*11.135)*24634.6345,1),"")</f>
        <v/>
      </c>
      <c r="H1618">
        <f>IF(B1618,SQRT(-2*LN(F1618))*COS(2*PI()*G1618),"")</f>
        <v/>
      </c>
      <c r="I1618">
        <f>IF(B1618,IF(D1618=0,H1618,Rho*I1617+SQRT(1-Rho^2)*H1618),"")</f>
        <v/>
      </c>
      <c r="J1618">
        <f>IF(B1618,IF(Dist="Normal",DistA+DistB*I1618,DistA+(DistB-DistA)*NORMSDIST(I1618)),"")</f>
        <v/>
      </c>
      <c r="K1618">
        <f>IF(B1618,INDEX(MineScale,C1618),"")</f>
        <v/>
      </c>
      <c r="L1618">
        <f>IF(B1618,INDEX(Dow,1,WEEKDAY(E1618,2)),"")</f>
        <v/>
      </c>
      <c r="M1618">
        <f>IF(B1618,(1+Trend)^D1618,"")</f>
        <v/>
      </c>
      <c r="N1618">
        <f>IF(B1618,EXP(SUMPRODUCT(LN(1+(EvEff-1)*INDEX(Affected,0,C1618)*EXP(-((E1618-EvCenter)^2)/(2*EvSigma^2))))),"")</f>
        <v/>
      </c>
      <c r="O1618">
        <f>IF(B1618,ROUND(MAX(0,J1618*K1618*L1618*M1618*N1618),2),"")</f>
        <v/>
      </c>
    </row>
    <row r="1619">
      <c r="A1619" t="n">
        <v>1618</v>
      </c>
      <c r="B1619">
        <f>A1619&lt;=MineCount*Days</f>
        <v/>
      </c>
      <c r="C1619">
        <f>IF(B1619,INT((A1619-1)/Days)+1,"")</f>
        <v/>
      </c>
      <c r="D1619">
        <f>IF(B1619,MOD(A1619-1,Days),"")</f>
        <v/>
      </c>
      <c r="E1619" s="16">
        <f>IF(B1619,StartDate+D1619,"")</f>
        <v/>
      </c>
      <c r="F1619">
        <f>IF(B1619,MAX(MOD(SIN(Seed*0.1373+C1619*12.9898+D1619*78.233)*43758.5453,1),1E-9),"")</f>
        <v/>
      </c>
      <c r="G1619">
        <f>IF(B1619,MOD(SIN(Seed*0.5917+C1619*39.3468+D1619*11.135)*24634.6345,1),"")</f>
        <v/>
      </c>
      <c r="H1619">
        <f>IF(B1619,SQRT(-2*LN(F1619))*COS(2*PI()*G1619),"")</f>
        <v/>
      </c>
      <c r="I1619">
        <f>IF(B1619,IF(D1619=0,H1619,Rho*I1618+SQRT(1-Rho^2)*H1619),"")</f>
        <v/>
      </c>
      <c r="J1619">
        <f>IF(B1619,IF(Dist="Normal",DistA+DistB*I1619,DistA+(DistB-DistA)*NORMSDIST(I1619)),"")</f>
        <v/>
      </c>
      <c r="K1619">
        <f>IF(B1619,INDEX(MineScale,C1619),"")</f>
        <v/>
      </c>
      <c r="L1619">
        <f>IF(B1619,INDEX(Dow,1,WEEKDAY(E1619,2)),"")</f>
        <v/>
      </c>
      <c r="M1619">
        <f>IF(B1619,(1+Trend)^D1619,"")</f>
        <v/>
      </c>
      <c r="N1619">
        <f>IF(B1619,EXP(SUMPRODUCT(LN(1+(EvEff-1)*INDEX(Affected,0,C1619)*EXP(-((E1619-EvCenter)^2)/(2*EvSigma^2))))),"")</f>
        <v/>
      </c>
      <c r="O1619">
        <f>IF(B1619,ROUND(MAX(0,J1619*K1619*L1619*M1619*N1619),2),"")</f>
        <v/>
      </c>
    </row>
    <row r="1620">
      <c r="A1620" t="n">
        <v>1619</v>
      </c>
      <c r="B1620">
        <f>A1620&lt;=MineCount*Days</f>
        <v/>
      </c>
      <c r="C1620">
        <f>IF(B1620,INT((A1620-1)/Days)+1,"")</f>
        <v/>
      </c>
      <c r="D1620">
        <f>IF(B1620,MOD(A1620-1,Days),"")</f>
        <v/>
      </c>
      <c r="E1620" s="16">
        <f>IF(B1620,StartDate+D1620,"")</f>
        <v/>
      </c>
      <c r="F1620">
        <f>IF(B1620,MAX(MOD(SIN(Seed*0.1373+C1620*12.9898+D1620*78.233)*43758.5453,1),1E-9),"")</f>
        <v/>
      </c>
      <c r="G1620">
        <f>IF(B1620,MOD(SIN(Seed*0.5917+C1620*39.3468+D1620*11.135)*24634.6345,1),"")</f>
        <v/>
      </c>
      <c r="H1620">
        <f>IF(B1620,SQRT(-2*LN(F1620))*COS(2*PI()*G1620),"")</f>
        <v/>
      </c>
      <c r="I1620">
        <f>IF(B1620,IF(D1620=0,H1620,Rho*I1619+SQRT(1-Rho^2)*H1620),"")</f>
        <v/>
      </c>
      <c r="J1620">
        <f>IF(B1620,IF(Dist="Normal",DistA+DistB*I1620,DistA+(DistB-DistA)*NORMSDIST(I1620)),"")</f>
        <v/>
      </c>
      <c r="K1620">
        <f>IF(B1620,INDEX(MineScale,C1620),"")</f>
        <v/>
      </c>
      <c r="L1620">
        <f>IF(B1620,INDEX(Dow,1,WEEKDAY(E1620,2)),"")</f>
        <v/>
      </c>
      <c r="M1620">
        <f>IF(B1620,(1+Trend)^D1620,"")</f>
        <v/>
      </c>
      <c r="N1620">
        <f>IF(B1620,EXP(SUMPRODUCT(LN(1+(EvEff-1)*INDEX(Affected,0,C1620)*EXP(-((E1620-EvCenter)^2)/(2*EvSigma^2))))),"")</f>
        <v/>
      </c>
      <c r="O1620">
        <f>IF(B1620,ROUND(MAX(0,J1620*K1620*L1620*M1620*N1620),2),"")</f>
        <v/>
      </c>
    </row>
    <row r="1621">
      <c r="A1621" t="n">
        <v>1620</v>
      </c>
      <c r="B1621">
        <f>A1621&lt;=MineCount*Days</f>
        <v/>
      </c>
      <c r="C1621">
        <f>IF(B1621,INT((A1621-1)/Days)+1,"")</f>
        <v/>
      </c>
      <c r="D1621">
        <f>IF(B1621,MOD(A1621-1,Days),"")</f>
        <v/>
      </c>
      <c r="E1621" s="16">
        <f>IF(B1621,StartDate+D1621,"")</f>
        <v/>
      </c>
      <c r="F1621">
        <f>IF(B1621,MAX(MOD(SIN(Seed*0.1373+C1621*12.9898+D1621*78.233)*43758.5453,1),1E-9),"")</f>
        <v/>
      </c>
      <c r="G1621">
        <f>IF(B1621,MOD(SIN(Seed*0.5917+C1621*39.3468+D1621*11.135)*24634.6345,1),"")</f>
        <v/>
      </c>
      <c r="H1621">
        <f>IF(B1621,SQRT(-2*LN(F1621))*COS(2*PI()*G1621),"")</f>
        <v/>
      </c>
      <c r="I1621">
        <f>IF(B1621,IF(D1621=0,H1621,Rho*I1620+SQRT(1-Rho^2)*H1621),"")</f>
        <v/>
      </c>
      <c r="J1621">
        <f>IF(B1621,IF(Dist="Normal",DistA+DistB*I1621,DistA+(DistB-DistA)*NORMSDIST(I1621)),"")</f>
        <v/>
      </c>
      <c r="K1621">
        <f>IF(B1621,INDEX(MineScale,C1621),"")</f>
        <v/>
      </c>
      <c r="L1621">
        <f>IF(B1621,INDEX(Dow,1,WEEKDAY(E1621,2)),"")</f>
        <v/>
      </c>
      <c r="M1621">
        <f>IF(B1621,(1+Trend)^D1621,"")</f>
        <v/>
      </c>
      <c r="N1621">
        <f>IF(B1621,EXP(SUMPRODUCT(LN(1+(EvEff-1)*INDEX(Affected,0,C1621)*EXP(-((E1621-EvCenter)^2)/(2*EvSigma^2))))),"")</f>
        <v/>
      </c>
      <c r="O1621">
        <f>IF(B1621,ROUND(MAX(0,J1621*K1621*L1621*M1621*N1621),2),"")</f>
        <v/>
      </c>
    </row>
    <row r="1622">
      <c r="A1622" t="n">
        <v>1621</v>
      </c>
      <c r="B1622">
        <f>A1622&lt;=MineCount*Days</f>
        <v/>
      </c>
      <c r="C1622">
        <f>IF(B1622,INT((A1622-1)/Days)+1,"")</f>
        <v/>
      </c>
      <c r="D1622">
        <f>IF(B1622,MOD(A1622-1,Days),"")</f>
        <v/>
      </c>
      <c r="E1622" s="16">
        <f>IF(B1622,StartDate+D1622,"")</f>
        <v/>
      </c>
      <c r="F1622">
        <f>IF(B1622,MAX(MOD(SIN(Seed*0.1373+C1622*12.9898+D1622*78.233)*43758.5453,1),1E-9),"")</f>
        <v/>
      </c>
      <c r="G1622">
        <f>IF(B1622,MOD(SIN(Seed*0.5917+C1622*39.3468+D1622*11.135)*24634.6345,1),"")</f>
        <v/>
      </c>
      <c r="H1622">
        <f>IF(B1622,SQRT(-2*LN(F1622))*COS(2*PI()*G1622),"")</f>
        <v/>
      </c>
      <c r="I1622">
        <f>IF(B1622,IF(D1622=0,H1622,Rho*I1621+SQRT(1-Rho^2)*H1622),"")</f>
        <v/>
      </c>
      <c r="J1622">
        <f>IF(B1622,IF(Dist="Normal",DistA+DistB*I1622,DistA+(DistB-DistA)*NORMSDIST(I1622)),"")</f>
        <v/>
      </c>
      <c r="K1622">
        <f>IF(B1622,INDEX(MineScale,C1622),"")</f>
        <v/>
      </c>
      <c r="L1622">
        <f>IF(B1622,INDEX(Dow,1,WEEKDAY(E1622,2)),"")</f>
        <v/>
      </c>
      <c r="M1622">
        <f>IF(B1622,(1+Trend)^D1622,"")</f>
        <v/>
      </c>
      <c r="N1622">
        <f>IF(B1622,EXP(SUMPRODUCT(LN(1+(EvEff-1)*INDEX(Affected,0,C1622)*EXP(-((E1622-EvCenter)^2)/(2*EvSigma^2))))),"")</f>
        <v/>
      </c>
      <c r="O1622">
        <f>IF(B1622,ROUND(MAX(0,J1622*K1622*L1622*M1622*N1622),2),"")</f>
        <v/>
      </c>
    </row>
    <row r="1623">
      <c r="A1623" t="n">
        <v>1622</v>
      </c>
      <c r="B1623">
        <f>A1623&lt;=MineCount*Days</f>
        <v/>
      </c>
      <c r="C1623">
        <f>IF(B1623,INT((A1623-1)/Days)+1,"")</f>
        <v/>
      </c>
      <c r="D1623">
        <f>IF(B1623,MOD(A1623-1,Days),"")</f>
        <v/>
      </c>
      <c r="E1623" s="16">
        <f>IF(B1623,StartDate+D1623,"")</f>
        <v/>
      </c>
      <c r="F1623">
        <f>IF(B1623,MAX(MOD(SIN(Seed*0.1373+C1623*12.9898+D1623*78.233)*43758.5453,1),1E-9),"")</f>
        <v/>
      </c>
      <c r="G1623">
        <f>IF(B1623,MOD(SIN(Seed*0.5917+C1623*39.3468+D1623*11.135)*24634.6345,1),"")</f>
        <v/>
      </c>
      <c r="H1623">
        <f>IF(B1623,SQRT(-2*LN(F1623))*COS(2*PI()*G1623),"")</f>
        <v/>
      </c>
      <c r="I1623">
        <f>IF(B1623,IF(D1623=0,H1623,Rho*I1622+SQRT(1-Rho^2)*H1623),"")</f>
        <v/>
      </c>
      <c r="J1623">
        <f>IF(B1623,IF(Dist="Normal",DistA+DistB*I1623,DistA+(DistB-DistA)*NORMSDIST(I1623)),"")</f>
        <v/>
      </c>
      <c r="K1623">
        <f>IF(B1623,INDEX(MineScale,C1623),"")</f>
        <v/>
      </c>
      <c r="L1623">
        <f>IF(B1623,INDEX(Dow,1,WEEKDAY(E1623,2)),"")</f>
        <v/>
      </c>
      <c r="M1623">
        <f>IF(B1623,(1+Trend)^D1623,"")</f>
        <v/>
      </c>
      <c r="N1623">
        <f>IF(B1623,EXP(SUMPRODUCT(LN(1+(EvEff-1)*INDEX(Affected,0,C1623)*EXP(-((E1623-EvCenter)^2)/(2*EvSigma^2))))),"")</f>
        <v/>
      </c>
      <c r="O1623">
        <f>IF(B1623,ROUND(MAX(0,J1623*K1623*L1623*M1623*N1623),2),"")</f>
        <v/>
      </c>
    </row>
    <row r="1624">
      <c r="A1624" t="n">
        <v>1623</v>
      </c>
      <c r="B1624">
        <f>A1624&lt;=MineCount*Days</f>
        <v/>
      </c>
      <c r="C1624">
        <f>IF(B1624,INT((A1624-1)/Days)+1,"")</f>
        <v/>
      </c>
      <c r="D1624">
        <f>IF(B1624,MOD(A1624-1,Days),"")</f>
        <v/>
      </c>
      <c r="E1624" s="16">
        <f>IF(B1624,StartDate+D1624,"")</f>
        <v/>
      </c>
      <c r="F1624">
        <f>IF(B1624,MAX(MOD(SIN(Seed*0.1373+C1624*12.9898+D1624*78.233)*43758.5453,1),1E-9),"")</f>
        <v/>
      </c>
      <c r="G1624">
        <f>IF(B1624,MOD(SIN(Seed*0.5917+C1624*39.3468+D1624*11.135)*24634.6345,1),"")</f>
        <v/>
      </c>
      <c r="H1624">
        <f>IF(B1624,SQRT(-2*LN(F1624))*COS(2*PI()*G1624),"")</f>
        <v/>
      </c>
      <c r="I1624">
        <f>IF(B1624,IF(D1624=0,H1624,Rho*I1623+SQRT(1-Rho^2)*H1624),"")</f>
        <v/>
      </c>
      <c r="J1624">
        <f>IF(B1624,IF(Dist="Normal",DistA+DistB*I1624,DistA+(DistB-DistA)*NORMSDIST(I1624)),"")</f>
        <v/>
      </c>
      <c r="K1624">
        <f>IF(B1624,INDEX(MineScale,C1624),"")</f>
        <v/>
      </c>
      <c r="L1624">
        <f>IF(B1624,INDEX(Dow,1,WEEKDAY(E1624,2)),"")</f>
        <v/>
      </c>
      <c r="M1624">
        <f>IF(B1624,(1+Trend)^D1624,"")</f>
        <v/>
      </c>
      <c r="N1624">
        <f>IF(B1624,EXP(SUMPRODUCT(LN(1+(EvEff-1)*INDEX(Affected,0,C1624)*EXP(-((E1624-EvCenter)^2)/(2*EvSigma^2))))),"")</f>
        <v/>
      </c>
      <c r="O1624">
        <f>IF(B1624,ROUND(MAX(0,J1624*K1624*L1624*M1624*N1624),2),"")</f>
        <v/>
      </c>
    </row>
    <row r="1625">
      <c r="A1625" t="n">
        <v>1624</v>
      </c>
      <c r="B1625">
        <f>A1625&lt;=MineCount*Days</f>
        <v/>
      </c>
      <c r="C1625">
        <f>IF(B1625,INT((A1625-1)/Days)+1,"")</f>
        <v/>
      </c>
      <c r="D1625">
        <f>IF(B1625,MOD(A1625-1,Days),"")</f>
        <v/>
      </c>
      <c r="E1625" s="16">
        <f>IF(B1625,StartDate+D1625,"")</f>
        <v/>
      </c>
      <c r="F1625">
        <f>IF(B1625,MAX(MOD(SIN(Seed*0.1373+C1625*12.9898+D1625*78.233)*43758.5453,1),1E-9),"")</f>
        <v/>
      </c>
      <c r="G1625">
        <f>IF(B1625,MOD(SIN(Seed*0.5917+C1625*39.3468+D1625*11.135)*24634.6345,1),"")</f>
        <v/>
      </c>
      <c r="H1625">
        <f>IF(B1625,SQRT(-2*LN(F1625))*COS(2*PI()*G1625),"")</f>
        <v/>
      </c>
      <c r="I1625">
        <f>IF(B1625,IF(D1625=0,H1625,Rho*I1624+SQRT(1-Rho^2)*H1625),"")</f>
        <v/>
      </c>
      <c r="J1625">
        <f>IF(B1625,IF(Dist="Normal",DistA+DistB*I1625,DistA+(DistB-DistA)*NORMSDIST(I1625)),"")</f>
        <v/>
      </c>
      <c r="K1625">
        <f>IF(B1625,INDEX(MineScale,C1625),"")</f>
        <v/>
      </c>
      <c r="L1625">
        <f>IF(B1625,INDEX(Dow,1,WEEKDAY(E1625,2)),"")</f>
        <v/>
      </c>
      <c r="M1625">
        <f>IF(B1625,(1+Trend)^D1625,"")</f>
        <v/>
      </c>
      <c r="N1625">
        <f>IF(B1625,EXP(SUMPRODUCT(LN(1+(EvEff-1)*INDEX(Affected,0,C1625)*EXP(-((E1625-EvCenter)^2)/(2*EvSigma^2))))),"")</f>
        <v/>
      </c>
      <c r="O1625">
        <f>IF(B1625,ROUND(MAX(0,J1625*K1625*L1625*M1625*N1625),2),"")</f>
        <v/>
      </c>
    </row>
    <row r="1626">
      <c r="A1626" t="n">
        <v>1625</v>
      </c>
      <c r="B1626">
        <f>A1626&lt;=MineCount*Days</f>
        <v/>
      </c>
      <c r="C1626">
        <f>IF(B1626,INT((A1626-1)/Days)+1,"")</f>
        <v/>
      </c>
      <c r="D1626">
        <f>IF(B1626,MOD(A1626-1,Days),"")</f>
        <v/>
      </c>
      <c r="E1626" s="16">
        <f>IF(B1626,StartDate+D1626,"")</f>
        <v/>
      </c>
      <c r="F1626">
        <f>IF(B1626,MAX(MOD(SIN(Seed*0.1373+C1626*12.9898+D1626*78.233)*43758.5453,1),1E-9),"")</f>
        <v/>
      </c>
      <c r="G1626">
        <f>IF(B1626,MOD(SIN(Seed*0.5917+C1626*39.3468+D1626*11.135)*24634.6345,1),"")</f>
        <v/>
      </c>
      <c r="H1626">
        <f>IF(B1626,SQRT(-2*LN(F1626))*COS(2*PI()*G1626),"")</f>
        <v/>
      </c>
      <c r="I1626">
        <f>IF(B1626,IF(D1626=0,H1626,Rho*I1625+SQRT(1-Rho^2)*H1626),"")</f>
        <v/>
      </c>
      <c r="J1626">
        <f>IF(B1626,IF(Dist="Normal",DistA+DistB*I1626,DistA+(DistB-DistA)*NORMSDIST(I1626)),"")</f>
        <v/>
      </c>
      <c r="K1626">
        <f>IF(B1626,INDEX(MineScale,C1626),"")</f>
        <v/>
      </c>
      <c r="L1626">
        <f>IF(B1626,INDEX(Dow,1,WEEKDAY(E1626,2)),"")</f>
        <v/>
      </c>
      <c r="M1626">
        <f>IF(B1626,(1+Trend)^D1626,"")</f>
        <v/>
      </c>
      <c r="N1626">
        <f>IF(B1626,EXP(SUMPRODUCT(LN(1+(EvEff-1)*INDEX(Affected,0,C1626)*EXP(-((E1626-EvCenter)^2)/(2*EvSigma^2))))),"")</f>
        <v/>
      </c>
      <c r="O1626">
        <f>IF(B1626,ROUND(MAX(0,J1626*K1626*L1626*M1626*N1626),2),"")</f>
        <v/>
      </c>
    </row>
    <row r="1627">
      <c r="A1627" t="n">
        <v>1626</v>
      </c>
      <c r="B1627">
        <f>A1627&lt;=MineCount*Days</f>
        <v/>
      </c>
      <c r="C1627">
        <f>IF(B1627,INT((A1627-1)/Days)+1,"")</f>
        <v/>
      </c>
      <c r="D1627">
        <f>IF(B1627,MOD(A1627-1,Days),"")</f>
        <v/>
      </c>
      <c r="E1627" s="16">
        <f>IF(B1627,StartDate+D1627,"")</f>
        <v/>
      </c>
      <c r="F1627">
        <f>IF(B1627,MAX(MOD(SIN(Seed*0.1373+C1627*12.9898+D1627*78.233)*43758.5453,1),1E-9),"")</f>
        <v/>
      </c>
      <c r="G1627">
        <f>IF(B1627,MOD(SIN(Seed*0.5917+C1627*39.3468+D1627*11.135)*24634.6345,1),"")</f>
        <v/>
      </c>
      <c r="H1627">
        <f>IF(B1627,SQRT(-2*LN(F1627))*COS(2*PI()*G1627),"")</f>
        <v/>
      </c>
      <c r="I1627">
        <f>IF(B1627,IF(D1627=0,H1627,Rho*I1626+SQRT(1-Rho^2)*H1627),"")</f>
        <v/>
      </c>
      <c r="J1627">
        <f>IF(B1627,IF(Dist="Normal",DistA+DistB*I1627,DistA+(DistB-DistA)*NORMSDIST(I1627)),"")</f>
        <v/>
      </c>
      <c r="K1627">
        <f>IF(B1627,INDEX(MineScale,C1627),"")</f>
        <v/>
      </c>
      <c r="L1627">
        <f>IF(B1627,INDEX(Dow,1,WEEKDAY(E1627,2)),"")</f>
        <v/>
      </c>
      <c r="M1627">
        <f>IF(B1627,(1+Trend)^D1627,"")</f>
        <v/>
      </c>
      <c r="N1627">
        <f>IF(B1627,EXP(SUMPRODUCT(LN(1+(EvEff-1)*INDEX(Affected,0,C1627)*EXP(-((E1627-EvCenter)^2)/(2*EvSigma^2))))),"")</f>
        <v/>
      </c>
      <c r="O1627">
        <f>IF(B1627,ROUND(MAX(0,J1627*K1627*L1627*M1627*N1627),2),"")</f>
        <v/>
      </c>
    </row>
    <row r="1628">
      <c r="A1628" t="n">
        <v>1627</v>
      </c>
      <c r="B1628">
        <f>A1628&lt;=MineCount*Days</f>
        <v/>
      </c>
      <c r="C1628">
        <f>IF(B1628,INT((A1628-1)/Days)+1,"")</f>
        <v/>
      </c>
      <c r="D1628">
        <f>IF(B1628,MOD(A1628-1,Days),"")</f>
        <v/>
      </c>
      <c r="E1628" s="16">
        <f>IF(B1628,StartDate+D1628,"")</f>
        <v/>
      </c>
      <c r="F1628">
        <f>IF(B1628,MAX(MOD(SIN(Seed*0.1373+C1628*12.9898+D1628*78.233)*43758.5453,1),1E-9),"")</f>
        <v/>
      </c>
      <c r="G1628">
        <f>IF(B1628,MOD(SIN(Seed*0.5917+C1628*39.3468+D1628*11.135)*24634.6345,1),"")</f>
        <v/>
      </c>
      <c r="H1628">
        <f>IF(B1628,SQRT(-2*LN(F1628))*COS(2*PI()*G1628),"")</f>
        <v/>
      </c>
      <c r="I1628">
        <f>IF(B1628,IF(D1628=0,H1628,Rho*I1627+SQRT(1-Rho^2)*H1628),"")</f>
        <v/>
      </c>
      <c r="J1628">
        <f>IF(B1628,IF(Dist="Normal",DistA+DistB*I1628,DistA+(DistB-DistA)*NORMSDIST(I1628)),"")</f>
        <v/>
      </c>
      <c r="K1628">
        <f>IF(B1628,INDEX(MineScale,C1628),"")</f>
        <v/>
      </c>
      <c r="L1628">
        <f>IF(B1628,INDEX(Dow,1,WEEKDAY(E1628,2)),"")</f>
        <v/>
      </c>
      <c r="M1628">
        <f>IF(B1628,(1+Trend)^D1628,"")</f>
        <v/>
      </c>
      <c r="N1628">
        <f>IF(B1628,EXP(SUMPRODUCT(LN(1+(EvEff-1)*INDEX(Affected,0,C1628)*EXP(-((E1628-EvCenter)^2)/(2*EvSigma^2))))),"")</f>
        <v/>
      </c>
      <c r="O1628">
        <f>IF(B1628,ROUND(MAX(0,J1628*K1628*L1628*M1628*N1628),2),"")</f>
        <v/>
      </c>
    </row>
    <row r="1629">
      <c r="A1629" t="n">
        <v>1628</v>
      </c>
      <c r="B1629">
        <f>A1629&lt;=MineCount*Days</f>
        <v/>
      </c>
      <c r="C1629">
        <f>IF(B1629,INT((A1629-1)/Days)+1,"")</f>
        <v/>
      </c>
      <c r="D1629">
        <f>IF(B1629,MOD(A1629-1,Days),"")</f>
        <v/>
      </c>
      <c r="E1629" s="16">
        <f>IF(B1629,StartDate+D1629,"")</f>
        <v/>
      </c>
      <c r="F1629">
        <f>IF(B1629,MAX(MOD(SIN(Seed*0.1373+C1629*12.9898+D1629*78.233)*43758.5453,1),1E-9),"")</f>
        <v/>
      </c>
      <c r="G1629">
        <f>IF(B1629,MOD(SIN(Seed*0.5917+C1629*39.3468+D1629*11.135)*24634.6345,1),"")</f>
        <v/>
      </c>
      <c r="H1629">
        <f>IF(B1629,SQRT(-2*LN(F1629))*COS(2*PI()*G1629),"")</f>
        <v/>
      </c>
      <c r="I1629">
        <f>IF(B1629,IF(D1629=0,H1629,Rho*I1628+SQRT(1-Rho^2)*H1629),"")</f>
        <v/>
      </c>
      <c r="J1629">
        <f>IF(B1629,IF(Dist="Normal",DistA+DistB*I1629,DistA+(DistB-DistA)*NORMSDIST(I1629)),"")</f>
        <v/>
      </c>
      <c r="K1629">
        <f>IF(B1629,INDEX(MineScale,C1629),"")</f>
        <v/>
      </c>
      <c r="L1629">
        <f>IF(B1629,INDEX(Dow,1,WEEKDAY(E1629,2)),"")</f>
        <v/>
      </c>
      <c r="M1629">
        <f>IF(B1629,(1+Trend)^D1629,"")</f>
        <v/>
      </c>
      <c r="N1629">
        <f>IF(B1629,EXP(SUMPRODUCT(LN(1+(EvEff-1)*INDEX(Affected,0,C1629)*EXP(-((E1629-EvCenter)^2)/(2*EvSigma^2))))),"")</f>
        <v/>
      </c>
      <c r="O1629">
        <f>IF(B1629,ROUND(MAX(0,J1629*K1629*L1629*M1629*N1629),2),"")</f>
        <v/>
      </c>
    </row>
    <row r="1630">
      <c r="A1630" t="n">
        <v>1629</v>
      </c>
      <c r="B1630">
        <f>A1630&lt;=MineCount*Days</f>
        <v/>
      </c>
      <c r="C1630">
        <f>IF(B1630,INT((A1630-1)/Days)+1,"")</f>
        <v/>
      </c>
      <c r="D1630">
        <f>IF(B1630,MOD(A1630-1,Days),"")</f>
        <v/>
      </c>
      <c r="E1630" s="16">
        <f>IF(B1630,StartDate+D1630,"")</f>
        <v/>
      </c>
      <c r="F1630">
        <f>IF(B1630,MAX(MOD(SIN(Seed*0.1373+C1630*12.9898+D1630*78.233)*43758.5453,1),1E-9),"")</f>
        <v/>
      </c>
      <c r="G1630">
        <f>IF(B1630,MOD(SIN(Seed*0.5917+C1630*39.3468+D1630*11.135)*24634.6345,1),"")</f>
        <v/>
      </c>
      <c r="H1630">
        <f>IF(B1630,SQRT(-2*LN(F1630))*COS(2*PI()*G1630),"")</f>
        <v/>
      </c>
      <c r="I1630">
        <f>IF(B1630,IF(D1630=0,H1630,Rho*I1629+SQRT(1-Rho^2)*H1630),"")</f>
        <v/>
      </c>
      <c r="J1630">
        <f>IF(B1630,IF(Dist="Normal",DistA+DistB*I1630,DistA+(DistB-DistA)*NORMSDIST(I1630)),"")</f>
        <v/>
      </c>
      <c r="K1630">
        <f>IF(B1630,INDEX(MineScale,C1630),"")</f>
        <v/>
      </c>
      <c r="L1630">
        <f>IF(B1630,INDEX(Dow,1,WEEKDAY(E1630,2)),"")</f>
        <v/>
      </c>
      <c r="M1630">
        <f>IF(B1630,(1+Trend)^D1630,"")</f>
        <v/>
      </c>
      <c r="N1630">
        <f>IF(B1630,EXP(SUMPRODUCT(LN(1+(EvEff-1)*INDEX(Affected,0,C1630)*EXP(-((E1630-EvCenter)^2)/(2*EvSigma^2))))),"")</f>
        <v/>
      </c>
      <c r="O1630">
        <f>IF(B1630,ROUND(MAX(0,J1630*K1630*L1630*M1630*N1630),2),"")</f>
        <v/>
      </c>
    </row>
    <row r="1631">
      <c r="A1631" t="n">
        <v>1630</v>
      </c>
      <c r="B1631">
        <f>A1631&lt;=MineCount*Days</f>
        <v/>
      </c>
      <c r="C1631">
        <f>IF(B1631,INT((A1631-1)/Days)+1,"")</f>
        <v/>
      </c>
      <c r="D1631">
        <f>IF(B1631,MOD(A1631-1,Days),"")</f>
        <v/>
      </c>
      <c r="E1631" s="16">
        <f>IF(B1631,StartDate+D1631,"")</f>
        <v/>
      </c>
      <c r="F1631">
        <f>IF(B1631,MAX(MOD(SIN(Seed*0.1373+C1631*12.9898+D1631*78.233)*43758.5453,1),1E-9),"")</f>
        <v/>
      </c>
      <c r="G1631">
        <f>IF(B1631,MOD(SIN(Seed*0.5917+C1631*39.3468+D1631*11.135)*24634.6345,1),"")</f>
        <v/>
      </c>
      <c r="H1631">
        <f>IF(B1631,SQRT(-2*LN(F1631))*COS(2*PI()*G1631),"")</f>
        <v/>
      </c>
      <c r="I1631">
        <f>IF(B1631,IF(D1631=0,H1631,Rho*I1630+SQRT(1-Rho^2)*H1631),"")</f>
        <v/>
      </c>
      <c r="J1631">
        <f>IF(B1631,IF(Dist="Normal",DistA+DistB*I1631,DistA+(DistB-DistA)*NORMSDIST(I1631)),"")</f>
        <v/>
      </c>
      <c r="K1631">
        <f>IF(B1631,INDEX(MineScale,C1631),"")</f>
        <v/>
      </c>
      <c r="L1631">
        <f>IF(B1631,INDEX(Dow,1,WEEKDAY(E1631,2)),"")</f>
        <v/>
      </c>
      <c r="M1631">
        <f>IF(B1631,(1+Trend)^D1631,"")</f>
        <v/>
      </c>
      <c r="N1631">
        <f>IF(B1631,EXP(SUMPRODUCT(LN(1+(EvEff-1)*INDEX(Affected,0,C1631)*EXP(-((E1631-EvCenter)^2)/(2*EvSigma^2))))),"")</f>
        <v/>
      </c>
      <c r="O1631">
        <f>IF(B1631,ROUND(MAX(0,J1631*K1631*L1631*M1631*N1631),2),"")</f>
        <v/>
      </c>
    </row>
    <row r="1632">
      <c r="A1632" t="n">
        <v>1631</v>
      </c>
      <c r="B1632">
        <f>A1632&lt;=MineCount*Days</f>
        <v/>
      </c>
      <c r="C1632">
        <f>IF(B1632,INT((A1632-1)/Days)+1,"")</f>
        <v/>
      </c>
      <c r="D1632">
        <f>IF(B1632,MOD(A1632-1,Days),"")</f>
        <v/>
      </c>
      <c r="E1632" s="16">
        <f>IF(B1632,StartDate+D1632,"")</f>
        <v/>
      </c>
      <c r="F1632">
        <f>IF(B1632,MAX(MOD(SIN(Seed*0.1373+C1632*12.9898+D1632*78.233)*43758.5453,1),1E-9),"")</f>
        <v/>
      </c>
      <c r="G1632">
        <f>IF(B1632,MOD(SIN(Seed*0.5917+C1632*39.3468+D1632*11.135)*24634.6345,1),"")</f>
        <v/>
      </c>
      <c r="H1632">
        <f>IF(B1632,SQRT(-2*LN(F1632))*COS(2*PI()*G1632),"")</f>
        <v/>
      </c>
      <c r="I1632">
        <f>IF(B1632,IF(D1632=0,H1632,Rho*I1631+SQRT(1-Rho^2)*H1632),"")</f>
        <v/>
      </c>
      <c r="J1632">
        <f>IF(B1632,IF(Dist="Normal",DistA+DistB*I1632,DistA+(DistB-DistA)*NORMSDIST(I1632)),"")</f>
        <v/>
      </c>
      <c r="K1632">
        <f>IF(B1632,INDEX(MineScale,C1632),"")</f>
        <v/>
      </c>
      <c r="L1632">
        <f>IF(B1632,INDEX(Dow,1,WEEKDAY(E1632,2)),"")</f>
        <v/>
      </c>
      <c r="M1632">
        <f>IF(B1632,(1+Trend)^D1632,"")</f>
        <v/>
      </c>
      <c r="N1632">
        <f>IF(B1632,EXP(SUMPRODUCT(LN(1+(EvEff-1)*INDEX(Affected,0,C1632)*EXP(-((E1632-EvCenter)^2)/(2*EvSigma^2))))),"")</f>
        <v/>
      </c>
      <c r="O1632">
        <f>IF(B1632,ROUND(MAX(0,J1632*K1632*L1632*M1632*N1632),2),"")</f>
        <v/>
      </c>
    </row>
    <row r="1633">
      <c r="A1633" t="n">
        <v>1632</v>
      </c>
      <c r="B1633">
        <f>A1633&lt;=MineCount*Days</f>
        <v/>
      </c>
      <c r="C1633">
        <f>IF(B1633,INT((A1633-1)/Days)+1,"")</f>
        <v/>
      </c>
      <c r="D1633">
        <f>IF(B1633,MOD(A1633-1,Days),"")</f>
        <v/>
      </c>
      <c r="E1633" s="16">
        <f>IF(B1633,StartDate+D1633,"")</f>
        <v/>
      </c>
      <c r="F1633">
        <f>IF(B1633,MAX(MOD(SIN(Seed*0.1373+C1633*12.9898+D1633*78.233)*43758.5453,1),1E-9),"")</f>
        <v/>
      </c>
      <c r="G1633">
        <f>IF(B1633,MOD(SIN(Seed*0.5917+C1633*39.3468+D1633*11.135)*24634.6345,1),"")</f>
        <v/>
      </c>
      <c r="H1633">
        <f>IF(B1633,SQRT(-2*LN(F1633))*COS(2*PI()*G1633),"")</f>
        <v/>
      </c>
      <c r="I1633">
        <f>IF(B1633,IF(D1633=0,H1633,Rho*I1632+SQRT(1-Rho^2)*H1633),"")</f>
        <v/>
      </c>
      <c r="J1633">
        <f>IF(B1633,IF(Dist="Normal",DistA+DistB*I1633,DistA+(DistB-DistA)*NORMSDIST(I1633)),"")</f>
        <v/>
      </c>
      <c r="K1633">
        <f>IF(B1633,INDEX(MineScale,C1633),"")</f>
        <v/>
      </c>
      <c r="L1633">
        <f>IF(B1633,INDEX(Dow,1,WEEKDAY(E1633,2)),"")</f>
        <v/>
      </c>
      <c r="M1633">
        <f>IF(B1633,(1+Trend)^D1633,"")</f>
        <v/>
      </c>
      <c r="N1633">
        <f>IF(B1633,EXP(SUMPRODUCT(LN(1+(EvEff-1)*INDEX(Affected,0,C1633)*EXP(-((E1633-EvCenter)^2)/(2*EvSigma^2))))),"")</f>
        <v/>
      </c>
      <c r="O1633">
        <f>IF(B1633,ROUND(MAX(0,J1633*K1633*L1633*M1633*N1633),2),"")</f>
        <v/>
      </c>
    </row>
    <row r="1634">
      <c r="A1634" t="n">
        <v>1633</v>
      </c>
      <c r="B1634">
        <f>A1634&lt;=MineCount*Days</f>
        <v/>
      </c>
      <c r="C1634">
        <f>IF(B1634,INT((A1634-1)/Days)+1,"")</f>
        <v/>
      </c>
      <c r="D1634">
        <f>IF(B1634,MOD(A1634-1,Days),"")</f>
        <v/>
      </c>
      <c r="E1634" s="16">
        <f>IF(B1634,StartDate+D1634,"")</f>
        <v/>
      </c>
      <c r="F1634">
        <f>IF(B1634,MAX(MOD(SIN(Seed*0.1373+C1634*12.9898+D1634*78.233)*43758.5453,1),1E-9),"")</f>
        <v/>
      </c>
      <c r="G1634">
        <f>IF(B1634,MOD(SIN(Seed*0.5917+C1634*39.3468+D1634*11.135)*24634.6345,1),"")</f>
        <v/>
      </c>
      <c r="H1634">
        <f>IF(B1634,SQRT(-2*LN(F1634))*COS(2*PI()*G1634),"")</f>
        <v/>
      </c>
      <c r="I1634">
        <f>IF(B1634,IF(D1634=0,H1634,Rho*I1633+SQRT(1-Rho^2)*H1634),"")</f>
        <v/>
      </c>
      <c r="J1634">
        <f>IF(B1634,IF(Dist="Normal",DistA+DistB*I1634,DistA+(DistB-DistA)*NORMSDIST(I1634)),"")</f>
        <v/>
      </c>
      <c r="K1634">
        <f>IF(B1634,INDEX(MineScale,C1634),"")</f>
        <v/>
      </c>
      <c r="L1634">
        <f>IF(B1634,INDEX(Dow,1,WEEKDAY(E1634,2)),"")</f>
        <v/>
      </c>
      <c r="M1634">
        <f>IF(B1634,(1+Trend)^D1634,"")</f>
        <v/>
      </c>
      <c r="N1634">
        <f>IF(B1634,EXP(SUMPRODUCT(LN(1+(EvEff-1)*INDEX(Affected,0,C1634)*EXP(-((E1634-EvCenter)^2)/(2*EvSigma^2))))),"")</f>
        <v/>
      </c>
      <c r="O1634">
        <f>IF(B1634,ROUND(MAX(0,J1634*K1634*L1634*M1634*N1634),2),"")</f>
        <v/>
      </c>
    </row>
    <row r="1635">
      <c r="A1635" t="n">
        <v>1634</v>
      </c>
      <c r="B1635">
        <f>A1635&lt;=MineCount*Days</f>
        <v/>
      </c>
      <c r="C1635">
        <f>IF(B1635,INT((A1635-1)/Days)+1,"")</f>
        <v/>
      </c>
      <c r="D1635">
        <f>IF(B1635,MOD(A1635-1,Days),"")</f>
        <v/>
      </c>
      <c r="E1635" s="16">
        <f>IF(B1635,StartDate+D1635,"")</f>
        <v/>
      </c>
      <c r="F1635">
        <f>IF(B1635,MAX(MOD(SIN(Seed*0.1373+C1635*12.9898+D1635*78.233)*43758.5453,1),1E-9),"")</f>
        <v/>
      </c>
      <c r="G1635">
        <f>IF(B1635,MOD(SIN(Seed*0.5917+C1635*39.3468+D1635*11.135)*24634.6345,1),"")</f>
        <v/>
      </c>
      <c r="H1635">
        <f>IF(B1635,SQRT(-2*LN(F1635))*COS(2*PI()*G1635),"")</f>
        <v/>
      </c>
      <c r="I1635">
        <f>IF(B1635,IF(D1635=0,H1635,Rho*I1634+SQRT(1-Rho^2)*H1635),"")</f>
        <v/>
      </c>
      <c r="J1635">
        <f>IF(B1635,IF(Dist="Normal",DistA+DistB*I1635,DistA+(DistB-DistA)*NORMSDIST(I1635)),"")</f>
        <v/>
      </c>
      <c r="K1635">
        <f>IF(B1635,INDEX(MineScale,C1635),"")</f>
        <v/>
      </c>
      <c r="L1635">
        <f>IF(B1635,INDEX(Dow,1,WEEKDAY(E1635,2)),"")</f>
        <v/>
      </c>
      <c r="M1635">
        <f>IF(B1635,(1+Trend)^D1635,"")</f>
        <v/>
      </c>
      <c r="N1635">
        <f>IF(B1635,EXP(SUMPRODUCT(LN(1+(EvEff-1)*INDEX(Affected,0,C1635)*EXP(-((E1635-EvCenter)^2)/(2*EvSigma^2))))),"")</f>
        <v/>
      </c>
      <c r="O1635">
        <f>IF(B1635,ROUND(MAX(0,J1635*K1635*L1635*M1635*N1635),2),"")</f>
        <v/>
      </c>
    </row>
    <row r="1636">
      <c r="A1636" t="n">
        <v>1635</v>
      </c>
      <c r="B1636">
        <f>A1636&lt;=MineCount*Days</f>
        <v/>
      </c>
      <c r="C1636">
        <f>IF(B1636,INT((A1636-1)/Days)+1,"")</f>
        <v/>
      </c>
      <c r="D1636">
        <f>IF(B1636,MOD(A1636-1,Days),"")</f>
        <v/>
      </c>
      <c r="E1636" s="16">
        <f>IF(B1636,StartDate+D1636,"")</f>
        <v/>
      </c>
      <c r="F1636">
        <f>IF(B1636,MAX(MOD(SIN(Seed*0.1373+C1636*12.9898+D1636*78.233)*43758.5453,1),1E-9),"")</f>
        <v/>
      </c>
      <c r="G1636">
        <f>IF(B1636,MOD(SIN(Seed*0.5917+C1636*39.3468+D1636*11.135)*24634.6345,1),"")</f>
        <v/>
      </c>
      <c r="H1636">
        <f>IF(B1636,SQRT(-2*LN(F1636))*COS(2*PI()*G1636),"")</f>
        <v/>
      </c>
      <c r="I1636">
        <f>IF(B1636,IF(D1636=0,H1636,Rho*I1635+SQRT(1-Rho^2)*H1636),"")</f>
        <v/>
      </c>
      <c r="J1636">
        <f>IF(B1636,IF(Dist="Normal",DistA+DistB*I1636,DistA+(DistB-DistA)*NORMSDIST(I1636)),"")</f>
        <v/>
      </c>
      <c r="K1636">
        <f>IF(B1636,INDEX(MineScale,C1636),"")</f>
        <v/>
      </c>
      <c r="L1636">
        <f>IF(B1636,INDEX(Dow,1,WEEKDAY(E1636,2)),"")</f>
        <v/>
      </c>
      <c r="M1636">
        <f>IF(B1636,(1+Trend)^D1636,"")</f>
        <v/>
      </c>
      <c r="N1636">
        <f>IF(B1636,EXP(SUMPRODUCT(LN(1+(EvEff-1)*INDEX(Affected,0,C1636)*EXP(-((E1636-EvCenter)^2)/(2*EvSigma^2))))),"")</f>
        <v/>
      </c>
      <c r="O1636">
        <f>IF(B1636,ROUND(MAX(0,J1636*K1636*L1636*M1636*N1636),2),"")</f>
        <v/>
      </c>
    </row>
    <row r="1637">
      <c r="A1637" t="n">
        <v>1636</v>
      </c>
      <c r="B1637">
        <f>A1637&lt;=MineCount*Days</f>
        <v/>
      </c>
      <c r="C1637">
        <f>IF(B1637,INT((A1637-1)/Days)+1,"")</f>
        <v/>
      </c>
      <c r="D1637">
        <f>IF(B1637,MOD(A1637-1,Days),"")</f>
        <v/>
      </c>
      <c r="E1637" s="16">
        <f>IF(B1637,StartDate+D1637,"")</f>
        <v/>
      </c>
      <c r="F1637">
        <f>IF(B1637,MAX(MOD(SIN(Seed*0.1373+C1637*12.9898+D1637*78.233)*43758.5453,1),1E-9),"")</f>
        <v/>
      </c>
      <c r="G1637">
        <f>IF(B1637,MOD(SIN(Seed*0.5917+C1637*39.3468+D1637*11.135)*24634.6345,1),"")</f>
        <v/>
      </c>
      <c r="H1637">
        <f>IF(B1637,SQRT(-2*LN(F1637))*COS(2*PI()*G1637),"")</f>
        <v/>
      </c>
      <c r="I1637">
        <f>IF(B1637,IF(D1637=0,H1637,Rho*I1636+SQRT(1-Rho^2)*H1637),"")</f>
        <v/>
      </c>
      <c r="J1637">
        <f>IF(B1637,IF(Dist="Normal",DistA+DistB*I1637,DistA+(DistB-DistA)*NORMSDIST(I1637)),"")</f>
        <v/>
      </c>
      <c r="K1637">
        <f>IF(B1637,INDEX(MineScale,C1637),"")</f>
        <v/>
      </c>
      <c r="L1637">
        <f>IF(B1637,INDEX(Dow,1,WEEKDAY(E1637,2)),"")</f>
        <v/>
      </c>
      <c r="M1637">
        <f>IF(B1637,(1+Trend)^D1637,"")</f>
        <v/>
      </c>
      <c r="N1637">
        <f>IF(B1637,EXP(SUMPRODUCT(LN(1+(EvEff-1)*INDEX(Affected,0,C1637)*EXP(-((E1637-EvCenter)^2)/(2*EvSigma^2))))),"")</f>
        <v/>
      </c>
      <c r="O1637">
        <f>IF(B1637,ROUND(MAX(0,J1637*K1637*L1637*M1637*N1637),2),"")</f>
        <v/>
      </c>
    </row>
    <row r="1638">
      <c r="A1638" t="n">
        <v>1637</v>
      </c>
      <c r="B1638">
        <f>A1638&lt;=MineCount*Days</f>
        <v/>
      </c>
      <c r="C1638">
        <f>IF(B1638,INT((A1638-1)/Days)+1,"")</f>
        <v/>
      </c>
      <c r="D1638">
        <f>IF(B1638,MOD(A1638-1,Days),"")</f>
        <v/>
      </c>
      <c r="E1638" s="16">
        <f>IF(B1638,StartDate+D1638,"")</f>
        <v/>
      </c>
      <c r="F1638">
        <f>IF(B1638,MAX(MOD(SIN(Seed*0.1373+C1638*12.9898+D1638*78.233)*43758.5453,1),1E-9),"")</f>
        <v/>
      </c>
      <c r="G1638">
        <f>IF(B1638,MOD(SIN(Seed*0.5917+C1638*39.3468+D1638*11.135)*24634.6345,1),"")</f>
        <v/>
      </c>
      <c r="H1638">
        <f>IF(B1638,SQRT(-2*LN(F1638))*COS(2*PI()*G1638),"")</f>
        <v/>
      </c>
      <c r="I1638">
        <f>IF(B1638,IF(D1638=0,H1638,Rho*I1637+SQRT(1-Rho^2)*H1638),"")</f>
        <v/>
      </c>
      <c r="J1638">
        <f>IF(B1638,IF(Dist="Normal",DistA+DistB*I1638,DistA+(DistB-DistA)*NORMSDIST(I1638)),"")</f>
        <v/>
      </c>
      <c r="K1638">
        <f>IF(B1638,INDEX(MineScale,C1638),"")</f>
        <v/>
      </c>
      <c r="L1638">
        <f>IF(B1638,INDEX(Dow,1,WEEKDAY(E1638,2)),"")</f>
        <v/>
      </c>
      <c r="M1638">
        <f>IF(B1638,(1+Trend)^D1638,"")</f>
        <v/>
      </c>
      <c r="N1638">
        <f>IF(B1638,EXP(SUMPRODUCT(LN(1+(EvEff-1)*INDEX(Affected,0,C1638)*EXP(-((E1638-EvCenter)^2)/(2*EvSigma^2))))),"")</f>
        <v/>
      </c>
      <c r="O1638">
        <f>IF(B1638,ROUND(MAX(0,J1638*K1638*L1638*M1638*N1638),2),"")</f>
        <v/>
      </c>
    </row>
    <row r="1639">
      <c r="A1639" t="n">
        <v>1638</v>
      </c>
      <c r="B1639">
        <f>A1639&lt;=MineCount*Days</f>
        <v/>
      </c>
      <c r="C1639">
        <f>IF(B1639,INT((A1639-1)/Days)+1,"")</f>
        <v/>
      </c>
      <c r="D1639">
        <f>IF(B1639,MOD(A1639-1,Days),"")</f>
        <v/>
      </c>
      <c r="E1639" s="16">
        <f>IF(B1639,StartDate+D1639,"")</f>
        <v/>
      </c>
      <c r="F1639">
        <f>IF(B1639,MAX(MOD(SIN(Seed*0.1373+C1639*12.9898+D1639*78.233)*43758.5453,1),1E-9),"")</f>
        <v/>
      </c>
      <c r="G1639">
        <f>IF(B1639,MOD(SIN(Seed*0.5917+C1639*39.3468+D1639*11.135)*24634.6345,1),"")</f>
        <v/>
      </c>
      <c r="H1639">
        <f>IF(B1639,SQRT(-2*LN(F1639))*COS(2*PI()*G1639),"")</f>
        <v/>
      </c>
      <c r="I1639">
        <f>IF(B1639,IF(D1639=0,H1639,Rho*I1638+SQRT(1-Rho^2)*H1639),"")</f>
        <v/>
      </c>
      <c r="J1639">
        <f>IF(B1639,IF(Dist="Normal",DistA+DistB*I1639,DistA+(DistB-DistA)*NORMSDIST(I1639)),"")</f>
        <v/>
      </c>
      <c r="K1639">
        <f>IF(B1639,INDEX(MineScale,C1639),"")</f>
        <v/>
      </c>
      <c r="L1639">
        <f>IF(B1639,INDEX(Dow,1,WEEKDAY(E1639,2)),"")</f>
        <v/>
      </c>
      <c r="M1639">
        <f>IF(B1639,(1+Trend)^D1639,"")</f>
        <v/>
      </c>
      <c r="N1639">
        <f>IF(B1639,EXP(SUMPRODUCT(LN(1+(EvEff-1)*INDEX(Affected,0,C1639)*EXP(-((E1639-EvCenter)^2)/(2*EvSigma^2))))),"")</f>
        <v/>
      </c>
      <c r="O1639">
        <f>IF(B1639,ROUND(MAX(0,J1639*K1639*L1639*M1639*N1639),2),"")</f>
        <v/>
      </c>
    </row>
    <row r="1640">
      <c r="A1640" t="n">
        <v>1639</v>
      </c>
      <c r="B1640">
        <f>A1640&lt;=MineCount*Days</f>
        <v/>
      </c>
      <c r="C1640">
        <f>IF(B1640,INT((A1640-1)/Days)+1,"")</f>
        <v/>
      </c>
      <c r="D1640">
        <f>IF(B1640,MOD(A1640-1,Days),"")</f>
        <v/>
      </c>
      <c r="E1640" s="16">
        <f>IF(B1640,StartDate+D1640,"")</f>
        <v/>
      </c>
      <c r="F1640">
        <f>IF(B1640,MAX(MOD(SIN(Seed*0.1373+C1640*12.9898+D1640*78.233)*43758.5453,1),1E-9),"")</f>
        <v/>
      </c>
      <c r="G1640">
        <f>IF(B1640,MOD(SIN(Seed*0.5917+C1640*39.3468+D1640*11.135)*24634.6345,1),"")</f>
        <v/>
      </c>
      <c r="H1640">
        <f>IF(B1640,SQRT(-2*LN(F1640))*COS(2*PI()*G1640),"")</f>
        <v/>
      </c>
      <c r="I1640">
        <f>IF(B1640,IF(D1640=0,H1640,Rho*I1639+SQRT(1-Rho^2)*H1640),"")</f>
        <v/>
      </c>
      <c r="J1640">
        <f>IF(B1640,IF(Dist="Normal",DistA+DistB*I1640,DistA+(DistB-DistA)*NORMSDIST(I1640)),"")</f>
        <v/>
      </c>
      <c r="K1640">
        <f>IF(B1640,INDEX(MineScale,C1640),"")</f>
        <v/>
      </c>
      <c r="L1640">
        <f>IF(B1640,INDEX(Dow,1,WEEKDAY(E1640,2)),"")</f>
        <v/>
      </c>
      <c r="M1640">
        <f>IF(B1640,(1+Trend)^D1640,"")</f>
        <v/>
      </c>
      <c r="N1640">
        <f>IF(B1640,EXP(SUMPRODUCT(LN(1+(EvEff-1)*INDEX(Affected,0,C1640)*EXP(-((E1640-EvCenter)^2)/(2*EvSigma^2))))),"")</f>
        <v/>
      </c>
      <c r="O1640">
        <f>IF(B1640,ROUND(MAX(0,J1640*K1640*L1640*M1640*N1640),2),"")</f>
        <v/>
      </c>
    </row>
    <row r="1641">
      <c r="A1641" t="n">
        <v>1640</v>
      </c>
      <c r="B1641">
        <f>A1641&lt;=MineCount*Days</f>
        <v/>
      </c>
      <c r="C1641">
        <f>IF(B1641,INT((A1641-1)/Days)+1,"")</f>
        <v/>
      </c>
      <c r="D1641">
        <f>IF(B1641,MOD(A1641-1,Days),"")</f>
        <v/>
      </c>
      <c r="E1641" s="16">
        <f>IF(B1641,StartDate+D1641,"")</f>
        <v/>
      </c>
      <c r="F1641">
        <f>IF(B1641,MAX(MOD(SIN(Seed*0.1373+C1641*12.9898+D1641*78.233)*43758.5453,1),1E-9),"")</f>
        <v/>
      </c>
      <c r="G1641">
        <f>IF(B1641,MOD(SIN(Seed*0.5917+C1641*39.3468+D1641*11.135)*24634.6345,1),"")</f>
        <v/>
      </c>
      <c r="H1641">
        <f>IF(B1641,SQRT(-2*LN(F1641))*COS(2*PI()*G1641),"")</f>
        <v/>
      </c>
      <c r="I1641">
        <f>IF(B1641,IF(D1641=0,H1641,Rho*I1640+SQRT(1-Rho^2)*H1641),"")</f>
        <v/>
      </c>
      <c r="J1641">
        <f>IF(B1641,IF(Dist="Normal",DistA+DistB*I1641,DistA+(DistB-DistA)*NORMSDIST(I1641)),"")</f>
        <v/>
      </c>
      <c r="K1641">
        <f>IF(B1641,INDEX(MineScale,C1641),"")</f>
        <v/>
      </c>
      <c r="L1641">
        <f>IF(B1641,INDEX(Dow,1,WEEKDAY(E1641,2)),"")</f>
        <v/>
      </c>
      <c r="M1641">
        <f>IF(B1641,(1+Trend)^D1641,"")</f>
        <v/>
      </c>
      <c r="N1641">
        <f>IF(B1641,EXP(SUMPRODUCT(LN(1+(EvEff-1)*INDEX(Affected,0,C1641)*EXP(-((E1641-EvCenter)^2)/(2*EvSigma^2))))),"")</f>
        <v/>
      </c>
      <c r="O1641">
        <f>IF(B1641,ROUND(MAX(0,J1641*K1641*L1641*M1641*N1641),2),"")</f>
        <v/>
      </c>
    </row>
    <row r="1642">
      <c r="A1642" t="n">
        <v>1641</v>
      </c>
      <c r="B1642">
        <f>A1642&lt;=MineCount*Days</f>
        <v/>
      </c>
      <c r="C1642">
        <f>IF(B1642,INT((A1642-1)/Days)+1,"")</f>
        <v/>
      </c>
      <c r="D1642">
        <f>IF(B1642,MOD(A1642-1,Days),"")</f>
        <v/>
      </c>
      <c r="E1642" s="16">
        <f>IF(B1642,StartDate+D1642,"")</f>
        <v/>
      </c>
      <c r="F1642">
        <f>IF(B1642,MAX(MOD(SIN(Seed*0.1373+C1642*12.9898+D1642*78.233)*43758.5453,1),1E-9),"")</f>
        <v/>
      </c>
      <c r="G1642">
        <f>IF(B1642,MOD(SIN(Seed*0.5917+C1642*39.3468+D1642*11.135)*24634.6345,1),"")</f>
        <v/>
      </c>
      <c r="H1642">
        <f>IF(B1642,SQRT(-2*LN(F1642))*COS(2*PI()*G1642),"")</f>
        <v/>
      </c>
      <c r="I1642">
        <f>IF(B1642,IF(D1642=0,H1642,Rho*I1641+SQRT(1-Rho^2)*H1642),"")</f>
        <v/>
      </c>
      <c r="J1642">
        <f>IF(B1642,IF(Dist="Normal",DistA+DistB*I1642,DistA+(DistB-DistA)*NORMSDIST(I1642)),"")</f>
        <v/>
      </c>
      <c r="K1642">
        <f>IF(B1642,INDEX(MineScale,C1642),"")</f>
        <v/>
      </c>
      <c r="L1642">
        <f>IF(B1642,INDEX(Dow,1,WEEKDAY(E1642,2)),"")</f>
        <v/>
      </c>
      <c r="M1642">
        <f>IF(B1642,(1+Trend)^D1642,"")</f>
        <v/>
      </c>
      <c r="N1642">
        <f>IF(B1642,EXP(SUMPRODUCT(LN(1+(EvEff-1)*INDEX(Affected,0,C1642)*EXP(-((E1642-EvCenter)^2)/(2*EvSigma^2))))),"")</f>
        <v/>
      </c>
      <c r="O1642">
        <f>IF(B1642,ROUND(MAX(0,J1642*K1642*L1642*M1642*N1642),2),"")</f>
        <v/>
      </c>
    </row>
    <row r="1643">
      <c r="A1643" t="n">
        <v>1642</v>
      </c>
      <c r="B1643">
        <f>A1643&lt;=MineCount*Days</f>
        <v/>
      </c>
      <c r="C1643">
        <f>IF(B1643,INT((A1643-1)/Days)+1,"")</f>
        <v/>
      </c>
      <c r="D1643">
        <f>IF(B1643,MOD(A1643-1,Days),"")</f>
        <v/>
      </c>
      <c r="E1643" s="16">
        <f>IF(B1643,StartDate+D1643,"")</f>
        <v/>
      </c>
      <c r="F1643">
        <f>IF(B1643,MAX(MOD(SIN(Seed*0.1373+C1643*12.9898+D1643*78.233)*43758.5453,1),1E-9),"")</f>
        <v/>
      </c>
      <c r="G1643">
        <f>IF(B1643,MOD(SIN(Seed*0.5917+C1643*39.3468+D1643*11.135)*24634.6345,1),"")</f>
        <v/>
      </c>
      <c r="H1643">
        <f>IF(B1643,SQRT(-2*LN(F1643))*COS(2*PI()*G1643),"")</f>
        <v/>
      </c>
      <c r="I1643">
        <f>IF(B1643,IF(D1643=0,H1643,Rho*I1642+SQRT(1-Rho^2)*H1643),"")</f>
        <v/>
      </c>
      <c r="J1643">
        <f>IF(B1643,IF(Dist="Normal",DistA+DistB*I1643,DistA+(DistB-DistA)*NORMSDIST(I1643)),"")</f>
        <v/>
      </c>
      <c r="K1643">
        <f>IF(B1643,INDEX(MineScale,C1643),"")</f>
        <v/>
      </c>
      <c r="L1643">
        <f>IF(B1643,INDEX(Dow,1,WEEKDAY(E1643,2)),"")</f>
        <v/>
      </c>
      <c r="M1643">
        <f>IF(B1643,(1+Trend)^D1643,"")</f>
        <v/>
      </c>
      <c r="N1643">
        <f>IF(B1643,EXP(SUMPRODUCT(LN(1+(EvEff-1)*INDEX(Affected,0,C1643)*EXP(-((E1643-EvCenter)^2)/(2*EvSigma^2))))),"")</f>
        <v/>
      </c>
      <c r="O1643">
        <f>IF(B1643,ROUND(MAX(0,J1643*K1643*L1643*M1643*N1643),2),"")</f>
        <v/>
      </c>
    </row>
    <row r="1644">
      <c r="A1644" t="n">
        <v>1643</v>
      </c>
      <c r="B1644">
        <f>A1644&lt;=MineCount*Days</f>
        <v/>
      </c>
      <c r="C1644">
        <f>IF(B1644,INT((A1644-1)/Days)+1,"")</f>
        <v/>
      </c>
      <c r="D1644">
        <f>IF(B1644,MOD(A1644-1,Days),"")</f>
        <v/>
      </c>
      <c r="E1644" s="16">
        <f>IF(B1644,StartDate+D1644,"")</f>
        <v/>
      </c>
      <c r="F1644">
        <f>IF(B1644,MAX(MOD(SIN(Seed*0.1373+C1644*12.9898+D1644*78.233)*43758.5453,1),1E-9),"")</f>
        <v/>
      </c>
      <c r="G1644">
        <f>IF(B1644,MOD(SIN(Seed*0.5917+C1644*39.3468+D1644*11.135)*24634.6345,1),"")</f>
        <v/>
      </c>
      <c r="H1644">
        <f>IF(B1644,SQRT(-2*LN(F1644))*COS(2*PI()*G1644),"")</f>
        <v/>
      </c>
      <c r="I1644">
        <f>IF(B1644,IF(D1644=0,H1644,Rho*I1643+SQRT(1-Rho^2)*H1644),"")</f>
        <v/>
      </c>
      <c r="J1644">
        <f>IF(B1644,IF(Dist="Normal",DistA+DistB*I1644,DistA+(DistB-DistA)*NORMSDIST(I1644)),"")</f>
        <v/>
      </c>
      <c r="K1644">
        <f>IF(B1644,INDEX(MineScale,C1644),"")</f>
        <v/>
      </c>
      <c r="L1644">
        <f>IF(B1644,INDEX(Dow,1,WEEKDAY(E1644,2)),"")</f>
        <v/>
      </c>
      <c r="M1644">
        <f>IF(B1644,(1+Trend)^D1644,"")</f>
        <v/>
      </c>
      <c r="N1644">
        <f>IF(B1644,EXP(SUMPRODUCT(LN(1+(EvEff-1)*INDEX(Affected,0,C1644)*EXP(-((E1644-EvCenter)^2)/(2*EvSigma^2))))),"")</f>
        <v/>
      </c>
      <c r="O1644">
        <f>IF(B1644,ROUND(MAX(0,J1644*K1644*L1644*M1644*N1644),2),"")</f>
        <v/>
      </c>
    </row>
    <row r="1645">
      <c r="A1645" t="n">
        <v>1644</v>
      </c>
      <c r="B1645">
        <f>A1645&lt;=MineCount*Days</f>
        <v/>
      </c>
      <c r="C1645">
        <f>IF(B1645,INT((A1645-1)/Days)+1,"")</f>
        <v/>
      </c>
      <c r="D1645">
        <f>IF(B1645,MOD(A1645-1,Days),"")</f>
        <v/>
      </c>
      <c r="E1645" s="16">
        <f>IF(B1645,StartDate+D1645,"")</f>
        <v/>
      </c>
      <c r="F1645">
        <f>IF(B1645,MAX(MOD(SIN(Seed*0.1373+C1645*12.9898+D1645*78.233)*43758.5453,1),1E-9),"")</f>
        <v/>
      </c>
      <c r="G1645">
        <f>IF(B1645,MOD(SIN(Seed*0.5917+C1645*39.3468+D1645*11.135)*24634.6345,1),"")</f>
        <v/>
      </c>
      <c r="H1645">
        <f>IF(B1645,SQRT(-2*LN(F1645))*COS(2*PI()*G1645),"")</f>
        <v/>
      </c>
      <c r="I1645">
        <f>IF(B1645,IF(D1645=0,H1645,Rho*I1644+SQRT(1-Rho^2)*H1645),"")</f>
        <v/>
      </c>
      <c r="J1645">
        <f>IF(B1645,IF(Dist="Normal",DistA+DistB*I1645,DistA+(DistB-DistA)*NORMSDIST(I1645)),"")</f>
        <v/>
      </c>
      <c r="K1645">
        <f>IF(B1645,INDEX(MineScale,C1645),"")</f>
        <v/>
      </c>
      <c r="L1645">
        <f>IF(B1645,INDEX(Dow,1,WEEKDAY(E1645,2)),"")</f>
        <v/>
      </c>
      <c r="M1645">
        <f>IF(B1645,(1+Trend)^D1645,"")</f>
        <v/>
      </c>
      <c r="N1645">
        <f>IF(B1645,EXP(SUMPRODUCT(LN(1+(EvEff-1)*INDEX(Affected,0,C1645)*EXP(-((E1645-EvCenter)^2)/(2*EvSigma^2))))),"")</f>
        <v/>
      </c>
      <c r="O1645">
        <f>IF(B1645,ROUND(MAX(0,J1645*K1645*L1645*M1645*N1645),2),"")</f>
        <v/>
      </c>
    </row>
    <row r="1646">
      <c r="A1646" t="n">
        <v>1645</v>
      </c>
      <c r="B1646">
        <f>A1646&lt;=MineCount*Days</f>
        <v/>
      </c>
      <c r="C1646">
        <f>IF(B1646,INT((A1646-1)/Days)+1,"")</f>
        <v/>
      </c>
      <c r="D1646">
        <f>IF(B1646,MOD(A1646-1,Days),"")</f>
        <v/>
      </c>
      <c r="E1646" s="16">
        <f>IF(B1646,StartDate+D1646,"")</f>
        <v/>
      </c>
      <c r="F1646">
        <f>IF(B1646,MAX(MOD(SIN(Seed*0.1373+C1646*12.9898+D1646*78.233)*43758.5453,1),1E-9),"")</f>
        <v/>
      </c>
      <c r="G1646">
        <f>IF(B1646,MOD(SIN(Seed*0.5917+C1646*39.3468+D1646*11.135)*24634.6345,1),"")</f>
        <v/>
      </c>
      <c r="H1646">
        <f>IF(B1646,SQRT(-2*LN(F1646))*COS(2*PI()*G1646),"")</f>
        <v/>
      </c>
      <c r="I1646">
        <f>IF(B1646,IF(D1646=0,H1646,Rho*I1645+SQRT(1-Rho^2)*H1646),"")</f>
        <v/>
      </c>
      <c r="J1646">
        <f>IF(B1646,IF(Dist="Normal",DistA+DistB*I1646,DistA+(DistB-DistA)*NORMSDIST(I1646)),"")</f>
        <v/>
      </c>
      <c r="K1646">
        <f>IF(B1646,INDEX(MineScale,C1646),"")</f>
        <v/>
      </c>
      <c r="L1646">
        <f>IF(B1646,INDEX(Dow,1,WEEKDAY(E1646,2)),"")</f>
        <v/>
      </c>
      <c r="M1646">
        <f>IF(B1646,(1+Trend)^D1646,"")</f>
        <v/>
      </c>
      <c r="N1646">
        <f>IF(B1646,EXP(SUMPRODUCT(LN(1+(EvEff-1)*INDEX(Affected,0,C1646)*EXP(-((E1646-EvCenter)^2)/(2*EvSigma^2))))),"")</f>
        <v/>
      </c>
      <c r="O1646">
        <f>IF(B1646,ROUND(MAX(0,J1646*K1646*L1646*M1646*N1646),2),"")</f>
        <v/>
      </c>
    </row>
    <row r="1647">
      <c r="A1647" t="n">
        <v>1646</v>
      </c>
      <c r="B1647">
        <f>A1647&lt;=MineCount*Days</f>
        <v/>
      </c>
      <c r="C1647">
        <f>IF(B1647,INT((A1647-1)/Days)+1,"")</f>
        <v/>
      </c>
      <c r="D1647">
        <f>IF(B1647,MOD(A1647-1,Days),"")</f>
        <v/>
      </c>
      <c r="E1647" s="16">
        <f>IF(B1647,StartDate+D1647,"")</f>
        <v/>
      </c>
      <c r="F1647">
        <f>IF(B1647,MAX(MOD(SIN(Seed*0.1373+C1647*12.9898+D1647*78.233)*43758.5453,1),1E-9),"")</f>
        <v/>
      </c>
      <c r="G1647">
        <f>IF(B1647,MOD(SIN(Seed*0.5917+C1647*39.3468+D1647*11.135)*24634.6345,1),"")</f>
        <v/>
      </c>
      <c r="H1647">
        <f>IF(B1647,SQRT(-2*LN(F1647))*COS(2*PI()*G1647),"")</f>
        <v/>
      </c>
      <c r="I1647">
        <f>IF(B1647,IF(D1647=0,H1647,Rho*I1646+SQRT(1-Rho^2)*H1647),"")</f>
        <v/>
      </c>
      <c r="J1647">
        <f>IF(B1647,IF(Dist="Normal",DistA+DistB*I1647,DistA+(DistB-DistA)*NORMSDIST(I1647)),"")</f>
        <v/>
      </c>
      <c r="K1647">
        <f>IF(B1647,INDEX(MineScale,C1647),"")</f>
        <v/>
      </c>
      <c r="L1647">
        <f>IF(B1647,INDEX(Dow,1,WEEKDAY(E1647,2)),"")</f>
        <v/>
      </c>
      <c r="M1647">
        <f>IF(B1647,(1+Trend)^D1647,"")</f>
        <v/>
      </c>
      <c r="N1647">
        <f>IF(B1647,EXP(SUMPRODUCT(LN(1+(EvEff-1)*INDEX(Affected,0,C1647)*EXP(-((E1647-EvCenter)^2)/(2*EvSigma^2))))),"")</f>
        <v/>
      </c>
      <c r="O1647">
        <f>IF(B1647,ROUND(MAX(0,J1647*K1647*L1647*M1647*N1647),2),"")</f>
        <v/>
      </c>
    </row>
    <row r="1648">
      <c r="A1648" t="n">
        <v>1647</v>
      </c>
      <c r="B1648">
        <f>A1648&lt;=MineCount*Days</f>
        <v/>
      </c>
      <c r="C1648">
        <f>IF(B1648,INT((A1648-1)/Days)+1,"")</f>
        <v/>
      </c>
      <c r="D1648">
        <f>IF(B1648,MOD(A1648-1,Days),"")</f>
        <v/>
      </c>
      <c r="E1648" s="16">
        <f>IF(B1648,StartDate+D1648,"")</f>
        <v/>
      </c>
      <c r="F1648">
        <f>IF(B1648,MAX(MOD(SIN(Seed*0.1373+C1648*12.9898+D1648*78.233)*43758.5453,1),1E-9),"")</f>
        <v/>
      </c>
      <c r="G1648">
        <f>IF(B1648,MOD(SIN(Seed*0.5917+C1648*39.3468+D1648*11.135)*24634.6345,1),"")</f>
        <v/>
      </c>
      <c r="H1648">
        <f>IF(B1648,SQRT(-2*LN(F1648))*COS(2*PI()*G1648),"")</f>
        <v/>
      </c>
      <c r="I1648">
        <f>IF(B1648,IF(D1648=0,H1648,Rho*I1647+SQRT(1-Rho^2)*H1648),"")</f>
        <v/>
      </c>
      <c r="J1648">
        <f>IF(B1648,IF(Dist="Normal",DistA+DistB*I1648,DistA+(DistB-DistA)*NORMSDIST(I1648)),"")</f>
        <v/>
      </c>
      <c r="K1648">
        <f>IF(B1648,INDEX(MineScale,C1648),"")</f>
        <v/>
      </c>
      <c r="L1648">
        <f>IF(B1648,INDEX(Dow,1,WEEKDAY(E1648,2)),"")</f>
        <v/>
      </c>
      <c r="M1648">
        <f>IF(B1648,(1+Trend)^D1648,"")</f>
        <v/>
      </c>
      <c r="N1648">
        <f>IF(B1648,EXP(SUMPRODUCT(LN(1+(EvEff-1)*INDEX(Affected,0,C1648)*EXP(-((E1648-EvCenter)^2)/(2*EvSigma^2))))),"")</f>
        <v/>
      </c>
      <c r="O1648">
        <f>IF(B1648,ROUND(MAX(0,J1648*K1648*L1648*M1648*N1648),2),"")</f>
        <v/>
      </c>
    </row>
    <row r="1649">
      <c r="A1649" t="n">
        <v>1648</v>
      </c>
      <c r="B1649">
        <f>A1649&lt;=MineCount*Days</f>
        <v/>
      </c>
      <c r="C1649">
        <f>IF(B1649,INT((A1649-1)/Days)+1,"")</f>
        <v/>
      </c>
      <c r="D1649">
        <f>IF(B1649,MOD(A1649-1,Days),"")</f>
        <v/>
      </c>
      <c r="E1649" s="16">
        <f>IF(B1649,StartDate+D1649,"")</f>
        <v/>
      </c>
      <c r="F1649">
        <f>IF(B1649,MAX(MOD(SIN(Seed*0.1373+C1649*12.9898+D1649*78.233)*43758.5453,1),1E-9),"")</f>
        <v/>
      </c>
      <c r="G1649">
        <f>IF(B1649,MOD(SIN(Seed*0.5917+C1649*39.3468+D1649*11.135)*24634.6345,1),"")</f>
        <v/>
      </c>
      <c r="H1649">
        <f>IF(B1649,SQRT(-2*LN(F1649))*COS(2*PI()*G1649),"")</f>
        <v/>
      </c>
      <c r="I1649">
        <f>IF(B1649,IF(D1649=0,H1649,Rho*I1648+SQRT(1-Rho^2)*H1649),"")</f>
        <v/>
      </c>
      <c r="J1649">
        <f>IF(B1649,IF(Dist="Normal",DistA+DistB*I1649,DistA+(DistB-DistA)*NORMSDIST(I1649)),"")</f>
        <v/>
      </c>
      <c r="K1649">
        <f>IF(B1649,INDEX(MineScale,C1649),"")</f>
        <v/>
      </c>
      <c r="L1649">
        <f>IF(B1649,INDEX(Dow,1,WEEKDAY(E1649,2)),"")</f>
        <v/>
      </c>
      <c r="M1649">
        <f>IF(B1649,(1+Trend)^D1649,"")</f>
        <v/>
      </c>
      <c r="N1649">
        <f>IF(B1649,EXP(SUMPRODUCT(LN(1+(EvEff-1)*INDEX(Affected,0,C1649)*EXP(-((E1649-EvCenter)^2)/(2*EvSigma^2))))),"")</f>
        <v/>
      </c>
      <c r="O1649">
        <f>IF(B1649,ROUND(MAX(0,J1649*K1649*L1649*M1649*N1649),2),"")</f>
        <v/>
      </c>
    </row>
    <row r="1650">
      <c r="A1650" t="n">
        <v>1649</v>
      </c>
      <c r="B1650">
        <f>A1650&lt;=MineCount*Days</f>
        <v/>
      </c>
      <c r="C1650">
        <f>IF(B1650,INT((A1650-1)/Days)+1,"")</f>
        <v/>
      </c>
      <c r="D1650">
        <f>IF(B1650,MOD(A1650-1,Days),"")</f>
        <v/>
      </c>
      <c r="E1650" s="16">
        <f>IF(B1650,StartDate+D1650,"")</f>
        <v/>
      </c>
      <c r="F1650">
        <f>IF(B1650,MAX(MOD(SIN(Seed*0.1373+C1650*12.9898+D1650*78.233)*43758.5453,1),1E-9),"")</f>
        <v/>
      </c>
      <c r="G1650">
        <f>IF(B1650,MOD(SIN(Seed*0.5917+C1650*39.3468+D1650*11.135)*24634.6345,1),"")</f>
        <v/>
      </c>
      <c r="H1650">
        <f>IF(B1650,SQRT(-2*LN(F1650))*COS(2*PI()*G1650),"")</f>
        <v/>
      </c>
      <c r="I1650">
        <f>IF(B1650,IF(D1650=0,H1650,Rho*I1649+SQRT(1-Rho^2)*H1650),"")</f>
        <v/>
      </c>
      <c r="J1650">
        <f>IF(B1650,IF(Dist="Normal",DistA+DistB*I1650,DistA+(DistB-DistA)*NORMSDIST(I1650)),"")</f>
        <v/>
      </c>
      <c r="K1650">
        <f>IF(B1650,INDEX(MineScale,C1650),"")</f>
        <v/>
      </c>
      <c r="L1650">
        <f>IF(B1650,INDEX(Dow,1,WEEKDAY(E1650,2)),"")</f>
        <v/>
      </c>
      <c r="M1650">
        <f>IF(B1650,(1+Trend)^D1650,"")</f>
        <v/>
      </c>
      <c r="N1650">
        <f>IF(B1650,EXP(SUMPRODUCT(LN(1+(EvEff-1)*INDEX(Affected,0,C1650)*EXP(-((E1650-EvCenter)^2)/(2*EvSigma^2))))),"")</f>
        <v/>
      </c>
      <c r="O1650">
        <f>IF(B1650,ROUND(MAX(0,J1650*K1650*L1650*M1650*N1650),2),"")</f>
        <v/>
      </c>
    </row>
    <row r="1651">
      <c r="A1651" t="n">
        <v>1650</v>
      </c>
      <c r="B1651">
        <f>A1651&lt;=MineCount*Days</f>
        <v/>
      </c>
      <c r="C1651">
        <f>IF(B1651,INT((A1651-1)/Days)+1,"")</f>
        <v/>
      </c>
      <c r="D1651">
        <f>IF(B1651,MOD(A1651-1,Days),"")</f>
        <v/>
      </c>
      <c r="E1651" s="16">
        <f>IF(B1651,StartDate+D1651,"")</f>
        <v/>
      </c>
      <c r="F1651">
        <f>IF(B1651,MAX(MOD(SIN(Seed*0.1373+C1651*12.9898+D1651*78.233)*43758.5453,1),1E-9),"")</f>
        <v/>
      </c>
      <c r="G1651">
        <f>IF(B1651,MOD(SIN(Seed*0.5917+C1651*39.3468+D1651*11.135)*24634.6345,1),"")</f>
        <v/>
      </c>
      <c r="H1651">
        <f>IF(B1651,SQRT(-2*LN(F1651))*COS(2*PI()*G1651),"")</f>
        <v/>
      </c>
      <c r="I1651">
        <f>IF(B1651,IF(D1651=0,H1651,Rho*I1650+SQRT(1-Rho^2)*H1651),"")</f>
        <v/>
      </c>
      <c r="J1651">
        <f>IF(B1651,IF(Dist="Normal",DistA+DistB*I1651,DistA+(DistB-DistA)*NORMSDIST(I1651)),"")</f>
        <v/>
      </c>
      <c r="K1651">
        <f>IF(B1651,INDEX(MineScale,C1651),"")</f>
        <v/>
      </c>
      <c r="L1651">
        <f>IF(B1651,INDEX(Dow,1,WEEKDAY(E1651,2)),"")</f>
        <v/>
      </c>
      <c r="M1651">
        <f>IF(B1651,(1+Trend)^D1651,"")</f>
        <v/>
      </c>
      <c r="N1651">
        <f>IF(B1651,EXP(SUMPRODUCT(LN(1+(EvEff-1)*INDEX(Affected,0,C1651)*EXP(-((E1651-EvCenter)^2)/(2*EvSigma^2))))),"")</f>
        <v/>
      </c>
      <c r="O1651">
        <f>IF(B1651,ROUND(MAX(0,J1651*K1651*L1651*M1651*N1651),2),"")</f>
        <v/>
      </c>
    </row>
    <row r="1652">
      <c r="A1652" t="n">
        <v>1651</v>
      </c>
      <c r="B1652">
        <f>A1652&lt;=MineCount*Days</f>
        <v/>
      </c>
      <c r="C1652">
        <f>IF(B1652,INT((A1652-1)/Days)+1,"")</f>
        <v/>
      </c>
      <c r="D1652">
        <f>IF(B1652,MOD(A1652-1,Days),"")</f>
        <v/>
      </c>
      <c r="E1652" s="16">
        <f>IF(B1652,StartDate+D1652,"")</f>
        <v/>
      </c>
      <c r="F1652">
        <f>IF(B1652,MAX(MOD(SIN(Seed*0.1373+C1652*12.9898+D1652*78.233)*43758.5453,1),1E-9),"")</f>
        <v/>
      </c>
      <c r="G1652">
        <f>IF(B1652,MOD(SIN(Seed*0.5917+C1652*39.3468+D1652*11.135)*24634.6345,1),"")</f>
        <v/>
      </c>
      <c r="H1652">
        <f>IF(B1652,SQRT(-2*LN(F1652))*COS(2*PI()*G1652),"")</f>
        <v/>
      </c>
      <c r="I1652">
        <f>IF(B1652,IF(D1652=0,H1652,Rho*I1651+SQRT(1-Rho^2)*H1652),"")</f>
        <v/>
      </c>
      <c r="J1652">
        <f>IF(B1652,IF(Dist="Normal",DistA+DistB*I1652,DistA+(DistB-DistA)*NORMSDIST(I1652)),"")</f>
        <v/>
      </c>
      <c r="K1652">
        <f>IF(B1652,INDEX(MineScale,C1652),"")</f>
        <v/>
      </c>
      <c r="L1652">
        <f>IF(B1652,INDEX(Dow,1,WEEKDAY(E1652,2)),"")</f>
        <v/>
      </c>
      <c r="M1652">
        <f>IF(B1652,(1+Trend)^D1652,"")</f>
        <v/>
      </c>
      <c r="N1652">
        <f>IF(B1652,EXP(SUMPRODUCT(LN(1+(EvEff-1)*INDEX(Affected,0,C1652)*EXP(-((E1652-EvCenter)^2)/(2*EvSigma^2))))),"")</f>
        <v/>
      </c>
      <c r="O1652">
        <f>IF(B1652,ROUND(MAX(0,J1652*K1652*L1652*M1652*N1652),2),"")</f>
        <v/>
      </c>
    </row>
    <row r="1653">
      <c r="A1653" t="n">
        <v>1652</v>
      </c>
      <c r="B1653">
        <f>A1653&lt;=MineCount*Days</f>
        <v/>
      </c>
      <c r="C1653">
        <f>IF(B1653,INT((A1653-1)/Days)+1,"")</f>
        <v/>
      </c>
      <c r="D1653">
        <f>IF(B1653,MOD(A1653-1,Days),"")</f>
        <v/>
      </c>
      <c r="E1653" s="16">
        <f>IF(B1653,StartDate+D1653,"")</f>
        <v/>
      </c>
      <c r="F1653">
        <f>IF(B1653,MAX(MOD(SIN(Seed*0.1373+C1653*12.9898+D1653*78.233)*43758.5453,1),1E-9),"")</f>
        <v/>
      </c>
      <c r="G1653">
        <f>IF(B1653,MOD(SIN(Seed*0.5917+C1653*39.3468+D1653*11.135)*24634.6345,1),"")</f>
        <v/>
      </c>
      <c r="H1653">
        <f>IF(B1653,SQRT(-2*LN(F1653))*COS(2*PI()*G1653),"")</f>
        <v/>
      </c>
      <c r="I1653">
        <f>IF(B1653,IF(D1653=0,H1653,Rho*I1652+SQRT(1-Rho^2)*H1653),"")</f>
        <v/>
      </c>
      <c r="J1653">
        <f>IF(B1653,IF(Dist="Normal",DistA+DistB*I1653,DistA+(DistB-DistA)*NORMSDIST(I1653)),"")</f>
        <v/>
      </c>
      <c r="K1653">
        <f>IF(B1653,INDEX(MineScale,C1653),"")</f>
        <v/>
      </c>
      <c r="L1653">
        <f>IF(B1653,INDEX(Dow,1,WEEKDAY(E1653,2)),"")</f>
        <v/>
      </c>
      <c r="M1653">
        <f>IF(B1653,(1+Trend)^D1653,"")</f>
        <v/>
      </c>
      <c r="N1653">
        <f>IF(B1653,EXP(SUMPRODUCT(LN(1+(EvEff-1)*INDEX(Affected,0,C1653)*EXP(-((E1653-EvCenter)^2)/(2*EvSigma^2))))),"")</f>
        <v/>
      </c>
      <c r="O1653">
        <f>IF(B1653,ROUND(MAX(0,J1653*K1653*L1653*M1653*N1653),2),"")</f>
        <v/>
      </c>
    </row>
    <row r="1654">
      <c r="A1654" t="n">
        <v>1653</v>
      </c>
      <c r="B1654">
        <f>A1654&lt;=MineCount*Days</f>
        <v/>
      </c>
      <c r="C1654">
        <f>IF(B1654,INT((A1654-1)/Days)+1,"")</f>
        <v/>
      </c>
      <c r="D1654">
        <f>IF(B1654,MOD(A1654-1,Days),"")</f>
        <v/>
      </c>
      <c r="E1654" s="16">
        <f>IF(B1654,StartDate+D1654,"")</f>
        <v/>
      </c>
      <c r="F1654">
        <f>IF(B1654,MAX(MOD(SIN(Seed*0.1373+C1654*12.9898+D1654*78.233)*43758.5453,1),1E-9),"")</f>
        <v/>
      </c>
      <c r="G1654">
        <f>IF(B1654,MOD(SIN(Seed*0.5917+C1654*39.3468+D1654*11.135)*24634.6345,1),"")</f>
        <v/>
      </c>
      <c r="H1654">
        <f>IF(B1654,SQRT(-2*LN(F1654))*COS(2*PI()*G1654),"")</f>
        <v/>
      </c>
      <c r="I1654">
        <f>IF(B1654,IF(D1654=0,H1654,Rho*I1653+SQRT(1-Rho^2)*H1654),"")</f>
        <v/>
      </c>
      <c r="J1654">
        <f>IF(B1654,IF(Dist="Normal",DistA+DistB*I1654,DistA+(DistB-DistA)*NORMSDIST(I1654)),"")</f>
        <v/>
      </c>
      <c r="K1654">
        <f>IF(B1654,INDEX(MineScale,C1654),"")</f>
        <v/>
      </c>
      <c r="L1654">
        <f>IF(B1654,INDEX(Dow,1,WEEKDAY(E1654,2)),"")</f>
        <v/>
      </c>
      <c r="M1654">
        <f>IF(B1654,(1+Trend)^D1654,"")</f>
        <v/>
      </c>
      <c r="N1654">
        <f>IF(B1654,EXP(SUMPRODUCT(LN(1+(EvEff-1)*INDEX(Affected,0,C1654)*EXP(-((E1654-EvCenter)^2)/(2*EvSigma^2))))),"")</f>
        <v/>
      </c>
      <c r="O1654">
        <f>IF(B1654,ROUND(MAX(0,J1654*K1654*L1654*M1654*N1654),2),"")</f>
        <v/>
      </c>
    </row>
    <row r="1655">
      <c r="A1655" t="n">
        <v>1654</v>
      </c>
      <c r="B1655">
        <f>A1655&lt;=MineCount*Days</f>
        <v/>
      </c>
      <c r="C1655">
        <f>IF(B1655,INT((A1655-1)/Days)+1,"")</f>
        <v/>
      </c>
      <c r="D1655">
        <f>IF(B1655,MOD(A1655-1,Days),"")</f>
        <v/>
      </c>
      <c r="E1655" s="16">
        <f>IF(B1655,StartDate+D1655,"")</f>
        <v/>
      </c>
      <c r="F1655">
        <f>IF(B1655,MAX(MOD(SIN(Seed*0.1373+C1655*12.9898+D1655*78.233)*43758.5453,1),1E-9),"")</f>
        <v/>
      </c>
      <c r="G1655">
        <f>IF(B1655,MOD(SIN(Seed*0.5917+C1655*39.3468+D1655*11.135)*24634.6345,1),"")</f>
        <v/>
      </c>
      <c r="H1655">
        <f>IF(B1655,SQRT(-2*LN(F1655))*COS(2*PI()*G1655),"")</f>
        <v/>
      </c>
      <c r="I1655">
        <f>IF(B1655,IF(D1655=0,H1655,Rho*I1654+SQRT(1-Rho^2)*H1655),"")</f>
        <v/>
      </c>
      <c r="J1655">
        <f>IF(B1655,IF(Dist="Normal",DistA+DistB*I1655,DistA+(DistB-DistA)*NORMSDIST(I1655)),"")</f>
        <v/>
      </c>
      <c r="K1655">
        <f>IF(B1655,INDEX(MineScale,C1655),"")</f>
        <v/>
      </c>
      <c r="L1655">
        <f>IF(B1655,INDEX(Dow,1,WEEKDAY(E1655,2)),"")</f>
        <v/>
      </c>
      <c r="M1655">
        <f>IF(B1655,(1+Trend)^D1655,"")</f>
        <v/>
      </c>
      <c r="N1655">
        <f>IF(B1655,EXP(SUMPRODUCT(LN(1+(EvEff-1)*INDEX(Affected,0,C1655)*EXP(-((E1655-EvCenter)^2)/(2*EvSigma^2))))),"")</f>
        <v/>
      </c>
      <c r="O1655">
        <f>IF(B1655,ROUND(MAX(0,J1655*K1655*L1655*M1655*N1655),2),"")</f>
        <v/>
      </c>
    </row>
    <row r="1656">
      <c r="A1656" t="n">
        <v>1655</v>
      </c>
      <c r="B1656">
        <f>A1656&lt;=MineCount*Days</f>
        <v/>
      </c>
      <c r="C1656">
        <f>IF(B1656,INT((A1656-1)/Days)+1,"")</f>
        <v/>
      </c>
      <c r="D1656">
        <f>IF(B1656,MOD(A1656-1,Days),"")</f>
        <v/>
      </c>
      <c r="E1656" s="16">
        <f>IF(B1656,StartDate+D1656,"")</f>
        <v/>
      </c>
      <c r="F1656">
        <f>IF(B1656,MAX(MOD(SIN(Seed*0.1373+C1656*12.9898+D1656*78.233)*43758.5453,1),1E-9),"")</f>
        <v/>
      </c>
      <c r="G1656">
        <f>IF(B1656,MOD(SIN(Seed*0.5917+C1656*39.3468+D1656*11.135)*24634.6345,1),"")</f>
        <v/>
      </c>
      <c r="H1656">
        <f>IF(B1656,SQRT(-2*LN(F1656))*COS(2*PI()*G1656),"")</f>
        <v/>
      </c>
      <c r="I1656">
        <f>IF(B1656,IF(D1656=0,H1656,Rho*I1655+SQRT(1-Rho^2)*H1656),"")</f>
        <v/>
      </c>
      <c r="J1656">
        <f>IF(B1656,IF(Dist="Normal",DistA+DistB*I1656,DistA+(DistB-DistA)*NORMSDIST(I1656)),"")</f>
        <v/>
      </c>
      <c r="K1656">
        <f>IF(B1656,INDEX(MineScale,C1656),"")</f>
        <v/>
      </c>
      <c r="L1656">
        <f>IF(B1656,INDEX(Dow,1,WEEKDAY(E1656,2)),"")</f>
        <v/>
      </c>
      <c r="M1656">
        <f>IF(B1656,(1+Trend)^D1656,"")</f>
        <v/>
      </c>
      <c r="N1656">
        <f>IF(B1656,EXP(SUMPRODUCT(LN(1+(EvEff-1)*INDEX(Affected,0,C1656)*EXP(-((E1656-EvCenter)^2)/(2*EvSigma^2))))),"")</f>
        <v/>
      </c>
      <c r="O1656">
        <f>IF(B1656,ROUND(MAX(0,J1656*K1656*L1656*M1656*N1656),2),"")</f>
        <v/>
      </c>
    </row>
    <row r="1657">
      <c r="A1657" t="n">
        <v>1656</v>
      </c>
      <c r="B1657">
        <f>A1657&lt;=MineCount*Days</f>
        <v/>
      </c>
      <c r="C1657">
        <f>IF(B1657,INT((A1657-1)/Days)+1,"")</f>
        <v/>
      </c>
      <c r="D1657">
        <f>IF(B1657,MOD(A1657-1,Days),"")</f>
        <v/>
      </c>
      <c r="E1657" s="16">
        <f>IF(B1657,StartDate+D1657,"")</f>
        <v/>
      </c>
      <c r="F1657">
        <f>IF(B1657,MAX(MOD(SIN(Seed*0.1373+C1657*12.9898+D1657*78.233)*43758.5453,1),1E-9),"")</f>
        <v/>
      </c>
      <c r="G1657">
        <f>IF(B1657,MOD(SIN(Seed*0.5917+C1657*39.3468+D1657*11.135)*24634.6345,1),"")</f>
        <v/>
      </c>
      <c r="H1657">
        <f>IF(B1657,SQRT(-2*LN(F1657))*COS(2*PI()*G1657),"")</f>
        <v/>
      </c>
      <c r="I1657">
        <f>IF(B1657,IF(D1657=0,H1657,Rho*I1656+SQRT(1-Rho^2)*H1657),"")</f>
        <v/>
      </c>
      <c r="J1657">
        <f>IF(B1657,IF(Dist="Normal",DistA+DistB*I1657,DistA+(DistB-DistA)*NORMSDIST(I1657)),"")</f>
        <v/>
      </c>
      <c r="K1657">
        <f>IF(B1657,INDEX(MineScale,C1657),"")</f>
        <v/>
      </c>
      <c r="L1657">
        <f>IF(B1657,INDEX(Dow,1,WEEKDAY(E1657,2)),"")</f>
        <v/>
      </c>
      <c r="M1657">
        <f>IF(B1657,(1+Trend)^D1657,"")</f>
        <v/>
      </c>
      <c r="N1657">
        <f>IF(B1657,EXP(SUMPRODUCT(LN(1+(EvEff-1)*INDEX(Affected,0,C1657)*EXP(-((E1657-EvCenter)^2)/(2*EvSigma^2))))),"")</f>
        <v/>
      </c>
      <c r="O1657">
        <f>IF(B1657,ROUND(MAX(0,J1657*K1657*L1657*M1657*N1657),2),"")</f>
        <v/>
      </c>
    </row>
    <row r="1658">
      <c r="A1658" t="n">
        <v>1657</v>
      </c>
      <c r="B1658">
        <f>A1658&lt;=MineCount*Days</f>
        <v/>
      </c>
      <c r="C1658">
        <f>IF(B1658,INT((A1658-1)/Days)+1,"")</f>
        <v/>
      </c>
      <c r="D1658">
        <f>IF(B1658,MOD(A1658-1,Days),"")</f>
        <v/>
      </c>
      <c r="E1658" s="16">
        <f>IF(B1658,StartDate+D1658,"")</f>
        <v/>
      </c>
      <c r="F1658">
        <f>IF(B1658,MAX(MOD(SIN(Seed*0.1373+C1658*12.9898+D1658*78.233)*43758.5453,1),1E-9),"")</f>
        <v/>
      </c>
      <c r="G1658">
        <f>IF(B1658,MOD(SIN(Seed*0.5917+C1658*39.3468+D1658*11.135)*24634.6345,1),"")</f>
        <v/>
      </c>
      <c r="H1658">
        <f>IF(B1658,SQRT(-2*LN(F1658))*COS(2*PI()*G1658),"")</f>
        <v/>
      </c>
      <c r="I1658">
        <f>IF(B1658,IF(D1658=0,H1658,Rho*I1657+SQRT(1-Rho^2)*H1658),"")</f>
        <v/>
      </c>
      <c r="J1658">
        <f>IF(B1658,IF(Dist="Normal",DistA+DistB*I1658,DistA+(DistB-DistA)*NORMSDIST(I1658)),"")</f>
        <v/>
      </c>
      <c r="K1658">
        <f>IF(B1658,INDEX(MineScale,C1658),"")</f>
        <v/>
      </c>
      <c r="L1658">
        <f>IF(B1658,INDEX(Dow,1,WEEKDAY(E1658,2)),"")</f>
        <v/>
      </c>
      <c r="M1658">
        <f>IF(B1658,(1+Trend)^D1658,"")</f>
        <v/>
      </c>
      <c r="N1658">
        <f>IF(B1658,EXP(SUMPRODUCT(LN(1+(EvEff-1)*INDEX(Affected,0,C1658)*EXP(-((E1658-EvCenter)^2)/(2*EvSigma^2))))),"")</f>
        <v/>
      </c>
      <c r="O1658">
        <f>IF(B1658,ROUND(MAX(0,J1658*K1658*L1658*M1658*N1658),2),"")</f>
        <v/>
      </c>
    </row>
    <row r="1659">
      <c r="A1659" t="n">
        <v>1658</v>
      </c>
      <c r="B1659">
        <f>A1659&lt;=MineCount*Days</f>
        <v/>
      </c>
      <c r="C1659">
        <f>IF(B1659,INT((A1659-1)/Days)+1,"")</f>
        <v/>
      </c>
      <c r="D1659">
        <f>IF(B1659,MOD(A1659-1,Days),"")</f>
        <v/>
      </c>
      <c r="E1659" s="16">
        <f>IF(B1659,StartDate+D1659,"")</f>
        <v/>
      </c>
      <c r="F1659">
        <f>IF(B1659,MAX(MOD(SIN(Seed*0.1373+C1659*12.9898+D1659*78.233)*43758.5453,1),1E-9),"")</f>
        <v/>
      </c>
      <c r="G1659">
        <f>IF(B1659,MOD(SIN(Seed*0.5917+C1659*39.3468+D1659*11.135)*24634.6345,1),"")</f>
        <v/>
      </c>
      <c r="H1659">
        <f>IF(B1659,SQRT(-2*LN(F1659))*COS(2*PI()*G1659),"")</f>
        <v/>
      </c>
      <c r="I1659">
        <f>IF(B1659,IF(D1659=0,H1659,Rho*I1658+SQRT(1-Rho^2)*H1659),"")</f>
        <v/>
      </c>
      <c r="J1659">
        <f>IF(B1659,IF(Dist="Normal",DistA+DistB*I1659,DistA+(DistB-DistA)*NORMSDIST(I1659)),"")</f>
        <v/>
      </c>
      <c r="K1659">
        <f>IF(B1659,INDEX(MineScale,C1659),"")</f>
        <v/>
      </c>
      <c r="L1659">
        <f>IF(B1659,INDEX(Dow,1,WEEKDAY(E1659,2)),"")</f>
        <v/>
      </c>
      <c r="M1659">
        <f>IF(B1659,(1+Trend)^D1659,"")</f>
        <v/>
      </c>
      <c r="N1659">
        <f>IF(B1659,EXP(SUMPRODUCT(LN(1+(EvEff-1)*INDEX(Affected,0,C1659)*EXP(-((E1659-EvCenter)^2)/(2*EvSigma^2))))),"")</f>
        <v/>
      </c>
      <c r="O1659">
        <f>IF(B1659,ROUND(MAX(0,J1659*K1659*L1659*M1659*N1659),2),"")</f>
        <v/>
      </c>
    </row>
    <row r="1660">
      <c r="A1660" t="n">
        <v>1659</v>
      </c>
      <c r="B1660">
        <f>A1660&lt;=MineCount*Days</f>
        <v/>
      </c>
      <c r="C1660">
        <f>IF(B1660,INT((A1660-1)/Days)+1,"")</f>
        <v/>
      </c>
      <c r="D1660">
        <f>IF(B1660,MOD(A1660-1,Days),"")</f>
        <v/>
      </c>
      <c r="E1660" s="16">
        <f>IF(B1660,StartDate+D1660,"")</f>
        <v/>
      </c>
      <c r="F1660">
        <f>IF(B1660,MAX(MOD(SIN(Seed*0.1373+C1660*12.9898+D1660*78.233)*43758.5453,1),1E-9),"")</f>
        <v/>
      </c>
      <c r="G1660">
        <f>IF(B1660,MOD(SIN(Seed*0.5917+C1660*39.3468+D1660*11.135)*24634.6345,1),"")</f>
        <v/>
      </c>
      <c r="H1660">
        <f>IF(B1660,SQRT(-2*LN(F1660))*COS(2*PI()*G1660),"")</f>
        <v/>
      </c>
      <c r="I1660">
        <f>IF(B1660,IF(D1660=0,H1660,Rho*I1659+SQRT(1-Rho^2)*H1660),"")</f>
        <v/>
      </c>
      <c r="J1660">
        <f>IF(B1660,IF(Dist="Normal",DistA+DistB*I1660,DistA+(DistB-DistA)*NORMSDIST(I1660)),"")</f>
        <v/>
      </c>
      <c r="K1660">
        <f>IF(B1660,INDEX(MineScale,C1660),"")</f>
        <v/>
      </c>
      <c r="L1660">
        <f>IF(B1660,INDEX(Dow,1,WEEKDAY(E1660,2)),"")</f>
        <v/>
      </c>
      <c r="M1660">
        <f>IF(B1660,(1+Trend)^D1660,"")</f>
        <v/>
      </c>
      <c r="N1660">
        <f>IF(B1660,EXP(SUMPRODUCT(LN(1+(EvEff-1)*INDEX(Affected,0,C1660)*EXP(-((E1660-EvCenter)^2)/(2*EvSigma^2))))),"")</f>
        <v/>
      </c>
      <c r="O1660">
        <f>IF(B1660,ROUND(MAX(0,J1660*K1660*L1660*M1660*N1660),2),"")</f>
        <v/>
      </c>
    </row>
    <row r="1661">
      <c r="A1661" t="n">
        <v>1660</v>
      </c>
      <c r="B1661">
        <f>A1661&lt;=MineCount*Days</f>
        <v/>
      </c>
      <c r="C1661">
        <f>IF(B1661,INT((A1661-1)/Days)+1,"")</f>
        <v/>
      </c>
      <c r="D1661">
        <f>IF(B1661,MOD(A1661-1,Days),"")</f>
        <v/>
      </c>
      <c r="E1661" s="16">
        <f>IF(B1661,StartDate+D1661,"")</f>
        <v/>
      </c>
      <c r="F1661">
        <f>IF(B1661,MAX(MOD(SIN(Seed*0.1373+C1661*12.9898+D1661*78.233)*43758.5453,1),1E-9),"")</f>
        <v/>
      </c>
      <c r="G1661">
        <f>IF(B1661,MOD(SIN(Seed*0.5917+C1661*39.3468+D1661*11.135)*24634.6345,1),"")</f>
        <v/>
      </c>
      <c r="H1661">
        <f>IF(B1661,SQRT(-2*LN(F1661))*COS(2*PI()*G1661),"")</f>
        <v/>
      </c>
      <c r="I1661">
        <f>IF(B1661,IF(D1661=0,H1661,Rho*I1660+SQRT(1-Rho^2)*H1661),"")</f>
        <v/>
      </c>
      <c r="J1661">
        <f>IF(B1661,IF(Dist="Normal",DistA+DistB*I1661,DistA+(DistB-DistA)*NORMSDIST(I1661)),"")</f>
        <v/>
      </c>
      <c r="K1661">
        <f>IF(B1661,INDEX(MineScale,C1661),"")</f>
        <v/>
      </c>
      <c r="L1661">
        <f>IF(B1661,INDEX(Dow,1,WEEKDAY(E1661,2)),"")</f>
        <v/>
      </c>
      <c r="M1661">
        <f>IF(B1661,(1+Trend)^D1661,"")</f>
        <v/>
      </c>
      <c r="N1661">
        <f>IF(B1661,EXP(SUMPRODUCT(LN(1+(EvEff-1)*INDEX(Affected,0,C1661)*EXP(-((E1661-EvCenter)^2)/(2*EvSigma^2))))),"")</f>
        <v/>
      </c>
      <c r="O1661">
        <f>IF(B1661,ROUND(MAX(0,J1661*K1661*L1661*M1661*N1661),2),"")</f>
        <v/>
      </c>
    </row>
    <row r="1662">
      <c r="A1662" t="n">
        <v>1661</v>
      </c>
      <c r="B1662">
        <f>A1662&lt;=MineCount*Days</f>
        <v/>
      </c>
      <c r="C1662">
        <f>IF(B1662,INT((A1662-1)/Days)+1,"")</f>
        <v/>
      </c>
      <c r="D1662">
        <f>IF(B1662,MOD(A1662-1,Days),"")</f>
        <v/>
      </c>
      <c r="E1662" s="16">
        <f>IF(B1662,StartDate+D1662,"")</f>
        <v/>
      </c>
      <c r="F1662">
        <f>IF(B1662,MAX(MOD(SIN(Seed*0.1373+C1662*12.9898+D1662*78.233)*43758.5453,1),1E-9),"")</f>
        <v/>
      </c>
      <c r="G1662">
        <f>IF(B1662,MOD(SIN(Seed*0.5917+C1662*39.3468+D1662*11.135)*24634.6345,1),"")</f>
        <v/>
      </c>
      <c r="H1662">
        <f>IF(B1662,SQRT(-2*LN(F1662))*COS(2*PI()*G1662),"")</f>
        <v/>
      </c>
      <c r="I1662">
        <f>IF(B1662,IF(D1662=0,H1662,Rho*I1661+SQRT(1-Rho^2)*H1662),"")</f>
        <v/>
      </c>
      <c r="J1662">
        <f>IF(B1662,IF(Dist="Normal",DistA+DistB*I1662,DistA+(DistB-DistA)*NORMSDIST(I1662)),"")</f>
        <v/>
      </c>
      <c r="K1662">
        <f>IF(B1662,INDEX(MineScale,C1662),"")</f>
        <v/>
      </c>
      <c r="L1662">
        <f>IF(B1662,INDEX(Dow,1,WEEKDAY(E1662,2)),"")</f>
        <v/>
      </c>
      <c r="M1662">
        <f>IF(B1662,(1+Trend)^D1662,"")</f>
        <v/>
      </c>
      <c r="N1662">
        <f>IF(B1662,EXP(SUMPRODUCT(LN(1+(EvEff-1)*INDEX(Affected,0,C1662)*EXP(-((E1662-EvCenter)^2)/(2*EvSigma^2))))),"")</f>
        <v/>
      </c>
      <c r="O1662">
        <f>IF(B1662,ROUND(MAX(0,J1662*K1662*L1662*M1662*N1662),2),"")</f>
        <v/>
      </c>
    </row>
    <row r="1663">
      <c r="A1663" t="n">
        <v>1662</v>
      </c>
      <c r="B1663">
        <f>A1663&lt;=MineCount*Days</f>
        <v/>
      </c>
      <c r="C1663">
        <f>IF(B1663,INT((A1663-1)/Days)+1,"")</f>
        <v/>
      </c>
      <c r="D1663">
        <f>IF(B1663,MOD(A1663-1,Days),"")</f>
        <v/>
      </c>
      <c r="E1663" s="16">
        <f>IF(B1663,StartDate+D1663,"")</f>
        <v/>
      </c>
      <c r="F1663">
        <f>IF(B1663,MAX(MOD(SIN(Seed*0.1373+C1663*12.9898+D1663*78.233)*43758.5453,1),1E-9),"")</f>
        <v/>
      </c>
      <c r="G1663">
        <f>IF(B1663,MOD(SIN(Seed*0.5917+C1663*39.3468+D1663*11.135)*24634.6345,1),"")</f>
        <v/>
      </c>
      <c r="H1663">
        <f>IF(B1663,SQRT(-2*LN(F1663))*COS(2*PI()*G1663),"")</f>
        <v/>
      </c>
      <c r="I1663">
        <f>IF(B1663,IF(D1663=0,H1663,Rho*I1662+SQRT(1-Rho^2)*H1663),"")</f>
        <v/>
      </c>
      <c r="J1663">
        <f>IF(B1663,IF(Dist="Normal",DistA+DistB*I1663,DistA+(DistB-DistA)*NORMSDIST(I1663)),"")</f>
        <v/>
      </c>
      <c r="K1663">
        <f>IF(B1663,INDEX(MineScale,C1663),"")</f>
        <v/>
      </c>
      <c r="L1663">
        <f>IF(B1663,INDEX(Dow,1,WEEKDAY(E1663,2)),"")</f>
        <v/>
      </c>
      <c r="M1663">
        <f>IF(B1663,(1+Trend)^D1663,"")</f>
        <v/>
      </c>
      <c r="N1663">
        <f>IF(B1663,EXP(SUMPRODUCT(LN(1+(EvEff-1)*INDEX(Affected,0,C1663)*EXP(-((E1663-EvCenter)^2)/(2*EvSigma^2))))),"")</f>
        <v/>
      </c>
      <c r="O1663">
        <f>IF(B1663,ROUND(MAX(0,J1663*K1663*L1663*M1663*N1663),2),"")</f>
        <v/>
      </c>
    </row>
    <row r="1664">
      <c r="A1664" t="n">
        <v>1663</v>
      </c>
      <c r="B1664">
        <f>A1664&lt;=MineCount*Days</f>
        <v/>
      </c>
      <c r="C1664">
        <f>IF(B1664,INT((A1664-1)/Days)+1,"")</f>
        <v/>
      </c>
      <c r="D1664">
        <f>IF(B1664,MOD(A1664-1,Days),"")</f>
        <v/>
      </c>
      <c r="E1664" s="16">
        <f>IF(B1664,StartDate+D1664,"")</f>
        <v/>
      </c>
      <c r="F1664">
        <f>IF(B1664,MAX(MOD(SIN(Seed*0.1373+C1664*12.9898+D1664*78.233)*43758.5453,1),1E-9),"")</f>
        <v/>
      </c>
      <c r="G1664">
        <f>IF(B1664,MOD(SIN(Seed*0.5917+C1664*39.3468+D1664*11.135)*24634.6345,1),"")</f>
        <v/>
      </c>
      <c r="H1664">
        <f>IF(B1664,SQRT(-2*LN(F1664))*COS(2*PI()*G1664),"")</f>
        <v/>
      </c>
      <c r="I1664">
        <f>IF(B1664,IF(D1664=0,H1664,Rho*I1663+SQRT(1-Rho^2)*H1664),"")</f>
        <v/>
      </c>
      <c r="J1664">
        <f>IF(B1664,IF(Dist="Normal",DistA+DistB*I1664,DistA+(DistB-DistA)*NORMSDIST(I1664)),"")</f>
        <v/>
      </c>
      <c r="K1664">
        <f>IF(B1664,INDEX(MineScale,C1664),"")</f>
        <v/>
      </c>
      <c r="L1664">
        <f>IF(B1664,INDEX(Dow,1,WEEKDAY(E1664,2)),"")</f>
        <v/>
      </c>
      <c r="M1664">
        <f>IF(B1664,(1+Trend)^D1664,"")</f>
        <v/>
      </c>
      <c r="N1664">
        <f>IF(B1664,EXP(SUMPRODUCT(LN(1+(EvEff-1)*INDEX(Affected,0,C1664)*EXP(-((E1664-EvCenter)^2)/(2*EvSigma^2))))),"")</f>
        <v/>
      </c>
      <c r="O1664">
        <f>IF(B1664,ROUND(MAX(0,J1664*K1664*L1664*M1664*N1664),2),"")</f>
        <v/>
      </c>
    </row>
    <row r="1665">
      <c r="A1665" t="n">
        <v>1664</v>
      </c>
      <c r="B1665">
        <f>A1665&lt;=MineCount*Days</f>
        <v/>
      </c>
      <c r="C1665">
        <f>IF(B1665,INT((A1665-1)/Days)+1,"")</f>
        <v/>
      </c>
      <c r="D1665">
        <f>IF(B1665,MOD(A1665-1,Days),"")</f>
        <v/>
      </c>
      <c r="E1665" s="16">
        <f>IF(B1665,StartDate+D1665,"")</f>
        <v/>
      </c>
      <c r="F1665">
        <f>IF(B1665,MAX(MOD(SIN(Seed*0.1373+C1665*12.9898+D1665*78.233)*43758.5453,1),1E-9),"")</f>
        <v/>
      </c>
      <c r="G1665">
        <f>IF(B1665,MOD(SIN(Seed*0.5917+C1665*39.3468+D1665*11.135)*24634.6345,1),"")</f>
        <v/>
      </c>
      <c r="H1665">
        <f>IF(B1665,SQRT(-2*LN(F1665))*COS(2*PI()*G1665),"")</f>
        <v/>
      </c>
      <c r="I1665">
        <f>IF(B1665,IF(D1665=0,H1665,Rho*I1664+SQRT(1-Rho^2)*H1665),"")</f>
        <v/>
      </c>
      <c r="J1665">
        <f>IF(B1665,IF(Dist="Normal",DistA+DistB*I1665,DistA+(DistB-DistA)*NORMSDIST(I1665)),"")</f>
        <v/>
      </c>
      <c r="K1665">
        <f>IF(B1665,INDEX(MineScale,C1665),"")</f>
        <v/>
      </c>
      <c r="L1665">
        <f>IF(B1665,INDEX(Dow,1,WEEKDAY(E1665,2)),"")</f>
        <v/>
      </c>
      <c r="M1665">
        <f>IF(B1665,(1+Trend)^D1665,"")</f>
        <v/>
      </c>
      <c r="N1665">
        <f>IF(B1665,EXP(SUMPRODUCT(LN(1+(EvEff-1)*INDEX(Affected,0,C1665)*EXP(-((E1665-EvCenter)^2)/(2*EvSigma^2))))),"")</f>
        <v/>
      </c>
      <c r="O1665">
        <f>IF(B1665,ROUND(MAX(0,J1665*K1665*L1665*M1665*N1665),2),"")</f>
        <v/>
      </c>
    </row>
    <row r="1666">
      <c r="A1666" t="n">
        <v>1665</v>
      </c>
      <c r="B1666">
        <f>A1666&lt;=MineCount*Days</f>
        <v/>
      </c>
      <c r="C1666">
        <f>IF(B1666,INT((A1666-1)/Days)+1,"")</f>
        <v/>
      </c>
      <c r="D1666">
        <f>IF(B1666,MOD(A1666-1,Days),"")</f>
        <v/>
      </c>
      <c r="E1666" s="16">
        <f>IF(B1666,StartDate+D1666,"")</f>
        <v/>
      </c>
      <c r="F1666">
        <f>IF(B1666,MAX(MOD(SIN(Seed*0.1373+C1666*12.9898+D1666*78.233)*43758.5453,1),1E-9),"")</f>
        <v/>
      </c>
      <c r="G1666">
        <f>IF(B1666,MOD(SIN(Seed*0.5917+C1666*39.3468+D1666*11.135)*24634.6345,1),"")</f>
        <v/>
      </c>
      <c r="H1666">
        <f>IF(B1666,SQRT(-2*LN(F1666))*COS(2*PI()*G1666),"")</f>
        <v/>
      </c>
      <c r="I1666">
        <f>IF(B1666,IF(D1666=0,H1666,Rho*I1665+SQRT(1-Rho^2)*H1666),"")</f>
        <v/>
      </c>
      <c r="J1666">
        <f>IF(B1666,IF(Dist="Normal",DistA+DistB*I1666,DistA+(DistB-DistA)*NORMSDIST(I1666)),"")</f>
        <v/>
      </c>
      <c r="K1666">
        <f>IF(B1666,INDEX(MineScale,C1666),"")</f>
        <v/>
      </c>
      <c r="L1666">
        <f>IF(B1666,INDEX(Dow,1,WEEKDAY(E1666,2)),"")</f>
        <v/>
      </c>
      <c r="M1666">
        <f>IF(B1666,(1+Trend)^D1666,"")</f>
        <v/>
      </c>
      <c r="N1666">
        <f>IF(B1666,EXP(SUMPRODUCT(LN(1+(EvEff-1)*INDEX(Affected,0,C1666)*EXP(-((E1666-EvCenter)^2)/(2*EvSigma^2))))),"")</f>
        <v/>
      </c>
      <c r="O1666">
        <f>IF(B1666,ROUND(MAX(0,J1666*K1666*L1666*M1666*N1666),2),"")</f>
        <v/>
      </c>
    </row>
    <row r="1667">
      <c r="A1667" t="n">
        <v>1666</v>
      </c>
      <c r="B1667">
        <f>A1667&lt;=MineCount*Days</f>
        <v/>
      </c>
      <c r="C1667">
        <f>IF(B1667,INT((A1667-1)/Days)+1,"")</f>
        <v/>
      </c>
      <c r="D1667">
        <f>IF(B1667,MOD(A1667-1,Days),"")</f>
        <v/>
      </c>
      <c r="E1667" s="16">
        <f>IF(B1667,StartDate+D1667,"")</f>
        <v/>
      </c>
      <c r="F1667">
        <f>IF(B1667,MAX(MOD(SIN(Seed*0.1373+C1667*12.9898+D1667*78.233)*43758.5453,1),1E-9),"")</f>
        <v/>
      </c>
      <c r="G1667">
        <f>IF(B1667,MOD(SIN(Seed*0.5917+C1667*39.3468+D1667*11.135)*24634.6345,1),"")</f>
        <v/>
      </c>
      <c r="H1667">
        <f>IF(B1667,SQRT(-2*LN(F1667))*COS(2*PI()*G1667),"")</f>
        <v/>
      </c>
      <c r="I1667">
        <f>IF(B1667,IF(D1667=0,H1667,Rho*I1666+SQRT(1-Rho^2)*H1667),"")</f>
        <v/>
      </c>
      <c r="J1667">
        <f>IF(B1667,IF(Dist="Normal",DistA+DistB*I1667,DistA+(DistB-DistA)*NORMSDIST(I1667)),"")</f>
        <v/>
      </c>
      <c r="K1667">
        <f>IF(B1667,INDEX(MineScale,C1667),"")</f>
        <v/>
      </c>
      <c r="L1667">
        <f>IF(B1667,INDEX(Dow,1,WEEKDAY(E1667,2)),"")</f>
        <v/>
      </c>
      <c r="M1667">
        <f>IF(B1667,(1+Trend)^D1667,"")</f>
        <v/>
      </c>
      <c r="N1667">
        <f>IF(B1667,EXP(SUMPRODUCT(LN(1+(EvEff-1)*INDEX(Affected,0,C1667)*EXP(-((E1667-EvCenter)^2)/(2*EvSigma^2))))),"")</f>
        <v/>
      </c>
      <c r="O1667">
        <f>IF(B1667,ROUND(MAX(0,J1667*K1667*L1667*M1667*N1667),2),"")</f>
        <v/>
      </c>
    </row>
    <row r="1668">
      <c r="A1668" t="n">
        <v>1667</v>
      </c>
      <c r="B1668">
        <f>A1668&lt;=MineCount*Days</f>
        <v/>
      </c>
      <c r="C1668">
        <f>IF(B1668,INT((A1668-1)/Days)+1,"")</f>
        <v/>
      </c>
      <c r="D1668">
        <f>IF(B1668,MOD(A1668-1,Days),"")</f>
        <v/>
      </c>
      <c r="E1668" s="16">
        <f>IF(B1668,StartDate+D1668,"")</f>
        <v/>
      </c>
      <c r="F1668">
        <f>IF(B1668,MAX(MOD(SIN(Seed*0.1373+C1668*12.9898+D1668*78.233)*43758.5453,1),1E-9),"")</f>
        <v/>
      </c>
      <c r="G1668">
        <f>IF(B1668,MOD(SIN(Seed*0.5917+C1668*39.3468+D1668*11.135)*24634.6345,1),"")</f>
        <v/>
      </c>
      <c r="H1668">
        <f>IF(B1668,SQRT(-2*LN(F1668))*COS(2*PI()*G1668),"")</f>
        <v/>
      </c>
      <c r="I1668">
        <f>IF(B1668,IF(D1668=0,H1668,Rho*I1667+SQRT(1-Rho^2)*H1668),"")</f>
        <v/>
      </c>
      <c r="J1668">
        <f>IF(B1668,IF(Dist="Normal",DistA+DistB*I1668,DistA+(DistB-DistA)*NORMSDIST(I1668)),"")</f>
        <v/>
      </c>
      <c r="K1668">
        <f>IF(B1668,INDEX(MineScale,C1668),"")</f>
        <v/>
      </c>
      <c r="L1668">
        <f>IF(B1668,INDEX(Dow,1,WEEKDAY(E1668,2)),"")</f>
        <v/>
      </c>
      <c r="M1668">
        <f>IF(B1668,(1+Trend)^D1668,"")</f>
        <v/>
      </c>
      <c r="N1668">
        <f>IF(B1668,EXP(SUMPRODUCT(LN(1+(EvEff-1)*INDEX(Affected,0,C1668)*EXP(-((E1668-EvCenter)^2)/(2*EvSigma^2))))),"")</f>
        <v/>
      </c>
      <c r="O1668">
        <f>IF(B1668,ROUND(MAX(0,J1668*K1668*L1668*M1668*N1668),2),"")</f>
        <v/>
      </c>
    </row>
    <row r="1669">
      <c r="A1669" t="n">
        <v>1668</v>
      </c>
      <c r="B1669">
        <f>A1669&lt;=MineCount*Days</f>
        <v/>
      </c>
      <c r="C1669">
        <f>IF(B1669,INT((A1669-1)/Days)+1,"")</f>
        <v/>
      </c>
      <c r="D1669">
        <f>IF(B1669,MOD(A1669-1,Days),"")</f>
        <v/>
      </c>
      <c r="E1669" s="16">
        <f>IF(B1669,StartDate+D1669,"")</f>
        <v/>
      </c>
      <c r="F1669">
        <f>IF(B1669,MAX(MOD(SIN(Seed*0.1373+C1669*12.9898+D1669*78.233)*43758.5453,1),1E-9),"")</f>
        <v/>
      </c>
      <c r="G1669">
        <f>IF(B1669,MOD(SIN(Seed*0.5917+C1669*39.3468+D1669*11.135)*24634.6345,1),"")</f>
        <v/>
      </c>
      <c r="H1669">
        <f>IF(B1669,SQRT(-2*LN(F1669))*COS(2*PI()*G1669),"")</f>
        <v/>
      </c>
      <c r="I1669">
        <f>IF(B1669,IF(D1669=0,H1669,Rho*I1668+SQRT(1-Rho^2)*H1669),"")</f>
        <v/>
      </c>
      <c r="J1669">
        <f>IF(B1669,IF(Dist="Normal",DistA+DistB*I1669,DistA+(DistB-DistA)*NORMSDIST(I1669)),"")</f>
        <v/>
      </c>
      <c r="K1669">
        <f>IF(B1669,INDEX(MineScale,C1669),"")</f>
        <v/>
      </c>
      <c r="L1669">
        <f>IF(B1669,INDEX(Dow,1,WEEKDAY(E1669,2)),"")</f>
        <v/>
      </c>
      <c r="M1669">
        <f>IF(B1669,(1+Trend)^D1669,"")</f>
        <v/>
      </c>
      <c r="N1669">
        <f>IF(B1669,EXP(SUMPRODUCT(LN(1+(EvEff-1)*INDEX(Affected,0,C1669)*EXP(-((E1669-EvCenter)^2)/(2*EvSigma^2))))),"")</f>
        <v/>
      </c>
      <c r="O1669">
        <f>IF(B1669,ROUND(MAX(0,J1669*K1669*L1669*M1669*N1669),2),"")</f>
        <v/>
      </c>
    </row>
    <row r="1670">
      <c r="A1670" t="n">
        <v>1669</v>
      </c>
      <c r="B1670">
        <f>A1670&lt;=MineCount*Days</f>
        <v/>
      </c>
      <c r="C1670">
        <f>IF(B1670,INT((A1670-1)/Days)+1,"")</f>
        <v/>
      </c>
      <c r="D1670">
        <f>IF(B1670,MOD(A1670-1,Days),"")</f>
        <v/>
      </c>
      <c r="E1670" s="16">
        <f>IF(B1670,StartDate+D1670,"")</f>
        <v/>
      </c>
      <c r="F1670">
        <f>IF(B1670,MAX(MOD(SIN(Seed*0.1373+C1670*12.9898+D1670*78.233)*43758.5453,1),1E-9),"")</f>
        <v/>
      </c>
      <c r="G1670">
        <f>IF(B1670,MOD(SIN(Seed*0.5917+C1670*39.3468+D1670*11.135)*24634.6345,1),"")</f>
        <v/>
      </c>
      <c r="H1670">
        <f>IF(B1670,SQRT(-2*LN(F1670))*COS(2*PI()*G1670),"")</f>
        <v/>
      </c>
      <c r="I1670">
        <f>IF(B1670,IF(D1670=0,H1670,Rho*I1669+SQRT(1-Rho^2)*H1670),"")</f>
        <v/>
      </c>
      <c r="J1670">
        <f>IF(B1670,IF(Dist="Normal",DistA+DistB*I1670,DistA+(DistB-DistA)*NORMSDIST(I1670)),"")</f>
        <v/>
      </c>
      <c r="K1670">
        <f>IF(B1670,INDEX(MineScale,C1670),"")</f>
        <v/>
      </c>
      <c r="L1670">
        <f>IF(B1670,INDEX(Dow,1,WEEKDAY(E1670,2)),"")</f>
        <v/>
      </c>
      <c r="M1670">
        <f>IF(B1670,(1+Trend)^D1670,"")</f>
        <v/>
      </c>
      <c r="N1670">
        <f>IF(B1670,EXP(SUMPRODUCT(LN(1+(EvEff-1)*INDEX(Affected,0,C1670)*EXP(-((E1670-EvCenter)^2)/(2*EvSigma^2))))),"")</f>
        <v/>
      </c>
      <c r="O1670">
        <f>IF(B1670,ROUND(MAX(0,J1670*K1670*L1670*M1670*N1670),2),"")</f>
        <v/>
      </c>
    </row>
    <row r="1671">
      <c r="A1671" t="n">
        <v>1670</v>
      </c>
      <c r="B1671">
        <f>A1671&lt;=MineCount*Days</f>
        <v/>
      </c>
      <c r="C1671">
        <f>IF(B1671,INT((A1671-1)/Days)+1,"")</f>
        <v/>
      </c>
      <c r="D1671">
        <f>IF(B1671,MOD(A1671-1,Days),"")</f>
        <v/>
      </c>
      <c r="E1671" s="16">
        <f>IF(B1671,StartDate+D1671,"")</f>
        <v/>
      </c>
      <c r="F1671">
        <f>IF(B1671,MAX(MOD(SIN(Seed*0.1373+C1671*12.9898+D1671*78.233)*43758.5453,1),1E-9),"")</f>
        <v/>
      </c>
      <c r="G1671">
        <f>IF(B1671,MOD(SIN(Seed*0.5917+C1671*39.3468+D1671*11.135)*24634.6345,1),"")</f>
        <v/>
      </c>
      <c r="H1671">
        <f>IF(B1671,SQRT(-2*LN(F1671))*COS(2*PI()*G1671),"")</f>
        <v/>
      </c>
      <c r="I1671">
        <f>IF(B1671,IF(D1671=0,H1671,Rho*I1670+SQRT(1-Rho^2)*H1671),"")</f>
        <v/>
      </c>
      <c r="J1671">
        <f>IF(B1671,IF(Dist="Normal",DistA+DistB*I1671,DistA+(DistB-DistA)*NORMSDIST(I1671)),"")</f>
        <v/>
      </c>
      <c r="K1671">
        <f>IF(B1671,INDEX(MineScale,C1671),"")</f>
        <v/>
      </c>
      <c r="L1671">
        <f>IF(B1671,INDEX(Dow,1,WEEKDAY(E1671,2)),"")</f>
        <v/>
      </c>
      <c r="M1671">
        <f>IF(B1671,(1+Trend)^D1671,"")</f>
        <v/>
      </c>
      <c r="N1671">
        <f>IF(B1671,EXP(SUMPRODUCT(LN(1+(EvEff-1)*INDEX(Affected,0,C1671)*EXP(-((E1671-EvCenter)^2)/(2*EvSigma^2))))),"")</f>
        <v/>
      </c>
      <c r="O1671">
        <f>IF(B1671,ROUND(MAX(0,J1671*K1671*L1671*M1671*N1671),2),"")</f>
        <v/>
      </c>
    </row>
    <row r="1672">
      <c r="A1672" t="n">
        <v>1671</v>
      </c>
      <c r="B1672">
        <f>A1672&lt;=MineCount*Days</f>
        <v/>
      </c>
      <c r="C1672">
        <f>IF(B1672,INT((A1672-1)/Days)+1,"")</f>
        <v/>
      </c>
      <c r="D1672">
        <f>IF(B1672,MOD(A1672-1,Days),"")</f>
        <v/>
      </c>
      <c r="E1672" s="16">
        <f>IF(B1672,StartDate+D1672,"")</f>
        <v/>
      </c>
      <c r="F1672">
        <f>IF(B1672,MAX(MOD(SIN(Seed*0.1373+C1672*12.9898+D1672*78.233)*43758.5453,1),1E-9),"")</f>
        <v/>
      </c>
      <c r="G1672">
        <f>IF(B1672,MOD(SIN(Seed*0.5917+C1672*39.3468+D1672*11.135)*24634.6345,1),"")</f>
        <v/>
      </c>
      <c r="H1672">
        <f>IF(B1672,SQRT(-2*LN(F1672))*COS(2*PI()*G1672),"")</f>
        <v/>
      </c>
      <c r="I1672">
        <f>IF(B1672,IF(D1672=0,H1672,Rho*I1671+SQRT(1-Rho^2)*H1672),"")</f>
        <v/>
      </c>
      <c r="J1672">
        <f>IF(B1672,IF(Dist="Normal",DistA+DistB*I1672,DistA+(DistB-DistA)*NORMSDIST(I1672)),"")</f>
        <v/>
      </c>
      <c r="K1672">
        <f>IF(B1672,INDEX(MineScale,C1672),"")</f>
        <v/>
      </c>
      <c r="L1672">
        <f>IF(B1672,INDEX(Dow,1,WEEKDAY(E1672,2)),"")</f>
        <v/>
      </c>
      <c r="M1672">
        <f>IF(B1672,(1+Trend)^D1672,"")</f>
        <v/>
      </c>
      <c r="N1672">
        <f>IF(B1672,EXP(SUMPRODUCT(LN(1+(EvEff-1)*INDEX(Affected,0,C1672)*EXP(-((E1672-EvCenter)^2)/(2*EvSigma^2))))),"")</f>
        <v/>
      </c>
      <c r="O1672">
        <f>IF(B1672,ROUND(MAX(0,J1672*K1672*L1672*M1672*N1672),2),"")</f>
        <v/>
      </c>
    </row>
    <row r="1673">
      <c r="A1673" t="n">
        <v>1672</v>
      </c>
      <c r="B1673">
        <f>A1673&lt;=MineCount*Days</f>
        <v/>
      </c>
      <c r="C1673">
        <f>IF(B1673,INT((A1673-1)/Days)+1,"")</f>
        <v/>
      </c>
      <c r="D1673">
        <f>IF(B1673,MOD(A1673-1,Days),"")</f>
        <v/>
      </c>
      <c r="E1673" s="16">
        <f>IF(B1673,StartDate+D1673,"")</f>
        <v/>
      </c>
      <c r="F1673">
        <f>IF(B1673,MAX(MOD(SIN(Seed*0.1373+C1673*12.9898+D1673*78.233)*43758.5453,1),1E-9),"")</f>
        <v/>
      </c>
      <c r="G1673">
        <f>IF(B1673,MOD(SIN(Seed*0.5917+C1673*39.3468+D1673*11.135)*24634.6345,1),"")</f>
        <v/>
      </c>
      <c r="H1673">
        <f>IF(B1673,SQRT(-2*LN(F1673))*COS(2*PI()*G1673),"")</f>
        <v/>
      </c>
      <c r="I1673">
        <f>IF(B1673,IF(D1673=0,H1673,Rho*I1672+SQRT(1-Rho^2)*H1673),"")</f>
        <v/>
      </c>
      <c r="J1673">
        <f>IF(B1673,IF(Dist="Normal",DistA+DistB*I1673,DistA+(DistB-DistA)*NORMSDIST(I1673)),"")</f>
        <v/>
      </c>
      <c r="K1673">
        <f>IF(B1673,INDEX(MineScale,C1673),"")</f>
        <v/>
      </c>
      <c r="L1673">
        <f>IF(B1673,INDEX(Dow,1,WEEKDAY(E1673,2)),"")</f>
        <v/>
      </c>
      <c r="M1673">
        <f>IF(B1673,(1+Trend)^D1673,"")</f>
        <v/>
      </c>
      <c r="N1673">
        <f>IF(B1673,EXP(SUMPRODUCT(LN(1+(EvEff-1)*INDEX(Affected,0,C1673)*EXP(-((E1673-EvCenter)^2)/(2*EvSigma^2))))),"")</f>
        <v/>
      </c>
      <c r="O1673">
        <f>IF(B1673,ROUND(MAX(0,J1673*K1673*L1673*M1673*N1673),2),"")</f>
        <v/>
      </c>
    </row>
    <row r="1674">
      <c r="A1674" t="n">
        <v>1673</v>
      </c>
      <c r="B1674">
        <f>A1674&lt;=MineCount*Days</f>
        <v/>
      </c>
      <c r="C1674">
        <f>IF(B1674,INT((A1674-1)/Days)+1,"")</f>
        <v/>
      </c>
      <c r="D1674">
        <f>IF(B1674,MOD(A1674-1,Days),"")</f>
        <v/>
      </c>
      <c r="E1674" s="16">
        <f>IF(B1674,StartDate+D1674,"")</f>
        <v/>
      </c>
      <c r="F1674">
        <f>IF(B1674,MAX(MOD(SIN(Seed*0.1373+C1674*12.9898+D1674*78.233)*43758.5453,1),1E-9),"")</f>
        <v/>
      </c>
      <c r="G1674">
        <f>IF(B1674,MOD(SIN(Seed*0.5917+C1674*39.3468+D1674*11.135)*24634.6345,1),"")</f>
        <v/>
      </c>
      <c r="H1674">
        <f>IF(B1674,SQRT(-2*LN(F1674))*COS(2*PI()*G1674),"")</f>
        <v/>
      </c>
      <c r="I1674">
        <f>IF(B1674,IF(D1674=0,H1674,Rho*I1673+SQRT(1-Rho^2)*H1674),"")</f>
        <v/>
      </c>
      <c r="J1674">
        <f>IF(B1674,IF(Dist="Normal",DistA+DistB*I1674,DistA+(DistB-DistA)*NORMSDIST(I1674)),"")</f>
        <v/>
      </c>
      <c r="K1674">
        <f>IF(B1674,INDEX(MineScale,C1674),"")</f>
        <v/>
      </c>
      <c r="L1674">
        <f>IF(B1674,INDEX(Dow,1,WEEKDAY(E1674,2)),"")</f>
        <v/>
      </c>
      <c r="M1674">
        <f>IF(B1674,(1+Trend)^D1674,"")</f>
        <v/>
      </c>
      <c r="N1674">
        <f>IF(B1674,EXP(SUMPRODUCT(LN(1+(EvEff-1)*INDEX(Affected,0,C1674)*EXP(-((E1674-EvCenter)^2)/(2*EvSigma^2))))),"")</f>
        <v/>
      </c>
      <c r="O1674">
        <f>IF(B1674,ROUND(MAX(0,J1674*K1674*L1674*M1674*N1674),2),"")</f>
        <v/>
      </c>
    </row>
    <row r="1675">
      <c r="A1675" t="n">
        <v>1674</v>
      </c>
      <c r="B1675">
        <f>A1675&lt;=MineCount*Days</f>
        <v/>
      </c>
      <c r="C1675">
        <f>IF(B1675,INT((A1675-1)/Days)+1,"")</f>
        <v/>
      </c>
      <c r="D1675">
        <f>IF(B1675,MOD(A1675-1,Days),"")</f>
        <v/>
      </c>
      <c r="E1675" s="16">
        <f>IF(B1675,StartDate+D1675,"")</f>
        <v/>
      </c>
      <c r="F1675">
        <f>IF(B1675,MAX(MOD(SIN(Seed*0.1373+C1675*12.9898+D1675*78.233)*43758.5453,1),1E-9),"")</f>
        <v/>
      </c>
      <c r="G1675">
        <f>IF(B1675,MOD(SIN(Seed*0.5917+C1675*39.3468+D1675*11.135)*24634.6345,1),"")</f>
        <v/>
      </c>
      <c r="H1675">
        <f>IF(B1675,SQRT(-2*LN(F1675))*COS(2*PI()*G1675),"")</f>
        <v/>
      </c>
      <c r="I1675">
        <f>IF(B1675,IF(D1675=0,H1675,Rho*I1674+SQRT(1-Rho^2)*H1675),"")</f>
        <v/>
      </c>
      <c r="J1675">
        <f>IF(B1675,IF(Dist="Normal",DistA+DistB*I1675,DistA+(DistB-DistA)*NORMSDIST(I1675)),"")</f>
        <v/>
      </c>
      <c r="K1675">
        <f>IF(B1675,INDEX(MineScale,C1675),"")</f>
        <v/>
      </c>
      <c r="L1675">
        <f>IF(B1675,INDEX(Dow,1,WEEKDAY(E1675,2)),"")</f>
        <v/>
      </c>
      <c r="M1675">
        <f>IF(B1675,(1+Trend)^D1675,"")</f>
        <v/>
      </c>
      <c r="N1675">
        <f>IF(B1675,EXP(SUMPRODUCT(LN(1+(EvEff-1)*INDEX(Affected,0,C1675)*EXP(-((E1675-EvCenter)^2)/(2*EvSigma^2))))),"")</f>
        <v/>
      </c>
      <c r="O1675">
        <f>IF(B1675,ROUND(MAX(0,J1675*K1675*L1675*M1675*N1675),2),"")</f>
        <v/>
      </c>
    </row>
    <row r="1676">
      <c r="A1676" t="n">
        <v>1675</v>
      </c>
      <c r="B1676">
        <f>A1676&lt;=MineCount*Days</f>
        <v/>
      </c>
      <c r="C1676">
        <f>IF(B1676,INT((A1676-1)/Days)+1,"")</f>
        <v/>
      </c>
      <c r="D1676">
        <f>IF(B1676,MOD(A1676-1,Days),"")</f>
        <v/>
      </c>
      <c r="E1676" s="16">
        <f>IF(B1676,StartDate+D1676,"")</f>
        <v/>
      </c>
      <c r="F1676">
        <f>IF(B1676,MAX(MOD(SIN(Seed*0.1373+C1676*12.9898+D1676*78.233)*43758.5453,1),1E-9),"")</f>
        <v/>
      </c>
      <c r="G1676">
        <f>IF(B1676,MOD(SIN(Seed*0.5917+C1676*39.3468+D1676*11.135)*24634.6345,1),"")</f>
        <v/>
      </c>
      <c r="H1676">
        <f>IF(B1676,SQRT(-2*LN(F1676))*COS(2*PI()*G1676),"")</f>
        <v/>
      </c>
      <c r="I1676">
        <f>IF(B1676,IF(D1676=0,H1676,Rho*I1675+SQRT(1-Rho^2)*H1676),"")</f>
        <v/>
      </c>
      <c r="J1676">
        <f>IF(B1676,IF(Dist="Normal",DistA+DistB*I1676,DistA+(DistB-DistA)*NORMSDIST(I1676)),"")</f>
        <v/>
      </c>
      <c r="K1676">
        <f>IF(B1676,INDEX(MineScale,C1676),"")</f>
        <v/>
      </c>
      <c r="L1676">
        <f>IF(B1676,INDEX(Dow,1,WEEKDAY(E1676,2)),"")</f>
        <v/>
      </c>
      <c r="M1676">
        <f>IF(B1676,(1+Trend)^D1676,"")</f>
        <v/>
      </c>
      <c r="N1676">
        <f>IF(B1676,EXP(SUMPRODUCT(LN(1+(EvEff-1)*INDEX(Affected,0,C1676)*EXP(-((E1676-EvCenter)^2)/(2*EvSigma^2))))),"")</f>
        <v/>
      </c>
      <c r="O1676">
        <f>IF(B1676,ROUND(MAX(0,J1676*K1676*L1676*M1676*N1676),2),"")</f>
        <v/>
      </c>
    </row>
    <row r="1677">
      <c r="A1677" t="n">
        <v>1676</v>
      </c>
      <c r="B1677">
        <f>A1677&lt;=MineCount*Days</f>
        <v/>
      </c>
      <c r="C1677">
        <f>IF(B1677,INT((A1677-1)/Days)+1,"")</f>
        <v/>
      </c>
      <c r="D1677">
        <f>IF(B1677,MOD(A1677-1,Days),"")</f>
        <v/>
      </c>
      <c r="E1677" s="16">
        <f>IF(B1677,StartDate+D1677,"")</f>
        <v/>
      </c>
      <c r="F1677">
        <f>IF(B1677,MAX(MOD(SIN(Seed*0.1373+C1677*12.9898+D1677*78.233)*43758.5453,1),1E-9),"")</f>
        <v/>
      </c>
      <c r="G1677">
        <f>IF(B1677,MOD(SIN(Seed*0.5917+C1677*39.3468+D1677*11.135)*24634.6345,1),"")</f>
        <v/>
      </c>
      <c r="H1677">
        <f>IF(B1677,SQRT(-2*LN(F1677))*COS(2*PI()*G1677),"")</f>
        <v/>
      </c>
      <c r="I1677">
        <f>IF(B1677,IF(D1677=0,H1677,Rho*I1676+SQRT(1-Rho^2)*H1677),"")</f>
        <v/>
      </c>
      <c r="J1677">
        <f>IF(B1677,IF(Dist="Normal",DistA+DistB*I1677,DistA+(DistB-DistA)*NORMSDIST(I1677)),"")</f>
        <v/>
      </c>
      <c r="K1677">
        <f>IF(B1677,INDEX(MineScale,C1677),"")</f>
        <v/>
      </c>
      <c r="L1677">
        <f>IF(B1677,INDEX(Dow,1,WEEKDAY(E1677,2)),"")</f>
        <v/>
      </c>
      <c r="M1677">
        <f>IF(B1677,(1+Trend)^D1677,"")</f>
        <v/>
      </c>
      <c r="N1677">
        <f>IF(B1677,EXP(SUMPRODUCT(LN(1+(EvEff-1)*INDEX(Affected,0,C1677)*EXP(-((E1677-EvCenter)^2)/(2*EvSigma^2))))),"")</f>
        <v/>
      </c>
      <c r="O1677">
        <f>IF(B1677,ROUND(MAX(0,J1677*K1677*L1677*M1677*N1677),2),"")</f>
        <v/>
      </c>
    </row>
    <row r="1678">
      <c r="A1678" t="n">
        <v>1677</v>
      </c>
      <c r="B1678">
        <f>A1678&lt;=MineCount*Days</f>
        <v/>
      </c>
      <c r="C1678">
        <f>IF(B1678,INT((A1678-1)/Days)+1,"")</f>
        <v/>
      </c>
      <c r="D1678">
        <f>IF(B1678,MOD(A1678-1,Days),"")</f>
        <v/>
      </c>
      <c r="E1678" s="16">
        <f>IF(B1678,StartDate+D1678,"")</f>
        <v/>
      </c>
      <c r="F1678">
        <f>IF(B1678,MAX(MOD(SIN(Seed*0.1373+C1678*12.9898+D1678*78.233)*43758.5453,1),1E-9),"")</f>
        <v/>
      </c>
      <c r="G1678">
        <f>IF(B1678,MOD(SIN(Seed*0.5917+C1678*39.3468+D1678*11.135)*24634.6345,1),"")</f>
        <v/>
      </c>
      <c r="H1678">
        <f>IF(B1678,SQRT(-2*LN(F1678))*COS(2*PI()*G1678),"")</f>
        <v/>
      </c>
      <c r="I1678">
        <f>IF(B1678,IF(D1678=0,H1678,Rho*I1677+SQRT(1-Rho^2)*H1678),"")</f>
        <v/>
      </c>
      <c r="J1678">
        <f>IF(B1678,IF(Dist="Normal",DistA+DistB*I1678,DistA+(DistB-DistA)*NORMSDIST(I1678)),"")</f>
        <v/>
      </c>
      <c r="K1678">
        <f>IF(B1678,INDEX(MineScale,C1678),"")</f>
        <v/>
      </c>
      <c r="L1678">
        <f>IF(B1678,INDEX(Dow,1,WEEKDAY(E1678,2)),"")</f>
        <v/>
      </c>
      <c r="M1678">
        <f>IF(B1678,(1+Trend)^D1678,"")</f>
        <v/>
      </c>
      <c r="N1678">
        <f>IF(B1678,EXP(SUMPRODUCT(LN(1+(EvEff-1)*INDEX(Affected,0,C1678)*EXP(-((E1678-EvCenter)^2)/(2*EvSigma^2))))),"")</f>
        <v/>
      </c>
      <c r="O1678">
        <f>IF(B1678,ROUND(MAX(0,J1678*K1678*L1678*M1678*N1678),2),"")</f>
        <v/>
      </c>
    </row>
    <row r="1679">
      <c r="A1679" t="n">
        <v>1678</v>
      </c>
      <c r="B1679">
        <f>A1679&lt;=MineCount*Days</f>
        <v/>
      </c>
      <c r="C1679">
        <f>IF(B1679,INT((A1679-1)/Days)+1,"")</f>
        <v/>
      </c>
      <c r="D1679">
        <f>IF(B1679,MOD(A1679-1,Days),"")</f>
        <v/>
      </c>
      <c r="E1679" s="16">
        <f>IF(B1679,StartDate+D1679,"")</f>
        <v/>
      </c>
      <c r="F1679">
        <f>IF(B1679,MAX(MOD(SIN(Seed*0.1373+C1679*12.9898+D1679*78.233)*43758.5453,1),1E-9),"")</f>
        <v/>
      </c>
      <c r="G1679">
        <f>IF(B1679,MOD(SIN(Seed*0.5917+C1679*39.3468+D1679*11.135)*24634.6345,1),"")</f>
        <v/>
      </c>
      <c r="H1679">
        <f>IF(B1679,SQRT(-2*LN(F1679))*COS(2*PI()*G1679),"")</f>
        <v/>
      </c>
      <c r="I1679">
        <f>IF(B1679,IF(D1679=0,H1679,Rho*I1678+SQRT(1-Rho^2)*H1679),"")</f>
        <v/>
      </c>
      <c r="J1679">
        <f>IF(B1679,IF(Dist="Normal",DistA+DistB*I1679,DistA+(DistB-DistA)*NORMSDIST(I1679)),"")</f>
        <v/>
      </c>
      <c r="K1679">
        <f>IF(B1679,INDEX(MineScale,C1679),"")</f>
        <v/>
      </c>
      <c r="L1679">
        <f>IF(B1679,INDEX(Dow,1,WEEKDAY(E1679,2)),"")</f>
        <v/>
      </c>
      <c r="M1679">
        <f>IF(B1679,(1+Trend)^D1679,"")</f>
        <v/>
      </c>
      <c r="N1679">
        <f>IF(B1679,EXP(SUMPRODUCT(LN(1+(EvEff-1)*INDEX(Affected,0,C1679)*EXP(-((E1679-EvCenter)^2)/(2*EvSigma^2))))),"")</f>
        <v/>
      </c>
      <c r="O1679">
        <f>IF(B1679,ROUND(MAX(0,J1679*K1679*L1679*M1679*N1679),2),"")</f>
        <v/>
      </c>
    </row>
    <row r="1680">
      <c r="A1680" t="n">
        <v>1679</v>
      </c>
      <c r="B1680">
        <f>A1680&lt;=MineCount*Days</f>
        <v/>
      </c>
      <c r="C1680">
        <f>IF(B1680,INT((A1680-1)/Days)+1,"")</f>
        <v/>
      </c>
      <c r="D1680">
        <f>IF(B1680,MOD(A1680-1,Days),"")</f>
        <v/>
      </c>
      <c r="E1680" s="16">
        <f>IF(B1680,StartDate+D1680,"")</f>
        <v/>
      </c>
      <c r="F1680">
        <f>IF(B1680,MAX(MOD(SIN(Seed*0.1373+C1680*12.9898+D1680*78.233)*43758.5453,1),1E-9),"")</f>
        <v/>
      </c>
      <c r="G1680">
        <f>IF(B1680,MOD(SIN(Seed*0.5917+C1680*39.3468+D1680*11.135)*24634.6345,1),"")</f>
        <v/>
      </c>
      <c r="H1680">
        <f>IF(B1680,SQRT(-2*LN(F1680))*COS(2*PI()*G1680),"")</f>
        <v/>
      </c>
      <c r="I1680">
        <f>IF(B1680,IF(D1680=0,H1680,Rho*I1679+SQRT(1-Rho^2)*H1680),"")</f>
        <v/>
      </c>
      <c r="J1680">
        <f>IF(B1680,IF(Dist="Normal",DistA+DistB*I1680,DistA+(DistB-DistA)*NORMSDIST(I1680)),"")</f>
        <v/>
      </c>
      <c r="K1680">
        <f>IF(B1680,INDEX(MineScale,C1680),"")</f>
        <v/>
      </c>
      <c r="L1680">
        <f>IF(B1680,INDEX(Dow,1,WEEKDAY(E1680,2)),"")</f>
        <v/>
      </c>
      <c r="M1680">
        <f>IF(B1680,(1+Trend)^D1680,"")</f>
        <v/>
      </c>
      <c r="N1680">
        <f>IF(B1680,EXP(SUMPRODUCT(LN(1+(EvEff-1)*INDEX(Affected,0,C1680)*EXP(-((E1680-EvCenter)^2)/(2*EvSigma^2))))),"")</f>
        <v/>
      </c>
      <c r="O1680">
        <f>IF(B1680,ROUND(MAX(0,J1680*K1680*L1680*M1680*N1680),2),"")</f>
        <v/>
      </c>
    </row>
    <row r="1681">
      <c r="A1681" t="n">
        <v>1680</v>
      </c>
      <c r="B1681">
        <f>A1681&lt;=MineCount*Days</f>
        <v/>
      </c>
      <c r="C1681">
        <f>IF(B1681,INT((A1681-1)/Days)+1,"")</f>
        <v/>
      </c>
      <c r="D1681">
        <f>IF(B1681,MOD(A1681-1,Days),"")</f>
        <v/>
      </c>
      <c r="E1681" s="16">
        <f>IF(B1681,StartDate+D1681,"")</f>
        <v/>
      </c>
      <c r="F1681">
        <f>IF(B1681,MAX(MOD(SIN(Seed*0.1373+C1681*12.9898+D1681*78.233)*43758.5453,1),1E-9),"")</f>
        <v/>
      </c>
      <c r="G1681">
        <f>IF(B1681,MOD(SIN(Seed*0.5917+C1681*39.3468+D1681*11.135)*24634.6345,1),"")</f>
        <v/>
      </c>
      <c r="H1681">
        <f>IF(B1681,SQRT(-2*LN(F1681))*COS(2*PI()*G1681),"")</f>
        <v/>
      </c>
      <c r="I1681">
        <f>IF(B1681,IF(D1681=0,H1681,Rho*I1680+SQRT(1-Rho^2)*H1681),"")</f>
        <v/>
      </c>
      <c r="J1681">
        <f>IF(B1681,IF(Dist="Normal",DistA+DistB*I1681,DistA+(DistB-DistA)*NORMSDIST(I1681)),"")</f>
        <v/>
      </c>
      <c r="K1681">
        <f>IF(B1681,INDEX(MineScale,C1681),"")</f>
        <v/>
      </c>
      <c r="L1681">
        <f>IF(B1681,INDEX(Dow,1,WEEKDAY(E1681,2)),"")</f>
        <v/>
      </c>
      <c r="M1681">
        <f>IF(B1681,(1+Trend)^D1681,"")</f>
        <v/>
      </c>
      <c r="N1681">
        <f>IF(B1681,EXP(SUMPRODUCT(LN(1+(EvEff-1)*INDEX(Affected,0,C1681)*EXP(-((E1681-EvCenter)^2)/(2*EvSigma^2))))),"")</f>
        <v/>
      </c>
      <c r="O1681">
        <f>IF(B1681,ROUND(MAX(0,J1681*K1681*L1681*M1681*N1681),2),"")</f>
        <v/>
      </c>
    </row>
    <row r="1682">
      <c r="A1682" t="n">
        <v>1681</v>
      </c>
      <c r="B1682">
        <f>A1682&lt;=MineCount*Days</f>
        <v/>
      </c>
      <c r="C1682">
        <f>IF(B1682,INT((A1682-1)/Days)+1,"")</f>
        <v/>
      </c>
      <c r="D1682">
        <f>IF(B1682,MOD(A1682-1,Days),"")</f>
        <v/>
      </c>
      <c r="E1682" s="16">
        <f>IF(B1682,StartDate+D1682,"")</f>
        <v/>
      </c>
      <c r="F1682">
        <f>IF(B1682,MAX(MOD(SIN(Seed*0.1373+C1682*12.9898+D1682*78.233)*43758.5453,1),1E-9),"")</f>
        <v/>
      </c>
      <c r="G1682">
        <f>IF(B1682,MOD(SIN(Seed*0.5917+C1682*39.3468+D1682*11.135)*24634.6345,1),"")</f>
        <v/>
      </c>
      <c r="H1682">
        <f>IF(B1682,SQRT(-2*LN(F1682))*COS(2*PI()*G1682),"")</f>
        <v/>
      </c>
      <c r="I1682">
        <f>IF(B1682,IF(D1682=0,H1682,Rho*I1681+SQRT(1-Rho^2)*H1682),"")</f>
        <v/>
      </c>
      <c r="J1682">
        <f>IF(B1682,IF(Dist="Normal",DistA+DistB*I1682,DistA+(DistB-DistA)*NORMSDIST(I1682)),"")</f>
        <v/>
      </c>
      <c r="K1682">
        <f>IF(B1682,INDEX(MineScale,C1682),"")</f>
        <v/>
      </c>
      <c r="L1682">
        <f>IF(B1682,INDEX(Dow,1,WEEKDAY(E1682,2)),"")</f>
        <v/>
      </c>
      <c r="M1682">
        <f>IF(B1682,(1+Trend)^D1682,"")</f>
        <v/>
      </c>
      <c r="N1682">
        <f>IF(B1682,EXP(SUMPRODUCT(LN(1+(EvEff-1)*INDEX(Affected,0,C1682)*EXP(-((E1682-EvCenter)^2)/(2*EvSigma^2))))),"")</f>
        <v/>
      </c>
      <c r="O1682">
        <f>IF(B1682,ROUND(MAX(0,J1682*K1682*L1682*M1682*N1682),2),"")</f>
        <v/>
      </c>
    </row>
    <row r="1683">
      <c r="A1683" t="n">
        <v>1682</v>
      </c>
      <c r="B1683">
        <f>A1683&lt;=MineCount*Days</f>
        <v/>
      </c>
      <c r="C1683">
        <f>IF(B1683,INT((A1683-1)/Days)+1,"")</f>
        <v/>
      </c>
      <c r="D1683">
        <f>IF(B1683,MOD(A1683-1,Days),"")</f>
        <v/>
      </c>
      <c r="E1683" s="16">
        <f>IF(B1683,StartDate+D1683,"")</f>
        <v/>
      </c>
      <c r="F1683">
        <f>IF(B1683,MAX(MOD(SIN(Seed*0.1373+C1683*12.9898+D1683*78.233)*43758.5453,1),1E-9),"")</f>
        <v/>
      </c>
      <c r="G1683">
        <f>IF(B1683,MOD(SIN(Seed*0.5917+C1683*39.3468+D1683*11.135)*24634.6345,1),"")</f>
        <v/>
      </c>
      <c r="H1683">
        <f>IF(B1683,SQRT(-2*LN(F1683))*COS(2*PI()*G1683),"")</f>
        <v/>
      </c>
      <c r="I1683">
        <f>IF(B1683,IF(D1683=0,H1683,Rho*I1682+SQRT(1-Rho^2)*H1683),"")</f>
        <v/>
      </c>
      <c r="J1683">
        <f>IF(B1683,IF(Dist="Normal",DistA+DistB*I1683,DistA+(DistB-DistA)*NORMSDIST(I1683)),"")</f>
        <v/>
      </c>
      <c r="K1683">
        <f>IF(B1683,INDEX(MineScale,C1683),"")</f>
        <v/>
      </c>
      <c r="L1683">
        <f>IF(B1683,INDEX(Dow,1,WEEKDAY(E1683,2)),"")</f>
        <v/>
      </c>
      <c r="M1683">
        <f>IF(B1683,(1+Trend)^D1683,"")</f>
        <v/>
      </c>
      <c r="N1683">
        <f>IF(B1683,EXP(SUMPRODUCT(LN(1+(EvEff-1)*INDEX(Affected,0,C1683)*EXP(-((E1683-EvCenter)^2)/(2*EvSigma^2))))),"")</f>
        <v/>
      </c>
      <c r="O1683">
        <f>IF(B1683,ROUND(MAX(0,J1683*K1683*L1683*M1683*N1683),2),"")</f>
        <v/>
      </c>
    </row>
    <row r="1684">
      <c r="A1684" t="n">
        <v>1683</v>
      </c>
      <c r="B1684">
        <f>A1684&lt;=MineCount*Days</f>
        <v/>
      </c>
      <c r="C1684">
        <f>IF(B1684,INT((A1684-1)/Days)+1,"")</f>
        <v/>
      </c>
      <c r="D1684">
        <f>IF(B1684,MOD(A1684-1,Days),"")</f>
        <v/>
      </c>
      <c r="E1684" s="16">
        <f>IF(B1684,StartDate+D1684,"")</f>
        <v/>
      </c>
      <c r="F1684">
        <f>IF(B1684,MAX(MOD(SIN(Seed*0.1373+C1684*12.9898+D1684*78.233)*43758.5453,1),1E-9),"")</f>
        <v/>
      </c>
      <c r="G1684">
        <f>IF(B1684,MOD(SIN(Seed*0.5917+C1684*39.3468+D1684*11.135)*24634.6345,1),"")</f>
        <v/>
      </c>
      <c r="H1684">
        <f>IF(B1684,SQRT(-2*LN(F1684))*COS(2*PI()*G1684),"")</f>
        <v/>
      </c>
      <c r="I1684">
        <f>IF(B1684,IF(D1684=0,H1684,Rho*I1683+SQRT(1-Rho^2)*H1684),"")</f>
        <v/>
      </c>
      <c r="J1684">
        <f>IF(B1684,IF(Dist="Normal",DistA+DistB*I1684,DistA+(DistB-DistA)*NORMSDIST(I1684)),"")</f>
        <v/>
      </c>
      <c r="K1684">
        <f>IF(B1684,INDEX(MineScale,C1684),"")</f>
        <v/>
      </c>
      <c r="L1684">
        <f>IF(B1684,INDEX(Dow,1,WEEKDAY(E1684,2)),"")</f>
        <v/>
      </c>
      <c r="M1684">
        <f>IF(B1684,(1+Trend)^D1684,"")</f>
        <v/>
      </c>
      <c r="N1684">
        <f>IF(B1684,EXP(SUMPRODUCT(LN(1+(EvEff-1)*INDEX(Affected,0,C1684)*EXP(-((E1684-EvCenter)^2)/(2*EvSigma^2))))),"")</f>
        <v/>
      </c>
      <c r="O1684">
        <f>IF(B1684,ROUND(MAX(0,J1684*K1684*L1684*M1684*N1684),2),"")</f>
        <v/>
      </c>
    </row>
    <row r="1685">
      <c r="A1685" t="n">
        <v>1684</v>
      </c>
      <c r="B1685">
        <f>A1685&lt;=MineCount*Days</f>
        <v/>
      </c>
      <c r="C1685">
        <f>IF(B1685,INT((A1685-1)/Days)+1,"")</f>
        <v/>
      </c>
      <c r="D1685">
        <f>IF(B1685,MOD(A1685-1,Days),"")</f>
        <v/>
      </c>
      <c r="E1685" s="16">
        <f>IF(B1685,StartDate+D1685,"")</f>
        <v/>
      </c>
      <c r="F1685">
        <f>IF(B1685,MAX(MOD(SIN(Seed*0.1373+C1685*12.9898+D1685*78.233)*43758.5453,1),1E-9),"")</f>
        <v/>
      </c>
      <c r="G1685">
        <f>IF(B1685,MOD(SIN(Seed*0.5917+C1685*39.3468+D1685*11.135)*24634.6345,1),"")</f>
        <v/>
      </c>
      <c r="H1685">
        <f>IF(B1685,SQRT(-2*LN(F1685))*COS(2*PI()*G1685),"")</f>
        <v/>
      </c>
      <c r="I1685">
        <f>IF(B1685,IF(D1685=0,H1685,Rho*I1684+SQRT(1-Rho^2)*H1685),"")</f>
        <v/>
      </c>
      <c r="J1685">
        <f>IF(B1685,IF(Dist="Normal",DistA+DistB*I1685,DistA+(DistB-DistA)*NORMSDIST(I1685)),"")</f>
        <v/>
      </c>
      <c r="K1685">
        <f>IF(B1685,INDEX(MineScale,C1685),"")</f>
        <v/>
      </c>
      <c r="L1685">
        <f>IF(B1685,INDEX(Dow,1,WEEKDAY(E1685,2)),"")</f>
        <v/>
      </c>
      <c r="M1685">
        <f>IF(B1685,(1+Trend)^D1685,"")</f>
        <v/>
      </c>
      <c r="N1685">
        <f>IF(B1685,EXP(SUMPRODUCT(LN(1+(EvEff-1)*INDEX(Affected,0,C1685)*EXP(-((E1685-EvCenter)^2)/(2*EvSigma^2))))),"")</f>
        <v/>
      </c>
      <c r="O1685">
        <f>IF(B1685,ROUND(MAX(0,J1685*K1685*L1685*M1685*N1685),2),"")</f>
        <v/>
      </c>
    </row>
    <row r="1686">
      <c r="A1686" t="n">
        <v>1685</v>
      </c>
      <c r="B1686">
        <f>A1686&lt;=MineCount*Days</f>
        <v/>
      </c>
      <c r="C1686">
        <f>IF(B1686,INT((A1686-1)/Days)+1,"")</f>
        <v/>
      </c>
      <c r="D1686">
        <f>IF(B1686,MOD(A1686-1,Days),"")</f>
        <v/>
      </c>
      <c r="E1686" s="16">
        <f>IF(B1686,StartDate+D1686,"")</f>
        <v/>
      </c>
      <c r="F1686">
        <f>IF(B1686,MAX(MOD(SIN(Seed*0.1373+C1686*12.9898+D1686*78.233)*43758.5453,1),1E-9),"")</f>
        <v/>
      </c>
      <c r="G1686">
        <f>IF(B1686,MOD(SIN(Seed*0.5917+C1686*39.3468+D1686*11.135)*24634.6345,1),"")</f>
        <v/>
      </c>
      <c r="H1686">
        <f>IF(B1686,SQRT(-2*LN(F1686))*COS(2*PI()*G1686),"")</f>
        <v/>
      </c>
      <c r="I1686">
        <f>IF(B1686,IF(D1686=0,H1686,Rho*I1685+SQRT(1-Rho^2)*H1686),"")</f>
        <v/>
      </c>
      <c r="J1686">
        <f>IF(B1686,IF(Dist="Normal",DistA+DistB*I1686,DistA+(DistB-DistA)*NORMSDIST(I1686)),"")</f>
        <v/>
      </c>
      <c r="K1686">
        <f>IF(B1686,INDEX(MineScale,C1686),"")</f>
        <v/>
      </c>
      <c r="L1686">
        <f>IF(B1686,INDEX(Dow,1,WEEKDAY(E1686,2)),"")</f>
        <v/>
      </c>
      <c r="M1686">
        <f>IF(B1686,(1+Trend)^D1686,"")</f>
        <v/>
      </c>
      <c r="N1686">
        <f>IF(B1686,EXP(SUMPRODUCT(LN(1+(EvEff-1)*INDEX(Affected,0,C1686)*EXP(-((E1686-EvCenter)^2)/(2*EvSigma^2))))),"")</f>
        <v/>
      </c>
      <c r="O1686">
        <f>IF(B1686,ROUND(MAX(0,J1686*K1686*L1686*M1686*N1686),2),"")</f>
        <v/>
      </c>
    </row>
    <row r="1687">
      <c r="A1687" t="n">
        <v>1686</v>
      </c>
      <c r="B1687">
        <f>A1687&lt;=MineCount*Days</f>
        <v/>
      </c>
      <c r="C1687">
        <f>IF(B1687,INT((A1687-1)/Days)+1,"")</f>
        <v/>
      </c>
      <c r="D1687">
        <f>IF(B1687,MOD(A1687-1,Days),"")</f>
        <v/>
      </c>
      <c r="E1687" s="16">
        <f>IF(B1687,StartDate+D1687,"")</f>
        <v/>
      </c>
      <c r="F1687">
        <f>IF(B1687,MAX(MOD(SIN(Seed*0.1373+C1687*12.9898+D1687*78.233)*43758.5453,1),1E-9),"")</f>
        <v/>
      </c>
      <c r="G1687">
        <f>IF(B1687,MOD(SIN(Seed*0.5917+C1687*39.3468+D1687*11.135)*24634.6345,1),"")</f>
        <v/>
      </c>
      <c r="H1687">
        <f>IF(B1687,SQRT(-2*LN(F1687))*COS(2*PI()*G1687),"")</f>
        <v/>
      </c>
      <c r="I1687">
        <f>IF(B1687,IF(D1687=0,H1687,Rho*I1686+SQRT(1-Rho^2)*H1687),"")</f>
        <v/>
      </c>
      <c r="J1687">
        <f>IF(B1687,IF(Dist="Normal",DistA+DistB*I1687,DistA+(DistB-DistA)*NORMSDIST(I1687)),"")</f>
        <v/>
      </c>
      <c r="K1687">
        <f>IF(B1687,INDEX(MineScale,C1687),"")</f>
        <v/>
      </c>
      <c r="L1687">
        <f>IF(B1687,INDEX(Dow,1,WEEKDAY(E1687,2)),"")</f>
        <v/>
      </c>
      <c r="M1687">
        <f>IF(B1687,(1+Trend)^D1687,"")</f>
        <v/>
      </c>
      <c r="N1687">
        <f>IF(B1687,EXP(SUMPRODUCT(LN(1+(EvEff-1)*INDEX(Affected,0,C1687)*EXP(-((E1687-EvCenter)^2)/(2*EvSigma^2))))),"")</f>
        <v/>
      </c>
      <c r="O1687">
        <f>IF(B1687,ROUND(MAX(0,J1687*K1687*L1687*M1687*N1687),2),"")</f>
        <v/>
      </c>
    </row>
    <row r="1688">
      <c r="A1688" t="n">
        <v>1687</v>
      </c>
      <c r="B1688">
        <f>A1688&lt;=MineCount*Days</f>
        <v/>
      </c>
      <c r="C1688">
        <f>IF(B1688,INT((A1688-1)/Days)+1,"")</f>
        <v/>
      </c>
      <c r="D1688">
        <f>IF(B1688,MOD(A1688-1,Days),"")</f>
        <v/>
      </c>
      <c r="E1688" s="16">
        <f>IF(B1688,StartDate+D1688,"")</f>
        <v/>
      </c>
      <c r="F1688">
        <f>IF(B1688,MAX(MOD(SIN(Seed*0.1373+C1688*12.9898+D1688*78.233)*43758.5453,1),1E-9),"")</f>
        <v/>
      </c>
      <c r="G1688">
        <f>IF(B1688,MOD(SIN(Seed*0.5917+C1688*39.3468+D1688*11.135)*24634.6345,1),"")</f>
        <v/>
      </c>
      <c r="H1688">
        <f>IF(B1688,SQRT(-2*LN(F1688))*COS(2*PI()*G1688),"")</f>
        <v/>
      </c>
      <c r="I1688">
        <f>IF(B1688,IF(D1688=0,H1688,Rho*I1687+SQRT(1-Rho^2)*H1688),"")</f>
        <v/>
      </c>
      <c r="J1688">
        <f>IF(B1688,IF(Dist="Normal",DistA+DistB*I1688,DistA+(DistB-DistA)*NORMSDIST(I1688)),"")</f>
        <v/>
      </c>
      <c r="K1688">
        <f>IF(B1688,INDEX(MineScale,C1688),"")</f>
        <v/>
      </c>
      <c r="L1688">
        <f>IF(B1688,INDEX(Dow,1,WEEKDAY(E1688,2)),"")</f>
        <v/>
      </c>
      <c r="M1688">
        <f>IF(B1688,(1+Trend)^D1688,"")</f>
        <v/>
      </c>
      <c r="N1688">
        <f>IF(B1688,EXP(SUMPRODUCT(LN(1+(EvEff-1)*INDEX(Affected,0,C1688)*EXP(-((E1688-EvCenter)^2)/(2*EvSigma^2))))),"")</f>
        <v/>
      </c>
      <c r="O1688">
        <f>IF(B1688,ROUND(MAX(0,J1688*K1688*L1688*M1688*N1688),2),"")</f>
        <v/>
      </c>
    </row>
    <row r="1689">
      <c r="A1689" t="n">
        <v>1688</v>
      </c>
      <c r="B1689">
        <f>A1689&lt;=MineCount*Days</f>
        <v/>
      </c>
      <c r="C1689">
        <f>IF(B1689,INT((A1689-1)/Days)+1,"")</f>
        <v/>
      </c>
      <c r="D1689">
        <f>IF(B1689,MOD(A1689-1,Days),"")</f>
        <v/>
      </c>
      <c r="E1689" s="16">
        <f>IF(B1689,StartDate+D1689,"")</f>
        <v/>
      </c>
      <c r="F1689">
        <f>IF(B1689,MAX(MOD(SIN(Seed*0.1373+C1689*12.9898+D1689*78.233)*43758.5453,1),1E-9),"")</f>
        <v/>
      </c>
      <c r="G1689">
        <f>IF(B1689,MOD(SIN(Seed*0.5917+C1689*39.3468+D1689*11.135)*24634.6345,1),"")</f>
        <v/>
      </c>
      <c r="H1689">
        <f>IF(B1689,SQRT(-2*LN(F1689))*COS(2*PI()*G1689),"")</f>
        <v/>
      </c>
      <c r="I1689">
        <f>IF(B1689,IF(D1689=0,H1689,Rho*I1688+SQRT(1-Rho^2)*H1689),"")</f>
        <v/>
      </c>
      <c r="J1689">
        <f>IF(B1689,IF(Dist="Normal",DistA+DistB*I1689,DistA+(DistB-DistA)*NORMSDIST(I1689)),"")</f>
        <v/>
      </c>
      <c r="K1689">
        <f>IF(B1689,INDEX(MineScale,C1689),"")</f>
        <v/>
      </c>
      <c r="L1689">
        <f>IF(B1689,INDEX(Dow,1,WEEKDAY(E1689,2)),"")</f>
        <v/>
      </c>
      <c r="M1689">
        <f>IF(B1689,(1+Trend)^D1689,"")</f>
        <v/>
      </c>
      <c r="N1689">
        <f>IF(B1689,EXP(SUMPRODUCT(LN(1+(EvEff-1)*INDEX(Affected,0,C1689)*EXP(-((E1689-EvCenter)^2)/(2*EvSigma^2))))),"")</f>
        <v/>
      </c>
      <c r="O1689">
        <f>IF(B1689,ROUND(MAX(0,J1689*K1689*L1689*M1689*N1689),2),"")</f>
        <v/>
      </c>
    </row>
    <row r="1690">
      <c r="A1690" t="n">
        <v>1689</v>
      </c>
      <c r="B1690">
        <f>A1690&lt;=MineCount*Days</f>
        <v/>
      </c>
      <c r="C1690">
        <f>IF(B1690,INT((A1690-1)/Days)+1,"")</f>
        <v/>
      </c>
      <c r="D1690">
        <f>IF(B1690,MOD(A1690-1,Days),"")</f>
        <v/>
      </c>
      <c r="E1690" s="16">
        <f>IF(B1690,StartDate+D1690,"")</f>
        <v/>
      </c>
      <c r="F1690">
        <f>IF(B1690,MAX(MOD(SIN(Seed*0.1373+C1690*12.9898+D1690*78.233)*43758.5453,1),1E-9),"")</f>
        <v/>
      </c>
      <c r="G1690">
        <f>IF(B1690,MOD(SIN(Seed*0.5917+C1690*39.3468+D1690*11.135)*24634.6345,1),"")</f>
        <v/>
      </c>
      <c r="H1690">
        <f>IF(B1690,SQRT(-2*LN(F1690))*COS(2*PI()*G1690),"")</f>
        <v/>
      </c>
      <c r="I1690">
        <f>IF(B1690,IF(D1690=0,H1690,Rho*I1689+SQRT(1-Rho^2)*H1690),"")</f>
        <v/>
      </c>
      <c r="J1690">
        <f>IF(B1690,IF(Dist="Normal",DistA+DistB*I1690,DistA+(DistB-DistA)*NORMSDIST(I1690)),"")</f>
        <v/>
      </c>
      <c r="K1690">
        <f>IF(B1690,INDEX(MineScale,C1690),"")</f>
        <v/>
      </c>
      <c r="L1690">
        <f>IF(B1690,INDEX(Dow,1,WEEKDAY(E1690,2)),"")</f>
        <v/>
      </c>
      <c r="M1690">
        <f>IF(B1690,(1+Trend)^D1690,"")</f>
        <v/>
      </c>
      <c r="N1690">
        <f>IF(B1690,EXP(SUMPRODUCT(LN(1+(EvEff-1)*INDEX(Affected,0,C1690)*EXP(-((E1690-EvCenter)^2)/(2*EvSigma^2))))),"")</f>
        <v/>
      </c>
      <c r="O1690">
        <f>IF(B1690,ROUND(MAX(0,J1690*K1690*L1690*M1690*N1690),2),"")</f>
        <v/>
      </c>
    </row>
    <row r="1691">
      <c r="A1691" t="n">
        <v>1690</v>
      </c>
      <c r="B1691">
        <f>A1691&lt;=MineCount*Days</f>
        <v/>
      </c>
      <c r="C1691">
        <f>IF(B1691,INT((A1691-1)/Days)+1,"")</f>
        <v/>
      </c>
      <c r="D1691">
        <f>IF(B1691,MOD(A1691-1,Days),"")</f>
        <v/>
      </c>
      <c r="E1691" s="16">
        <f>IF(B1691,StartDate+D1691,"")</f>
        <v/>
      </c>
      <c r="F1691">
        <f>IF(B1691,MAX(MOD(SIN(Seed*0.1373+C1691*12.9898+D1691*78.233)*43758.5453,1),1E-9),"")</f>
        <v/>
      </c>
      <c r="G1691">
        <f>IF(B1691,MOD(SIN(Seed*0.5917+C1691*39.3468+D1691*11.135)*24634.6345,1),"")</f>
        <v/>
      </c>
      <c r="H1691">
        <f>IF(B1691,SQRT(-2*LN(F1691))*COS(2*PI()*G1691),"")</f>
        <v/>
      </c>
      <c r="I1691">
        <f>IF(B1691,IF(D1691=0,H1691,Rho*I1690+SQRT(1-Rho^2)*H1691),"")</f>
        <v/>
      </c>
      <c r="J1691">
        <f>IF(B1691,IF(Dist="Normal",DistA+DistB*I1691,DistA+(DistB-DistA)*NORMSDIST(I1691)),"")</f>
        <v/>
      </c>
      <c r="K1691">
        <f>IF(B1691,INDEX(MineScale,C1691),"")</f>
        <v/>
      </c>
      <c r="L1691">
        <f>IF(B1691,INDEX(Dow,1,WEEKDAY(E1691,2)),"")</f>
        <v/>
      </c>
      <c r="M1691">
        <f>IF(B1691,(1+Trend)^D1691,"")</f>
        <v/>
      </c>
      <c r="N1691">
        <f>IF(B1691,EXP(SUMPRODUCT(LN(1+(EvEff-1)*INDEX(Affected,0,C1691)*EXP(-((E1691-EvCenter)^2)/(2*EvSigma^2))))),"")</f>
        <v/>
      </c>
      <c r="O1691">
        <f>IF(B1691,ROUND(MAX(0,J1691*K1691*L1691*M1691*N1691),2),"")</f>
        <v/>
      </c>
    </row>
    <row r="1692">
      <c r="A1692" t="n">
        <v>1691</v>
      </c>
      <c r="B1692">
        <f>A1692&lt;=MineCount*Days</f>
        <v/>
      </c>
      <c r="C1692">
        <f>IF(B1692,INT((A1692-1)/Days)+1,"")</f>
        <v/>
      </c>
      <c r="D1692">
        <f>IF(B1692,MOD(A1692-1,Days),"")</f>
        <v/>
      </c>
      <c r="E1692" s="16">
        <f>IF(B1692,StartDate+D1692,"")</f>
        <v/>
      </c>
      <c r="F1692">
        <f>IF(B1692,MAX(MOD(SIN(Seed*0.1373+C1692*12.9898+D1692*78.233)*43758.5453,1),1E-9),"")</f>
        <v/>
      </c>
      <c r="G1692">
        <f>IF(B1692,MOD(SIN(Seed*0.5917+C1692*39.3468+D1692*11.135)*24634.6345,1),"")</f>
        <v/>
      </c>
      <c r="H1692">
        <f>IF(B1692,SQRT(-2*LN(F1692))*COS(2*PI()*G1692),"")</f>
        <v/>
      </c>
      <c r="I1692">
        <f>IF(B1692,IF(D1692=0,H1692,Rho*I1691+SQRT(1-Rho^2)*H1692),"")</f>
        <v/>
      </c>
      <c r="J1692">
        <f>IF(B1692,IF(Dist="Normal",DistA+DistB*I1692,DistA+(DistB-DistA)*NORMSDIST(I1692)),"")</f>
        <v/>
      </c>
      <c r="K1692">
        <f>IF(B1692,INDEX(MineScale,C1692),"")</f>
        <v/>
      </c>
      <c r="L1692">
        <f>IF(B1692,INDEX(Dow,1,WEEKDAY(E1692,2)),"")</f>
        <v/>
      </c>
      <c r="M1692">
        <f>IF(B1692,(1+Trend)^D1692,"")</f>
        <v/>
      </c>
      <c r="N1692">
        <f>IF(B1692,EXP(SUMPRODUCT(LN(1+(EvEff-1)*INDEX(Affected,0,C1692)*EXP(-((E1692-EvCenter)^2)/(2*EvSigma^2))))),"")</f>
        <v/>
      </c>
      <c r="O1692">
        <f>IF(B1692,ROUND(MAX(0,J1692*K1692*L1692*M1692*N1692),2),"")</f>
        <v/>
      </c>
    </row>
    <row r="1693">
      <c r="A1693" t="n">
        <v>1692</v>
      </c>
      <c r="B1693">
        <f>A1693&lt;=MineCount*Days</f>
        <v/>
      </c>
      <c r="C1693">
        <f>IF(B1693,INT((A1693-1)/Days)+1,"")</f>
        <v/>
      </c>
      <c r="D1693">
        <f>IF(B1693,MOD(A1693-1,Days),"")</f>
        <v/>
      </c>
      <c r="E1693" s="16">
        <f>IF(B1693,StartDate+D1693,"")</f>
        <v/>
      </c>
      <c r="F1693">
        <f>IF(B1693,MAX(MOD(SIN(Seed*0.1373+C1693*12.9898+D1693*78.233)*43758.5453,1),1E-9),"")</f>
        <v/>
      </c>
      <c r="G1693">
        <f>IF(B1693,MOD(SIN(Seed*0.5917+C1693*39.3468+D1693*11.135)*24634.6345,1),"")</f>
        <v/>
      </c>
      <c r="H1693">
        <f>IF(B1693,SQRT(-2*LN(F1693))*COS(2*PI()*G1693),"")</f>
        <v/>
      </c>
      <c r="I1693">
        <f>IF(B1693,IF(D1693=0,H1693,Rho*I1692+SQRT(1-Rho^2)*H1693),"")</f>
        <v/>
      </c>
      <c r="J1693">
        <f>IF(B1693,IF(Dist="Normal",DistA+DistB*I1693,DistA+(DistB-DistA)*NORMSDIST(I1693)),"")</f>
        <v/>
      </c>
      <c r="K1693">
        <f>IF(B1693,INDEX(MineScale,C1693),"")</f>
        <v/>
      </c>
      <c r="L1693">
        <f>IF(B1693,INDEX(Dow,1,WEEKDAY(E1693,2)),"")</f>
        <v/>
      </c>
      <c r="M1693">
        <f>IF(B1693,(1+Trend)^D1693,"")</f>
        <v/>
      </c>
      <c r="N1693">
        <f>IF(B1693,EXP(SUMPRODUCT(LN(1+(EvEff-1)*INDEX(Affected,0,C1693)*EXP(-((E1693-EvCenter)^2)/(2*EvSigma^2))))),"")</f>
        <v/>
      </c>
      <c r="O1693">
        <f>IF(B1693,ROUND(MAX(0,J1693*K1693*L1693*M1693*N1693),2),"")</f>
        <v/>
      </c>
    </row>
    <row r="1694">
      <c r="A1694" t="n">
        <v>1693</v>
      </c>
      <c r="B1694">
        <f>A1694&lt;=MineCount*Days</f>
        <v/>
      </c>
      <c r="C1694">
        <f>IF(B1694,INT((A1694-1)/Days)+1,"")</f>
        <v/>
      </c>
      <c r="D1694">
        <f>IF(B1694,MOD(A1694-1,Days),"")</f>
        <v/>
      </c>
      <c r="E1694" s="16">
        <f>IF(B1694,StartDate+D1694,"")</f>
        <v/>
      </c>
      <c r="F1694">
        <f>IF(B1694,MAX(MOD(SIN(Seed*0.1373+C1694*12.9898+D1694*78.233)*43758.5453,1),1E-9),"")</f>
        <v/>
      </c>
      <c r="G1694">
        <f>IF(B1694,MOD(SIN(Seed*0.5917+C1694*39.3468+D1694*11.135)*24634.6345,1),"")</f>
        <v/>
      </c>
      <c r="H1694">
        <f>IF(B1694,SQRT(-2*LN(F1694))*COS(2*PI()*G1694),"")</f>
        <v/>
      </c>
      <c r="I1694">
        <f>IF(B1694,IF(D1694=0,H1694,Rho*I1693+SQRT(1-Rho^2)*H1694),"")</f>
        <v/>
      </c>
      <c r="J1694">
        <f>IF(B1694,IF(Dist="Normal",DistA+DistB*I1694,DistA+(DistB-DistA)*NORMSDIST(I1694)),"")</f>
        <v/>
      </c>
      <c r="K1694">
        <f>IF(B1694,INDEX(MineScale,C1694),"")</f>
        <v/>
      </c>
      <c r="L1694">
        <f>IF(B1694,INDEX(Dow,1,WEEKDAY(E1694,2)),"")</f>
        <v/>
      </c>
      <c r="M1694">
        <f>IF(B1694,(1+Trend)^D1694,"")</f>
        <v/>
      </c>
      <c r="N1694">
        <f>IF(B1694,EXP(SUMPRODUCT(LN(1+(EvEff-1)*INDEX(Affected,0,C1694)*EXP(-((E1694-EvCenter)^2)/(2*EvSigma^2))))),"")</f>
        <v/>
      </c>
      <c r="O1694">
        <f>IF(B1694,ROUND(MAX(0,J1694*K1694*L1694*M1694*N1694),2),"")</f>
        <v/>
      </c>
    </row>
    <row r="1695">
      <c r="A1695" t="n">
        <v>1694</v>
      </c>
      <c r="B1695">
        <f>A1695&lt;=MineCount*Days</f>
        <v/>
      </c>
      <c r="C1695">
        <f>IF(B1695,INT((A1695-1)/Days)+1,"")</f>
        <v/>
      </c>
      <c r="D1695">
        <f>IF(B1695,MOD(A1695-1,Days),"")</f>
        <v/>
      </c>
      <c r="E1695" s="16">
        <f>IF(B1695,StartDate+D1695,"")</f>
        <v/>
      </c>
      <c r="F1695">
        <f>IF(B1695,MAX(MOD(SIN(Seed*0.1373+C1695*12.9898+D1695*78.233)*43758.5453,1),1E-9),"")</f>
        <v/>
      </c>
      <c r="G1695">
        <f>IF(B1695,MOD(SIN(Seed*0.5917+C1695*39.3468+D1695*11.135)*24634.6345,1),"")</f>
        <v/>
      </c>
      <c r="H1695">
        <f>IF(B1695,SQRT(-2*LN(F1695))*COS(2*PI()*G1695),"")</f>
        <v/>
      </c>
      <c r="I1695">
        <f>IF(B1695,IF(D1695=0,H1695,Rho*I1694+SQRT(1-Rho^2)*H1695),"")</f>
        <v/>
      </c>
      <c r="J1695">
        <f>IF(B1695,IF(Dist="Normal",DistA+DistB*I1695,DistA+(DistB-DistA)*NORMSDIST(I1695)),"")</f>
        <v/>
      </c>
      <c r="K1695">
        <f>IF(B1695,INDEX(MineScale,C1695),"")</f>
        <v/>
      </c>
      <c r="L1695">
        <f>IF(B1695,INDEX(Dow,1,WEEKDAY(E1695,2)),"")</f>
        <v/>
      </c>
      <c r="M1695">
        <f>IF(B1695,(1+Trend)^D1695,"")</f>
        <v/>
      </c>
      <c r="N1695">
        <f>IF(B1695,EXP(SUMPRODUCT(LN(1+(EvEff-1)*INDEX(Affected,0,C1695)*EXP(-((E1695-EvCenter)^2)/(2*EvSigma^2))))),"")</f>
        <v/>
      </c>
      <c r="O1695">
        <f>IF(B1695,ROUND(MAX(0,J1695*K1695*L1695*M1695*N1695),2),"")</f>
        <v/>
      </c>
    </row>
    <row r="1696">
      <c r="A1696" t="n">
        <v>1695</v>
      </c>
      <c r="B1696">
        <f>A1696&lt;=MineCount*Days</f>
        <v/>
      </c>
      <c r="C1696">
        <f>IF(B1696,INT((A1696-1)/Days)+1,"")</f>
        <v/>
      </c>
      <c r="D1696">
        <f>IF(B1696,MOD(A1696-1,Days),"")</f>
        <v/>
      </c>
      <c r="E1696" s="16">
        <f>IF(B1696,StartDate+D1696,"")</f>
        <v/>
      </c>
      <c r="F1696">
        <f>IF(B1696,MAX(MOD(SIN(Seed*0.1373+C1696*12.9898+D1696*78.233)*43758.5453,1),1E-9),"")</f>
        <v/>
      </c>
      <c r="G1696">
        <f>IF(B1696,MOD(SIN(Seed*0.5917+C1696*39.3468+D1696*11.135)*24634.6345,1),"")</f>
        <v/>
      </c>
      <c r="H1696">
        <f>IF(B1696,SQRT(-2*LN(F1696))*COS(2*PI()*G1696),"")</f>
        <v/>
      </c>
      <c r="I1696">
        <f>IF(B1696,IF(D1696=0,H1696,Rho*I1695+SQRT(1-Rho^2)*H1696),"")</f>
        <v/>
      </c>
      <c r="J1696">
        <f>IF(B1696,IF(Dist="Normal",DistA+DistB*I1696,DistA+(DistB-DistA)*NORMSDIST(I1696)),"")</f>
        <v/>
      </c>
      <c r="K1696">
        <f>IF(B1696,INDEX(MineScale,C1696),"")</f>
        <v/>
      </c>
      <c r="L1696">
        <f>IF(B1696,INDEX(Dow,1,WEEKDAY(E1696,2)),"")</f>
        <v/>
      </c>
      <c r="M1696">
        <f>IF(B1696,(1+Trend)^D1696,"")</f>
        <v/>
      </c>
      <c r="N1696">
        <f>IF(B1696,EXP(SUMPRODUCT(LN(1+(EvEff-1)*INDEX(Affected,0,C1696)*EXP(-((E1696-EvCenter)^2)/(2*EvSigma^2))))),"")</f>
        <v/>
      </c>
      <c r="O1696">
        <f>IF(B1696,ROUND(MAX(0,J1696*K1696*L1696*M1696*N1696),2),"")</f>
        <v/>
      </c>
    </row>
    <row r="1697">
      <c r="A1697" t="n">
        <v>1696</v>
      </c>
      <c r="B1697">
        <f>A1697&lt;=MineCount*Days</f>
        <v/>
      </c>
      <c r="C1697">
        <f>IF(B1697,INT((A1697-1)/Days)+1,"")</f>
        <v/>
      </c>
      <c r="D1697">
        <f>IF(B1697,MOD(A1697-1,Days),"")</f>
        <v/>
      </c>
      <c r="E1697" s="16">
        <f>IF(B1697,StartDate+D1697,"")</f>
        <v/>
      </c>
      <c r="F1697">
        <f>IF(B1697,MAX(MOD(SIN(Seed*0.1373+C1697*12.9898+D1697*78.233)*43758.5453,1),1E-9),"")</f>
        <v/>
      </c>
      <c r="G1697">
        <f>IF(B1697,MOD(SIN(Seed*0.5917+C1697*39.3468+D1697*11.135)*24634.6345,1),"")</f>
        <v/>
      </c>
      <c r="H1697">
        <f>IF(B1697,SQRT(-2*LN(F1697))*COS(2*PI()*G1697),"")</f>
        <v/>
      </c>
      <c r="I1697">
        <f>IF(B1697,IF(D1697=0,H1697,Rho*I1696+SQRT(1-Rho^2)*H1697),"")</f>
        <v/>
      </c>
      <c r="J1697">
        <f>IF(B1697,IF(Dist="Normal",DistA+DistB*I1697,DistA+(DistB-DistA)*NORMSDIST(I1697)),"")</f>
        <v/>
      </c>
      <c r="K1697">
        <f>IF(B1697,INDEX(MineScale,C1697),"")</f>
        <v/>
      </c>
      <c r="L1697">
        <f>IF(B1697,INDEX(Dow,1,WEEKDAY(E1697,2)),"")</f>
        <v/>
      </c>
      <c r="M1697">
        <f>IF(B1697,(1+Trend)^D1697,"")</f>
        <v/>
      </c>
      <c r="N1697">
        <f>IF(B1697,EXP(SUMPRODUCT(LN(1+(EvEff-1)*INDEX(Affected,0,C1697)*EXP(-((E1697-EvCenter)^2)/(2*EvSigma^2))))),"")</f>
        <v/>
      </c>
      <c r="O1697">
        <f>IF(B1697,ROUND(MAX(0,J1697*K1697*L1697*M1697*N1697),2),"")</f>
        <v/>
      </c>
    </row>
    <row r="1698">
      <c r="A1698" t="n">
        <v>1697</v>
      </c>
      <c r="B1698">
        <f>A1698&lt;=MineCount*Days</f>
        <v/>
      </c>
      <c r="C1698">
        <f>IF(B1698,INT((A1698-1)/Days)+1,"")</f>
        <v/>
      </c>
      <c r="D1698">
        <f>IF(B1698,MOD(A1698-1,Days),"")</f>
        <v/>
      </c>
      <c r="E1698" s="16">
        <f>IF(B1698,StartDate+D1698,"")</f>
        <v/>
      </c>
      <c r="F1698">
        <f>IF(B1698,MAX(MOD(SIN(Seed*0.1373+C1698*12.9898+D1698*78.233)*43758.5453,1),1E-9),"")</f>
        <v/>
      </c>
      <c r="G1698">
        <f>IF(B1698,MOD(SIN(Seed*0.5917+C1698*39.3468+D1698*11.135)*24634.6345,1),"")</f>
        <v/>
      </c>
      <c r="H1698">
        <f>IF(B1698,SQRT(-2*LN(F1698))*COS(2*PI()*G1698),"")</f>
        <v/>
      </c>
      <c r="I1698">
        <f>IF(B1698,IF(D1698=0,H1698,Rho*I1697+SQRT(1-Rho^2)*H1698),"")</f>
        <v/>
      </c>
      <c r="J1698">
        <f>IF(B1698,IF(Dist="Normal",DistA+DistB*I1698,DistA+(DistB-DistA)*NORMSDIST(I1698)),"")</f>
        <v/>
      </c>
      <c r="K1698">
        <f>IF(B1698,INDEX(MineScale,C1698),"")</f>
        <v/>
      </c>
      <c r="L1698">
        <f>IF(B1698,INDEX(Dow,1,WEEKDAY(E1698,2)),"")</f>
        <v/>
      </c>
      <c r="M1698">
        <f>IF(B1698,(1+Trend)^D1698,"")</f>
        <v/>
      </c>
      <c r="N1698">
        <f>IF(B1698,EXP(SUMPRODUCT(LN(1+(EvEff-1)*INDEX(Affected,0,C1698)*EXP(-((E1698-EvCenter)^2)/(2*EvSigma^2))))),"")</f>
        <v/>
      </c>
      <c r="O1698">
        <f>IF(B1698,ROUND(MAX(0,J1698*K1698*L1698*M1698*N1698),2),"")</f>
        <v/>
      </c>
    </row>
    <row r="1699">
      <c r="A1699" t="n">
        <v>1698</v>
      </c>
      <c r="B1699">
        <f>A1699&lt;=MineCount*Days</f>
        <v/>
      </c>
      <c r="C1699">
        <f>IF(B1699,INT((A1699-1)/Days)+1,"")</f>
        <v/>
      </c>
      <c r="D1699">
        <f>IF(B1699,MOD(A1699-1,Days),"")</f>
        <v/>
      </c>
      <c r="E1699" s="16">
        <f>IF(B1699,StartDate+D1699,"")</f>
        <v/>
      </c>
      <c r="F1699">
        <f>IF(B1699,MAX(MOD(SIN(Seed*0.1373+C1699*12.9898+D1699*78.233)*43758.5453,1),1E-9),"")</f>
        <v/>
      </c>
      <c r="G1699">
        <f>IF(B1699,MOD(SIN(Seed*0.5917+C1699*39.3468+D1699*11.135)*24634.6345,1),"")</f>
        <v/>
      </c>
      <c r="H1699">
        <f>IF(B1699,SQRT(-2*LN(F1699))*COS(2*PI()*G1699),"")</f>
        <v/>
      </c>
      <c r="I1699">
        <f>IF(B1699,IF(D1699=0,H1699,Rho*I1698+SQRT(1-Rho^2)*H1699),"")</f>
        <v/>
      </c>
      <c r="J1699">
        <f>IF(B1699,IF(Dist="Normal",DistA+DistB*I1699,DistA+(DistB-DistA)*NORMSDIST(I1699)),"")</f>
        <v/>
      </c>
      <c r="K1699">
        <f>IF(B1699,INDEX(MineScale,C1699),"")</f>
        <v/>
      </c>
      <c r="L1699">
        <f>IF(B1699,INDEX(Dow,1,WEEKDAY(E1699,2)),"")</f>
        <v/>
      </c>
      <c r="M1699">
        <f>IF(B1699,(1+Trend)^D1699,"")</f>
        <v/>
      </c>
      <c r="N1699">
        <f>IF(B1699,EXP(SUMPRODUCT(LN(1+(EvEff-1)*INDEX(Affected,0,C1699)*EXP(-((E1699-EvCenter)^2)/(2*EvSigma^2))))),"")</f>
        <v/>
      </c>
      <c r="O1699">
        <f>IF(B1699,ROUND(MAX(0,J1699*K1699*L1699*M1699*N1699),2),"")</f>
        <v/>
      </c>
    </row>
    <row r="1700">
      <c r="A1700" t="n">
        <v>1699</v>
      </c>
      <c r="B1700">
        <f>A1700&lt;=MineCount*Days</f>
        <v/>
      </c>
      <c r="C1700">
        <f>IF(B1700,INT((A1700-1)/Days)+1,"")</f>
        <v/>
      </c>
      <c r="D1700">
        <f>IF(B1700,MOD(A1700-1,Days),"")</f>
        <v/>
      </c>
      <c r="E1700" s="16">
        <f>IF(B1700,StartDate+D1700,"")</f>
        <v/>
      </c>
      <c r="F1700">
        <f>IF(B1700,MAX(MOD(SIN(Seed*0.1373+C1700*12.9898+D1700*78.233)*43758.5453,1),1E-9),"")</f>
        <v/>
      </c>
      <c r="G1700">
        <f>IF(B1700,MOD(SIN(Seed*0.5917+C1700*39.3468+D1700*11.135)*24634.6345,1),"")</f>
        <v/>
      </c>
      <c r="H1700">
        <f>IF(B1700,SQRT(-2*LN(F1700))*COS(2*PI()*G1700),"")</f>
        <v/>
      </c>
      <c r="I1700">
        <f>IF(B1700,IF(D1700=0,H1700,Rho*I1699+SQRT(1-Rho^2)*H1700),"")</f>
        <v/>
      </c>
      <c r="J1700">
        <f>IF(B1700,IF(Dist="Normal",DistA+DistB*I1700,DistA+(DistB-DistA)*NORMSDIST(I1700)),"")</f>
        <v/>
      </c>
      <c r="K1700">
        <f>IF(B1700,INDEX(MineScale,C1700),"")</f>
        <v/>
      </c>
      <c r="L1700">
        <f>IF(B1700,INDEX(Dow,1,WEEKDAY(E1700,2)),"")</f>
        <v/>
      </c>
      <c r="M1700">
        <f>IF(B1700,(1+Trend)^D1700,"")</f>
        <v/>
      </c>
      <c r="N1700">
        <f>IF(B1700,EXP(SUMPRODUCT(LN(1+(EvEff-1)*INDEX(Affected,0,C1700)*EXP(-((E1700-EvCenter)^2)/(2*EvSigma^2))))),"")</f>
        <v/>
      </c>
      <c r="O1700">
        <f>IF(B1700,ROUND(MAX(0,J1700*K1700*L1700*M1700*N1700),2),"")</f>
        <v/>
      </c>
    </row>
    <row r="1701">
      <c r="A1701" t="n">
        <v>1700</v>
      </c>
      <c r="B1701">
        <f>A1701&lt;=MineCount*Days</f>
        <v/>
      </c>
      <c r="C1701">
        <f>IF(B1701,INT((A1701-1)/Days)+1,"")</f>
        <v/>
      </c>
      <c r="D1701">
        <f>IF(B1701,MOD(A1701-1,Days),"")</f>
        <v/>
      </c>
      <c r="E1701" s="16">
        <f>IF(B1701,StartDate+D1701,"")</f>
        <v/>
      </c>
      <c r="F1701">
        <f>IF(B1701,MAX(MOD(SIN(Seed*0.1373+C1701*12.9898+D1701*78.233)*43758.5453,1),1E-9),"")</f>
        <v/>
      </c>
      <c r="G1701">
        <f>IF(B1701,MOD(SIN(Seed*0.5917+C1701*39.3468+D1701*11.135)*24634.6345,1),"")</f>
        <v/>
      </c>
      <c r="H1701">
        <f>IF(B1701,SQRT(-2*LN(F1701))*COS(2*PI()*G1701),"")</f>
        <v/>
      </c>
      <c r="I1701">
        <f>IF(B1701,IF(D1701=0,H1701,Rho*I1700+SQRT(1-Rho^2)*H1701),"")</f>
        <v/>
      </c>
      <c r="J1701">
        <f>IF(B1701,IF(Dist="Normal",DistA+DistB*I1701,DistA+(DistB-DistA)*NORMSDIST(I1701)),"")</f>
        <v/>
      </c>
      <c r="K1701">
        <f>IF(B1701,INDEX(MineScale,C1701),"")</f>
        <v/>
      </c>
      <c r="L1701">
        <f>IF(B1701,INDEX(Dow,1,WEEKDAY(E1701,2)),"")</f>
        <v/>
      </c>
      <c r="M1701">
        <f>IF(B1701,(1+Trend)^D1701,"")</f>
        <v/>
      </c>
      <c r="N1701">
        <f>IF(B1701,EXP(SUMPRODUCT(LN(1+(EvEff-1)*INDEX(Affected,0,C1701)*EXP(-((E1701-EvCenter)^2)/(2*EvSigma^2))))),"")</f>
        <v/>
      </c>
      <c r="O1701">
        <f>IF(B1701,ROUND(MAX(0,J1701*K1701*L1701*M1701*N1701),2),"")</f>
        <v/>
      </c>
    </row>
    <row r="1702">
      <c r="A1702" t="n">
        <v>1701</v>
      </c>
      <c r="B1702">
        <f>A1702&lt;=MineCount*Days</f>
        <v/>
      </c>
      <c r="C1702">
        <f>IF(B1702,INT((A1702-1)/Days)+1,"")</f>
        <v/>
      </c>
      <c r="D1702">
        <f>IF(B1702,MOD(A1702-1,Days),"")</f>
        <v/>
      </c>
      <c r="E1702" s="16">
        <f>IF(B1702,StartDate+D1702,"")</f>
        <v/>
      </c>
      <c r="F1702">
        <f>IF(B1702,MAX(MOD(SIN(Seed*0.1373+C1702*12.9898+D1702*78.233)*43758.5453,1),1E-9),"")</f>
        <v/>
      </c>
      <c r="G1702">
        <f>IF(B1702,MOD(SIN(Seed*0.5917+C1702*39.3468+D1702*11.135)*24634.6345,1),"")</f>
        <v/>
      </c>
      <c r="H1702">
        <f>IF(B1702,SQRT(-2*LN(F1702))*COS(2*PI()*G1702),"")</f>
        <v/>
      </c>
      <c r="I1702">
        <f>IF(B1702,IF(D1702=0,H1702,Rho*I1701+SQRT(1-Rho^2)*H1702),"")</f>
        <v/>
      </c>
      <c r="J1702">
        <f>IF(B1702,IF(Dist="Normal",DistA+DistB*I1702,DistA+(DistB-DistA)*NORMSDIST(I1702)),"")</f>
        <v/>
      </c>
      <c r="K1702">
        <f>IF(B1702,INDEX(MineScale,C1702),"")</f>
        <v/>
      </c>
      <c r="L1702">
        <f>IF(B1702,INDEX(Dow,1,WEEKDAY(E1702,2)),"")</f>
        <v/>
      </c>
      <c r="M1702">
        <f>IF(B1702,(1+Trend)^D1702,"")</f>
        <v/>
      </c>
      <c r="N1702">
        <f>IF(B1702,EXP(SUMPRODUCT(LN(1+(EvEff-1)*INDEX(Affected,0,C1702)*EXP(-((E1702-EvCenter)^2)/(2*EvSigma^2))))),"")</f>
        <v/>
      </c>
      <c r="O1702">
        <f>IF(B1702,ROUND(MAX(0,J1702*K1702*L1702*M1702*N1702),2),"")</f>
        <v/>
      </c>
    </row>
    <row r="1703">
      <c r="A1703" t="n">
        <v>1702</v>
      </c>
      <c r="B1703">
        <f>A1703&lt;=MineCount*Days</f>
        <v/>
      </c>
      <c r="C1703">
        <f>IF(B1703,INT((A1703-1)/Days)+1,"")</f>
        <v/>
      </c>
      <c r="D1703">
        <f>IF(B1703,MOD(A1703-1,Days),"")</f>
        <v/>
      </c>
      <c r="E1703" s="16">
        <f>IF(B1703,StartDate+D1703,"")</f>
        <v/>
      </c>
      <c r="F1703">
        <f>IF(B1703,MAX(MOD(SIN(Seed*0.1373+C1703*12.9898+D1703*78.233)*43758.5453,1),1E-9),"")</f>
        <v/>
      </c>
      <c r="G1703">
        <f>IF(B1703,MOD(SIN(Seed*0.5917+C1703*39.3468+D1703*11.135)*24634.6345,1),"")</f>
        <v/>
      </c>
      <c r="H1703">
        <f>IF(B1703,SQRT(-2*LN(F1703))*COS(2*PI()*G1703),"")</f>
        <v/>
      </c>
      <c r="I1703">
        <f>IF(B1703,IF(D1703=0,H1703,Rho*I1702+SQRT(1-Rho^2)*H1703),"")</f>
        <v/>
      </c>
      <c r="J1703">
        <f>IF(B1703,IF(Dist="Normal",DistA+DistB*I1703,DistA+(DistB-DistA)*NORMSDIST(I1703)),"")</f>
        <v/>
      </c>
      <c r="K1703">
        <f>IF(B1703,INDEX(MineScale,C1703),"")</f>
        <v/>
      </c>
      <c r="L1703">
        <f>IF(B1703,INDEX(Dow,1,WEEKDAY(E1703,2)),"")</f>
        <v/>
      </c>
      <c r="M1703">
        <f>IF(B1703,(1+Trend)^D1703,"")</f>
        <v/>
      </c>
      <c r="N1703">
        <f>IF(B1703,EXP(SUMPRODUCT(LN(1+(EvEff-1)*INDEX(Affected,0,C1703)*EXP(-((E1703-EvCenter)^2)/(2*EvSigma^2))))),"")</f>
        <v/>
      </c>
      <c r="O1703">
        <f>IF(B1703,ROUND(MAX(0,J1703*K1703*L1703*M1703*N1703),2),"")</f>
        <v/>
      </c>
    </row>
    <row r="1704">
      <c r="A1704" t="n">
        <v>1703</v>
      </c>
      <c r="B1704">
        <f>A1704&lt;=MineCount*Days</f>
        <v/>
      </c>
      <c r="C1704">
        <f>IF(B1704,INT((A1704-1)/Days)+1,"")</f>
        <v/>
      </c>
      <c r="D1704">
        <f>IF(B1704,MOD(A1704-1,Days),"")</f>
        <v/>
      </c>
      <c r="E1704" s="16">
        <f>IF(B1704,StartDate+D1704,"")</f>
        <v/>
      </c>
      <c r="F1704">
        <f>IF(B1704,MAX(MOD(SIN(Seed*0.1373+C1704*12.9898+D1704*78.233)*43758.5453,1),1E-9),"")</f>
        <v/>
      </c>
      <c r="G1704">
        <f>IF(B1704,MOD(SIN(Seed*0.5917+C1704*39.3468+D1704*11.135)*24634.6345,1),"")</f>
        <v/>
      </c>
      <c r="H1704">
        <f>IF(B1704,SQRT(-2*LN(F1704))*COS(2*PI()*G1704),"")</f>
        <v/>
      </c>
      <c r="I1704">
        <f>IF(B1704,IF(D1704=0,H1704,Rho*I1703+SQRT(1-Rho^2)*H1704),"")</f>
        <v/>
      </c>
      <c r="J1704">
        <f>IF(B1704,IF(Dist="Normal",DistA+DistB*I1704,DistA+(DistB-DistA)*NORMSDIST(I1704)),"")</f>
        <v/>
      </c>
      <c r="K1704">
        <f>IF(B1704,INDEX(MineScale,C1704),"")</f>
        <v/>
      </c>
      <c r="L1704">
        <f>IF(B1704,INDEX(Dow,1,WEEKDAY(E1704,2)),"")</f>
        <v/>
      </c>
      <c r="M1704">
        <f>IF(B1704,(1+Trend)^D1704,"")</f>
        <v/>
      </c>
      <c r="N1704">
        <f>IF(B1704,EXP(SUMPRODUCT(LN(1+(EvEff-1)*INDEX(Affected,0,C1704)*EXP(-((E1704-EvCenter)^2)/(2*EvSigma^2))))),"")</f>
        <v/>
      </c>
      <c r="O1704">
        <f>IF(B1704,ROUND(MAX(0,J1704*K1704*L1704*M1704*N1704),2),"")</f>
        <v/>
      </c>
    </row>
    <row r="1705">
      <c r="A1705" t="n">
        <v>1704</v>
      </c>
      <c r="B1705">
        <f>A1705&lt;=MineCount*Days</f>
        <v/>
      </c>
      <c r="C1705">
        <f>IF(B1705,INT((A1705-1)/Days)+1,"")</f>
        <v/>
      </c>
      <c r="D1705">
        <f>IF(B1705,MOD(A1705-1,Days),"")</f>
        <v/>
      </c>
      <c r="E1705" s="16">
        <f>IF(B1705,StartDate+D1705,"")</f>
        <v/>
      </c>
      <c r="F1705">
        <f>IF(B1705,MAX(MOD(SIN(Seed*0.1373+C1705*12.9898+D1705*78.233)*43758.5453,1),1E-9),"")</f>
        <v/>
      </c>
      <c r="G1705">
        <f>IF(B1705,MOD(SIN(Seed*0.5917+C1705*39.3468+D1705*11.135)*24634.6345,1),"")</f>
        <v/>
      </c>
      <c r="H1705">
        <f>IF(B1705,SQRT(-2*LN(F1705))*COS(2*PI()*G1705),"")</f>
        <v/>
      </c>
      <c r="I1705">
        <f>IF(B1705,IF(D1705=0,H1705,Rho*I1704+SQRT(1-Rho^2)*H1705),"")</f>
        <v/>
      </c>
      <c r="J1705">
        <f>IF(B1705,IF(Dist="Normal",DistA+DistB*I1705,DistA+(DistB-DistA)*NORMSDIST(I1705)),"")</f>
        <v/>
      </c>
      <c r="K1705">
        <f>IF(B1705,INDEX(MineScale,C1705),"")</f>
        <v/>
      </c>
      <c r="L1705">
        <f>IF(B1705,INDEX(Dow,1,WEEKDAY(E1705,2)),"")</f>
        <v/>
      </c>
      <c r="M1705">
        <f>IF(B1705,(1+Trend)^D1705,"")</f>
        <v/>
      </c>
      <c r="N1705">
        <f>IF(B1705,EXP(SUMPRODUCT(LN(1+(EvEff-1)*INDEX(Affected,0,C1705)*EXP(-((E1705-EvCenter)^2)/(2*EvSigma^2))))),"")</f>
        <v/>
      </c>
      <c r="O1705">
        <f>IF(B1705,ROUND(MAX(0,J1705*K1705*L1705*M1705*N1705),2),"")</f>
        <v/>
      </c>
    </row>
    <row r="1706">
      <c r="A1706" t="n">
        <v>1705</v>
      </c>
      <c r="B1706">
        <f>A1706&lt;=MineCount*Days</f>
        <v/>
      </c>
      <c r="C1706">
        <f>IF(B1706,INT((A1706-1)/Days)+1,"")</f>
        <v/>
      </c>
      <c r="D1706">
        <f>IF(B1706,MOD(A1706-1,Days),"")</f>
        <v/>
      </c>
      <c r="E1706" s="16">
        <f>IF(B1706,StartDate+D1706,"")</f>
        <v/>
      </c>
      <c r="F1706">
        <f>IF(B1706,MAX(MOD(SIN(Seed*0.1373+C1706*12.9898+D1706*78.233)*43758.5453,1),1E-9),"")</f>
        <v/>
      </c>
      <c r="G1706">
        <f>IF(B1706,MOD(SIN(Seed*0.5917+C1706*39.3468+D1706*11.135)*24634.6345,1),"")</f>
        <v/>
      </c>
      <c r="H1706">
        <f>IF(B1706,SQRT(-2*LN(F1706))*COS(2*PI()*G1706),"")</f>
        <v/>
      </c>
      <c r="I1706">
        <f>IF(B1706,IF(D1706=0,H1706,Rho*I1705+SQRT(1-Rho^2)*H1706),"")</f>
        <v/>
      </c>
      <c r="J1706">
        <f>IF(B1706,IF(Dist="Normal",DistA+DistB*I1706,DistA+(DistB-DistA)*NORMSDIST(I1706)),"")</f>
        <v/>
      </c>
      <c r="K1706">
        <f>IF(B1706,INDEX(MineScale,C1706),"")</f>
        <v/>
      </c>
      <c r="L1706">
        <f>IF(B1706,INDEX(Dow,1,WEEKDAY(E1706,2)),"")</f>
        <v/>
      </c>
      <c r="M1706">
        <f>IF(B1706,(1+Trend)^D1706,"")</f>
        <v/>
      </c>
      <c r="N1706">
        <f>IF(B1706,EXP(SUMPRODUCT(LN(1+(EvEff-1)*INDEX(Affected,0,C1706)*EXP(-((E1706-EvCenter)^2)/(2*EvSigma^2))))),"")</f>
        <v/>
      </c>
      <c r="O1706">
        <f>IF(B1706,ROUND(MAX(0,J1706*K1706*L1706*M1706*N1706),2),"")</f>
        <v/>
      </c>
    </row>
    <row r="1707">
      <c r="A1707" t="n">
        <v>1706</v>
      </c>
      <c r="B1707">
        <f>A1707&lt;=MineCount*Days</f>
        <v/>
      </c>
      <c r="C1707">
        <f>IF(B1707,INT((A1707-1)/Days)+1,"")</f>
        <v/>
      </c>
      <c r="D1707">
        <f>IF(B1707,MOD(A1707-1,Days),"")</f>
        <v/>
      </c>
      <c r="E1707" s="16">
        <f>IF(B1707,StartDate+D1707,"")</f>
        <v/>
      </c>
      <c r="F1707">
        <f>IF(B1707,MAX(MOD(SIN(Seed*0.1373+C1707*12.9898+D1707*78.233)*43758.5453,1),1E-9),"")</f>
        <v/>
      </c>
      <c r="G1707">
        <f>IF(B1707,MOD(SIN(Seed*0.5917+C1707*39.3468+D1707*11.135)*24634.6345,1),"")</f>
        <v/>
      </c>
      <c r="H1707">
        <f>IF(B1707,SQRT(-2*LN(F1707))*COS(2*PI()*G1707),"")</f>
        <v/>
      </c>
      <c r="I1707">
        <f>IF(B1707,IF(D1707=0,H1707,Rho*I1706+SQRT(1-Rho^2)*H1707),"")</f>
        <v/>
      </c>
      <c r="J1707">
        <f>IF(B1707,IF(Dist="Normal",DistA+DistB*I1707,DistA+(DistB-DistA)*NORMSDIST(I1707)),"")</f>
        <v/>
      </c>
      <c r="K1707">
        <f>IF(B1707,INDEX(MineScale,C1707),"")</f>
        <v/>
      </c>
      <c r="L1707">
        <f>IF(B1707,INDEX(Dow,1,WEEKDAY(E1707,2)),"")</f>
        <v/>
      </c>
      <c r="M1707">
        <f>IF(B1707,(1+Trend)^D1707,"")</f>
        <v/>
      </c>
      <c r="N1707">
        <f>IF(B1707,EXP(SUMPRODUCT(LN(1+(EvEff-1)*INDEX(Affected,0,C1707)*EXP(-((E1707-EvCenter)^2)/(2*EvSigma^2))))),"")</f>
        <v/>
      </c>
      <c r="O1707">
        <f>IF(B1707,ROUND(MAX(0,J1707*K1707*L1707*M1707*N1707),2),"")</f>
        <v/>
      </c>
    </row>
    <row r="1708">
      <c r="A1708" t="n">
        <v>1707</v>
      </c>
      <c r="B1708">
        <f>A1708&lt;=MineCount*Days</f>
        <v/>
      </c>
      <c r="C1708">
        <f>IF(B1708,INT((A1708-1)/Days)+1,"")</f>
        <v/>
      </c>
      <c r="D1708">
        <f>IF(B1708,MOD(A1708-1,Days),"")</f>
        <v/>
      </c>
      <c r="E1708" s="16">
        <f>IF(B1708,StartDate+D1708,"")</f>
        <v/>
      </c>
      <c r="F1708">
        <f>IF(B1708,MAX(MOD(SIN(Seed*0.1373+C1708*12.9898+D1708*78.233)*43758.5453,1),1E-9),"")</f>
        <v/>
      </c>
      <c r="G1708">
        <f>IF(B1708,MOD(SIN(Seed*0.5917+C1708*39.3468+D1708*11.135)*24634.6345,1),"")</f>
        <v/>
      </c>
      <c r="H1708">
        <f>IF(B1708,SQRT(-2*LN(F1708))*COS(2*PI()*G1708),"")</f>
        <v/>
      </c>
      <c r="I1708">
        <f>IF(B1708,IF(D1708=0,H1708,Rho*I1707+SQRT(1-Rho^2)*H1708),"")</f>
        <v/>
      </c>
      <c r="J1708">
        <f>IF(B1708,IF(Dist="Normal",DistA+DistB*I1708,DistA+(DistB-DistA)*NORMSDIST(I1708)),"")</f>
        <v/>
      </c>
      <c r="K1708">
        <f>IF(B1708,INDEX(MineScale,C1708),"")</f>
        <v/>
      </c>
      <c r="L1708">
        <f>IF(B1708,INDEX(Dow,1,WEEKDAY(E1708,2)),"")</f>
        <v/>
      </c>
      <c r="M1708">
        <f>IF(B1708,(1+Trend)^D1708,"")</f>
        <v/>
      </c>
      <c r="N1708">
        <f>IF(B1708,EXP(SUMPRODUCT(LN(1+(EvEff-1)*INDEX(Affected,0,C1708)*EXP(-((E1708-EvCenter)^2)/(2*EvSigma^2))))),"")</f>
        <v/>
      </c>
      <c r="O1708">
        <f>IF(B1708,ROUND(MAX(0,J1708*K1708*L1708*M1708*N1708),2),"")</f>
        <v/>
      </c>
    </row>
    <row r="1709">
      <c r="A1709" t="n">
        <v>1708</v>
      </c>
      <c r="B1709">
        <f>A1709&lt;=MineCount*Days</f>
        <v/>
      </c>
      <c r="C1709">
        <f>IF(B1709,INT((A1709-1)/Days)+1,"")</f>
        <v/>
      </c>
      <c r="D1709">
        <f>IF(B1709,MOD(A1709-1,Days),"")</f>
        <v/>
      </c>
      <c r="E1709" s="16">
        <f>IF(B1709,StartDate+D1709,"")</f>
        <v/>
      </c>
      <c r="F1709">
        <f>IF(B1709,MAX(MOD(SIN(Seed*0.1373+C1709*12.9898+D1709*78.233)*43758.5453,1),1E-9),"")</f>
        <v/>
      </c>
      <c r="G1709">
        <f>IF(B1709,MOD(SIN(Seed*0.5917+C1709*39.3468+D1709*11.135)*24634.6345,1),"")</f>
        <v/>
      </c>
      <c r="H1709">
        <f>IF(B1709,SQRT(-2*LN(F1709))*COS(2*PI()*G1709),"")</f>
        <v/>
      </c>
      <c r="I1709">
        <f>IF(B1709,IF(D1709=0,H1709,Rho*I1708+SQRT(1-Rho^2)*H1709),"")</f>
        <v/>
      </c>
      <c r="J1709">
        <f>IF(B1709,IF(Dist="Normal",DistA+DistB*I1709,DistA+(DistB-DistA)*NORMSDIST(I1709)),"")</f>
        <v/>
      </c>
      <c r="K1709">
        <f>IF(B1709,INDEX(MineScale,C1709),"")</f>
        <v/>
      </c>
      <c r="L1709">
        <f>IF(B1709,INDEX(Dow,1,WEEKDAY(E1709,2)),"")</f>
        <v/>
      </c>
      <c r="M1709">
        <f>IF(B1709,(1+Trend)^D1709,"")</f>
        <v/>
      </c>
      <c r="N1709">
        <f>IF(B1709,EXP(SUMPRODUCT(LN(1+(EvEff-1)*INDEX(Affected,0,C1709)*EXP(-((E1709-EvCenter)^2)/(2*EvSigma^2))))),"")</f>
        <v/>
      </c>
      <c r="O1709">
        <f>IF(B1709,ROUND(MAX(0,J1709*K1709*L1709*M1709*N1709),2),"")</f>
        <v/>
      </c>
    </row>
    <row r="1710">
      <c r="A1710" t="n">
        <v>1709</v>
      </c>
      <c r="B1710">
        <f>A1710&lt;=MineCount*Days</f>
        <v/>
      </c>
      <c r="C1710">
        <f>IF(B1710,INT((A1710-1)/Days)+1,"")</f>
        <v/>
      </c>
      <c r="D1710">
        <f>IF(B1710,MOD(A1710-1,Days),"")</f>
        <v/>
      </c>
      <c r="E1710" s="16">
        <f>IF(B1710,StartDate+D1710,"")</f>
        <v/>
      </c>
      <c r="F1710">
        <f>IF(B1710,MAX(MOD(SIN(Seed*0.1373+C1710*12.9898+D1710*78.233)*43758.5453,1),1E-9),"")</f>
        <v/>
      </c>
      <c r="G1710">
        <f>IF(B1710,MOD(SIN(Seed*0.5917+C1710*39.3468+D1710*11.135)*24634.6345,1),"")</f>
        <v/>
      </c>
      <c r="H1710">
        <f>IF(B1710,SQRT(-2*LN(F1710))*COS(2*PI()*G1710),"")</f>
        <v/>
      </c>
      <c r="I1710">
        <f>IF(B1710,IF(D1710=0,H1710,Rho*I1709+SQRT(1-Rho^2)*H1710),"")</f>
        <v/>
      </c>
      <c r="J1710">
        <f>IF(B1710,IF(Dist="Normal",DistA+DistB*I1710,DistA+(DistB-DistA)*NORMSDIST(I1710)),"")</f>
        <v/>
      </c>
      <c r="K1710">
        <f>IF(B1710,INDEX(MineScale,C1710),"")</f>
        <v/>
      </c>
      <c r="L1710">
        <f>IF(B1710,INDEX(Dow,1,WEEKDAY(E1710,2)),"")</f>
        <v/>
      </c>
      <c r="M1710">
        <f>IF(B1710,(1+Trend)^D1710,"")</f>
        <v/>
      </c>
      <c r="N1710">
        <f>IF(B1710,EXP(SUMPRODUCT(LN(1+(EvEff-1)*INDEX(Affected,0,C1710)*EXP(-((E1710-EvCenter)^2)/(2*EvSigma^2))))),"")</f>
        <v/>
      </c>
      <c r="O1710">
        <f>IF(B1710,ROUND(MAX(0,J1710*K1710*L1710*M1710*N1710),2),"")</f>
        <v/>
      </c>
    </row>
    <row r="1711">
      <c r="A1711" t="n">
        <v>1710</v>
      </c>
      <c r="B1711">
        <f>A1711&lt;=MineCount*Days</f>
        <v/>
      </c>
      <c r="C1711">
        <f>IF(B1711,INT((A1711-1)/Days)+1,"")</f>
        <v/>
      </c>
      <c r="D1711">
        <f>IF(B1711,MOD(A1711-1,Days),"")</f>
        <v/>
      </c>
      <c r="E1711" s="16">
        <f>IF(B1711,StartDate+D1711,"")</f>
        <v/>
      </c>
      <c r="F1711">
        <f>IF(B1711,MAX(MOD(SIN(Seed*0.1373+C1711*12.9898+D1711*78.233)*43758.5453,1),1E-9),"")</f>
        <v/>
      </c>
      <c r="G1711">
        <f>IF(B1711,MOD(SIN(Seed*0.5917+C1711*39.3468+D1711*11.135)*24634.6345,1),"")</f>
        <v/>
      </c>
      <c r="H1711">
        <f>IF(B1711,SQRT(-2*LN(F1711))*COS(2*PI()*G1711),"")</f>
        <v/>
      </c>
      <c r="I1711">
        <f>IF(B1711,IF(D1711=0,H1711,Rho*I1710+SQRT(1-Rho^2)*H1711),"")</f>
        <v/>
      </c>
      <c r="J1711">
        <f>IF(B1711,IF(Dist="Normal",DistA+DistB*I1711,DistA+(DistB-DistA)*NORMSDIST(I1711)),"")</f>
        <v/>
      </c>
      <c r="K1711">
        <f>IF(B1711,INDEX(MineScale,C1711),"")</f>
        <v/>
      </c>
      <c r="L1711">
        <f>IF(B1711,INDEX(Dow,1,WEEKDAY(E1711,2)),"")</f>
        <v/>
      </c>
      <c r="M1711">
        <f>IF(B1711,(1+Trend)^D1711,"")</f>
        <v/>
      </c>
      <c r="N1711">
        <f>IF(B1711,EXP(SUMPRODUCT(LN(1+(EvEff-1)*INDEX(Affected,0,C1711)*EXP(-((E1711-EvCenter)^2)/(2*EvSigma^2))))),"")</f>
        <v/>
      </c>
      <c r="O1711">
        <f>IF(B1711,ROUND(MAX(0,J1711*K1711*L1711*M1711*N1711),2),"")</f>
        <v/>
      </c>
    </row>
    <row r="1712">
      <c r="A1712" t="n">
        <v>1711</v>
      </c>
      <c r="B1712">
        <f>A1712&lt;=MineCount*Days</f>
        <v/>
      </c>
      <c r="C1712">
        <f>IF(B1712,INT((A1712-1)/Days)+1,"")</f>
        <v/>
      </c>
      <c r="D1712">
        <f>IF(B1712,MOD(A1712-1,Days),"")</f>
        <v/>
      </c>
      <c r="E1712" s="16">
        <f>IF(B1712,StartDate+D1712,"")</f>
        <v/>
      </c>
      <c r="F1712">
        <f>IF(B1712,MAX(MOD(SIN(Seed*0.1373+C1712*12.9898+D1712*78.233)*43758.5453,1),1E-9),"")</f>
        <v/>
      </c>
      <c r="G1712">
        <f>IF(B1712,MOD(SIN(Seed*0.5917+C1712*39.3468+D1712*11.135)*24634.6345,1),"")</f>
        <v/>
      </c>
      <c r="H1712">
        <f>IF(B1712,SQRT(-2*LN(F1712))*COS(2*PI()*G1712),"")</f>
        <v/>
      </c>
      <c r="I1712">
        <f>IF(B1712,IF(D1712=0,H1712,Rho*I1711+SQRT(1-Rho^2)*H1712),"")</f>
        <v/>
      </c>
      <c r="J1712">
        <f>IF(B1712,IF(Dist="Normal",DistA+DistB*I1712,DistA+(DistB-DistA)*NORMSDIST(I1712)),"")</f>
        <v/>
      </c>
      <c r="K1712">
        <f>IF(B1712,INDEX(MineScale,C1712),"")</f>
        <v/>
      </c>
      <c r="L1712">
        <f>IF(B1712,INDEX(Dow,1,WEEKDAY(E1712,2)),"")</f>
        <v/>
      </c>
      <c r="M1712">
        <f>IF(B1712,(1+Trend)^D1712,"")</f>
        <v/>
      </c>
      <c r="N1712">
        <f>IF(B1712,EXP(SUMPRODUCT(LN(1+(EvEff-1)*INDEX(Affected,0,C1712)*EXP(-((E1712-EvCenter)^2)/(2*EvSigma^2))))),"")</f>
        <v/>
      </c>
      <c r="O1712">
        <f>IF(B1712,ROUND(MAX(0,J1712*K1712*L1712*M1712*N1712),2),"")</f>
        <v/>
      </c>
    </row>
    <row r="1713">
      <c r="A1713" t="n">
        <v>1712</v>
      </c>
      <c r="B1713">
        <f>A1713&lt;=MineCount*Days</f>
        <v/>
      </c>
      <c r="C1713">
        <f>IF(B1713,INT((A1713-1)/Days)+1,"")</f>
        <v/>
      </c>
      <c r="D1713">
        <f>IF(B1713,MOD(A1713-1,Days),"")</f>
        <v/>
      </c>
      <c r="E1713" s="16">
        <f>IF(B1713,StartDate+D1713,"")</f>
        <v/>
      </c>
      <c r="F1713">
        <f>IF(B1713,MAX(MOD(SIN(Seed*0.1373+C1713*12.9898+D1713*78.233)*43758.5453,1),1E-9),"")</f>
        <v/>
      </c>
      <c r="G1713">
        <f>IF(B1713,MOD(SIN(Seed*0.5917+C1713*39.3468+D1713*11.135)*24634.6345,1),"")</f>
        <v/>
      </c>
      <c r="H1713">
        <f>IF(B1713,SQRT(-2*LN(F1713))*COS(2*PI()*G1713),"")</f>
        <v/>
      </c>
      <c r="I1713">
        <f>IF(B1713,IF(D1713=0,H1713,Rho*I1712+SQRT(1-Rho^2)*H1713),"")</f>
        <v/>
      </c>
      <c r="J1713">
        <f>IF(B1713,IF(Dist="Normal",DistA+DistB*I1713,DistA+(DistB-DistA)*NORMSDIST(I1713)),"")</f>
        <v/>
      </c>
      <c r="K1713">
        <f>IF(B1713,INDEX(MineScale,C1713),"")</f>
        <v/>
      </c>
      <c r="L1713">
        <f>IF(B1713,INDEX(Dow,1,WEEKDAY(E1713,2)),"")</f>
        <v/>
      </c>
      <c r="M1713">
        <f>IF(B1713,(1+Trend)^D1713,"")</f>
        <v/>
      </c>
      <c r="N1713">
        <f>IF(B1713,EXP(SUMPRODUCT(LN(1+(EvEff-1)*INDEX(Affected,0,C1713)*EXP(-((E1713-EvCenter)^2)/(2*EvSigma^2))))),"")</f>
        <v/>
      </c>
      <c r="O1713">
        <f>IF(B1713,ROUND(MAX(0,J1713*K1713*L1713*M1713*N1713),2),"")</f>
        <v/>
      </c>
    </row>
    <row r="1714">
      <c r="A1714" t="n">
        <v>1713</v>
      </c>
      <c r="B1714">
        <f>A1714&lt;=MineCount*Days</f>
        <v/>
      </c>
      <c r="C1714">
        <f>IF(B1714,INT((A1714-1)/Days)+1,"")</f>
        <v/>
      </c>
      <c r="D1714">
        <f>IF(B1714,MOD(A1714-1,Days),"")</f>
        <v/>
      </c>
      <c r="E1714" s="16">
        <f>IF(B1714,StartDate+D1714,"")</f>
        <v/>
      </c>
      <c r="F1714">
        <f>IF(B1714,MAX(MOD(SIN(Seed*0.1373+C1714*12.9898+D1714*78.233)*43758.5453,1),1E-9),"")</f>
        <v/>
      </c>
      <c r="G1714">
        <f>IF(B1714,MOD(SIN(Seed*0.5917+C1714*39.3468+D1714*11.135)*24634.6345,1),"")</f>
        <v/>
      </c>
      <c r="H1714">
        <f>IF(B1714,SQRT(-2*LN(F1714))*COS(2*PI()*G1714),"")</f>
        <v/>
      </c>
      <c r="I1714">
        <f>IF(B1714,IF(D1714=0,H1714,Rho*I1713+SQRT(1-Rho^2)*H1714),"")</f>
        <v/>
      </c>
      <c r="J1714">
        <f>IF(B1714,IF(Dist="Normal",DistA+DistB*I1714,DistA+(DistB-DistA)*NORMSDIST(I1714)),"")</f>
        <v/>
      </c>
      <c r="K1714">
        <f>IF(B1714,INDEX(MineScale,C1714),"")</f>
        <v/>
      </c>
      <c r="L1714">
        <f>IF(B1714,INDEX(Dow,1,WEEKDAY(E1714,2)),"")</f>
        <v/>
      </c>
      <c r="M1714">
        <f>IF(B1714,(1+Trend)^D1714,"")</f>
        <v/>
      </c>
      <c r="N1714">
        <f>IF(B1714,EXP(SUMPRODUCT(LN(1+(EvEff-1)*INDEX(Affected,0,C1714)*EXP(-((E1714-EvCenter)^2)/(2*EvSigma^2))))),"")</f>
        <v/>
      </c>
      <c r="O1714">
        <f>IF(B1714,ROUND(MAX(0,J1714*K1714*L1714*M1714*N1714),2),"")</f>
        <v/>
      </c>
    </row>
    <row r="1715">
      <c r="A1715" t="n">
        <v>1714</v>
      </c>
      <c r="B1715">
        <f>A1715&lt;=MineCount*Days</f>
        <v/>
      </c>
      <c r="C1715">
        <f>IF(B1715,INT((A1715-1)/Days)+1,"")</f>
        <v/>
      </c>
      <c r="D1715">
        <f>IF(B1715,MOD(A1715-1,Days),"")</f>
        <v/>
      </c>
      <c r="E1715" s="16">
        <f>IF(B1715,StartDate+D1715,"")</f>
        <v/>
      </c>
      <c r="F1715">
        <f>IF(B1715,MAX(MOD(SIN(Seed*0.1373+C1715*12.9898+D1715*78.233)*43758.5453,1),1E-9),"")</f>
        <v/>
      </c>
      <c r="G1715">
        <f>IF(B1715,MOD(SIN(Seed*0.5917+C1715*39.3468+D1715*11.135)*24634.6345,1),"")</f>
        <v/>
      </c>
      <c r="H1715">
        <f>IF(B1715,SQRT(-2*LN(F1715))*COS(2*PI()*G1715),"")</f>
        <v/>
      </c>
      <c r="I1715">
        <f>IF(B1715,IF(D1715=0,H1715,Rho*I1714+SQRT(1-Rho^2)*H1715),"")</f>
        <v/>
      </c>
      <c r="J1715">
        <f>IF(B1715,IF(Dist="Normal",DistA+DistB*I1715,DistA+(DistB-DistA)*NORMSDIST(I1715)),"")</f>
        <v/>
      </c>
      <c r="K1715">
        <f>IF(B1715,INDEX(MineScale,C1715),"")</f>
        <v/>
      </c>
      <c r="L1715">
        <f>IF(B1715,INDEX(Dow,1,WEEKDAY(E1715,2)),"")</f>
        <v/>
      </c>
      <c r="M1715">
        <f>IF(B1715,(1+Trend)^D1715,"")</f>
        <v/>
      </c>
      <c r="N1715">
        <f>IF(B1715,EXP(SUMPRODUCT(LN(1+(EvEff-1)*INDEX(Affected,0,C1715)*EXP(-((E1715-EvCenter)^2)/(2*EvSigma^2))))),"")</f>
        <v/>
      </c>
      <c r="O1715">
        <f>IF(B1715,ROUND(MAX(0,J1715*K1715*L1715*M1715*N1715),2),"")</f>
        <v/>
      </c>
    </row>
    <row r="1716">
      <c r="A1716" t="n">
        <v>1715</v>
      </c>
      <c r="B1716">
        <f>A1716&lt;=MineCount*Days</f>
        <v/>
      </c>
      <c r="C1716">
        <f>IF(B1716,INT((A1716-1)/Days)+1,"")</f>
        <v/>
      </c>
      <c r="D1716">
        <f>IF(B1716,MOD(A1716-1,Days),"")</f>
        <v/>
      </c>
      <c r="E1716" s="16">
        <f>IF(B1716,StartDate+D1716,"")</f>
        <v/>
      </c>
      <c r="F1716">
        <f>IF(B1716,MAX(MOD(SIN(Seed*0.1373+C1716*12.9898+D1716*78.233)*43758.5453,1),1E-9),"")</f>
        <v/>
      </c>
      <c r="G1716">
        <f>IF(B1716,MOD(SIN(Seed*0.5917+C1716*39.3468+D1716*11.135)*24634.6345,1),"")</f>
        <v/>
      </c>
      <c r="H1716">
        <f>IF(B1716,SQRT(-2*LN(F1716))*COS(2*PI()*G1716),"")</f>
        <v/>
      </c>
      <c r="I1716">
        <f>IF(B1716,IF(D1716=0,H1716,Rho*I1715+SQRT(1-Rho^2)*H1716),"")</f>
        <v/>
      </c>
      <c r="J1716">
        <f>IF(B1716,IF(Dist="Normal",DistA+DistB*I1716,DistA+(DistB-DistA)*NORMSDIST(I1716)),"")</f>
        <v/>
      </c>
      <c r="K1716">
        <f>IF(B1716,INDEX(MineScale,C1716),"")</f>
        <v/>
      </c>
      <c r="L1716">
        <f>IF(B1716,INDEX(Dow,1,WEEKDAY(E1716,2)),"")</f>
        <v/>
      </c>
      <c r="M1716">
        <f>IF(B1716,(1+Trend)^D1716,"")</f>
        <v/>
      </c>
      <c r="N1716">
        <f>IF(B1716,EXP(SUMPRODUCT(LN(1+(EvEff-1)*INDEX(Affected,0,C1716)*EXP(-((E1716-EvCenter)^2)/(2*EvSigma^2))))),"")</f>
        <v/>
      </c>
      <c r="O1716">
        <f>IF(B1716,ROUND(MAX(0,J1716*K1716*L1716*M1716*N1716),2),"")</f>
        <v/>
      </c>
    </row>
    <row r="1717">
      <c r="A1717" t="n">
        <v>1716</v>
      </c>
      <c r="B1717">
        <f>A1717&lt;=MineCount*Days</f>
        <v/>
      </c>
      <c r="C1717">
        <f>IF(B1717,INT((A1717-1)/Days)+1,"")</f>
        <v/>
      </c>
      <c r="D1717">
        <f>IF(B1717,MOD(A1717-1,Days),"")</f>
        <v/>
      </c>
      <c r="E1717" s="16">
        <f>IF(B1717,StartDate+D1717,"")</f>
        <v/>
      </c>
      <c r="F1717">
        <f>IF(B1717,MAX(MOD(SIN(Seed*0.1373+C1717*12.9898+D1717*78.233)*43758.5453,1),1E-9),"")</f>
        <v/>
      </c>
      <c r="G1717">
        <f>IF(B1717,MOD(SIN(Seed*0.5917+C1717*39.3468+D1717*11.135)*24634.6345,1),"")</f>
        <v/>
      </c>
      <c r="H1717">
        <f>IF(B1717,SQRT(-2*LN(F1717))*COS(2*PI()*G1717),"")</f>
        <v/>
      </c>
      <c r="I1717">
        <f>IF(B1717,IF(D1717=0,H1717,Rho*I1716+SQRT(1-Rho^2)*H1717),"")</f>
        <v/>
      </c>
      <c r="J1717">
        <f>IF(B1717,IF(Dist="Normal",DistA+DistB*I1717,DistA+(DistB-DistA)*NORMSDIST(I1717)),"")</f>
        <v/>
      </c>
      <c r="K1717">
        <f>IF(B1717,INDEX(MineScale,C1717),"")</f>
        <v/>
      </c>
      <c r="L1717">
        <f>IF(B1717,INDEX(Dow,1,WEEKDAY(E1717,2)),"")</f>
        <v/>
      </c>
      <c r="M1717">
        <f>IF(B1717,(1+Trend)^D1717,"")</f>
        <v/>
      </c>
      <c r="N1717">
        <f>IF(B1717,EXP(SUMPRODUCT(LN(1+(EvEff-1)*INDEX(Affected,0,C1717)*EXP(-((E1717-EvCenter)^2)/(2*EvSigma^2))))),"")</f>
        <v/>
      </c>
      <c r="O1717">
        <f>IF(B1717,ROUND(MAX(0,J1717*K1717*L1717*M1717*N1717),2),"")</f>
        <v/>
      </c>
    </row>
    <row r="1718">
      <c r="A1718" t="n">
        <v>1717</v>
      </c>
      <c r="B1718">
        <f>A1718&lt;=MineCount*Days</f>
        <v/>
      </c>
      <c r="C1718">
        <f>IF(B1718,INT((A1718-1)/Days)+1,"")</f>
        <v/>
      </c>
      <c r="D1718">
        <f>IF(B1718,MOD(A1718-1,Days),"")</f>
        <v/>
      </c>
      <c r="E1718" s="16">
        <f>IF(B1718,StartDate+D1718,"")</f>
        <v/>
      </c>
      <c r="F1718">
        <f>IF(B1718,MAX(MOD(SIN(Seed*0.1373+C1718*12.9898+D1718*78.233)*43758.5453,1),1E-9),"")</f>
        <v/>
      </c>
      <c r="G1718">
        <f>IF(B1718,MOD(SIN(Seed*0.5917+C1718*39.3468+D1718*11.135)*24634.6345,1),"")</f>
        <v/>
      </c>
      <c r="H1718">
        <f>IF(B1718,SQRT(-2*LN(F1718))*COS(2*PI()*G1718),"")</f>
        <v/>
      </c>
      <c r="I1718">
        <f>IF(B1718,IF(D1718=0,H1718,Rho*I1717+SQRT(1-Rho^2)*H1718),"")</f>
        <v/>
      </c>
      <c r="J1718">
        <f>IF(B1718,IF(Dist="Normal",DistA+DistB*I1718,DistA+(DistB-DistA)*NORMSDIST(I1718)),"")</f>
        <v/>
      </c>
      <c r="K1718">
        <f>IF(B1718,INDEX(MineScale,C1718),"")</f>
        <v/>
      </c>
      <c r="L1718">
        <f>IF(B1718,INDEX(Dow,1,WEEKDAY(E1718,2)),"")</f>
        <v/>
      </c>
      <c r="M1718">
        <f>IF(B1718,(1+Trend)^D1718,"")</f>
        <v/>
      </c>
      <c r="N1718">
        <f>IF(B1718,EXP(SUMPRODUCT(LN(1+(EvEff-1)*INDEX(Affected,0,C1718)*EXP(-((E1718-EvCenter)^2)/(2*EvSigma^2))))),"")</f>
        <v/>
      </c>
      <c r="O1718">
        <f>IF(B1718,ROUND(MAX(0,J1718*K1718*L1718*M1718*N1718),2),"")</f>
        <v/>
      </c>
    </row>
    <row r="1719">
      <c r="A1719" t="n">
        <v>1718</v>
      </c>
      <c r="B1719">
        <f>A1719&lt;=MineCount*Days</f>
        <v/>
      </c>
      <c r="C1719">
        <f>IF(B1719,INT((A1719-1)/Days)+1,"")</f>
        <v/>
      </c>
      <c r="D1719">
        <f>IF(B1719,MOD(A1719-1,Days),"")</f>
        <v/>
      </c>
      <c r="E1719" s="16">
        <f>IF(B1719,StartDate+D1719,"")</f>
        <v/>
      </c>
      <c r="F1719">
        <f>IF(B1719,MAX(MOD(SIN(Seed*0.1373+C1719*12.9898+D1719*78.233)*43758.5453,1),1E-9),"")</f>
        <v/>
      </c>
      <c r="G1719">
        <f>IF(B1719,MOD(SIN(Seed*0.5917+C1719*39.3468+D1719*11.135)*24634.6345,1),"")</f>
        <v/>
      </c>
      <c r="H1719">
        <f>IF(B1719,SQRT(-2*LN(F1719))*COS(2*PI()*G1719),"")</f>
        <v/>
      </c>
      <c r="I1719">
        <f>IF(B1719,IF(D1719=0,H1719,Rho*I1718+SQRT(1-Rho^2)*H1719),"")</f>
        <v/>
      </c>
      <c r="J1719">
        <f>IF(B1719,IF(Dist="Normal",DistA+DistB*I1719,DistA+(DistB-DistA)*NORMSDIST(I1719)),"")</f>
        <v/>
      </c>
      <c r="K1719">
        <f>IF(B1719,INDEX(MineScale,C1719),"")</f>
        <v/>
      </c>
      <c r="L1719">
        <f>IF(B1719,INDEX(Dow,1,WEEKDAY(E1719,2)),"")</f>
        <v/>
      </c>
      <c r="M1719">
        <f>IF(B1719,(1+Trend)^D1719,"")</f>
        <v/>
      </c>
      <c r="N1719">
        <f>IF(B1719,EXP(SUMPRODUCT(LN(1+(EvEff-1)*INDEX(Affected,0,C1719)*EXP(-((E1719-EvCenter)^2)/(2*EvSigma^2))))),"")</f>
        <v/>
      </c>
      <c r="O1719">
        <f>IF(B1719,ROUND(MAX(0,J1719*K1719*L1719*M1719*N1719),2),"")</f>
        <v/>
      </c>
    </row>
    <row r="1720">
      <c r="A1720" t="n">
        <v>1719</v>
      </c>
      <c r="B1720">
        <f>A1720&lt;=MineCount*Days</f>
        <v/>
      </c>
      <c r="C1720">
        <f>IF(B1720,INT((A1720-1)/Days)+1,"")</f>
        <v/>
      </c>
      <c r="D1720">
        <f>IF(B1720,MOD(A1720-1,Days),"")</f>
        <v/>
      </c>
      <c r="E1720" s="16">
        <f>IF(B1720,StartDate+D1720,"")</f>
        <v/>
      </c>
      <c r="F1720">
        <f>IF(B1720,MAX(MOD(SIN(Seed*0.1373+C1720*12.9898+D1720*78.233)*43758.5453,1),1E-9),"")</f>
        <v/>
      </c>
      <c r="G1720">
        <f>IF(B1720,MOD(SIN(Seed*0.5917+C1720*39.3468+D1720*11.135)*24634.6345,1),"")</f>
        <v/>
      </c>
      <c r="H1720">
        <f>IF(B1720,SQRT(-2*LN(F1720))*COS(2*PI()*G1720),"")</f>
        <v/>
      </c>
      <c r="I1720">
        <f>IF(B1720,IF(D1720=0,H1720,Rho*I1719+SQRT(1-Rho^2)*H1720),"")</f>
        <v/>
      </c>
      <c r="J1720">
        <f>IF(B1720,IF(Dist="Normal",DistA+DistB*I1720,DistA+(DistB-DistA)*NORMSDIST(I1720)),"")</f>
        <v/>
      </c>
      <c r="K1720">
        <f>IF(B1720,INDEX(MineScale,C1720),"")</f>
        <v/>
      </c>
      <c r="L1720">
        <f>IF(B1720,INDEX(Dow,1,WEEKDAY(E1720,2)),"")</f>
        <v/>
      </c>
      <c r="M1720">
        <f>IF(B1720,(1+Trend)^D1720,"")</f>
        <v/>
      </c>
      <c r="N1720">
        <f>IF(B1720,EXP(SUMPRODUCT(LN(1+(EvEff-1)*INDEX(Affected,0,C1720)*EXP(-((E1720-EvCenter)^2)/(2*EvSigma^2))))),"")</f>
        <v/>
      </c>
      <c r="O1720">
        <f>IF(B1720,ROUND(MAX(0,J1720*K1720*L1720*M1720*N1720),2),"")</f>
        <v/>
      </c>
    </row>
    <row r="1721">
      <c r="A1721" t="n">
        <v>1720</v>
      </c>
      <c r="B1721">
        <f>A1721&lt;=MineCount*Days</f>
        <v/>
      </c>
      <c r="C1721">
        <f>IF(B1721,INT((A1721-1)/Days)+1,"")</f>
        <v/>
      </c>
      <c r="D1721">
        <f>IF(B1721,MOD(A1721-1,Days),"")</f>
        <v/>
      </c>
      <c r="E1721" s="16">
        <f>IF(B1721,StartDate+D1721,"")</f>
        <v/>
      </c>
      <c r="F1721">
        <f>IF(B1721,MAX(MOD(SIN(Seed*0.1373+C1721*12.9898+D1721*78.233)*43758.5453,1),1E-9),"")</f>
        <v/>
      </c>
      <c r="G1721">
        <f>IF(B1721,MOD(SIN(Seed*0.5917+C1721*39.3468+D1721*11.135)*24634.6345,1),"")</f>
        <v/>
      </c>
      <c r="H1721">
        <f>IF(B1721,SQRT(-2*LN(F1721))*COS(2*PI()*G1721),"")</f>
        <v/>
      </c>
      <c r="I1721">
        <f>IF(B1721,IF(D1721=0,H1721,Rho*I1720+SQRT(1-Rho^2)*H1721),"")</f>
        <v/>
      </c>
      <c r="J1721">
        <f>IF(B1721,IF(Dist="Normal",DistA+DistB*I1721,DistA+(DistB-DistA)*NORMSDIST(I1721)),"")</f>
        <v/>
      </c>
      <c r="K1721">
        <f>IF(B1721,INDEX(MineScale,C1721),"")</f>
        <v/>
      </c>
      <c r="L1721">
        <f>IF(B1721,INDEX(Dow,1,WEEKDAY(E1721,2)),"")</f>
        <v/>
      </c>
      <c r="M1721">
        <f>IF(B1721,(1+Trend)^D1721,"")</f>
        <v/>
      </c>
      <c r="N1721">
        <f>IF(B1721,EXP(SUMPRODUCT(LN(1+(EvEff-1)*INDEX(Affected,0,C1721)*EXP(-((E1721-EvCenter)^2)/(2*EvSigma^2))))),"")</f>
        <v/>
      </c>
      <c r="O1721">
        <f>IF(B1721,ROUND(MAX(0,J1721*K1721*L1721*M1721*N1721),2),"")</f>
        <v/>
      </c>
    </row>
    <row r="1722">
      <c r="A1722" t="n">
        <v>1721</v>
      </c>
      <c r="B1722">
        <f>A1722&lt;=MineCount*Days</f>
        <v/>
      </c>
      <c r="C1722">
        <f>IF(B1722,INT((A1722-1)/Days)+1,"")</f>
        <v/>
      </c>
      <c r="D1722">
        <f>IF(B1722,MOD(A1722-1,Days),"")</f>
        <v/>
      </c>
      <c r="E1722" s="16">
        <f>IF(B1722,StartDate+D1722,"")</f>
        <v/>
      </c>
      <c r="F1722">
        <f>IF(B1722,MAX(MOD(SIN(Seed*0.1373+C1722*12.9898+D1722*78.233)*43758.5453,1),1E-9),"")</f>
        <v/>
      </c>
      <c r="G1722">
        <f>IF(B1722,MOD(SIN(Seed*0.5917+C1722*39.3468+D1722*11.135)*24634.6345,1),"")</f>
        <v/>
      </c>
      <c r="H1722">
        <f>IF(B1722,SQRT(-2*LN(F1722))*COS(2*PI()*G1722),"")</f>
        <v/>
      </c>
      <c r="I1722">
        <f>IF(B1722,IF(D1722=0,H1722,Rho*I1721+SQRT(1-Rho^2)*H1722),"")</f>
        <v/>
      </c>
      <c r="J1722">
        <f>IF(B1722,IF(Dist="Normal",DistA+DistB*I1722,DistA+(DistB-DistA)*NORMSDIST(I1722)),"")</f>
        <v/>
      </c>
      <c r="K1722">
        <f>IF(B1722,INDEX(MineScale,C1722),"")</f>
        <v/>
      </c>
      <c r="L1722">
        <f>IF(B1722,INDEX(Dow,1,WEEKDAY(E1722,2)),"")</f>
        <v/>
      </c>
      <c r="M1722">
        <f>IF(B1722,(1+Trend)^D1722,"")</f>
        <v/>
      </c>
      <c r="N1722">
        <f>IF(B1722,EXP(SUMPRODUCT(LN(1+(EvEff-1)*INDEX(Affected,0,C1722)*EXP(-((E1722-EvCenter)^2)/(2*EvSigma^2))))),"")</f>
        <v/>
      </c>
      <c r="O1722">
        <f>IF(B1722,ROUND(MAX(0,J1722*K1722*L1722*M1722*N1722),2),"")</f>
        <v/>
      </c>
    </row>
    <row r="1723">
      <c r="A1723" t="n">
        <v>1722</v>
      </c>
      <c r="B1723">
        <f>A1723&lt;=MineCount*Days</f>
        <v/>
      </c>
      <c r="C1723">
        <f>IF(B1723,INT((A1723-1)/Days)+1,"")</f>
        <v/>
      </c>
      <c r="D1723">
        <f>IF(B1723,MOD(A1723-1,Days),"")</f>
        <v/>
      </c>
      <c r="E1723" s="16">
        <f>IF(B1723,StartDate+D1723,"")</f>
        <v/>
      </c>
      <c r="F1723">
        <f>IF(B1723,MAX(MOD(SIN(Seed*0.1373+C1723*12.9898+D1723*78.233)*43758.5453,1),1E-9),"")</f>
        <v/>
      </c>
      <c r="G1723">
        <f>IF(B1723,MOD(SIN(Seed*0.5917+C1723*39.3468+D1723*11.135)*24634.6345,1),"")</f>
        <v/>
      </c>
      <c r="H1723">
        <f>IF(B1723,SQRT(-2*LN(F1723))*COS(2*PI()*G1723),"")</f>
        <v/>
      </c>
      <c r="I1723">
        <f>IF(B1723,IF(D1723=0,H1723,Rho*I1722+SQRT(1-Rho^2)*H1723),"")</f>
        <v/>
      </c>
      <c r="J1723">
        <f>IF(B1723,IF(Dist="Normal",DistA+DistB*I1723,DistA+(DistB-DistA)*NORMSDIST(I1723)),"")</f>
        <v/>
      </c>
      <c r="K1723">
        <f>IF(B1723,INDEX(MineScale,C1723),"")</f>
        <v/>
      </c>
      <c r="L1723">
        <f>IF(B1723,INDEX(Dow,1,WEEKDAY(E1723,2)),"")</f>
        <v/>
      </c>
      <c r="M1723">
        <f>IF(B1723,(1+Trend)^D1723,"")</f>
        <v/>
      </c>
      <c r="N1723">
        <f>IF(B1723,EXP(SUMPRODUCT(LN(1+(EvEff-1)*INDEX(Affected,0,C1723)*EXP(-((E1723-EvCenter)^2)/(2*EvSigma^2))))),"")</f>
        <v/>
      </c>
      <c r="O1723">
        <f>IF(B1723,ROUND(MAX(0,J1723*K1723*L1723*M1723*N1723),2),"")</f>
        <v/>
      </c>
    </row>
    <row r="1724">
      <c r="A1724" t="n">
        <v>1723</v>
      </c>
      <c r="B1724">
        <f>A1724&lt;=MineCount*Days</f>
        <v/>
      </c>
      <c r="C1724">
        <f>IF(B1724,INT((A1724-1)/Days)+1,"")</f>
        <v/>
      </c>
      <c r="D1724">
        <f>IF(B1724,MOD(A1724-1,Days),"")</f>
        <v/>
      </c>
      <c r="E1724" s="16">
        <f>IF(B1724,StartDate+D1724,"")</f>
        <v/>
      </c>
      <c r="F1724">
        <f>IF(B1724,MAX(MOD(SIN(Seed*0.1373+C1724*12.9898+D1724*78.233)*43758.5453,1),1E-9),"")</f>
        <v/>
      </c>
      <c r="G1724">
        <f>IF(B1724,MOD(SIN(Seed*0.5917+C1724*39.3468+D1724*11.135)*24634.6345,1),"")</f>
        <v/>
      </c>
      <c r="H1724">
        <f>IF(B1724,SQRT(-2*LN(F1724))*COS(2*PI()*G1724),"")</f>
        <v/>
      </c>
      <c r="I1724">
        <f>IF(B1724,IF(D1724=0,H1724,Rho*I1723+SQRT(1-Rho^2)*H1724),"")</f>
        <v/>
      </c>
      <c r="J1724">
        <f>IF(B1724,IF(Dist="Normal",DistA+DistB*I1724,DistA+(DistB-DistA)*NORMSDIST(I1724)),"")</f>
        <v/>
      </c>
      <c r="K1724">
        <f>IF(B1724,INDEX(MineScale,C1724),"")</f>
        <v/>
      </c>
      <c r="L1724">
        <f>IF(B1724,INDEX(Dow,1,WEEKDAY(E1724,2)),"")</f>
        <v/>
      </c>
      <c r="M1724">
        <f>IF(B1724,(1+Trend)^D1724,"")</f>
        <v/>
      </c>
      <c r="N1724">
        <f>IF(B1724,EXP(SUMPRODUCT(LN(1+(EvEff-1)*INDEX(Affected,0,C1724)*EXP(-((E1724-EvCenter)^2)/(2*EvSigma^2))))),"")</f>
        <v/>
      </c>
      <c r="O1724">
        <f>IF(B1724,ROUND(MAX(0,J1724*K1724*L1724*M1724*N1724),2),"")</f>
        <v/>
      </c>
    </row>
    <row r="1725">
      <c r="A1725" t="n">
        <v>1724</v>
      </c>
      <c r="B1725">
        <f>A1725&lt;=MineCount*Days</f>
        <v/>
      </c>
      <c r="C1725">
        <f>IF(B1725,INT((A1725-1)/Days)+1,"")</f>
        <v/>
      </c>
      <c r="D1725">
        <f>IF(B1725,MOD(A1725-1,Days),"")</f>
        <v/>
      </c>
      <c r="E1725" s="16">
        <f>IF(B1725,StartDate+D1725,"")</f>
        <v/>
      </c>
      <c r="F1725">
        <f>IF(B1725,MAX(MOD(SIN(Seed*0.1373+C1725*12.9898+D1725*78.233)*43758.5453,1),1E-9),"")</f>
        <v/>
      </c>
      <c r="G1725">
        <f>IF(B1725,MOD(SIN(Seed*0.5917+C1725*39.3468+D1725*11.135)*24634.6345,1),"")</f>
        <v/>
      </c>
      <c r="H1725">
        <f>IF(B1725,SQRT(-2*LN(F1725))*COS(2*PI()*G1725),"")</f>
        <v/>
      </c>
      <c r="I1725">
        <f>IF(B1725,IF(D1725=0,H1725,Rho*I1724+SQRT(1-Rho^2)*H1725),"")</f>
        <v/>
      </c>
      <c r="J1725">
        <f>IF(B1725,IF(Dist="Normal",DistA+DistB*I1725,DistA+(DistB-DistA)*NORMSDIST(I1725)),"")</f>
        <v/>
      </c>
      <c r="K1725">
        <f>IF(B1725,INDEX(MineScale,C1725),"")</f>
        <v/>
      </c>
      <c r="L1725">
        <f>IF(B1725,INDEX(Dow,1,WEEKDAY(E1725,2)),"")</f>
        <v/>
      </c>
      <c r="M1725">
        <f>IF(B1725,(1+Trend)^D1725,"")</f>
        <v/>
      </c>
      <c r="N1725">
        <f>IF(B1725,EXP(SUMPRODUCT(LN(1+(EvEff-1)*INDEX(Affected,0,C1725)*EXP(-((E1725-EvCenter)^2)/(2*EvSigma^2))))),"")</f>
        <v/>
      </c>
      <c r="O1725">
        <f>IF(B1725,ROUND(MAX(0,J1725*K1725*L1725*M1725*N1725),2),"")</f>
        <v/>
      </c>
    </row>
    <row r="1726">
      <c r="A1726" t="n">
        <v>1725</v>
      </c>
      <c r="B1726">
        <f>A1726&lt;=MineCount*Days</f>
        <v/>
      </c>
      <c r="C1726">
        <f>IF(B1726,INT((A1726-1)/Days)+1,"")</f>
        <v/>
      </c>
      <c r="D1726">
        <f>IF(B1726,MOD(A1726-1,Days),"")</f>
        <v/>
      </c>
      <c r="E1726" s="16">
        <f>IF(B1726,StartDate+D1726,"")</f>
        <v/>
      </c>
      <c r="F1726">
        <f>IF(B1726,MAX(MOD(SIN(Seed*0.1373+C1726*12.9898+D1726*78.233)*43758.5453,1),1E-9),"")</f>
        <v/>
      </c>
      <c r="G1726">
        <f>IF(B1726,MOD(SIN(Seed*0.5917+C1726*39.3468+D1726*11.135)*24634.6345,1),"")</f>
        <v/>
      </c>
      <c r="H1726">
        <f>IF(B1726,SQRT(-2*LN(F1726))*COS(2*PI()*G1726),"")</f>
        <v/>
      </c>
      <c r="I1726">
        <f>IF(B1726,IF(D1726=0,H1726,Rho*I1725+SQRT(1-Rho^2)*H1726),"")</f>
        <v/>
      </c>
      <c r="J1726">
        <f>IF(B1726,IF(Dist="Normal",DistA+DistB*I1726,DistA+(DistB-DistA)*NORMSDIST(I1726)),"")</f>
        <v/>
      </c>
      <c r="K1726">
        <f>IF(B1726,INDEX(MineScale,C1726),"")</f>
        <v/>
      </c>
      <c r="L1726">
        <f>IF(B1726,INDEX(Dow,1,WEEKDAY(E1726,2)),"")</f>
        <v/>
      </c>
      <c r="M1726">
        <f>IF(B1726,(1+Trend)^D1726,"")</f>
        <v/>
      </c>
      <c r="N1726">
        <f>IF(B1726,EXP(SUMPRODUCT(LN(1+(EvEff-1)*INDEX(Affected,0,C1726)*EXP(-((E1726-EvCenter)^2)/(2*EvSigma^2))))),"")</f>
        <v/>
      </c>
      <c r="O1726">
        <f>IF(B1726,ROUND(MAX(0,J1726*K1726*L1726*M1726*N1726),2),"")</f>
        <v/>
      </c>
    </row>
    <row r="1727">
      <c r="A1727" t="n">
        <v>1726</v>
      </c>
      <c r="B1727">
        <f>A1727&lt;=MineCount*Days</f>
        <v/>
      </c>
      <c r="C1727">
        <f>IF(B1727,INT((A1727-1)/Days)+1,"")</f>
        <v/>
      </c>
      <c r="D1727">
        <f>IF(B1727,MOD(A1727-1,Days),"")</f>
        <v/>
      </c>
      <c r="E1727" s="16">
        <f>IF(B1727,StartDate+D1727,"")</f>
        <v/>
      </c>
      <c r="F1727">
        <f>IF(B1727,MAX(MOD(SIN(Seed*0.1373+C1727*12.9898+D1727*78.233)*43758.5453,1),1E-9),"")</f>
        <v/>
      </c>
      <c r="G1727">
        <f>IF(B1727,MOD(SIN(Seed*0.5917+C1727*39.3468+D1727*11.135)*24634.6345,1),"")</f>
        <v/>
      </c>
      <c r="H1727">
        <f>IF(B1727,SQRT(-2*LN(F1727))*COS(2*PI()*G1727),"")</f>
        <v/>
      </c>
      <c r="I1727">
        <f>IF(B1727,IF(D1727=0,H1727,Rho*I1726+SQRT(1-Rho^2)*H1727),"")</f>
        <v/>
      </c>
      <c r="J1727">
        <f>IF(B1727,IF(Dist="Normal",DistA+DistB*I1727,DistA+(DistB-DistA)*NORMSDIST(I1727)),"")</f>
        <v/>
      </c>
      <c r="K1727">
        <f>IF(B1727,INDEX(MineScale,C1727),"")</f>
        <v/>
      </c>
      <c r="L1727">
        <f>IF(B1727,INDEX(Dow,1,WEEKDAY(E1727,2)),"")</f>
        <v/>
      </c>
      <c r="M1727">
        <f>IF(B1727,(1+Trend)^D1727,"")</f>
        <v/>
      </c>
      <c r="N1727">
        <f>IF(B1727,EXP(SUMPRODUCT(LN(1+(EvEff-1)*INDEX(Affected,0,C1727)*EXP(-((E1727-EvCenter)^2)/(2*EvSigma^2))))),"")</f>
        <v/>
      </c>
      <c r="O1727">
        <f>IF(B1727,ROUND(MAX(0,J1727*K1727*L1727*M1727*N1727),2),"")</f>
        <v/>
      </c>
    </row>
    <row r="1728">
      <c r="A1728" t="n">
        <v>1727</v>
      </c>
      <c r="B1728">
        <f>A1728&lt;=MineCount*Days</f>
        <v/>
      </c>
      <c r="C1728">
        <f>IF(B1728,INT((A1728-1)/Days)+1,"")</f>
        <v/>
      </c>
      <c r="D1728">
        <f>IF(B1728,MOD(A1728-1,Days),"")</f>
        <v/>
      </c>
      <c r="E1728" s="16">
        <f>IF(B1728,StartDate+D1728,"")</f>
        <v/>
      </c>
      <c r="F1728">
        <f>IF(B1728,MAX(MOD(SIN(Seed*0.1373+C1728*12.9898+D1728*78.233)*43758.5453,1),1E-9),"")</f>
        <v/>
      </c>
      <c r="G1728">
        <f>IF(B1728,MOD(SIN(Seed*0.5917+C1728*39.3468+D1728*11.135)*24634.6345,1),"")</f>
        <v/>
      </c>
      <c r="H1728">
        <f>IF(B1728,SQRT(-2*LN(F1728))*COS(2*PI()*G1728),"")</f>
        <v/>
      </c>
      <c r="I1728">
        <f>IF(B1728,IF(D1728=0,H1728,Rho*I1727+SQRT(1-Rho^2)*H1728),"")</f>
        <v/>
      </c>
      <c r="J1728">
        <f>IF(B1728,IF(Dist="Normal",DistA+DistB*I1728,DistA+(DistB-DistA)*NORMSDIST(I1728)),"")</f>
        <v/>
      </c>
      <c r="K1728">
        <f>IF(B1728,INDEX(MineScale,C1728),"")</f>
        <v/>
      </c>
      <c r="L1728">
        <f>IF(B1728,INDEX(Dow,1,WEEKDAY(E1728,2)),"")</f>
        <v/>
      </c>
      <c r="M1728">
        <f>IF(B1728,(1+Trend)^D1728,"")</f>
        <v/>
      </c>
      <c r="N1728">
        <f>IF(B1728,EXP(SUMPRODUCT(LN(1+(EvEff-1)*INDEX(Affected,0,C1728)*EXP(-((E1728-EvCenter)^2)/(2*EvSigma^2))))),"")</f>
        <v/>
      </c>
      <c r="O1728">
        <f>IF(B1728,ROUND(MAX(0,J1728*K1728*L1728*M1728*N1728),2),"")</f>
        <v/>
      </c>
    </row>
    <row r="1729">
      <c r="A1729" t="n">
        <v>1728</v>
      </c>
      <c r="B1729">
        <f>A1729&lt;=MineCount*Days</f>
        <v/>
      </c>
      <c r="C1729">
        <f>IF(B1729,INT((A1729-1)/Days)+1,"")</f>
        <v/>
      </c>
      <c r="D1729">
        <f>IF(B1729,MOD(A1729-1,Days),"")</f>
        <v/>
      </c>
      <c r="E1729" s="16">
        <f>IF(B1729,StartDate+D1729,"")</f>
        <v/>
      </c>
      <c r="F1729">
        <f>IF(B1729,MAX(MOD(SIN(Seed*0.1373+C1729*12.9898+D1729*78.233)*43758.5453,1),1E-9),"")</f>
        <v/>
      </c>
      <c r="G1729">
        <f>IF(B1729,MOD(SIN(Seed*0.5917+C1729*39.3468+D1729*11.135)*24634.6345,1),"")</f>
        <v/>
      </c>
      <c r="H1729">
        <f>IF(B1729,SQRT(-2*LN(F1729))*COS(2*PI()*G1729),"")</f>
        <v/>
      </c>
      <c r="I1729">
        <f>IF(B1729,IF(D1729=0,H1729,Rho*I1728+SQRT(1-Rho^2)*H1729),"")</f>
        <v/>
      </c>
      <c r="J1729">
        <f>IF(B1729,IF(Dist="Normal",DistA+DistB*I1729,DistA+(DistB-DistA)*NORMSDIST(I1729)),"")</f>
        <v/>
      </c>
      <c r="K1729">
        <f>IF(B1729,INDEX(MineScale,C1729),"")</f>
        <v/>
      </c>
      <c r="L1729">
        <f>IF(B1729,INDEX(Dow,1,WEEKDAY(E1729,2)),"")</f>
        <v/>
      </c>
      <c r="M1729">
        <f>IF(B1729,(1+Trend)^D1729,"")</f>
        <v/>
      </c>
      <c r="N1729">
        <f>IF(B1729,EXP(SUMPRODUCT(LN(1+(EvEff-1)*INDEX(Affected,0,C1729)*EXP(-((E1729-EvCenter)^2)/(2*EvSigma^2))))),"")</f>
        <v/>
      </c>
      <c r="O1729">
        <f>IF(B1729,ROUND(MAX(0,J1729*K1729*L1729*M1729*N1729),2),"")</f>
        <v/>
      </c>
    </row>
    <row r="1730">
      <c r="A1730" t="n">
        <v>1729</v>
      </c>
      <c r="B1730">
        <f>A1730&lt;=MineCount*Days</f>
        <v/>
      </c>
      <c r="C1730">
        <f>IF(B1730,INT((A1730-1)/Days)+1,"")</f>
        <v/>
      </c>
      <c r="D1730">
        <f>IF(B1730,MOD(A1730-1,Days),"")</f>
        <v/>
      </c>
      <c r="E1730" s="16">
        <f>IF(B1730,StartDate+D1730,"")</f>
        <v/>
      </c>
      <c r="F1730">
        <f>IF(B1730,MAX(MOD(SIN(Seed*0.1373+C1730*12.9898+D1730*78.233)*43758.5453,1),1E-9),"")</f>
        <v/>
      </c>
      <c r="G1730">
        <f>IF(B1730,MOD(SIN(Seed*0.5917+C1730*39.3468+D1730*11.135)*24634.6345,1),"")</f>
        <v/>
      </c>
      <c r="H1730">
        <f>IF(B1730,SQRT(-2*LN(F1730))*COS(2*PI()*G1730),"")</f>
        <v/>
      </c>
      <c r="I1730">
        <f>IF(B1730,IF(D1730=0,H1730,Rho*I1729+SQRT(1-Rho^2)*H1730),"")</f>
        <v/>
      </c>
      <c r="J1730">
        <f>IF(B1730,IF(Dist="Normal",DistA+DistB*I1730,DistA+(DistB-DistA)*NORMSDIST(I1730)),"")</f>
        <v/>
      </c>
      <c r="K1730">
        <f>IF(B1730,INDEX(MineScale,C1730),"")</f>
        <v/>
      </c>
      <c r="L1730">
        <f>IF(B1730,INDEX(Dow,1,WEEKDAY(E1730,2)),"")</f>
        <v/>
      </c>
      <c r="M1730">
        <f>IF(B1730,(1+Trend)^D1730,"")</f>
        <v/>
      </c>
      <c r="N1730">
        <f>IF(B1730,EXP(SUMPRODUCT(LN(1+(EvEff-1)*INDEX(Affected,0,C1730)*EXP(-((E1730-EvCenter)^2)/(2*EvSigma^2))))),"")</f>
        <v/>
      </c>
      <c r="O1730">
        <f>IF(B1730,ROUND(MAX(0,J1730*K1730*L1730*M1730*N1730),2),"")</f>
        <v/>
      </c>
    </row>
    <row r="1731">
      <c r="A1731" t="n">
        <v>1730</v>
      </c>
      <c r="B1731">
        <f>A1731&lt;=MineCount*Days</f>
        <v/>
      </c>
      <c r="C1731">
        <f>IF(B1731,INT((A1731-1)/Days)+1,"")</f>
        <v/>
      </c>
      <c r="D1731">
        <f>IF(B1731,MOD(A1731-1,Days),"")</f>
        <v/>
      </c>
      <c r="E1731" s="16">
        <f>IF(B1731,StartDate+D1731,"")</f>
        <v/>
      </c>
      <c r="F1731">
        <f>IF(B1731,MAX(MOD(SIN(Seed*0.1373+C1731*12.9898+D1731*78.233)*43758.5453,1),1E-9),"")</f>
        <v/>
      </c>
      <c r="G1731">
        <f>IF(B1731,MOD(SIN(Seed*0.5917+C1731*39.3468+D1731*11.135)*24634.6345,1),"")</f>
        <v/>
      </c>
      <c r="H1731">
        <f>IF(B1731,SQRT(-2*LN(F1731))*COS(2*PI()*G1731),"")</f>
        <v/>
      </c>
      <c r="I1731">
        <f>IF(B1731,IF(D1731=0,H1731,Rho*I1730+SQRT(1-Rho^2)*H1731),"")</f>
        <v/>
      </c>
      <c r="J1731">
        <f>IF(B1731,IF(Dist="Normal",DistA+DistB*I1731,DistA+(DistB-DistA)*NORMSDIST(I1731)),"")</f>
        <v/>
      </c>
      <c r="K1731">
        <f>IF(B1731,INDEX(MineScale,C1731),"")</f>
        <v/>
      </c>
      <c r="L1731">
        <f>IF(B1731,INDEX(Dow,1,WEEKDAY(E1731,2)),"")</f>
        <v/>
      </c>
      <c r="M1731">
        <f>IF(B1731,(1+Trend)^D1731,"")</f>
        <v/>
      </c>
      <c r="N1731">
        <f>IF(B1731,EXP(SUMPRODUCT(LN(1+(EvEff-1)*INDEX(Affected,0,C1731)*EXP(-((E1731-EvCenter)^2)/(2*EvSigma^2))))),"")</f>
        <v/>
      </c>
      <c r="O1731">
        <f>IF(B1731,ROUND(MAX(0,J1731*K1731*L1731*M1731*N1731),2),"")</f>
        <v/>
      </c>
    </row>
    <row r="1732">
      <c r="A1732" t="n">
        <v>1731</v>
      </c>
      <c r="B1732">
        <f>A1732&lt;=MineCount*Days</f>
        <v/>
      </c>
      <c r="C1732">
        <f>IF(B1732,INT((A1732-1)/Days)+1,"")</f>
        <v/>
      </c>
      <c r="D1732">
        <f>IF(B1732,MOD(A1732-1,Days),"")</f>
        <v/>
      </c>
      <c r="E1732" s="16">
        <f>IF(B1732,StartDate+D1732,"")</f>
        <v/>
      </c>
      <c r="F1732">
        <f>IF(B1732,MAX(MOD(SIN(Seed*0.1373+C1732*12.9898+D1732*78.233)*43758.5453,1),1E-9),"")</f>
        <v/>
      </c>
      <c r="G1732">
        <f>IF(B1732,MOD(SIN(Seed*0.5917+C1732*39.3468+D1732*11.135)*24634.6345,1),"")</f>
        <v/>
      </c>
      <c r="H1732">
        <f>IF(B1732,SQRT(-2*LN(F1732))*COS(2*PI()*G1732),"")</f>
        <v/>
      </c>
      <c r="I1732">
        <f>IF(B1732,IF(D1732=0,H1732,Rho*I1731+SQRT(1-Rho^2)*H1732),"")</f>
        <v/>
      </c>
      <c r="J1732">
        <f>IF(B1732,IF(Dist="Normal",DistA+DistB*I1732,DistA+(DistB-DistA)*NORMSDIST(I1732)),"")</f>
        <v/>
      </c>
      <c r="K1732">
        <f>IF(B1732,INDEX(MineScale,C1732),"")</f>
        <v/>
      </c>
      <c r="L1732">
        <f>IF(B1732,INDEX(Dow,1,WEEKDAY(E1732,2)),"")</f>
        <v/>
      </c>
      <c r="M1732">
        <f>IF(B1732,(1+Trend)^D1732,"")</f>
        <v/>
      </c>
      <c r="N1732">
        <f>IF(B1732,EXP(SUMPRODUCT(LN(1+(EvEff-1)*INDEX(Affected,0,C1732)*EXP(-((E1732-EvCenter)^2)/(2*EvSigma^2))))),"")</f>
        <v/>
      </c>
      <c r="O1732">
        <f>IF(B1732,ROUND(MAX(0,J1732*K1732*L1732*M1732*N1732),2),"")</f>
        <v/>
      </c>
    </row>
    <row r="1733">
      <c r="A1733" t="n">
        <v>1732</v>
      </c>
      <c r="B1733">
        <f>A1733&lt;=MineCount*Days</f>
        <v/>
      </c>
      <c r="C1733">
        <f>IF(B1733,INT((A1733-1)/Days)+1,"")</f>
        <v/>
      </c>
      <c r="D1733">
        <f>IF(B1733,MOD(A1733-1,Days),"")</f>
        <v/>
      </c>
      <c r="E1733" s="16">
        <f>IF(B1733,StartDate+D1733,"")</f>
        <v/>
      </c>
      <c r="F1733">
        <f>IF(B1733,MAX(MOD(SIN(Seed*0.1373+C1733*12.9898+D1733*78.233)*43758.5453,1),1E-9),"")</f>
        <v/>
      </c>
      <c r="G1733">
        <f>IF(B1733,MOD(SIN(Seed*0.5917+C1733*39.3468+D1733*11.135)*24634.6345,1),"")</f>
        <v/>
      </c>
      <c r="H1733">
        <f>IF(B1733,SQRT(-2*LN(F1733))*COS(2*PI()*G1733),"")</f>
        <v/>
      </c>
      <c r="I1733">
        <f>IF(B1733,IF(D1733=0,H1733,Rho*I1732+SQRT(1-Rho^2)*H1733),"")</f>
        <v/>
      </c>
      <c r="J1733">
        <f>IF(B1733,IF(Dist="Normal",DistA+DistB*I1733,DistA+(DistB-DistA)*NORMSDIST(I1733)),"")</f>
        <v/>
      </c>
      <c r="K1733">
        <f>IF(B1733,INDEX(MineScale,C1733),"")</f>
        <v/>
      </c>
      <c r="L1733">
        <f>IF(B1733,INDEX(Dow,1,WEEKDAY(E1733,2)),"")</f>
        <v/>
      </c>
      <c r="M1733">
        <f>IF(B1733,(1+Trend)^D1733,"")</f>
        <v/>
      </c>
      <c r="N1733">
        <f>IF(B1733,EXP(SUMPRODUCT(LN(1+(EvEff-1)*INDEX(Affected,0,C1733)*EXP(-((E1733-EvCenter)^2)/(2*EvSigma^2))))),"")</f>
        <v/>
      </c>
      <c r="O1733">
        <f>IF(B1733,ROUND(MAX(0,J1733*K1733*L1733*M1733*N1733),2),"")</f>
        <v/>
      </c>
    </row>
    <row r="1734">
      <c r="A1734" t="n">
        <v>1733</v>
      </c>
      <c r="B1734">
        <f>A1734&lt;=MineCount*Days</f>
        <v/>
      </c>
      <c r="C1734">
        <f>IF(B1734,INT((A1734-1)/Days)+1,"")</f>
        <v/>
      </c>
      <c r="D1734">
        <f>IF(B1734,MOD(A1734-1,Days),"")</f>
        <v/>
      </c>
      <c r="E1734" s="16">
        <f>IF(B1734,StartDate+D1734,"")</f>
        <v/>
      </c>
      <c r="F1734">
        <f>IF(B1734,MAX(MOD(SIN(Seed*0.1373+C1734*12.9898+D1734*78.233)*43758.5453,1),1E-9),"")</f>
        <v/>
      </c>
      <c r="G1734">
        <f>IF(B1734,MOD(SIN(Seed*0.5917+C1734*39.3468+D1734*11.135)*24634.6345,1),"")</f>
        <v/>
      </c>
      <c r="H1734">
        <f>IF(B1734,SQRT(-2*LN(F1734))*COS(2*PI()*G1734),"")</f>
        <v/>
      </c>
      <c r="I1734">
        <f>IF(B1734,IF(D1734=0,H1734,Rho*I1733+SQRT(1-Rho^2)*H1734),"")</f>
        <v/>
      </c>
      <c r="J1734">
        <f>IF(B1734,IF(Dist="Normal",DistA+DistB*I1734,DistA+(DistB-DistA)*NORMSDIST(I1734)),"")</f>
        <v/>
      </c>
      <c r="K1734">
        <f>IF(B1734,INDEX(MineScale,C1734),"")</f>
        <v/>
      </c>
      <c r="L1734">
        <f>IF(B1734,INDEX(Dow,1,WEEKDAY(E1734,2)),"")</f>
        <v/>
      </c>
      <c r="M1734">
        <f>IF(B1734,(1+Trend)^D1734,"")</f>
        <v/>
      </c>
      <c r="N1734">
        <f>IF(B1734,EXP(SUMPRODUCT(LN(1+(EvEff-1)*INDEX(Affected,0,C1734)*EXP(-((E1734-EvCenter)^2)/(2*EvSigma^2))))),"")</f>
        <v/>
      </c>
      <c r="O1734">
        <f>IF(B1734,ROUND(MAX(0,J1734*K1734*L1734*M1734*N1734),2),"")</f>
        <v/>
      </c>
    </row>
    <row r="1735">
      <c r="A1735" t="n">
        <v>1734</v>
      </c>
      <c r="B1735">
        <f>A1735&lt;=MineCount*Days</f>
        <v/>
      </c>
      <c r="C1735">
        <f>IF(B1735,INT((A1735-1)/Days)+1,"")</f>
        <v/>
      </c>
      <c r="D1735">
        <f>IF(B1735,MOD(A1735-1,Days),"")</f>
        <v/>
      </c>
      <c r="E1735" s="16">
        <f>IF(B1735,StartDate+D1735,"")</f>
        <v/>
      </c>
      <c r="F1735">
        <f>IF(B1735,MAX(MOD(SIN(Seed*0.1373+C1735*12.9898+D1735*78.233)*43758.5453,1),1E-9),"")</f>
        <v/>
      </c>
      <c r="G1735">
        <f>IF(B1735,MOD(SIN(Seed*0.5917+C1735*39.3468+D1735*11.135)*24634.6345,1),"")</f>
        <v/>
      </c>
      <c r="H1735">
        <f>IF(B1735,SQRT(-2*LN(F1735))*COS(2*PI()*G1735),"")</f>
        <v/>
      </c>
      <c r="I1735">
        <f>IF(B1735,IF(D1735=0,H1735,Rho*I1734+SQRT(1-Rho^2)*H1735),"")</f>
        <v/>
      </c>
      <c r="J1735">
        <f>IF(B1735,IF(Dist="Normal",DistA+DistB*I1735,DistA+(DistB-DistA)*NORMSDIST(I1735)),"")</f>
        <v/>
      </c>
      <c r="K1735">
        <f>IF(B1735,INDEX(MineScale,C1735),"")</f>
        <v/>
      </c>
      <c r="L1735">
        <f>IF(B1735,INDEX(Dow,1,WEEKDAY(E1735,2)),"")</f>
        <v/>
      </c>
      <c r="M1735">
        <f>IF(B1735,(1+Trend)^D1735,"")</f>
        <v/>
      </c>
      <c r="N1735">
        <f>IF(B1735,EXP(SUMPRODUCT(LN(1+(EvEff-1)*INDEX(Affected,0,C1735)*EXP(-((E1735-EvCenter)^2)/(2*EvSigma^2))))),"")</f>
        <v/>
      </c>
      <c r="O1735">
        <f>IF(B1735,ROUND(MAX(0,J1735*K1735*L1735*M1735*N1735),2),"")</f>
        <v/>
      </c>
    </row>
    <row r="1736">
      <c r="A1736" t="n">
        <v>1735</v>
      </c>
      <c r="B1736">
        <f>A1736&lt;=MineCount*Days</f>
        <v/>
      </c>
      <c r="C1736">
        <f>IF(B1736,INT((A1736-1)/Days)+1,"")</f>
        <v/>
      </c>
      <c r="D1736">
        <f>IF(B1736,MOD(A1736-1,Days),"")</f>
        <v/>
      </c>
      <c r="E1736" s="16">
        <f>IF(B1736,StartDate+D1736,"")</f>
        <v/>
      </c>
      <c r="F1736">
        <f>IF(B1736,MAX(MOD(SIN(Seed*0.1373+C1736*12.9898+D1736*78.233)*43758.5453,1),1E-9),"")</f>
        <v/>
      </c>
      <c r="G1736">
        <f>IF(B1736,MOD(SIN(Seed*0.5917+C1736*39.3468+D1736*11.135)*24634.6345,1),"")</f>
        <v/>
      </c>
      <c r="H1736">
        <f>IF(B1736,SQRT(-2*LN(F1736))*COS(2*PI()*G1736),"")</f>
        <v/>
      </c>
      <c r="I1736">
        <f>IF(B1736,IF(D1736=0,H1736,Rho*I1735+SQRT(1-Rho^2)*H1736),"")</f>
        <v/>
      </c>
      <c r="J1736">
        <f>IF(B1736,IF(Dist="Normal",DistA+DistB*I1736,DistA+(DistB-DistA)*NORMSDIST(I1736)),"")</f>
        <v/>
      </c>
      <c r="K1736">
        <f>IF(B1736,INDEX(MineScale,C1736),"")</f>
        <v/>
      </c>
      <c r="L1736">
        <f>IF(B1736,INDEX(Dow,1,WEEKDAY(E1736,2)),"")</f>
        <v/>
      </c>
      <c r="M1736">
        <f>IF(B1736,(1+Trend)^D1736,"")</f>
        <v/>
      </c>
      <c r="N1736">
        <f>IF(B1736,EXP(SUMPRODUCT(LN(1+(EvEff-1)*INDEX(Affected,0,C1736)*EXP(-((E1736-EvCenter)^2)/(2*EvSigma^2))))),"")</f>
        <v/>
      </c>
      <c r="O1736">
        <f>IF(B1736,ROUND(MAX(0,J1736*K1736*L1736*M1736*N1736),2),"")</f>
        <v/>
      </c>
    </row>
    <row r="1737">
      <c r="A1737" t="n">
        <v>1736</v>
      </c>
      <c r="B1737">
        <f>A1737&lt;=MineCount*Days</f>
        <v/>
      </c>
      <c r="C1737">
        <f>IF(B1737,INT((A1737-1)/Days)+1,"")</f>
        <v/>
      </c>
      <c r="D1737">
        <f>IF(B1737,MOD(A1737-1,Days),"")</f>
        <v/>
      </c>
      <c r="E1737" s="16">
        <f>IF(B1737,StartDate+D1737,"")</f>
        <v/>
      </c>
      <c r="F1737">
        <f>IF(B1737,MAX(MOD(SIN(Seed*0.1373+C1737*12.9898+D1737*78.233)*43758.5453,1),1E-9),"")</f>
        <v/>
      </c>
      <c r="G1737">
        <f>IF(B1737,MOD(SIN(Seed*0.5917+C1737*39.3468+D1737*11.135)*24634.6345,1),"")</f>
        <v/>
      </c>
      <c r="H1737">
        <f>IF(B1737,SQRT(-2*LN(F1737))*COS(2*PI()*G1737),"")</f>
        <v/>
      </c>
      <c r="I1737">
        <f>IF(B1737,IF(D1737=0,H1737,Rho*I1736+SQRT(1-Rho^2)*H1737),"")</f>
        <v/>
      </c>
      <c r="J1737">
        <f>IF(B1737,IF(Dist="Normal",DistA+DistB*I1737,DistA+(DistB-DistA)*NORMSDIST(I1737)),"")</f>
        <v/>
      </c>
      <c r="K1737">
        <f>IF(B1737,INDEX(MineScale,C1737),"")</f>
        <v/>
      </c>
      <c r="L1737">
        <f>IF(B1737,INDEX(Dow,1,WEEKDAY(E1737,2)),"")</f>
        <v/>
      </c>
      <c r="M1737">
        <f>IF(B1737,(1+Trend)^D1737,"")</f>
        <v/>
      </c>
      <c r="N1737">
        <f>IF(B1737,EXP(SUMPRODUCT(LN(1+(EvEff-1)*INDEX(Affected,0,C1737)*EXP(-((E1737-EvCenter)^2)/(2*EvSigma^2))))),"")</f>
        <v/>
      </c>
      <c r="O1737">
        <f>IF(B1737,ROUND(MAX(0,J1737*K1737*L1737*M1737*N1737),2),"")</f>
        <v/>
      </c>
    </row>
    <row r="1738">
      <c r="A1738" t="n">
        <v>1737</v>
      </c>
      <c r="B1738">
        <f>A1738&lt;=MineCount*Days</f>
        <v/>
      </c>
      <c r="C1738">
        <f>IF(B1738,INT((A1738-1)/Days)+1,"")</f>
        <v/>
      </c>
      <c r="D1738">
        <f>IF(B1738,MOD(A1738-1,Days),"")</f>
        <v/>
      </c>
      <c r="E1738" s="16">
        <f>IF(B1738,StartDate+D1738,"")</f>
        <v/>
      </c>
      <c r="F1738">
        <f>IF(B1738,MAX(MOD(SIN(Seed*0.1373+C1738*12.9898+D1738*78.233)*43758.5453,1),1E-9),"")</f>
        <v/>
      </c>
      <c r="G1738">
        <f>IF(B1738,MOD(SIN(Seed*0.5917+C1738*39.3468+D1738*11.135)*24634.6345,1),"")</f>
        <v/>
      </c>
      <c r="H1738">
        <f>IF(B1738,SQRT(-2*LN(F1738))*COS(2*PI()*G1738),"")</f>
        <v/>
      </c>
      <c r="I1738">
        <f>IF(B1738,IF(D1738=0,H1738,Rho*I1737+SQRT(1-Rho^2)*H1738),"")</f>
        <v/>
      </c>
      <c r="J1738">
        <f>IF(B1738,IF(Dist="Normal",DistA+DistB*I1738,DistA+(DistB-DistA)*NORMSDIST(I1738)),"")</f>
        <v/>
      </c>
      <c r="K1738">
        <f>IF(B1738,INDEX(MineScale,C1738),"")</f>
        <v/>
      </c>
      <c r="L1738">
        <f>IF(B1738,INDEX(Dow,1,WEEKDAY(E1738,2)),"")</f>
        <v/>
      </c>
      <c r="M1738">
        <f>IF(B1738,(1+Trend)^D1738,"")</f>
        <v/>
      </c>
      <c r="N1738">
        <f>IF(B1738,EXP(SUMPRODUCT(LN(1+(EvEff-1)*INDEX(Affected,0,C1738)*EXP(-((E1738-EvCenter)^2)/(2*EvSigma^2))))),"")</f>
        <v/>
      </c>
      <c r="O1738">
        <f>IF(B1738,ROUND(MAX(0,J1738*K1738*L1738*M1738*N1738),2),"")</f>
        <v/>
      </c>
    </row>
    <row r="1739">
      <c r="A1739" t="n">
        <v>1738</v>
      </c>
      <c r="B1739">
        <f>A1739&lt;=MineCount*Days</f>
        <v/>
      </c>
      <c r="C1739">
        <f>IF(B1739,INT((A1739-1)/Days)+1,"")</f>
        <v/>
      </c>
      <c r="D1739">
        <f>IF(B1739,MOD(A1739-1,Days),"")</f>
        <v/>
      </c>
      <c r="E1739" s="16">
        <f>IF(B1739,StartDate+D1739,"")</f>
        <v/>
      </c>
      <c r="F1739">
        <f>IF(B1739,MAX(MOD(SIN(Seed*0.1373+C1739*12.9898+D1739*78.233)*43758.5453,1),1E-9),"")</f>
        <v/>
      </c>
      <c r="G1739">
        <f>IF(B1739,MOD(SIN(Seed*0.5917+C1739*39.3468+D1739*11.135)*24634.6345,1),"")</f>
        <v/>
      </c>
      <c r="H1739">
        <f>IF(B1739,SQRT(-2*LN(F1739))*COS(2*PI()*G1739),"")</f>
        <v/>
      </c>
      <c r="I1739">
        <f>IF(B1739,IF(D1739=0,H1739,Rho*I1738+SQRT(1-Rho^2)*H1739),"")</f>
        <v/>
      </c>
      <c r="J1739">
        <f>IF(B1739,IF(Dist="Normal",DistA+DistB*I1739,DistA+(DistB-DistA)*NORMSDIST(I1739)),"")</f>
        <v/>
      </c>
      <c r="K1739">
        <f>IF(B1739,INDEX(MineScale,C1739),"")</f>
        <v/>
      </c>
      <c r="L1739">
        <f>IF(B1739,INDEX(Dow,1,WEEKDAY(E1739,2)),"")</f>
        <v/>
      </c>
      <c r="M1739">
        <f>IF(B1739,(1+Trend)^D1739,"")</f>
        <v/>
      </c>
      <c r="N1739">
        <f>IF(B1739,EXP(SUMPRODUCT(LN(1+(EvEff-1)*INDEX(Affected,0,C1739)*EXP(-((E1739-EvCenter)^2)/(2*EvSigma^2))))),"")</f>
        <v/>
      </c>
      <c r="O1739">
        <f>IF(B1739,ROUND(MAX(0,J1739*K1739*L1739*M1739*N1739),2),"")</f>
        <v/>
      </c>
    </row>
    <row r="1740">
      <c r="A1740" t="n">
        <v>1739</v>
      </c>
      <c r="B1740">
        <f>A1740&lt;=MineCount*Days</f>
        <v/>
      </c>
      <c r="C1740">
        <f>IF(B1740,INT((A1740-1)/Days)+1,"")</f>
        <v/>
      </c>
      <c r="D1740">
        <f>IF(B1740,MOD(A1740-1,Days),"")</f>
        <v/>
      </c>
      <c r="E1740" s="16">
        <f>IF(B1740,StartDate+D1740,"")</f>
        <v/>
      </c>
      <c r="F1740">
        <f>IF(B1740,MAX(MOD(SIN(Seed*0.1373+C1740*12.9898+D1740*78.233)*43758.5453,1),1E-9),"")</f>
        <v/>
      </c>
      <c r="G1740">
        <f>IF(B1740,MOD(SIN(Seed*0.5917+C1740*39.3468+D1740*11.135)*24634.6345,1),"")</f>
        <v/>
      </c>
      <c r="H1740">
        <f>IF(B1740,SQRT(-2*LN(F1740))*COS(2*PI()*G1740),"")</f>
        <v/>
      </c>
      <c r="I1740">
        <f>IF(B1740,IF(D1740=0,H1740,Rho*I1739+SQRT(1-Rho^2)*H1740),"")</f>
        <v/>
      </c>
      <c r="J1740">
        <f>IF(B1740,IF(Dist="Normal",DistA+DistB*I1740,DistA+(DistB-DistA)*NORMSDIST(I1740)),"")</f>
        <v/>
      </c>
      <c r="K1740">
        <f>IF(B1740,INDEX(MineScale,C1740),"")</f>
        <v/>
      </c>
      <c r="L1740">
        <f>IF(B1740,INDEX(Dow,1,WEEKDAY(E1740,2)),"")</f>
        <v/>
      </c>
      <c r="M1740">
        <f>IF(B1740,(1+Trend)^D1740,"")</f>
        <v/>
      </c>
      <c r="N1740">
        <f>IF(B1740,EXP(SUMPRODUCT(LN(1+(EvEff-1)*INDEX(Affected,0,C1740)*EXP(-((E1740-EvCenter)^2)/(2*EvSigma^2))))),"")</f>
        <v/>
      </c>
      <c r="O1740">
        <f>IF(B1740,ROUND(MAX(0,J1740*K1740*L1740*M1740*N1740),2),"")</f>
        <v/>
      </c>
    </row>
    <row r="1741">
      <c r="A1741" t="n">
        <v>1740</v>
      </c>
      <c r="B1741">
        <f>A1741&lt;=MineCount*Days</f>
        <v/>
      </c>
      <c r="C1741">
        <f>IF(B1741,INT((A1741-1)/Days)+1,"")</f>
        <v/>
      </c>
      <c r="D1741">
        <f>IF(B1741,MOD(A1741-1,Days),"")</f>
        <v/>
      </c>
      <c r="E1741" s="16">
        <f>IF(B1741,StartDate+D1741,"")</f>
        <v/>
      </c>
      <c r="F1741">
        <f>IF(B1741,MAX(MOD(SIN(Seed*0.1373+C1741*12.9898+D1741*78.233)*43758.5453,1),1E-9),"")</f>
        <v/>
      </c>
      <c r="G1741">
        <f>IF(B1741,MOD(SIN(Seed*0.5917+C1741*39.3468+D1741*11.135)*24634.6345,1),"")</f>
        <v/>
      </c>
      <c r="H1741">
        <f>IF(B1741,SQRT(-2*LN(F1741))*COS(2*PI()*G1741),"")</f>
        <v/>
      </c>
      <c r="I1741">
        <f>IF(B1741,IF(D1741=0,H1741,Rho*I1740+SQRT(1-Rho^2)*H1741),"")</f>
        <v/>
      </c>
      <c r="J1741">
        <f>IF(B1741,IF(Dist="Normal",DistA+DistB*I1741,DistA+(DistB-DistA)*NORMSDIST(I1741)),"")</f>
        <v/>
      </c>
      <c r="K1741">
        <f>IF(B1741,INDEX(MineScale,C1741),"")</f>
        <v/>
      </c>
      <c r="L1741">
        <f>IF(B1741,INDEX(Dow,1,WEEKDAY(E1741,2)),"")</f>
        <v/>
      </c>
      <c r="M1741">
        <f>IF(B1741,(1+Trend)^D1741,"")</f>
        <v/>
      </c>
      <c r="N1741">
        <f>IF(B1741,EXP(SUMPRODUCT(LN(1+(EvEff-1)*INDEX(Affected,0,C1741)*EXP(-((E1741-EvCenter)^2)/(2*EvSigma^2))))),"")</f>
        <v/>
      </c>
      <c r="O1741">
        <f>IF(B1741,ROUND(MAX(0,J1741*K1741*L1741*M1741*N1741),2),"")</f>
        <v/>
      </c>
    </row>
    <row r="1742">
      <c r="A1742" t="n">
        <v>1741</v>
      </c>
      <c r="B1742">
        <f>A1742&lt;=MineCount*Days</f>
        <v/>
      </c>
      <c r="C1742">
        <f>IF(B1742,INT((A1742-1)/Days)+1,"")</f>
        <v/>
      </c>
      <c r="D1742">
        <f>IF(B1742,MOD(A1742-1,Days),"")</f>
        <v/>
      </c>
      <c r="E1742" s="16">
        <f>IF(B1742,StartDate+D1742,"")</f>
        <v/>
      </c>
      <c r="F1742">
        <f>IF(B1742,MAX(MOD(SIN(Seed*0.1373+C1742*12.9898+D1742*78.233)*43758.5453,1),1E-9),"")</f>
        <v/>
      </c>
      <c r="G1742">
        <f>IF(B1742,MOD(SIN(Seed*0.5917+C1742*39.3468+D1742*11.135)*24634.6345,1),"")</f>
        <v/>
      </c>
      <c r="H1742">
        <f>IF(B1742,SQRT(-2*LN(F1742))*COS(2*PI()*G1742),"")</f>
        <v/>
      </c>
      <c r="I1742">
        <f>IF(B1742,IF(D1742=0,H1742,Rho*I1741+SQRT(1-Rho^2)*H1742),"")</f>
        <v/>
      </c>
      <c r="J1742">
        <f>IF(B1742,IF(Dist="Normal",DistA+DistB*I1742,DistA+(DistB-DistA)*NORMSDIST(I1742)),"")</f>
        <v/>
      </c>
      <c r="K1742">
        <f>IF(B1742,INDEX(MineScale,C1742),"")</f>
        <v/>
      </c>
      <c r="L1742">
        <f>IF(B1742,INDEX(Dow,1,WEEKDAY(E1742,2)),"")</f>
        <v/>
      </c>
      <c r="M1742">
        <f>IF(B1742,(1+Trend)^D1742,"")</f>
        <v/>
      </c>
      <c r="N1742">
        <f>IF(B1742,EXP(SUMPRODUCT(LN(1+(EvEff-1)*INDEX(Affected,0,C1742)*EXP(-((E1742-EvCenter)^2)/(2*EvSigma^2))))),"")</f>
        <v/>
      </c>
      <c r="O1742">
        <f>IF(B1742,ROUND(MAX(0,J1742*K1742*L1742*M1742*N1742),2),"")</f>
        <v/>
      </c>
    </row>
    <row r="1743">
      <c r="A1743" t="n">
        <v>1742</v>
      </c>
      <c r="B1743">
        <f>A1743&lt;=MineCount*Days</f>
        <v/>
      </c>
      <c r="C1743">
        <f>IF(B1743,INT((A1743-1)/Days)+1,"")</f>
        <v/>
      </c>
      <c r="D1743">
        <f>IF(B1743,MOD(A1743-1,Days),"")</f>
        <v/>
      </c>
      <c r="E1743" s="16">
        <f>IF(B1743,StartDate+D1743,"")</f>
        <v/>
      </c>
      <c r="F1743">
        <f>IF(B1743,MAX(MOD(SIN(Seed*0.1373+C1743*12.9898+D1743*78.233)*43758.5453,1),1E-9),"")</f>
        <v/>
      </c>
      <c r="G1743">
        <f>IF(B1743,MOD(SIN(Seed*0.5917+C1743*39.3468+D1743*11.135)*24634.6345,1),"")</f>
        <v/>
      </c>
      <c r="H1743">
        <f>IF(B1743,SQRT(-2*LN(F1743))*COS(2*PI()*G1743),"")</f>
        <v/>
      </c>
      <c r="I1743">
        <f>IF(B1743,IF(D1743=0,H1743,Rho*I1742+SQRT(1-Rho^2)*H1743),"")</f>
        <v/>
      </c>
      <c r="J1743">
        <f>IF(B1743,IF(Dist="Normal",DistA+DistB*I1743,DistA+(DistB-DistA)*NORMSDIST(I1743)),"")</f>
        <v/>
      </c>
      <c r="K1743">
        <f>IF(B1743,INDEX(MineScale,C1743),"")</f>
        <v/>
      </c>
      <c r="L1743">
        <f>IF(B1743,INDEX(Dow,1,WEEKDAY(E1743,2)),"")</f>
        <v/>
      </c>
      <c r="M1743">
        <f>IF(B1743,(1+Trend)^D1743,"")</f>
        <v/>
      </c>
      <c r="N1743">
        <f>IF(B1743,EXP(SUMPRODUCT(LN(1+(EvEff-1)*INDEX(Affected,0,C1743)*EXP(-((E1743-EvCenter)^2)/(2*EvSigma^2))))),"")</f>
        <v/>
      </c>
      <c r="O1743">
        <f>IF(B1743,ROUND(MAX(0,J1743*K1743*L1743*M1743*N1743),2),"")</f>
        <v/>
      </c>
    </row>
    <row r="1744">
      <c r="A1744" t="n">
        <v>1743</v>
      </c>
      <c r="B1744">
        <f>A1744&lt;=MineCount*Days</f>
        <v/>
      </c>
      <c r="C1744">
        <f>IF(B1744,INT((A1744-1)/Days)+1,"")</f>
        <v/>
      </c>
      <c r="D1744">
        <f>IF(B1744,MOD(A1744-1,Days),"")</f>
        <v/>
      </c>
      <c r="E1744" s="16">
        <f>IF(B1744,StartDate+D1744,"")</f>
        <v/>
      </c>
      <c r="F1744">
        <f>IF(B1744,MAX(MOD(SIN(Seed*0.1373+C1744*12.9898+D1744*78.233)*43758.5453,1),1E-9),"")</f>
        <v/>
      </c>
      <c r="G1744">
        <f>IF(B1744,MOD(SIN(Seed*0.5917+C1744*39.3468+D1744*11.135)*24634.6345,1),"")</f>
        <v/>
      </c>
      <c r="H1744">
        <f>IF(B1744,SQRT(-2*LN(F1744))*COS(2*PI()*G1744),"")</f>
        <v/>
      </c>
      <c r="I1744">
        <f>IF(B1744,IF(D1744=0,H1744,Rho*I1743+SQRT(1-Rho^2)*H1744),"")</f>
        <v/>
      </c>
      <c r="J1744">
        <f>IF(B1744,IF(Dist="Normal",DistA+DistB*I1744,DistA+(DistB-DistA)*NORMSDIST(I1744)),"")</f>
        <v/>
      </c>
      <c r="K1744">
        <f>IF(B1744,INDEX(MineScale,C1744),"")</f>
        <v/>
      </c>
      <c r="L1744">
        <f>IF(B1744,INDEX(Dow,1,WEEKDAY(E1744,2)),"")</f>
        <v/>
      </c>
      <c r="M1744">
        <f>IF(B1744,(1+Trend)^D1744,"")</f>
        <v/>
      </c>
      <c r="N1744">
        <f>IF(B1744,EXP(SUMPRODUCT(LN(1+(EvEff-1)*INDEX(Affected,0,C1744)*EXP(-((E1744-EvCenter)^2)/(2*EvSigma^2))))),"")</f>
        <v/>
      </c>
      <c r="O1744">
        <f>IF(B1744,ROUND(MAX(0,J1744*K1744*L1744*M1744*N1744),2),"")</f>
        <v/>
      </c>
    </row>
    <row r="1745">
      <c r="A1745" t="n">
        <v>1744</v>
      </c>
      <c r="B1745">
        <f>A1745&lt;=MineCount*Days</f>
        <v/>
      </c>
      <c r="C1745">
        <f>IF(B1745,INT((A1745-1)/Days)+1,"")</f>
        <v/>
      </c>
      <c r="D1745">
        <f>IF(B1745,MOD(A1745-1,Days),"")</f>
        <v/>
      </c>
      <c r="E1745" s="16">
        <f>IF(B1745,StartDate+D1745,"")</f>
        <v/>
      </c>
      <c r="F1745">
        <f>IF(B1745,MAX(MOD(SIN(Seed*0.1373+C1745*12.9898+D1745*78.233)*43758.5453,1),1E-9),"")</f>
        <v/>
      </c>
      <c r="G1745">
        <f>IF(B1745,MOD(SIN(Seed*0.5917+C1745*39.3468+D1745*11.135)*24634.6345,1),"")</f>
        <v/>
      </c>
      <c r="H1745">
        <f>IF(B1745,SQRT(-2*LN(F1745))*COS(2*PI()*G1745),"")</f>
        <v/>
      </c>
      <c r="I1745">
        <f>IF(B1745,IF(D1745=0,H1745,Rho*I1744+SQRT(1-Rho^2)*H1745),"")</f>
        <v/>
      </c>
      <c r="J1745">
        <f>IF(B1745,IF(Dist="Normal",DistA+DistB*I1745,DistA+(DistB-DistA)*NORMSDIST(I1745)),"")</f>
        <v/>
      </c>
      <c r="K1745">
        <f>IF(B1745,INDEX(MineScale,C1745),"")</f>
        <v/>
      </c>
      <c r="L1745">
        <f>IF(B1745,INDEX(Dow,1,WEEKDAY(E1745,2)),"")</f>
        <v/>
      </c>
      <c r="M1745">
        <f>IF(B1745,(1+Trend)^D1745,"")</f>
        <v/>
      </c>
      <c r="N1745">
        <f>IF(B1745,EXP(SUMPRODUCT(LN(1+(EvEff-1)*INDEX(Affected,0,C1745)*EXP(-((E1745-EvCenter)^2)/(2*EvSigma^2))))),"")</f>
        <v/>
      </c>
      <c r="O1745">
        <f>IF(B1745,ROUND(MAX(0,J1745*K1745*L1745*M1745*N1745),2),"")</f>
        <v/>
      </c>
    </row>
    <row r="1746">
      <c r="A1746" t="n">
        <v>1745</v>
      </c>
      <c r="B1746">
        <f>A1746&lt;=MineCount*Days</f>
        <v/>
      </c>
      <c r="C1746">
        <f>IF(B1746,INT((A1746-1)/Days)+1,"")</f>
        <v/>
      </c>
      <c r="D1746">
        <f>IF(B1746,MOD(A1746-1,Days),"")</f>
        <v/>
      </c>
      <c r="E1746" s="16">
        <f>IF(B1746,StartDate+D1746,"")</f>
        <v/>
      </c>
      <c r="F1746">
        <f>IF(B1746,MAX(MOD(SIN(Seed*0.1373+C1746*12.9898+D1746*78.233)*43758.5453,1),1E-9),"")</f>
        <v/>
      </c>
      <c r="G1746">
        <f>IF(B1746,MOD(SIN(Seed*0.5917+C1746*39.3468+D1746*11.135)*24634.6345,1),"")</f>
        <v/>
      </c>
      <c r="H1746">
        <f>IF(B1746,SQRT(-2*LN(F1746))*COS(2*PI()*G1746),"")</f>
        <v/>
      </c>
      <c r="I1746">
        <f>IF(B1746,IF(D1746=0,H1746,Rho*I1745+SQRT(1-Rho^2)*H1746),"")</f>
        <v/>
      </c>
      <c r="J1746">
        <f>IF(B1746,IF(Dist="Normal",DistA+DistB*I1746,DistA+(DistB-DistA)*NORMSDIST(I1746)),"")</f>
        <v/>
      </c>
      <c r="K1746">
        <f>IF(B1746,INDEX(MineScale,C1746),"")</f>
        <v/>
      </c>
      <c r="L1746">
        <f>IF(B1746,INDEX(Dow,1,WEEKDAY(E1746,2)),"")</f>
        <v/>
      </c>
      <c r="M1746">
        <f>IF(B1746,(1+Trend)^D1746,"")</f>
        <v/>
      </c>
      <c r="N1746">
        <f>IF(B1746,EXP(SUMPRODUCT(LN(1+(EvEff-1)*INDEX(Affected,0,C1746)*EXP(-((E1746-EvCenter)^2)/(2*EvSigma^2))))),"")</f>
        <v/>
      </c>
      <c r="O1746">
        <f>IF(B1746,ROUND(MAX(0,J1746*K1746*L1746*M1746*N1746),2),"")</f>
        <v/>
      </c>
    </row>
    <row r="1747">
      <c r="A1747" t="n">
        <v>1746</v>
      </c>
      <c r="B1747">
        <f>A1747&lt;=MineCount*Days</f>
        <v/>
      </c>
      <c r="C1747">
        <f>IF(B1747,INT((A1747-1)/Days)+1,"")</f>
        <v/>
      </c>
      <c r="D1747">
        <f>IF(B1747,MOD(A1747-1,Days),"")</f>
        <v/>
      </c>
      <c r="E1747" s="16">
        <f>IF(B1747,StartDate+D1747,"")</f>
        <v/>
      </c>
      <c r="F1747">
        <f>IF(B1747,MAX(MOD(SIN(Seed*0.1373+C1747*12.9898+D1747*78.233)*43758.5453,1),1E-9),"")</f>
        <v/>
      </c>
      <c r="G1747">
        <f>IF(B1747,MOD(SIN(Seed*0.5917+C1747*39.3468+D1747*11.135)*24634.6345,1),"")</f>
        <v/>
      </c>
      <c r="H1747">
        <f>IF(B1747,SQRT(-2*LN(F1747))*COS(2*PI()*G1747),"")</f>
        <v/>
      </c>
      <c r="I1747">
        <f>IF(B1747,IF(D1747=0,H1747,Rho*I1746+SQRT(1-Rho^2)*H1747),"")</f>
        <v/>
      </c>
      <c r="J1747">
        <f>IF(B1747,IF(Dist="Normal",DistA+DistB*I1747,DistA+(DistB-DistA)*NORMSDIST(I1747)),"")</f>
        <v/>
      </c>
      <c r="K1747">
        <f>IF(B1747,INDEX(MineScale,C1747),"")</f>
        <v/>
      </c>
      <c r="L1747">
        <f>IF(B1747,INDEX(Dow,1,WEEKDAY(E1747,2)),"")</f>
        <v/>
      </c>
      <c r="M1747">
        <f>IF(B1747,(1+Trend)^D1747,"")</f>
        <v/>
      </c>
      <c r="N1747">
        <f>IF(B1747,EXP(SUMPRODUCT(LN(1+(EvEff-1)*INDEX(Affected,0,C1747)*EXP(-((E1747-EvCenter)^2)/(2*EvSigma^2))))),"")</f>
        <v/>
      </c>
      <c r="O1747">
        <f>IF(B1747,ROUND(MAX(0,J1747*K1747*L1747*M1747*N1747),2),"")</f>
        <v/>
      </c>
    </row>
    <row r="1748">
      <c r="A1748" t="n">
        <v>1747</v>
      </c>
      <c r="B1748">
        <f>A1748&lt;=MineCount*Days</f>
        <v/>
      </c>
      <c r="C1748">
        <f>IF(B1748,INT((A1748-1)/Days)+1,"")</f>
        <v/>
      </c>
      <c r="D1748">
        <f>IF(B1748,MOD(A1748-1,Days),"")</f>
        <v/>
      </c>
      <c r="E1748" s="16">
        <f>IF(B1748,StartDate+D1748,"")</f>
        <v/>
      </c>
      <c r="F1748">
        <f>IF(B1748,MAX(MOD(SIN(Seed*0.1373+C1748*12.9898+D1748*78.233)*43758.5453,1),1E-9),"")</f>
        <v/>
      </c>
      <c r="G1748">
        <f>IF(B1748,MOD(SIN(Seed*0.5917+C1748*39.3468+D1748*11.135)*24634.6345,1),"")</f>
        <v/>
      </c>
      <c r="H1748">
        <f>IF(B1748,SQRT(-2*LN(F1748))*COS(2*PI()*G1748),"")</f>
        <v/>
      </c>
      <c r="I1748">
        <f>IF(B1748,IF(D1748=0,H1748,Rho*I1747+SQRT(1-Rho^2)*H1748),"")</f>
        <v/>
      </c>
      <c r="J1748">
        <f>IF(B1748,IF(Dist="Normal",DistA+DistB*I1748,DistA+(DistB-DistA)*NORMSDIST(I1748)),"")</f>
        <v/>
      </c>
      <c r="K1748">
        <f>IF(B1748,INDEX(MineScale,C1748),"")</f>
        <v/>
      </c>
      <c r="L1748">
        <f>IF(B1748,INDEX(Dow,1,WEEKDAY(E1748,2)),"")</f>
        <v/>
      </c>
      <c r="M1748">
        <f>IF(B1748,(1+Trend)^D1748,"")</f>
        <v/>
      </c>
      <c r="N1748">
        <f>IF(B1748,EXP(SUMPRODUCT(LN(1+(EvEff-1)*INDEX(Affected,0,C1748)*EXP(-((E1748-EvCenter)^2)/(2*EvSigma^2))))),"")</f>
        <v/>
      </c>
      <c r="O1748">
        <f>IF(B1748,ROUND(MAX(0,J1748*K1748*L1748*M1748*N1748),2),"")</f>
        <v/>
      </c>
    </row>
    <row r="1749">
      <c r="A1749" t="n">
        <v>1748</v>
      </c>
      <c r="B1749">
        <f>A1749&lt;=MineCount*Days</f>
        <v/>
      </c>
      <c r="C1749">
        <f>IF(B1749,INT((A1749-1)/Days)+1,"")</f>
        <v/>
      </c>
      <c r="D1749">
        <f>IF(B1749,MOD(A1749-1,Days),"")</f>
        <v/>
      </c>
      <c r="E1749" s="16">
        <f>IF(B1749,StartDate+D1749,"")</f>
        <v/>
      </c>
      <c r="F1749">
        <f>IF(B1749,MAX(MOD(SIN(Seed*0.1373+C1749*12.9898+D1749*78.233)*43758.5453,1),1E-9),"")</f>
        <v/>
      </c>
      <c r="G1749">
        <f>IF(B1749,MOD(SIN(Seed*0.5917+C1749*39.3468+D1749*11.135)*24634.6345,1),"")</f>
        <v/>
      </c>
      <c r="H1749">
        <f>IF(B1749,SQRT(-2*LN(F1749))*COS(2*PI()*G1749),"")</f>
        <v/>
      </c>
      <c r="I1749">
        <f>IF(B1749,IF(D1749=0,H1749,Rho*I1748+SQRT(1-Rho^2)*H1749),"")</f>
        <v/>
      </c>
      <c r="J1749">
        <f>IF(B1749,IF(Dist="Normal",DistA+DistB*I1749,DistA+(DistB-DistA)*NORMSDIST(I1749)),"")</f>
        <v/>
      </c>
      <c r="K1749">
        <f>IF(B1749,INDEX(MineScale,C1749),"")</f>
        <v/>
      </c>
      <c r="L1749">
        <f>IF(B1749,INDEX(Dow,1,WEEKDAY(E1749,2)),"")</f>
        <v/>
      </c>
      <c r="M1749">
        <f>IF(B1749,(1+Trend)^D1749,"")</f>
        <v/>
      </c>
      <c r="N1749">
        <f>IF(B1749,EXP(SUMPRODUCT(LN(1+(EvEff-1)*INDEX(Affected,0,C1749)*EXP(-((E1749-EvCenter)^2)/(2*EvSigma^2))))),"")</f>
        <v/>
      </c>
      <c r="O1749">
        <f>IF(B1749,ROUND(MAX(0,J1749*K1749*L1749*M1749*N1749),2),"")</f>
        <v/>
      </c>
    </row>
    <row r="1750">
      <c r="A1750" t="n">
        <v>1749</v>
      </c>
      <c r="B1750">
        <f>A1750&lt;=MineCount*Days</f>
        <v/>
      </c>
      <c r="C1750">
        <f>IF(B1750,INT((A1750-1)/Days)+1,"")</f>
        <v/>
      </c>
      <c r="D1750">
        <f>IF(B1750,MOD(A1750-1,Days),"")</f>
        <v/>
      </c>
      <c r="E1750" s="16">
        <f>IF(B1750,StartDate+D1750,"")</f>
        <v/>
      </c>
      <c r="F1750">
        <f>IF(B1750,MAX(MOD(SIN(Seed*0.1373+C1750*12.9898+D1750*78.233)*43758.5453,1),1E-9),"")</f>
        <v/>
      </c>
      <c r="G1750">
        <f>IF(B1750,MOD(SIN(Seed*0.5917+C1750*39.3468+D1750*11.135)*24634.6345,1),"")</f>
        <v/>
      </c>
      <c r="H1750">
        <f>IF(B1750,SQRT(-2*LN(F1750))*COS(2*PI()*G1750),"")</f>
        <v/>
      </c>
      <c r="I1750">
        <f>IF(B1750,IF(D1750=0,H1750,Rho*I1749+SQRT(1-Rho^2)*H1750),"")</f>
        <v/>
      </c>
      <c r="J1750">
        <f>IF(B1750,IF(Dist="Normal",DistA+DistB*I1750,DistA+(DistB-DistA)*NORMSDIST(I1750)),"")</f>
        <v/>
      </c>
      <c r="K1750">
        <f>IF(B1750,INDEX(MineScale,C1750),"")</f>
        <v/>
      </c>
      <c r="L1750">
        <f>IF(B1750,INDEX(Dow,1,WEEKDAY(E1750,2)),"")</f>
        <v/>
      </c>
      <c r="M1750">
        <f>IF(B1750,(1+Trend)^D1750,"")</f>
        <v/>
      </c>
      <c r="N1750">
        <f>IF(B1750,EXP(SUMPRODUCT(LN(1+(EvEff-1)*INDEX(Affected,0,C1750)*EXP(-((E1750-EvCenter)^2)/(2*EvSigma^2))))),"")</f>
        <v/>
      </c>
      <c r="O1750">
        <f>IF(B1750,ROUND(MAX(0,J1750*K1750*L1750*M1750*N1750),2),"")</f>
        <v/>
      </c>
    </row>
    <row r="1751">
      <c r="A1751" t="n">
        <v>1750</v>
      </c>
      <c r="B1751">
        <f>A1751&lt;=MineCount*Days</f>
        <v/>
      </c>
      <c r="C1751">
        <f>IF(B1751,INT((A1751-1)/Days)+1,"")</f>
        <v/>
      </c>
      <c r="D1751">
        <f>IF(B1751,MOD(A1751-1,Days),"")</f>
        <v/>
      </c>
      <c r="E1751" s="16">
        <f>IF(B1751,StartDate+D1751,"")</f>
        <v/>
      </c>
      <c r="F1751">
        <f>IF(B1751,MAX(MOD(SIN(Seed*0.1373+C1751*12.9898+D1751*78.233)*43758.5453,1),1E-9),"")</f>
        <v/>
      </c>
      <c r="G1751">
        <f>IF(B1751,MOD(SIN(Seed*0.5917+C1751*39.3468+D1751*11.135)*24634.6345,1),"")</f>
        <v/>
      </c>
      <c r="H1751">
        <f>IF(B1751,SQRT(-2*LN(F1751))*COS(2*PI()*G1751),"")</f>
        <v/>
      </c>
      <c r="I1751">
        <f>IF(B1751,IF(D1751=0,H1751,Rho*I1750+SQRT(1-Rho^2)*H1751),"")</f>
        <v/>
      </c>
      <c r="J1751">
        <f>IF(B1751,IF(Dist="Normal",DistA+DistB*I1751,DistA+(DistB-DistA)*NORMSDIST(I1751)),"")</f>
        <v/>
      </c>
      <c r="K1751">
        <f>IF(B1751,INDEX(MineScale,C1751),"")</f>
        <v/>
      </c>
      <c r="L1751">
        <f>IF(B1751,INDEX(Dow,1,WEEKDAY(E1751,2)),"")</f>
        <v/>
      </c>
      <c r="M1751">
        <f>IF(B1751,(1+Trend)^D1751,"")</f>
        <v/>
      </c>
      <c r="N1751">
        <f>IF(B1751,EXP(SUMPRODUCT(LN(1+(EvEff-1)*INDEX(Affected,0,C1751)*EXP(-((E1751-EvCenter)^2)/(2*EvSigma^2))))),"")</f>
        <v/>
      </c>
      <c r="O1751">
        <f>IF(B1751,ROUND(MAX(0,J1751*K1751*L1751*M1751*N1751),2),"")</f>
        <v/>
      </c>
    </row>
    <row r="1752">
      <c r="A1752" t="n">
        <v>1751</v>
      </c>
      <c r="B1752">
        <f>A1752&lt;=MineCount*Days</f>
        <v/>
      </c>
      <c r="C1752">
        <f>IF(B1752,INT((A1752-1)/Days)+1,"")</f>
        <v/>
      </c>
      <c r="D1752">
        <f>IF(B1752,MOD(A1752-1,Days),"")</f>
        <v/>
      </c>
      <c r="E1752" s="16">
        <f>IF(B1752,StartDate+D1752,"")</f>
        <v/>
      </c>
      <c r="F1752">
        <f>IF(B1752,MAX(MOD(SIN(Seed*0.1373+C1752*12.9898+D1752*78.233)*43758.5453,1),1E-9),"")</f>
        <v/>
      </c>
      <c r="G1752">
        <f>IF(B1752,MOD(SIN(Seed*0.5917+C1752*39.3468+D1752*11.135)*24634.6345,1),"")</f>
        <v/>
      </c>
      <c r="H1752">
        <f>IF(B1752,SQRT(-2*LN(F1752))*COS(2*PI()*G1752),"")</f>
        <v/>
      </c>
      <c r="I1752">
        <f>IF(B1752,IF(D1752=0,H1752,Rho*I1751+SQRT(1-Rho^2)*H1752),"")</f>
        <v/>
      </c>
      <c r="J1752">
        <f>IF(B1752,IF(Dist="Normal",DistA+DistB*I1752,DistA+(DistB-DistA)*NORMSDIST(I1752)),"")</f>
        <v/>
      </c>
      <c r="K1752">
        <f>IF(B1752,INDEX(MineScale,C1752),"")</f>
        <v/>
      </c>
      <c r="L1752">
        <f>IF(B1752,INDEX(Dow,1,WEEKDAY(E1752,2)),"")</f>
        <v/>
      </c>
      <c r="M1752">
        <f>IF(B1752,(1+Trend)^D1752,"")</f>
        <v/>
      </c>
      <c r="N1752">
        <f>IF(B1752,EXP(SUMPRODUCT(LN(1+(EvEff-1)*INDEX(Affected,0,C1752)*EXP(-((E1752-EvCenter)^2)/(2*EvSigma^2))))),"")</f>
        <v/>
      </c>
      <c r="O1752">
        <f>IF(B1752,ROUND(MAX(0,J1752*K1752*L1752*M1752*N1752),2),"")</f>
        <v/>
      </c>
    </row>
    <row r="1753">
      <c r="A1753" t="n">
        <v>1752</v>
      </c>
      <c r="B1753">
        <f>A1753&lt;=MineCount*Days</f>
        <v/>
      </c>
      <c r="C1753">
        <f>IF(B1753,INT((A1753-1)/Days)+1,"")</f>
        <v/>
      </c>
      <c r="D1753">
        <f>IF(B1753,MOD(A1753-1,Days),"")</f>
        <v/>
      </c>
      <c r="E1753" s="16">
        <f>IF(B1753,StartDate+D1753,"")</f>
        <v/>
      </c>
      <c r="F1753">
        <f>IF(B1753,MAX(MOD(SIN(Seed*0.1373+C1753*12.9898+D1753*78.233)*43758.5453,1),1E-9),"")</f>
        <v/>
      </c>
      <c r="G1753">
        <f>IF(B1753,MOD(SIN(Seed*0.5917+C1753*39.3468+D1753*11.135)*24634.6345,1),"")</f>
        <v/>
      </c>
      <c r="H1753">
        <f>IF(B1753,SQRT(-2*LN(F1753))*COS(2*PI()*G1753),"")</f>
        <v/>
      </c>
      <c r="I1753">
        <f>IF(B1753,IF(D1753=0,H1753,Rho*I1752+SQRT(1-Rho^2)*H1753),"")</f>
        <v/>
      </c>
      <c r="J1753">
        <f>IF(B1753,IF(Dist="Normal",DistA+DistB*I1753,DistA+(DistB-DistA)*NORMSDIST(I1753)),"")</f>
        <v/>
      </c>
      <c r="K1753">
        <f>IF(B1753,INDEX(MineScale,C1753),"")</f>
        <v/>
      </c>
      <c r="L1753">
        <f>IF(B1753,INDEX(Dow,1,WEEKDAY(E1753,2)),"")</f>
        <v/>
      </c>
      <c r="M1753">
        <f>IF(B1753,(1+Trend)^D1753,"")</f>
        <v/>
      </c>
      <c r="N1753">
        <f>IF(B1753,EXP(SUMPRODUCT(LN(1+(EvEff-1)*INDEX(Affected,0,C1753)*EXP(-((E1753-EvCenter)^2)/(2*EvSigma^2))))),"")</f>
        <v/>
      </c>
      <c r="O1753">
        <f>IF(B1753,ROUND(MAX(0,J1753*K1753*L1753*M1753*N1753),2),"")</f>
        <v/>
      </c>
    </row>
    <row r="1754">
      <c r="A1754" t="n">
        <v>1753</v>
      </c>
      <c r="B1754">
        <f>A1754&lt;=MineCount*Days</f>
        <v/>
      </c>
      <c r="C1754">
        <f>IF(B1754,INT((A1754-1)/Days)+1,"")</f>
        <v/>
      </c>
      <c r="D1754">
        <f>IF(B1754,MOD(A1754-1,Days),"")</f>
        <v/>
      </c>
      <c r="E1754" s="16">
        <f>IF(B1754,StartDate+D1754,"")</f>
        <v/>
      </c>
      <c r="F1754">
        <f>IF(B1754,MAX(MOD(SIN(Seed*0.1373+C1754*12.9898+D1754*78.233)*43758.5453,1),1E-9),"")</f>
        <v/>
      </c>
      <c r="G1754">
        <f>IF(B1754,MOD(SIN(Seed*0.5917+C1754*39.3468+D1754*11.135)*24634.6345,1),"")</f>
        <v/>
      </c>
      <c r="H1754">
        <f>IF(B1754,SQRT(-2*LN(F1754))*COS(2*PI()*G1754),"")</f>
        <v/>
      </c>
      <c r="I1754">
        <f>IF(B1754,IF(D1754=0,H1754,Rho*I1753+SQRT(1-Rho^2)*H1754),"")</f>
        <v/>
      </c>
      <c r="J1754">
        <f>IF(B1754,IF(Dist="Normal",DistA+DistB*I1754,DistA+(DistB-DistA)*NORMSDIST(I1754)),"")</f>
        <v/>
      </c>
      <c r="K1754">
        <f>IF(B1754,INDEX(MineScale,C1754),"")</f>
        <v/>
      </c>
      <c r="L1754">
        <f>IF(B1754,INDEX(Dow,1,WEEKDAY(E1754,2)),"")</f>
        <v/>
      </c>
      <c r="M1754">
        <f>IF(B1754,(1+Trend)^D1754,"")</f>
        <v/>
      </c>
      <c r="N1754">
        <f>IF(B1754,EXP(SUMPRODUCT(LN(1+(EvEff-1)*INDEX(Affected,0,C1754)*EXP(-((E1754-EvCenter)^2)/(2*EvSigma^2))))),"")</f>
        <v/>
      </c>
      <c r="O1754">
        <f>IF(B1754,ROUND(MAX(0,J1754*K1754*L1754*M1754*N1754),2),"")</f>
        <v/>
      </c>
    </row>
    <row r="1755">
      <c r="A1755" t="n">
        <v>1754</v>
      </c>
      <c r="B1755">
        <f>A1755&lt;=MineCount*Days</f>
        <v/>
      </c>
      <c r="C1755">
        <f>IF(B1755,INT((A1755-1)/Days)+1,"")</f>
        <v/>
      </c>
      <c r="D1755">
        <f>IF(B1755,MOD(A1755-1,Days),"")</f>
        <v/>
      </c>
      <c r="E1755" s="16">
        <f>IF(B1755,StartDate+D1755,"")</f>
        <v/>
      </c>
      <c r="F1755">
        <f>IF(B1755,MAX(MOD(SIN(Seed*0.1373+C1755*12.9898+D1755*78.233)*43758.5453,1),1E-9),"")</f>
        <v/>
      </c>
      <c r="G1755">
        <f>IF(B1755,MOD(SIN(Seed*0.5917+C1755*39.3468+D1755*11.135)*24634.6345,1),"")</f>
        <v/>
      </c>
      <c r="H1755">
        <f>IF(B1755,SQRT(-2*LN(F1755))*COS(2*PI()*G1755),"")</f>
        <v/>
      </c>
      <c r="I1755">
        <f>IF(B1755,IF(D1755=0,H1755,Rho*I1754+SQRT(1-Rho^2)*H1755),"")</f>
        <v/>
      </c>
      <c r="J1755">
        <f>IF(B1755,IF(Dist="Normal",DistA+DistB*I1755,DistA+(DistB-DistA)*NORMSDIST(I1755)),"")</f>
        <v/>
      </c>
      <c r="K1755">
        <f>IF(B1755,INDEX(MineScale,C1755),"")</f>
        <v/>
      </c>
      <c r="L1755">
        <f>IF(B1755,INDEX(Dow,1,WEEKDAY(E1755,2)),"")</f>
        <v/>
      </c>
      <c r="M1755">
        <f>IF(B1755,(1+Trend)^D1755,"")</f>
        <v/>
      </c>
      <c r="N1755">
        <f>IF(B1755,EXP(SUMPRODUCT(LN(1+(EvEff-1)*INDEX(Affected,0,C1755)*EXP(-((E1755-EvCenter)^2)/(2*EvSigma^2))))),"")</f>
        <v/>
      </c>
      <c r="O1755">
        <f>IF(B1755,ROUND(MAX(0,J1755*K1755*L1755*M1755*N1755),2),"")</f>
        <v/>
      </c>
    </row>
    <row r="1756">
      <c r="A1756" t="n">
        <v>1755</v>
      </c>
      <c r="B1756">
        <f>A1756&lt;=MineCount*Days</f>
        <v/>
      </c>
      <c r="C1756">
        <f>IF(B1756,INT((A1756-1)/Days)+1,"")</f>
        <v/>
      </c>
      <c r="D1756">
        <f>IF(B1756,MOD(A1756-1,Days),"")</f>
        <v/>
      </c>
      <c r="E1756" s="16">
        <f>IF(B1756,StartDate+D1756,"")</f>
        <v/>
      </c>
      <c r="F1756">
        <f>IF(B1756,MAX(MOD(SIN(Seed*0.1373+C1756*12.9898+D1756*78.233)*43758.5453,1),1E-9),"")</f>
        <v/>
      </c>
      <c r="G1756">
        <f>IF(B1756,MOD(SIN(Seed*0.5917+C1756*39.3468+D1756*11.135)*24634.6345,1),"")</f>
        <v/>
      </c>
      <c r="H1756">
        <f>IF(B1756,SQRT(-2*LN(F1756))*COS(2*PI()*G1756),"")</f>
        <v/>
      </c>
      <c r="I1756">
        <f>IF(B1756,IF(D1756=0,H1756,Rho*I1755+SQRT(1-Rho^2)*H1756),"")</f>
        <v/>
      </c>
      <c r="J1756">
        <f>IF(B1756,IF(Dist="Normal",DistA+DistB*I1756,DistA+(DistB-DistA)*NORMSDIST(I1756)),"")</f>
        <v/>
      </c>
      <c r="K1756">
        <f>IF(B1756,INDEX(MineScale,C1756),"")</f>
        <v/>
      </c>
      <c r="L1756">
        <f>IF(B1756,INDEX(Dow,1,WEEKDAY(E1756,2)),"")</f>
        <v/>
      </c>
      <c r="M1756">
        <f>IF(B1756,(1+Trend)^D1756,"")</f>
        <v/>
      </c>
      <c r="N1756">
        <f>IF(B1756,EXP(SUMPRODUCT(LN(1+(EvEff-1)*INDEX(Affected,0,C1756)*EXP(-((E1756-EvCenter)^2)/(2*EvSigma^2))))),"")</f>
        <v/>
      </c>
      <c r="O1756">
        <f>IF(B1756,ROUND(MAX(0,J1756*K1756*L1756*M1756*N1756),2),"")</f>
        <v/>
      </c>
    </row>
    <row r="1757">
      <c r="A1757" t="n">
        <v>1756</v>
      </c>
      <c r="B1757">
        <f>A1757&lt;=MineCount*Days</f>
        <v/>
      </c>
      <c r="C1757">
        <f>IF(B1757,INT((A1757-1)/Days)+1,"")</f>
        <v/>
      </c>
      <c r="D1757">
        <f>IF(B1757,MOD(A1757-1,Days),"")</f>
        <v/>
      </c>
      <c r="E1757" s="16">
        <f>IF(B1757,StartDate+D1757,"")</f>
        <v/>
      </c>
      <c r="F1757">
        <f>IF(B1757,MAX(MOD(SIN(Seed*0.1373+C1757*12.9898+D1757*78.233)*43758.5453,1),1E-9),"")</f>
        <v/>
      </c>
      <c r="G1757">
        <f>IF(B1757,MOD(SIN(Seed*0.5917+C1757*39.3468+D1757*11.135)*24634.6345,1),"")</f>
        <v/>
      </c>
      <c r="H1757">
        <f>IF(B1757,SQRT(-2*LN(F1757))*COS(2*PI()*G1757),"")</f>
        <v/>
      </c>
      <c r="I1757">
        <f>IF(B1757,IF(D1757=0,H1757,Rho*I1756+SQRT(1-Rho^2)*H1757),"")</f>
        <v/>
      </c>
      <c r="J1757">
        <f>IF(B1757,IF(Dist="Normal",DistA+DistB*I1757,DistA+(DistB-DistA)*NORMSDIST(I1757)),"")</f>
        <v/>
      </c>
      <c r="K1757">
        <f>IF(B1757,INDEX(MineScale,C1757),"")</f>
        <v/>
      </c>
      <c r="L1757">
        <f>IF(B1757,INDEX(Dow,1,WEEKDAY(E1757,2)),"")</f>
        <v/>
      </c>
      <c r="M1757">
        <f>IF(B1757,(1+Trend)^D1757,"")</f>
        <v/>
      </c>
      <c r="N1757">
        <f>IF(B1757,EXP(SUMPRODUCT(LN(1+(EvEff-1)*INDEX(Affected,0,C1757)*EXP(-((E1757-EvCenter)^2)/(2*EvSigma^2))))),"")</f>
        <v/>
      </c>
      <c r="O1757">
        <f>IF(B1757,ROUND(MAX(0,J1757*K1757*L1757*M1757*N1757),2),"")</f>
        <v/>
      </c>
    </row>
    <row r="1758">
      <c r="A1758" t="n">
        <v>1757</v>
      </c>
      <c r="B1758">
        <f>A1758&lt;=MineCount*Days</f>
        <v/>
      </c>
      <c r="C1758">
        <f>IF(B1758,INT((A1758-1)/Days)+1,"")</f>
        <v/>
      </c>
      <c r="D1758">
        <f>IF(B1758,MOD(A1758-1,Days),"")</f>
        <v/>
      </c>
      <c r="E1758" s="16">
        <f>IF(B1758,StartDate+D1758,"")</f>
        <v/>
      </c>
      <c r="F1758">
        <f>IF(B1758,MAX(MOD(SIN(Seed*0.1373+C1758*12.9898+D1758*78.233)*43758.5453,1),1E-9),"")</f>
        <v/>
      </c>
      <c r="G1758">
        <f>IF(B1758,MOD(SIN(Seed*0.5917+C1758*39.3468+D1758*11.135)*24634.6345,1),"")</f>
        <v/>
      </c>
      <c r="H1758">
        <f>IF(B1758,SQRT(-2*LN(F1758))*COS(2*PI()*G1758),"")</f>
        <v/>
      </c>
      <c r="I1758">
        <f>IF(B1758,IF(D1758=0,H1758,Rho*I1757+SQRT(1-Rho^2)*H1758),"")</f>
        <v/>
      </c>
      <c r="J1758">
        <f>IF(B1758,IF(Dist="Normal",DistA+DistB*I1758,DistA+(DistB-DistA)*NORMSDIST(I1758)),"")</f>
        <v/>
      </c>
      <c r="K1758">
        <f>IF(B1758,INDEX(MineScale,C1758),"")</f>
        <v/>
      </c>
      <c r="L1758">
        <f>IF(B1758,INDEX(Dow,1,WEEKDAY(E1758,2)),"")</f>
        <v/>
      </c>
      <c r="M1758">
        <f>IF(B1758,(1+Trend)^D1758,"")</f>
        <v/>
      </c>
      <c r="N1758">
        <f>IF(B1758,EXP(SUMPRODUCT(LN(1+(EvEff-1)*INDEX(Affected,0,C1758)*EXP(-((E1758-EvCenter)^2)/(2*EvSigma^2))))),"")</f>
        <v/>
      </c>
      <c r="O1758">
        <f>IF(B1758,ROUND(MAX(0,J1758*K1758*L1758*M1758*N1758),2),"")</f>
        <v/>
      </c>
    </row>
    <row r="1759">
      <c r="A1759" t="n">
        <v>1758</v>
      </c>
      <c r="B1759">
        <f>A1759&lt;=MineCount*Days</f>
        <v/>
      </c>
      <c r="C1759">
        <f>IF(B1759,INT((A1759-1)/Days)+1,"")</f>
        <v/>
      </c>
      <c r="D1759">
        <f>IF(B1759,MOD(A1759-1,Days),"")</f>
        <v/>
      </c>
      <c r="E1759" s="16">
        <f>IF(B1759,StartDate+D1759,"")</f>
        <v/>
      </c>
      <c r="F1759">
        <f>IF(B1759,MAX(MOD(SIN(Seed*0.1373+C1759*12.9898+D1759*78.233)*43758.5453,1),1E-9),"")</f>
        <v/>
      </c>
      <c r="G1759">
        <f>IF(B1759,MOD(SIN(Seed*0.5917+C1759*39.3468+D1759*11.135)*24634.6345,1),"")</f>
        <v/>
      </c>
      <c r="H1759">
        <f>IF(B1759,SQRT(-2*LN(F1759))*COS(2*PI()*G1759),"")</f>
        <v/>
      </c>
      <c r="I1759">
        <f>IF(B1759,IF(D1759=0,H1759,Rho*I1758+SQRT(1-Rho^2)*H1759),"")</f>
        <v/>
      </c>
      <c r="J1759">
        <f>IF(B1759,IF(Dist="Normal",DistA+DistB*I1759,DistA+(DistB-DistA)*NORMSDIST(I1759)),"")</f>
        <v/>
      </c>
      <c r="K1759">
        <f>IF(B1759,INDEX(MineScale,C1759),"")</f>
        <v/>
      </c>
      <c r="L1759">
        <f>IF(B1759,INDEX(Dow,1,WEEKDAY(E1759,2)),"")</f>
        <v/>
      </c>
      <c r="M1759">
        <f>IF(B1759,(1+Trend)^D1759,"")</f>
        <v/>
      </c>
      <c r="N1759">
        <f>IF(B1759,EXP(SUMPRODUCT(LN(1+(EvEff-1)*INDEX(Affected,0,C1759)*EXP(-((E1759-EvCenter)^2)/(2*EvSigma^2))))),"")</f>
        <v/>
      </c>
      <c r="O1759">
        <f>IF(B1759,ROUND(MAX(0,J1759*K1759*L1759*M1759*N1759),2),"")</f>
        <v/>
      </c>
    </row>
    <row r="1760">
      <c r="A1760" t="n">
        <v>1759</v>
      </c>
      <c r="B1760">
        <f>A1760&lt;=MineCount*Days</f>
        <v/>
      </c>
      <c r="C1760">
        <f>IF(B1760,INT((A1760-1)/Days)+1,"")</f>
        <v/>
      </c>
      <c r="D1760">
        <f>IF(B1760,MOD(A1760-1,Days),"")</f>
        <v/>
      </c>
      <c r="E1760" s="16">
        <f>IF(B1760,StartDate+D1760,"")</f>
        <v/>
      </c>
      <c r="F1760">
        <f>IF(B1760,MAX(MOD(SIN(Seed*0.1373+C1760*12.9898+D1760*78.233)*43758.5453,1),1E-9),"")</f>
        <v/>
      </c>
      <c r="G1760">
        <f>IF(B1760,MOD(SIN(Seed*0.5917+C1760*39.3468+D1760*11.135)*24634.6345,1),"")</f>
        <v/>
      </c>
      <c r="H1760">
        <f>IF(B1760,SQRT(-2*LN(F1760))*COS(2*PI()*G1760),"")</f>
        <v/>
      </c>
      <c r="I1760">
        <f>IF(B1760,IF(D1760=0,H1760,Rho*I1759+SQRT(1-Rho^2)*H1760),"")</f>
        <v/>
      </c>
      <c r="J1760">
        <f>IF(B1760,IF(Dist="Normal",DistA+DistB*I1760,DistA+(DistB-DistA)*NORMSDIST(I1760)),"")</f>
        <v/>
      </c>
      <c r="K1760">
        <f>IF(B1760,INDEX(MineScale,C1760),"")</f>
        <v/>
      </c>
      <c r="L1760">
        <f>IF(B1760,INDEX(Dow,1,WEEKDAY(E1760,2)),"")</f>
        <v/>
      </c>
      <c r="M1760">
        <f>IF(B1760,(1+Trend)^D1760,"")</f>
        <v/>
      </c>
      <c r="N1760">
        <f>IF(B1760,EXP(SUMPRODUCT(LN(1+(EvEff-1)*INDEX(Affected,0,C1760)*EXP(-((E1760-EvCenter)^2)/(2*EvSigma^2))))),"")</f>
        <v/>
      </c>
      <c r="O1760">
        <f>IF(B1760,ROUND(MAX(0,J1760*K1760*L1760*M1760*N1760),2),"")</f>
        <v/>
      </c>
    </row>
    <row r="1761">
      <c r="A1761" t="n">
        <v>1760</v>
      </c>
      <c r="B1761">
        <f>A1761&lt;=MineCount*Days</f>
        <v/>
      </c>
      <c r="C1761">
        <f>IF(B1761,INT((A1761-1)/Days)+1,"")</f>
        <v/>
      </c>
      <c r="D1761">
        <f>IF(B1761,MOD(A1761-1,Days),"")</f>
        <v/>
      </c>
      <c r="E1761" s="16">
        <f>IF(B1761,StartDate+D1761,"")</f>
        <v/>
      </c>
      <c r="F1761">
        <f>IF(B1761,MAX(MOD(SIN(Seed*0.1373+C1761*12.9898+D1761*78.233)*43758.5453,1),1E-9),"")</f>
        <v/>
      </c>
      <c r="G1761">
        <f>IF(B1761,MOD(SIN(Seed*0.5917+C1761*39.3468+D1761*11.135)*24634.6345,1),"")</f>
        <v/>
      </c>
      <c r="H1761">
        <f>IF(B1761,SQRT(-2*LN(F1761))*COS(2*PI()*G1761),"")</f>
        <v/>
      </c>
      <c r="I1761">
        <f>IF(B1761,IF(D1761=0,H1761,Rho*I1760+SQRT(1-Rho^2)*H1761),"")</f>
        <v/>
      </c>
      <c r="J1761">
        <f>IF(B1761,IF(Dist="Normal",DistA+DistB*I1761,DistA+(DistB-DistA)*NORMSDIST(I1761)),"")</f>
        <v/>
      </c>
      <c r="K1761">
        <f>IF(B1761,INDEX(MineScale,C1761),"")</f>
        <v/>
      </c>
      <c r="L1761">
        <f>IF(B1761,INDEX(Dow,1,WEEKDAY(E1761,2)),"")</f>
        <v/>
      </c>
      <c r="M1761">
        <f>IF(B1761,(1+Trend)^D1761,"")</f>
        <v/>
      </c>
      <c r="N1761">
        <f>IF(B1761,EXP(SUMPRODUCT(LN(1+(EvEff-1)*INDEX(Affected,0,C1761)*EXP(-((E1761-EvCenter)^2)/(2*EvSigma^2))))),"")</f>
        <v/>
      </c>
      <c r="O1761">
        <f>IF(B1761,ROUND(MAX(0,J1761*K1761*L1761*M1761*N1761),2),"")</f>
        <v/>
      </c>
    </row>
    <row r="1762">
      <c r="A1762" t="n">
        <v>1761</v>
      </c>
      <c r="B1762">
        <f>A1762&lt;=MineCount*Days</f>
        <v/>
      </c>
      <c r="C1762">
        <f>IF(B1762,INT((A1762-1)/Days)+1,"")</f>
        <v/>
      </c>
      <c r="D1762">
        <f>IF(B1762,MOD(A1762-1,Days),"")</f>
        <v/>
      </c>
      <c r="E1762" s="16">
        <f>IF(B1762,StartDate+D1762,"")</f>
        <v/>
      </c>
      <c r="F1762">
        <f>IF(B1762,MAX(MOD(SIN(Seed*0.1373+C1762*12.9898+D1762*78.233)*43758.5453,1),1E-9),"")</f>
        <v/>
      </c>
      <c r="G1762">
        <f>IF(B1762,MOD(SIN(Seed*0.5917+C1762*39.3468+D1762*11.135)*24634.6345,1),"")</f>
        <v/>
      </c>
      <c r="H1762">
        <f>IF(B1762,SQRT(-2*LN(F1762))*COS(2*PI()*G1762),"")</f>
        <v/>
      </c>
      <c r="I1762">
        <f>IF(B1762,IF(D1762=0,H1762,Rho*I1761+SQRT(1-Rho^2)*H1762),"")</f>
        <v/>
      </c>
      <c r="J1762">
        <f>IF(B1762,IF(Dist="Normal",DistA+DistB*I1762,DistA+(DistB-DistA)*NORMSDIST(I1762)),"")</f>
        <v/>
      </c>
      <c r="K1762">
        <f>IF(B1762,INDEX(MineScale,C1762),"")</f>
        <v/>
      </c>
      <c r="L1762">
        <f>IF(B1762,INDEX(Dow,1,WEEKDAY(E1762,2)),"")</f>
        <v/>
      </c>
      <c r="M1762">
        <f>IF(B1762,(1+Trend)^D1762,"")</f>
        <v/>
      </c>
      <c r="N1762">
        <f>IF(B1762,EXP(SUMPRODUCT(LN(1+(EvEff-1)*INDEX(Affected,0,C1762)*EXP(-((E1762-EvCenter)^2)/(2*EvSigma^2))))),"")</f>
        <v/>
      </c>
      <c r="O1762">
        <f>IF(B1762,ROUND(MAX(0,J1762*K1762*L1762*M1762*N1762),2),"")</f>
        <v/>
      </c>
    </row>
    <row r="1763">
      <c r="A1763" t="n">
        <v>1762</v>
      </c>
      <c r="B1763">
        <f>A1763&lt;=MineCount*Days</f>
        <v/>
      </c>
      <c r="C1763">
        <f>IF(B1763,INT((A1763-1)/Days)+1,"")</f>
        <v/>
      </c>
      <c r="D1763">
        <f>IF(B1763,MOD(A1763-1,Days),"")</f>
        <v/>
      </c>
      <c r="E1763" s="16">
        <f>IF(B1763,StartDate+D1763,"")</f>
        <v/>
      </c>
      <c r="F1763">
        <f>IF(B1763,MAX(MOD(SIN(Seed*0.1373+C1763*12.9898+D1763*78.233)*43758.5453,1),1E-9),"")</f>
        <v/>
      </c>
      <c r="G1763">
        <f>IF(B1763,MOD(SIN(Seed*0.5917+C1763*39.3468+D1763*11.135)*24634.6345,1),"")</f>
        <v/>
      </c>
      <c r="H1763">
        <f>IF(B1763,SQRT(-2*LN(F1763))*COS(2*PI()*G1763),"")</f>
        <v/>
      </c>
      <c r="I1763">
        <f>IF(B1763,IF(D1763=0,H1763,Rho*I1762+SQRT(1-Rho^2)*H1763),"")</f>
        <v/>
      </c>
      <c r="J1763">
        <f>IF(B1763,IF(Dist="Normal",DistA+DistB*I1763,DistA+(DistB-DistA)*NORMSDIST(I1763)),"")</f>
        <v/>
      </c>
      <c r="K1763">
        <f>IF(B1763,INDEX(MineScale,C1763),"")</f>
        <v/>
      </c>
      <c r="L1763">
        <f>IF(B1763,INDEX(Dow,1,WEEKDAY(E1763,2)),"")</f>
        <v/>
      </c>
      <c r="M1763">
        <f>IF(B1763,(1+Trend)^D1763,"")</f>
        <v/>
      </c>
      <c r="N1763">
        <f>IF(B1763,EXP(SUMPRODUCT(LN(1+(EvEff-1)*INDEX(Affected,0,C1763)*EXP(-((E1763-EvCenter)^2)/(2*EvSigma^2))))),"")</f>
        <v/>
      </c>
      <c r="O1763">
        <f>IF(B1763,ROUND(MAX(0,J1763*K1763*L1763*M1763*N1763),2),"")</f>
        <v/>
      </c>
    </row>
    <row r="1764">
      <c r="A1764" t="n">
        <v>1763</v>
      </c>
      <c r="B1764">
        <f>A1764&lt;=MineCount*Days</f>
        <v/>
      </c>
      <c r="C1764">
        <f>IF(B1764,INT((A1764-1)/Days)+1,"")</f>
        <v/>
      </c>
      <c r="D1764">
        <f>IF(B1764,MOD(A1764-1,Days),"")</f>
        <v/>
      </c>
      <c r="E1764" s="16">
        <f>IF(B1764,StartDate+D1764,"")</f>
        <v/>
      </c>
      <c r="F1764">
        <f>IF(B1764,MAX(MOD(SIN(Seed*0.1373+C1764*12.9898+D1764*78.233)*43758.5453,1),1E-9),"")</f>
        <v/>
      </c>
      <c r="G1764">
        <f>IF(B1764,MOD(SIN(Seed*0.5917+C1764*39.3468+D1764*11.135)*24634.6345,1),"")</f>
        <v/>
      </c>
      <c r="H1764">
        <f>IF(B1764,SQRT(-2*LN(F1764))*COS(2*PI()*G1764),"")</f>
        <v/>
      </c>
      <c r="I1764">
        <f>IF(B1764,IF(D1764=0,H1764,Rho*I1763+SQRT(1-Rho^2)*H1764),"")</f>
        <v/>
      </c>
      <c r="J1764">
        <f>IF(B1764,IF(Dist="Normal",DistA+DistB*I1764,DistA+(DistB-DistA)*NORMSDIST(I1764)),"")</f>
        <v/>
      </c>
      <c r="K1764">
        <f>IF(B1764,INDEX(MineScale,C1764),"")</f>
        <v/>
      </c>
      <c r="L1764">
        <f>IF(B1764,INDEX(Dow,1,WEEKDAY(E1764,2)),"")</f>
        <v/>
      </c>
      <c r="M1764">
        <f>IF(B1764,(1+Trend)^D1764,"")</f>
        <v/>
      </c>
      <c r="N1764">
        <f>IF(B1764,EXP(SUMPRODUCT(LN(1+(EvEff-1)*INDEX(Affected,0,C1764)*EXP(-((E1764-EvCenter)^2)/(2*EvSigma^2))))),"")</f>
        <v/>
      </c>
      <c r="O1764">
        <f>IF(B1764,ROUND(MAX(0,J1764*K1764*L1764*M1764*N1764),2),"")</f>
        <v/>
      </c>
    </row>
    <row r="1765">
      <c r="A1765" t="n">
        <v>1764</v>
      </c>
      <c r="B1765">
        <f>A1765&lt;=MineCount*Days</f>
        <v/>
      </c>
      <c r="C1765">
        <f>IF(B1765,INT((A1765-1)/Days)+1,"")</f>
        <v/>
      </c>
      <c r="D1765">
        <f>IF(B1765,MOD(A1765-1,Days),"")</f>
        <v/>
      </c>
      <c r="E1765" s="16">
        <f>IF(B1765,StartDate+D1765,"")</f>
        <v/>
      </c>
      <c r="F1765">
        <f>IF(B1765,MAX(MOD(SIN(Seed*0.1373+C1765*12.9898+D1765*78.233)*43758.5453,1),1E-9),"")</f>
        <v/>
      </c>
      <c r="G1765">
        <f>IF(B1765,MOD(SIN(Seed*0.5917+C1765*39.3468+D1765*11.135)*24634.6345,1),"")</f>
        <v/>
      </c>
      <c r="H1765">
        <f>IF(B1765,SQRT(-2*LN(F1765))*COS(2*PI()*G1765),"")</f>
        <v/>
      </c>
      <c r="I1765">
        <f>IF(B1765,IF(D1765=0,H1765,Rho*I1764+SQRT(1-Rho^2)*H1765),"")</f>
        <v/>
      </c>
      <c r="J1765">
        <f>IF(B1765,IF(Dist="Normal",DistA+DistB*I1765,DistA+(DistB-DistA)*NORMSDIST(I1765)),"")</f>
        <v/>
      </c>
      <c r="K1765">
        <f>IF(B1765,INDEX(MineScale,C1765),"")</f>
        <v/>
      </c>
      <c r="L1765">
        <f>IF(B1765,INDEX(Dow,1,WEEKDAY(E1765,2)),"")</f>
        <v/>
      </c>
      <c r="M1765">
        <f>IF(B1765,(1+Trend)^D1765,"")</f>
        <v/>
      </c>
      <c r="N1765">
        <f>IF(B1765,EXP(SUMPRODUCT(LN(1+(EvEff-1)*INDEX(Affected,0,C1765)*EXP(-((E1765-EvCenter)^2)/(2*EvSigma^2))))),"")</f>
        <v/>
      </c>
      <c r="O1765">
        <f>IF(B1765,ROUND(MAX(0,J1765*K1765*L1765*M1765*N1765),2),"")</f>
        <v/>
      </c>
    </row>
    <row r="1766">
      <c r="A1766" t="n">
        <v>1765</v>
      </c>
      <c r="B1766">
        <f>A1766&lt;=MineCount*Days</f>
        <v/>
      </c>
      <c r="C1766">
        <f>IF(B1766,INT((A1766-1)/Days)+1,"")</f>
        <v/>
      </c>
      <c r="D1766">
        <f>IF(B1766,MOD(A1766-1,Days),"")</f>
        <v/>
      </c>
      <c r="E1766" s="16">
        <f>IF(B1766,StartDate+D1766,"")</f>
        <v/>
      </c>
      <c r="F1766">
        <f>IF(B1766,MAX(MOD(SIN(Seed*0.1373+C1766*12.9898+D1766*78.233)*43758.5453,1),1E-9),"")</f>
        <v/>
      </c>
      <c r="G1766">
        <f>IF(B1766,MOD(SIN(Seed*0.5917+C1766*39.3468+D1766*11.135)*24634.6345,1),"")</f>
        <v/>
      </c>
      <c r="H1766">
        <f>IF(B1766,SQRT(-2*LN(F1766))*COS(2*PI()*G1766),"")</f>
        <v/>
      </c>
      <c r="I1766">
        <f>IF(B1766,IF(D1766=0,H1766,Rho*I1765+SQRT(1-Rho^2)*H1766),"")</f>
        <v/>
      </c>
      <c r="J1766">
        <f>IF(B1766,IF(Dist="Normal",DistA+DistB*I1766,DistA+(DistB-DistA)*NORMSDIST(I1766)),"")</f>
        <v/>
      </c>
      <c r="K1766">
        <f>IF(B1766,INDEX(MineScale,C1766),"")</f>
        <v/>
      </c>
      <c r="L1766">
        <f>IF(B1766,INDEX(Dow,1,WEEKDAY(E1766,2)),"")</f>
        <v/>
      </c>
      <c r="M1766">
        <f>IF(B1766,(1+Trend)^D1766,"")</f>
        <v/>
      </c>
      <c r="N1766">
        <f>IF(B1766,EXP(SUMPRODUCT(LN(1+(EvEff-1)*INDEX(Affected,0,C1766)*EXP(-((E1766-EvCenter)^2)/(2*EvSigma^2))))),"")</f>
        <v/>
      </c>
      <c r="O1766">
        <f>IF(B1766,ROUND(MAX(0,J1766*K1766*L1766*M1766*N1766),2),"")</f>
        <v/>
      </c>
    </row>
    <row r="1767">
      <c r="A1767" t="n">
        <v>1766</v>
      </c>
      <c r="B1767">
        <f>A1767&lt;=MineCount*Days</f>
        <v/>
      </c>
      <c r="C1767">
        <f>IF(B1767,INT((A1767-1)/Days)+1,"")</f>
        <v/>
      </c>
      <c r="D1767">
        <f>IF(B1767,MOD(A1767-1,Days),"")</f>
        <v/>
      </c>
      <c r="E1767" s="16">
        <f>IF(B1767,StartDate+D1767,"")</f>
        <v/>
      </c>
      <c r="F1767">
        <f>IF(B1767,MAX(MOD(SIN(Seed*0.1373+C1767*12.9898+D1767*78.233)*43758.5453,1),1E-9),"")</f>
        <v/>
      </c>
      <c r="G1767">
        <f>IF(B1767,MOD(SIN(Seed*0.5917+C1767*39.3468+D1767*11.135)*24634.6345,1),"")</f>
        <v/>
      </c>
      <c r="H1767">
        <f>IF(B1767,SQRT(-2*LN(F1767))*COS(2*PI()*G1767),"")</f>
        <v/>
      </c>
      <c r="I1767">
        <f>IF(B1767,IF(D1767=0,H1767,Rho*I1766+SQRT(1-Rho^2)*H1767),"")</f>
        <v/>
      </c>
      <c r="J1767">
        <f>IF(B1767,IF(Dist="Normal",DistA+DistB*I1767,DistA+(DistB-DistA)*NORMSDIST(I1767)),"")</f>
        <v/>
      </c>
      <c r="K1767">
        <f>IF(B1767,INDEX(MineScale,C1767),"")</f>
        <v/>
      </c>
      <c r="L1767">
        <f>IF(B1767,INDEX(Dow,1,WEEKDAY(E1767,2)),"")</f>
        <v/>
      </c>
      <c r="M1767">
        <f>IF(B1767,(1+Trend)^D1767,"")</f>
        <v/>
      </c>
      <c r="N1767">
        <f>IF(B1767,EXP(SUMPRODUCT(LN(1+(EvEff-1)*INDEX(Affected,0,C1767)*EXP(-((E1767-EvCenter)^2)/(2*EvSigma^2))))),"")</f>
        <v/>
      </c>
      <c r="O1767">
        <f>IF(B1767,ROUND(MAX(0,J1767*K1767*L1767*M1767*N1767),2),"")</f>
        <v/>
      </c>
    </row>
    <row r="1768">
      <c r="A1768" t="n">
        <v>1767</v>
      </c>
      <c r="B1768">
        <f>A1768&lt;=MineCount*Days</f>
        <v/>
      </c>
      <c r="C1768">
        <f>IF(B1768,INT((A1768-1)/Days)+1,"")</f>
        <v/>
      </c>
      <c r="D1768">
        <f>IF(B1768,MOD(A1768-1,Days),"")</f>
        <v/>
      </c>
      <c r="E1768" s="16">
        <f>IF(B1768,StartDate+D1768,"")</f>
        <v/>
      </c>
      <c r="F1768">
        <f>IF(B1768,MAX(MOD(SIN(Seed*0.1373+C1768*12.9898+D1768*78.233)*43758.5453,1),1E-9),"")</f>
        <v/>
      </c>
      <c r="G1768">
        <f>IF(B1768,MOD(SIN(Seed*0.5917+C1768*39.3468+D1768*11.135)*24634.6345,1),"")</f>
        <v/>
      </c>
      <c r="H1768">
        <f>IF(B1768,SQRT(-2*LN(F1768))*COS(2*PI()*G1768),"")</f>
        <v/>
      </c>
      <c r="I1768">
        <f>IF(B1768,IF(D1768=0,H1768,Rho*I1767+SQRT(1-Rho^2)*H1768),"")</f>
        <v/>
      </c>
      <c r="J1768">
        <f>IF(B1768,IF(Dist="Normal",DistA+DistB*I1768,DistA+(DistB-DistA)*NORMSDIST(I1768)),"")</f>
        <v/>
      </c>
      <c r="K1768">
        <f>IF(B1768,INDEX(MineScale,C1768),"")</f>
        <v/>
      </c>
      <c r="L1768">
        <f>IF(B1768,INDEX(Dow,1,WEEKDAY(E1768,2)),"")</f>
        <v/>
      </c>
      <c r="M1768">
        <f>IF(B1768,(1+Trend)^D1768,"")</f>
        <v/>
      </c>
      <c r="N1768">
        <f>IF(B1768,EXP(SUMPRODUCT(LN(1+(EvEff-1)*INDEX(Affected,0,C1768)*EXP(-((E1768-EvCenter)^2)/(2*EvSigma^2))))),"")</f>
        <v/>
      </c>
      <c r="O1768">
        <f>IF(B1768,ROUND(MAX(0,J1768*K1768*L1768*M1768*N1768),2),"")</f>
        <v/>
      </c>
    </row>
    <row r="1769">
      <c r="A1769" t="n">
        <v>1768</v>
      </c>
      <c r="B1769">
        <f>A1769&lt;=MineCount*Days</f>
        <v/>
      </c>
      <c r="C1769">
        <f>IF(B1769,INT((A1769-1)/Days)+1,"")</f>
        <v/>
      </c>
      <c r="D1769">
        <f>IF(B1769,MOD(A1769-1,Days),"")</f>
        <v/>
      </c>
      <c r="E1769" s="16">
        <f>IF(B1769,StartDate+D1769,"")</f>
        <v/>
      </c>
      <c r="F1769">
        <f>IF(B1769,MAX(MOD(SIN(Seed*0.1373+C1769*12.9898+D1769*78.233)*43758.5453,1),1E-9),"")</f>
        <v/>
      </c>
      <c r="G1769">
        <f>IF(B1769,MOD(SIN(Seed*0.5917+C1769*39.3468+D1769*11.135)*24634.6345,1),"")</f>
        <v/>
      </c>
      <c r="H1769">
        <f>IF(B1769,SQRT(-2*LN(F1769))*COS(2*PI()*G1769),"")</f>
        <v/>
      </c>
      <c r="I1769">
        <f>IF(B1769,IF(D1769=0,H1769,Rho*I1768+SQRT(1-Rho^2)*H1769),"")</f>
        <v/>
      </c>
      <c r="J1769">
        <f>IF(B1769,IF(Dist="Normal",DistA+DistB*I1769,DistA+(DistB-DistA)*NORMSDIST(I1769)),"")</f>
        <v/>
      </c>
      <c r="K1769">
        <f>IF(B1769,INDEX(MineScale,C1769),"")</f>
        <v/>
      </c>
      <c r="L1769">
        <f>IF(B1769,INDEX(Dow,1,WEEKDAY(E1769,2)),"")</f>
        <v/>
      </c>
      <c r="M1769">
        <f>IF(B1769,(1+Trend)^D1769,"")</f>
        <v/>
      </c>
      <c r="N1769">
        <f>IF(B1769,EXP(SUMPRODUCT(LN(1+(EvEff-1)*INDEX(Affected,0,C1769)*EXP(-((E1769-EvCenter)^2)/(2*EvSigma^2))))),"")</f>
        <v/>
      </c>
      <c r="O1769">
        <f>IF(B1769,ROUND(MAX(0,J1769*K1769*L1769*M1769*N1769),2),"")</f>
        <v/>
      </c>
    </row>
    <row r="1770">
      <c r="A1770" t="n">
        <v>1769</v>
      </c>
      <c r="B1770">
        <f>A1770&lt;=MineCount*Days</f>
        <v/>
      </c>
      <c r="C1770">
        <f>IF(B1770,INT((A1770-1)/Days)+1,"")</f>
        <v/>
      </c>
      <c r="D1770">
        <f>IF(B1770,MOD(A1770-1,Days),"")</f>
        <v/>
      </c>
      <c r="E1770" s="16">
        <f>IF(B1770,StartDate+D1770,"")</f>
        <v/>
      </c>
      <c r="F1770">
        <f>IF(B1770,MAX(MOD(SIN(Seed*0.1373+C1770*12.9898+D1770*78.233)*43758.5453,1),1E-9),"")</f>
        <v/>
      </c>
      <c r="G1770">
        <f>IF(B1770,MOD(SIN(Seed*0.5917+C1770*39.3468+D1770*11.135)*24634.6345,1),"")</f>
        <v/>
      </c>
      <c r="H1770">
        <f>IF(B1770,SQRT(-2*LN(F1770))*COS(2*PI()*G1770),"")</f>
        <v/>
      </c>
      <c r="I1770">
        <f>IF(B1770,IF(D1770=0,H1770,Rho*I1769+SQRT(1-Rho^2)*H1770),"")</f>
        <v/>
      </c>
      <c r="J1770">
        <f>IF(B1770,IF(Dist="Normal",DistA+DistB*I1770,DistA+(DistB-DistA)*NORMSDIST(I1770)),"")</f>
        <v/>
      </c>
      <c r="K1770">
        <f>IF(B1770,INDEX(MineScale,C1770),"")</f>
        <v/>
      </c>
      <c r="L1770">
        <f>IF(B1770,INDEX(Dow,1,WEEKDAY(E1770,2)),"")</f>
        <v/>
      </c>
      <c r="M1770">
        <f>IF(B1770,(1+Trend)^D1770,"")</f>
        <v/>
      </c>
      <c r="N1770">
        <f>IF(B1770,EXP(SUMPRODUCT(LN(1+(EvEff-1)*INDEX(Affected,0,C1770)*EXP(-((E1770-EvCenter)^2)/(2*EvSigma^2))))),"")</f>
        <v/>
      </c>
      <c r="O1770">
        <f>IF(B1770,ROUND(MAX(0,J1770*K1770*L1770*M1770*N1770),2),"")</f>
        <v/>
      </c>
    </row>
    <row r="1771">
      <c r="A1771" t="n">
        <v>1770</v>
      </c>
      <c r="B1771">
        <f>A1771&lt;=MineCount*Days</f>
        <v/>
      </c>
      <c r="C1771">
        <f>IF(B1771,INT((A1771-1)/Days)+1,"")</f>
        <v/>
      </c>
      <c r="D1771">
        <f>IF(B1771,MOD(A1771-1,Days),"")</f>
        <v/>
      </c>
      <c r="E1771" s="16">
        <f>IF(B1771,StartDate+D1771,"")</f>
        <v/>
      </c>
      <c r="F1771">
        <f>IF(B1771,MAX(MOD(SIN(Seed*0.1373+C1771*12.9898+D1771*78.233)*43758.5453,1),1E-9),"")</f>
        <v/>
      </c>
      <c r="G1771">
        <f>IF(B1771,MOD(SIN(Seed*0.5917+C1771*39.3468+D1771*11.135)*24634.6345,1),"")</f>
        <v/>
      </c>
      <c r="H1771">
        <f>IF(B1771,SQRT(-2*LN(F1771))*COS(2*PI()*G1771),"")</f>
        <v/>
      </c>
      <c r="I1771">
        <f>IF(B1771,IF(D1771=0,H1771,Rho*I1770+SQRT(1-Rho^2)*H1771),"")</f>
        <v/>
      </c>
      <c r="J1771">
        <f>IF(B1771,IF(Dist="Normal",DistA+DistB*I1771,DistA+(DistB-DistA)*NORMSDIST(I1771)),"")</f>
        <v/>
      </c>
      <c r="K1771">
        <f>IF(B1771,INDEX(MineScale,C1771),"")</f>
        <v/>
      </c>
      <c r="L1771">
        <f>IF(B1771,INDEX(Dow,1,WEEKDAY(E1771,2)),"")</f>
        <v/>
      </c>
      <c r="M1771">
        <f>IF(B1771,(1+Trend)^D1771,"")</f>
        <v/>
      </c>
      <c r="N1771">
        <f>IF(B1771,EXP(SUMPRODUCT(LN(1+(EvEff-1)*INDEX(Affected,0,C1771)*EXP(-((E1771-EvCenter)^2)/(2*EvSigma^2))))),"")</f>
        <v/>
      </c>
      <c r="O1771">
        <f>IF(B1771,ROUND(MAX(0,J1771*K1771*L1771*M1771*N1771),2),"")</f>
        <v/>
      </c>
    </row>
    <row r="1772">
      <c r="A1772" t="n">
        <v>1771</v>
      </c>
      <c r="B1772">
        <f>A1772&lt;=MineCount*Days</f>
        <v/>
      </c>
      <c r="C1772">
        <f>IF(B1772,INT((A1772-1)/Days)+1,"")</f>
        <v/>
      </c>
      <c r="D1772">
        <f>IF(B1772,MOD(A1772-1,Days),"")</f>
        <v/>
      </c>
      <c r="E1772" s="16">
        <f>IF(B1772,StartDate+D1772,"")</f>
        <v/>
      </c>
      <c r="F1772">
        <f>IF(B1772,MAX(MOD(SIN(Seed*0.1373+C1772*12.9898+D1772*78.233)*43758.5453,1),1E-9),"")</f>
        <v/>
      </c>
      <c r="G1772">
        <f>IF(B1772,MOD(SIN(Seed*0.5917+C1772*39.3468+D1772*11.135)*24634.6345,1),"")</f>
        <v/>
      </c>
      <c r="H1772">
        <f>IF(B1772,SQRT(-2*LN(F1772))*COS(2*PI()*G1772),"")</f>
        <v/>
      </c>
      <c r="I1772">
        <f>IF(B1772,IF(D1772=0,H1772,Rho*I1771+SQRT(1-Rho^2)*H1772),"")</f>
        <v/>
      </c>
      <c r="J1772">
        <f>IF(B1772,IF(Dist="Normal",DistA+DistB*I1772,DistA+(DistB-DistA)*NORMSDIST(I1772)),"")</f>
        <v/>
      </c>
      <c r="K1772">
        <f>IF(B1772,INDEX(MineScale,C1772),"")</f>
        <v/>
      </c>
      <c r="L1772">
        <f>IF(B1772,INDEX(Dow,1,WEEKDAY(E1772,2)),"")</f>
        <v/>
      </c>
      <c r="M1772">
        <f>IF(B1772,(1+Trend)^D1772,"")</f>
        <v/>
      </c>
      <c r="N1772">
        <f>IF(B1772,EXP(SUMPRODUCT(LN(1+(EvEff-1)*INDEX(Affected,0,C1772)*EXP(-((E1772-EvCenter)^2)/(2*EvSigma^2))))),"")</f>
        <v/>
      </c>
      <c r="O1772">
        <f>IF(B1772,ROUND(MAX(0,J1772*K1772*L1772*M1772*N1772),2),"")</f>
        <v/>
      </c>
    </row>
    <row r="1773">
      <c r="A1773" t="n">
        <v>1772</v>
      </c>
      <c r="B1773">
        <f>A1773&lt;=MineCount*Days</f>
        <v/>
      </c>
      <c r="C1773">
        <f>IF(B1773,INT((A1773-1)/Days)+1,"")</f>
        <v/>
      </c>
      <c r="D1773">
        <f>IF(B1773,MOD(A1773-1,Days),"")</f>
        <v/>
      </c>
      <c r="E1773" s="16">
        <f>IF(B1773,StartDate+D1773,"")</f>
        <v/>
      </c>
      <c r="F1773">
        <f>IF(B1773,MAX(MOD(SIN(Seed*0.1373+C1773*12.9898+D1773*78.233)*43758.5453,1),1E-9),"")</f>
        <v/>
      </c>
      <c r="G1773">
        <f>IF(B1773,MOD(SIN(Seed*0.5917+C1773*39.3468+D1773*11.135)*24634.6345,1),"")</f>
        <v/>
      </c>
      <c r="H1773">
        <f>IF(B1773,SQRT(-2*LN(F1773))*COS(2*PI()*G1773),"")</f>
        <v/>
      </c>
      <c r="I1773">
        <f>IF(B1773,IF(D1773=0,H1773,Rho*I1772+SQRT(1-Rho^2)*H1773),"")</f>
        <v/>
      </c>
      <c r="J1773">
        <f>IF(B1773,IF(Dist="Normal",DistA+DistB*I1773,DistA+(DistB-DistA)*NORMSDIST(I1773)),"")</f>
        <v/>
      </c>
      <c r="K1773">
        <f>IF(B1773,INDEX(MineScale,C1773),"")</f>
        <v/>
      </c>
      <c r="L1773">
        <f>IF(B1773,INDEX(Dow,1,WEEKDAY(E1773,2)),"")</f>
        <v/>
      </c>
      <c r="M1773">
        <f>IF(B1773,(1+Trend)^D1773,"")</f>
        <v/>
      </c>
      <c r="N1773">
        <f>IF(B1773,EXP(SUMPRODUCT(LN(1+(EvEff-1)*INDEX(Affected,0,C1773)*EXP(-((E1773-EvCenter)^2)/(2*EvSigma^2))))),"")</f>
        <v/>
      </c>
      <c r="O1773">
        <f>IF(B1773,ROUND(MAX(0,J1773*K1773*L1773*M1773*N1773),2),"")</f>
        <v/>
      </c>
    </row>
    <row r="1774">
      <c r="A1774" t="n">
        <v>1773</v>
      </c>
      <c r="B1774">
        <f>A1774&lt;=MineCount*Days</f>
        <v/>
      </c>
      <c r="C1774">
        <f>IF(B1774,INT((A1774-1)/Days)+1,"")</f>
        <v/>
      </c>
      <c r="D1774">
        <f>IF(B1774,MOD(A1774-1,Days),"")</f>
        <v/>
      </c>
      <c r="E1774" s="16">
        <f>IF(B1774,StartDate+D1774,"")</f>
        <v/>
      </c>
      <c r="F1774">
        <f>IF(B1774,MAX(MOD(SIN(Seed*0.1373+C1774*12.9898+D1774*78.233)*43758.5453,1),1E-9),"")</f>
        <v/>
      </c>
      <c r="G1774">
        <f>IF(B1774,MOD(SIN(Seed*0.5917+C1774*39.3468+D1774*11.135)*24634.6345,1),"")</f>
        <v/>
      </c>
      <c r="H1774">
        <f>IF(B1774,SQRT(-2*LN(F1774))*COS(2*PI()*G1774),"")</f>
        <v/>
      </c>
      <c r="I1774">
        <f>IF(B1774,IF(D1774=0,H1774,Rho*I1773+SQRT(1-Rho^2)*H1774),"")</f>
        <v/>
      </c>
      <c r="J1774">
        <f>IF(B1774,IF(Dist="Normal",DistA+DistB*I1774,DistA+(DistB-DistA)*NORMSDIST(I1774)),"")</f>
        <v/>
      </c>
      <c r="K1774">
        <f>IF(B1774,INDEX(MineScale,C1774),"")</f>
        <v/>
      </c>
      <c r="L1774">
        <f>IF(B1774,INDEX(Dow,1,WEEKDAY(E1774,2)),"")</f>
        <v/>
      </c>
      <c r="M1774">
        <f>IF(B1774,(1+Trend)^D1774,"")</f>
        <v/>
      </c>
      <c r="N1774">
        <f>IF(B1774,EXP(SUMPRODUCT(LN(1+(EvEff-1)*INDEX(Affected,0,C1774)*EXP(-((E1774-EvCenter)^2)/(2*EvSigma^2))))),"")</f>
        <v/>
      </c>
      <c r="O1774">
        <f>IF(B1774,ROUND(MAX(0,J1774*K1774*L1774*M1774*N1774),2),"")</f>
        <v/>
      </c>
    </row>
    <row r="1775">
      <c r="A1775" t="n">
        <v>1774</v>
      </c>
      <c r="B1775">
        <f>A1775&lt;=MineCount*Days</f>
        <v/>
      </c>
      <c r="C1775">
        <f>IF(B1775,INT((A1775-1)/Days)+1,"")</f>
        <v/>
      </c>
      <c r="D1775">
        <f>IF(B1775,MOD(A1775-1,Days),"")</f>
        <v/>
      </c>
      <c r="E1775" s="16">
        <f>IF(B1775,StartDate+D1775,"")</f>
        <v/>
      </c>
      <c r="F1775">
        <f>IF(B1775,MAX(MOD(SIN(Seed*0.1373+C1775*12.9898+D1775*78.233)*43758.5453,1),1E-9),"")</f>
        <v/>
      </c>
      <c r="G1775">
        <f>IF(B1775,MOD(SIN(Seed*0.5917+C1775*39.3468+D1775*11.135)*24634.6345,1),"")</f>
        <v/>
      </c>
      <c r="H1775">
        <f>IF(B1775,SQRT(-2*LN(F1775))*COS(2*PI()*G1775),"")</f>
        <v/>
      </c>
      <c r="I1775">
        <f>IF(B1775,IF(D1775=0,H1775,Rho*I1774+SQRT(1-Rho^2)*H1775),"")</f>
        <v/>
      </c>
      <c r="J1775">
        <f>IF(B1775,IF(Dist="Normal",DistA+DistB*I1775,DistA+(DistB-DistA)*NORMSDIST(I1775)),"")</f>
        <v/>
      </c>
      <c r="K1775">
        <f>IF(B1775,INDEX(MineScale,C1775),"")</f>
        <v/>
      </c>
      <c r="L1775">
        <f>IF(B1775,INDEX(Dow,1,WEEKDAY(E1775,2)),"")</f>
        <v/>
      </c>
      <c r="M1775">
        <f>IF(B1775,(1+Trend)^D1775,"")</f>
        <v/>
      </c>
      <c r="N1775">
        <f>IF(B1775,EXP(SUMPRODUCT(LN(1+(EvEff-1)*INDEX(Affected,0,C1775)*EXP(-((E1775-EvCenter)^2)/(2*EvSigma^2))))),"")</f>
        <v/>
      </c>
      <c r="O1775">
        <f>IF(B1775,ROUND(MAX(0,J1775*K1775*L1775*M1775*N1775),2),"")</f>
        <v/>
      </c>
    </row>
    <row r="1776">
      <c r="A1776" t="n">
        <v>1775</v>
      </c>
      <c r="B1776">
        <f>A1776&lt;=MineCount*Days</f>
        <v/>
      </c>
      <c r="C1776">
        <f>IF(B1776,INT((A1776-1)/Days)+1,"")</f>
        <v/>
      </c>
      <c r="D1776">
        <f>IF(B1776,MOD(A1776-1,Days),"")</f>
        <v/>
      </c>
      <c r="E1776" s="16">
        <f>IF(B1776,StartDate+D1776,"")</f>
        <v/>
      </c>
      <c r="F1776">
        <f>IF(B1776,MAX(MOD(SIN(Seed*0.1373+C1776*12.9898+D1776*78.233)*43758.5453,1),1E-9),"")</f>
        <v/>
      </c>
      <c r="G1776">
        <f>IF(B1776,MOD(SIN(Seed*0.5917+C1776*39.3468+D1776*11.135)*24634.6345,1),"")</f>
        <v/>
      </c>
      <c r="H1776">
        <f>IF(B1776,SQRT(-2*LN(F1776))*COS(2*PI()*G1776),"")</f>
        <v/>
      </c>
      <c r="I1776">
        <f>IF(B1776,IF(D1776=0,H1776,Rho*I1775+SQRT(1-Rho^2)*H1776),"")</f>
        <v/>
      </c>
      <c r="J1776">
        <f>IF(B1776,IF(Dist="Normal",DistA+DistB*I1776,DistA+(DistB-DistA)*NORMSDIST(I1776)),"")</f>
        <v/>
      </c>
      <c r="K1776">
        <f>IF(B1776,INDEX(MineScale,C1776),"")</f>
        <v/>
      </c>
      <c r="L1776">
        <f>IF(B1776,INDEX(Dow,1,WEEKDAY(E1776,2)),"")</f>
        <v/>
      </c>
      <c r="M1776">
        <f>IF(B1776,(1+Trend)^D1776,"")</f>
        <v/>
      </c>
      <c r="N1776">
        <f>IF(B1776,EXP(SUMPRODUCT(LN(1+(EvEff-1)*INDEX(Affected,0,C1776)*EXP(-((E1776-EvCenter)^2)/(2*EvSigma^2))))),"")</f>
        <v/>
      </c>
      <c r="O1776">
        <f>IF(B1776,ROUND(MAX(0,J1776*K1776*L1776*M1776*N1776),2),"")</f>
        <v/>
      </c>
    </row>
    <row r="1777">
      <c r="A1777" t="n">
        <v>1776</v>
      </c>
      <c r="B1777">
        <f>A1777&lt;=MineCount*Days</f>
        <v/>
      </c>
      <c r="C1777">
        <f>IF(B1777,INT((A1777-1)/Days)+1,"")</f>
        <v/>
      </c>
      <c r="D1777">
        <f>IF(B1777,MOD(A1777-1,Days),"")</f>
        <v/>
      </c>
      <c r="E1777" s="16">
        <f>IF(B1777,StartDate+D1777,"")</f>
        <v/>
      </c>
      <c r="F1777">
        <f>IF(B1777,MAX(MOD(SIN(Seed*0.1373+C1777*12.9898+D1777*78.233)*43758.5453,1),1E-9),"")</f>
        <v/>
      </c>
      <c r="G1777">
        <f>IF(B1777,MOD(SIN(Seed*0.5917+C1777*39.3468+D1777*11.135)*24634.6345,1),"")</f>
        <v/>
      </c>
      <c r="H1777">
        <f>IF(B1777,SQRT(-2*LN(F1777))*COS(2*PI()*G1777),"")</f>
        <v/>
      </c>
      <c r="I1777">
        <f>IF(B1777,IF(D1777=0,H1777,Rho*I1776+SQRT(1-Rho^2)*H1777),"")</f>
        <v/>
      </c>
      <c r="J1777">
        <f>IF(B1777,IF(Dist="Normal",DistA+DistB*I1777,DistA+(DistB-DistA)*NORMSDIST(I1777)),"")</f>
        <v/>
      </c>
      <c r="K1777">
        <f>IF(B1777,INDEX(MineScale,C1777),"")</f>
        <v/>
      </c>
      <c r="L1777">
        <f>IF(B1777,INDEX(Dow,1,WEEKDAY(E1777,2)),"")</f>
        <v/>
      </c>
      <c r="M1777">
        <f>IF(B1777,(1+Trend)^D1777,"")</f>
        <v/>
      </c>
      <c r="N1777">
        <f>IF(B1777,EXP(SUMPRODUCT(LN(1+(EvEff-1)*INDEX(Affected,0,C1777)*EXP(-((E1777-EvCenter)^2)/(2*EvSigma^2))))),"")</f>
        <v/>
      </c>
      <c r="O1777">
        <f>IF(B1777,ROUND(MAX(0,J1777*K1777*L1777*M1777*N1777),2),"")</f>
        <v/>
      </c>
    </row>
    <row r="1778">
      <c r="A1778" t="n">
        <v>1777</v>
      </c>
      <c r="B1778">
        <f>A1778&lt;=MineCount*Days</f>
        <v/>
      </c>
      <c r="C1778">
        <f>IF(B1778,INT((A1778-1)/Days)+1,"")</f>
        <v/>
      </c>
      <c r="D1778">
        <f>IF(B1778,MOD(A1778-1,Days),"")</f>
        <v/>
      </c>
      <c r="E1778" s="16">
        <f>IF(B1778,StartDate+D1778,"")</f>
        <v/>
      </c>
      <c r="F1778">
        <f>IF(B1778,MAX(MOD(SIN(Seed*0.1373+C1778*12.9898+D1778*78.233)*43758.5453,1),1E-9),"")</f>
        <v/>
      </c>
      <c r="G1778">
        <f>IF(B1778,MOD(SIN(Seed*0.5917+C1778*39.3468+D1778*11.135)*24634.6345,1),"")</f>
        <v/>
      </c>
      <c r="H1778">
        <f>IF(B1778,SQRT(-2*LN(F1778))*COS(2*PI()*G1778),"")</f>
        <v/>
      </c>
      <c r="I1778">
        <f>IF(B1778,IF(D1778=0,H1778,Rho*I1777+SQRT(1-Rho^2)*H1778),"")</f>
        <v/>
      </c>
      <c r="J1778">
        <f>IF(B1778,IF(Dist="Normal",DistA+DistB*I1778,DistA+(DistB-DistA)*NORMSDIST(I1778)),"")</f>
        <v/>
      </c>
      <c r="K1778">
        <f>IF(B1778,INDEX(MineScale,C1778),"")</f>
        <v/>
      </c>
      <c r="L1778">
        <f>IF(B1778,INDEX(Dow,1,WEEKDAY(E1778,2)),"")</f>
        <v/>
      </c>
      <c r="M1778">
        <f>IF(B1778,(1+Trend)^D1778,"")</f>
        <v/>
      </c>
      <c r="N1778">
        <f>IF(B1778,EXP(SUMPRODUCT(LN(1+(EvEff-1)*INDEX(Affected,0,C1778)*EXP(-((E1778-EvCenter)^2)/(2*EvSigma^2))))),"")</f>
        <v/>
      </c>
      <c r="O1778">
        <f>IF(B1778,ROUND(MAX(0,J1778*K1778*L1778*M1778*N1778),2),"")</f>
        <v/>
      </c>
    </row>
    <row r="1779">
      <c r="A1779" t="n">
        <v>1778</v>
      </c>
      <c r="B1779">
        <f>A1779&lt;=MineCount*Days</f>
        <v/>
      </c>
      <c r="C1779">
        <f>IF(B1779,INT((A1779-1)/Days)+1,"")</f>
        <v/>
      </c>
      <c r="D1779">
        <f>IF(B1779,MOD(A1779-1,Days),"")</f>
        <v/>
      </c>
      <c r="E1779" s="16">
        <f>IF(B1779,StartDate+D1779,"")</f>
        <v/>
      </c>
      <c r="F1779">
        <f>IF(B1779,MAX(MOD(SIN(Seed*0.1373+C1779*12.9898+D1779*78.233)*43758.5453,1),1E-9),"")</f>
        <v/>
      </c>
      <c r="G1779">
        <f>IF(B1779,MOD(SIN(Seed*0.5917+C1779*39.3468+D1779*11.135)*24634.6345,1),"")</f>
        <v/>
      </c>
      <c r="H1779">
        <f>IF(B1779,SQRT(-2*LN(F1779))*COS(2*PI()*G1779),"")</f>
        <v/>
      </c>
      <c r="I1779">
        <f>IF(B1779,IF(D1779=0,H1779,Rho*I1778+SQRT(1-Rho^2)*H1779),"")</f>
        <v/>
      </c>
      <c r="J1779">
        <f>IF(B1779,IF(Dist="Normal",DistA+DistB*I1779,DistA+(DistB-DistA)*NORMSDIST(I1779)),"")</f>
        <v/>
      </c>
      <c r="K1779">
        <f>IF(B1779,INDEX(MineScale,C1779),"")</f>
        <v/>
      </c>
      <c r="L1779">
        <f>IF(B1779,INDEX(Dow,1,WEEKDAY(E1779,2)),"")</f>
        <v/>
      </c>
      <c r="M1779">
        <f>IF(B1779,(1+Trend)^D1779,"")</f>
        <v/>
      </c>
      <c r="N1779">
        <f>IF(B1779,EXP(SUMPRODUCT(LN(1+(EvEff-1)*INDEX(Affected,0,C1779)*EXP(-((E1779-EvCenter)^2)/(2*EvSigma^2))))),"")</f>
        <v/>
      </c>
      <c r="O1779">
        <f>IF(B1779,ROUND(MAX(0,J1779*K1779*L1779*M1779*N1779),2),"")</f>
        <v/>
      </c>
    </row>
    <row r="1780">
      <c r="A1780" t="n">
        <v>1779</v>
      </c>
      <c r="B1780">
        <f>A1780&lt;=MineCount*Days</f>
        <v/>
      </c>
      <c r="C1780">
        <f>IF(B1780,INT((A1780-1)/Days)+1,"")</f>
        <v/>
      </c>
      <c r="D1780">
        <f>IF(B1780,MOD(A1780-1,Days),"")</f>
        <v/>
      </c>
      <c r="E1780" s="16">
        <f>IF(B1780,StartDate+D1780,"")</f>
        <v/>
      </c>
      <c r="F1780">
        <f>IF(B1780,MAX(MOD(SIN(Seed*0.1373+C1780*12.9898+D1780*78.233)*43758.5453,1),1E-9),"")</f>
        <v/>
      </c>
      <c r="G1780">
        <f>IF(B1780,MOD(SIN(Seed*0.5917+C1780*39.3468+D1780*11.135)*24634.6345,1),"")</f>
        <v/>
      </c>
      <c r="H1780">
        <f>IF(B1780,SQRT(-2*LN(F1780))*COS(2*PI()*G1780),"")</f>
        <v/>
      </c>
      <c r="I1780">
        <f>IF(B1780,IF(D1780=0,H1780,Rho*I1779+SQRT(1-Rho^2)*H1780),"")</f>
        <v/>
      </c>
      <c r="J1780">
        <f>IF(B1780,IF(Dist="Normal",DistA+DistB*I1780,DistA+(DistB-DistA)*NORMSDIST(I1780)),"")</f>
        <v/>
      </c>
      <c r="K1780">
        <f>IF(B1780,INDEX(MineScale,C1780),"")</f>
        <v/>
      </c>
      <c r="L1780">
        <f>IF(B1780,INDEX(Dow,1,WEEKDAY(E1780,2)),"")</f>
        <v/>
      </c>
      <c r="M1780">
        <f>IF(B1780,(1+Trend)^D1780,"")</f>
        <v/>
      </c>
      <c r="N1780">
        <f>IF(B1780,EXP(SUMPRODUCT(LN(1+(EvEff-1)*INDEX(Affected,0,C1780)*EXP(-((E1780-EvCenter)^2)/(2*EvSigma^2))))),"")</f>
        <v/>
      </c>
      <c r="O1780">
        <f>IF(B1780,ROUND(MAX(0,J1780*K1780*L1780*M1780*N1780),2),"")</f>
        <v/>
      </c>
    </row>
    <row r="1781">
      <c r="A1781" t="n">
        <v>1780</v>
      </c>
      <c r="B1781">
        <f>A1781&lt;=MineCount*Days</f>
        <v/>
      </c>
      <c r="C1781">
        <f>IF(B1781,INT((A1781-1)/Days)+1,"")</f>
        <v/>
      </c>
      <c r="D1781">
        <f>IF(B1781,MOD(A1781-1,Days),"")</f>
        <v/>
      </c>
      <c r="E1781" s="16">
        <f>IF(B1781,StartDate+D1781,"")</f>
        <v/>
      </c>
      <c r="F1781">
        <f>IF(B1781,MAX(MOD(SIN(Seed*0.1373+C1781*12.9898+D1781*78.233)*43758.5453,1),1E-9),"")</f>
        <v/>
      </c>
      <c r="G1781">
        <f>IF(B1781,MOD(SIN(Seed*0.5917+C1781*39.3468+D1781*11.135)*24634.6345,1),"")</f>
        <v/>
      </c>
      <c r="H1781">
        <f>IF(B1781,SQRT(-2*LN(F1781))*COS(2*PI()*G1781),"")</f>
        <v/>
      </c>
      <c r="I1781">
        <f>IF(B1781,IF(D1781=0,H1781,Rho*I1780+SQRT(1-Rho^2)*H1781),"")</f>
        <v/>
      </c>
      <c r="J1781">
        <f>IF(B1781,IF(Dist="Normal",DistA+DistB*I1781,DistA+(DistB-DistA)*NORMSDIST(I1781)),"")</f>
        <v/>
      </c>
      <c r="K1781">
        <f>IF(B1781,INDEX(MineScale,C1781),"")</f>
        <v/>
      </c>
      <c r="L1781">
        <f>IF(B1781,INDEX(Dow,1,WEEKDAY(E1781,2)),"")</f>
        <v/>
      </c>
      <c r="M1781">
        <f>IF(B1781,(1+Trend)^D1781,"")</f>
        <v/>
      </c>
      <c r="N1781">
        <f>IF(B1781,EXP(SUMPRODUCT(LN(1+(EvEff-1)*INDEX(Affected,0,C1781)*EXP(-((E1781-EvCenter)^2)/(2*EvSigma^2))))),"")</f>
        <v/>
      </c>
      <c r="O1781">
        <f>IF(B1781,ROUND(MAX(0,J1781*K1781*L1781*M1781*N1781),2),"")</f>
        <v/>
      </c>
    </row>
    <row r="1782">
      <c r="A1782" t="n">
        <v>1781</v>
      </c>
      <c r="B1782">
        <f>A1782&lt;=MineCount*Days</f>
        <v/>
      </c>
      <c r="C1782">
        <f>IF(B1782,INT((A1782-1)/Days)+1,"")</f>
        <v/>
      </c>
      <c r="D1782">
        <f>IF(B1782,MOD(A1782-1,Days),"")</f>
        <v/>
      </c>
      <c r="E1782" s="16">
        <f>IF(B1782,StartDate+D1782,"")</f>
        <v/>
      </c>
      <c r="F1782">
        <f>IF(B1782,MAX(MOD(SIN(Seed*0.1373+C1782*12.9898+D1782*78.233)*43758.5453,1),1E-9),"")</f>
        <v/>
      </c>
      <c r="G1782">
        <f>IF(B1782,MOD(SIN(Seed*0.5917+C1782*39.3468+D1782*11.135)*24634.6345,1),"")</f>
        <v/>
      </c>
      <c r="H1782">
        <f>IF(B1782,SQRT(-2*LN(F1782))*COS(2*PI()*G1782),"")</f>
        <v/>
      </c>
      <c r="I1782">
        <f>IF(B1782,IF(D1782=0,H1782,Rho*I1781+SQRT(1-Rho^2)*H1782),"")</f>
        <v/>
      </c>
      <c r="J1782">
        <f>IF(B1782,IF(Dist="Normal",DistA+DistB*I1782,DistA+(DistB-DistA)*NORMSDIST(I1782)),"")</f>
        <v/>
      </c>
      <c r="K1782">
        <f>IF(B1782,INDEX(MineScale,C1782),"")</f>
        <v/>
      </c>
      <c r="L1782">
        <f>IF(B1782,INDEX(Dow,1,WEEKDAY(E1782,2)),"")</f>
        <v/>
      </c>
      <c r="M1782">
        <f>IF(B1782,(1+Trend)^D1782,"")</f>
        <v/>
      </c>
      <c r="N1782">
        <f>IF(B1782,EXP(SUMPRODUCT(LN(1+(EvEff-1)*INDEX(Affected,0,C1782)*EXP(-((E1782-EvCenter)^2)/(2*EvSigma^2))))),"")</f>
        <v/>
      </c>
      <c r="O1782">
        <f>IF(B1782,ROUND(MAX(0,J1782*K1782*L1782*M1782*N1782),2),"")</f>
        <v/>
      </c>
    </row>
    <row r="1783">
      <c r="A1783" t="n">
        <v>1782</v>
      </c>
      <c r="B1783">
        <f>A1783&lt;=MineCount*Days</f>
        <v/>
      </c>
      <c r="C1783">
        <f>IF(B1783,INT((A1783-1)/Days)+1,"")</f>
        <v/>
      </c>
      <c r="D1783">
        <f>IF(B1783,MOD(A1783-1,Days),"")</f>
        <v/>
      </c>
      <c r="E1783" s="16">
        <f>IF(B1783,StartDate+D1783,"")</f>
        <v/>
      </c>
      <c r="F1783">
        <f>IF(B1783,MAX(MOD(SIN(Seed*0.1373+C1783*12.9898+D1783*78.233)*43758.5453,1),1E-9),"")</f>
        <v/>
      </c>
      <c r="G1783">
        <f>IF(B1783,MOD(SIN(Seed*0.5917+C1783*39.3468+D1783*11.135)*24634.6345,1),"")</f>
        <v/>
      </c>
      <c r="H1783">
        <f>IF(B1783,SQRT(-2*LN(F1783))*COS(2*PI()*G1783),"")</f>
        <v/>
      </c>
      <c r="I1783">
        <f>IF(B1783,IF(D1783=0,H1783,Rho*I1782+SQRT(1-Rho^2)*H1783),"")</f>
        <v/>
      </c>
      <c r="J1783">
        <f>IF(B1783,IF(Dist="Normal",DistA+DistB*I1783,DistA+(DistB-DistA)*NORMSDIST(I1783)),"")</f>
        <v/>
      </c>
      <c r="K1783">
        <f>IF(B1783,INDEX(MineScale,C1783),"")</f>
        <v/>
      </c>
      <c r="L1783">
        <f>IF(B1783,INDEX(Dow,1,WEEKDAY(E1783,2)),"")</f>
        <v/>
      </c>
      <c r="M1783">
        <f>IF(B1783,(1+Trend)^D1783,"")</f>
        <v/>
      </c>
      <c r="N1783">
        <f>IF(B1783,EXP(SUMPRODUCT(LN(1+(EvEff-1)*INDEX(Affected,0,C1783)*EXP(-((E1783-EvCenter)^2)/(2*EvSigma^2))))),"")</f>
        <v/>
      </c>
      <c r="O1783">
        <f>IF(B1783,ROUND(MAX(0,J1783*K1783*L1783*M1783*N1783),2),"")</f>
        <v/>
      </c>
    </row>
    <row r="1784">
      <c r="A1784" t="n">
        <v>1783</v>
      </c>
      <c r="B1784">
        <f>A1784&lt;=MineCount*Days</f>
        <v/>
      </c>
      <c r="C1784">
        <f>IF(B1784,INT((A1784-1)/Days)+1,"")</f>
        <v/>
      </c>
      <c r="D1784">
        <f>IF(B1784,MOD(A1784-1,Days),"")</f>
        <v/>
      </c>
      <c r="E1784" s="16">
        <f>IF(B1784,StartDate+D1784,"")</f>
        <v/>
      </c>
      <c r="F1784">
        <f>IF(B1784,MAX(MOD(SIN(Seed*0.1373+C1784*12.9898+D1784*78.233)*43758.5453,1),1E-9),"")</f>
        <v/>
      </c>
      <c r="G1784">
        <f>IF(B1784,MOD(SIN(Seed*0.5917+C1784*39.3468+D1784*11.135)*24634.6345,1),"")</f>
        <v/>
      </c>
      <c r="H1784">
        <f>IF(B1784,SQRT(-2*LN(F1784))*COS(2*PI()*G1784),"")</f>
        <v/>
      </c>
      <c r="I1784">
        <f>IF(B1784,IF(D1784=0,H1784,Rho*I1783+SQRT(1-Rho^2)*H1784),"")</f>
        <v/>
      </c>
      <c r="J1784">
        <f>IF(B1784,IF(Dist="Normal",DistA+DistB*I1784,DistA+(DistB-DistA)*NORMSDIST(I1784)),"")</f>
        <v/>
      </c>
      <c r="K1784">
        <f>IF(B1784,INDEX(MineScale,C1784),"")</f>
        <v/>
      </c>
      <c r="L1784">
        <f>IF(B1784,INDEX(Dow,1,WEEKDAY(E1784,2)),"")</f>
        <v/>
      </c>
      <c r="M1784">
        <f>IF(B1784,(1+Trend)^D1784,"")</f>
        <v/>
      </c>
      <c r="N1784">
        <f>IF(B1784,EXP(SUMPRODUCT(LN(1+(EvEff-1)*INDEX(Affected,0,C1784)*EXP(-((E1784-EvCenter)^2)/(2*EvSigma^2))))),"")</f>
        <v/>
      </c>
      <c r="O1784">
        <f>IF(B1784,ROUND(MAX(0,J1784*K1784*L1784*M1784*N1784),2),"")</f>
        <v/>
      </c>
    </row>
    <row r="1785">
      <c r="A1785" t="n">
        <v>1784</v>
      </c>
      <c r="B1785">
        <f>A1785&lt;=MineCount*Days</f>
        <v/>
      </c>
      <c r="C1785">
        <f>IF(B1785,INT((A1785-1)/Days)+1,"")</f>
        <v/>
      </c>
      <c r="D1785">
        <f>IF(B1785,MOD(A1785-1,Days),"")</f>
        <v/>
      </c>
      <c r="E1785" s="16">
        <f>IF(B1785,StartDate+D1785,"")</f>
        <v/>
      </c>
      <c r="F1785">
        <f>IF(B1785,MAX(MOD(SIN(Seed*0.1373+C1785*12.9898+D1785*78.233)*43758.5453,1),1E-9),"")</f>
        <v/>
      </c>
      <c r="G1785">
        <f>IF(B1785,MOD(SIN(Seed*0.5917+C1785*39.3468+D1785*11.135)*24634.6345,1),"")</f>
        <v/>
      </c>
      <c r="H1785">
        <f>IF(B1785,SQRT(-2*LN(F1785))*COS(2*PI()*G1785),"")</f>
        <v/>
      </c>
      <c r="I1785">
        <f>IF(B1785,IF(D1785=0,H1785,Rho*I1784+SQRT(1-Rho^2)*H1785),"")</f>
        <v/>
      </c>
      <c r="J1785">
        <f>IF(B1785,IF(Dist="Normal",DistA+DistB*I1785,DistA+(DistB-DistA)*NORMSDIST(I1785)),"")</f>
        <v/>
      </c>
      <c r="K1785">
        <f>IF(B1785,INDEX(MineScale,C1785),"")</f>
        <v/>
      </c>
      <c r="L1785">
        <f>IF(B1785,INDEX(Dow,1,WEEKDAY(E1785,2)),"")</f>
        <v/>
      </c>
      <c r="M1785">
        <f>IF(B1785,(1+Trend)^D1785,"")</f>
        <v/>
      </c>
      <c r="N1785">
        <f>IF(B1785,EXP(SUMPRODUCT(LN(1+(EvEff-1)*INDEX(Affected,0,C1785)*EXP(-((E1785-EvCenter)^2)/(2*EvSigma^2))))),"")</f>
        <v/>
      </c>
      <c r="O1785">
        <f>IF(B1785,ROUND(MAX(0,J1785*K1785*L1785*M1785*N1785),2),"")</f>
        <v/>
      </c>
    </row>
    <row r="1786">
      <c r="A1786" t="n">
        <v>1785</v>
      </c>
      <c r="B1786">
        <f>A1786&lt;=MineCount*Days</f>
        <v/>
      </c>
      <c r="C1786">
        <f>IF(B1786,INT((A1786-1)/Days)+1,"")</f>
        <v/>
      </c>
      <c r="D1786">
        <f>IF(B1786,MOD(A1786-1,Days),"")</f>
        <v/>
      </c>
      <c r="E1786" s="16">
        <f>IF(B1786,StartDate+D1786,"")</f>
        <v/>
      </c>
      <c r="F1786">
        <f>IF(B1786,MAX(MOD(SIN(Seed*0.1373+C1786*12.9898+D1786*78.233)*43758.5453,1),1E-9),"")</f>
        <v/>
      </c>
      <c r="G1786">
        <f>IF(B1786,MOD(SIN(Seed*0.5917+C1786*39.3468+D1786*11.135)*24634.6345,1),"")</f>
        <v/>
      </c>
      <c r="H1786">
        <f>IF(B1786,SQRT(-2*LN(F1786))*COS(2*PI()*G1786),"")</f>
        <v/>
      </c>
      <c r="I1786">
        <f>IF(B1786,IF(D1786=0,H1786,Rho*I1785+SQRT(1-Rho^2)*H1786),"")</f>
        <v/>
      </c>
      <c r="J1786">
        <f>IF(B1786,IF(Dist="Normal",DistA+DistB*I1786,DistA+(DistB-DistA)*NORMSDIST(I1786)),"")</f>
        <v/>
      </c>
      <c r="K1786">
        <f>IF(B1786,INDEX(MineScale,C1786),"")</f>
        <v/>
      </c>
      <c r="L1786">
        <f>IF(B1786,INDEX(Dow,1,WEEKDAY(E1786,2)),"")</f>
        <v/>
      </c>
      <c r="M1786">
        <f>IF(B1786,(1+Trend)^D1786,"")</f>
        <v/>
      </c>
      <c r="N1786">
        <f>IF(B1786,EXP(SUMPRODUCT(LN(1+(EvEff-1)*INDEX(Affected,0,C1786)*EXP(-((E1786-EvCenter)^2)/(2*EvSigma^2))))),"")</f>
        <v/>
      </c>
      <c r="O1786">
        <f>IF(B1786,ROUND(MAX(0,J1786*K1786*L1786*M1786*N1786),2),"")</f>
        <v/>
      </c>
    </row>
    <row r="1787">
      <c r="A1787" t="n">
        <v>1786</v>
      </c>
      <c r="B1787">
        <f>A1787&lt;=MineCount*Days</f>
        <v/>
      </c>
      <c r="C1787">
        <f>IF(B1787,INT((A1787-1)/Days)+1,"")</f>
        <v/>
      </c>
      <c r="D1787">
        <f>IF(B1787,MOD(A1787-1,Days),"")</f>
        <v/>
      </c>
      <c r="E1787" s="16">
        <f>IF(B1787,StartDate+D1787,"")</f>
        <v/>
      </c>
      <c r="F1787">
        <f>IF(B1787,MAX(MOD(SIN(Seed*0.1373+C1787*12.9898+D1787*78.233)*43758.5453,1),1E-9),"")</f>
        <v/>
      </c>
      <c r="G1787">
        <f>IF(B1787,MOD(SIN(Seed*0.5917+C1787*39.3468+D1787*11.135)*24634.6345,1),"")</f>
        <v/>
      </c>
      <c r="H1787">
        <f>IF(B1787,SQRT(-2*LN(F1787))*COS(2*PI()*G1787),"")</f>
        <v/>
      </c>
      <c r="I1787">
        <f>IF(B1787,IF(D1787=0,H1787,Rho*I1786+SQRT(1-Rho^2)*H1787),"")</f>
        <v/>
      </c>
      <c r="J1787">
        <f>IF(B1787,IF(Dist="Normal",DistA+DistB*I1787,DistA+(DistB-DistA)*NORMSDIST(I1787)),"")</f>
        <v/>
      </c>
      <c r="K1787">
        <f>IF(B1787,INDEX(MineScale,C1787),"")</f>
        <v/>
      </c>
      <c r="L1787">
        <f>IF(B1787,INDEX(Dow,1,WEEKDAY(E1787,2)),"")</f>
        <v/>
      </c>
      <c r="M1787">
        <f>IF(B1787,(1+Trend)^D1787,"")</f>
        <v/>
      </c>
      <c r="N1787">
        <f>IF(B1787,EXP(SUMPRODUCT(LN(1+(EvEff-1)*INDEX(Affected,0,C1787)*EXP(-((E1787-EvCenter)^2)/(2*EvSigma^2))))),"")</f>
        <v/>
      </c>
      <c r="O1787">
        <f>IF(B1787,ROUND(MAX(0,J1787*K1787*L1787*M1787*N1787),2),"")</f>
        <v/>
      </c>
    </row>
    <row r="1788">
      <c r="A1788" t="n">
        <v>1787</v>
      </c>
      <c r="B1788">
        <f>A1788&lt;=MineCount*Days</f>
        <v/>
      </c>
      <c r="C1788">
        <f>IF(B1788,INT((A1788-1)/Days)+1,"")</f>
        <v/>
      </c>
      <c r="D1788">
        <f>IF(B1788,MOD(A1788-1,Days),"")</f>
        <v/>
      </c>
      <c r="E1788" s="16">
        <f>IF(B1788,StartDate+D1788,"")</f>
        <v/>
      </c>
      <c r="F1788">
        <f>IF(B1788,MAX(MOD(SIN(Seed*0.1373+C1788*12.9898+D1788*78.233)*43758.5453,1),1E-9),"")</f>
        <v/>
      </c>
      <c r="G1788">
        <f>IF(B1788,MOD(SIN(Seed*0.5917+C1788*39.3468+D1788*11.135)*24634.6345,1),"")</f>
        <v/>
      </c>
      <c r="H1788">
        <f>IF(B1788,SQRT(-2*LN(F1788))*COS(2*PI()*G1788),"")</f>
        <v/>
      </c>
      <c r="I1788">
        <f>IF(B1788,IF(D1788=0,H1788,Rho*I1787+SQRT(1-Rho^2)*H1788),"")</f>
        <v/>
      </c>
      <c r="J1788">
        <f>IF(B1788,IF(Dist="Normal",DistA+DistB*I1788,DistA+(DistB-DistA)*NORMSDIST(I1788)),"")</f>
        <v/>
      </c>
      <c r="K1788">
        <f>IF(B1788,INDEX(MineScale,C1788),"")</f>
        <v/>
      </c>
      <c r="L1788">
        <f>IF(B1788,INDEX(Dow,1,WEEKDAY(E1788,2)),"")</f>
        <v/>
      </c>
      <c r="M1788">
        <f>IF(B1788,(1+Trend)^D1788,"")</f>
        <v/>
      </c>
      <c r="N1788">
        <f>IF(B1788,EXP(SUMPRODUCT(LN(1+(EvEff-1)*INDEX(Affected,0,C1788)*EXP(-((E1788-EvCenter)^2)/(2*EvSigma^2))))),"")</f>
        <v/>
      </c>
      <c r="O1788">
        <f>IF(B1788,ROUND(MAX(0,J1788*K1788*L1788*M1788*N1788),2),"")</f>
        <v/>
      </c>
    </row>
    <row r="1789">
      <c r="A1789" t="n">
        <v>1788</v>
      </c>
      <c r="B1789">
        <f>A1789&lt;=MineCount*Days</f>
        <v/>
      </c>
      <c r="C1789">
        <f>IF(B1789,INT((A1789-1)/Days)+1,"")</f>
        <v/>
      </c>
      <c r="D1789">
        <f>IF(B1789,MOD(A1789-1,Days),"")</f>
        <v/>
      </c>
      <c r="E1789" s="16">
        <f>IF(B1789,StartDate+D1789,"")</f>
        <v/>
      </c>
      <c r="F1789">
        <f>IF(B1789,MAX(MOD(SIN(Seed*0.1373+C1789*12.9898+D1789*78.233)*43758.5453,1),1E-9),"")</f>
        <v/>
      </c>
      <c r="G1789">
        <f>IF(B1789,MOD(SIN(Seed*0.5917+C1789*39.3468+D1789*11.135)*24634.6345,1),"")</f>
        <v/>
      </c>
      <c r="H1789">
        <f>IF(B1789,SQRT(-2*LN(F1789))*COS(2*PI()*G1789),"")</f>
        <v/>
      </c>
      <c r="I1789">
        <f>IF(B1789,IF(D1789=0,H1789,Rho*I1788+SQRT(1-Rho^2)*H1789),"")</f>
        <v/>
      </c>
      <c r="J1789">
        <f>IF(B1789,IF(Dist="Normal",DistA+DistB*I1789,DistA+(DistB-DistA)*NORMSDIST(I1789)),"")</f>
        <v/>
      </c>
      <c r="K1789">
        <f>IF(B1789,INDEX(MineScale,C1789),"")</f>
        <v/>
      </c>
      <c r="L1789">
        <f>IF(B1789,INDEX(Dow,1,WEEKDAY(E1789,2)),"")</f>
        <v/>
      </c>
      <c r="M1789">
        <f>IF(B1789,(1+Trend)^D1789,"")</f>
        <v/>
      </c>
      <c r="N1789">
        <f>IF(B1789,EXP(SUMPRODUCT(LN(1+(EvEff-1)*INDEX(Affected,0,C1789)*EXP(-((E1789-EvCenter)^2)/(2*EvSigma^2))))),"")</f>
        <v/>
      </c>
      <c r="O1789">
        <f>IF(B1789,ROUND(MAX(0,J1789*K1789*L1789*M1789*N1789),2),"")</f>
        <v/>
      </c>
    </row>
    <row r="1790">
      <c r="A1790" t="n">
        <v>1789</v>
      </c>
      <c r="B1790">
        <f>A1790&lt;=MineCount*Days</f>
        <v/>
      </c>
      <c r="C1790">
        <f>IF(B1790,INT((A1790-1)/Days)+1,"")</f>
        <v/>
      </c>
      <c r="D1790">
        <f>IF(B1790,MOD(A1790-1,Days),"")</f>
        <v/>
      </c>
      <c r="E1790" s="16">
        <f>IF(B1790,StartDate+D1790,"")</f>
        <v/>
      </c>
      <c r="F1790">
        <f>IF(B1790,MAX(MOD(SIN(Seed*0.1373+C1790*12.9898+D1790*78.233)*43758.5453,1),1E-9),"")</f>
        <v/>
      </c>
      <c r="G1790">
        <f>IF(B1790,MOD(SIN(Seed*0.5917+C1790*39.3468+D1790*11.135)*24634.6345,1),"")</f>
        <v/>
      </c>
      <c r="H1790">
        <f>IF(B1790,SQRT(-2*LN(F1790))*COS(2*PI()*G1790),"")</f>
        <v/>
      </c>
      <c r="I1790">
        <f>IF(B1790,IF(D1790=0,H1790,Rho*I1789+SQRT(1-Rho^2)*H1790),"")</f>
        <v/>
      </c>
      <c r="J1790">
        <f>IF(B1790,IF(Dist="Normal",DistA+DistB*I1790,DistA+(DistB-DistA)*NORMSDIST(I1790)),"")</f>
        <v/>
      </c>
      <c r="K1790">
        <f>IF(B1790,INDEX(MineScale,C1790),"")</f>
        <v/>
      </c>
      <c r="L1790">
        <f>IF(B1790,INDEX(Dow,1,WEEKDAY(E1790,2)),"")</f>
        <v/>
      </c>
      <c r="M1790">
        <f>IF(B1790,(1+Trend)^D1790,"")</f>
        <v/>
      </c>
      <c r="N1790">
        <f>IF(B1790,EXP(SUMPRODUCT(LN(1+(EvEff-1)*INDEX(Affected,0,C1790)*EXP(-((E1790-EvCenter)^2)/(2*EvSigma^2))))),"")</f>
        <v/>
      </c>
      <c r="O1790">
        <f>IF(B1790,ROUND(MAX(0,J1790*K1790*L1790*M1790*N1790),2),"")</f>
        <v/>
      </c>
    </row>
    <row r="1791">
      <c r="A1791" t="n">
        <v>1790</v>
      </c>
      <c r="B1791">
        <f>A1791&lt;=MineCount*Days</f>
        <v/>
      </c>
      <c r="C1791">
        <f>IF(B1791,INT((A1791-1)/Days)+1,"")</f>
        <v/>
      </c>
      <c r="D1791">
        <f>IF(B1791,MOD(A1791-1,Days),"")</f>
        <v/>
      </c>
      <c r="E1791" s="16">
        <f>IF(B1791,StartDate+D1791,"")</f>
        <v/>
      </c>
      <c r="F1791">
        <f>IF(B1791,MAX(MOD(SIN(Seed*0.1373+C1791*12.9898+D1791*78.233)*43758.5453,1),1E-9),"")</f>
        <v/>
      </c>
      <c r="G1791">
        <f>IF(B1791,MOD(SIN(Seed*0.5917+C1791*39.3468+D1791*11.135)*24634.6345,1),"")</f>
        <v/>
      </c>
      <c r="H1791">
        <f>IF(B1791,SQRT(-2*LN(F1791))*COS(2*PI()*G1791),"")</f>
        <v/>
      </c>
      <c r="I1791">
        <f>IF(B1791,IF(D1791=0,H1791,Rho*I1790+SQRT(1-Rho^2)*H1791),"")</f>
        <v/>
      </c>
      <c r="J1791">
        <f>IF(B1791,IF(Dist="Normal",DistA+DistB*I1791,DistA+(DistB-DistA)*NORMSDIST(I1791)),"")</f>
        <v/>
      </c>
      <c r="K1791">
        <f>IF(B1791,INDEX(MineScale,C1791),"")</f>
        <v/>
      </c>
      <c r="L1791">
        <f>IF(B1791,INDEX(Dow,1,WEEKDAY(E1791,2)),"")</f>
        <v/>
      </c>
      <c r="M1791">
        <f>IF(B1791,(1+Trend)^D1791,"")</f>
        <v/>
      </c>
      <c r="N1791">
        <f>IF(B1791,EXP(SUMPRODUCT(LN(1+(EvEff-1)*INDEX(Affected,0,C1791)*EXP(-((E1791-EvCenter)^2)/(2*EvSigma^2))))),"")</f>
        <v/>
      </c>
      <c r="O1791">
        <f>IF(B1791,ROUND(MAX(0,J1791*K1791*L1791*M1791*N1791),2),"")</f>
        <v/>
      </c>
    </row>
    <row r="1792">
      <c r="A1792" t="n">
        <v>1791</v>
      </c>
      <c r="B1792">
        <f>A1792&lt;=MineCount*Days</f>
        <v/>
      </c>
      <c r="C1792">
        <f>IF(B1792,INT((A1792-1)/Days)+1,"")</f>
        <v/>
      </c>
      <c r="D1792">
        <f>IF(B1792,MOD(A1792-1,Days),"")</f>
        <v/>
      </c>
      <c r="E1792" s="16">
        <f>IF(B1792,StartDate+D1792,"")</f>
        <v/>
      </c>
      <c r="F1792">
        <f>IF(B1792,MAX(MOD(SIN(Seed*0.1373+C1792*12.9898+D1792*78.233)*43758.5453,1),1E-9),"")</f>
        <v/>
      </c>
      <c r="G1792">
        <f>IF(B1792,MOD(SIN(Seed*0.5917+C1792*39.3468+D1792*11.135)*24634.6345,1),"")</f>
        <v/>
      </c>
      <c r="H1792">
        <f>IF(B1792,SQRT(-2*LN(F1792))*COS(2*PI()*G1792),"")</f>
        <v/>
      </c>
      <c r="I1792">
        <f>IF(B1792,IF(D1792=0,H1792,Rho*I1791+SQRT(1-Rho^2)*H1792),"")</f>
        <v/>
      </c>
      <c r="J1792">
        <f>IF(B1792,IF(Dist="Normal",DistA+DistB*I1792,DistA+(DistB-DistA)*NORMSDIST(I1792)),"")</f>
        <v/>
      </c>
      <c r="K1792">
        <f>IF(B1792,INDEX(MineScale,C1792),"")</f>
        <v/>
      </c>
      <c r="L1792">
        <f>IF(B1792,INDEX(Dow,1,WEEKDAY(E1792,2)),"")</f>
        <v/>
      </c>
      <c r="M1792">
        <f>IF(B1792,(1+Trend)^D1792,"")</f>
        <v/>
      </c>
      <c r="N1792">
        <f>IF(B1792,EXP(SUMPRODUCT(LN(1+(EvEff-1)*INDEX(Affected,0,C1792)*EXP(-((E1792-EvCenter)^2)/(2*EvSigma^2))))),"")</f>
        <v/>
      </c>
      <c r="O1792">
        <f>IF(B1792,ROUND(MAX(0,J1792*K1792*L1792*M1792*N1792),2),"")</f>
        <v/>
      </c>
    </row>
    <row r="1793">
      <c r="A1793" t="n">
        <v>1792</v>
      </c>
      <c r="B1793">
        <f>A1793&lt;=MineCount*Days</f>
        <v/>
      </c>
      <c r="C1793">
        <f>IF(B1793,INT((A1793-1)/Days)+1,"")</f>
        <v/>
      </c>
      <c r="D1793">
        <f>IF(B1793,MOD(A1793-1,Days),"")</f>
        <v/>
      </c>
      <c r="E1793" s="16">
        <f>IF(B1793,StartDate+D1793,"")</f>
        <v/>
      </c>
      <c r="F1793">
        <f>IF(B1793,MAX(MOD(SIN(Seed*0.1373+C1793*12.9898+D1793*78.233)*43758.5453,1),1E-9),"")</f>
        <v/>
      </c>
      <c r="G1793">
        <f>IF(B1793,MOD(SIN(Seed*0.5917+C1793*39.3468+D1793*11.135)*24634.6345,1),"")</f>
        <v/>
      </c>
      <c r="H1793">
        <f>IF(B1793,SQRT(-2*LN(F1793))*COS(2*PI()*G1793),"")</f>
        <v/>
      </c>
      <c r="I1793">
        <f>IF(B1793,IF(D1793=0,H1793,Rho*I1792+SQRT(1-Rho^2)*H1793),"")</f>
        <v/>
      </c>
      <c r="J1793">
        <f>IF(B1793,IF(Dist="Normal",DistA+DistB*I1793,DistA+(DistB-DistA)*NORMSDIST(I1793)),"")</f>
        <v/>
      </c>
      <c r="K1793">
        <f>IF(B1793,INDEX(MineScale,C1793),"")</f>
        <v/>
      </c>
      <c r="L1793">
        <f>IF(B1793,INDEX(Dow,1,WEEKDAY(E1793,2)),"")</f>
        <v/>
      </c>
      <c r="M1793">
        <f>IF(B1793,(1+Trend)^D1793,"")</f>
        <v/>
      </c>
      <c r="N1793">
        <f>IF(B1793,EXP(SUMPRODUCT(LN(1+(EvEff-1)*INDEX(Affected,0,C1793)*EXP(-((E1793-EvCenter)^2)/(2*EvSigma^2))))),"")</f>
        <v/>
      </c>
      <c r="O1793">
        <f>IF(B1793,ROUND(MAX(0,J1793*K1793*L1793*M1793*N1793),2),"")</f>
        <v/>
      </c>
    </row>
    <row r="1794">
      <c r="A1794" t="n">
        <v>1793</v>
      </c>
      <c r="B1794">
        <f>A1794&lt;=MineCount*Days</f>
        <v/>
      </c>
      <c r="C1794">
        <f>IF(B1794,INT((A1794-1)/Days)+1,"")</f>
        <v/>
      </c>
      <c r="D1794">
        <f>IF(B1794,MOD(A1794-1,Days),"")</f>
        <v/>
      </c>
      <c r="E1794" s="16">
        <f>IF(B1794,StartDate+D1794,"")</f>
        <v/>
      </c>
      <c r="F1794">
        <f>IF(B1794,MAX(MOD(SIN(Seed*0.1373+C1794*12.9898+D1794*78.233)*43758.5453,1),1E-9),"")</f>
        <v/>
      </c>
      <c r="G1794">
        <f>IF(B1794,MOD(SIN(Seed*0.5917+C1794*39.3468+D1794*11.135)*24634.6345,1),"")</f>
        <v/>
      </c>
      <c r="H1794">
        <f>IF(B1794,SQRT(-2*LN(F1794))*COS(2*PI()*G1794),"")</f>
        <v/>
      </c>
      <c r="I1794">
        <f>IF(B1794,IF(D1794=0,H1794,Rho*I1793+SQRT(1-Rho^2)*H1794),"")</f>
        <v/>
      </c>
      <c r="J1794">
        <f>IF(B1794,IF(Dist="Normal",DistA+DistB*I1794,DistA+(DistB-DistA)*NORMSDIST(I1794)),"")</f>
        <v/>
      </c>
      <c r="K1794">
        <f>IF(B1794,INDEX(MineScale,C1794),"")</f>
        <v/>
      </c>
      <c r="L1794">
        <f>IF(B1794,INDEX(Dow,1,WEEKDAY(E1794,2)),"")</f>
        <v/>
      </c>
      <c r="M1794">
        <f>IF(B1794,(1+Trend)^D1794,"")</f>
        <v/>
      </c>
      <c r="N1794">
        <f>IF(B1794,EXP(SUMPRODUCT(LN(1+(EvEff-1)*INDEX(Affected,0,C1794)*EXP(-((E1794-EvCenter)^2)/(2*EvSigma^2))))),"")</f>
        <v/>
      </c>
      <c r="O1794">
        <f>IF(B1794,ROUND(MAX(0,J1794*K1794*L1794*M1794*N1794),2),"")</f>
        <v/>
      </c>
    </row>
    <row r="1795">
      <c r="A1795" t="n">
        <v>1794</v>
      </c>
      <c r="B1795">
        <f>A1795&lt;=MineCount*Days</f>
        <v/>
      </c>
      <c r="C1795">
        <f>IF(B1795,INT((A1795-1)/Days)+1,"")</f>
        <v/>
      </c>
      <c r="D1795">
        <f>IF(B1795,MOD(A1795-1,Days),"")</f>
        <v/>
      </c>
      <c r="E1795" s="16">
        <f>IF(B1795,StartDate+D1795,"")</f>
        <v/>
      </c>
      <c r="F1795">
        <f>IF(B1795,MAX(MOD(SIN(Seed*0.1373+C1795*12.9898+D1795*78.233)*43758.5453,1),1E-9),"")</f>
        <v/>
      </c>
      <c r="G1795">
        <f>IF(B1795,MOD(SIN(Seed*0.5917+C1795*39.3468+D1795*11.135)*24634.6345,1),"")</f>
        <v/>
      </c>
      <c r="H1795">
        <f>IF(B1795,SQRT(-2*LN(F1795))*COS(2*PI()*G1795),"")</f>
        <v/>
      </c>
      <c r="I1795">
        <f>IF(B1795,IF(D1795=0,H1795,Rho*I1794+SQRT(1-Rho^2)*H1795),"")</f>
        <v/>
      </c>
      <c r="J1795">
        <f>IF(B1795,IF(Dist="Normal",DistA+DistB*I1795,DistA+(DistB-DistA)*NORMSDIST(I1795)),"")</f>
        <v/>
      </c>
      <c r="K1795">
        <f>IF(B1795,INDEX(MineScale,C1795),"")</f>
        <v/>
      </c>
      <c r="L1795">
        <f>IF(B1795,INDEX(Dow,1,WEEKDAY(E1795,2)),"")</f>
        <v/>
      </c>
      <c r="M1795">
        <f>IF(B1795,(1+Trend)^D1795,"")</f>
        <v/>
      </c>
      <c r="N1795">
        <f>IF(B1795,EXP(SUMPRODUCT(LN(1+(EvEff-1)*INDEX(Affected,0,C1795)*EXP(-((E1795-EvCenter)^2)/(2*EvSigma^2))))),"")</f>
        <v/>
      </c>
      <c r="O1795">
        <f>IF(B1795,ROUND(MAX(0,J1795*K1795*L1795*M1795*N1795),2),"")</f>
        <v/>
      </c>
    </row>
    <row r="1796">
      <c r="A1796" t="n">
        <v>1795</v>
      </c>
      <c r="B1796">
        <f>A1796&lt;=MineCount*Days</f>
        <v/>
      </c>
      <c r="C1796">
        <f>IF(B1796,INT((A1796-1)/Days)+1,"")</f>
        <v/>
      </c>
      <c r="D1796">
        <f>IF(B1796,MOD(A1796-1,Days),"")</f>
        <v/>
      </c>
      <c r="E1796" s="16">
        <f>IF(B1796,StartDate+D1796,"")</f>
        <v/>
      </c>
      <c r="F1796">
        <f>IF(B1796,MAX(MOD(SIN(Seed*0.1373+C1796*12.9898+D1796*78.233)*43758.5453,1),1E-9),"")</f>
        <v/>
      </c>
      <c r="G1796">
        <f>IF(B1796,MOD(SIN(Seed*0.5917+C1796*39.3468+D1796*11.135)*24634.6345,1),"")</f>
        <v/>
      </c>
      <c r="H1796">
        <f>IF(B1796,SQRT(-2*LN(F1796))*COS(2*PI()*G1796),"")</f>
        <v/>
      </c>
      <c r="I1796">
        <f>IF(B1796,IF(D1796=0,H1796,Rho*I1795+SQRT(1-Rho^2)*H1796),"")</f>
        <v/>
      </c>
      <c r="J1796">
        <f>IF(B1796,IF(Dist="Normal",DistA+DistB*I1796,DistA+(DistB-DistA)*NORMSDIST(I1796)),"")</f>
        <v/>
      </c>
      <c r="K1796">
        <f>IF(B1796,INDEX(MineScale,C1796),"")</f>
        <v/>
      </c>
      <c r="L1796">
        <f>IF(B1796,INDEX(Dow,1,WEEKDAY(E1796,2)),"")</f>
        <v/>
      </c>
      <c r="M1796">
        <f>IF(B1796,(1+Trend)^D1796,"")</f>
        <v/>
      </c>
      <c r="N1796">
        <f>IF(B1796,EXP(SUMPRODUCT(LN(1+(EvEff-1)*INDEX(Affected,0,C1796)*EXP(-((E1796-EvCenter)^2)/(2*EvSigma^2))))),"")</f>
        <v/>
      </c>
      <c r="O1796">
        <f>IF(B1796,ROUND(MAX(0,J1796*K1796*L1796*M1796*N1796),2),"")</f>
        <v/>
      </c>
    </row>
    <row r="1797">
      <c r="A1797" t="n">
        <v>1796</v>
      </c>
      <c r="B1797">
        <f>A1797&lt;=MineCount*Days</f>
        <v/>
      </c>
      <c r="C1797">
        <f>IF(B1797,INT((A1797-1)/Days)+1,"")</f>
        <v/>
      </c>
      <c r="D1797">
        <f>IF(B1797,MOD(A1797-1,Days),"")</f>
        <v/>
      </c>
      <c r="E1797" s="16">
        <f>IF(B1797,StartDate+D1797,"")</f>
        <v/>
      </c>
      <c r="F1797">
        <f>IF(B1797,MAX(MOD(SIN(Seed*0.1373+C1797*12.9898+D1797*78.233)*43758.5453,1),1E-9),"")</f>
        <v/>
      </c>
      <c r="G1797">
        <f>IF(B1797,MOD(SIN(Seed*0.5917+C1797*39.3468+D1797*11.135)*24634.6345,1),"")</f>
        <v/>
      </c>
      <c r="H1797">
        <f>IF(B1797,SQRT(-2*LN(F1797))*COS(2*PI()*G1797),"")</f>
        <v/>
      </c>
      <c r="I1797">
        <f>IF(B1797,IF(D1797=0,H1797,Rho*I1796+SQRT(1-Rho^2)*H1797),"")</f>
        <v/>
      </c>
      <c r="J1797">
        <f>IF(B1797,IF(Dist="Normal",DistA+DistB*I1797,DistA+(DistB-DistA)*NORMSDIST(I1797)),"")</f>
        <v/>
      </c>
      <c r="K1797">
        <f>IF(B1797,INDEX(MineScale,C1797),"")</f>
        <v/>
      </c>
      <c r="L1797">
        <f>IF(B1797,INDEX(Dow,1,WEEKDAY(E1797,2)),"")</f>
        <v/>
      </c>
      <c r="M1797">
        <f>IF(B1797,(1+Trend)^D1797,"")</f>
        <v/>
      </c>
      <c r="N1797">
        <f>IF(B1797,EXP(SUMPRODUCT(LN(1+(EvEff-1)*INDEX(Affected,0,C1797)*EXP(-((E1797-EvCenter)^2)/(2*EvSigma^2))))),"")</f>
        <v/>
      </c>
      <c r="O1797">
        <f>IF(B1797,ROUND(MAX(0,J1797*K1797*L1797*M1797*N1797),2),"")</f>
        <v/>
      </c>
    </row>
    <row r="1798">
      <c r="A1798" t="n">
        <v>1797</v>
      </c>
      <c r="B1798">
        <f>A1798&lt;=MineCount*Days</f>
        <v/>
      </c>
      <c r="C1798">
        <f>IF(B1798,INT((A1798-1)/Days)+1,"")</f>
        <v/>
      </c>
      <c r="D1798">
        <f>IF(B1798,MOD(A1798-1,Days),"")</f>
        <v/>
      </c>
      <c r="E1798" s="16">
        <f>IF(B1798,StartDate+D1798,"")</f>
        <v/>
      </c>
      <c r="F1798">
        <f>IF(B1798,MAX(MOD(SIN(Seed*0.1373+C1798*12.9898+D1798*78.233)*43758.5453,1),1E-9),"")</f>
        <v/>
      </c>
      <c r="G1798">
        <f>IF(B1798,MOD(SIN(Seed*0.5917+C1798*39.3468+D1798*11.135)*24634.6345,1),"")</f>
        <v/>
      </c>
      <c r="H1798">
        <f>IF(B1798,SQRT(-2*LN(F1798))*COS(2*PI()*G1798),"")</f>
        <v/>
      </c>
      <c r="I1798">
        <f>IF(B1798,IF(D1798=0,H1798,Rho*I1797+SQRT(1-Rho^2)*H1798),"")</f>
        <v/>
      </c>
      <c r="J1798">
        <f>IF(B1798,IF(Dist="Normal",DistA+DistB*I1798,DistA+(DistB-DistA)*NORMSDIST(I1798)),"")</f>
        <v/>
      </c>
      <c r="K1798">
        <f>IF(B1798,INDEX(MineScale,C1798),"")</f>
        <v/>
      </c>
      <c r="L1798">
        <f>IF(B1798,INDEX(Dow,1,WEEKDAY(E1798,2)),"")</f>
        <v/>
      </c>
      <c r="M1798">
        <f>IF(B1798,(1+Trend)^D1798,"")</f>
        <v/>
      </c>
      <c r="N1798">
        <f>IF(B1798,EXP(SUMPRODUCT(LN(1+(EvEff-1)*INDEX(Affected,0,C1798)*EXP(-((E1798-EvCenter)^2)/(2*EvSigma^2))))),"")</f>
        <v/>
      </c>
      <c r="O1798">
        <f>IF(B1798,ROUND(MAX(0,J1798*K1798*L1798*M1798*N1798),2),"")</f>
        <v/>
      </c>
    </row>
    <row r="1799">
      <c r="A1799" t="n">
        <v>1798</v>
      </c>
      <c r="B1799">
        <f>A1799&lt;=MineCount*Days</f>
        <v/>
      </c>
      <c r="C1799">
        <f>IF(B1799,INT((A1799-1)/Days)+1,"")</f>
        <v/>
      </c>
      <c r="D1799">
        <f>IF(B1799,MOD(A1799-1,Days),"")</f>
        <v/>
      </c>
      <c r="E1799" s="16">
        <f>IF(B1799,StartDate+D1799,"")</f>
        <v/>
      </c>
      <c r="F1799">
        <f>IF(B1799,MAX(MOD(SIN(Seed*0.1373+C1799*12.9898+D1799*78.233)*43758.5453,1),1E-9),"")</f>
        <v/>
      </c>
      <c r="G1799">
        <f>IF(B1799,MOD(SIN(Seed*0.5917+C1799*39.3468+D1799*11.135)*24634.6345,1),"")</f>
        <v/>
      </c>
      <c r="H1799">
        <f>IF(B1799,SQRT(-2*LN(F1799))*COS(2*PI()*G1799),"")</f>
        <v/>
      </c>
      <c r="I1799">
        <f>IF(B1799,IF(D1799=0,H1799,Rho*I1798+SQRT(1-Rho^2)*H1799),"")</f>
        <v/>
      </c>
      <c r="J1799">
        <f>IF(B1799,IF(Dist="Normal",DistA+DistB*I1799,DistA+(DistB-DistA)*NORMSDIST(I1799)),"")</f>
        <v/>
      </c>
      <c r="K1799">
        <f>IF(B1799,INDEX(MineScale,C1799),"")</f>
        <v/>
      </c>
      <c r="L1799">
        <f>IF(B1799,INDEX(Dow,1,WEEKDAY(E1799,2)),"")</f>
        <v/>
      </c>
      <c r="M1799">
        <f>IF(B1799,(1+Trend)^D1799,"")</f>
        <v/>
      </c>
      <c r="N1799">
        <f>IF(B1799,EXP(SUMPRODUCT(LN(1+(EvEff-1)*INDEX(Affected,0,C1799)*EXP(-((E1799-EvCenter)^2)/(2*EvSigma^2))))),"")</f>
        <v/>
      </c>
      <c r="O1799">
        <f>IF(B1799,ROUND(MAX(0,J1799*K1799*L1799*M1799*N1799),2),"")</f>
        <v/>
      </c>
    </row>
    <row r="1800">
      <c r="A1800" t="n">
        <v>1799</v>
      </c>
      <c r="B1800">
        <f>A1800&lt;=MineCount*Days</f>
        <v/>
      </c>
      <c r="C1800">
        <f>IF(B1800,INT((A1800-1)/Days)+1,"")</f>
        <v/>
      </c>
      <c r="D1800">
        <f>IF(B1800,MOD(A1800-1,Days),"")</f>
        <v/>
      </c>
      <c r="E1800" s="16">
        <f>IF(B1800,StartDate+D1800,"")</f>
        <v/>
      </c>
      <c r="F1800">
        <f>IF(B1800,MAX(MOD(SIN(Seed*0.1373+C1800*12.9898+D1800*78.233)*43758.5453,1),1E-9),"")</f>
        <v/>
      </c>
      <c r="G1800">
        <f>IF(B1800,MOD(SIN(Seed*0.5917+C1800*39.3468+D1800*11.135)*24634.6345,1),"")</f>
        <v/>
      </c>
      <c r="H1800">
        <f>IF(B1800,SQRT(-2*LN(F1800))*COS(2*PI()*G1800),"")</f>
        <v/>
      </c>
      <c r="I1800">
        <f>IF(B1800,IF(D1800=0,H1800,Rho*I1799+SQRT(1-Rho^2)*H1800),"")</f>
        <v/>
      </c>
      <c r="J1800">
        <f>IF(B1800,IF(Dist="Normal",DistA+DistB*I1800,DistA+(DistB-DistA)*NORMSDIST(I1800)),"")</f>
        <v/>
      </c>
      <c r="K1800">
        <f>IF(B1800,INDEX(MineScale,C1800),"")</f>
        <v/>
      </c>
      <c r="L1800">
        <f>IF(B1800,INDEX(Dow,1,WEEKDAY(E1800,2)),"")</f>
        <v/>
      </c>
      <c r="M1800">
        <f>IF(B1800,(1+Trend)^D1800,"")</f>
        <v/>
      </c>
      <c r="N1800">
        <f>IF(B1800,EXP(SUMPRODUCT(LN(1+(EvEff-1)*INDEX(Affected,0,C1800)*EXP(-((E1800-EvCenter)^2)/(2*EvSigma^2))))),"")</f>
        <v/>
      </c>
      <c r="O1800">
        <f>IF(B1800,ROUND(MAX(0,J1800*K1800*L1800*M1800*N1800),2),"")</f>
        <v/>
      </c>
    </row>
    <row r="1801">
      <c r="A1801" t="n">
        <v>1800</v>
      </c>
      <c r="B1801">
        <f>A1801&lt;=MineCount*Days</f>
        <v/>
      </c>
      <c r="C1801">
        <f>IF(B1801,INT((A1801-1)/Days)+1,"")</f>
        <v/>
      </c>
      <c r="D1801">
        <f>IF(B1801,MOD(A1801-1,Days),"")</f>
        <v/>
      </c>
      <c r="E1801" s="16">
        <f>IF(B1801,StartDate+D1801,"")</f>
        <v/>
      </c>
      <c r="F1801">
        <f>IF(B1801,MAX(MOD(SIN(Seed*0.1373+C1801*12.9898+D1801*78.233)*43758.5453,1),1E-9),"")</f>
        <v/>
      </c>
      <c r="G1801">
        <f>IF(B1801,MOD(SIN(Seed*0.5917+C1801*39.3468+D1801*11.135)*24634.6345,1),"")</f>
        <v/>
      </c>
      <c r="H1801">
        <f>IF(B1801,SQRT(-2*LN(F1801))*COS(2*PI()*G1801),"")</f>
        <v/>
      </c>
      <c r="I1801">
        <f>IF(B1801,IF(D1801=0,H1801,Rho*I1800+SQRT(1-Rho^2)*H1801),"")</f>
        <v/>
      </c>
      <c r="J1801">
        <f>IF(B1801,IF(Dist="Normal",DistA+DistB*I1801,DistA+(DistB-DistA)*NORMSDIST(I1801)),"")</f>
        <v/>
      </c>
      <c r="K1801">
        <f>IF(B1801,INDEX(MineScale,C1801),"")</f>
        <v/>
      </c>
      <c r="L1801">
        <f>IF(B1801,INDEX(Dow,1,WEEKDAY(E1801,2)),"")</f>
        <v/>
      </c>
      <c r="M1801">
        <f>IF(B1801,(1+Trend)^D1801,"")</f>
        <v/>
      </c>
      <c r="N1801">
        <f>IF(B1801,EXP(SUMPRODUCT(LN(1+(EvEff-1)*INDEX(Affected,0,C1801)*EXP(-((E1801-EvCenter)^2)/(2*EvSigma^2))))),"")</f>
        <v/>
      </c>
      <c r="O1801">
        <f>IF(B1801,ROUND(MAX(0,J1801*K1801*L1801*M1801*N1801),2),"")</f>
        <v/>
      </c>
    </row>
    <row r="1802">
      <c r="A1802" t="n">
        <v>1801</v>
      </c>
      <c r="B1802">
        <f>A1802&lt;=MineCount*Days</f>
        <v/>
      </c>
      <c r="C1802">
        <f>IF(B1802,INT((A1802-1)/Days)+1,"")</f>
        <v/>
      </c>
      <c r="D1802">
        <f>IF(B1802,MOD(A1802-1,Days),"")</f>
        <v/>
      </c>
      <c r="E1802" s="16">
        <f>IF(B1802,StartDate+D1802,"")</f>
        <v/>
      </c>
      <c r="F1802">
        <f>IF(B1802,MAX(MOD(SIN(Seed*0.1373+C1802*12.9898+D1802*78.233)*43758.5453,1),1E-9),"")</f>
        <v/>
      </c>
      <c r="G1802">
        <f>IF(B1802,MOD(SIN(Seed*0.5917+C1802*39.3468+D1802*11.135)*24634.6345,1),"")</f>
        <v/>
      </c>
      <c r="H1802">
        <f>IF(B1802,SQRT(-2*LN(F1802))*COS(2*PI()*G1802),"")</f>
        <v/>
      </c>
      <c r="I1802">
        <f>IF(B1802,IF(D1802=0,H1802,Rho*I1801+SQRT(1-Rho^2)*H1802),"")</f>
        <v/>
      </c>
      <c r="J1802">
        <f>IF(B1802,IF(Dist="Normal",DistA+DistB*I1802,DistA+(DistB-DistA)*NORMSDIST(I1802)),"")</f>
        <v/>
      </c>
      <c r="K1802">
        <f>IF(B1802,INDEX(MineScale,C1802),"")</f>
        <v/>
      </c>
      <c r="L1802">
        <f>IF(B1802,INDEX(Dow,1,WEEKDAY(E1802,2)),"")</f>
        <v/>
      </c>
      <c r="M1802">
        <f>IF(B1802,(1+Trend)^D1802,"")</f>
        <v/>
      </c>
      <c r="N1802">
        <f>IF(B1802,EXP(SUMPRODUCT(LN(1+(EvEff-1)*INDEX(Affected,0,C1802)*EXP(-((E1802-EvCenter)^2)/(2*EvSigma^2))))),"")</f>
        <v/>
      </c>
      <c r="O1802">
        <f>IF(B1802,ROUND(MAX(0,J1802*K1802*L1802*M1802*N1802),2),"")</f>
        <v/>
      </c>
    </row>
    <row r="1803">
      <c r="A1803" t="n">
        <v>1802</v>
      </c>
      <c r="B1803">
        <f>A1803&lt;=MineCount*Days</f>
        <v/>
      </c>
      <c r="C1803">
        <f>IF(B1803,INT((A1803-1)/Days)+1,"")</f>
        <v/>
      </c>
      <c r="D1803">
        <f>IF(B1803,MOD(A1803-1,Days),"")</f>
        <v/>
      </c>
      <c r="E1803" s="16">
        <f>IF(B1803,StartDate+D1803,"")</f>
        <v/>
      </c>
      <c r="F1803">
        <f>IF(B1803,MAX(MOD(SIN(Seed*0.1373+C1803*12.9898+D1803*78.233)*43758.5453,1),1E-9),"")</f>
        <v/>
      </c>
      <c r="G1803">
        <f>IF(B1803,MOD(SIN(Seed*0.5917+C1803*39.3468+D1803*11.135)*24634.6345,1),"")</f>
        <v/>
      </c>
      <c r="H1803">
        <f>IF(B1803,SQRT(-2*LN(F1803))*COS(2*PI()*G1803),"")</f>
        <v/>
      </c>
      <c r="I1803">
        <f>IF(B1803,IF(D1803=0,H1803,Rho*I1802+SQRT(1-Rho^2)*H1803),"")</f>
        <v/>
      </c>
      <c r="J1803">
        <f>IF(B1803,IF(Dist="Normal",DistA+DistB*I1803,DistA+(DistB-DistA)*NORMSDIST(I1803)),"")</f>
        <v/>
      </c>
      <c r="K1803">
        <f>IF(B1803,INDEX(MineScale,C1803),"")</f>
        <v/>
      </c>
      <c r="L1803">
        <f>IF(B1803,INDEX(Dow,1,WEEKDAY(E1803,2)),"")</f>
        <v/>
      </c>
      <c r="M1803">
        <f>IF(B1803,(1+Trend)^D1803,"")</f>
        <v/>
      </c>
      <c r="N1803">
        <f>IF(B1803,EXP(SUMPRODUCT(LN(1+(EvEff-1)*INDEX(Affected,0,C1803)*EXP(-((E1803-EvCenter)^2)/(2*EvSigma^2))))),"")</f>
        <v/>
      </c>
      <c r="O1803">
        <f>IF(B1803,ROUND(MAX(0,J1803*K1803*L1803*M1803*N1803),2),"")</f>
        <v/>
      </c>
    </row>
    <row r="1804">
      <c r="A1804" t="n">
        <v>1803</v>
      </c>
      <c r="B1804">
        <f>A1804&lt;=MineCount*Days</f>
        <v/>
      </c>
      <c r="C1804">
        <f>IF(B1804,INT((A1804-1)/Days)+1,"")</f>
        <v/>
      </c>
      <c r="D1804">
        <f>IF(B1804,MOD(A1804-1,Days),"")</f>
        <v/>
      </c>
      <c r="E1804" s="16">
        <f>IF(B1804,StartDate+D1804,"")</f>
        <v/>
      </c>
      <c r="F1804">
        <f>IF(B1804,MAX(MOD(SIN(Seed*0.1373+C1804*12.9898+D1804*78.233)*43758.5453,1),1E-9),"")</f>
        <v/>
      </c>
      <c r="G1804">
        <f>IF(B1804,MOD(SIN(Seed*0.5917+C1804*39.3468+D1804*11.135)*24634.6345,1),"")</f>
        <v/>
      </c>
      <c r="H1804">
        <f>IF(B1804,SQRT(-2*LN(F1804))*COS(2*PI()*G1804),"")</f>
        <v/>
      </c>
      <c r="I1804">
        <f>IF(B1804,IF(D1804=0,H1804,Rho*I1803+SQRT(1-Rho^2)*H1804),"")</f>
        <v/>
      </c>
      <c r="J1804">
        <f>IF(B1804,IF(Dist="Normal",DistA+DistB*I1804,DistA+(DistB-DistA)*NORMSDIST(I1804)),"")</f>
        <v/>
      </c>
      <c r="K1804">
        <f>IF(B1804,INDEX(MineScale,C1804),"")</f>
        <v/>
      </c>
      <c r="L1804">
        <f>IF(B1804,INDEX(Dow,1,WEEKDAY(E1804,2)),"")</f>
        <v/>
      </c>
      <c r="M1804">
        <f>IF(B1804,(1+Trend)^D1804,"")</f>
        <v/>
      </c>
      <c r="N1804">
        <f>IF(B1804,EXP(SUMPRODUCT(LN(1+(EvEff-1)*INDEX(Affected,0,C1804)*EXP(-((E1804-EvCenter)^2)/(2*EvSigma^2))))),"")</f>
        <v/>
      </c>
      <c r="O1804">
        <f>IF(B1804,ROUND(MAX(0,J1804*K1804*L1804*M1804*N1804),2),"")</f>
        <v/>
      </c>
    </row>
    <row r="1805">
      <c r="A1805" t="n">
        <v>1804</v>
      </c>
      <c r="B1805">
        <f>A1805&lt;=MineCount*Days</f>
        <v/>
      </c>
      <c r="C1805">
        <f>IF(B1805,INT((A1805-1)/Days)+1,"")</f>
        <v/>
      </c>
      <c r="D1805">
        <f>IF(B1805,MOD(A1805-1,Days),"")</f>
        <v/>
      </c>
      <c r="E1805" s="16">
        <f>IF(B1805,StartDate+D1805,"")</f>
        <v/>
      </c>
      <c r="F1805">
        <f>IF(B1805,MAX(MOD(SIN(Seed*0.1373+C1805*12.9898+D1805*78.233)*43758.5453,1),1E-9),"")</f>
        <v/>
      </c>
      <c r="G1805">
        <f>IF(B1805,MOD(SIN(Seed*0.5917+C1805*39.3468+D1805*11.135)*24634.6345,1),"")</f>
        <v/>
      </c>
      <c r="H1805">
        <f>IF(B1805,SQRT(-2*LN(F1805))*COS(2*PI()*G1805),"")</f>
        <v/>
      </c>
      <c r="I1805">
        <f>IF(B1805,IF(D1805=0,H1805,Rho*I1804+SQRT(1-Rho^2)*H1805),"")</f>
        <v/>
      </c>
      <c r="J1805">
        <f>IF(B1805,IF(Dist="Normal",DistA+DistB*I1805,DistA+(DistB-DistA)*NORMSDIST(I1805)),"")</f>
        <v/>
      </c>
      <c r="K1805">
        <f>IF(B1805,INDEX(MineScale,C1805),"")</f>
        <v/>
      </c>
      <c r="L1805">
        <f>IF(B1805,INDEX(Dow,1,WEEKDAY(E1805,2)),"")</f>
        <v/>
      </c>
      <c r="M1805">
        <f>IF(B1805,(1+Trend)^D1805,"")</f>
        <v/>
      </c>
      <c r="N1805">
        <f>IF(B1805,EXP(SUMPRODUCT(LN(1+(EvEff-1)*INDEX(Affected,0,C1805)*EXP(-((E1805-EvCenter)^2)/(2*EvSigma^2))))),"")</f>
        <v/>
      </c>
      <c r="O1805">
        <f>IF(B1805,ROUND(MAX(0,J1805*K1805*L1805*M1805*N1805),2),"")</f>
        <v/>
      </c>
    </row>
    <row r="1806">
      <c r="A1806" t="n">
        <v>1805</v>
      </c>
      <c r="B1806">
        <f>A1806&lt;=MineCount*Days</f>
        <v/>
      </c>
      <c r="C1806">
        <f>IF(B1806,INT((A1806-1)/Days)+1,"")</f>
        <v/>
      </c>
      <c r="D1806">
        <f>IF(B1806,MOD(A1806-1,Days),"")</f>
        <v/>
      </c>
      <c r="E1806" s="16">
        <f>IF(B1806,StartDate+D1806,"")</f>
        <v/>
      </c>
      <c r="F1806">
        <f>IF(B1806,MAX(MOD(SIN(Seed*0.1373+C1806*12.9898+D1806*78.233)*43758.5453,1),1E-9),"")</f>
        <v/>
      </c>
      <c r="G1806">
        <f>IF(B1806,MOD(SIN(Seed*0.5917+C1806*39.3468+D1806*11.135)*24634.6345,1),"")</f>
        <v/>
      </c>
      <c r="H1806">
        <f>IF(B1806,SQRT(-2*LN(F1806))*COS(2*PI()*G1806),"")</f>
        <v/>
      </c>
      <c r="I1806">
        <f>IF(B1806,IF(D1806=0,H1806,Rho*I1805+SQRT(1-Rho^2)*H1806),"")</f>
        <v/>
      </c>
      <c r="J1806">
        <f>IF(B1806,IF(Dist="Normal",DistA+DistB*I1806,DistA+(DistB-DistA)*NORMSDIST(I1806)),"")</f>
        <v/>
      </c>
      <c r="K1806">
        <f>IF(B1806,INDEX(MineScale,C1806),"")</f>
        <v/>
      </c>
      <c r="L1806">
        <f>IF(B1806,INDEX(Dow,1,WEEKDAY(E1806,2)),"")</f>
        <v/>
      </c>
      <c r="M1806">
        <f>IF(B1806,(1+Trend)^D1806,"")</f>
        <v/>
      </c>
      <c r="N1806">
        <f>IF(B1806,EXP(SUMPRODUCT(LN(1+(EvEff-1)*INDEX(Affected,0,C1806)*EXP(-((E1806-EvCenter)^2)/(2*EvSigma^2))))),"")</f>
        <v/>
      </c>
      <c r="O1806">
        <f>IF(B1806,ROUND(MAX(0,J1806*K1806*L1806*M1806*N1806),2),"")</f>
        <v/>
      </c>
    </row>
    <row r="1807">
      <c r="A1807" t="n">
        <v>1806</v>
      </c>
      <c r="B1807">
        <f>A1807&lt;=MineCount*Days</f>
        <v/>
      </c>
      <c r="C1807">
        <f>IF(B1807,INT((A1807-1)/Days)+1,"")</f>
        <v/>
      </c>
      <c r="D1807">
        <f>IF(B1807,MOD(A1807-1,Days),"")</f>
        <v/>
      </c>
      <c r="E1807" s="16">
        <f>IF(B1807,StartDate+D1807,"")</f>
        <v/>
      </c>
      <c r="F1807">
        <f>IF(B1807,MAX(MOD(SIN(Seed*0.1373+C1807*12.9898+D1807*78.233)*43758.5453,1),1E-9),"")</f>
        <v/>
      </c>
      <c r="G1807">
        <f>IF(B1807,MOD(SIN(Seed*0.5917+C1807*39.3468+D1807*11.135)*24634.6345,1),"")</f>
        <v/>
      </c>
      <c r="H1807">
        <f>IF(B1807,SQRT(-2*LN(F1807))*COS(2*PI()*G1807),"")</f>
        <v/>
      </c>
      <c r="I1807">
        <f>IF(B1807,IF(D1807=0,H1807,Rho*I1806+SQRT(1-Rho^2)*H1807),"")</f>
        <v/>
      </c>
      <c r="J1807">
        <f>IF(B1807,IF(Dist="Normal",DistA+DistB*I1807,DistA+(DistB-DistA)*NORMSDIST(I1807)),"")</f>
        <v/>
      </c>
      <c r="K1807">
        <f>IF(B1807,INDEX(MineScale,C1807),"")</f>
        <v/>
      </c>
      <c r="L1807">
        <f>IF(B1807,INDEX(Dow,1,WEEKDAY(E1807,2)),"")</f>
        <v/>
      </c>
      <c r="M1807">
        <f>IF(B1807,(1+Trend)^D1807,"")</f>
        <v/>
      </c>
      <c r="N1807">
        <f>IF(B1807,EXP(SUMPRODUCT(LN(1+(EvEff-1)*INDEX(Affected,0,C1807)*EXP(-((E1807-EvCenter)^2)/(2*EvSigma^2))))),"")</f>
        <v/>
      </c>
      <c r="O1807">
        <f>IF(B1807,ROUND(MAX(0,J1807*K1807*L1807*M1807*N1807),2),"")</f>
        <v/>
      </c>
    </row>
    <row r="1808">
      <c r="A1808" t="n">
        <v>1807</v>
      </c>
      <c r="B1808">
        <f>A1808&lt;=MineCount*Days</f>
        <v/>
      </c>
      <c r="C1808">
        <f>IF(B1808,INT((A1808-1)/Days)+1,"")</f>
        <v/>
      </c>
      <c r="D1808">
        <f>IF(B1808,MOD(A1808-1,Days),"")</f>
        <v/>
      </c>
      <c r="E1808" s="16">
        <f>IF(B1808,StartDate+D1808,"")</f>
        <v/>
      </c>
      <c r="F1808">
        <f>IF(B1808,MAX(MOD(SIN(Seed*0.1373+C1808*12.9898+D1808*78.233)*43758.5453,1),1E-9),"")</f>
        <v/>
      </c>
      <c r="G1808">
        <f>IF(B1808,MOD(SIN(Seed*0.5917+C1808*39.3468+D1808*11.135)*24634.6345,1),"")</f>
        <v/>
      </c>
      <c r="H1808">
        <f>IF(B1808,SQRT(-2*LN(F1808))*COS(2*PI()*G1808),"")</f>
        <v/>
      </c>
      <c r="I1808">
        <f>IF(B1808,IF(D1808=0,H1808,Rho*I1807+SQRT(1-Rho^2)*H1808),"")</f>
        <v/>
      </c>
      <c r="J1808">
        <f>IF(B1808,IF(Dist="Normal",DistA+DistB*I1808,DistA+(DistB-DistA)*NORMSDIST(I1808)),"")</f>
        <v/>
      </c>
      <c r="K1808">
        <f>IF(B1808,INDEX(MineScale,C1808),"")</f>
        <v/>
      </c>
      <c r="L1808">
        <f>IF(B1808,INDEX(Dow,1,WEEKDAY(E1808,2)),"")</f>
        <v/>
      </c>
      <c r="M1808">
        <f>IF(B1808,(1+Trend)^D1808,"")</f>
        <v/>
      </c>
      <c r="N1808">
        <f>IF(B1808,EXP(SUMPRODUCT(LN(1+(EvEff-1)*INDEX(Affected,0,C1808)*EXP(-((E1808-EvCenter)^2)/(2*EvSigma^2))))),"")</f>
        <v/>
      </c>
      <c r="O1808">
        <f>IF(B1808,ROUND(MAX(0,J1808*K1808*L1808*M1808*N1808),2),"")</f>
        <v/>
      </c>
    </row>
    <row r="1809">
      <c r="A1809" t="n">
        <v>1808</v>
      </c>
      <c r="B1809">
        <f>A1809&lt;=MineCount*Days</f>
        <v/>
      </c>
      <c r="C1809">
        <f>IF(B1809,INT((A1809-1)/Days)+1,"")</f>
        <v/>
      </c>
      <c r="D1809">
        <f>IF(B1809,MOD(A1809-1,Days),"")</f>
        <v/>
      </c>
      <c r="E1809" s="16">
        <f>IF(B1809,StartDate+D1809,"")</f>
        <v/>
      </c>
      <c r="F1809">
        <f>IF(B1809,MAX(MOD(SIN(Seed*0.1373+C1809*12.9898+D1809*78.233)*43758.5453,1),1E-9),"")</f>
        <v/>
      </c>
      <c r="G1809">
        <f>IF(B1809,MOD(SIN(Seed*0.5917+C1809*39.3468+D1809*11.135)*24634.6345,1),"")</f>
        <v/>
      </c>
      <c r="H1809">
        <f>IF(B1809,SQRT(-2*LN(F1809))*COS(2*PI()*G1809),"")</f>
        <v/>
      </c>
      <c r="I1809">
        <f>IF(B1809,IF(D1809=0,H1809,Rho*I1808+SQRT(1-Rho^2)*H1809),"")</f>
        <v/>
      </c>
      <c r="J1809">
        <f>IF(B1809,IF(Dist="Normal",DistA+DistB*I1809,DistA+(DistB-DistA)*NORMSDIST(I1809)),"")</f>
        <v/>
      </c>
      <c r="K1809">
        <f>IF(B1809,INDEX(MineScale,C1809),"")</f>
        <v/>
      </c>
      <c r="L1809">
        <f>IF(B1809,INDEX(Dow,1,WEEKDAY(E1809,2)),"")</f>
        <v/>
      </c>
      <c r="M1809">
        <f>IF(B1809,(1+Trend)^D1809,"")</f>
        <v/>
      </c>
      <c r="N1809">
        <f>IF(B1809,EXP(SUMPRODUCT(LN(1+(EvEff-1)*INDEX(Affected,0,C1809)*EXP(-((E1809-EvCenter)^2)/(2*EvSigma^2))))),"")</f>
        <v/>
      </c>
      <c r="O1809">
        <f>IF(B1809,ROUND(MAX(0,J1809*K1809*L1809*M1809*N1809),2),"")</f>
        <v/>
      </c>
    </row>
    <row r="1810">
      <c r="A1810" t="n">
        <v>1809</v>
      </c>
      <c r="B1810">
        <f>A1810&lt;=MineCount*Days</f>
        <v/>
      </c>
      <c r="C1810">
        <f>IF(B1810,INT((A1810-1)/Days)+1,"")</f>
        <v/>
      </c>
      <c r="D1810">
        <f>IF(B1810,MOD(A1810-1,Days),"")</f>
        <v/>
      </c>
      <c r="E1810" s="16">
        <f>IF(B1810,StartDate+D1810,"")</f>
        <v/>
      </c>
      <c r="F1810">
        <f>IF(B1810,MAX(MOD(SIN(Seed*0.1373+C1810*12.9898+D1810*78.233)*43758.5453,1),1E-9),"")</f>
        <v/>
      </c>
      <c r="G1810">
        <f>IF(B1810,MOD(SIN(Seed*0.5917+C1810*39.3468+D1810*11.135)*24634.6345,1),"")</f>
        <v/>
      </c>
      <c r="H1810">
        <f>IF(B1810,SQRT(-2*LN(F1810))*COS(2*PI()*G1810),"")</f>
        <v/>
      </c>
      <c r="I1810">
        <f>IF(B1810,IF(D1810=0,H1810,Rho*I1809+SQRT(1-Rho^2)*H1810),"")</f>
        <v/>
      </c>
      <c r="J1810">
        <f>IF(B1810,IF(Dist="Normal",DistA+DistB*I1810,DistA+(DistB-DistA)*NORMSDIST(I1810)),"")</f>
        <v/>
      </c>
      <c r="K1810">
        <f>IF(B1810,INDEX(MineScale,C1810),"")</f>
        <v/>
      </c>
      <c r="L1810">
        <f>IF(B1810,INDEX(Dow,1,WEEKDAY(E1810,2)),"")</f>
        <v/>
      </c>
      <c r="M1810">
        <f>IF(B1810,(1+Trend)^D1810,"")</f>
        <v/>
      </c>
      <c r="N1810">
        <f>IF(B1810,EXP(SUMPRODUCT(LN(1+(EvEff-1)*INDEX(Affected,0,C1810)*EXP(-((E1810-EvCenter)^2)/(2*EvSigma^2))))),"")</f>
        <v/>
      </c>
      <c r="O1810">
        <f>IF(B1810,ROUND(MAX(0,J1810*K1810*L1810*M1810*N1810),2),"")</f>
        <v/>
      </c>
    </row>
    <row r="1811">
      <c r="A1811" t="n">
        <v>1810</v>
      </c>
      <c r="B1811">
        <f>A1811&lt;=MineCount*Days</f>
        <v/>
      </c>
      <c r="C1811">
        <f>IF(B1811,INT((A1811-1)/Days)+1,"")</f>
        <v/>
      </c>
      <c r="D1811">
        <f>IF(B1811,MOD(A1811-1,Days),"")</f>
        <v/>
      </c>
      <c r="E1811" s="16">
        <f>IF(B1811,StartDate+D1811,"")</f>
        <v/>
      </c>
      <c r="F1811">
        <f>IF(B1811,MAX(MOD(SIN(Seed*0.1373+C1811*12.9898+D1811*78.233)*43758.5453,1),1E-9),"")</f>
        <v/>
      </c>
      <c r="G1811">
        <f>IF(B1811,MOD(SIN(Seed*0.5917+C1811*39.3468+D1811*11.135)*24634.6345,1),"")</f>
        <v/>
      </c>
      <c r="H1811">
        <f>IF(B1811,SQRT(-2*LN(F1811))*COS(2*PI()*G1811),"")</f>
        <v/>
      </c>
      <c r="I1811">
        <f>IF(B1811,IF(D1811=0,H1811,Rho*I1810+SQRT(1-Rho^2)*H1811),"")</f>
        <v/>
      </c>
      <c r="J1811">
        <f>IF(B1811,IF(Dist="Normal",DistA+DistB*I1811,DistA+(DistB-DistA)*NORMSDIST(I1811)),"")</f>
        <v/>
      </c>
      <c r="K1811">
        <f>IF(B1811,INDEX(MineScale,C1811),"")</f>
        <v/>
      </c>
      <c r="L1811">
        <f>IF(B1811,INDEX(Dow,1,WEEKDAY(E1811,2)),"")</f>
        <v/>
      </c>
      <c r="M1811">
        <f>IF(B1811,(1+Trend)^D1811,"")</f>
        <v/>
      </c>
      <c r="N1811">
        <f>IF(B1811,EXP(SUMPRODUCT(LN(1+(EvEff-1)*INDEX(Affected,0,C1811)*EXP(-((E1811-EvCenter)^2)/(2*EvSigma^2))))),"")</f>
        <v/>
      </c>
      <c r="O1811">
        <f>IF(B1811,ROUND(MAX(0,J1811*K1811*L1811*M1811*N1811),2),"")</f>
        <v/>
      </c>
    </row>
    <row r="1812">
      <c r="A1812" t="n">
        <v>1811</v>
      </c>
      <c r="B1812">
        <f>A1812&lt;=MineCount*Days</f>
        <v/>
      </c>
      <c r="C1812">
        <f>IF(B1812,INT((A1812-1)/Days)+1,"")</f>
        <v/>
      </c>
      <c r="D1812">
        <f>IF(B1812,MOD(A1812-1,Days),"")</f>
        <v/>
      </c>
      <c r="E1812" s="16">
        <f>IF(B1812,StartDate+D1812,"")</f>
        <v/>
      </c>
      <c r="F1812">
        <f>IF(B1812,MAX(MOD(SIN(Seed*0.1373+C1812*12.9898+D1812*78.233)*43758.5453,1),1E-9),"")</f>
        <v/>
      </c>
      <c r="G1812">
        <f>IF(B1812,MOD(SIN(Seed*0.5917+C1812*39.3468+D1812*11.135)*24634.6345,1),"")</f>
        <v/>
      </c>
      <c r="H1812">
        <f>IF(B1812,SQRT(-2*LN(F1812))*COS(2*PI()*G1812),"")</f>
        <v/>
      </c>
      <c r="I1812">
        <f>IF(B1812,IF(D1812=0,H1812,Rho*I1811+SQRT(1-Rho^2)*H1812),"")</f>
        <v/>
      </c>
      <c r="J1812">
        <f>IF(B1812,IF(Dist="Normal",DistA+DistB*I1812,DistA+(DistB-DistA)*NORMSDIST(I1812)),"")</f>
        <v/>
      </c>
      <c r="K1812">
        <f>IF(B1812,INDEX(MineScale,C1812),"")</f>
        <v/>
      </c>
      <c r="L1812">
        <f>IF(B1812,INDEX(Dow,1,WEEKDAY(E1812,2)),"")</f>
        <v/>
      </c>
      <c r="M1812">
        <f>IF(B1812,(1+Trend)^D1812,"")</f>
        <v/>
      </c>
      <c r="N1812">
        <f>IF(B1812,EXP(SUMPRODUCT(LN(1+(EvEff-1)*INDEX(Affected,0,C1812)*EXP(-((E1812-EvCenter)^2)/(2*EvSigma^2))))),"")</f>
        <v/>
      </c>
      <c r="O1812">
        <f>IF(B1812,ROUND(MAX(0,J1812*K1812*L1812*M1812*N1812),2),"")</f>
        <v/>
      </c>
    </row>
    <row r="1813">
      <c r="A1813" t="n">
        <v>1812</v>
      </c>
      <c r="B1813">
        <f>A1813&lt;=MineCount*Days</f>
        <v/>
      </c>
      <c r="C1813">
        <f>IF(B1813,INT((A1813-1)/Days)+1,"")</f>
        <v/>
      </c>
      <c r="D1813">
        <f>IF(B1813,MOD(A1813-1,Days),"")</f>
        <v/>
      </c>
      <c r="E1813" s="16">
        <f>IF(B1813,StartDate+D1813,"")</f>
        <v/>
      </c>
      <c r="F1813">
        <f>IF(B1813,MAX(MOD(SIN(Seed*0.1373+C1813*12.9898+D1813*78.233)*43758.5453,1),1E-9),"")</f>
        <v/>
      </c>
      <c r="G1813">
        <f>IF(B1813,MOD(SIN(Seed*0.5917+C1813*39.3468+D1813*11.135)*24634.6345,1),"")</f>
        <v/>
      </c>
      <c r="H1813">
        <f>IF(B1813,SQRT(-2*LN(F1813))*COS(2*PI()*G1813),"")</f>
        <v/>
      </c>
      <c r="I1813">
        <f>IF(B1813,IF(D1813=0,H1813,Rho*I1812+SQRT(1-Rho^2)*H1813),"")</f>
        <v/>
      </c>
      <c r="J1813">
        <f>IF(B1813,IF(Dist="Normal",DistA+DistB*I1813,DistA+(DistB-DistA)*NORMSDIST(I1813)),"")</f>
        <v/>
      </c>
      <c r="K1813">
        <f>IF(B1813,INDEX(MineScale,C1813),"")</f>
        <v/>
      </c>
      <c r="L1813">
        <f>IF(B1813,INDEX(Dow,1,WEEKDAY(E1813,2)),"")</f>
        <v/>
      </c>
      <c r="M1813">
        <f>IF(B1813,(1+Trend)^D1813,"")</f>
        <v/>
      </c>
      <c r="N1813">
        <f>IF(B1813,EXP(SUMPRODUCT(LN(1+(EvEff-1)*INDEX(Affected,0,C1813)*EXP(-((E1813-EvCenter)^2)/(2*EvSigma^2))))),"")</f>
        <v/>
      </c>
      <c r="O1813">
        <f>IF(B1813,ROUND(MAX(0,J1813*K1813*L1813*M1813*N1813),2),"")</f>
        <v/>
      </c>
    </row>
    <row r="1814">
      <c r="A1814" t="n">
        <v>1813</v>
      </c>
      <c r="B1814">
        <f>A1814&lt;=MineCount*Days</f>
        <v/>
      </c>
      <c r="C1814">
        <f>IF(B1814,INT((A1814-1)/Days)+1,"")</f>
        <v/>
      </c>
      <c r="D1814">
        <f>IF(B1814,MOD(A1814-1,Days),"")</f>
        <v/>
      </c>
      <c r="E1814" s="16">
        <f>IF(B1814,StartDate+D1814,"")</f>
        <v/>
      </c>
      <c r="F1814">
        <f>IF(B1814,MAX(MOD(SIN(Seed*0.1373+C1814*12.9898+D1814*78.233)*43758.5453,1),1E-9),"")</f>
        <v/>
      </c>
      <c r="G1814">
        <f>IF(B1814,MOD(SIN(Seed*0.5917+C1814*39.3468+D1814*11.135)*24634.6345,1),"")</f>
        <v/>
      </c>
      <c r="H1814">
        <f>IF(B1814,SQRT(-2*LN(F1814))*COS(2*PI()*G1814),"")</f>
        <v/>
      </c>
      <c r="I1814">
        <f>IF(B1814,IF(D1814=0,H1814,Rho*I1813+SQRT(1-Rho^2)*H1814),"")</f>
        <v/>
      </c>
      <c r="J1814">
        <f>IF(B1814,IF(Dist="Normal",DistA+DistB*I1814,DistA+(DistB-DistA)*NORMSDIST(I1814)),"")</f>
        <v/>
      </c>
      <c r="K1814">
        <f>IF(B1814,INDEX(MineScale,C1814),"")</f>
        <v/>
      </c>
      <c r="L1814">
        <f>IF(B1814,INDEX(Dow,1,WEEKDAY(E1814,2)),"")</f>
        <v/>
      </c>
      <c r="M1814">
        <f>IF(B1814,(1+Trend)^D1814,"")</f>
        <v/>
      </c>
      <c r="N1814">
        <f>IF(B1814,EXP(SUMPRODUCT(LN(1+(EvEff-1)*INDEX(Affected,0,C1814)*EXP(-((E1814-EvCenter)^2)/(2*EvSigma^2))))),"")</f>
        <v/>
      </c>
      <c r="O1814">
        <f>IF(B1814,ROUND(MAX(0,J1814*K1814*L1814*M1814*N1814),2),"")</f>
        <v/>
      </c>
    </row>
    <row r="1815">
      <c r="A1815" t="n">
        <v>1814</v>
      </c>
      <c r="B1815">
        <f>A1815&lt;=MineCount*Days</f>
        <v/>
      </c>
      <c r="C1815">
        <f>IF(B1815,INT((A1815-1)/Days)+1,"")</f>
        <v/>
      </c>
      <c r="D1815">
        <f>IF(B1815,MOD(A1815-1,Days),"")</f>
        <v/>
      </c>
      <c r="E1815" s="16">
        <f>IF(B1815,StartDate+D1815,"")</f>
        <v/>
      </c>
      <c r="F1815">
        <f>IF(B1815,MAX(MOD(SIN(Seed*0.1373+C1815*12.9898+D1815*78.233)*43758.5453,1),1E-9),"")</f>
        <v/>
      </c>
      <c r="G1815">
        <f>IF(B1815,MOD(SIN(Seed*0.5917+C1815*39.3468+D1815*11.135)*24634.6345,1),"")</f>
        <v/>
      </c>
      <c r="H1815">
        <f>IF(B1815,SQRT(-2*LN(F1815))*COS(2*PI()*G1815),"")</f>
        <v/>
      </c>
      <c r="I1815">
        <f>IF(B1815,IF(D1815=0,H1815,Rho*I1814+SQRT(1-Rho^2)*H1815),"")</f>
        <v/>
      </c>
      <c r="J1815">
        <f>IF(B1815,IF(Dist="Normal",DistA+DistB*I1815,DistA+(DistB-DistA)*NORMSDIST(I1815)),"")</f>
        <v/>
      </c>
      <c r="K1815">
        <f>IF(B1815,INDEX(MineScale,C1815),"")</f>
        <v/>
      </c>
      <c r="L1815">
        <f>IF(B1815,INDEX(Dow,1,WEEKDAY(E1815,2)),"")</f>
        <v/>
      </c>
      <c r="M1815">
        <f>IF(B1815,(1+Trend)^D1815,"")</f>
        <v/>
      </c>
      <c r="N1815">
        <f>IF(B1815,EXP(SUMPRODUCT(LN(1+(EvEff-1)*INDEX(Affected,0,C1815)*EXP(-((E1815-EvCenter)^2)/(2*EvSigma^2))))),"")</f>
        <v/>
      </c>
      <c r="O1815">
        <f>IF(B1815,ROUND(MAX(0,J1815*K1815*L1815*M1815*N1815),2),"")</f>
        <v/>
      </c>
    </row>
    <row r="1816">
      <c r="A1816" t="n">
        <v>1815</v>
      </c>
      <c r="B1816">
        <f>A1816&lt;=MineCount*Days</f>
        <v/>
      </c>
      <c r="C1816">
        <f>IF(B1816,INT((A1816-1)/Days)+1,"")</f>
        <v/>
      </c>
      <c r="D1816">
        <f>IF(B1816,MOD(A1816-1,Days),"")</f>
        <v/>
      </c>
      <c r="E1816" s="16">
        <f>IF(B1816,StartDate+D1816,"")</f>
        <v/>
      </c>
      <c r="F1816">
        <f>IF(B1816,MAX(MOD(SIN(Seed*0.1373+C1816*12.9898+D1816*78.233)*43758.5453,1),1E-9),"")</f>
        <v/>
      </c>
      <c r="G1816">
        <f>IF(B1816,MOD(SIN(Seed*0.5917+C1816*39.3468+D1816*11.135)*24634.6345,1),"")</f>
        <v/>
      </c>
      <c r="H1816">
        <f>IF(B1816,SQRT(-2*LN(F1816))*COS(2*PI()*G1816),"")</f>
        <v/>
      </c>
      <c r="I1816">
        <f>IF(B1816,IF(D1816=0,H1816,Rho*I1815+SQRT(1-Rho^2)*H1816),"")</f>
        <v/>
      </c>
      <c r="J1816">
        <f>IF(B1816,IF(Dist="Normal",DistA+DistB*I1816,DistA+(DistB-DistA)*NORMSDIST(I1816)),"")</f>
        <v/>
      </c>
      <c r="K1816">
        <f>IF(B1816,INDEX(MineScale,C1816),"")</f>
        <v/>
      </c>
      <c r="L1816">
        <f>IF(B1816,INDEX(Dow,1,WEEKDAY(E1816,2)),"")</f>
        <v/>
      </c>
      <c r="M1816">
        <f>IF(B1816,(1+Trend)^D1816,"")</f>
        <v/>
      </c>
      <c r="N1816">
        <f>IF(B1816,EXP(SUMPRODUCT(LN(1+(EvEff-1)*INDEX(Affected,0,C1816)*EXP(-((E1816-EvCenter)^2)/(2*EvSigma^2))))),"")</f>
        <v/>
      </c>
      <c r="O1816">
        <f>IF(B1816,ROUND(MAX(0,J1816*K1816*L1816*M1816*N1816),2),"")</f>
        <v/>
      </c>
    </row>
    <row r="1817">
      <c r="A1817" t="n">
        <v>1816</v>
      </c>
      <c r="B1817">
        <f>A1817&lt;=MineCount*Days</f>
        <v/>
      </c>
      <c r="C1817">
        <f>IF(B1817,INT((A1817-1)/Days)+1,"")</f>
        <v/>
      </c>
      <c r="D1817">
        <f>IF(B1817,MOD(A1817-1,Days),"")</f>
        <v/>
      </c>
      <c r="E1817" s="16">
        <f>IF(B1817,StartDate+D1817,"")</f>
        <v/>
      </c>
      <c r="F1817">
        <f>IF(B1817,MAX(MOD(SIN(Seed*0.1373+C1817*12.9898+D1817*78.233)*43758.5453,1),1E-9),"")</f>
        <v/>
      </c>
      <c r="G1817">
        <f>IF(B1817,MOD(SIN(Seed*0.5917+C1817*39.3468+D1817*11.135)*24634.6345,1),"")</f>
        <v/>
      </c>
      <c r="H1817">
        <f>IF(B1817,SQRT(-2*LN(F1817))*COS(2*PI()*G1817),"")</f>
        <v/>
      </c>
      <c r="I1817">
        <f>IF(B1817,IF(D1817=0,H1817,Rho*I1816+SQRT(1-Rho^2)*H1817),"")</f>
        <v/>
      </c>
      <c r="J1817">
        <f>IF(B1817,IF(Dist="Normal",DistA+DistB*I1817,DistA+(DistB-DistA)*NORMSDIST(I1817)),"")</f>
        <v/>
      </c>
      <c r="K1817">
        <f>IF(B1817,INDEX(MineScale,C1817),"")</f>
        <v/>
      </c>
      <c r="L1817">
        <f>IF(B1817,INDEX(Dow,1,WEEKDAY(E1817,2)),"")</f>
        <v/>
      </c>
      <c r="M1817">
        <f>IF(B1817,(1+Trend)^D1817,"")</f>
        <v/>
      </c>
      <c r="N1817">
        <f>IF(B1817,EXP(SUMPRODUCT(LN(1+(EvEff-1)*INDEX(Affected,0,C1817)*EXP(-((E1817-EvCenter)^2)/(2*EvSigma^2))))),"")</f>
        <v/>
      </c>
      <c r="O1817">
        <f>IF(B1817,ROUND(MAX(0,J1817*K1817*L1817*M1817*N1817),2),"")</f>
        <v/>
      </c>
    </row>
    <row r="1818">
      <c r="A1818" t="n">
        <v>1817</v>
      </c>
      <c r="B1818">
        <f>A1818&lt;=MineCount*Days</f>
        <v/>
      </c>
      <c r="C1818">
        <f>IF(B1818,INT((A1818-1)/Days)+1,"")</f>
        <v/>
      </c>
      <c r="D1818">
        <f>IF(B1818,MOD(A1818-1,Days),"")</f>
        <v/>
      </c>
      <c r="E1818" s="16">
        <f>IF(B1818,StartDate+D1818,"")</f>
        <v/>
      </c>
      <c r="F1818">
        <f>IF(B1818,MAX(MOD(SIN(Seed*0.1373+C1818*12.9898+D1818*78.233)*43758.5453,1),1E-9),"")</f>
        <v/>
      </c>
      <c r="G1818">
        <f>IF(B1818,MOD(SIN(Seed*0.5917+C1818*39.3468+D1818*11.135)*24634.6345,1),"")</f>
        <v/>
      </c>
      <c r="H1818">
        <f>IF(B1818,SQRT(-2*LN(F1818))*COS(2*PI()*G1818),"")</f>
        <v/>
      </c>
      <c r="I1818">
        <f>IF(B1818,IF(D1818=0,H1818,Rho*I1817+SQRT(1-Rho^2)*H1818),"")</f>
        <v/>
      </c>
      <c r="J1818">
        <f>IF(B1818,IF(Dist="Normal",DistA+DistB*I1818,DistA+(DistB-DistA)*NORMSDIST(I1818)),"")</f>
        <v/>
      </c>
      <c r="K1818">
        <f>IF(B1818,INDEX(MineScale,C1818),"")</f>
        <v/>
      </c>
      <c r="L1818">
        <f>IF(B1818,INDEX(Dow,1,WEEKDAY(E1818,2)),"")</f>
        <v/>
      </c>
      <c r="M1818">
        <f>IF(B1818,(1+Trend)^D1818,"")</f>
        <v/>
      </c>
      <c r="N1818">
        <f>IF(B1818,EXP(SUMPRODUCT(LN(1+(EvEff-1)*INDEX(Affected,0,C1818)*EXP(-((E1818-EvCenter)^2)/(2*EvSigma^2))))),"")</f>
        <v/>
      </c>
      <c r="O1818">
        <f>IF(B1818,ROUND(MAX(0,J1818*K1818*L1818*M1818*N1818),2),"")</f>
        <v/>
      </c>
    </row>
    <row r="1819">
      <c r="A1819" t="n">
        <v>1818</v>
      </c>
      <c r="B1819">
        <f>A1819&lt;=MineCount*Days</f>
        <v/>
      </c>
      <c r="C1819">
        <f>IF(B1819,INT((A1819-1)/Days)+1,"")</f>
        <v/>
      </c>
      <c r="D1819">
        <f>IF(B1819,MOD(A1819-1,Days),"")</f>
        <v/>
      </c>
      <c r="E1819" s="16">
        <f>IF(B1819,StartDate+D1819,"")</f>
        <v/>
      </c>
      <c r="F1819">
        <f>IF(B1819,MAX(MOD(SIN(Seed*0.1373+C1819*12.9898+D1819*78.233)*43758.5453,1),1E-9),"")</f>
        <v/>
      </c>
      <c r="G1819">
        <f>IF(B1819,MOD(SIN(Seed*0.5917+C1819*39.3468+D1819*11.135)*24634.6345,1),"")</f>
        <v/>
      </c>
      <c r="H1819">
        <f>IF(B1819,SQRT(-2*LN(F1819))*COS(2*PI()*G1819),"")</f>
        <v/>
      </c>
      <c r="I1819">
        <f>IF(B1819,IF(D1819=0,H1819,Rho*I1818+SQRT(1-Rho^2)*H1819),"")</f>
        <v/>
      </c>
      <c r="J1819">
        <f>IF(B1819,IF(Dist="Normal",DistA+DistB*I1819,DistA+(DistB-DistA)*NORMSDIST(I1819)),"")</f>
        <v/>
      </c>
      <c r="K1819">
        <f>IF(B1819,INDEX(MineScale,C1819),"")</f>
        <v/>
      </c>
      <c r="L1819">
        <f>IF(B1819,INDEX(Dow,1,WEEKDAY(E1819,2)),"")</f>
        <v/>
      </c>
      <c r="M1819">
        <f>IF(B1819,(1+Trend)^D1819,"")</f>
        <v/>
      </c>
      <c r="N1819">
        <f>IF(B1819,EXP(SUMPRODUCT(LN(1+(EvEff-1)*INDEX(Affected,0,C1819)*EXP(-((E1819-EvCenter)^2)/(2*EvSigma^2))))),"")</f>
        <v/>
      </c>
      <c r="O1819">
        <f>IF(B1819,ROUND(MAX(0,J1819*K1819*L1819*M1819*N1819),2),"")</f>
        <v/>
      </c>
    </row>
    <row r="1820">
      <c r="A1820" t="n">
        <v>1819</v>
      </c>
      <c r="B1820">
        <f>A1820&lt;=MineCount*Days</f>
        <v/>
      </c>
      <c r="C1820">
        <f>IF(B1820,INT((A1820-1)/Days)+1,"")</f>
        <v/>
      </c>
      <c r="D1820">
        <f>IF(B1820,MOD(A1820-1,Days),"")</f>
        <v/>
      </c>
      <c r="E1820" s="16">
        <f>IF(B1820,StartDate+D1820,"")</f>
        <v/>
      </c>
      <c r="F1820">
        <f>IF(B1820,MAX(MOD(SIN(Seed*0.1373+C1820*12.9898+D1820*78.233)*43758.5453,1),1E-9),"")</f>
        <v/>
      </c>
      <c r="G1820">
        <f>IF(B1820,MOD(SIN(Seed*0.5917+C1820*39.3468+D1820*11.135)*24634.6345,1),"")</f>
        <v/>
      </c>
      <c r="H1820">
        <f>IF(B1820,SQRT(-2*LN(F1820))*COS(2*PI()*G1820),"")</f>
        <v/>
      </c>
      <c r="I1820">
        <f>IF(B1820,IF(D1820=0,H1820,Rho*I1819+SQRT(1-Rho^2)*H1820),"")</f>
        <v/>
      </c>
      <c r="J1820">
        <f>IF(B1820,IF(Dist="Normal",DistA+DistB*I1820,DistA+(DistB-DistA)*NORMSDIST(I1820)),"")</f>
        <v/>
      </c>
      <c r="K1820">
        <f>IF(B1820,INDEX(MineScale,C1820),"")</f>
        <v/>
      </c>
      <c r="L1820">
        <f>IF(B1820,INDEX(Dow,1,WEEKDAY(E1820,2)),"")</f>
        <v/>
      </c>
      <c r="M1820">
        <f>IF(B1820,(1+Trend)^D1820,"")</f>
        <v/>
      </c>
      <c r="N1820">
        <f>IF(B1820,EXP(SUMPRODUCT(LN(1+(EvEff-1)*INDEX(Affected,0,C1820)*EXP(-((E1820-EvCenter)^2)/(2*EvSigma^2))))),"")</f>
        <v/>
      </c>
      <c r="O1820">
        <f>IF(B1820,ROUND(MAX(0,J1820*K1820*L1820*M1820*N1820),2),"")</f>
        <v/>
      </c>
    </row>
    <row r="1821">
      <c r="A1821" t="n">
        <v>1820</v>
      </c>
      <c r="B1821">
        <f>A1821&lt;=MineCount*Days</f>
        <v/>
      </c>
      <c r="C1821">
        <f>IF(B1821,INT((A1821-1)/Days)+1,"")</f>
        <v/>
      </c>
      <c r="D1821">
        <f>IF(B1821,MOD(A1821-1,Days),"")</f>
        <v/>
      </c>
      <c r="E1821" s="16">
        <f>IF(B1821,StartDate+D1821,"")</f>
        <v/>
      </c>
      <c r="F1821">
        <f>IF(B1821,MAX(MOD(SIN(Seed*0.1373+C1821*12.9898+D1821*78.233)*43758.5453,1),1E-9),"")</f>
        <v/>
      </c>
      <c r="G1821">
        <f>IF(B1821,MOD(SIN(Seed*0.5917+C1821*39.3468+D1821*11.135)*24634.6345,1),"")</f>
        <v/>
      </c>
      <c r="H1821">
        <f>IF(B1821,SQRT(-2*LN(F1821))*COS(2*PI()*G1821),"")</f>
        <v/>
      </c>
      <c r="I1821">
        <f>IF(B1821,IF(D1821=0,H1821,Rho*I1820+SQRT(1-Rho^2)*H1821),"")</f>
        <v/>
      </c>
      <c r="J1821">
        <f>IF(B1821,IF(Dist="Normal",DistA+DistB*I1821,DistA+(DistB-DistA)*NORMSDIST(I1821)),"")</f>
        <v/>
      </c>
      <c r="K1821">
        <f>IF(B1821,INDEX(MineScale,C1821),"")</f>
        <v/>
      </c>
      <c r="L1821">
        <f>IF(B1821,INDEX(Dow,1,WEEKDAY(E1821,2)),"")</f>
        <v/>
      </c>
      <c r="M1821">
        <f>IF(B1821,(1+Trend)^D1821,"")</f>
        <v/>
      </c>
      <c r="N1821">
        <f>IF(B1821,EXP(SUMPRODUCT(LN(1+(EvEff-1)*INDEX(Affected,0,C1821)*EXP(-((E1821-EvCenter)^2)/(2*EvSigma^2))))),"")</f>
        <v/>
      </c>
      <c r="O1821">
        <f>IF(B1821,ROUND(MAX(0,J1821*K1821*L1821*M1821*N1821),2),"")</f>
        <v/>
      </c>
    </row>
    <row r="1822">
      <c r="A1822" t="n">
        <v>1821</v>
      </c>
      <c r="B1822">
        <f>A1822&lt;=MineCount*Days</f>
        <v/>
      </c>
      <c r="C1822">
        <f>IF(B1822,INT((A1822-1)/Days)+1,"")</f>
        <v/>
      </c>
      <c r="D1822">
        <f>IF(B1822,MOD(A1822-1,Days),"")</f>
        <v/>
      </c>
      <c r="E1822" s="16">
        <f>IF(B1822,StartDate+D1822,"")</f>
        <v/>
      </c>
      <c r="F1822">
        <f>IF(B1822,MAX(MOD(SIN(Seed*0.1373+C1822*12.9898+D1822*78.233)*43758.5453,1),1E-9),"")</f>
        <v/>
      </c>
      <c r="G1822">
        <f>IF(B1822,MOD(SIN(Seed*0.5917+C1822*39.3468+D1822*11.135)*24634.6345,1),"")</f>
        <v/>
      </c>
      <c r="H1822">
        <f>IF(B1822,SQRT(-2*LN(F1822))*COS(2*PI()*G1822),"")</f>
        <v/>
      </c>
      <c r="I1822">
        <f>IF(B1822,IF(D1822=0,H1822,Rho*I1821+SQRT(1-Rho^2)*H1822),"")</f>
        <v/>
      </c>
      <c r="J1822">
        <f>IF(B1822,IF(Dist="Normal",DistA+DistB*I1822,DistA+(DistB-DistA)*NORMSDIST(I1822)),"")</f>
        <v/>
      </c>
      <c r="K1822">
        <f>IF(B1822,INDEX(MineScale,C1822),"")</f>
        <v/>
      </c>
      <c r="L1822">
        <f>IF(B1822,INDEX(Dow,1,WEEKDAY(E1822,2)),"")</f>
        <v/>
      </c>
      <c r="M1822">
        <f>IF(B1822,(1+Trend)^D1822,"")</f>
        <v/>
      </c>
      <c r="N1822">
        <f>IF(B1822,EXP(SUMPRODUCT(LN(1+(EvEff-1)*INDEX(Affected,0,C1822)*EXP(-((E1822-EvCenter)^2)/(2*EvSigma^2))))),"")</f>
        <v/>
      </c>
      <c r="O1822">
        <f>IF(B1822,ROUND(MAX(0,J1822*K1822*L1822*M1822*N1822),2),"")</f>
        <v/>
      </c>
    </row>
    <row r="1823">
      <c r="A1823" t="n">
        <v>1822</v>
      </c>
      <c r="B1823">
        <f>A1823&lt;=MineCount*Days</f>
        <v/>
      </c>
      <c r="C1823">
        <f>IF(B1823,INT((A1823-1)/Days)+1,"")</f>
        <v/>
      </c>
      <c r="D1823">
        <f>IF(B1823,MOD(A1823-1,Days),"")</f>
        <v/>
      </c>
      <c r="E1823" s="16">
        <f>IF(B1823,StartDate+D1823,"")</f>
        <v/>
      </c>
      <c r="F1823">
        <f>IF(B1823,MAX(MOD(SIN(Seed*0.1373+C1823*12.9898+D1823*78.233)*43758.5453,1),1E-9),"")</f>
        <v/>
      </c>
      <c r="G1823">
        <f>IF(B1823,MOD(SIN(Seed*0.5917+C1823*39.3468+D1823*11.135)*24634.6345,1),"")</f>
        <v/>
      </c>
      <c r="H1823">
        <f>IF(B1823,SQRT(-2*LN(F1823))*COS(2*PI()*G1823),"")</f>
        <v/>
      </c>
      <c r="I1823">
        <f>IF(B1823,IF(D1823=0,H1823,Rho*I1822+SQRT(1-Rho^2)*H1823),"")</f>
        <v/>
      </c>
      <c r="J1823">
        <f>IF(B1823,IF(Dist="Normal",DistA+DistB*I1823,DistA+(DistB-DistA)*NORMSDIST(I1823)),"")</f>
        <v/>
      </c>
      <c r="K1823">
        <f>IF(B1823,INDEX(MineScale,C1823),"")</f>
        <v/>
      </c>
      <c r="L1823">
        <f>IF(B1823,INDEX(Dow,1,WEEKDAY(E1823,2)),"")</f>
        <v/>
      </c>
      <c r="M1823">
        <f>IF(B1823,(1+Trend)^D1823,"")</f>
        <v/>
      </c>
      <c r="N1823">
        <f>IF(B1823,EXP(SUMPRODUCT(LN(1+(EvEff-1)*INDEX(Affected,0,C1823)*EXP(-((E1823-EvCenter)^2)/(2*EvSigma^2))))),"")</f>
        <v/>
      </c>
      <c r="O1823">
        <f>IF(B1823,ROUND(MAX(0,J1823*K1823*L1823*M1823*N1823),2),"")</f>
        <v/>
      </c>
    </row>
    <row r="1824">
      <c r="A1824" t="n">
        <v>1823</v>
      </c>
      <c r="B1824">
        <f>A1824&lt;=MineCount*Days</f>
        <v/>
      </c>
      <c r="C1824">
        <f>IF(B1824,INT((A1824-1)/Days)+1,"")</f>
        <v/>
      </c>
      <c r="D1824">
        <f>IF(B1824,MOD(A1824-1,Days),"")</f>
        <v/>
      </c>
      <c r="E1824" s="16">
        <f>IF(B1824,StartDate+D1824,"")</f>
        <v/>
      </c>
      <c r="F1824">
        <f>IF(B1824,MAX(MOD(SIN(Seed*0.1373+C1824*12.9898+D1824*78.233)*43758.5453,1),1E-9),"")</f>
        <v/>
      </c>
      <c r="G1824">
        <f>IF(B1824,MOD(SIN(Seed*0.5917+C1824*39.3468+D1824*11.135)*24634.6345,1),"")</f>
        <v/>
      </c>
      <c r="H1824">
        <f>IF(B1824,SQRT(-2*LN(F1824))*COS(2*PI()*G1824),"")</f>
        <v/>
      </c>
      <c r="I1824">
        <f>IF(B1824,IF(D1824=0,H1824,Rho*I1823+SQRT(1-Rho^2)*H1824),"")</f>
        <v/>
      </c>
      <c r="J1824">
        <f>IF(B1824,IF(Dist="Normal",DistA+DistB*I1824,DistA+(DistB-DistA)*NORMSDIST(I1824)),"")</f>
        <v/>
      </c>
      <c r="K1824">
        <f>IF(B1824,INDEX(MineScale,C1824),"")</f>
        <v/>
      </c>
      <c r="L1824">
        <f>IF(B1824,INDEX(Dow,1,WEEKDAY(E1824,2)),"")</f>
        <v/>
      </c>
      <c r="M1824">
        <f>IF(B1824,(1+Trend)^D1824,"")</f>
        <v/>
      </c>
      <c r="N1824">
        <f>IF(B1824,EXP(SUMPRODUCT(LN(1+(EvEff-1)*INDEX(Affected,0,C1824)*EXP(-((E1824-EvCenter)^2)/(2*EvSigma^2))))),"")</f>
        <v/>
      </c>
      <c r="O1824">
        <f>IF(B1824,ROUND(MAX(0,J1824*K1824*L1824*M1824*N1824),2),"")</f>
        <v/>
      </c>
    </row>
    <row r="1825">
      <c r="A1825" t="n">
        <v>1824</v>
      </c>
      <c r="B1825">
        <f>A1825&lt;=MineCount*Days</f>
        <v/>
      </c>
      <c r="C1825">
        <f>IF(B1825,INT((A1825-1)/Days)+1,"")</f>
        <v/>
      </c>
      <c r="D1825">
        <f>IF(B1825,MOD(A1825-1,Days),"")</f>
        <v/>
      </c>
      <c r="E1825" s="16">
        <f>IF(B1825,StartDate+D1825,"")</f>
        <v/>
      </c>
      <c r="F1825">
        <f>IF(B1825,MAX(MOD(SIN(Seed*0.1373+C1825*12.9898+D1825*78.233)*43758.5453,1),1E-9),"")</f>
        <v/>
      </c>
      <c r="G1825">
        <f>IF(B1825,MOD(SIN(Seed*0.5917+C1825*39.3468+D1825*11.135)*24634.6345,1),"")</f>
        <v/>
      </c>
      <c r="H1825">
        <f>IF(B1825,SQRT(-2*LN(F1825))*COS(2*PI()*G1825),"")</f>
        <v/>
      </c>
      <c r="I1825">
        <f>IF(B1825,IF(D1825=0,H1825,Rho*I1824+SQRT(1-Rho^2)*H1825),"")</f>
        <v/>
      </c>
      <c r="J1825">
        <f>IF(B1825,IF(Dist="Normal",DistA+DistB*I1825,DistA+(DistB-DistA)*NORMSDIST(I1825)),"")</f>
        <v/>
      </c>
      <c r="K1825">
        <f>IF(B1825,INDEX(MineScale,C1825),"")</f>
        <v/>
      </c>
      <c r="L1825">
        <f>IF(B1825,INDEX(Dow,1,WEEKDAY(E1825,2)),"")</f>
        <v/>
      </c>
      <c r="M1825">
        <f>IF(B1825,(1+Trend)^D1825,"")</f>
        <v/>
      </c>
      <c r="N1825">
        <f>IF(B1825,EXP(SUMPRODUCT(LN(1+(EvEff-1)*INDEX(Affected,0,C1825)*EXP(-((E1825-EvCenter)^2)/(2*EvSigma^2))))),"")</f>
        <v/>
      </c>
      <c r="O1825">
        <f>IF(B1825,ROUND(MAX(0,J1825*K1825*L1825*M1825*N1825),2),"")</f>
        <v/>
      </c>
    </row>
    <row r="1826">
      <c r="A1826" t="n">
        <v>1825</v>
      </c>
      <c r="B1826">
        <f>A1826&lt;=MineCount*Days</f>
        <v/>
      </c>
      <c r="C1826">
        <f>IF(B1826,INT((A1826-1)/Days)+1,"")</f>
        <v/>
      </c>
      <c r="D1826">
        <f>IF(B1826,MOD(A1826-1,Days),"")</f>
        <v/>
      </c>
      <c r="E1826" s="16">
        <f>IF(B1826,StartDate+D1826,"")</f>
        <v/>
      </c>
      <c r="F1826">
        <f>IF(B1826,MAX(MOD(SIN(Seed*0.1373+C1826*12.9898+D1826*78.233)*43758.5453,1),1E-9),"")</f>
        <v/>
      </c>
      <c r="G1826">
        <f>IF(B1826,MOD(SIN(Seed*0.5917+C1826*39.3468+D1826*11.135)*24634.6345,1),"")</f>
        <v/>
      </c>
      <c r="H1826">
        <f>IF(B1826,SQRT(-2*LN(F1826))*COS(2*PI()*G1826),"")</f>
        <v/>
      </c>
      <c r="I1826">
        <f>IF(B1826,IF(D1826=0,H1826,Rho*I1825+SQRT(1-Rho^2)*H1826),"")</f>
        <v/>
      </c>
      <c r="J1826">
        <f>IF(B1826,IF(Dist="Normal",DistA+DistB*I1826,DistA+(DistB-DistA)*NORMSDIST(I1826)),"")</f>
        <v/>
      </c>
      <c r="K1826">
        <f>IF(B1826,INDEX(MineScale,C1826),"")</f>
        <v/>
      </c>
      <c r="L1826">
        <f>IF(B1826,INDEX(Dow,1,WEEKDAY(E1826,2)),"")</f>
        <v/>
      </c>
      <c r="M1826">
        <f>IF(B1826,(1+Trend)^D1826,"")</f>
        <v/>
      </c>
      <c r="N1826">
        <f>IF(B1826,EXP(SUMPRODUCT(LN(1+(EvEff-1)*INDEX(Affected,0,C1826)*EXP(-((E1826-EvCenter)^2)/(2*EvSigma^2))))),"")</f>
        <v/>
      </c>
      <c r="O1826">
        <f>IF(B1826,ROUND(MAX(0,J1826*K1826*L1826*M1826*N1826),2),"")</f>
        <v/>
      </c>
    </row>
    <row r="1827">
      <c r="A1827" t="n">
        <v>1826</v>
      </c>
      <c r="B1827">
        <f>A1827&lt;=MineCount*Days</f>
        <v/>
      </c>
      <c r="C1827">
        <f>IF(B1827,INT((A1827-1)/Days)+1,"")</f>
        <v/>
      </c>
      <c r="D1827">
        <f>IF(B1827,MOD(A1827-1,Days),"")</f>
        <v/>
      </c>
      <c r="E1827" s="16">
        <f>IF(B1827,StartDate+D1827,"")</f>
        <v/>
      </c>
      <c r="F1827">
        <f>IF(B1827,MAX(MOD(SIN(Seed*0.1373+C1827*12.9898+D1827*78.233)*43758.5453,1),1E-9),"")</f>
        <v/>
      </c>
      <c r="G1827">
        <f>IF(B1827,MOD(SIN(Seed*0.5917+C1827*39.3468+D1827*11.135)*24634.6345,1),"")</f>
        <v/>
      </c>
      <c r="H1827">
        <f>IF(B1827,SQRT(-2*LN(F1827))*COS(2*PI()*G1827),"")</f>
        <v/>
      </c>
      <c r="I1827">
        <f>IF(B1827,IF(D1827=0,H1827,Rho*I1826+SQRT(1-Rho^2)*H1827),"")</f>
        <v/>
      </c>
      <c r="J1827">
        <f>IF(B1827,IF(Dist="Normal",DistA+DistB*I1827,DistA+(DistB-DistA)*NORMSDIST(I1827)),"")</f>
        <v/>
      </c>
      <c r="K1827">
        <f>IF(B1827,INDEX(MineScale,C1827),"")</f>
        <v/>
      </c>
      <c r="L1827">
        <f>IF(B1827,INDEX(Dow,1,WEEKDAY(E1827,2)),"")</f>
        <v/>
      </c>
      <c r="M1827">
        <f>IF(B1827,(1+Trend)^D1827,"")</f>
        <v/>
      </c>
      <c r="N1827">
        <f>IF(B1827,EXP(SUMPRODUCT(LN(1+(EvEff-1)*INDEX(Affected,0,C1827)*EXP(-((E1827-EvCenter)^2)/(2*EvSigma^2))))),"")</f>
        <v/>
      </c>
      <c r="O1827">
        <f>IF(B1827,ROUND(MAX(0,J1827*K1827*L1827*M1827*N1827),2),"")</f>
        <v/>
      </c>
    </row>
    <row r="1828">
      <c r="A1828" t="n">
        <v>1827</v>
      </c>
      <c r="B1828">
        <f>A1828&lt;=MineCount*Days</f>
        <v/>
      </c>
      <c r="C1828">
        <f>IF(B1828,INT((A1828-1)/Days)+1,"")</f>
        <v/>
      </c>
      <c r="D1828">
        <f>IF(B1828,MOD(A1828-1,Days),"")</f>
        <v/>
      </c>
      <c r="E1828" s="16">
        <f>IF(B1828,StartDate+D1828,"")</f>
        <v/>
      </c>
      <c r="F1828">
        <f>IF(B1828,MAX(MOD(SIN(Seed*0.1373+C1828*12.9898+D1828*78.233)*43758.5453,1),1E-9),"")</f>
        <v/>
      </c>
      <c r="G1828">
        <f>IF(B1828,MOD(SIN(Seed*0.5917+C1828*39.3468+D1828*11.135)*24634.6345,1),"")</f>
        <v/>
      </c>
      <c r="H1828">
        <f>IF(B1828,SQRT(-2*LN(F1828))*COS(2*PI()*G1828),"")</f>
        <v/>
      </c>
      <c r="I1828">
        <f>IF(B1828,IF(D1828=0,H1828,Rho*I1827+SQRT(1-Rho^2)*H1828),"")</f>
        <v/>
      </c>
      <c r="J1828">
        <f>IF(B1828,IF(Dist="Normal",DistA+DistB*I1828,DistA+(DistB-DistA)*NORMSDIST(I1828)),"")</f>
        <v/>
      </c>
      <c r="K1828">
        <f>IF(B1828,INDEX(MineScale,C1828),"")</f>
        <v/>
      </c>
      <c r="L1828">
        <f>IF(B1828,INDEX(Dow,1,WEEKDAY(E1828,2)),"")</f>
        <v/>
      </c>
      <c r="M1828">
        <f>IF(B1828,(1+Trend)^D1828,"")</f>
        <v/>
      </c>
      <c r="N1828">
        <f>IF(B1828,EXP(SUMPRODUCT(LN(1+(EvEff-1)*INDEX(Affected,0,C1828)*EXP(-((E1828-EvCenter)^2)/(2*EvSigma^2))))),"")</f>
        <v/>
      </c>
      <c r="O1828">
        <f>IF(B1828,ROUND(MAX(0,J1828*K1828*L1828*M1828*N1828),2),"")</f>
        <v/>
      </c>
    </row>
    <row r="1829">
      <c r="A1829" t="n">
        <v>1828</v>
      </c>
      <c r="B1829">
        <f>A1829&lt;=MineCount*Days</f>
        <v/>
      </c>
      <c r="C1829">
        <f>IF(B1829,INT((A1829-1)/Days)+1,"")</f>
        <v/>
      </c>
      <c r="D1829">
        <f>IF(B1829,MOD(A1829-1,Days),"")</f>
        <v/>
      </c>
      <c r="E1829" s="16">
        <f>IF(B1829,StartDate+D1829,"")</f>
        <v/>
      </c>
      <c r="F1829">
        <f>IF(B1829,MAX(MOD(SIN(Seed*0.1373+C1829*12.9898+D1829*78.233)*43758.5453,1),1E-9),"")</f>
        <v/>
      </c>
      <c r="G1829">
        <f>IF(B1829,MOD(SIN(Seed*0.5917+C1829*39.3468+D1829*11.135)*24634.6345,1),"")</f>
        <v/>
      </c>
      <c r="H1829">
        <f>IF(B1829,SQRT(-2*LN(F1829))*COS(2*PI()*G1829),"")</f>
        <v/>
      </c>
      <c r="I1829">
        <f>IF(B1829,IF(D1829=0,H1829,Rho*I1828+SQRT(1-Rho^2)*H1829),"")</f>
        <v/>
      </c>
      <c r="J1829">
        <f>IF(B1829,IF(Dist="Normal",DistA+DistB*I1829,DistA+(DistB-DistA)*NORMSDIST(I1829)),"")</f>
        <v/>
      </c>
      <c r="K1829">
        <f>IF(B1829,INDEX(MineScale,C1829),"")</f>
        <v/>
      </c>
      <c r="L1829">
        <f>IF(B1829,INDEX(Dow,1,WEEKDAY(E1829,2)),"")</f>
        <v/>
      </c>
      <c r="M1829">
        <f>IF(B1829,(1+Trend)^D1829,"")</f>
        <v/>
      </c>
      <c r="N1829">
        <f>IF(B1829,EXP(SUMPRODUCT(LN(1+(EvEff-1)*INDEX(Affected,0,C1829)*EXP(-((E1829-EvCenter)^2)/(2*EvSigma^2))))),"")</f>
        <v/>
      </c>
      <c r="O1829">
        <f>IF(B1829,ROUND(MAX(0,J1829*K1829*L1829*M1829*N1829),2),"")</f>
        <v/>
      </c>
    </row>
    <row r="1830">
      <c r="A1830" t="n">
        <v>1829</v>
      </c>
      <c r="B1830">
        <f>A1830&lt;=MineCount*Days</f>
        <v/>
      </c>
      <c r="C1830">
        <f>IF(B1830,INT((A1830-1)/Days)+1,"")</f>
        <v/>
      </c>
      <c r="D1830">
        <f>IF(B1830,MOD(A1830-1,Days),"")</f>
        <v/>
      </c>
      <c r="E1830" s="16">
        <f>IF(B1830,StartDate+D1830,"")</f>
        <v/>
      </c>
      <c r="F1830">
        <f>IF(B1830,MAX(MOD(SIN(Seed*0.1373+C1830*12.9898+D1830*78.233)*43758.5453,1),1E-9),"")</f>
        <v/>
      </c>
      <c r="G1830">
        <f>IF(B1830,MOD(SIN(Seed*0.5917+C1830*39.3468+D1830*11.135)*24634.6345,1),"")</f>
        <v/>
      </c>
      <c r="H1830">
        <f>IF(B1830,SQRT(-2*LN(F1830))*COS(2*PI()*G1830),"")</f>
        <v/>
      </c>
      <c r="I1830">
        <f>IF(B1830,IF(D1830=0,H1830,Rho*I1829+SQRT(1-Rho^2)*H1830),"")</f>
        <v/>
      </c>
      <c r="J1830">
        <f>IF(B1830,IF(Dist="Normal",DistA+DistB*I1830,DistA+(DistB-DistA)*NORMSDIST(I1830)),"")</f>
        <v/>
      </c>
      <c r="K1830">
        <f>IF(B1830,INDEX(MineScale,C1830),"")</f>
        <v/>
      </c>
      <c r="L1830">
        <f>IF(B1830,INDEX(Dow,1,WEEKDAY(E1830,2)),"")</f>
        <v/>
      </c>
      <c r="M1830">
        <f>IF(B1830,(1+Trend)^D1830,"")</f>
        <v/>
      </c>
      <c r="N1830">
        <f>IF(B1830,EXP(SUMPRODUCT(LN(1+(EvEff-1)*INDEX(Affected,0,C1830)*EXP(-((E1830-EvCenter)^2)/(2*EvSigma^2))))),"")</f>
        <v/>
      </c>
      <c r="O1830">
        <f>IF(B1830,ROUND(MAX(0,J1830*K1830*L1830*M1830*N1830),2),"")</f>
        <v/>
      </c>
    </row>
    <row r="1831">
      <c r="A1831" t="n">
        <v>1830</v>
      </c>
      <c r="B1831">
        <f>A1831&lt;=MineCount*Days</f>
        <v/>
      </c>
      <c r="C1831">
        <f>IF(B1831,INT((A1831-1)/Days)+1,"")</f>
        <v/>
      </c>
      <c r="D1831">
        <f>IF(B1831,MOD(A1831-1,Days),"")</f>
        <v/>
      </c>
      <c r="E1831" s="16">
        <f>IF(B1831,StartDate+D1831,"")</f>
        <v/>
      </c>
      <c r="F1831">
        <f>IF(B1831,MAX(MOD(SIN(Seed*0.1373+C1831*12.9898+D1831*78.233)*43758.5453,1),1E-9),"")</f>
        <v/>
      </c>
      <c r="G1831">
        <f>IF(B1831,MOD(SIN(Seed*0.5917+C1831*39.3468+D1831*11.135)*24634.6345,1),"")</f>
        <v/>
      </c>
      <c r="H1831">
        <f>IF(B1831,SQRT(-2*LN(F1831))*COS(2*PI()*G1831),"")</f>
        <v/>
      </c>
      <c r="I1831">
        <f>IF(B1831,IF(D1831=0,H1831,Rho*I1830+SQRT(1-Rho^2)*H1831),"")</f>
        <v/>
      </c>
      <c r="J1831">
        <f>IF(B1831,IF(Dist="Normal",DistA+DistB*I1831,DistA+(DistB-DistA)*NORMSDIST(I1831)),"")</f>
        <v/>
      </c>
      <c r="K1831">
        <f>IF(B1831,INDEX(MineScale,C1831),"")</f>
        <v/>
      </c>
      <c r="L1831">
        <f>IF(B1831,INDEX(Dow,1,WEEKDAY(E1831,2)),"")</f>
        <v/>
      </c>
      <c r="M1831">
        <f>IF(B1831,(1+Trend)^D1831,"")</f>
        <v/>
      </c>
      <c r="N1831">
        <f>IF(B1831,EXP(SUMPRODUCT(LN(1+(EvEff-1)*INDEX(Affected,0,C1831)*EXP(-((E1831-EvCenter)^2)/(2*EvSigma^2))))),"")</f>
        <v/>
      </c>
      <c r="O1831">
        <f>IF(B1831,ROUND(MAX(0,J1831*K1831*L1831*M1831*N1831),2),"")</f>
        <v/>
      </c>
    </row>
    <row r="1832">
      <c r="A1832" t="n">
        <v>1831</v>
      </c>
      <c r="B1832">
        <f>A1832&lt;=MineCount*Days</f>
        <v/>
      </c>
      <c r="C1832">
        <f>IF(B1832,INT((A1832-1)/Days)+1,"")</f>
        <v/>
      </c>
      <c r="D1832">
        <f>IF(B1832,MOD(A1832-1,Days),"")</f>
        <v/>
      </c>
      <c r="E1832" s="16">
        <f>IF(B1832,StartDate+D1832,"")</f>
        <v/>
      </c>
      <c r="F1832">
        <f>IF(B1832,MAX(MOD(SIN(Seed*0.1373+C1832*12.9898+D1832*78.233)*43758.5453,1),1E-9),"")</f>
        <v/>
      </c>
      <c r="G1832">
        <f>IF(B1832,MOD(SIN(Seed*0.5917+C1832*39.3468+D1832*11.135)*24634.6345,1),"")</f>
        <v/>
      </c>
      <c r="H1832">
        <f>IF(B1832,SQRT(-2*LN(F1832))*COS(2*PI()*G1832),"")</f>
        <v/>
      </c>
      <c r="I1832">
        <f>IF(B1832,IF(D1832=0,H1832,Rho*I1831+SQRT(1-Rho^2)*H1832),"")</f>
        <v/>
      </c>
      <c r="J1832">
        <f>IF(B1832,IF(Dist="Normal",DistA+DistB*I1832,DistA+(DistB-DistA)*NORMSDIST(I1832)),"")</f>
        <v/>
      </c>
      <c r="K1832">
        <f>IF(B1832,INDEX(MineScale,C1832),"")</f>
        <v/>
      </c>
      <c r="L1832">
        <f>IF(B1832,INDEX(Dow,1,WEEKDAY(E1832,2)),"")</f>
        <v/>
      </c>
      <c r="M1832">
        <f>IF(B1832,(1+Trend)^D1832,"")</f>
        <v/>
      </c>
      <c r="N1832">
        <f>IF(B1832,EXP(SUMPRODUCT(LN(1+(EvEff-1)*INDEX(Affected,0,C1832)*EXP(-((E1832-EvCenter)^2)/(2*EvSigma^2))))),"")</f>
        <v/>
      </c>
      <c r="O1832">
        <f>IF(B1832,ROUND(MAX(0,J1832*K1832*L1832*M1832*N1832),2),"")</f>
        <v/>
      </c>
    </row>
    <row r="1833">
      <c r="A1833" t="n">
        <v>1832</v>
      </c>
      <c r="B1833">
        <f>A1833&lt;=MineCount*Days</f>
        <v/>
      </c>
      <c r="C1833">
        <f>IF(B1833,INT((A1833-1)/Days)+1,"")</f>
        <v/>
      </c>
      <c r="D1833">
        <f>IF(B1833,MOD(A1833-1,Days),"")</f>
        <v/>
      </c>
      <c r="E1833" s="16">
        <f>IF(B1833,StartDate+D1833,"")</f>
        <v/>
      </c>
      <c r="F1833">
        <f>IF(B1833,MAX(MOD(SIN(Seed*0.1373+C1833*12.9898+D1833*78.233)*43758.5453,1),1E-9),"")</f>
        <v/>
      </c>
      <c r="G1833">
        <f>IF(B1833,MOD(SIN(Seed*0.5917+C1833*39.3468+D1833*11.135)*24634.6345,1),"")</f>
        <v/>
      </c>
      <c r="H1833">
        <f>IF(B1833,SQRT(-2*LN(F1833))*COS(2*PI()*G1833),"")</f>
        <v/>
      </c>
      <c r="I1833">
        <f>IF(B1833,IF(D1833=0,H1833,Rho*I1832+SQRT(1-Rho^2)*H1833),"")</f>
        <v/>
      </c>
      <c r="J1833">
        <f>IF(B1833,IF(Dist="Normal",DistA+DistB*I1833,DistA+(DistB-DistA)*NORMSDIST(I1833)),"")</f>
        <v/>
      </c>
      <c r="K1833">
        <f>IF(B1833,INDEX(MineScale,C1833),"")</f>
        <v/>
      </c>
      <c r="L1833">
        <f>IF(B1833,INDEX(Dow,1,WEEKDAY(E1833,2)),"")</f>
        <v/>
      </c>
      <c r="M1833">
        <f>IF(B1833,(1+Trend)^D1833,"")</f>
        <v/>
      </c>
      <c r="N1833">
        <f>IF(B1833,EXP(SUMPRODUCT(LN(1+(EvEff-1)*INDEX(Affected,0,C1833)*EXP(-((E1833-EvCenter)^2)/(2*EvSigma^2))))),"")</f>
        <v/>
      </c>
      <c r="O1833">
        <f>IF(B1833,ROUND(MAX(0,J1833*K1833*L1833*M1833*N1833),2),"")</f>
        <v/>
      </c>
    </row>
    <row r="1834">
      <c r="A1834" t="n">
        <v>1833</v>
      </c>
      <c r="B1834">
        <f>A1834&lt;=MineCount*Days</f>
        <v/>
      </c>
      <c r="C1834">
        <f>IF(B1834,INT((A1834-1)/Days)+1,"")</f>
        <v/>
      </c>
      <c r="D1834">
        <f>IF(B1834,MOD(A1834-1,Days),"")</f>
        <v/>
      </c>
      <c r="E1834" s="16">
        <f>IF(B1834,StartDate+D1834,"")</f>
        <v/>
      </c>
      <c r="F1834">
        <f>IF(B1834,MAX(MOD(SIN(Seed*0.1373+C1834*12.9898+D1834*78.233)*43758.5453,1),1E-9),"")</f>
        <v/>
      </c>
      <c r="G1834">
        <f>IF(B1834,MOD(SIN(Seed*0.5917+C1834*39.3468+D1834*11.135)*24634.6345,1),"")</f>
        <v/>
      </c>
      <c r="H1834">
        <f>IF(B1834,SQRT(-2*LN(F1834))*COS(2*PI()*G1834),"")</f>
        <v/>
      </c>
      <c r="I1834">
        <f>IF(B1834,IF(D1834=0,H1834,Rho*I1833+SQRT(1-Rho^2)*H1834),"")</f>
        <v/>
      </c>
      <c r="J1834">
        <f>IF(B1834,IF(Dist="Normal",DistA+DistB*I1834,DistA+(DistB-DistA)*NORMSDIST(I1834)),"")</f>
        <v/>
      </c>
      <c r="K1834">
        <f>IF(B1834,INDEX(MineScale,C1834),"")</f>
        <v/>
      </c>
      <c r="L1834">
        <f>IF(B1834,INDEX(Dow,1,WEEKDAY(E1834,2)),"")</f>
        <v/>
      </c>
      <c r="M1834">
        <f>IF(B1834,(1+Trend)^D1834,"")</f>
        <v/>
      </c>
      <c r="N1834">
        <f>IF(B1834,EXP(SUMPRODUCT(LN(1+(EvEff-1)*INDEX(Affected,0,C1834)*EXP(-((E1834-EvCenter)^2)/(2*EvSigma^2))))),"")</f>
        <v/>
      </c>
      <c r="O1834">
        <f>IF(B1834,ROUND(MAX(0,J1834*K1834*L1834*M1834*N1834),2),"")</f>
        <v/>
      </c>
    </row>
    <row r="1835">
      <c r="A1835" t="n">
        <v>1834</v>
      </c>
      <c r="B1835">
        <f>A1835&lt;=MineCount*Days</f>
        <v/>
      </c>
      <c r="C1835">
        <f>IF(B1835,INT((A1835-1)/Days)+1,"")</f>
        <v/>
      </c>
      <c r="D1835">
        <f>IF(B1835,MOD(A1835-1,Days),"")</f>
        <v/>
      </c>
      <c r="E1835" s="16">
        <f>IF(B1835,StartDate+D1835,"")</f>
        <v/>
      </c>
      <c r="F1835">
        <f>IF(B1835,MAX(MOD(SIN(Seed*0.1373+C1835*12.9898+D1835*78.233)*43758.5453,1),1E-9),"")</f>
        <v/>
      </c>
      <c r="G1835">
        <f>IF(B1835,MOD(SIN(Seed*0.5917+C1835*39.3468+D1835*11.135)*24634.6345,1),"")</f>
        <v/>
      </c>
      <c r="H1835">
        <f>IF(B1835,SQRT(-2*LN(F1835))*COS(2*PI()*G1835),"")</f>
        <v/>
      </c>
      <c r="I1835">
        <f>IF(B1835,IF(D1835=0,H1835,Rho*I1834+SQRT(1-Rho^2)*H1835),"")</f>
        <v/>
      </c>
      <c r="J1835">
        <f>IF(B1835,IF(Dist="Normal",DistA+DistB*I1835,DistA+(DistB-DistA)*NORMSDIST(I1835)),"")</f>
        <v/>
      </c>
      <c r="K1835">
        <f>IF(B1835,INDEX(MineScale,C1835),"")</f>
        <v/>
      </c>
      <c r="L1835">
        <f>IF(B1835,INDEX(Dow,1,WEEKDAY(E1835,2)),"")</f>
        <v/>
      </c>
      <c r="M1835">
        <f>IF(B1835,(1+Trend)^D1835,"")</f>
        <v/>
      </c>
      <c r="N1835">
        <f>IF(B1835,EXP(SUMPRODUCT(LN(1+(EvEff-1)*INDEX(Affected,0,C1835)*EXP(-((E1835-EvCenter)^2)/(2*EvSigma^2))))),"")</f>
        <v/>
      </c>
      <c r="O1835">
        <f>IF(B1835,ROUND(MAX(0,J1835*K1835*L1835*M1835*N1835),2),"")</f>
        <v/>
      </c>
    </row>
    <row r="1836">
      <c r="A1836" t="n">
        <v>1835</v>
      </c>
      <c r="B1836">
        <f>A1836&lt;=MineCount*Days</f>
        <v/>
      </c>
      <c r="C1836">
        <f>IF(B1836,INT((A1836-1)/Days)+1,"")</f>
        <v/>
      </c>
      <c r="D1836">
        <f>IF(B1836,MOD(A1836-1,Days),"")</f>
        <v/>
      </c>
      <c r="E1836" s="16">
        <f>IF(B1836,StartDate+D1836,"")</f>
        <v/>
      </c>
      <c r="F1836">
        <f>IF(B1836,MAX(MOD(SIN(Seed*0.1373+C1836*12.9898+D1836*78.233)*43758.5453,1),1E-9),"")</f>
        <v/>
      </c>
      <c r="G1836">
        <f>IF(B1836,MOD(SIN(Seed*0.5917+C1836*39.3468+D1836*11.135)*24634.6345,1),"")</f>
        <v/>
      </c>
      <c r="H1836">
        <f>IF(B1836,SQRT(-2*LN(F1836))*COS(2*PI()*G1836),"")</f>
        <v/>
      </c>
      <c r="I1836">
        <f>IF(B1836,IF(D1836=0,H1836,Rho*I1835+SQRT(1-Rho^2)*H1836),"")</f>
        <v/>
      </c>
      <c r="J1836">
        <f>IF(B1836,IF(Dist="Normal",DistA+DistB*I1836,DistA+(DistB-DistA)*NORMSDIST(I1836)),"")</f>
        <v/>
      </c>
      <c r="K1836">
        <f>IF(B1836,INDEX(MineScale,C1836),"")</f>
        <v/>
      </c>
      <c r="L1836">
        <f>IF(B1836,INDEX(Dow,1,WEEKDAY(E1836,2)),"")</f>
        <v/>
      </c>
      <c r="M1836">
        <f>IF(B1836,(1+Trend)^D1836,"")</f>
        <v/>
      </c>
      <c r="N1836">
        <f>IF(B1836,EXP(SUMPRODUCT(LN(1+(EvEff-1)*INDEX(Affected,0,C1836)*EXP(-((E1836-EvCenter)^2)/(2*EvSigma^2))))),"")</f>
        <v/>
      </c>
      <c r="O1836">
        <f>IF(B1836,ROUND(MAX(0,J1836*K1836*L1836*M1836*N1836),2),"")</f>
        <v/>
      </c>
    </row>
    <row r="1837">
      <c r="A1837" t="n">
        <v>1836</v>
      </c>
      <c r="B1837">
        <f>A1837&lt;=MineCount*Days</f>
        <v/>
      </c>
      <c r="C1837">
        <f>IF(B1837,INT((A1837-1)/Days)+1,"")</f>
        <v/>
      </c>
      <c r="D1837">
        <f>IF(B1837,MOD(A1837-1,Days),"")</f>
        <v/>
      </c>
      <c r="E1837" s="16">
        <f>IF(B1837,StartDate+D1837,"")</f>
        <v/>
      </c>
      <c r="F1837">
        <f>IF(B1837,MAX(MOD(SIN(Seed*0.1373+C1837*12.9898+D1837*78.233)*43758.5453,1),1E-9),"")</f>
        <v/>
      </c>
      <c r="G1837">
        <f>IF(B1837,MOD(SIN(Seed*0.5917+C1837*39.3468+D1837*11.135)*24634.6345,1),"")</f>
        <v/>
      </c>
      <c r="H1837">
        <f>IF(B1837,SQRT(-2*LN(F1837))*COS(2*PI()*G1837),"")</f>
        <v/>
      </c>
      <c r="I1837">
        <f>IF(B1837,IF(D1837=0,H1837,Rho*I1836+SQRT(1-Rho^2)*H1837),"")</f>
        <v/>
      </c>
      <c r="J1837">
        <f>IF(B1837,IF(Dist="Normal",DistA+DistB*I1837,DistA+(DistB-DistA)*NORMSDIST(I1837)),"")</f>
        <v/>
      </c>
      <c r="K1837">
        <f>IF(B1837,INDEX(MineScale,C1837),"")</f>
        <v/>
      </c>
      <c r="L1837">
        <f>IF(B1837,INDEX(Dow,1,WEEKDAY(E1837,2)),"")</f>
        <v/>
      </c>
      <c r="M1837">
        <f>IF(B1837,(1+Trend)^D1837,"")</f>
        <v/>
      </c>
      <c r="N1837">
        <f>IF(B1837,EXP(SUMPRODUCT(LN(1+(EvEff-1)*INDEX(Affected,0,C1837)*EXP(-((E1837-EvCenter)^2)/(2*EvSigma^2))))),"")</f>
        <v/>
      </c>
      <c r="O1837">
        <f>IF(B1837,ROUND(MAX(0,J1837*K1837*L1837*M1837*N1837),2),"")</f>
        <v/>
      </c>
    </row>
    <row r="1838">
      <c r="A1838" t="n">
        <v>1837</v>
      </c>
      <c r="B1838">
        <f>A1838&lt;=MineCount*Days</f>
        <v/>
      </c>
      <c r="C1838">
        <f>IF(B1838,INT((A1838-1)/Days)+1,"")</f>
        <v/>
      </c>
      <c r="D1838">
        <f>IF(B1838,MOD(A1838-1,Days),"")</f>
        <v/>
      </c>
      <c r="E1838" s="16">
        <f>IF(B1838,StartDate+D1838,"")</f>
        <v/>
      </c>
      <c r="F1838">
        <f>IF(B1838,MAX(MOD(SIN(Seed*0.1373+C1838*12.9898+D1838*78.233)*43758.5453,1),1E-9),"")</f>
        <v/>
      </c>
      <c r="G1838">
        <f>IF(B1838,MOD(SIN(Seed*0.5917+C1838*39.3468+D1838*11.135)*24634.6345,1),"")</f>
        <v/>
      </c>
      <c r="H1838">
        <f>IF(B1838,SQRT(-2*LN(F1838))*COS(2*PI()*G1838),"")</f>
        <v/>
      </c>
      <c r="I1838">
        <f>IF(B1838,IF(D1838=0,H1838,Rho*I1837+SQRT(1-Rho^2)*H1838),"")</f>
        <v/>
      </c>
      <c r="J1838">
        <f>IF(B1838,IF(Dist="Normal",DistA+DistB*I1838,DistA+(DistB-DistA)*NORMSDIST(I1838)),"")</f>
        <v/>
      </c>
      <c r="K1838">
        <f>IF(B1838,INDEX(MineScale,C1838),"")</f>
        <v/>
      </c>
      <c r="L1838">
        <f>IF(B1838,INDEX(Dow,1,WEEKDAY(E1838,2)),"")</f>
        <v/>
      </c>
      <c r="M1838">
        <f>IF(B1838,(1+Trend)^D1838,"")</f>
        <v/>
      </c>
      <c r="N1838">
        <f>IF(B1838,EXP(SUMPRODUCT(LN(1+(EvEff-1)*INDEX(Affected,0,C1838)*EXP(-((E1838-EvCenter)^2)/(2*EvSigma^2))))),"")</f>
        <v/>
      </c>
      <c r="O1838">
        <f>IF(B1838,ROUND(MAX(0,J1838*K1838*L1838*M1838*N1838),2),"")</f>
        <v/>
      </c>
    </row>
    <row r="1839">
      <c r="A1839" t="n">
        <v>1838</v>
      </c>
      <c r="B1839">
        <f>A1839&lt;=MineCount*Days</f>
        <v/>
      </c>
      <c r="C1839">
        <f>IF(B1839,INT((A1839-1)/Days)+1,"")</f>
        <v/>
      </c>
      <c r="D1839">
        <f>IF(B1839,MOD(A1839-1,Days),"")</f>
        <v/>
      </c>
      <c r="E1839" s="16">
        <f>IF(B1839,StartDate+D1839,"")</f>
        <v/>
      </c>
      <c r="F1839">
        <f>IF(B1839,MAX(MOD(SIN(Seed*0.1373+C1839*12.9898+D1839*78.233)*43758.5453,1),1E-9),"")</f>
        <v/>
      </c>
      <c r="G1839">
        <f>IF(B1839,MOD(SIN(Seed*0.5917+C1839*39.3468+D1839*11.135)*24634.6345,1),"")</f>
        <v/>
      </c>
      <c r="H1839">
        <f>IF(B1839,SQRT(-2*LN(F1839))*COS(2*PI()*G1839),"")</f>
        <v/>
      </c>
      <c r="I1839">
        <f>IF(B1839,IF(D1839=0,H1839,Rho*I1838+SQRT(1-Rho^2)*H1839),"")</f>
        <v/>
      </c>
      <c r="J1839">
        <f>IF(B1839,IF(Dist="Normal",DistA+DistB*I1839,DistA+(DistB-DistA)*NORMSDIST(I1839)),"")</f>
        <v/>
      </c>
      <c r="K1839">
        <f>IF(B1839,INDEX(MineScale,C1839),"")</f>
        <v/>
      </c>
      <c r="L1839">
        <f>IF(B1839,INDEX(Dow,1,WEEKDAY(E1839,2)),"")</f>
        <v/>
      </c>
      <c r="M1839">
        <f>IF(B1839,(1+Trend)^D1839,"")</f>
        <v/>
      </c>
      <c r="N1839">
        <f>IF(B1839,EXP(SUMPRODUCT(LN(1+(EvEff-1)*INDEX(Affected,0,C1839)*EXP(-((E1839-EvCenter)^2)/(2*EvSigma^2))))),"")</f>
        <v/>
      </c>
      <c r="O1839">
        <f>IF(B1839,ROUND(MAX(0,J1839*K1839*L1839*M1839*N1839),2),"")</f>
        <v/>
      </c>
    </row>
    <row r="1840">
      <c r="A1840" t="n">
        <v>1839</v>
      </c>
      <c r="B1840">
        <f>A1840&lt;=MineCount*Days</f>
        <v/>
      </c>
      <c r="C1840">
        <f>IF(B1840,INT((A1840-1)/Days)+1,"")</f>
        <v/>
      </c>
      <c r="D1840">
        <f>IF(B1840,MOD(A1840-1,Days),"")</f>
        <v/>
      </c>
      <c r="E1840" s="16">
        <f>IF(B1840,StartDate+D1840,"")</f>
        <v/>
      </c>
      <c r="F1840">
        <f>IF(B1840,MAX(MOD(SIN(Seed*0.1373+C1840*12.9898+D1840*78.233)*43758.5453,1),1E-9),"")</f>
        <v/>
      </c>
      <c r="G1840">
        <f>IF(B1840,MOD(SIN(Seed*0.5917+C1840*39.3468+D1840*11.135)*24634.6345,1),"")</f>
        <v/>
      </c>
      <c r="H1840">
        <f>IF(B1840,SQRT(-2*LN(F1840))*COS(2*PI()*G1840),"")</f>
        <v/>
      </c>
      <c r="I1840">
        <f>IF(B1840,IF(D1840=0,H1840,Rho*I1839+SQRT(1-Rho^2)*H1840),"")</f>
        <v/>
      </c>
      <c r="J1840">
        <f>IF(B1840,IF(Dist="Normal",DistA+DistB*I1840,DistA+(DistB-DistA)*NORMSDIST(I1840)),"")</f>
        <v/>
      </c>
      <c r="K1840">
        <f>IF(B1840,INDEX(MineScale,C1840),"")</f>
        <v/>
      </c>
      <c r="L1840">
        <f>IF(B1840,INDEX(Dow,1,WEEKDAY(E1840,2)),"")</f>
        <v/>
      </c>
      <c r="M1840">
        <f>IF(B1840,(1+Trend)^D1840,"")</f>
        <v/>
      </c>
      <c r="N1840">
        <f>IF(B1840,EXP(SUMPRODUCT(LN(1+(EvEff-1)*INDEX(Affected,0,C1840)*EXP(-((E1840-EvCenter)^2)/(2*EvSigma^2))))),"")</f>
        <v/>
      </c>
      <c r="O1840">
        <f>IF(B1840,ROUND(MAX(0,J1840*K1840*L1840*M1840*N1840),2),"")</f>
        <v/>
      </c>
    </row>
    <row r="1841">
      <c r="A1841" t="n">
        <v>1840</v>
      </c>
      <c r="B1841">
        <f>A1841&lt;=MineCount*Days</f>
        <v/>
      </c>
      <c r="C1841">
        <f>IF(B1841,INT((A1841-1)/Days)+1,"")</f>
        <v/>
      </c>
      <c r="D1841">
        <f>IF(B1841,MOD(A1841-1,Days),"")</f>
        <v/>
      </c>
      <c r="E1841" s="16">
        <f>IF(B1841,StartDate+D1841,"")</f>
        <v/>
      </c>
      <c r="F1841">
        <f>IF(B1841,MAX(MOD(SIN(Seed*0.1373+C1841*12.9898+D1841*78.233)*43758.5453,1),1E-9),"")</f>
        <v/>
      </c>
      <c r="G1841">
        <f>IF(B1841,MOD(SIN(Seed*0.5917+C1841*39.3468+D1841*11.135)*24634.6345,1),"")</f>
        <v/>
      </c>
      <c r="H1841">
        <f>IF(B1841,SQRT(-2*LN(F1841))*COS(2*PI()*G1841),"")</f>
        <v/>
      </c>
      <c r="I1841">
        <f>IF(B1841,IF(D1841=0,H1841,Rho*I1840+SQRT(1-Rho^2)*H1841),"")</f>
        <v/>
      </c>
      <c r="J1841">
        <f>IF(B1841,IF(Dist="Normal",DistA+DistB*I1841,DistA+(DistB-DistA)*NORMSDIST(I1841)),"")</f>
        <v/>
      </c>
      <c r="K1841">
        <f>IF(B1841,INDEX(MineScale,C1841),"")</f>
        <v/>
      </c>
      <c r="L1841">
        <f>IF(B1841,INDEX(Dow,1,WEEKDAY(E1841,2)),"")</f>
        <v/>
      </c>
      <c r="M1841">
        <f>IF(B1841,(1+Trend)^D1841,"")</f>
        <v/>
      </c>
      <c r="N1841">
        <f>IF(B1841,EXP(SUMPRODUCT(LN(1+(EvEff-1)*INDEX(Affected,0,C1841)*EXP(-((E1841-EvCenter)^2)/(2*EvSigma^2))))),"")</f>
        <v/>
      </c>
      <c r="O1841">
        <f>IF(B1841,ROUND(MAX(0,J1841*K1841*L1841*M1841*N1841),2),"")</f>
        <v/>
      </c>
    </row>
    <row r="1842">
      <c r="A1842" t="n">
        <v>1841</v>
      </c>
      <c r="B1842">
        <f>A1842&lt;=MineCount*Days</f>
        <v/>
      </c>
      <c r="C1842">
        <f>IF(B1842,INT((A1842-1)/Days)+1,"")</f>
        <v/>
      </c>
      <c r="D1842">
        <f>IF(B1842,MOD(A1842-1,Days),"")</f>
        <v/>
      </c>
      <c r="E1842" s="16">
        <f>IF(B1842,StartDate+D1842,"")</f>
        <v/>
      </c>
      <c r="F1842">
        <f>IF(B1842,MAX(MOD(SIN(Seed*0.1373+C1842*12.9898+D1842*78.233)*43758.5453,1),1E-9),"")</f>
        <v/>
      </c>
      <c r="G1842">
        <f>IF(B1842,MOD(SIN(Seed*0.5917+C1842*39.3468+D1842*11.135)*24634.6345,1),"")</f>
        <v/>
      </c>
      <c r="H1842">
        <f>IF(B1842,SQRT(-2*LN(F1842))*COS(2*PI()*G1842),"")</f>
        <v/>
      </c>
      <c r="I1842">
        <f>IF(B1842,IF(D1842=0,H1842,Rho*I1841+SQRT(1-Rho^2)*H1842),"")</f>
        <v/>
      </c>
      <c r="J1842">
        <f>IF(B1842,IF(Dist="Normal",DistA+DistB*I1842,DistA+(DistB-DistA)*NORMSDIST(I1842)),"")</f>
        <v/>
      </c>
      <c r="K1842">
        <f>IF(B1842,INDEX(MineScale,C1842),"")</f>
        <v/>
      </c>
      <c r="L1842">
        <f>IF(B1842,INDEX(Dow,1,WEEKDAY(E1842,2)),"")</f>
        <v/>
      </c>
      <c r="M1842">
        <f>IF(B1842,(1+Trend)^D1842,"")</f>
        <v/>
      </c>
      <c r="N1842">
        <f>IF(B1842,EXP(SUMPRODUCT(LN(1+(EvEff-1)*INDEX(Affected,0,C1842)*EXP(-((E1842-EvCenter)^2)/(2*EvSigma^2))))),"")</f>
        <v/>
      </c>
      <c r="O1842">
        <f>IF(B1842,ROUND(MAX(0,J1842*K1842*L1842*M1842*N1842),2),"")</f>
        <v/>
      </c>
    </row>
    <row r="1843">
      <c r="A1843" t="n">
        <v>1842</v>
      </c>
      <c r="B1843">
        <f>A1843&lt;=MineCount*Days</f>
        <v/>
      </c>
      <c r="C1843">
        <f>IF(B1843,INT((A1843-1)/Days)+1,"")</f>
        <v/>
      </c>
      <c r="D1843">
        <f>IF(B1843,MOD(A1843-1,Days),"")</f>
        <v/>
      </c>
      <c r="E1843" s="16">
        <f>IF(B1843,StartDate+D1843,"")</f>
        <v/>
      </c>
      <c r="F1843">
        <f>IF(B1843,MAX(MOD(SIN(Seed*0.1373+C1843*12.9898+D1843*78.233)*43758.5453,1),1E-9),"")</f>
        <v/>
      </c>
      <c r="G1843">
        <f>IF(B1843,MOD(SIN(Seed*0.5917+C1843*39.3468+D1843*11.135)*24634.6345,1),"")</f>
        <v/>
      </c>
      <c r="H1843">
        <f>IF(B1843,SQRT(-2*LN(F1843))*COS(2*PI()*G1843),"")</f>
        <v/>
      </c>
      <c r="I1843">
        <f>IF(B1843,IF(D1843=0,H1843,Rho*I1842+SQRT(1-Rho^2)*H1843),"")</f>
        <v/>
      </c>
      <c r="J1843">
        <f>IF(B1843,IF(Dist="Normal",DistA+DistB*I1843,DistA+(DistB-DistA)*NORMSDIST(I1843)),"")</f>
        <v/>
      </c>
      <c r="K1843">
        <f>IF(B1843,INDEX(MineScale,C1843),"")</f>
        <v/>
      </c>
      <c r="L1843">
        <f>IF(B1843,INDEX(Dow,1,WEEKDAY(E1843,2)),"")</f>
        <v/>
      </c>
      <c r="M1843">
        <f>IF(B1843,(1+Trend)^D1843,"")</f>
        <v/>
      </c>
      <c r="N1843">
        <f>IF(B1843,EXP(SUMPRODUCT(LN(1+(EvEff-1)*INDEX(Affected,0,C1843)*EXP(-((E1843-EvCenter)^2)/(2*EvSigma^2))))),"")</f>
        <v/>
      </c>
      <c r="O1843">
        <f>IF(B1843,ROUND(MAX(0,J1843*K1843*L1843*M1843*N1843),2),"")</f>
        <v/>
      </c>
    </row>
    <row r="1844">
      <c r="A1844" t="n">
        <v>1843</v>
      </c>
      <c r="B1844">
        <f>A1844&lt;=MineCount*Days</f>
        <v/>
      </c>
      <c r="C1844">
        <f>IF(B1844,INT((A1844-1)/Days)+1,"")</f>
        <v/>
      </c>
      <c r="D1844">
        <f>IF(B1844,MOD(A1844-1,Days),"")</f>
        <v/>
      </c>
      <c r="E1844" s="16">
        <f>IF(B1844,StartDate+D1844,"")</f>
        <v/>
      </c>
      <c r="F1844">
        <f>IF(B1844,MAX(MOD(SIN(Seed*0.1373+C1844*12.9898+D1844*78.233)*43758.5453,1),1E-9),"")</f>
        <v/>
      </c>
      <c r="G1844">
        <f>IF(B1844,MOD(SIN(Seed*0.5917+C1844*39.3468+D1844*11.135)*24634.6345,1),"")</f>
        <v/>
      </c>
      <c r="H1844">
        <f>IF(B1844,SQRT(-2*LN(F1844))*COS(2*PI()*G1844),"")</f>
        <v/>
      </c>
      <c r="I1844">
        <f>IF(B1844,IF(D1844=0,H1844,Rho*I1843+SQRT(1-Rho^2)*H1844),"")</f>
        <v/>
      </c>
      <c r="J1844">
        <f>IF(B1844,IF(Dist="Normal",DistA+DistB*I1844,DistA+(DistB-DistA)*NORMSDIST(I1844)),"")</f>
        <v/>
      </c>
      <c r="K1844">
        <f>IF(B1844,INDEX(MineScale,C1844),"")</f>
        <v/>
      </c>
      <c r="L1844">
        <f>IF(B1844,INDEX(Dow,1,WEEKDAY(E1844,2)),"")</f>
        <v/>
      </c>
      <c r="M1844">
        <f>IF(B1844,(1+Trend)^D1844,"")</f>
        <v/>
      </c>
      <c r="N1844">
        <f>IF(B1844,EXP(SUMPRODUCT(LN(1+(EvEff-1)*INDEX(Affected,0,C1844)*EXP(-((E1844-EvCenter)^2)/(2*EvSigma^2))))),"")</f>
        <v/>
      </c>
      <c r="O1844">
        <f>IF(B1844,ROUND(MAX(0,J1844*K1844*L1844*M1844*N1844),2),"")</f>
        <v/>
      </c>
    </row>
    <row r="1845">
      <c r="A1845" t="n">
        <v>1844</v>
      </c>
      <c r="B1845">
        <f>A1845&lt;=MineCount*Days</f>
        <v/>
      </c>
      <c r="C1845">
        <f>IF(B1845,INT((A1845-1)/Days)+1,"")</f>
        <v/>
      </c>
      <c r="D1845">
        <f>IF(B1845,MOD(A1845-1,Days),"")</f>
        <v/>
      </c>
      <c r="E1845" s="16">
        <f>IF(B1845,StartDate+D1845,"")</f>
        <v/>
      </c>
      <c r="F1845">
        <f>IF(B1845,MAX(MOD(SIN(Seed*0.1373+C1845*12.9898+D1845*78.233)*43758.5453,1),1E-9),"")</f>
        <v/>
      </c>
      <c r="G1845">
        <f>IF(B1845,MOD(SIN(Seed*0.5917+C1845*39.3468+D1845*11.135)*24634.6345,1),"")</f>
        <v/>
      </c>
      <c r="H1845">
        <f>IF(B1845,SQRT(-2*LN(F1845))*COS(2*PI()*G1845),"")</f>
        <v/>
      </c>
      <c r="I1845">
        <f>IF(B1845,IF(D1845=0,H1845,Rho*I1844+SQRT(1-Rho^2)*H1845),"")</f>
        <v/>
      </c>
      <c r="J1845">
        <f>IF(B1845,IF(Dist="Normal",DistA+DistB*I1845,DistA+(DistB-DistA)*NORMSDIST(I1845)),"")</f>
        <v/>
      </c>
      <c r="K1845">
        <f>IF(B1845,INDEX(MineScale,C1845),"")</f>
        <v/>
      </c>
      <c r="L1845">
        <f>IF(B1845,INDEX(Dow,1,WEEKDAY(E1845,2)),"")</f>
        <v/>
      </c>
      <c r="M1845">
        <f>IF(B1845,(1+Trend)^D1845,"")</f>
        <v/>
      </c>
      <c r="N1845">
        <f>IF(B1845,EXP(SUMPRODUCT(LN(1+(EvEff-1)*INDEX(Affected,0,C1845)*EXP(-((E1845-EvCenter)^2)/(2*EvSigma^2))))),"")</f>
        <v/>
      </c>
      <c r="O1845">
        <f>IF(B1845,ROUND(MAX(0,J1845*K1845*L1845*M1845*N1845),2),"")</f>
        <v/>
      </c>
    </row>
    <row r="1846">
      <c r="A1846" t="n">
        <v>1845</v>
      </c>
      <c r="B1846">
        <f>A1846&lt;=MineCount*Days</f>
        <v/>
      </c>
      <c r="C1846">
        <f>IF(B1846,INT((A1846-1)/Days)+1,"")</f>
        <v/>
      </c>
      <c r="D1846">
        <f>IF(B1846,MOD(A1846-1,Days),"")</f>
        <v/>
      </c>
      <c r="E1846" s="16">
        <f>IF(B1846,StartDate+D1846,"")</f>
        <v/>
      </c>
      <c r="F1846">
        <f>IF(B1846,MAX(MOD(SIN(Seed*0.1373+C1846*12.9898+D1846*78.233)*43758.5453,1),1E-9),"")</f>
        <v/>
      </c>
      <c r="G1846">
        <f>IF(B1846,MOD(SIN(Seed*0.5917+C1846*39.3468+D1846*11.135)*24634.6345,1),"")</f>
        <v/>
      </c>
      <c r="H1846">
        <f>IF(B1846,SQRT(-2*LN(F1846))*COS(2*PI()*G1846),"")</f>
        <v/>
      </c>
      <c r="I1846">
        <f>IF(B1846,IF(D1846=0,H1846,Rho*I1845+SQRT(1-Rho^2)*H1846),"")</f>
        <v/>
      </c>
      <c r="J1846">
        <f>IF(B1846,IF(Dist="Normal",DistA+DistB*I1846,DistA+(DistB-DistA)*NORMSDIST(I1846)),"")</f>
        <v/>
      </c>
      <c r="K1846">
        <f>IF(B1846,INDEX(MineScale,C1846),"")</f>
        <v/>
      </c>
      <c r="L1846">
        <f>IF(B1846,INDEX(Dow,1,WEEKDAY(E1846,2)),"")</f>
        <v/>
      </c>
      <c r="M1846">
        <f>IF(B1846,(1+Trend)^D1846,"")</f>
        <v/>
      </c>
      <c r="N1846">
        <f>IF(B1846,EXP(SUMPRODUCT(LN(1+(EvEff-1)*INDEX(Affected,0,C1846)*EXP(-((E1846-EvCenter)^2)/(2*EvSigma^2))))),"")</f>
        <v/>
      </c>
      <c r="O1846">
        <f>IF(B1846,ROUND(MAX(0,J1846*K1846*L1846*M1846*N1846),2),"")</f>
        <v/>
      </c>
    </row>
    <row r="1847">
      <c r="A1847" t="n">
        <v>1846</v>
      </c>
      <c r="B1847">
        <f>A1847&lt;=MineCount*Days</f>
        <v/>
      </c>
      <c r="C1847">
        <f>IF(B1847,INT((A1847-1)/Days)+1,"")</f>
        <v/>
      </c>
      <c r="D1847">
        <f>IF(B1847,MOD(A1847-1,Days),"")</f>
        <v/>
      </c>
      <c r="E1847" s="16">
        <f>IF(B1847,StartDate+D1847,"")</f>
        <v/>
      </c>
      <c r="F1847">
        <f>IF(B1847,MAX(MOD(SIN(Seed*0.1373+C1847*12.9898+D1847*78.233)*43758.5453,1),1E-9),"")</f>
        <v/>
      </c>
      <c r="G1847">
        <f>IF(B1847,MOD(SIN(Seed*0.5917+C1847*39.3468+D1847*11.135)*24634.6345,1),"")</f>
        <v/>
      </c>
      <c r="H1847">
        <f>IF(B1847,SQRT(-2*LN(F1847))*COS(2*PI()*G1847),"")</f>
        <v/>
      </c>
      <c r="I1847">
        <f>IF(B1847,IF(D1847=0,H1847,Rho*I1846+SQRT(1-Rho^2)*H1847),"")</f>
        <v/>
      </c>
      <c r="J1847">
        <f>IF(B1847,IF(Dist="Normal",DistA+DistB*I1847,DistA+(DistB-DistA)*NORMSDIST(I1847)),"")</f>
        <v/>
      </c>
      <c r="K1847">
        <f>IF(B1847,INDEX(MineScale,C1847),"")</f>
        <v/>
      </c>
      <c r="L1847">
        <f>IF(B1847,INDEX(Dow,1,WEEKDAY(E1847,2)),"")</f>
        <v/>
      </c>
      <c r="M1847">
        <f>IF(B1847,(1+Trend)^D1847,"")</f>
        <v/>
      </c>
      <c r="N1847">
        <f>IF(B1847,EXP(SUMPRODUCT(LN(1+(EvEff-1)*INDEX(Affected,0,C1847)*EXP(-((E1847-EvCenter)^2)/(2*EvSigma^2))))),"")</f>
        <v/>
      </c>
      <c r="O1847">
        <f>IF(B1847,ROUND(MAX(0,J1847*K1847*L1847*M1847*N1847),2),"")</f>
        <v/>
      </c>
    </row>
    <row r="1848">
      <c r="A1848" t="n">
        <v>1847</v>
      </c>
      <c r="B1848">
        <f>A1848&lt;=MineCount*Days</f>
        <v/>
      </c>
      <c r="C1848">
        <f>IF(B1848,INT((A1848-1)/Days)+1,"")</f>
        <v/>
      </c>
      <c r="D1848">
        <f>IF(B1848,MOD(A1848-1,Days),"")</f>
        <v/>
      </c>
      <c r="E1848" s="16">
        <f>IF(B1848,StartDate+D1848,"")</f>
        <v/>
      </c>
      <c r="F1848">
        <f>IF(B1848,MAX(MOD(SIN(Seed*0.1373+C1848*12.9898+D1848*78.233)*43758.5453,1),1E-9),"")</f>
        <v/>
      </c>
      <c r="G1848">
        <f>IF(B1848,MOD(SIN(Seed*0.5917+C1848*39.3468+D1848*11.135)*24634.6345,1),"")</f>
        <v/>
      </c>
      <c r="H1848">
        <f>IF(B1848,SQRT(-2*LN(F1848))*COS(2*PI()*G1848),"")</f>
        <v/>
      </c>
      <c r="I1848">
        <f>IF(B1848,IF(D1848=0,H1848,Rho*I1847+SQRT(1-Rho^2)*H1848),"")</f>
        <v/>
      </c>
      <c r="J1848">
        <f>IF(B1848,IF(Dist="Normal",DistA+DistB*I1848,DistA+(DistB-DistA)*NORMSDIST(I1848)),"")</f>
        <v/>
      </c>
      <c r="K1848">
        <f>IF(B1848,INDEX(MineScale,C1848),"")</f>
        <v/>
      </c>
      <c r="L1848">
        <f>IF(B1848,INDEX(Dow,1,WEEKDAY(E1848,2)),"")</f>
        <v/>
      </c>
      <c r="M1848">
        <f>IF(B1848,(1+Trend)^D1848,"")</f>
        <v/>
      </c>
      <c r="N1848">
        <f>IF(B1848,EXP(SUMPRODUCT(LN(1+(EvEff-1)*INDEX(Affected,0,C1848)*EXP(-((E1848-EvCenter)^2)/(2*EvSigma^2))))),"")</f>
        <v/>
      </c>
      <c r="O1848">
        <f>IF(B1848,ROUND(MAX(0,J1848*K1848*L1848*M1848*N1848),2),"")</f>
        <v/>
      </c>
    </row>
    <row r="1849">
      <c r="A1849" t="n">
        <v>1848</v>
      </c>
      <c r="B1849">
        <f>A1849&lt;=MineCount*Days</f>
        <v/>
      </c>
      <c r="C1849">
        <f>IF(B1849,INT((A1849-1)/Days)+1,"")</f>
        <v/>
      </c>
      <c r="D1849">
        <f>IF(B1849,MOD(A1849-1,Days),"")</f>
        <v/>
      </c>
      <c r="E1849" s="16">
        <f>IF(B1849,StartDate+D1849,"")</f>
        <v/>
      </c>
      <c r="F1849">
        <f>IF(B1849,MAX(MOD(SIN(Seed*0.1373+C1849*12.9898+D1849*78.233)*43758.5453,1),1E-9),"")</f>
        <v/>
      </c>
      <c r="G1849">
        <f>IF(B1849,MOD(SIN(Seed*0.5917+C1849*39.3468+D1849*11.135)*24634.6345,1),"")</f>
        <v/>
      </c>
      <c r="H1849">
        <f>IF(B1849,SQRT(-2*LN(F1849))*COS(2*PI()*G1849),"")</f>
        <v/>
      </c>
      <c r="I1849">
        <f>IF(B1849,IF(D1849=0,H1849,Rho*I1848+SQRT(1-Rho^2)*H1849),"")</f>
        <v/>
      </c>
      <c r="J1849">
        <f>IF(B1849,IF(Dist="Normal",DistA+DistB*I1849,DistA+(DistB-DistA)*NORMSDIST(I1849)),"")</f>
        <v/>
      </c>
      <c r="K1849">
        <f>IF(B1849,INDEX(MineScale,C1849),"")</f>
        <v/>
      </c>
      <c r="L1849">
        <f>IF(B1849,INDEX(Dow,1,WEEKDAY(E1849,2)),"")</f>
        <v/>
      </c>
      <c r="M1849">
        <f>IF(B1849,(1+Trend)^D1849,"")</f>
        <v/>
      </c>
      <c r="N1849">
        <f>IF(B1849,EXP(SUMPRODUCT(LN(1+(EvEff-1)*INDEX(Affected,0,C1849)*EXP(-((E1849-EvCenter)^2)/(2*EvSigma^2))))),"")</f>
        <v/>
      </c>
      <c r="O1849">
        <f>IF(B1849,ROUND(MAX(0,J1849*K1849*L1849*M1849*N1849),2),"")</f>
        <v/>
      </c>
    </row>
    <row r="1850">
      <c r="A1850" t="n">
        <v>1849</v>
      </c>
      <c r="B1850">
        <f>A1850&lt;=MineCount*Days</f>
        <v/>
      </c>
      <c r="C1850">
        <f>IF(B1850,INT((A1850-1)/Days)+1,"")</f>
        <v/>
      </c>
      <c r="D1850">
        <f>IF(B1850,MOD(A1850-1,Days),"")</f>
        <v/>
      </c>
      <c r="E1850" s="16">
        <f>IF(B1850,StartDate+D1850,"")</f>
        <v/>
      </c>
      <c r="F1850">
        <f>IF(B1850,MAX(MOD(SIN(Seed*0.1373+C1850*12.9898+D1850*78.233)*43758.5453,1),1E-9),"")</f>
        <v/>
      </c>
      <c r="G1850">
        <f>IF(B1850,MOD(SIN(Seed*0.5917+C1850*39.3468+D1850*11.135)*24634.6345,1),"")</f>
        <v/>
      </c>
      <c r="H1850">
        <f>IF(B1850,SQRT(-2*LN(F1850))*COS(2*PI()*G1850),"")</f>
        <v/>
      </c>
      <c r="I1850">
        <f>IF(B1850,IF(D1850=0,H1850,Rho*I1849+SQRT(1-Rho^2)*H1850),"")</f>
        <v/>
      </c>
      <c r="J1850">
        <f>IF(B1850,IF(Dist="Normal",DistA+DistB*I1850,DistA+(DistB-DistA)*NORMSDIST(I1850)),"")</f>
        <v/>
      </c>
      <c r="K1850">
        <f>IF(B1850,INDEX(MineScale,C1850),"")</f>
        <v/>
      </c>
      <c r="L1850">
        <f>IF(B1850,INDEX(Dow,1,WEEKDAY(E1850,2)),"")</f>
        <v/>
      </c>
      <c r="M1850">
        <f>IF(B1850,(1+Trend)^D1850,"")</f>
        <v/>
      </c>
      <c r="N1850">
        <f>IF(B1850,EXP(SUMPRODUCT(LN(1+(EvEff-1)*INDEX(Affected,0,C1850)*EXP(-((E1850-EvCenter)^2)/(2*EvSigma^2))))),"")</f>
        <v/>
      </c>
      <c r="O1850">
        <f>IF(B1850,ROUND(MAX(0,J1850*K1850*L1850*M1850*N1850),2),"")</f>
        <v/>
      </c>
    </row>
    <row r="1851">
      <c r="A1851" t="n">
        <v>1850</v>
      </c>
      <c r="B1851">
        <f>A1851&lt;=MineCount*Days</f>
        <v/>
      </c>
      <c r="C1851">
        <f>IF(B1851,INT((A1851-1)/Days)+1,"")</f>
        <v/>
      </c>
      <c r="D1851">
        <f>IF(B1851,MOD(A1851-1,Days),"")</f>
        <v/>
      </c>
      <c r="E1851" s="16">
        <f>IF(B1851,StartDate+D1851,"")</f>
        <v/>
      </c>
      <c r="F1851">
        <f>IF(B1851,MAX(MOD(SIN(Seed*0.1373+C1851*12.9898+D1851*78.233)*43758.5453,1),1E-9),"")</f>
        <v/>
      </c>
      <c r="G1851">
        <f>IF(B1851,MOD(SIN(Seed*0.5917+C1851*39.3468+D1851*11.135)*24634.6345,1),"")</f>
        <v/>
      </c>
      <c r="H1851">
        <f>IF(B1851,SQRT(-2*LN(F1851))*COS(2*PI()*G1851),"")</f>
        <v/>
      </c>
      <c r="I1851">
        <f>IF(B1851,IF(D1851=0,H1851,Rho*I1850+SQRT(1-Rho^2)*H1851),"")</f>
        <v/>
      </c>
      <c r="J1851">
        <f>IF(B1851,IF(Dist="Normal",DistA+DistB*I1851,DistA+(DistB-DistA)*NORMSDIST(I1851)),"")</f>
        <v/>
      </c>
      <c r="K1851">
        <f>IF(B1851,INDEX(MineScale,C1851),"")</f>
        <v/>
      </c>
      <c r="L1851">
        <f>IF(B1851,INDEX(Dow,1,WEEKDAY(E1851,2)),"")</f>
        <v/>
      </c>
      <c r="M1851">
        <f>IF(B1851,(1+Trend)^D1851,"")</f>
        <v/>
      </c>
      <c r="N1851">
        <f>IF(B1851,EXP(SUMPRODUCT(LN(1+(EvEff-1)*INDEX(Affected,0,C1851)*EXP(-((E1851-EvCenter)^2)/(2*EvSigma^2))))),"")</f>
        <v/>
      </c>
      <c r="O1851">
        <f>IF(B1851,ROUND(MAX(0,J1851*K1851*L1851*M1851*N1851),2),"")</f>
        <v/>
      </c>
    </row>
    <row r="1852">
      <c r="A1852" t="n">
        <v>1851</v>
      </c>
      <c r="B1852">
        <f>A1852&lt;=MineCount*Days</f>
        <v/>
      </c>
      <c r="C1852">
        <f>IF(B1852,INT((A1852-1)/Days)+1,"")</f>
        <v/>
      </c>
      <c r="D1852">
        <f>IF(B1852,MOD(A1852-1,Days),"")</f>
        <v/>
      </c>
      <c r="E1852" s="16">
        <f>IF(B1852,StartDate+D1852,"")</f>
        <v/>
      </c>
      <c r="F1852">
        <f>IF(B1852,MAX(MOD(SIN(Seed*0.1373+C1852*12.9898+D1852*78.233)*43758.5453,1),1E-9),"")</f>
        <v/>
      </c>
      <c r="G1852">
        <f>IF(B1852,MOD(SIN(Seed*0.5917+C1852*39.3468+D1852*11.135)*24634.6345,1),"")</f>
        <v/>
      </c>
      <c r="H1852">
        <f>IF(B1852,SQRT(-2*LN(F1852))*COS(2*PI()*G1852),"")</f>
        <v/>
      </c>
      <c r="I1852">
        <f>IF(B1852,IF(D1852=0,H1852,Rho*I1851+SQRT(1-Rho^2)*H1852),"")</f>
        <v/>
      </c>
      <c r="J1852">
        <f>IF(B1852,IF(Dist="Normal",DistA+DistB*I1852,DistA+(DistB-DistA)*NORMSDIST(I1852)),"")</f>
        <v/>
      </c>
      <c r="K1852">
        <f>IF(B1852,INDEX(MineScale,C1852),"")</f>
        <v/>
      </c>
      <c r="L1852">
        <f>IF(B1852,INDEX(Dow,1,WEEKDAY(E1852,2)),"")</f>
        <v/>
      </c>
      <c r="M1852">
        <f>IF(B1852,(1+Trend)^D1852,"")</f>
        <v/>
      </c>
      <c r="N1852">
        <f>IF(B1852,EXP(SUMPRODUCT(LN(1+(EvEff-1)*INDEX(Affected,0,C1852)*EXP(-((E1852-EvCenter)^2)/(2*EvSigma^2))))),"")</f>
        <v/>
      </c>
      <c r="O1852">
        <f>IF(B1852,ROUND(MAX(0,J1852*K1852*L1852*M1852*N1852),2),"")</f>
        <v/>
      </c>
    </row>
    <row r="1853">
      <c r="A1853" t="n">
        <v>1852</v>
      </c>
      <c r="B1853">
        <f>A1853&lt;=MineCount*Days</f>
        <v/>
      </c>
      <c r="C1853">
        <f>IF(B1853,INT((A1853-1)/Days)+1,"")</f>
        <v/>
      </c>
      <c r="D1853">
        <f>IF(B1853,MOD(A1853-1,Days),"")</f>
        <v/>
      </c>
      <c r="E1853" s="16">
        <f>IF(B1853,StartDate+D1853,"")</f>
        <v/>
      </c>
      <c r="F1853">
        <f>IF(B1853,MAX(MOD(SIN(Seed*0.1373+C1853*12.9898+D1853*78.233)*43758.5453,1),1E-9),"")</f>
        <v/>
      </c>
      <c r="G1853">
        <f>IF(B1853,MOD(SIN(Seed*0.5917+C1853*39.3468+D1853*11.135)*24634.6345,1),"")</f>
        <v/>
      </c>
      <c r="H1853">
        <f>IF(B1853,SQRT(-2*LN(F1853))*COS(2*PI()*G1853),"")</f>
        <v/>
      </c>
      <c r="I1853">
        <f>IF(B1853,IF(D1853=0,H1853,Rho*I1852+SQRT(1-Rho^2)*H1853),"")</f>
        <v/>
      </c>
      <c r="J1853">
        <f>IF(B1853,IF(Dist="Normal",DistA+DistB*I1853,DistA+(DistB-DistA)*NORMSDIST(I1853)),"")</f>
        <v/>
      </c>
      <c r="K1853">
        <f>IF(B1853,INDEX(MineScale,C1853),"")</f>
        <v/>
      </c>
      <c r="L1853">
        <f>IF(B1853,INDEX(Dow,1,WEEKDAY(E1853,2)),"")</f>
        <v/>
      </c>
      <c r="M1853">
        <f>IF(B1853,(1+Trend)^D1853,"")</f>
        <v/>
      </c>
      <c r="N1853">
        <f>IF(B1853,EXP(SUMPRODUCT(LN(1+(EvEff-1)*INDEX(Affected,0,C1853)*EXP(-((E1853-EvCenter)^2)/(2*EvSigma^2))))),"")</f>
        <v/>
      </c>
      <c r="O1853">
        <f>IF(B1853,ROUND(MAX(0,J1853*K1853*L1853*M1853*N1853),2),"")</f>
        <v/>
      </c>
    </row>
    <row r="1854">
      <c r="A1854" t="n">
        <v>1853</v>
      </c>
      <c r="B1854">
        <f>A1854&lt;=MineCount*Days</f>
        <v/>
      </c>
      <c r="C1854">
        <f>IF(B1854,INT((A1854-1)/Days)+1,"")</f>
        <v/>
      </c>
      <c r="D1854">
        <f>IF(B1854,MOD(A1854-1,Days),"")</f>
        <v/>
      </c>
      <c r="E1854" s="16">
        <f>IF(B1854,StartDate+D1854,"")</f>
        <v/>
      </c>
      <c r="F1854">
        <f>IF(B1854,MAX(MOD(SIN(Seed*0.1373+C1854*12.9898+D1854*78.233)*43758.5453,1),1E-9),"")</f>
        <v/>
      </c>
      <c r="G1854">
        <f>IF(B1854,MOD(SIN(Seed*0.5917+C1854*39.3468+D1854*11.135)*24634.6345,1),"")</f>
        <v/>
      </c>
      <c r="H1854">
        <f>IF(B1854,SQRT(-2*LN(F1854))*COS(2*PI()*G1854),"")</f>
        <v/>
      </c>
      <c r="I1854">
        <f>IF(B1854,IF(D1854=0,H1854,Rho*I1853+SQRT(1-Rho^2)*H1854),"")</f>
        <v/>
      </c>
      <c r="J1854">
        <f>IF(B1854,IF(Dist="Normal",DistA+DistB*I1854,DistA+(DistB-DistA)*NORMSDIST(I1854)),"")</f>
        <v/>
      </c>
      <c r="K1854">
        <f>IF(B1854,INDEX(MineScale,C1854),"")</f>
        <v/>
      </c>
      <c r="L1854">
        <f>IF(B1854,INDEX(Dow,1,WEEKDAY(E1854,2)),"")</f>
        <v/>
      </c>
      <c r="M1854">
        <f>IF(B1854,(1+Trend)^D1854,"")</f>
        <v/>
      </c>
      <c r="N1854">
        <f>IF(B1854,EXP(SUMPRODUCT(LN(1+(EvEff-1)*INDEX(Affected,0,C1854)*EXP(-((E1854-EvCenter)^2)/(2*EvSigma^2))))),"")</f>
        <v/>
      </c>
      <c r="O1854">
        <f>IF(B1854,ROUND(MAX(0,J1854*K1854*L1854*M1854*N1854),2),"")</f>
        <v/>
      </c>
    </row>
    <row r="1855">
      <c r="A1855" t="n">
        <v>1854</v>
      </c>
      <c r="B1855">
        <f>A1855&lt;=MineCount*Days</f>
        <v/>
      </c>
      <c r="C1855">
        <f>IF(B1855,INT((A1855-1)/Days)+1,"")</f>
        <v/>
      </c>
      <c r="D1855">
        <f>IF(B1855,MOD(A1855-1,Days),"")</f>
        <v/>
      </c>
      <c r="E1855" s="16">
        <f>IF(B1855,StartDate+D1855,"")</f>
        <v/>
      </c>
      <c r="F1855">
        <f>IF(B1855,MAX(MOD(SIN(Seed*0.1373+C1855*12.9898+D1855*78.233)*43758.5453,1),1E-9),"")</f>
        <v/>
      </c>
      <c r="G1855">
        <f>IF(B1855,MOD(SIN(Seed*0.5917+C1855*39.3468+D1855*11.135)*24634.6345,1),"")</f>
        <v/>
      </c>
      <c r="H1855">
        <f>IF(B1855,SQRT(-2*LN(F1855))*COS(2*PI()*G1855),"")</f>
        <v/>
      </c>
      <c r="I1855">
        <f>IF(B1855,IF(D1855=0,H1855,Rho*I1854+SQRT(1-Rho^2)*H1855),"")</f>
        <v/>
      </c>
      <c r="J1855">
        <f>IF(B1855,IF(Dist="Normal",DistA+DistB*I1855,DistA+(DistB-DistA)*NORMSDIST(I1855)),"")</f>
        <v/>
      </c>
      <c r="K1855">
        <f>IF(B1855,INDEX(MineScale,C1855),"")</f>
        <v/>
      </c>
      <c r="L1855">
        <f>IF(B1855,INDEX(Dow,1,WEEKDAY(E1855,2)),"")</f>
        <v/>
      </c>
      <c r="M1855">
        <f>IF(B1855,(1+Trend)^D1855,"")</f>
        <v/>
      </c>
      <c r="N1855">
        <f>IF(B1855,EXP(SUMPRODUCT(LN(1+(EvEff-1)*INDEX(Affected,0,C1855)*EXP(-((E1855-EvCenter)^2)/(2*EvSigma^2))))),"")</f>
        <v/>
      </c>
      <c r="O1855">
        <f>IF(B1855,ROUND(MAX(0,J1855*K1855*L1855*M1855*N1855),2),"")</f>
        <v/>
      </c>
    </row>
    <row r="1856">
      <c r="A1856" t="n">
        <v>1855</v>
      </c>
      <c r="B1856">
        <f>A1856&lt;=MineCount*Days</f>
        <v/>
      </c>
      <c r="C1856">
        <f>IF(B1856,INT((A1856-1)/Days)+1,"")</f>
        <v/>
      </c>
      <c r="D1856">
        <f>IF(B1856,MOD(A1856-1,Days),"")</f>
        <v/>
      </c>
      <c r="E1856" s="16">
        <f>IF(B1856,StartDate+D1856,"")</f>
        <v/>
      </c>
      <c r="F1856">
        <f>IF(B1856,MAX(MOD(SIN(Seed*0.1373+C1856*12.9898+D1856*78.233)*43758.5453,1),1E-9),"")</f>
        <v/>
      </c>
      <c r="G1856">
        <f>IF(B1856,MOD(SIN(Seed*0.5917+C1856*39.3468+D1856*11.135)*24634.6345,1),"")</f>
        <v/>
      </c>
      <c r="H1856">
        <f>IF(B1856,SQRT(-2*LN(F1856))*COS(2*PI()*G1856),"")</f>
        <v/>
      </c>
      <c r="I1856">
        <f>IF(B1856,IF(D1856=0,H1856,Rho*I1855+SQRT(1-Rho^2)*H1856),"")</f>
        <v/>
      </c>
      <c r="J1856">
        <f>IF(B1856,IF(Dist="Normal",DistA+DistB*I1856,DistA+(DistB-DistA)*NORMSDIST(I1856)),"")</f>
        <v/>
      </c>
      <c r="K1856">
        <f>IF(B1856,INDEX(MineScale,C1856),"")</f>
        <v/>
      </c>
      <c r="L1856">
        <f>IF(B1856,INDEX(Dow,1,WEEKDAY(E1856,2)),"")</f>
        <v/>
      </c>
      <c r="M1856">
        <f>IF(B1856,(1+Trend)^D1856,"")</f>
        <v/>
      </c>
      <c r="N1856">
        <f>IF(B1856,EXP(SUMPRODUCT(LN(1+(EvEff-1)*INDEX(Affected,0,C1856)*EXP(-((E1856-EvCenter)^2)/(2*EvSigma^2))))),"")</f>
        <v/>
      </c>
      <c r="O1856">
        <f>IF(B1856,ROUND(MAX(0,J1856*K1856*L1856*M1856*N1856),2),"")</f>
        <v/>
      </c>
    </row>
    <row r="1857">
      <c r="A1857" t="n">
        <v>1856</v>
      </c>
      <c r="B1857">
        <f>A1857&lt;=MineCount*Days</f>
        <v/>
      </c>
      <c r="C1857">
        <f>IF(B1857,INT((A1857-1)/Days)+1,"")</f>
        <v/>
      </c>
      <c r="D1857">
        <f>IF(B1857,MOD(A1857-1,Days),"")</f>
        <v/>
      </c>
      <c r="E1857" s="16">
        <f>IF(B1857,StartDate+D1857,"")</f>
        <v/>
      </c>
      <c r="F1857">
        <f>IF(B1857,MAX(MOD(SIN(Seed*0.1373+C1857*12.9898+D1857*78.233)*43758.5453,1),1E-9),"")</f>
        <v/>
      </c>
      <c r="G1857">
        <f>IF(B1857,MOD(SIN(Seed*0.5917+C1857*39.3468+D1857*11.135)*24634.6345,1),"")</f>
        <v/>
      </c>
      <c r="H1857">
        <f>IF(B1857,SQRT(-2*LN(F1857))*COS(2*PI()*G1857),"")</f>
        <v/>
      </c>
      <c r="I1857">
        <f>IF(B1857,IF(D1857=0,H1857,Rho*I1856+SQRT(1-Rho^2)*H1857),"")</f>
        <v/>
      </c>
      <c r="J1857">
        <f>IF(B1857,IF(Dist="Normal",DistA+DistB*I1857,DistA+(DistB-DistA)*NORMSDIST(I1857)),"")</f>
        <v/>
      </c>
      <c r="K1857">
        <f>IF(B1857,INDEX(MineScale,C1857),"")</f>
        <v/>
      </c>
      <c r="L1857">
        <f>IF(B1857,INDEX(Dow,1,WEEKDAY(E1857,2)),"")</f>
        <v/>
      </c>
      <c r="M1857">
        <f>IF(B1857,(1+Trend)^D1857,"")</f>
        <v/>
      </c>
      <c r="N1857">
        <f>IF(B1857,EXP(SUMPRODUCT(LN(1+(EvEff-1)*INDEX(Affected,0,C1857)*EXP(-((E1857-EvCenter)^2)/(2*EvSigma^2))))),"")</f>
        <v/>
      </c>
      <c r="O1857">
        <f>IF(B1857,ROUND(MAX(0,J1857*K1857*L1857*M1857*N1857),2),"")</f>
        <v/>
      </c>
    </row>
    <row r="1858">
      <c r="A1858" t="n">
        <v>1857</v>
      </c>
      <c r="B1858">
        <f>A1858&lt;=MineCount*Days</f>
        <v/>
      </c>
      <c r="C1858">
        <f>IF(B1858,INT((A1858-1)/Days)+1,"")</f>
        <v/>
      </c>
      <c r="D1858">
        <f>IF(B1858,MOD(A1858-1,Days),"")</f>
        <v/>
      </c>
      <c r="E1858" s="16">
        <f>IF(B1858,StartDate+D1858,"")</f>
        <v/>
      </c>
      <c r="F1858">
        <f>IF(B1858,MAX(MOD(SIN(Seed*0.1373+C1858*12.9898+D1858*78.233)*43758.5453,1),1E-9),"")</f>
        <v/>
      </c>
      <c r="G1858">
        <f>IF(B1858,MOD(SIN(Seed*0.5917+C1858*39.3468+D1858*11.135)*24634.6345,1),"")</f>
        <v/>
      </c>
      <c r="H1858">
        <f>IF(B1858,SQRT(-2*LN(F1858))*COS(2*PI()*G1858),"")</f>
        <v/>
      </c>
      <c r="I1858">
        <f>IF(B1858,IF(D1858=0,H1858,Rho*I1857+SQRT(1-Rho^2)*H1858),"")</f>
        <v/>
      </c>
      <c r="J1858">
        <f>IF(B1858,IF(Dist="Normal",DistA+DistB*I1858,DistA+(DistB-DistA)*NORMSDIST(I1858)),"")</f>
        <v/>
      </c>
      <c r="K1858">
        <f>IF(B1858,INDEX(MineScale,C1858),"")</f>
        <v/>
      </c>
      <c r="L1858">
        <f>IF(B1858,INDEX(Dow,1,WEEKDAY(E1858,2)),"")</f>
        <v/>
      </c>
      <c r="M1858">
        <f>IF(B1858,(1+Trend)^D1858,"")</f>
        <v/>
      </c>
      <c r="N1858">
        <f>IF(B1858,EXP(SUMPRODUCT(LN(1+(EvEff-1)*INDEX(Affected,0,C1858)*EXP(-((E1858-EvCenter)^2)/(2*EvSigma^2))))),"")</f>
        <v/>
      </c>
      <c r="O1858">
        <f>IF(B1858,ROUND(MAX(0,J1858*K1858*L1858*M1858*N1858),2),"")</f>
        <v/>
      </c>
    </row>
    <row r="1859">
      <c r="A1859" t="n">
        <v>1858</v>
      </c>
      <c r="B1859">
        <f>A1859&lt;=MineCount*Days</f>
        <v/>
      </c>
      <c r="C1859">
        <f>IF(B1859,INT((A1859-1)/Days)+1,"")</f>
        <v/>
      </c>
      <c r="D1859">
        <f>IF(B1859,MOD(A1859-1,Days),"")</f>
        <v/>
      </c>
      <c r="E1859" s="16">
        <f>IF(B1859,StartDate+D1859,"")</f>
        <v/>
      </c>
      <c r="F1859">
        <f>IF(B1859,MAX(MOD(SIN(Seed*0.1373+C1859*12.9898+D1859*78.233)*43758.5453,1),1E-9),"")</f>
        <v/>
      </c>
      <c r="G1859">
        <f>IF(B1859,MOD(SIN(Seed*0.5917+C1859*39.3468+D1859*11.135)*24634.6345,1),"")</f>
        <v/>
      </c>
      <c r="H1859">
        <f>IF(B1859,SQRT(-2*LN(F1859))*COS(2*PI()*G1859),"")</f>
        <v/>
      </c>
      <c r="I1859">
        <f>IF(B1859,IF(D1859=0,H1859,Rho*I1858+SQRT(1-Rho^2)*H1859),"")</f>
        <v/>
      </c>
      <c r="J1859">
        <f>IF(B1859,IF(Dist="Normal",DistA+DistB*I1859,DistA+(DistB-DistA)*NORMSDIST(I1859)),"")</f>
        <v/>
      </c>
      <c r="K1859">
        <f>IF(B1859,INDEX(MineScale,C1859),"")</f>
        <v/>
      </c>
      <c r="L1859">
        <f>IF(B1859,INDEX(Dow,1,WEEKDAY(E1859,2)),"")</f>
        <v/>
      </c>
      <c r="M1859">
        <f>IF(B1859,(1+Trend)^D1859,"")</f>
        <v/>
      </c>
      <c r="N1859">
        <f>IF(B1859,EXP(SUMPRODUCT(LN(1+(EvEff-1)*INDEX(Affected,0,C1859)*EXP(-((E1859-EvCenter)^2)/(2*EvSigma^2))))),"")</f>
        <v/>
      </c>
      <c r="O1859">
        <f>IF(B1859,ROUND(MAX(0,J1859*K1859*L1859*M1859*N1859),2),"")</f>
        <v/>
      </c>
    </row>
    <row r="1860">
      <c r="A1860" t="n">
        <v>1859</v>
      </c>
      <c r="B1860">
        <f>A1860&lt;=MineCount*Days</f>
        <v/>
      </c>
      <c r="C1860">
        <f>IF(B1860,INT((A1860-1)/Days)+1,"")</f>
        <v/>
      </c>
      <c r="D1860">
        <f>IF(B1860,MOD(A1860-1,Days),"")</f>
        <v/>
      </c>
      <c r="E1860" s="16">
        <f>IF(B1860,StartDate+D1860,"")</f>
        <v/>
      </c>
      <c r="F1860">
        <f>IF(B1860,MAX(MOD(SIN(Seed*0.1373+C1860*12.9898+D1860*78.233)*43758.5453,1),1E-9),"")</f>
        <v/>
      </c>
      <c r="G1860">
        <f>IF(B1860,MOD(SIN(Seed*0.5917+C1860*39.3468+D1860*11.135)*24634.6345,1),"")</f>
        <v/>
      </c>
      <c r="H1860">
        <f>IF(B1860,SQRT(-2*LN(F1860))*COS(2*PI()*G1860),"")</f>
        <v/>
      </c>
      <c r="I1860">
        <f>IF(B1860,IF(D1860=0,H1860,Rho*I1859+SQRT(1-Rho^2)*H1860),"")</f>
        <v/>
      </c>
      <c r="J1860">
        <f>IF(B1860,IF(Dist="Normal",DistA+DistB*I1860,DistA+(DistB-DistA)*NORMSDIST(I1860)),"")</f>
        <v/>
      </c>
      <c r="K1860">
        <f>IF(B1860,INDEX(MineScale,C1860),"")</f>
        <v/>
      </c>
      <c r="L1860">
        <f>IF(B1860,INDEX(Dow,1,WEEKDAY(E1860,2)),"")</f>
        <v/>
      </c>
      <c r="M1860">
        <f>IF(B1860,(1+Trend)^D1860,"")</f>
        <v/>
      </c>
      <c r="N1860">
        <f>IF(B1860,EXP(SUMPRODUCT(LN(1+(EvEff-1)*INDEX(Affected,0,C1860)*EXP(-((E1860-EvCenter)^2)/(2*EvSigma^2))))),"")</f>
        <v/>
      </c>
      <c r="O1860">
        <f>IF(B1860,ROUND(MAX(0,J1860*K1860*L1860*M1860*N1860),2),"")</f>
        <v/>
      </c>
    </row>
    <row r="1861">
      <c r="A1861" t="n">
        <v>1860</v>
      </c>
      <c r="B1861">
        <f>A1861&lt;=MineCount*Days</f>
        <v/>
      </c>
      <c r="C1861">
        <f>IF(B1861,INT((A1861-1)/Days)+1,"")</f>
        <v/>
      </c>
      <c r="D1861">
        <f>IF(B1861,MOD(A1861-1,Days),"")</f>
        <v/>
      </c>
      <c r="E1861" s="16">
        <f>IF(B1861,StartDate+D1861,"")</f>
        <v/>
      </c>
      <c r="F1861">
        <f>IF(B1861,MAX(MOD(SIN(Seed*0.1373+C1861*12.9898+D1861*78.233)*43758.5453,1),1E-9),"")</f>
        <v/>
      </c>
      <c r="G1861">
        <f>IF(B1861,MOD(SIN(Seed*0.5917+C1861*39.3468+D1861*11.135)*24634.6345,1),"")</f>
        <v/>
      </c>
      <c r="H1861">
        <f>IF(B1861,SQRT(-2*LN(F1861))*COS(2*PI()*G1861),"")</f>
        <v/>
      </c>
      <c r="I1861">
        <f>IF(B1861,IF(D1861=0,H1861,Rho*I1860+SQRT(1-Rho^2)*H1861),"")</f>
        <v/>
      </c>
      <c r="J1861">
        <f>IF(B1861,IF(Dist="Normal",DistA+DistB*I1861,DistA+(DistB-DistA)*NORMSDIST(I1861)),"")</f>
        <v/>
      </c>
      <c r="K1861">
        <f>IF(B1861,INDEX(MineScale,C1861),"")</f>
        <v/>
      </c>
      <c r="L1861">
        <f>IF(B1861,INDEX(Dow,1,WEEKDAY(E1861,2)),"")</f>
        <v/>
      </c>
      <c r="M1861">
        <f>IF(B1861,(1+Trend)^D1861,"")</f>
        <v/>
      </c>
      <c r="N1861">
        <f>IF(B1861,EXP(SUMPRODUCT(LN(1+(EvEff-1)*INDEX(Affected,0,C1861)*EXP(-((E1861-EvCenter)^2)/(2*EvSigma^2))))),"")</f>
        <v/>
      </c>
      <c r="O1861">
        <f>IF(B1861,ROUND(MAX(0,J1861*K1861*L1861*M1861*N1861),2),"")</f>
        <v/>
      </c>
    </row>
    <row r="1862">
      <c r="A1862" t="n">
        <v>1861</v>
      </c>
      <c r="B1862">
        <f>A1862&lt;=MineCount*Days</f>
        <v/>
      </c>
      <c r="C1862">
        <f>IF(B1862,INT((A1862-1)/Days)+1,"")</f>
        <v/>
      </c>
      <c r="D1862">
        <f>IF(B1862,MOD(A1862-1,Days),"")</f>
        <v/>
      </c>
      <c r="E1862" s="16">
        <f>IF(B1862,StartDate+D1862,"")</f>
        <v/>
      </c>
      <c r="F1862">
        <f>IF(B1862,MAX(MOD(SIN(Seed*0.1373+C1862*12.9898+D1862*78.233)*43758.5453,1),1E-9),"")</f>
        <v/>
      </c>
      <c r="G1862">
        <f>IF(B1862,MOD(SIN(Seed*0.5917+C1862*39.3468+D1862*11.135)*24634.6345,1),"")</f>
        <v/>
      </c>
      <c r="H1862">
        <f>IF(B1862,SQRT(-2*LN(F1862))*COS(2*PI()*G1862),"")</f>
        <v/>
      </c>
      <c r="I1862">
        <f>IF(B1862,IF(D1862=0,H1862,Rho*I1861+SQRT(1-Rho^2)*H1862),"")</f>
        <v/>
      </c>
      <c r="J1862">
        <f>IF(B1862,IF(Dist="Normal",DistA+DistB*I1862,DistA+(DistB-DistA)*NORMSDIST(I1862)),"")</f>
        <v/>
      </c>
      <c r="K1862">
        <f>IF(B1862,INDEX(MineScale,C1862),"")</f>
        <v/>
      </c>
      <c r="L1862">
        <f>IF(B1862,INDEX(Dow,1,WEEKDAY(E1862,2)),"")</f>
        <v/>
      </c>
      <c r="M1862">
        <f>IF(B1862,(1+Trend)^D1862,"")</f>
        <v/>
      </c>
      <c r="N1862">
        <f>IF(B1862,EXP(SUMPRODUCT(LN(1+(EvEff-1)*INDEX(Affected,0,C1862)*EXP(-((E1862-EvCenter)^2)/(2*EvSigma^2))))),"")</f>
        <v/>
      </c>
      <c r="O1862">
        <f>IF(B1862,ROUND(MAX(0,J1862*K1862*L1862*M1862*N1862),2),"")</f>
        <v/>
      </c>
    </row>
    <row r="1863">
      <c r="A1863" t="n">
        <v>1862</v>
      </c>
      <c r="B1863">
        <f>A1863&lt;=MineCount*Days</f>
        <v/>
      </c>
      <c r="C1863">
        <f>IF(B1863,INT((A1863-1)/Days)+1,"")</f>
        <v/>
      </c>
      <c r="D1863">
        <f>IF(B1863,MOD(A1863-1,Days),"")</f>
        <v/>
      </c>
      <c r="E1863" s="16">
        <f>IF(B1863,StartDate+D1863,"")</f>
        <v/>
      </c>
      <c r="F1863">
        <f>IF(B1863,MAX(MOD(SIN(Seed*0.1373+C1863*12.9898+D1863*78.233)*43758.5453,1),1E-9),"")</f>
        <v/>
      </c>
      <c r="G1863">
        <f>IF(B1863,MOD(SIN(Seed*0.5917+C1863*39.3468+D1863*11.135)*24634.6345,1),"")</f>
        <v/>
      </c>
      <c r="H1863">
        <f>IF(B1863,SQRT(-2*LN(F1863))*COS(2*PI()*G1863),"")</f>
        <v/>
      </c>
      <c r="I1863">
        <f>IF(B1863,IF(D1863=0,H1863,Rho*I1862+SQRT(1-Rho^2)*H1863),"")</f>
        <v/>
      </c>
      <c r="J1863">
        <f>IF(B1863,IF(Dist="Normal",DistA+DistB*I1863,DistA+(DistB-DistA)*NORMSDIST(I1863)),"")</f>
        <v/>
      </c>
      <c r="K1863">
        <f>IF(B1863,INDEX(MineScale,C1863),"")</f>
        <v/>
      </c>
      <c r="L1863">
        <f>IF(B1863,INDEX(Dow,1,WEEKDAY(E1863,2)),"")</f>
        <v/>
      </c>
      <c r="M1863">
        <f>IF(B1863,(1+Trend)^D1863,"")</f>
        <v/>
      </c>
      <c r="N1863">
        <f>IF(B1863,EXP(SUMPRODUCT(LN(1+(EvEff-1)*INDEX(Affected,0,C1863)*EXP(-((E1863-EvCenter)^2)/(2*EvSigma^2))))),"")</f>
        <v/>
      </c>
      <c r="O1863">
        <f>IF(B1863,ROUND(MAX(0,J1863*K1863*L1863*M1863*N1863),2),"")</f>
        <v/>
      </c>
    </row>
    <row r="1864">
      <c r="A1864" t="n">
        <v>1863</v>
      </c>
      <c r="B1864">
        <f>A1864&lt;=MineCount*Days</f>
        <v/>
      </c>
      <c r="C1864">
        <f>IF(B1864,INT((A1864-1)/Days)+1,"")</f>
        <v/>
      </c>
      <c r="D1864">
        <f>IF(B1864,MOD(A1864-1,Days),"")</f>
        <v/>
      </c>
      <c r="E1864" s="16">
        <f>IF(B1864,StartDate+D1864,"")</f>
        <v/>
      </c>
      <c r="F1864">
        <f>IF(B1864,MAX(MOD(SIN(Seed*0.1373+C1864*12.9898+D1864*78.233)*43758.5453,1),1E-9),"")</f>
        <v/>
      </c>
      <c r="G1864">
        <f>IF(B1864,MOD(SIN(Seed*0.5917+C1864*39.3468+D1864*11.135)*24634.6345,1),"")</f>
        <v/>
      </c>
      <c r="H1864">
        <f>IF(B1864,SQRT(-2*LN(F1864))*COS(2*PI()*G1864),"")</f>
        <v/>
      </c>
      <c r="I1864">
        <f>IF(B1864,IF(D1864=0,H1864,Rho*I1863+SQRT(1-Rho^2)*H1864),"")</f>
        <v/>
      </c>
      <c r="J1864">
        <f>IF(B1864,IF(Dist="Normal",DistA+DistB*I1864,DistA+(DistB-DistA)*NORMSDIST(I1864)),"")</f>
        <v/>
      </c>
      <c r="K1864">
        <f>IF(B1864,INDEX(MineScale,C1864),"")</f>
        <v/>
      </c>
      <c r="L1864">
        <f>IF(B1864,INDEX(Dow,1,WEEKDAY(E1864,2)),"")</f>
        <v/>
      </c>
      <c r="M1864">
        <f>IF(B1864,(1+Trend)^D1864,"")</f>
        <v/>
      </c>
      <c r="N1864">
        <f>IF(B1864,EXP(SUMPRODUCT(LN(1+(EvEff-1)*INDEX(Affected,0,C1864)*EXP(-((E1864-EvCenter)^2)/(2*EvSigma^2))))),"")</f>
        <v/>
      </c>
      <c r="O1864">
        <f>IF(B1864,ROUND(MAX(0,J1864*K1864*L1864*M1864*N1864),2),"")</f>
        <v/>
      </c>
    </row>
    <row r="1865">
      <c r="A1865" t="n">
        <v>1864</v>
      </c>
      <c r="B1865">
        <f>A1865&lt;=MineCount*Days</f>
        <v/>
      </c>
      <c r="C1865">
        <f>IF(B1865,INT((A1865-1)/Days)+1,"")</f>
        <v/>
      </c>
      <c r="D1865">
        <f>IF(B1865,MOD(A1865-1,Days),"")</f>
        <v/>
      </c>
      <c r="E1865" s="16">
        <f>IF(B1865,StartDate+D1865,"")</f>
        <v/>
      </c>
      <c r="F1865">
        <f>IF(B1865,MAX(MOD(SIN(Seed*0.1373+C1865*12.9898+D1865*78.233)*43758.5453,1),1E-9),"")</f>
        <v/>
      </c>
      <c r="G1865">
        <f>IF(B1865,MOD(SIN(Seed*0.5917+C1865*39.3468+D1865*11.135)*24634.6345,1),"")</f>
        <v/>
      </c>
      <c r="H1865">
        <f>IF(B1865,SQRT(-2*LN(F1865))*COS(2*PI()*G1865),"")</f>
        <v/>
      </c>
      <c r="I1865">
        <f>IF(B1865,IF(D1865=0,H1865,Rho*I1864+SQRT(1-Rho^2)*H1865),"")</f>
        <v/>
      </c>
      <c r="J1865">
        <f>IF(B1865,IF(Dist="Normal",DistA+DistB*I1865,DistA+(DistB-DistA)*NORMSDIST(I1865)),"")</f>
        <v/>
      </c>
      <c r="K1865">
        <f>IF(B1865,INDEX(MineScale,C1865),"")</f>
        <v/>
      </c>
      <c r="L1865">
        <f>IF(B1865,INDEX(Dow,1,WEEKDAY(E1865,2)),"")</f>
        <v/>
      </c>
      <c r="M1865">
        <f>IF(B1865,(1+Trend)^D1865,"")</f>
        <v/>
      </c>
      <c r="N1865">
        <f>IF(B1865,EXP(SUMPRODUCT(LN(1+(EvEff-1)*INDEX(Affected,0,C1865)*EXP(-((E1865-EvCenter)^2)/(2*EvSigma^2))))),"")</f>
        <v/>
      </c>
      <c r="O1865">
        <f>IF(B1865,ROUND(MAX(0,J1865*K1865*L1865*M1865*N1865),2),"")</f>
        <v/>
      </c>
    </row>
    <row r="1866">
      <c r="A1866" t="n">
        <v>1865</v>
      </c>
      <c r="B1866">
        <f>A1866&lt;=MineCount*Days</f>
        <v/>
      </c>
      <c r="C1866">
        <f>IF(B1866,INT((A1866-1)/Days)+1,"")</f>
        <v/>
      </c>
      <c r="D1866">
        <f>IF(B1866,MOD(A1866-1,Days),"")</f>
        <v/>
      </c>
      <c r="E1866" s="16">
        <f>IF(B1866,StartDate+D1866,"")</f>
        <v/>
      </c>
      <c r="F1866">
        <f>IF(B1866,MAX(MOD(SIN(Seed*0.1373+C1866*12.9898+D1866*78.233)*43758.5453,1),1E-9),"")</f>
        <v/>
      </c>
      <c r="G1866">
        <f>IF(B1866,MOD(SIN(Seed*0.5917+C1866*39.3468+D1866*11.135)*24634.6345,1),"")</f>
        <v/>
      </c>
      <c r="H1866">
        <f>IF(B1866,SQRT(-2*LN(F1866))*COS(2*PI()*G1866),"")</f>
        <v/>
      </c>
      <c r="I1866">
        <f>IF(B1866,IF(D1866=0,H1866,Rho*I1865+SQRT(1-Rho^2)*H1866),"")</f>
        <v/>
      </c>
      <c r="J1866">
        <f>IF(B1866,IF(Dist="Normal",DistA+DistB*I1866,DistA+(DistB-DistA)*NORMSDIST(I1866)),"")</f>
        <v/>
      </c>
      <c r="K1866">
        <f>IF(B1866,INDEX(MineScale,C1866),"")</f>
        <v/>
      </c>
      <c r="L1866">
        <f>IF(B1866,INDEX(Dow,1,WEEKDAY(E1866,2)),"")</f>
        <v/>
      </c>
      <c r="M1866">
        <f>IF(B1866,(1+Trend)^D1866,"")</f>
        <v/>
      </c>
      <c r="N1866">
        <f>IF(B1866,EXP(SUMPRODUCT(LN(1+(EvEff-1)*INDEX(Affected,0,C1866)*EXP(-((E1866-EvCenter)^2)/(2*EvSigma^2))))),"")</f>
        <v/>
      </c>
      <c r="O1866">
        <f>IF(B1866,ROUND(MAX(0,J1866*K1866*L1866*M1866*N1866),2),"")</f>
        <v/>
      </c>
    </row>
    <row r="1867">
      <c r="A1867" t="n">
        <v>1866</v>
      </c>
      <c r="B1867">
        <f>A1867&lt;=MineCount*Days</f>
        <v/>
      </c>
      <c r="C1867">
        <f>IF(B1867,INT((A1867-1)/Days)+1,"")</f>
        <v/>
      </c>
      <c r="D1867">
        <f>IF(B1867,MOD(A1867-1,Days),"")</f>
        <v/>
      </c>
      <c r="E1867" s="16">
        <f>IF(B1867,StartDate+D1867,"")</f>
        <v/>
      </c>
      <c r="F1867">
        <f>IF(B1867,MAX(MOD(SIN(Seed*0.1373+C1867*12.9898+D1867*78.233)*43758.5453,1),1E-9),"")</f>
        <v/>
      </c>
      <c r="G1867">
        <f>IF(B1867,MOD(SIN(Seed*0.5917+C1867*39.3468+D1867*11.135)*24634.6345,1),"")</f>
        <v/>
      </c>
      <c r="H1867">
        <f>IF(B1867,SQRT(-2*LN(F1867))*COS(2*PI()*G1867),"")</f>
        <v/>
      </c>
      <c r="I1867">
        <f>IF(B1867,IF(D1867=0,H1867,Rho*I1866+SQRT(1-Rho^2)*H1867),"")</f>
        <v/>
      </c>
      <c r="J1867">
        <f>IF(B1867,IF(Dist="Normal",DistA+DistB*I1867,DistA+(DistB-DistA)*NORMSDIST(I1867)),"")</f>
        <v/>
      </c>
      <c r="K1867">
        <f>IF(B1867,INDEX(MineScale,C1867),"")</f>
        <v/>
      </c>
      <c r="L1867">
        <f>IF(B1867,INDEX(Dow,1,WEEKDAY(E1867,2)),"")</f>
        <v/>
      </c>
      <c r="M1867">
        <f>IF(B1867,(1+Trend)^D1867,"")</f>
        <v/>
      </c>
      <c r="N1867">
        <f>IF(B1867,EXP(SUMPRODUCT(LN(1+(EvEff-1)*INDEX(Affected,0,C1867)*EXP(-((E1867-EvCenter)^2)/(2*EvSigma^2))))),"")</f>
        <v/>
      </c>
      <c r="O1867">
        <f>IF(B1867,ROUND(MAX(0,J1867*K1867*L1867*M1867*N1867),2),"")</f>
        <v/>
      </c>
    </row>
    <row r="1868">
      <c r="A1868" t="n">
        <v>1867</v>
      </c>
      <c r="B1868">
        <f>A1868&lt;=MineCount*Days</f>
        <v/>
      </c>
      <c r="C1868">
        <f>IF(B1868,INT((A1868-1)/Days)+1,"")</f>
        <v/>
      </c>
      <c r="D1868">
        <f>IF(B1868,MOD(A1868-1,Days),"")</f>
        <v/>
      </c>
      <c r="E1868" s="16">
        <f>IF(B1868,StartDate+D1868,"")</f>
        <v/>
      </c>
      <c r="F1868">
        <f>IF(B1868,MAX(MOD(SIN(Seed*0.1373+C1868*12.9898+D1868*78.233)*43758.5453,1),1E-9),"")</f>
        <v/>
      </c>
      <c r="G1868">
        <f>IF(B1868,MOD(SIN(Seed*0.5917+C1868*39.3468+D1868*11.135)*24634.6345,1),"")</f>
        <v/>
      </c>
      <c r="H1868">
        <f>IF(B1868,SQRT(-2*LN(F1868))*COS(2*PI()*G1868),"")</f>
        <v/>
      </c>
      <c r="I1868">
        <f>IF(B1868,IF(D1868=0,H1868,Rho*I1867+SQRT(1-Rho^2)*H1868),"")</f>
        <v/>
      </c>
      <c r="J1868">
        <f>IF(B1868,IF(Dist="Normal",DistA+DistB*I1868,DistA+(DistB-DistA)*NORMSDIST(I1868)),"")</f>
        <v/>
      </c>
      <c r="K1868">
        <f>IF(B1868,INDEX(MineScale,C1868),"")</f>
        <v/>
      </c>
      <c r="L1868">
        <f>IF(B1868,INDEX(Dow,1,WEEKDAY(E1868,2)),"")</f>
        <v/>
      </c>
      <c r="M1868">
        <f>IF(B1868,(1+Trend)^D1868,"")</f>
        <v/>
      </c>
      <c r="N1868">
        <f>IF(B1868,EXP(SUMPRODUCT(LN(1+(EvEff-1)*INDEX(Affected,0,C1868)*EXP(-((E1868-EvCenter)^2)/(2*EvSigma^2))))),"")</f>
        <v/>
      </c>
      <c r="O1868">
        <f>IF(B1868,ROUND(MAX(0,J1868*K1868*L1868*M1868*N1868),2),"")</f>
        <v/>
      </c>
    </row>
    <row r="1869">
      <c r="A1869" t="n">
        <v>1868</v>
      </c>
      <c r="B1869">
        <f>A1869&lt;=MineCount*Days</f>
        <v/>
      </c>
      <c r="C1869">
        <f>IF(B1869,INT((A1869-1)/Days)+1,"")</f>
        <v/>
      </c>
      <c r="D1869">
        <f>IF(B1869,MOD(A1869-1,Days),"")</f>
        <v/>
      </c>
      <c r="E1869" s="16">
        <f>IF(B1869,StartDate+D1869,"")</f>
        <v/>
      </c>
      <c r="F1869">
        <f>IF(B1869,MAX(MOD(SIN(Seed*0.1373+C1869*12.9898+D1869*78.233)*43758.5453,1),1E-9),"")</f>
        <v/>
      </c>
      <c r="G1869">
        <f>IF(B1869,MOD(SIN(Seed*0.5917+C1869*39.3468+D1869*11.135)*24634.6345,1),"")</f>
        <v/>
      </c>
      <c r="H1869">
        <f>IF(B1869,SQRT(-2*LN(F1869))*COS(2*PI()*G1869),"")</f>
        <v/>
      </c>
      <c r="I1869">
        <f>IF(B1869,IF(D1869=0,H1869,Rho*I1868+SQRT(1-Rho^2)*H1869),"")</f>
        <v/>
      </c>
      <c r="J1869">
        <f>IF(B1869,IF(Dist="Normal",DistA+DistB*I1869,DistA+(DistB-DistA)*NORMSDIST(I1869)),"")</f>
        <v/>
      </c>
      <c r="K1869">
        <f>IF(B1869,INDEX(MineScale,C1869),"")</f>
        <v/>
      </c>
      <c r="L1869">
        <f>IF(B1869,INDEX(Dow,1,WEEKDAY(E1869,2)),"")</f>
        <v/>
      </c>
      <c r="M1869">
        <f>IF(B1869,(1+Trend)^D1869,"")</f>
        <v/>
      </c>
      <c r="N1869">
        <f>IF(B1869,EXP(SUMPRODUCT(LN(1+(EvEff-1)*INDEX(Affected,0,C1869)*EXP(-((E1869-EvCenter)^2)/(2*EvSigma^2))))),"")</f>
        <v/>
      </c>
      <c r="O1869">
        <f>IF(B1869,ROUND(MAX(0,J1869*K1869*L1869*M1869*N1869),2),"")</f>
        <v/>
      </c>
    </row>
    <row r="1870">
      <c r="A1870" t="n">
        <v>1869</v>
      </c>
      <c r="B1870">
        <f>A1870&lt;=MineCount*Days</f>
        <v/>
      </c>
      <c r="C1870">
        <f>IF(B1870,INT((A1870-1)/Days)+1,"")</f>
        <v/>
      </c>
      <c r="D1870">
        <f>IF(B1870,MOD(A1870-1,Days),"")</f>
        <v/>
      </c>
      <c r="E1870" s="16">
        <f>IF(B1870,StartDate+D1870,"")</f>
        <v/>
      </c>
      <c r="F1870">
        <f>IF(B1870,MAX(MOD(SIN(Seed*0.1373+C1870*12.9898+D1870*78.233)*43758.5453,1),1E-9),"")</f>
        <v/>
      </c>
      <c r="G1870">
        <f>IF(B1870,MOD(SIN(Seed*0.5917+C1870*39.3468+D1870*11.135)*24634.6345,1),"")</f>
        <v/>
      </c>
      <c r="H1870">
        <f>IF(B1870,SQRT(-2*LN(F1870))*COS(2*PI()*G1870),"")</f>
        <v/>
      </c>
      <c r="I1870">
        <f>IF(B1870,IF(D1870=0,H1870,Rho*I1869+SQRT(1-Rho^2)*H1870),"")</f>
        <v/>
      </c>
      <c r="J1870">
        <f>IF(B1870,IF(Dist="Normal",DistA+DistB*I1870,DistA+(DistB-DistA)*NORMSDIST(I1870)),"")</f>
        <v/>
      </c>
      <c r="K1870">
        <f>IF(B1870,INDEX(MineScale,C1870),"")</f>
        <v/>
      </c>
      <c r="L1870">
        <f>IF(B1870,INDEX(Dow,1,WEEKDAY(E1870,2)),"")</f>
        <v/>
      </c>
      <c r="M1870">
        <f>IF(B1870,(1+Trend)^D1870,"")</f>
        <v/>
      </c>
      <c r="N1870">
        <f>IF(B1870,EXP(SUMPRODUCT(LN(1+(EvEff-1)*INDEX(Affected,0,C1870)*EXP(-((E1870-EvCenter)^2)/(2*EvSigma^2))))),"")</f>
        <v/>
      </c>
      <c r="O1870">
        <f>IF(B1870,ROUND(MAX(0,J1870*K1870*L1870*M1870*N1870),2),"")</f>
        <v/>
      </c>
    </row>
    <row r="1871">
      <c r="A1871" t="n">
        <v>1870</v>
      </c>
      <c r="B1871">
        <f>A1871&lt;=MineCount*Days</f>
        <v/>
      </c>
      <c r="C1871">
        <f>IF(B1871,INT((A1871-1)/Days)+1,"")</f>
        <v/>
      </c>
      <c r="D1871">
        <f>IF(B1871,MOD(A1871-1,Days),"")</f>
        <v/>
      </c>
      <c r="E1871" s="16">
        <f>IF(B1871,StartDate+D1871,"")</f>
        <v/>
      </c>
      <c r="F1871">
        <f>IF(B1871,MAX(MOD(SIN(Seed*0.1373+C1871*12.9898+D1871*78.233)*43758.5453,1),1E-9),"")</f>
        <v/>
      </c>
      <c r="G1871">
        <f>IF(B1871,MOD(SIN(Seed*0.5917+C1871*39.3468+D1871*11.135)*24634.6345,1),"")</f>
        <v/>
      </c>
      <c r="H1871">
        <f>IF(B1871,SQRT(-2*LN(F1871))*COS(2*PI()*G1871),"")</f>
        <v/>
      </c>
      <c r="I1871">
        <f>IF(B1871,IF(D1871=0,H1871,Rho*I1870+SQRT(1-Rho^2)*H1871),"")</f>
        <v/>
      </c>
      <c r="J1871">
        <f>IF(B1871,IF(Dist="Normal",DistA+DistB*I1871,DistA+(DistB-DistA)*NORMSDIST(I1871)),"")</f>
        <v/>
      </c>
      <c r="K1871">
        <f>IF(B1871,INDEX(MineScale,C1871),"")</f>
        <v/>
      </c>
      <c r="L1871">
        <f>IF(B1871,INDEX(Dow,1,WEEKDAY(E1871,2)),"")</f>
        <v/>
      </c>
      <c r="M1871">
        <f>IF(B1871,(1+Trend)^D1871,"")</f>
        <v/>
      </c>
      <c r="N1871">
        <f>IF(B1871,EXP(SUMPRODUCT(LN(1+(EvEff-1)*INDEX(Affected,0,C1871)*EXP(-((E1871-EvCenter)^2)/(2*EvSigma^2))))),"")</f>
        <v/>
      </c>
      <c r="O1871">
        <f>IF(B1871,ROUND(MAX(0,J1871*K1871*L1871*M1871*N1871),2),"")</f>
        <v/>
      </c>
    </row>
    <row r="1872">
      <c r="A1872" t="n">
        <v>1871</v>
      </c>
      <c r="B1872">
        <f>A1872&lt;=MineCount*Days</f>
        <v/>
      </c>
      <c r="C1872">
        <f>IF(B1872,INT((A1872-1)/Days)+1,"")</f>
        <v/>
      </c>
      <c r="D1872">
        <f>IF(B1872,MOD(A1872-1,Days),"")</f>
        <v/>
      </c>
      <c r="E1872" s="16">
        <f>IF(B1872,StartDate+D1872,"")</f>
        <v/>
      </c>
      <c r="F1872">
        <f>IF(B1872,MAX(MOD(SIN(Seed*0.1373+C1872*12.9898+D1872*78.233)*43758.5453,1),1E-9),"")</f>
        <v/>
      </c>
      <c r="G1872">
        <f>IF(B1872,MOD(SIN(Seed*0.5917+C1872*39.3468+D1872*11.135)*24634.6345,1),"")</f>
        <v/>
      </c>
      <c r="H1872">
        <f>IF(B1872,SQRT(-2*LN(F1872))*COS(2*PI()*G1872),"")</f>
        <v/>
      </c>
      <c r="I1872">
        <f>IF(B1872,IF(D1872=0,H1872,Rho*I1871+SQRT(1-Rho^2)*H1872),"")</f>
        <v/>
      </c>
      <c r="J1872">
        <f>IF(B1872,IF(Dist="Normal",DistA+DistB*I1872,DistA+(DistB-DistA)*NORMSDIST(I1872)),"")</f>
        <v/>
      </c>
      <c r="K1872">
        <f>IF(B1872,INDEX(MineScale,C1872),"")</f>
        <v/>
      </c>
      <c r="L1872">
        <f>IF(B1872,INDEX(Dow,1,WEEKDAY(E1872,2)),"")</f>
        <v/>
      </c>
      <c r="M1872">
        <f>IF(B1872,(1+Trend)^D1872,"")</f>
        <v/>
      </c>
      <c r="N1872">
        <f>IF(B1872,EXP(SUMPRODUCT(LN(1+(EvEff-1)*INDEX(Affected,0,C1872)*EXP(-((E1872-EvCenter)^2)/(2*EvSigma^2))))),"")</f>
        <v/>
      </c>
      <c r="O1872">
        <f>IF(B1872,ROUND(MAX(0,J1872*K1872*L1872*M1872*N1872),2),"")</f>
        <v/>
      </c>
    </row>
    <row r="1873">
      <c r="A1873" t="n">
        <v>1872</v>
      </c>
      <c r="B1873">
        <f>A1873&lt;=MineCount*Days</f>
        <v/>
      </c>
      <c r="C1873">
        <f>IF(B1873,INT((A1873-1)/Days)+1,"")</f>
        <v/>
      </c>
      <c r="D1873">
        <f>IF(B1873,MOD(A1873-1,Days),"")</f>
        <v/>
      </c>
      <c r="E1873" s="16">
        <f>IF(B1873,StartDate+D1873,"")</f>
        <v/>
      </c>
      <c r="F1873">
        <f>IF(B1873,MAX(MOD(SIN(Seed*0.1373+C1873*12.9898+D1873*78.233)*43758.5453,1),1E-9),"")</f>
        <v/>
      </c>
      <c r="G1873">
        <f>IF(B1873,MOD(SIN(Seed*0.5917+C1873*39.3468+D1873*11.135)*24634.6345,1),"")</f>
        <v/>
      </c>
      <c r="H1873">
        <f>IF(B1873,SQRT(-2*LN(F1873))*COS(2*PI()*G1873),"")</f>
        <v/>
      </c>
      <c r="I1873">
        <f>IF(B1873,IF(D1873=0,H1873,Rho*I1872+SQRT(1-Rho^2)*H1873),"")</f>
        <v/>
      </c>
      <c r="J1873">
        <f>IF(B1873,IF(Dist="Normal",DistA+DistB*I1873,DistA+(DistB-DistA)*NORMSDIST(I1873)),"")</f>
        <v/>
      </c>
      <c r="K1873">
        <f>IF(B1873,INDEX(MineScale,C1873),"")</f>
        <v/>
      </c>
      <c r="L1873">
        <f>IF(B1873,INDEX(Dow,1,WEEKDAY(E1873,2)),"")</f>
        <v/>
      </c>
      <c r="M1873">
        <f>IF(B1873,(1+Trend)^D1873,"")</f>
        <v/>
      </c>
      <c r="N1873">
        <f>IF(B1873,EXP(SUMPRODUCT(LN(1+(EvEff-1)*INDEX(Affected,0,C1873)*EXP(-((E1873-EvCenter)^2)/(2*EvSigma^2))))),"")</f>
        <v/>
      </c>
      <c r="O1873">
        <f>IF(B1873,ROUND(MAX(0,J1873*K1873*L1873*M1873*N1873),2),"")</f>
        <v/>
      </c>
    </row>
    <row r="1874">
      <c r="A1874" t="n">
        <v>1873</v>
      </c>
      <c r="B1874">
        <f>A1874&lt;=MineCount*Days</f>
        <v/>
      </c>
      <c r="C1874">
        <f>IF(B1874,INT((A1874-1)/Days)+1,"")</f>
        <v/>
      </c>
      <c r="D1874">
        <f>IF(B1874,MOD(A1874-1,Days),"")</f>
        <v/>
      </c>
      <c r="E1874" s="16">
        <f>IF(B1874,StartDate+D1874,"")</f>
        <v/>
      </c>
      <c r="F1874">
        <f>IF(B1874,MAX(MOD(SIN(Seed*0.1373+C1874*12.9898+D1874*78.233)*43758.5453,1),1E-9),"")</f>
        <v/>
      </c>
      <c r="G1874">
        <f>IF(B1874,MOD(SIN(Seed*0.5917+C1874*39.3468+D1874*11.135)*24634.6345,1),"")</f>
        <v/>
      </c>
      <c r="H1874">
        <f>IF(B1874,SQRT(-2*LN(F1874))*COS(2*PI()*G1874),"")</f>
        <v/>
      </c>
      <c r="I1874">
        <f>IF(B1874,IF(D1874=0,H1874,Rho*I1873+SQRT(1-Rho^2)*H1874),"")</f>
        <v/>
      </c>
      <c r="J1874">
        <f>IF(B1874,IF(Dist="Normal",DistA+DistB*I1874,DistA+(DistB-DistA)*NORMSDIST(I1874)),"")</f>
        <v/>
      </c>
      <c r="K1874">
        <f>IF(B1874,INDEX(MineScale,C1874),"")</f>
        <v/>
      </c>
      <c r="L1874">
        <f>IF(B1874,INDEX(Dow,1,WEEKDAY(E1874,2)),"")</f>
        <v/>
      </c>
      <c r="M1874">
        <f>IF(B1874,(1+Trend)^D1874,"")</f>
        <v/>
      </c>
      <c r="N1874">
        <f>IF(B1874,EXP(SUMPRODUCT(LN(1+(EvEff-1)*INDEX(Affected,0,C1874)*EXP(-((E1874-EvCenter)^2)/(2*EvSigma^2))))),"")</f>
        <v/>
      </c>
      <c r="O1874">
        <f>IF(B1874,ROUND(MAX(0,J1874*K1874*L1874*M1874*N1874),2),"")</f>
        <v/>
      </c>
    </row>
    <row r="1875">
      <c r="A1875" t="n">
        <v>1874</v>
      </c>
      <c r="B1875">
        <f>A1875&lt;=MineCount*Days</f>
        <v/>
      </c>
      <c r="C1875">
        <f>IF(B1875,INT((A1875-1)/Days)+1,"")</f>
        <v/>
      </c>
      <c r="D1875">
        <f>IF(B1875,MOD(A1875-1,Days),"")</f>
        <v/>
      </c>
      <c r="E1875" s="16">
        <f>IF(B1875,StartDate+D1875,"")</f>
        <v/>
      </c>
      <c r="F1875">
        <f>IF(B1875,MAX(MOD(SIN(Seed*0.1373+C1875*12.9898+D1875*78.233)*43758.5453,1),1E-9),"")</f>
        <v/>
      </c>
      <c r="G1875">
        <f>IF(B1875,MOD(SIN(Seed*0.5917+C1875*39.3468+D1875*11.135)*24634.6345,1),"")</f>
        <v/>
      </c>
      <c r="H1875">
        <f>IF(B1875,SQRT(-2*LN(F1875))*COS(2*PI()*G1875),"")</f>
        <v/>
      </c>
      <c r="I1875">
        <f>IF(B1875,IF(D1875=0,H1875,Rho*I1874+SQRT(1-Rho^2)*H1875),"")</f>
        <v/>
      </c>
      <c r="J1875">
        <f>IF(B1875,IF(Dist="Normal",DistA+DistB*I1875,DistA+(DistB-DistA)*NORMSDIST(I1875)),"")</f>
        <v/>
      </c>
      <c r="K1875">
        <f>IF(B1875,INDEX(MineScale,C1875),"")</f>
        <v/>
      </c>
      <c r="L1875">
        <f>IF(B1875,INDEX(Dow,1,WEEKDAY(E1875,2)),"")</f>
        <v/>
      </c>
      <c r="M1875">
        <f>IF(B1875,(1+Trend)^D1875,"")</f>
        <v/>
      </c>
      <c r="N1875">
        <f>IF(B1875,EXP(SUMPRODUCT(LN(1+(EvEff-1)*INDEX(Affected,0,C1875)*EXP(-((E1875-EvCenter)^2)/(2*EvSigma^2))))),"")</f>
        <v/>
      </c>
      <c r="O1875">
        <f>IF(B1875,ROUND(MAX(0,J1875*K1875*L1875*M1875*N1875),2),"")</f>
        <v/>
      </c>
    </row>
    <row r="1876">
      <c r="A1876" t="n">
        <v>1875</v>
      </c>
      <c r="B1876">
        <f>A1876&lt;=MineCount*Days</f>
        <v/>
      </c>
      <c r="C1876">
        <f>IF(B1876,INT((A1876-1)/Days)+1,"")</f>
        <v/>
      </c>
      <c r="D1876">
        <f>IF(B1876,MOD(A1876-1,Days),"")</f>
        <v/>
      </c>
      <c r="E1876" s="16">
        <f>IF(B1876,StartDate+D1876,"")</f>
        <v/>
      </c>
      <c r="F1876">
        <f>IF(B1876,MAX(MOD(SIN(Seed*0.1373+C1876*12.9898+D1876*78.233)*43758.5453,1),1E-9),"")</f>
        <v/>
      </c>
      <c r="G1876">
        <f>IF(B1876,MOD(SIN(Seed*0.5917+C1876*39.3468+D1876*11.135)*24634.6345,1),"")</f>
        <v/>
      </c>
      <c r="H1876">
        <f>IF(B1876,SQRT(-2*LN(F1876))*COS(2*PI()*G1876),"")</f>
        <v/>
      </c>
      <c r="I1876">
        <f>IF(B1876,IF(D1876=0,H1876,Rho*I1875+SQRT(1-Rho^2)*H1876),"")</f>
        <v/>
      </c>
      <c r="J1876">
        <f>IF(B1876,IF(Dist="Normal",DistA+DistB*I1876,DistA+(DistB-DistA)*NORMSDIST(I1876)),"")</f>
        <v/>
      </c>
      <c r="K1876">
        <f>IF(B1876,INDEX(MineScale,C1876),"")</f>
        <v/>
      </c>
      <c r="L1876">
        <f>IF(B1876,INDEX(Dow,1,WEEKDAY(E1876,2)),"")</f>
        <v/>
      </c>
      <c r="M1876">
        <f>IF(B1876,(1+Trend)^D1876,"")</f>
        <v/>
      </c>
      <c r="N1876">
        <f>IF(B1876,EXP(SUMPRODUCT(LN(1+(EvEff-1)*INDEX(Affected,0,C1876)*EXP(-((E1876-EvCenter)^2)/(2*EvSigma^2))))),"")</f>
        <v/>
      </c>
      <c r="O1876">
        <f>IF(B1876,ROUND(MAX(0,J1876*K1876*L1876*M1876*N1876),2),"")</f>
        <v/>
      </c>
    </row>
    <row r="1877">
      <c r="A1877" t="n">
        <v>1876</v>
      </c>
      <c r="B1877">
        <f>A1877&lt;=MineCount*Days</f>
        <v/>
      </c>
      <c r="C1877">
        <f>IF(B1877,INT((A1877-1)/Days)+1,"")</f>
        <v/>
      </c>
      <c r="D1877">
        <f>IF(B1877,MOD(A1877-1,Days),"")</f>
        <v/>
      </c>
      <c r="E1877" s="16">
        <f>IF(B1877,StartDate+D1877,"")</f>
        <v/>
      </c>
      <c r="F1877">
        <f>IF(B1877,MAX(MOD(SIN(Seed*0.1373+C1877*12.9898+D1877*78.233)*43758.5453,1),1E-9),"")</f>
        <v/>
      </c>
      <c r="G1877">
        <f>IF(B1877,MOD(SIN(Seed*0.5917+C1877*39.3468+D1877*11.135)*24634.6345,1),"")</f>
        <v/>
      </c>
      <c r="H1877">
        <f>IF(B1877,SQRT(-2*LN(F1877))*COS(2*PI()*G1877),"")</f>
        <v/>
      </c>
      <c r="I1877">
        <f>IF(B1877,IF(D1877=0,H1877,Rho*I1876+SQRT(1-Rho^2)*H1877),"")</f>
        <v/>
      </c>
      <c r="J1877">
        <f>IF(B1877,IF(Dist="Normal",DistA+DistB*I1877,DistA+(DistB-DistA)*NORMSDIST(I1877)),"")</f>
        <v/>
      </c>
      <c r="K1877">
        <f>IF(B1877,INDEX(MineScale,C1877),"")</f>
        <v/>
      </c>
      <c r="L1877">
        <f>IF(B1877,INDEX(Dow,1,WEEKDAY(E1877,2)),"")</f>
        <v/>
      </c>
      <c r="M1877">
        <f>IF(B1877,(1+Trend)^D1877,"")</f>
        <v/>
      </c>
      <c r="N1877">
        <f>IF(B1877,EXP(SUMPRODUCT(LN(1+(EvEff-1)*INDEX(Affected,0,C1877)*EXP(-((E1877-EvCenter)^2)/(2*EvSigma^2))))),"")</f>
        <v/>
      </c>
      <c r="O1877">
        <f>IF(B1877,ROUND(MAX(0,J1877*K1877*L1877*M1877*N1877),2),"")</f>
        <v/>
      </c>
    </row>
    <row r="1878">
      <c r="A1878" t="n">
        <v>1877</v>
      </c>
      <c r="B1878">
        <f>A1878&lt;=MineCount*Days</f>
        <v/>
      </c>
      <c r="C1878">
        <f>IF(B1878,INT((A1878-1)/Days)+1,"")</f>
        <v/>
      </c>
      <c r="D1878">
        <f>IF(B1878,MOD(A1878-1,Days),"")</f>
        <v/>
      </c>
      <c r="E1878" s="16">
        <f>IF(B1878,StartDate+D1878,"")</f>
        <v/>
      </c>
      <c r="F1878">
        <f>IF(B1878,MAX(MOD(SIN(Seed*0.1373+C1878*12.9898+D1878*78.233)*43758.5453,1),1E-9),"")</f>
        <v/>
      </c>
      <c r="G1878">
        <f>IF(B1878,MOD(SIN(Seed*0.5917+C1878*39.3468+D1878*11.135)*24634.6345,1),"")</f>
        <v/>
      </c>
      <c r="H1878">
        <f>IF(B1878,SQRT(-2*LN(F1878))*COS(2*PI()*G1878),"")</f>
        <v/>
      </c>
      <c r="I1878">
        <f>IF(B1878,IF(D1878=0,H1878,Rho*I1877+SQRT(1-Rho^2)*H1878),"")</f>
        <v/>
      </c>
      <c r="J1878">
        <f>IF(B1878,IF(Dist="Normal",DistA+DistB*I1878,DistA+(DistB-DistA)*NORMSDIST(I1878)),"")</f>
        <v/>
      </c>
      <c r="K1878">
        <f>IF(B1878,INDEX(MineScale,C1878),"")</f>
        <v/>
      </c>
      <c r="L1878">
        <f>IF(B1878,INDEX(Dow,1,WEEKDAY(E1878,2)),"")</f>
        <v/>
      </c>
      <c r="M1878">
        <f>IF(B1878,(1+Trend)^D1878,"")</f>
        <v/>
      </c>
      <c r="N1878">
        <f>IF(B1878,EXP(SUMPRODUCT(LN(1+(EvEff-1)*INDEX(Affected,0,C1878)*EXP(-((E1878-EvCenter)^2)/(2*EvSigma^2))))),"")</f>
        <v/>
      </c>
      <c r="O1878">
        <f>IF(B1878,ROUND(MAX(0,J1878*K1878*L1878*M1878*N1878),2),"")</f>
        <v/>
      </c>
    </row>
    <row r="1879">
      <c r="A1879" t="n">
        <v>1878</v>
      </c>
      <c r="B1879">
        <f>A1879&lt;=MineCount*Days</f>
        <v/>
      </c>
      <c r="C1879">
        <f>IF(B1879,INT((A1879-1)/Days)+1,"")</f>
        <v/>
      </c>
      <c r="D1879">
        <f>IF(B1879,MOD(A1879-1,Days),"")</f>
        <v/>
      </c>
      <c r="E1879" s="16">
        <f>IF(B1879,StartDate+D1879,"")</f>
        <v/>
      </c>
      <c r="F1879">
        <f>IF(B1879,MAX(MOD(SIN(Seed*0.1373+C1879*12.9898+D1879*78.233)*43758.5453,1),1E-9),"")</f>
        <v/>
      </c>
      <c r="G1879">
        <f>IF(B1879,MOD(SIN(Seed*0.5917+C1879*39.3468+D1879*11.135)*24634.6345,1),"")</f>
        <v/>
      </c>
      <c r="H1879">
        <f>IF(B1879,SQRT(-2*LN(F1879))*COS(2*PI()*G1879),"")</f>
        <v/>
      </c>
      <c r="I1879">
        <f>IF(B1879,IF(D1879=0,H1879,Rho*I1878+SQRT(1-Rho^2)*H1879),"")</f>
        <v/>
      </c>
      <c r="J1879">
        <f>IF(B1879,IF(Dist="Normal",DistA+DistB*I1879,DistA+(DistB-DistA)*NORMSDIST(I1879)),"")</f>
        <v/>
      </c>
      <c r="K1879">
        <f>IF(B1879,INDEX(MineScale,C1879),"")</f>
        <v/>
      </c>
      <c r="L1879">
        <f>IF(B1879,INDEX(Dow,1,WEEKDAY(E1879,2)),"")</f>
        <v/>
      </c>
      <c r="M1879">
        <f>IF(B1879,(1+Trend)^D1879,"")</f>
        <v/>
      </c>
      <c r="N1879">
        <f>IF(B1879,EXP(SUMPRODUCT(LN(1+(EvEff-1)*INDEX(Affected,0,C1879)*EXP(-((E1879-EvCenter)^2)/(2*EvSigma^2))))),"")</f>
        <v/>
      </c>
      <c r="O1879">
        <f>IF(B1879,ROUND(MAX(0,J1879*K1879*L1879*M1879*N1879),2),"")</f>
        <v/>
      </c>
    </row>
    <row r="1880">
      <c r="A1880" t="n">
        <v>1879</v>
      </c>
      <c r="B1880">
        <f>A1880&lt;=MineCount*Days</f>
        <v/>
      </c>
      <c r="C1880">
        <f>IF(B1880,INT((A1880-1)/Days)+1,"")</f>
        <v/>
      </c>
      <c r="D1880">
        <f>IF(B1880,MOD(A1880-1,Days),"")</f>
        <v/>
      </c>
      <c r="E1880" s="16">
        <f>IF(B1880,StartDate+D1880,"")</f>
        <v/>
      </c>
      <c r="F1880">
        <f>IF(B1880,MAX(MOD(SIN(Seed*0.1373+C1880*12.9898+D1880*78.233)*43758.5453,1),1E-9),"")</f>
        <v/>
      </c>
      <c r="G1880">
        <f>IF(B1880,MOD(SIN(Seed*0.5917+C1880*39.3468+D1880*11.135)*24634.6345,1),"")</f>
        <v/>
      </c>
      <c r="H1880">
        <f>IF(B1880,SQRT(-2*LN(F1880))*COS(2*PI()*G1880),"")</f>
        <v/>
      </c>
      <c r="I1880">
        <f>IF(B1880,IF(D1880=0,H1880,Rho*I1879+SQRT(1-Rho^2)*H1880),"")</f>
        <v/>
      </c>
      <c r="J1880">
        <f>IF(B1880,IF(Dist="Normal",DistA+DistB*I1880,DistA+(DistB-DistA)*NORMSDIST(I1880)),"")</f>
        <v/>
      </c>
      <c r="K1880">
        <f>IF(B1880,INDEX(MineScale,C1880),"")</f>
        <v/>
      </c>
      <c r="L1880">
        <f>IF(B1880,INDEX(Dow,1,WEEKDAY(E1880,2)),"")</f>
        <v/>
      </c>
      <c r="M1880">
        <f>IF(B1880,(1+Trend)^D1880,"")</f>
        <v/>
      </c>
      <c r="N1880">
        <f>IF(B1880,EXP(SUMPRODUCT(LN(1+(EvEff-1)*INDEX(Affected,0,C1880)*EXP(-((E1880-EvCenter)^2)/(2*EvSigma^2))))),"")</f>
        <v/>
      </c>
      <c r="O1880">
        <f>IF(B1880,ROUND(MAX(0,J1880*K1880*L1880*M1880*N1880),2),"")</f>
        <v/>
      </c>
    </row>
    <row r="1881">
      <c r="A1881" t="n">
        <v>1880</v>
      </c>
      <c r="B1881">
        <f>A1881&lt;=MineCount*Days</f>
        <v/>
      </c>
      <c r="C1881">
        <f>IF(B1881,INT((A1881-1)/Days)+1,"")</f>
        <v/>
      </c>
      <c r="D1881">
        <f>IF(B1881,MOD(A1881-1,Days),"")</f>
        <v/>
      </c>
      <c r="E1881" s="16">
        <f>IF(B1881,StartDate+D1881,"")</f>
        <v/>
      </c>
      <c r="F1881">
        <f>IF(B1881,MAX(MOD(SIN(Seed*0.1373+C1881*12.9898+D1881*78.233)*43758.5453,1),1E-9),"")</f>
        <v/>
      </c>
      <c r="G1881">
        <f>IF(B1881,MOD(SIN(Seed*0.5917+C1881*39.3468+D1881*11.135)*24634.6345,1),"")</f>
        <v/>
      </c>
      <c r="H1881">
        <f>IF(B1881,SQRT(-2*LN(F1881))*COS(2*PI()*G1881),"")</f>
        <v/>
      </c>
      <c r="I1881">
        <f>IF(B1881,IF(D1881=0,H1881,Rho*I1880+SQRT(1-Rho^2)*H1881),"")</f>
        <v/>
      </c>
      <c r="J1881">
        <f>IF(B1881,IF(Dist="Normal",DistA+DistB*I1881,DistA+(DistB-DistA)*NORMSDIST(I1881)),"")</f>
        <v/>
      </c>
      <c r="K1881">
        <f>IF(B1881,INDEX(MineScale,C1881),"")</f>
        <v/>
      </c>
      <c r="L1881">
        <f>IF(B1881,INDEX(Dow,1,WEEKDAY(E1881,2)),"")</f>
        <v/>
      </c>
      <c r="M1881">
        <f>IF(B1881,(1+Trend)^D1881,"")</f>
        <v/>
      </c>
      <c r="N1881">
        <f>IF(B1881,EXP(SUMPRODUCT(LN(1+(EvEff-1)*INDEX(Affected,0,C1881)*EXP(-((E1881-EvCenter)^2)/(2*EvSigma^2))))),"")</f>
        <v/>
      </c>
      <c r="O1881">
        <f>IF(B1881,ROUND(MAX(0,J1881*K1881*L1881*M1881*N1881),2),"")</f>
        <v/>
      </c>
    </row>
    <row r="1882">
      <c r="A1882" t="n">
        <v>1881</v>
      </c>
      <c r="B1882">
        <f>A1882&lt;=MineCount*Days</f>
        <v/>
      </c>
      <c r="C1882">
        <f>IF(B1882,INT((A1882-1)/Days)+1,"")</f>
        <v/>
      </c>
      <c r="D1882">
        <f>IF(B1882,MOD(A1882-1,Days),"")</f>
        <v/>
      </c>
      <c r="E1882" s="16">
        <f>IF(B1882,StartDate+D1882,"")</f>
        <v/>
      </c>
      <c r="F1882">
        <f>IF(B1882,MAX(MOD(SIN(Seed*0.1373+C1882*12.9898+D1882*78.233)*43758.5453,1),1E-9),"")</f>
        <v/>
      </c>
      <c r="G1882">
        <f>IF(B1882,MOD(SIN(Seed*0.5917+C1882*39.3468+D1882*11.135)*24634.6345,1),"")</f>
        <v/>
      </c>
      <c r="H1882">
        <f>IF(B1882,SQRT(-2*LN(F1882))*COS(2*PI()*G1882),"")</f>
        <v/>
      </c>
      <c r="I1882">
        <f>IF(B1882,IF(D1882=0,H1882,Rho*I1881+SQRT(1-Rho^2)*H1882),"")</f>
        <v/>
      </c>
      <c r="J1882">
        <f>IF(B1882,IF(Dist="Normal",DistA+DistB*I1882,DistA+(DistB-DistA)*NORMSDIST(I1882)),"")</f>
        <v/>
      </c>
      <c r="K1882">
        <f>IF(B1882,INDEX(MineScale,C1882),"")</f>
        <v/>
      </c>
      <c r="L1882">
        <f>IF(B1882,INDEX(Dow,1,WEEKDAY(E1882,2)),"")</f>
        <v/>
      </c>
      <c r="M1882">
        <f>IF(B1882,(1+Trend)^D1882,"")</f>
        <v/>
      </c>
      <c r="N1882">
        <f>IF(B1882,EXP(SUMPRODUCT(LN(1+(EvEff-1)*INDEX(Affected,0,C1882)*EXP(-((E1882-EvCenter)^2)/(2*EvSigma^2))))),"")</f>
        <v/>
      </c>
      <c r="O1882">
        <f>IF(B1882,ROUND(MAX(0,J1882*K1882*L1882*M1882*N1882),2),"")</f>
        <v/>
      </c>
    </row>
    <row r="1883">
      <c r="A1883" t="n">
        <v>1882</v>
      </c>
      <c r="B1883">
        <f>A1883&lt;=MineCount*Days</f>
        <v/>
      </c>
      <c r="C1883">
        <f>IF(B1883,INT((A1883-1)/Days)+1,"")</f>
        <v/>
      </c>
      <c r="D1883">
        <f>IF(B1883,MOD(A1883-1,Days),"")</f>
        <v/>
      </c>
      <c r="E1883" s="16">
        <f>IF(B1883,StartDate+D1883,"")</f>
        <v/>
      </c>
      <c r="F1883">
        <f>IF(B1883,MAX(MOD(SIN(Seed*0.1373+C1883*12.9898+D1883*78.233)*43758.5453,1),1E-9),"")</f>
        <v/>
      </c>
      <c r="G1883">
        <f>IF(B1883,MOD(SIN(Seed*0.5917+C1883*39.3468+D1883*11.135)*24634.6345,1),"")</f>
        <v/>
      </c>
      <c r="H1883">
        <f>IF(B1883,SQRT(-2*LN(F1883))*COS(2*PI()*G1883),"")</f>
        <v/>
      </c>
      <c r="I1883">
        <f>IF(B1883,IF(D1883=0,H1883,Rho*I1882+SQRT(1-Rho^2)*H1883),"")</f>
        <v/>
      </c>
      <c r="J1883">
        <f>IF(B1883,IF(Dist="Normal",DistA+DistB*I1883,DistA+(DistB-DistA)*NORMSDIST(I1883)),"")</f>
        <v/>
      </c>
      <c r="K1883">
        <f>IF(B1883,INDEX(MineScale,C1883),"")</f>
        <v/>
      </c>
      <c r="L1883">
        <f>IF(B1883,INDEX(Dow,1,WEEKDAY(E1883,2)),"")</f>
        <v/>
      </c>
      <c r="M1883">
        <f>IF(B1883,(1+Trend)^D1883,"")</f>
        <v/>
      </c>
      <c r="N1883">
        <f>IF(B1883,EXP(SUMPRODUCT(LN(1+(EvEff-1)*INDEX(Affected,0,C1883)*EXP(-((E1883-EvCenter)^2)/(2*EvSigma^2))))),"")</f>
        <v/>
      </c>
      <c r="O1883">
        <f>IF(B1883,ROUND(MAX(0,J1883*K1883*L1883*M1883*N1883),2),"")</f>
        <v/>
      </c>
    </row>
    <row r="1884">
      <c r="A1884" t="n">
        <v>1883</v>
      </c>
      <c r="B1884">
        <f>A1884&lt;=MineCount*Days</f>
        <v/>
      </c>
      <c r="C1884">
        <f>IF(B1884,INT((A1884-1)/Days)+1,"")</f>
        <v/>
      </c>
      <c r="D1884">
        <f>IF(B1884,MOD(A1884-1,Days),"")</f>
        <v/>
      </c>
      <c r="E1884" s="16">
        <f>IF(B1884,StartDate+D1884,"")</f>
        <v/>
      </c>
      <c r="F1884">
        <f>IF(B1884,MAX(MOD(SIN(Seed*0.1373+C1884*12.9898+D1884*78.233)*43758.5453,1),1E-9),"")</f>
        <v/>
      </c>
      <c r="G1884">
        <f>IF(B1884,MOD(SIN(Seed*0.5917+C1884*39.3468+D1884*11.135)*24634.6345,1),"")</f>
        <v/>
      </c>
      <c r="H1884">
        <f>IF(B1884,SQRT(-2*LN(F1884))*COS(2*PI()*G1884),"")</f>
        <v/>
      </c>
      <c r="I1884">
        <f>IF(B1884,IF(D1884=0,H1884,Rho*I1883+SQRT(1-Rho^2)*H1884),"")</f>
        <v/>
      </c>
      <c r="J1884">
        <f>IF(B1884,IF(Dist="Normal",DistA+DistB*I1884,DistA+(DistB-DistA)*NORMSDIST(I1884)),"")</f>
        <v/>
      </c>
      <c r="K1884">
        <f>IF(B1884,INDEX(MineScale,C1884),"")</f>
        <v/>
      </c>
      <c r="L1884">
        <f>IF(B1884,INDEX(Dow,1,WEEKDAY(E1884,2)),"")</f>
        <v/>
      </c>
      <c r="M1884">
        <f>IF(B1884,(1+Trend)^D1884,"")</f>
        <v/>
      </c>
      <c r="N1884">
        <f>IF(B1884,EXP(SUMPRODUCT(LN(1+(EvEff-1)*INDEX(Affected,0,C1884)*EXP(-((E1884-EvCenter)^2)/(2*EvSigma^2))))),"")</f>
        <v/>
      </c>
      <c r="O1884">
        <f>IF(B1884,ROUND(MAX(0,J1884*K1884*L1884*M1884*N1884),2),"")</f>
        <v/>
      </c>
    </row>
    <row r="1885">
      <c r="A1885" t="n">
        <v>1884</v>
      </c>
      <c r="B1885">
        <f>A1885&lt;=MineCount*Days</f>
        <v/>
      </c>
      <c r="C1885">
        <f>IF(B1885,INT((A1885-1)/Days)+1,"")</f>
        <v/>
      </c>
      <c r="D1885">
        <f>IF(B1885,MOD(A1885-1,Days),"")</f>
        <v/>
      </c>
      <c r="E1885" s="16">
        <f>IF(B1885,StartDate+D1885,"")</f>
        <v/>
      </c>
      <c r="F1885">
        <f>IF(B1885,MAX(MOD(SIN(Seed*0.1373+C1885*12.9898+D1885*78.233)*43758.5453,1),1E-9),"")</f>
        <v/>
      </c>
      <c r="G1885">
        <f>IF(B1885,MOD(SIN(Seed*0.5917+C1885*39.3468+D1885*11.135)*24634.6345,1),"")</f>
        <v/>
      </c>
      <c r="H1885">
        <f>IF(B1885,SQRT(-2*LN(F1885))*COS(2*PI()*G1885),"")</f>
        <v/>
      </c>
      <c r="I1885">
        <f>IF(B1885,IF(D1885=0,H1885,Rho*I1884+SQRT(1-Rho^2)*H1885),"")</f>
        <v/>
      </c>
      <c r="J1885">
        <f>IF(B1885,IF(Dist="Normal",DistA+DistB*I1885,DistA+(DistB-DistA)*NORMSDIST(I1885)),"")</f>
        <v/>
      </c>
      <c r="K1885">
        <f>IF(B1885,INDEX(MineScale,C1885),"")</f>
        <v/>
      </c>
      <c r="L1885">
        <f>IF(B1885,INDEX(Dow,1,WEEKDAY(E1885,2)),"")</f>
        <v/>
      </c>
      <c r="M1885">
        <f>IF(B1885,(1+Trend)^D1885,"")</f>
        <v/>
      </c>
      <c r="N1885">
        <f>IF(B1885,EXP(SUMPRODUCT(LN(1+(EvEff-1)*INDEX(Affected,0,C1885)*EXP(-((E1885-EvCenter)^2)/(2*EvSigma^2))))),"")</f>
        <v/>
      </c>
      <c r="O1885">
        <f>IF(B1885,ROUND(MAX(0,J1885*K1885*L1885*M1885*N1885),2),"")</f>
        <v/>
      </c>
    </row>
    <row r="1886">
      <c r="A1886" t="n">
        <v>1885</v>
      </c>
      <c r="B1886">
        <f>A1886&lt;=MineCount*Days</f>
        <v/>
      </c>
      <c r="C1886">
        <f>IF(B1886,INT((A1886-1)/Days)+1,"")</f>
        <v/>
      </c>
      <c r="D1886">
        <f>IF(B1886,MOD(A1886-1,Days),"")</f>
        <v/>
      </c>
      <c r="E1886" s="16">
        <f>IF(B1886,StartDate+D1886,"")</f>
        <v/>
      </c>
      <c r="F1886">
        <f>IF(B1886,MAX(MOD(SIN(Seed*0.1373+C1886*12.9898+D1886*78.233)*43758.5453,1),1E-9),"")</f>
        <v/>
      </c>
      <c r="G1886">
        <f>IF(B1886,MOD(SIN(Seed*0.5917+C1886*39.3468+D1886*11.135)*24634.6345,1),"")</f>
        <v/>
      </c>
      <c r="H1886">
        <f>IF(B1886,SQRT(-2*LN(F1886))*COS(2*PI()*G1886),"")</f>
        <v/>
      </c>
      <c r="I1886">
        <f>IF(B1886,IF(D1886=0,H1886,Rho*I1885+SQRT(1-Rho^2)*H1886),"")</f>
        <v/>
      </c>
      <c r="J1886">
        <f>IF(B1886,IF(Dist="Normal",DistA+DistB*I1886,DistA+(DistB-DistA)*NORMSDIST(I1886)),"")</f>
        <v/>
      </c>
      <c r="K1886">
        <f>IF(B1886,INDEX(MineScale,C1886),"")</f>
        <v/>
      </c>
      <c r="L1886">
        <f>IF(B1886,INDEX(Dow,1,WEEKDAY(E1886,2)),"")</f>
        <v/>
      </c>
      <c r="M1886">
        <f>IF(B1886,(1+Trend)^D1886,"")</f>
        <v/>
      </c>
      <c r="N1886">
        <f>IF(B1886,EXP(SUMPRODUCT(LN(1+(EvEff-1)*INDEX(Affected,0,C1886)*EXP(-((E1886-EvCenter)^2)/(2*EvSigma^2))))),"")</f>
        <v/>
      </c>
      <c r="O1886">
        <f>IF(B1886,ROUND(MAX(0,J1886*K1886*L1886*M1886*N1886),2),"")</f>
        <v/>
      </c>
    </row>
    <row r="1887">
      <c r="A1887" t="n">
        <v>1886</v>
      </c>
      <c r="B1887">
        <f>A1887&lt;=MineCount*Days</f>
        <v/>
      </c>
      <c r="C1887">
        <f>IF(B1887,INT((A1887-1)/Days)+1,"")</f>
        <v/>
      </c>
      <c r="D1887">
        <f>IF(B1887,MOD(A1887-1,Days),"")</f>
        <v/>
      </c>
      <c r="E1887" s="16">
        <f>IF(B1887,StartDate+D1887,"")</f>
        <v/>
      </c>
      <c r="F1887">
        <f>IF(B1887,MAX(MOD(SIN(Seed*0.1373+C1887*12.9898+D1887*78.233)*43758.5453,1),1E-9),"")</f>
        <v/>
      </c>
      <c r="G1887">
        <f>IF(B1887,MOD(SIN(Seed*0.5917+C1887*39.3468+D1887*11.135)*24634.6345,1),"")</f>
        <v/>
      </c>
      <c r="H1887">
        <f>IF(B1887,SQRT(-2*LN(F1887))*COS(2*PI()*G1887),"")</f>
        <v/>
      </c>
      <c r="I1887">
        <f>IF(B1887,IF(D1887=0,H1887,Rho*I1886+SQRT(1-Rho^2)*H1887),"")</f>
        <v/>
      </c>
      <c r="J1887">
        <f>IF(B1887,IF(Dist="Normal",DistA+DistB*I1887,DistA+(DistB-DistA)*NORMSDIST(I1887)),"")</f>
        <v/>
      </c>
      <c r="K1887">
        <f>IF(B1887,INDEX(MineScale,C1887),"")</f>
        <v/>
      </c>
      <c r="L1887">
        <f>IF(B1887,INDEX(Dow,1,WEEKDAY(E1887,2)),"")</f>
        <v/>
      </c>
      <c r="M1887">
        <f>IF(B1887,(1+Trend)^D1887,"")</f>
        <v/>
      </c>
      <c r="N1887">
        <f>IF(B1887,EXP(SUMPRODUCT(LN(1+(EvEff-1)*INDEX(Affected,0,C1887)*EXP(-((E1887-EvCenter)^2)/(2*EvSigma^2))))),"")</f>
        <v/>
      </c>
      <c r="O1887">
        <f>IF(B1887,ROUND(MAX(0,J1887*K1887*L1887*M1887*N1887),2),"")</f>
        <v/>
      </c>
    </row>
    <row r="1888">
      <c r="A1888" t="n">
        <v>1887</v>
      </c>
      <c r="B1888">
        <f>A1888&lt;=MineCount*Days</f>
        <v/>
      </c>
      <c r="C1888">
        <f>IF(B1888,INT((A1888-1)/Days)+1,"")</f>
        <v/>
      </c>
      <c r="D1888">
        <f>IF(B1888,MOD(A1888-1,Days),"")</f>
        <v/>
      </c>
      <c r="E1888" s="16">
        <f>IF(B1888,StartDate+D1888,"")</f>
        <v/>
      </c>
      <c r="F1888">
        <f>IF(B1888,MAX(MOD(SIN(Seed*0.1373+C1888*12.9898+D1888*78.233)*43758.5453,1),1E-9),"")</f>
        <v/>
      </c>
      <c r="G1888">
        <f>IF(B1888,MOD(SIN(Seed*0.5917+C1888*39.3468+D1888*11.135)*24634.6345,1),"")</f>
        <v/>
      </c>
      <c r="H1888">
        <f>IF(B1888,SQRT(-2*LN(F1888))*COS(2*PI()*G1888),"")</f>
        <v/>
      </c>
      <c r="I1888">
        <f>IF(B1888,IF(D1888=0,H1888,Rho*I1887+SQRT(1-Rho^2)*H1888),"")</f>
        <v/>
      </c>
      <c r="J1888">
        <f>IF(B1888,IF(Dist="Normal",DistA+DistB*I1888,DistA+(DistB-DistA)*NORMSDIST(I1888)),"")</f>
        <v/>
      </c>
      <c r="K1888">
        <f>IF(B1888,INDEX(MineScale,C1888),"")</f>
        <v/>
      </c>
      <c r="L1888">
        <f>IF(B1888,INDEX(Dow,1,WEEKDAY(E1888,2)),"")</f>
        <v/>
      </c>
      <c r="M1888">
        <f>IF(B1888,(1+Trend)^D1888,"")</f>
        <v/>
      </c>
      <c r="N1888">
        <f>IF(B1888,EXP(SUMPRODUCT(LN(1+(EvEff-1)*INDEX(Affected,0,C1888)*EXP(-((E1888-EvCenter)^2)/(2*EvSigma^2))))),"")</f>
        <v/>
      </c>
      <c r="O1888">
        <f>IF(B1888,ROUND(MAX(0,J1888*K1888*L1888*M1888*N1888),2),"")</f>
        <v/>
      </c>
    </row>
    <row r="1889">
      <c r="A1889" t="n">
        <v>1888</v>
      </c>
      <c r="B1889">
        <f>A1889&lt;=MineCount*Days</f>
        <v/>
      </c>
      <c r="C1889">
        <f>IF(B1889,INT((A1889-1)/Days)+1,"")</f>
        <v/>
      </c>
      <c r="D1889">
        <f>IF(B1889,MOD(A1889-1,Days),"")</f>
        <v/>
      </c>
      <c r="E1889" s="16">
        <f>IF(B1889,StartDate+D1889,"")</f>
        <v/>
      </c>
      <c r="F1889">
        <f>IF(B1889,MAX(MOD(SIN(Seed*0.1373+C1889*12.9898+D1889*78.233)*43758.5453,1),1E-9),"")</f>
        <v/>
      </c>
      <c r="G1889">
        <f>IF(B1889,MOD(SIN(Seed*0.5917+C1889*39.3468+D1889*11.135)*24634.6345,1),"")</f>
        <v/>
      </c>
      <c r="H1889">
        <f>IF(B1889,SQRT(-2*LN(F1889))*COS(2*PI()*G1889),"")</f>
        <v/>
      </c>
      <c r="I1889">
        <f>IF(B1889,IF(D1889=0,H1889,Rho*I1888+SQRT(1-Rho^2)*H1889),"")</f>
        <v/>
      </c>
      <c r="J1889">
        <f>IF(B1889,IF(Dist="Normal",DistA+DistB*I1889,DistA+(DistB-DistA)*NORMSDIST(I1889)),"")</f>
        <v/>
      </c>
      <c r="K1889">
        <f>IF(B1889,INDEX(MineScale,C1889),"")</f>
        <v/>
      </c>
      <c r="L1889">
        <f>IF(B1889,INDEX(Dow,1,WEEKDAY(E1889,2)),"")</f>
        <v/>
      </c>
      <c r="M1889">
        <f>IF(B1889,(1+Trend)^D1889,"")</f>
        <v/>
      </c>
      <c r="N1889">
        <f>IF(B1889,EXP(SUMPRODUCT(LN(1+(EvEff-1)*INDEX(Affected,0,C1889)*EXP(-((E1889-EvCenter)^2)/(2*EvSigma^2))))),"")</f>
        <v/>
      </c>
      <c r="O1889">
        <f>IF(B1889,ROUND(MAX(0,J1889*K1889*L1889*M1889*N1889),2),"")</f>
        <v/>
      </c>
    </row>
    <row r="1890">
      <c r="A1890" t="n">
        <v>1889</v>
      </c>
      <c r="B1890">
        <f>A1890&lt;=MineCount*Days</f>
        <v/>
      </c>
      <c r="C1890">
        <f>IF(B1890,INT((A1890-1)/Days)+1,"")</f>
        <v/>
      </c>
      <c r="D1890">
        <f>IF(B1890,MOD(A1890-1,Days),"")</f>
        <v/>
      </c>
      <c r="E1890" s="16">
        <f>IF(B1890,StartDate+D1890,"")</f>
        <v/>
      </c>
      <c r="F1890">
        <f>IF(B1890,MAX(MOD(SIN(Seed*0.1373+C1890*12.9898+D1890*78.233)*43758.5453,1),1E-9),"")</f>
        <v/>
      </c>
      <c r="G1890">
        <f>IF(B1890,MOD(SIN(Seed*0.5917+C1890*39.3468+D1890*11.135)*24634.6345,1),"")</f>
        <v/>
      </c>
      <c r="H1890">
        <f>IF(B1890,SQRT(-2*LN(F1890))*COS(2*PI()*G1890),"")</f>
        <v/>
      </c>
      <c r="I1890">
        <f>IF(B1890,IF(D1890=0,H1890,Rho*I1889+SQRT(1-Rho^2)*H1890),"")</f>
        <v/>
      </c>
      <c r="J1890">
        <f>IF(B1890,IF(Dist="Normal",DistA+DistB*I1890,DistA+(DistB-DistA)*NORMSDIST(I1890)),"")</f>
        <v/>
      </c>
      <c r="K1890">
        <f>IF(B1890,INDEX(MineScale,C1890),"")</f>
        <v/>
      </c>
      <c r="L1890">
        <f>IF(B1890,INDEX(Dow,1,WEEKDAY(E1890,2)),"")</f>
        <v/>
      </c>
      <c r="M1890">
        <f>IF(B1890,(1+Trend)^D1890,"")</f>
        <v/>
      </c>
      <c r="N1890">
        <f>IF(B1890,EXP(SUMPRODUCT(LN(1+(EvEff-1)*INDEX(Affected,0,C1890)*EXP(-((E1890-EvCenter)^2)/(2*EvSigma^2))))),"")</f>
        <v/>
      </c>
      <c r="O1890">
        <f>IF(B1890,ROUND(MAX(0,J1890*K1890*L1890*M1890*N1890),2),"")</f>
        <v/>
      </c>
    </row>
    <row r="1891">
      <c r="A1891" t="n">
        <v>1890</v>
      </c>
      <c r="B1891">
        <f>A1891&lt;=MineCount*Days</f>
        <v/>
      </c>
      <c r="C1891">
        <f>IF(B1891,INT((A1891-1)/Days)+1,"")</f>
        <v/>
      </c>
      <c r="D1891">
        <f>IF(B1891,MOD(A1891-1,Days),"")</f>
        <v/>
      </c>
      <c r="E1891" s="16">
        <f>IF(B1891,StartDate+D1891,"")</f>
        <v/>
      </c>
      <c r="F1891">
        <f>IF(B1891,MAX(MOD(SIN(Seed*0.1373+C1891*12.9898+D1891*78.233)*43758.5453,1),1E-9),"")</f>
        <v/>
      </c>
      <c r="G1891">
        <f>IF(B1891,MOD(SIN(Seed*0.5917+C1891*39.3468+D1891*11.135)*24634.6345,1),"")</f>
        <v/>
      </c>
      <c r="H1891">
        <f>IF(B1891,SQRT(-2*LN(F1891))*COS(2*PI()*G1891),"")</f>
        <v/>
      </c>
      <c r="I1891">
        <f>IF(B1891,IF(D1891=0,H1891,Rho*I1890+SQRT(1-Rho^2)*H1891),"")</f>
        <v/>
      </c>
      <c r="J1891">
        <f>IF(B1891,IF(Dist="Normal",DistA+DistB*I1891,DistA+(DistB-DistA)*NORMSDIST(I1891)),"")</f>
        <v/>
      </c>
      <c r="K1891">
        <f>IF(B1891,INDEX(MineScale,C1891),"")</f>
        <v/>
      </c>
      <c r="L1891">
        <f>IF(B1891,INDEX(Dow,1,WEEKDAY(E1891,2)),"")</f>
        <v/>
      </c>
      <c r="M1891">
        <f>IF(B1891,(1+Trend)^D1891,"")</f>
        <v/>
      </c>
      <c r="N1891">
        <f>IF(B1891,EXP(SUMPRODUCT(LN(1+(EvEff-1)*INDEX(Affected,0,C1891)*EXP(-((E1891-EvCenter)^2)/(2*EvSigma^2))))),"")</f>
        <v/>
      </c>
      <c r="O1891">
        <f>IF(B1891,ROUND(MAX(0,J1891*K1891*L1891*M1891*N1891),2),"")</f>
        <v/>
      </c>
    </row>
    <row r="1892">
      <c r="A1892" t="n">
        <v>1891</v>
      </c>
      <c r="B1892">
        <f>A1892&lt;=MineCount*Days</f>
        <v/>
      </c>
      <c r="C1892">
        <f>IF(B1892,INT((A1892-1)/Days)+1,"")</f>
        <v/>
      </c>
      <c r="D1892">
        <f>IF(B1892,MOD(A1892-1,Days),"")</f>
        <v/>
      </c>
      <c r="E1892" s="16">
        <f>IF(B1892,StartDate+D1892,"")</f>
        <v/>
      </c>
      <c r="F1892">
        <f>IF(B1892,MAX(MOD(SIN(Seed*0.1373+C1892*12.9898+D1892*78.233)*43758.5453,1),1E-9),"")</f>
        <v/>
      </c>
      <c r="G1892">
        <f>IF(B1892,MOD(SIN(Seed*0.5917+C1892*39.3468+D1892*11.135)*24634.6345,1),"")</f>
        <v/>
      </c>
      <c r="H1892">
        <f>IF(B1892,SQRT(-2*LN(F1892))*COS(2*PI()*G1892),"")</f>
        <v/>
      </c>
      <c r="I1892">
        <f>IF(B1892,IF(D1892=0,H1892,Rho*I1891+SQRT(1-Rho^2)*H1892),"")</f>
        <v/>
      </c>
      <c r="J1892">
        <f>IF(B1892,IF(Dist="Normal",DistA+DistB*I1892,DistA+(DistB-DistA)*NORMSDIST(I1892)),"")</f>
        <v/>
      </c>
      <c r="K1892">
        <f>IF(B1892,INDEX(MineScale,C1892),"")</f>
        <v/>
      </c>
      <c r="L1892">
        <f>IF(B1892,INDEX(Dow,1,WEEKDAY(E1892,2)),"")</f>
        <v/>
      </c>
      <c r="M1892">
        <f>IF(B1892,(1+Trend)^D1892,"")</f>
        <v/>
      </c>
      <c r="N1892">
        <f>IF(B1892,EXP(SUMPRODUCT(LN(1+(EvEff-1)*INDEX(Affected,0,C1892)*EXP(-((E1892-EvCenter)^2)/(2*EvSigma^2))))),"")</f>
        <v/>
      </c>
      <c r="O1892">
        <f>IF(B1892,ROUND(MAX(0,J1892*K1892*L1892*M1892*N1892),2),"")</f>
        <v/>
      </c>
    </row>
    <row r="1893">
      <c r="A1893" t="n">
        <v>1892</v>
      </c>
      <c r="B1893">
        <f>A1893&lt;=MineCount*Days</f>
        <v/>
      </c>
      <c r="C1893">
        <f>IF(B1893,INT((A1893-1)/Days)+1,"")</f>
        <v/>
      </c>
      <c r="D1893">
        <f>IF(B1893,MOD(A1893-1,Days),"")</f>
        <v/>
      </c>
      <c r="E1893" s="16">
        <f>IF(B1893,StartDate+D1893,"")</f>
        <v/>
      </c>
      <c r="F1893">
        <f>IF(B1893,MAX(MOD(SIN(Seed*0.1373+C1893*12.9898+D1893*78.233)*43758.5453,1),1E-9),"")</f>
        <v/>
      </c>
      <c r="G1893">
        <f>IF(B1893,MOD(SIN(Seed*0.5917+C1893*39.3468+D1893*11.135)*24634.6345,1),"")</f>
        <v/>
      </c>
      <c r="H1893">
        <f>IF(B1893,SQRT(-2*LN(F1893))*COS(2*PI()*G1893),"")</f>
        <v/>
      </c>
      <c r="I1893">
        <f>IF(B1893,IF(D1893=0,H1893,Rho*I1892+SQRT(1-Rho^2)*H1893),"")</f>
        <v/>
      </c>
      <c r="J1893">
        <f>IF(B1893,IF(Dist="Normal",DistA+DistB*I1893,DistA+(DistB-DistA)*NORMSDIST(I1893)),"")</f>
        <v/>
      </c>
      <c r="K1893">
        <f>IF(B1893,INDEX(MineScale,C1893),"")</f>
        <v/>
      </c>
      <c r="L1893">
        <f>IF(B1893,INDEX(Dow,1,WEEKDAY(E1893,2)),"")</f>
        <v/>
      </c>
      <c r="M1893">
        <f>IF(B1893,(1+Trend)^D1893,"")</f>
        <v/>
      </c>
      <c r="N1893">
        <f>IF(B1893,EXP(SUMPRODUCT(LN(1+(EvEff-1)*INDEX(Affected,0,C1893)*EXP(-((E1893-EvCenter)^2)/(2*EvSigma^2))))),"")</f>
        <v/>
      </c>
      <c r="O1893">
        <f>IF(B1893,ROUND(MAX(0,J1893*K1893*L1893*M1893*N1893),2),"")</f>
        <v/>
      </c>
    </row>
    <row r="1894">
      <c r="A1894" t="n">
        <v>1893</v>
      </c>
      <c r="B1894">
        <f>A1894&lt;=MineCount*Days</f>
        <v/>
      </c>
      <c r="C1894">
        <f>IF(B1894,INT((A1894-1)/Days)+1,"")</f>
        <v/>
      </c>
      <c r="D1894">
        <f>IF(B1894,MOD(A1894-1,Days),"")</f>
        <v/>
      </c>
      <c r="E1894" s="16">
        <f>IF(B1894,StartDate+D1894,"")</f>
        <v/>
      </c>
      <c r="F1894">
        <f>IF(B1894,MAX(MOD(SIN(Seed*0.1373+C1894*12.9898+D1894*78.233)*43758.5453,1),1E-9),"")</f>
        <v/>
      </c>
      <c r="G1894">
        <f>IF(B1894,MOD(SIN(Seed*0.5917+C1894*39.3468+D1894*11.135)*24634.6345,1),"")</f>
        <v/>
      </c>
      <c r="H1894">
        <f>IF(B1894,SQRT(-2*LN(F1894))*COS(2*PI()*G1894),"")</f>
        <v/>
      </c>
      <c r="I1894">
        <f>IF(B1894,IF(D1894=0,H1894,Rho*I1893+SQRT(1-Rho^2)*H1894),"")</f>
        <v/>
      </c>
      <c r="J1894">
        <f>IF(B1894,IF(Dist="Normal",DistA+DistB*I1894,DistA+(DistB-DistA)*NORMSDIST(I1894)),"")</f>
        <v/>
      </c>
      <c r="K1894">
        <f>IF(B1894,INDEX(MineScale,C1894),"")</f>
        <v/>
      </c>
      <c r="L1894">
        <f>IF(B1894,INDEX(Dow,1,WEEKDAY(E1894,2)),"")</f>
        <v/>
      </c>
      <c r="M1894">
        <f>IF(B1894,(1+Trend)^D1894,"")</f>
        <v/>
      </c>
      <c r="N1894">
        <f>IF(B1894,EXP(SUMPRODUCT(LN(1+(EvEff-1)*INDEX(Affected,0,C1894)*EXP(-((E1894-EvCenter)^2)/(2*EvSigma^2))))),"")</f>
        <v/>
      </c>
      <c r="O1894">
        <f>IF(B1894,ROUND(MAX(0,J1894*K1894*L1894*M1894*N1894),2),"")</f>
        <v/>
      </c>
    </row>
    <row r="1895">
      <c r="A1895" t="n">
        <v>1894</v>
      </c>
      <c r="B1895">
        <f>A1895&lt;=MineCount*Days</f>
        <v/>
      </c>
      <c r="C1895">
        <f>IF(B1895,INT((A1895-1)/Days)+1,"")</f>
        <v/>
      </c>
      <c r="D1895">
        <f>IF(B1895,MOD(A1895-1,Days),"")</f>
        <v/>
      </c>
      <c r="E1895" s="16">
        <f>IF(B1895,StartDate+D1895,"")</f>
        <v/>
      </c>
      <c r="F1895">
        <f>IF(B1895,MAX(MOD(SIN(Seed*0.1373+C1895*12.9898+D1895*78.233)*43758.5453,1),1E-9),"")</f>
        <v/>
      </c>
      <c r="G1895">
        <f>IF(B1895,MOD(SIN(Seed*0.5917+C1895*39.3468+D1895*11.135)*24634.6345,1),"")</f>
        <v/>
      </c>
      <c r="H1895">
        <f>IF(B1895,SQRT(-2*LN(F1895))*COS(2*PI()*G1895),"")</f>
        <v/>
      </c>
      <c r="I1895">
        <f>IF(B1895,IF(D1895=0,H1895,Rho*I1894+SQRT(1-Rho^2)*H1895),"")</f>
        <v/>
      </c>
      <c r="J1895">
        <f>IF(B1895,IF(Dist="Normal",DistA+DistB*I1895,DistA+(DistB-DistA)*NORMSDIST(I1895)),"")</f>
        <v/>
      </c>
      <c r="K1895">
        <f>IF(B1895,INDEX(MineScale,C1895),"")</f>
        <v/>
      </c>
      <c r="L1895">
        <f>IF(B1895,INDEX(Dow,1,WEEKDAY(E1895,2)),"")</f>
        <v/>
      </c>
      <c r="M1895">
        <f>IF(B1895,(1+Trend)^D1895,"")</f>
        <v/>
      </c>
      <c r="N1895">
        <f>IF(B1895,EXP(SUMPRODUCT(LN(1+(EvEff-1)*INDEX(Affected,0,C1895)*EXP(-((E1895-EvCenter)^2)/(2*EvSigma^2))))),"")</f>
        <v/>
      </c>
      <c r="O1895">
        <f>IF(B1895,ROUND(MAX(0,J1895*K1895*L1895*M1895*N1895),2),"")</f>
        <v/>
      </c>
    </row>
    <row r="1896">
      <c r="A1896" t="n">
        <v>1895</v>
      </c>
      <c r="B1896">
        <f>A1896&lt;=MineCount*Days</f>
        <v/>
      </c>
      <c r="C1896">
        <f>IF(B1896,INT((A1896-1)/Days)+1,"")</f>
        <v/>
      </c>
      <c r="D1896">
        <f>IF(B1896,MOD(A1896-1,Days),"")</f>
        <v/>
      </c>
      <c r="E1896" s="16">
        <f>IF(B1896,StartDate+D1896,"")</f>
        <v/>
      </c>
      <c r="F1896">
        <f>IF(B1896,MAX(MOD(SIN(Seed*0.1373+C1896*12.9898+D1896*78.233)*43758.5453,1),1E-9),"")</f>
        <v/>
      </c>
      <c r="G1896">
        <f>IF(B1896,MOD(SIN(Seed*0.5917+C1896*39.3468+D1896*11.135)*24634.6345,1),"")</f>
        <v/>
      </c>
      <c r="H1896">
        <f>IF(B1896,SQRT(-2*LN(F1896))*COS(2*PI()*G1896),"")</f>
        <v/>
      </c>
      <c r="I1896">
        <f>IF(B1896,IF(D1896=0,H1896,Rho*I1895+SQRT(1-Rho^2)*H1896),"")</f>
        <v/>
      </c>
      <c r="J1896">
        <f>IF(B1896,IF(Dist="Normal",DistA+DistB*I1896,DistA+(DistB-DistA)*NORMSDIST(I1896)),"")</f>
        <v/>
      </c>
      <c r="K1896">
        <f>IF(B1896,INDEX(MineScale,C1896),"")</f>
        <v/>
      </c>
      <c r="L1896">
        <f>IF(B1896,INDEX(Dow,1,WEEKDAY(E1896,2)),"")</f>
        <v/>
      </c>
      <c r="M1896">
        <f>IF(B1896,(1+Trend)^D1896,"")</f>
        <v/>
      </c>
      <c r="N1896">
        <f>IF(B1896,EXP(SUMPRODUCT(LN(1+(EvEff-1)*INDEX(Affected,0,C1896)*EXP(-((E1896-EvCenter)^2)/(2*EvSigma^2))))),"")</f>
        <v/>
      </c>
      <c r="O1896">
        <f>IF(B1896,ROUND(MAX(0,J1896*K1896*L1896*M1896*N1896),2),"")</f>
        <v/>
      </c>
    </row>
    <row r="1897">
      <c r="A1897" t="n">
        <v>1896</v>
      </c>
      <c r="B1897">
        <f>A1897&lt;=MineCount*Days</f>
        <v/>
      </c>
      <c r="C1897">
        <f>IF(B1897,INT((A1897-1)/Days)+1,"")</f>
        <v/>
      </c>
      <c r="D1897">
        <f>IF(B1897,MOD(A1897-1,Days),"")</f>
        <v/>
      </c>
      <c r="E1897" s="16">
        <f>IF(B1897,StartDate+D1897,"")</f>
        <v/>
      </c>
      <c r="F1897">
        <f>IF(B1897,MAX(MOD(SIN(Seed*0.1373+C1897*12.9898+D1897*78.233)*43758.5453,1),1E-9),"")</f>
        <v/>
      </c>
      <c r="G1897">
        <f>IF(B1897,MOD(SIN(Seed*0.5917+C1897*39.3468+D1897*11.135)*24634.6345,1),"")</f>
        <v/>
      </c>
      <c r="H1897">
        <f>IF(B1897,SQRT(-2*LN(F1897))*COS(2*PI()*G1897),"")</f>
        <v/>
      </c>
      <c r="I1897">
        <f>IF(B1897,IF(D1897=0,H1897,Rho*I1896+SQRT(1-Rho^2)*H1897),"")</f>
        <v/>
      </c>
      <c r="J1897">
        <f>IF(B1897,IF(Dist="Normal",DistA+DistB*I1897,DistA+(DistB-DistA)*NORMSDIST(I1897)),"")</f>
        <v/>
      </c>
      <c r="K1897">
        <f>IF(B1897,INDEX(MineScale,C1897),"")</f>
        <v/>
      </c>
      <c r="L1897">
        <f>IF(B1897,INDEX(Dow,1,WEEKDAY(E1897,2)),"")</f>
        <v/>
      </c>
      <c r="M1897">
        <f>IF(B1897,(1+Trend)^D1897,"")</f>
        <v/>
      </c>
      <c r="N1897">
        <f>IF(B1897,EXP(SUMPRODUCT(LN(1+(EvEff-1)*INDEX(Affected,0,C1897)*EXP(-((E1897-EvCenter)^2)/(2*EvSigma^2))))),"")</f>
        <v/>
      </c>
      <c r="O1897">
        <f>IF(B1897,ROUND(MAX(0,J1897*K1897*L1897*M1897*N1897),2),"")</f>
        <v/>
      </c>
    </row>
    <row r="1898">
      <c r="A1898" t="n">
        <v>1897</v>
      </c>
      <c r="B1898">
        <f>A1898&lt;=MineCount*Days</f>
        <v/>
      </c>
      <c r="C1898">
        <f>IF(B1898,INT((A1898-1)/Days)+1,"")</f>
        <v/>
      </c>
      <c r="D1898">
        <f>IF(B1898,MOD(A1898-1,Days),"")</f>
        <v/>
      </c>
      <c r="E1898" s="16">
        <f>IF(B1898,StartDate+D1898,"")</f>
        <v/>
      </c>
      <c r="F1898">
        <f>IF(B1898,MAX(MOD(SIN(Seed*0.1373+C1898*12.9898+D1898*78.233)*43758.5453,1),1E-9),"")</f>
        <v/>
      </c>
      <c r="G1898">
        <f>IF(B1898,MOD(SIN(Seed*0.5917+C1898*39.3468+D1898*11.135)*24634.6345,1),"")</f>
        <v/>
      </c>
      <c r="H1898">
        <f>IF(B1898,SQRT(-2*LN(F1898))*COS(2*PI()*G1898),"")</f>
        <v/>
      </c>
      <c r="I1898">
        <f>IF(B1898,IF(D1898=0,H1898,Rho*I1897+SQRT(1-Rho^2)*H1898),"")</f>
        <v/>
      </c>
      <c r="J1898">
        <f>IF(B1898,IF(Dist="Normal",DistA+DistB*I1898,DistA+(DistB-DistA)*NORMSDIST(I1898)),"")</f>
        <v/>
      </c>
      <c r="K1898">
        <f>IF(B1898,INDEX(MineScale,C1898),"")</f>
        <v/>
      </c>
      <c r="L1898">
        <f>IF(B1898,INDEX(Dow,1,WEEKDAY(E1898,2)),"")</f>
        <v/>
      </c>
      <c r="M1898">
        <f>IF(B1898,(1+Trend)^D1898,"")</f>
        <v/>
      </c>
      <c r="N1898">
        <f>IF(B1898,EXP(SUMPRODUCT(LN(1+(EvEff-1)*INDEX(Affected,0,C1898)*EXP(-((E1898-EvCenter)^2)/(2*EvSigma^2))))),"")</f>
        <v/>
      </c>
      <c r="O1898">
        <f>IF(B1898,ROUND(MAX(0,J1898*K1898*L1898*M1898*N1898),2),"")</f>
        <v/>
      </c>
    </row>
    <row r="1899">
      <c r="A1899" t="n">
        <v>1898</v>
      </c>
      <c r="B1899">
        <f>A1899&lt;=MineCount*Days</f>
        <v/>
      </c>
      <c r="C1899">
        <f>IF(B1899,INT((A1899-1)/Days)+1,"")</f>
        <v/>
      </c>
      <c r="D1899">
        <f>IF(B1899,MOD(A1899-1,Days),"")</f>
        <v/>
      </c>
      <c r="E1899" s="16">
        <f>IF(B1899,StartDate+D1899,"")</f>
        <v/>
      </c>
      <c r="F1899">
        <f>IF(B1899,MAX(MOD(SIN(Seed*0.1373+C1899*12.9898+D1899*78.233)*43758.5453,1),1E-9),"")</f>
        <v/>
      </c>
      <c r="G1899">
        <f>IF(B1899,MOD(SIN(Seed*0.5917+C1899*39.3468+D1899*11.135)*24634.6345,1),"")</f>
        <v/>
      </c>
      <c r="H1899">
        <f>IF(B1899,SQRT(-2*LN(F1899))*COS(2*PI()*G1899),"")</f>
        <v/>
      </c>
      <c r="I1899">
        <f>IF(B1899,IF(D1899=0,H1899,Rho*I1898+SQRT(1-Rho^2)*H1899),"")</f>
        <v/>
      </c>
      <c r="J1899">
        <f>IF(B1899,IF(Dist="Normal",DistA+DistB*I1899,DistA+(DistB-DistA)*NORMSDIST(I1899)),"")</f>
        <v/>
      </c>
      <c r="K1899">
        <f>IF(B1899,INDEX(MineScale,C1899),"")</f>
        <v/>
      </c>
      <c r="L1899">
        <f>IF(B1899,INDEX(Dow,1,WEEKDAY(E1899,2)),"")</f>
        <v/>
      </c>
      <c r="M1899">
        <f>IF(B1899,(1+Trend)^D1899,"")</f>
        <v/>
      </c>
      <c r="N1899">
        <f>IF(B1899,EXP(SUMPRODUCT(LN(1+(EvEff-1)*INDEX(Affected,0,C1899)*EXP(-((E1899-EvCenter)^2)/(2*EvSigma^2))))),"")</f>
        <v/>
      </c>
      <c r="O1899">
        <f>IF(B1899,ROUND(MAX(0,J1899*K1899*L1899*M1899*N1899),2),"")</f>
        <v/>
      </c>
    </row>
    <row r="1900">
      <c r="A1900" t="n">
        <v>1899</v>
      </c>
      <c r="B1900">
        <f>A1900&lt;=MineCount*Days</f>
        <v/>
      </c>
      <c r="C1900">
        <f>IF(B1900,INT((A1900-1)/Days)+1,"")</f>
        <v/>
      </c>
      <c r="D1900">
        <f>IF(B1900,MOD(A1900-1,Days),"")</f>
        <v/>
      </c>
      <c r="E1900" s="16">
        <f>IF(B1900,StartDate+D1900,"")</f>
        <v/>
      </c>
      <c r="F1900">
        <f>IF(B1900,MAX(MOD(SIN(Seed*0.1373+C1900*12.9898+D1900*78.233)*43758.5453,1),1E-9),"")</f>
        <v/>
      </c>
      <c r="G1900">
        <f>IF(B1900,MOD(SIN(Seed*0.5917+C1900*39.3468+D1900*11.135)*24634.6345,1),"")</f>
        <v/>
      </c>
      <c r="H1900">
        <f>IF(B1900,SQRT(-2*LN(F1900))*COS(2*PI()*G1900),"")</f>
        <v/>
      </c>
      <c r="I1900">
        <f>IF(B1900,IF(D1900=0,H1900,Rho*I1899+SQRT(1-Rho^2)*H1900),"")</f>
        <v/>
      </c>
      <c r="J1900">
        <f>IF(B1900,IF(Dist="Normal",DistA+DistB*I1900,DistA+(DistB-DistA)*NORMSDIST(I1900)),"")</f>
        <v/>
      </c>
      <c r="K1900">
        <f>IF(B1900,INDEX(MineScale,C1900),"")</f>
        <v/>
      </c>
      <c r="L1900">
        <f>IF(B1900,INDEX(Dow,1,WEEKDAY(E1900,2)),"")</f>
        <v/>
      </c>
      <c r="M1900">
        <f>IF(B1900,(1+Trend)^D1900,"")</f>
        <v/>
      </c>
      <c r="N1900">
        <f>IF(B1900,EXP(SUMPRODUCT(LN(1+(EvEff-1)*INDEX(Affected,0,C1900)*EXP(-((E1900-EvCenter)^2)/(2*EvSigma^2))))),"")</f>
        <v/>
      </c>
      <c r="O1900">
        <f>IF(B1900,ROUND(MAX(0,J1900*K1900*L1900*M1900*N1900),2),"")</f>
        <v/>
      </c>
    </row>
    <row r="1901">
      <c r="A1901" t="n">
        <v>1900</v>
      </c>
      <c r="B1901">
        <f>A1901&lt;=MineCount*Days</f>
        <v/>
      </c>
      <c r="C1901">
        <f>IF(B1901,INT((A1901-1)/Days)+1,"")</f>
        <v/>
      </c>
      <c r="D1901">
        <f>IF(B1901,MOD(A1901-1,Days),"")</f>
        <v/>
      </c>
      <c r="E1901" s="16">
        <f>IF(B1901,StartDate+D1901,"")</f>
        <v/>
      </c>
      <c r="F1901">
        <f>IF(B1901,MAX(MOD(SIN(Seed*0.1373+C1901*12.9898+D1901*78.233)*43758.5453,1),1E-9),"")</f>
        <v/>
      </c>
      <c r="G1901">
        <f>IF(B1901,MOD(SIN(Seed*0.5917+C1901*39.3468+D1901*11.135)*24634.6345,1),"")</f>
        <v/>
      </c>
      <c r="H1901">
        <f>IF(B1901,SQRT(-2*LN(F1901))*COS(2*PI()*G1901),"")</f>
        <v/>
      </c>
      <c r="I1901">
        <f>IF(B1901,IF(D1901=0,H1901,Rho*I1900+SQRT(1-Rho^2)*H1901),"")</f>
        <v/>
      </c>
      <c r="J1901">
        <f>IF(B1901,IF(Dist="Normal",DistA+DistB*I1901,DistA+(DistB-DistA)*NORMSDIST(I1901)),"")</f>
        <v/>
      </c>
      <c r="K1901">
        <f>IF(B1901,INDEX(MineScale,C1901),"")</f>
        <v/>
      </c>
      <c r="L1901">
        <f>IF(B1901,INDEX(Dow,1,WEEKDAY(E1901,2)),"")</f>
        <v/>
      </c>
      <c r="M1901">
        <f>IF(B1901,(1+Trend)^D1901,"")</f>
        <v/>
      </c>
      <c r="N1901">
        <f>IF(B1901,EXP(SUMPRODUCT(LN(1+(EvEff-1)*INDEX(Affected,0,C1901)*EXP(-((E1901-EvCenter)^2)/(2*EvSigma^2))))),"")</f>
        <v/>
      </c>
      <c r="O1901">
        <f>IF(B1901,ROUND(MAX(0,J1901*K1901*L1901*M1901*N1901),2),"")</f>
        <v/>
      </c>
    </row>
    <row r="1902">
      <c r="A1902" t="n">
        <v>1901</v>
      </c>
      <c r="B1902">
        <f>A1902&lt;=MineCount*Days</f>
        <v/>
      </c>
      <c r="C1902">
        <f>IF(B1902,INT((A1902-1)/Days)+1,"")</f>
        <v/>
      </c>
      <c r="D1902">
        <f>IF(B1902,MOD(A1902-1,Days),"")</f>
        <v/>
      </c>
      <c r="E1902" s="16">
        <f>IF(B1902,StartDate+D1902,"")</f>
        <v/>
      </c>
      <c r="F1902">
        <f>IF(B1902,MAX(MOD(SIN(Seed*0.1373+C1902*12.9898+D1902*78.233)*43758.5453,1),1E-9),"")</f>
        <v/>
      </c>
      <c r="G1902">
        <f>IF(B1902,MOD(SIN(Seed*0.5917+C1902*39.3468+D1902*11.135)*24634.6345,1),"")</f>
        <v/>
      </c>
      <c r="H1902">
        <f>IF(B1902,SQRT(-2*LN(F1902))*COS(2*PI()*G1902),"")</f>
        <v/>
      </c>
      <c r="I1902">
        <f>IF(B1902,IF(D1902=0,H1902,Rho*I1901+SQRT(1-Rho^2)*H1902),"")</f>
        <v/>
      </c>
      <c r="J1902">
        <f>IF(B1902,IF(Dist="Normal",DistA+DistB*I1902,DistA+(DistB-DistA)*NORMSDIST(I1902)),"")</f>
        <v/>
      </c>
      <c r="K1902">
        <f>IF(B1902,INDEX(MineScale,C1902),"")</f>
        <v/>
      </c>
      <c r="L1902">
        <f>IF(B1902,INDEX(Dow,1,WEEKDAY(E1902,2)),"")</f>
        <v/>
      </c>
      <c r="M1902">
        <f>IF(B1902,(1+Trend)^D1902,"")</f>
        <v/>
      </c>
      <c r="N1902">
        <f>IF(B1902,EXP(SUMPRODUCT(LN(1+(EvEff-1)*INDEX(Affected,0,C1902)*EXP(-((E1902-EvCenter)^2)/(2*EvSigma^2))))),"")</f>
        <v/>
      </c>
      <c r="O1902">
        <f>IF(B1902,ROUND(MAX(0,J1902*K1902*L1902*M1902*N1902),2),"")</f>
        <v/>
      </c>
    </row>
    <row r="1903">
      <c r="A1903" t="n">
        <v>1902</v>
      </c>
      <c r="B1903">
        <f>A1903&lt;=MineCount*Days</f>
        <v/>
      </c>
      <c r="C1903">
        <f>IF(B1903,INT((A1903-1)/Days)+1,"")</f>
        <v/>
      </c>
      <c r="D1903">
        <f>IF(B1903,MOD(A1903-1,Days),"")</f>
        <v/>
      </c>
      <c r="E1903" s="16">
        <f>IF(B1903,StartDate+D1903,"")</f>
        <v/>
      </c>
      <c r="F1903">
        <f>IF(B1903,MAX(MOD(SIN(Seed*0.1373+C1903*12.9898+D1903*78.233)*43758.5453,1),1E-9),"")</f>
        <v/>
      </c>
      <c r="G1903">
        <f>IF(B1903,MOD(SIN(Seed*0.5917+C1903*39.3468+D1903*11.135)*24634.6345,1),"")</f>
        <v/>
      </c>
      <c r="H1903">
        <f>IF(B1903,SQRT(-2*LN(F1903))*COS(2*PI()*G1903),"")</f>
        <v/>
      </c>
      <c r="I1903">
        <f>IF(B1903,IF(D1903=0,H1903,Rho*I1902+SQRT(1-Rho^2)*H1903),"")</f>
        <v/>
      </c>
      <c r="J1903">
        <f>IF(B1903,IF(Dist="Normal",DistA+DistB*I1903,DistA+(DistB-DistA)*NORMSDIST(I1903)),"")</f>
        <v/>
      </c>
      <c r="K1903">
        <f>IF(B1903,INDEX(MineScale,C1903),"")</f>
        <v/>
      </c>
      <c r="L1903">
        <f>IF(B1903,INDEX(Dow,1,WEEKDAY(E1903,2)),"")</f>
        <v/>
      </c>
      <c r="M1903">
        <f>IF(B1903,(1+Trend)^D1903,"")</f>
        <v/>
      </c>
      <c r="N1903">
        <f>IF(B1903,EXP(SUMPRODUCT(LN(1+(EvEff-1)*INDEX(Affected,0,C1903)*EXP(-((E1903-EvCenter)^2)/(2*EvSigma^2))))),"")</f>
        <v/>
      </c>
      <c r="O1903">
        <f>IF(B1903,ROUND(MAX(0,J1903*K1903*L1903*M1903*N1903),2),"")</f>
        <v/>
      </c>
    </row>
    <row r="1904">
      <c r="A1904" t="n">
        <v>1903</v>
      </c>
      <c r="B1904">
        <f>A1904&lt;=MineCount*Days</f>
        <v/>
      </c>
      <c r="C1904">
        <f>IF(B1904,INT((A1904-1)/Days)+1,"")</f>
        <v/>
      </c>
      <c r="D1904">
        <f>IF(B1904,MOD(A1904-1,Days),"")</f>
        <v/>
      </c>
      <c r="E1904" s="16">
        <f>IF(B1904,StartDate+D1904,"")</f>
        <v/>
      </c>
      <c r="F1904">
        <f>IF(B1904,MAX(MOD(SIN(Seed*0.1373+C1904*12.9898+D1904*78.233)*43758.5453,1),1E-9),"")</f>
        <v/>
      </c>
      <c r="G1904">
        <f>IF(B1904,MOD(SIN(Seed*0.5917+C1904*39.3468+D1904*11.135)*24634.6345,1),"")</f>
        <v/>
      </c>
      <c r="H1904">
        <f>IF(B1904,SQRT(-2*LN(F1904))*COS(2*PI()*G1904),"")</f>
        <v/>
      </c>
      <c r="I1904">
        <f>IF(B1904,IF(D1904=0,H1904,Rho*I1903+SQRT(1-Rho^2)*H1904),"")</f>
        <v/>
      </c>
      <c r="J1904">
        <f>IF(B1904,IF(Dist="Normal",DistA+DistB*I1904,DistA+(DistB-DistA)*NORMSDIST(I1904)),"")</f>
        <v/>
      </c>
      <c r="K1904">
        <f>IF(B1904,INDEX(MineScale,C1904),"")</f>
        <v/>
      </c>
      <c r="L1904">
        <f>IF(B1904,INDEX(Dow,1,WEEKDAY(E1904,2)),"")</f>
        <v/>
      </c>
      <c r="M1904">
        <f>IF(B1904,(1+Trend)^D1904,"")</f>
        <v/>
      </c>
      <c r="N1904">
        <f>IF(B1904,EXP(SUMPRODUCT(LN(1+(EvEff-1)*INDEX(Affected,0,C1904)*EXP(-((E1904-EvCenter)^2)/(2*EvSigma^2))))),"")</f>
        <v/>
      </c>
      <c r="O1904">
        <f>IF(B1904,ROUND(MAX(0,J1904*K1904*L1904*M1904*N1904),2),"")</f>
        <v/>
      </c>
    </row>
    <row r="1905">
      <c r="A1905" t="n">
        <v>1904</v>
      </c>
      <c r="B1905">
        <f>A1905&lt;=MineCount*Days</f>
        <v/>
      </c>
      <c r="C1905">
        <f>IF(B1905,INT((A1905-1)/Days)+1,"")</f>
        <v/>
      </c>
      <c r="D1905">
        <f>IF(B1905,MOD(A1905-1,Days),"")</f>
        <v/>
      </c>
      <c r="E1905" s="16">
        <f>IF(B1905,StartDate+D1905,"")</f>
        <v/>
      </c>
      <c r="F1905">
        <f>IF(B1905,MAX(MOD(SIN(Seed*0.1373+C1905*12.9898+D1905*78.233)*43758.5453,1),1E-9),"")</f>
        <v/>
      </c>
      <c r="G1905">
        <f>IF(B1905,MOD(SIN(Seed*0.5917+C1905*39.3468+D1905*11.135)*24634.6345,1),"")</f>
        <v/>
      </c>
      <c r="H1905">
        <f>IF(B1905,SQRT(-2*LN(F1905))*COS(2*PI()*G1905),"")</f>
        <v/>
      </c>
      <c r="I1905">
        <f>IF(B1905,IF(D1905=0,H1905,Rho*I1904+SQRT(1-Rho^2)*H1905),"")</f>
        <v/>
      </c>
      <c r="J1905">
        <f>IF(B1905,IF(Dist="Normal",DistA+DistB*I1905,DistA+(DistB-DistA)*NORMSDIST(I1905)),"")</f>
        <v/>
      </c>
      <c r="K1905">
        <f>IF(B1905,INDEX(MineScale,C1905),"")</f>
        <v/>
      </c>
      <c r="L1905">
        <f>IF(B1905,INDEX(Dow,1,WEEKDAY(E1905,2)),"")</f>
        <v/>
      </c>
      <c r="M1905">
        <f>IF(B1905,(1+Trend)^D1905,"")</f>
        <v/>
      </c>
      <c r="N1905">
        <f>IF(B1905,EXP(SUMPRODUCT(LN(1+(EvEff-1)*INDEX(Affected,0,C1905)*EXP(-((E1905-EvCenter)^2)/(2*EvSigma^2))))),"")</f>
        <v/>
      </c>
      <c r="O1905">
        <f>IF(B1905,ROUND(MAX(0,J1905*K1905*L1905*M1905*N1905),2),"")</f>
        <v/>
      </c>
    </row>
    <row r="1906">
      <c r="A1906" t="n">
        <v>1905</v>
      </c>
      <c r="B1906">
        <f>A1906&lt;=MineCount*Days</f>
        <v/>
      </c>
      <c r="C1906">
        <f>IF(B1906,INT((A1906-1)/Days)+1,"")</f>
        <v/>
      </c>
      <c r="D1906">
        <f>IF(B1906,MOD(A1906-1,Days),"")</f>
        <v/>
      </c>
      <c r="E1906" s="16">
        <f>IF(B1906,StartDate+D1906,"")</f>
        <v/>
      </c>
      <c r="F1906">
        <f>IF(B1906,MAX(MOD(SIN(Seed*0.1373+C1906*12.9898+D1906*78.233)*43758.5453,1),1E-9),"")</f>
        <v/>
      </c>
      <c r="G1906">
        <f>IF(B1906,MOD(SIN(Seed*0.5917+C1906*39.3468+D1906*11.135)*24634.6345,1),"")</f>
        <v/>
      </c>
      <c r="H1906">
        <f>IF(B1906,SQRT(-2*LN(F1906))*COS(2*PI()*G1906),"")</f>
        <v/>
      </c>
      <c r="I1906">
        <f>IF(B1906,IF(D1906=0,H1906,Rho*I1905+SQRT(1-Rho^2)*H1906),"")</f>
        <v/>
      </c>
      <c r="J1906">
        <f>IF(B1906,IF(Dist="Normal",DistA+DistB*I1906,DistA+(DistB-DistA)*NORMSDIST(I1906)),"")</f>
        <v/>
      </c>
      <c r="K1906">
        <f>IF(B1906,INDEX(MineScale,C1906),"")</f>
        <v/>
      </c>
      <c r="L1906">
        <f>IF(B1906,INDEX(Dow,1,WEEKDAY(E1906,2)),"")</f>
        <v/>
      </c>
      <c r="M1906">
        <f>IF(B1906,(1+Trend)^D1906,"")</f>
        <v/>
      </c>
      <c r="N1906">
        <f>IF(B1906,EXP(SUMPRODUCT(LN(1+(EvEff-1)*INDEX(Affected,0,C1906)*EXP(-((E1906-EvCenter)^2)/(2*EvSigma^2))))),"")</f>
        <v/>
      </c>
      <c r="O1906">
        <f>IF(B1906,ROUND(MAX(0,J1906*K1906*L1906*M1906*N1906),2),"")</f>
        <v/>
      </c>
    </row>
    <row r="1907">
      <c r="A1907" t="n">
        <v>1906</v>
      </c>
      <c r="B1907">
        <f>A1907&lt;=MineCount*Days</f>
        <v/>
      </c>
      <c r="C1907">
        <f>IF(B1907,INT((A1907-1)/Days)+1,"")</f>
        <v/>
      </c>
      <c r="D1907">
        <f>IF(B1907,MOD(A1907-1,Days),"")</f>
        <v/>
      </c>
      <c r="E1907" s="16">
        <f>IF(B1907,StartDate+D1907,"")</f>
        <v/>
      </c>
      <c r="F1907">
        <f>IF(B1907,MAX(MOD(SIN(Seed*0.1373+C1907*12.9898+D1907*78.233)*43758.5453,1),1E-9),"")</f>
        <v/>
      </c>
      <c r="G1907">
        <f>IF(B1907,MOD(SIN(Seed*0.5917+C1907*39.3468+D1907*11.135)*24634.6345,1),"")</f>
        <v/>
      </c>
      <c r="H1907">
        <f>IF(B1907,SQRT(-2*LN(F1907))*COS(2*PI()*G1907),"")</f>
        <v/>
      </c>
      <c r="I1907">
        <f>IF(B1907,IF(D1907=0,H1907,Rho*I1906+SQRT(1-Rho^2)*H1907),"")</f>
        <v/>
      </c>
      <c r="J1907">
        <f>IF(B1907,IF(Dist="Normal",DistA+DistB*I1907,DistA+(DistB-DistA)*NORMSDIST(I1907)),"")</f>
        <v/>
      </c>
      <c r="K1907">
        <f>IF(B1907,INDEX(MineScale,C1907),"")</f>
        <v/>
      </c>
      <c r="L1907">
        <f>IF(B1907,INDEX(Dow,1,WEEKDAY(E1907,2)),"")</f>
        <v/>
      </c>
      <c r="M1907">
        <f>IF(B1907,(1+Trend)^D1907,"")</f>
        <v/>
      </c>
      <c r="N1907">
        <f>IF(B1907,EXP(SUMPRODUCT(LN(1+(EvEff-1)*INDEX(Affected,0,C1907)*EXP(-((E1907-EvCenter)^2)/(2*EvSigma^2))))),"")</f>
        <v/>
      </c>
      <c r="O1907">
        <f>IF(B1907,ROUND(MAX(0,J1907*K1907*L1907*M1907*N1907),2),"")</f>
        <v/>
      </c>
    </row>
    <row r="1908">
      <c r="A1908" t="n">
        <v>1907</v>
      </c>
      <c r="B1908">
        <f>A1908&lt;=MineCount*Days</f>
        <v/>
      </c>
      <c r="C1908">
        <f>IF(B1908,INT((A1908-1)/Days)+1,"")</f>
        <v/>
      </c>
      <c r="D1908">
        <f>IF(B1908,MOD(A1908-1,Days),"")</f>
        <v/>
      </c>
      <c r="E1908" s="16">
        <f>IF(B1908,StartDate+D1908,"")</f>
        <v/>
      </c>
      <c r="F1908">
        <f>IF(B1908,MAX(MOD(SIN(Seed*0.1373+C1908*12.9898+D1908*78.233)*43758.5453,1),1E-9),"")</f>
        <v/>
      </c>
      <c r="G1908">
        <f>IF(B1908,MOD(SIN(Seed*0.5917+C1908*39.3468+D1908*11.135)*24634.6345,1),"")</f>
        <v/>
      </c>
      <c r="H1908">
        <f>IF(B1908,SQRT(-2*LN(F1908))*COS(2*PI()*G1908),"")</f>
        <v/>
      </c>
      <c r="I1908">
        <f>IF(B1908,IF(D1908=0,H1908,Rho*I1907+SQRT(1-Rho^2)*H1908),"")</f>
        <v/>
      </c>
      <c r="J1908">
        <f>IF(B1908,IF(Dist="Normal",DistA+DistB*I1908,DistA+(DistB-DistA)*NORMSDIST(I1908)),"")</f>
        <v/>
      </c>
      <c r="K1908">
        <f>IF(B1908,INDEX(MineScale,C1908),"")</f>
        <v/>
      </c>
      <c r="L1908">
        <f>IF(B1908,INDEX(Dow,1,WEEKDAY(E1908,2)),"")</f>
        <v/>
      </c>
      <c r="M1908">
        <f>IF(B1908,(1+Trend)^D1908,"")</f>
        <v/>
      </c>
      <c r="N1908">
        <f>IF(B1908,EXP(SUMPRODUCT(LN(1+(EvEff-1)*INDEX(Affected,0,C1908)*EXP(-((E1908-EvCenter)^2)/(2*EvSigma^2))))),"")</f>
        <v/>
      </c>
      <c r="O1908">
        <f>IF(B1908,ROUND(MAX(0,J1908*K1908*L1908*M1908*N1908),2),"")</f>
        <v/>
      </c>
    </row>
    <row r="1909">
      <c r="A1909" t="n">
        <v>1908</v>
      </c>
      <c r="B1909">
        <f>A1909&lt;=MineCount*Days</f>
        <v/>
      </c>
      <c r="C1909">
        <f>IF(B1909,INT((A1909-1)/Days)+1,"")</f>
        <v/>
      </c>
      <c r="D1909">
        <f>IF(B1909,MOD(A1909-1,Days),"")</f>
        <v/>
      </c>
      <c r="E1909" s="16">
        <f>IF(B1909,StartDate+D1909,"")</f>
        <v/>
      </c>
      <c r="F1909">
        <f>IF(B1909,MAX(MOD(SIN(Seed*0.1373+C1909*12.9898+D1909*78.233)*43758.5453,1),1E-9),"")</f>
        <v/>
      </c>
      <c r="G1909">
        <f>IF(B1909,MOD(SIN(Seed*0.5917+C1909*39.3468+D1909*11.135)*24634.6345,1),"")</f>
        <v/>
      </c>
      <c r="H1909">
        <f>IF(B1909,SQRT(-2*LN(F1909))*COS(2*PI()*G1909),"")</f>
        <v/>
      </c>
      <c r="I1909">
        <f>IF(B1909,IF(D1909=0,H1909,Rho*I1908+SQRT(1-Rho^2)*H1909),"")</f>
        <v/>
      </c>
      <c r="J1909">
        <f>IF(B1909,IF(Dist="Normal",DistA+DistB*I1909,DistA+(DistB-DistA)*NORMSDIST(I1909)),"")</f>
        <v/>
      </c>
      <c r="K1909">
        <f>IF(B1909,INDEX(MineScale,C1909),"")</f>
        <v/>
      </c>
      <c r="L1909">
        <f>IF(B1909,INDEX(Dow,1,WEEKDAY(E1909,2)),"")</f>
        <v/>
      </c>
      <c r="M1909">
        <f>IF(B1909,(1+Trend)^D1909,"")</f>
        <v/>
      </c>
      <c r="N1909">
        <f>IF(B1909,EXP(SUMPRODUCT(LN(1+(EvEff-1)*INDEX(Affected,0,C1909)*EXP(-((E1909-EvCenter)^2)/(2*EvSigma^2))))),"")</f>
        <v/>
      </c>
      <c r="O1909">
        <f>IF(B1909,ROUND(MAX(0,J1909*K1909*L1909*M1909*N1909),2),"")</f>
        <v/>
      </c>
    </row>
    <row r="1910">
      <c r="A1910" t="n">
        <v>1909</v>
      </c>
      <c r="B1910">
        <f>A1910&lt;=MineCount*Days</f>
        <v/>
      </c>
      <c r="C1910">
        <f>IF(B1910,INT((A1910-1)/Days)+1,"")</f>
        <v/>
      </c>
      <c r="D1910">
        <f>IF(B1910,MOD(A1910-1,Days),"")</f>
        <v/>
      </c>
      <c r="E1910" s="16">
        <f>IF(B1910,StartDate+D1910,"")</f>
        <v/>
      </c>
      <c r="F1910">
        <f>IF(B1910,MAX(MOD(SIN(Seed*0.1373+C1910*12.9898+D1910*78.233)*43758.5453,1),1E-9),"")</f>
        <v/>
      </c>
      <c r="G1910">
        <f>IF(B1910,MOD(SIN(Seed*0.5917+C1910*39.3468+D1910*11.135)*24634.6345,1),"")</f>
        <v/>
      </c>
      <c r="H1910">
        <f>IF(B1910,SQRT(-2*LN(F1910))*COS(2*PI()*G1910),"")</f>
        <v/>
      </c>
      <c r="I1910">
        <f>IF(B1910,IF(D1910=0,H1910,Rho*I1909+SQRT(1-Rho^2)*H1910),"")</f>
        <v/>
      </c>
      <c r="J1910">
        <f>IF(B1910,IF(Dist="Normal",DistA+DistB*I1910,DistA+(DistB-DistA)*NORMSDIST(I1910)),"")</f>
        <v/>
      </c>
      <c r="K1910">
        <f>IF(B1910,INDEX(MineScale,C1910),"")</f>
        <v/>
      </c>
      <c r="L1910">
        <f>IF(B1910,INDEX(Dow,1,WEEKDAY(E1910,2)),"")</f>
        <v/>
      </c>
      <c r="M1910">
        <f>IF(B1910,(1+Trend)^D1910,"")</f>
        <v/>
      </c>
      <c r="N1910">
        <f>IF(B1910,EXP(SUMPRODUCT(LN(1+(EvEff-1)*INDEX(Affected,0,C1910)*EXP(-((E1910-EvCenter)^2)/(2*EvSigma^2))))),"")</f>
        <v/>
      </c>
      <c r="O1910">
        <f>IF(B1910,ROUND(MAX(0,J1910*K1910*L1910*M1910*N1910),2),"")</f>
        <v/>
      </c>
    </row>
    <row r="1911">
      <c r="A1911" t="n">
        <v>1910</v>
      </c>
      <c r="B1911">
        <f>A1911&lt;=MineCount*Days</f>
        <v/>
      </c>
      <c r="C1911">
        <f>IF(B1911,INT((A1911-1)/Days)+1,"")</f>
        <v/>
      </c>
      <c r="D1911">
        <f>IF(B1911,MOD(A1911-1,Days),"")</f>
        <v/>
      </c>
      <c r="E1911" s="16">
        <f>IF(B1911,StartDate+D1911,"")</f>
        <v/>
      </c>
      <c r="F1911">
        <f>IF(B1911,MAX(MOD(SIN(Seed*0.1373+C1911*12.9898+D1911*78.233)*43758.5453,1),1E-9),"")</f>
        <v/>
      </c>
      <c r="G1911">
        <f>IF(B1911,MOD(SIN(Seed*0.5917+C1911*39.3468+D1911*11.135)*24634.6345,1),"")</f>
        <v/>
      </c>
      <c r="H1911">
        <f>IF(B1911,SQRT(-2*LN(F1911))*COS(2*PI()*G1911),"")</f>
        <v/>
      </c>
      <c r="I1911">
        <f>IF(B1911,IF(D1911=0,H1911,Rho*I1910+SQRT(1-Rho^2)*H1911),"")</f>
        <v/>
      </c>
      <c r="J1911">
        <f>IF(B1911,IF(Dist="Normal",DistA+DistB*I1911,DistA+(DistB-DistA)*NORMSDIST(I1911)),"")</f>
        <v/>
      </c>
      <c r="K1911">
        <f>IF(B1911,INDEX(MineScale,C1911),"")</f>
        <v/>
      </c>
      <c r="L1911">
        <f>IF(B1911,INDEX(Dow,1,WEEKDAY(E1911,2)),"")</f>
        <v/>
      </c>
      <c r="M1911">
        <f>IF(B1911,(1+Trend)^D1911,"")</f>
        <v/>
      </c>
      <c r="N1911">
        <f>IF(B1911,EXP(SUMPRODUCT(LN(1+(EvEff-1)*INDEX(Affected,0,C1911)*EXP(-((E1911-EvCenter)^2)/(2*EvSigma^2))))),"")</f>
        <v/>
      </c>
      <c r="O1911">
        <f>IF(B1911,ROUND(MAX(0,J1911*K1911*L1911*M1911*N1911),2),"")</f>
        <v/>
      </c>
    </row>
    <row r="1912">
      <c r="A1912" t="n">
        <v>1911</v>
      </c>
      <c r="B1912">
        <f>A1912&lt;=MineCount*Days</f>
        <v/>
      </c>
      <c r="C1912">
        <f>IF(B1912,INT((A1912-1)/Days)+1,"")</f>
        <v/>
      </c>
      <c r="D1912">
        <f>IF(B1912,MOD(A1912-1,Days),"")</f>
        <v/>
      </c>
      <c r="E1912" s="16">
        <f>IF(B1912,StartDate+D1912,"")</f>
        <v/>
      </c>
      <c r="F1912">
        <f>IF(B1912,MAX(MOD(SIN(Seed*0.1373+C1912*12.9898+D1912*78.233)*43758.5453,1),1E-9),"")</f>
        <v/>
      </c>
      <c r="G1912">
        <f>IF(B1912,MOD(SIN(Seed*0.5917+C1912*39.3468+D1912*11.135)*24634.6345,1),"")</f>
        <v/>
      </c>
      <c r="H1912">
        <f>IF(B1912,SQRT(-2*LN(F1912))*COS(2*PI()*G1912),"")</f>
        <v/>
      </c>
      <c r="I1912">
        <f>IF(B1912,IF(D1912=0,H1912,Rho*I1911+SQRT(1-Rho^2)*H1912),"")</f>
        <v/>
      </c>
      <c r="J1912">
        <f>IF(B1912,IF(Dist="Normal",DistA+DistB*I1912,DistA+(DistB-DistA)*NORMSDIST(I1912)),"")</f>
        <v/>
      </c>
      <c r="K1912">
        <f>IF(B1912,INDEX(MineScale,C1912),"")</f>
        <v/>
      </c>
      <c r="L1912">
        <f>IF(B1912,INDEX(Dow,1,WEEKDAY(E1912,2)),"")</f>
        <v/>
      </c>
      <c r="M1912">
        <f>IF(B1912,(1+Trend)^D1912,"")</f>
        <v/>
      </c>
      <c r="N1912">
        <f>IF(B1912,EXP(SUMPRODUCT(LN(1+(EvEff-1)*INDEX(Affected,0,C1912)*EXP(-((E1912-EvCenter)^2)/(2*EvSigma^2))))),"")</f>
        <v/>
      </c>
      <c r="O1912">
        <f>IF(B1912,ROUND(MAX(0,J1912*K1912*L1912*M1912*N1912),2),"")</f>
        <v/>
      </c>
    </row>
    <row r="1913">
      <c r="A1913" t="n">
        <v>1912</v>
      </c>
      <c r="B1913">
        <f>A1913&lt;=MineCount*Days</f>
        <v/>
      </c>
      <c r="C1913">
        <f>IF(B1913,INT((A1913-1)/Days)+1,"")</f>
        <v/>
      </c>
      <c r="D1913">
        <f>IF(B1913,MOD(A1913-1,Days),"")</f>
        <v/>
      </c>
      <c r="E1913" s="16">
        <f>IF(B1913,StartDate+D1913,"")</f>
        <v/>
      </c>
      <c r="F1913">
        <f>IF(B1913,MAX(MOD(SIN(Seed*0.1373+C1913*12.9898+D1913*78.233)*43758.5453,1),1E-9),"")</f>
        <v/>
      </c>
      <c r="G1913">
        <f>IF(B1913,MOD(SIN(Seed*0.5917+C1913*39.3468+D1913*11.135)*24634.6345,1),"")</f>
        <v/>
      </c>
      <c r="H1913">
        <f>IF(B1913,SQRT(-2*LN(F1913))*COS(2*PI()*G1913),"")</f>
        <v/>
      </c>
      <c r="I1913">
        <f>IF(B1913,IF(D1913=0,H1913,Rho*I1912+SQRT(1-Rho^2)*H1913),"")</f>
        <v/>
      </c>
      <c r="J1913">
        <f>IF(B1913,IF(Dist="Normal",DistA+DistB*I1913,DistA+(DistB-DistA)*NORMSDIST(I1913)),"")</f>
        <v/>
      </c>
      <c r="K1913">
        <f>IF(B1913,INDEX(MineScale,C1913),"")</f>
        <v/>
      </c>
      <c r="L1913">
        <f>IF(B1913,INDEX(Dow,1,WEEKDAY(E1913,2)),"")</f>
        <v/>
      </c>
      <c r="M1913">
        <f>IF(B1913,(1+Trend)^D1913,"")</f>
        <v/>
      </c>
      <c r="N1913">
        <f>IF(B1913,EXP(SUMPRODUCT(LN(1+(EvEff-1)*INDEX(Affected,0,C1913)*EXP(-((E1913-EvCenter)^2)/(2*EvSigma^2))))),"")</f>
        <v/>
      </c>
      <c r="O1913">
        <f>IF(B1913,ROUND(MAX(0,J1913*K1913*L1913*M1913*N1913),2),"")</f>
        <v/>
      </c>
    </row>
    <row r="1914">
      <c r="A1914" t="n">
        <v>1913</v>
      </c>
      <c r="B1914">
        <f>A1914&lt;=MineCount*Days</f>
        <v/>
      </c>
      <c r="C1914">
        <f>IF(B1914,INT((A1914-1)/Days)+1,"")</f>
        <v/>
      </c>
      <c r="D1914">
        <f>IF(B1914,MOD(A1914-1,Days),"")</f>
        <v/>
      </c>
      <c r="E1914" s="16">
        <f>IF(B1914,StartDate+D1914,"")</f>
        <v/>
      </c>
      <c r="F1914">
        <f>IF(B1914,MAX(MOD(SIN(Seed*0.1373+C1914*12.9898+D1914*78.233)*43758.5453,1),1E-9),"")</f>
        <v/>
      </c>
      <c r="G1914">
        <f>IF(B1914,MOD(SIN(Seed*0.5917+C1914*39.3468+D1914*11.135)*24634.6345,1),"")</f>
        <v/>
      </c>
      <c r="H1914">
        <f>IF(B1914,SQRT(-2*LN(F1914))*COS(2*PI()*G1914),"")</f>
        <v/>
      </c>
      <c r="I1914">
        <f>IF(B1914,IF(D1914=0,H1914,Rho*I1913+SQRT(1-Rho^2)*H1914),"")</f>
        <v/>
      </c>
      <c r="J1914">
        <f>IF(B1914,IF(Dist="Normal",DistA+DistB*I1914,DistA+(DistB-DistA)*NORMSDIST(I1914)),"")</f>
        <v/>
      </c>
      <c r="K1914">
        <f>IF(B1914,INDEX(MineScale,C1914),"")</f>
        <v/>
      </c>
      <c r="L1914">
        <f>IF(B1914,INDEX(Dow,1,WEEKDAY(E1914,2)),"")</f>
        <v/>
      </c>
      <c r="M1914">
        <f>IF(B1914,(1+Trend)^D1914,"")</f>
        <v/>
      </c>
      <c r="N1914">
        <f>IF(B1914,EXP(SUMPRODUCT(LN(1+(EvEff-1)*INDEX(Affected,0,C1914)*EXP(-((E1914-EvCenter)^2)/(2*EvSigma^2))))),"")</f>
        <v/>
      </c>
      <c r="O1914">
        <f>IF(B1914,ROUND(MAX(0,J1914*K1914*L1914*M1914*N1914),2),"")</f>
        <v/>
      </c>
    </row>
    <row r="1915">
      <c r="A1915" t="n">
        <v>1914</v>
      </c>
      <c r="B1915">
        <f>A1915&lt;=MineCount*Days</f>
        <v/>
      </c>
      <c r="C1915">
        <f>IF(B1915,INT((A1915-1)/Days)+1,"")</f>
        <v/>
      </c>
      <c r="D1915">
        <f>IF(B1915,MOD(A1915-1,Days),"")</f>
        <v/>
      </c>
      <c r="E1915" s="16">
        <f>IF(B1915,StartDate+D1915,"")</f>
        <v/>
      </c>
      <c r="F1915">
        <f>IF(B1915,MAX(MOD(SIN(Seed*0.1373+C1915*12.9898+D1915*78.233)*43758.5453,1),1E-9),"")</f>
        <v/>
      </c>
      <c r="G1915">
        <f>IF(B1915,MOD(SIN(Seed*0.5917+C1915*39.3468+D1915*11.135)*24634.6345,1),"")</f>
        <v/>
      </c>
      <c r="H1915">
        <f>IF(B1915,SQRT(-2*LN(F1915))*COS(2*PI()*G1915),"")</f>
        <v/>
      </c>
      <c r="I1915">
        <f>IF(B1915,IF(D1915=0,H1915,Rho*I1914+SQRT(1-Rho^2)*H1915),"")</f>
        <v/>
      </c>
      <c r="J1915">
        <f>IF(B1915,IF(Dist="Normal",DistA+DistB*I1915,DistA+(DistB-DistA)*NORMSDIST(I1915)),"")</f>
        <v/>
      </c>
      <c r="K1915">
        <f>IF(B1915,INDEX(MineScale,C1915),"")</f>
        <v/>
      </c>
      <c r="L1915">
        <f>IF(B1915,INDEX(Dow,1,WEEKDAY(E1915,2)),"")</f>
        <v/>
      </c>
      <c r="M1915">
        <f>IF(B1915,(1+Trend)^D1915,"")</f>
        <v/>
      </c>
      <c r="N1915">
        <f>IF(B1915,EXP(SUMPRODUCT(LN(1+(EvEff-1)*INDEX(Affected,0,C1915)*EXP(-((E1915-EvCenter)^2)/(2*EvSigma^2))))),"")</f>
        <v/>
      </c>
      <c r="O1915">
        <f>IF(B1915,ROUND(MAX(0,J1915*K1915*L1915*M1915*N1915),2),"")</f>
        <v/>
      </c>
    </row>
    <row r="1916">
      <c r="A1916" t="n">
        <v>1915</v>
      </c>
      <c r="B1916">
        <f>A1916&lt;=MineCount*Days</f>
        <v/>
      </c>
      <c r="C1916">
        <f>IF(B1916,INT((A1916-1)/Days)+1,"")</f>
        <v/>
      </c>
      <c r="D1916">
        <f>IF(B1916,MOD(A1916-1,Days),"")</f>
        <v/>
      </c>
      <c r="E1916" s="16">
        <f>IF(B1916,StartDate+D1916,"")</f>
        <v/>
      </c>
      <c r="F1916">
        <f>IF(B1916,MAX(MOD(SIN(Seed*0.1373+C1916*12.9898+D1916*78.233)*43758.5453,1),1E-9),"")</f>
        <v/>
      </c>
      <c r="G1916">
        <f>IF(B1916,MOD(SIN(Seed*0.5917+C1916*39.3468+D1916*11.135)*24634.6345,1),"")</f>
        <v/>
      </c>
      <c r="H1916">
        <f>IF(B1916,SQRT(-2*LN(F1916))*COS(2*PI()*G1916),"")</f>
        <v/>
      </c>
      <c r="I1916">
        <f>IF(B1916,IF(D1916=0,H1916,Rho*I1915+SQRT(1-Rho^2)*H1916),"")</f>
        <v/>
      </c>
      <c r="J1916">
        <f>IF(B1916,IF(Dist="Normal",DistA+DistB*I1916,DistA+(DistB-DistA)*NORMSDIST(I1916)),"")</f>
        <v/>
      </c>
      <c r="K1916">
        <f>IF(B1916,INDEX(MineScale,C1916),"")</f>
        <v/>
      </c>
      <c r="L1916">
        <f>IF(B1916,INDEX(Dow,1,WEEKDAY(E1916,2)),"")</f>
        <v/>
      </c>
      <c r="M1916">
        <f>IF(B1916,(1+Trend)^D1916,"")</f>
        <v/>
      </c>
      <c r="N1916">
        <f>IF(B1916,EXP(SUMPRODUCT(LN(1+(EvEff-1)*INDEX(Affected,0,C1916)*EXP(-((E1916-EvCenter)^2)/(2*EvSigma^2))))),"")</f>
        <v/>
      </c>
      <c r="O1916">
        <f>IF(B1916,ROUND(MAX(0,J1916*K1916*L1916*M1916*N1916),2),"")</f>
        <v/>
      </c>
    </row>
    <row r="1917">
      <c r="A1917" t="n">
        <v>1916</v>
      </c>
      <c r="B1917">
        <f>A1917&lt;=MineCount*Days</f>
        <v/>
      </c>
      <c r="C1917">
        <f>IF(B1917,INT((A1917-1)/Days)+1,"")</f>
        <v/>
      </c>
      <c r="D1917">
        <f>IF(B1917,MOD(A1917-1,Days),"")</f>
        <v/>
      </c>
      <c r="E1917" s="16">
        <f>IF(B1917,StartDate+D1917,"")</f>
        <v/>
      </c>
      <c r="F1917">
        <f>IF(B1917,MAX(MOD(SIN(Seed*0.1373+C1917*12.9898+D1917*78.233)*43758.5453,1),1E-9),"")</f>
        <v/>
      </c>
      <c r="G1917">
        <f>IF(B1917,MOD(SIN(Seed*0.5917+C1917*39.3468+D1917*11.135)*24634.6345,1),"")</f>
        <v/>
      </c>
      <c r="H1917">
        <f>IF(B1917,SQRT(-2*LN(F1917))*COS(2*PI()*G1917),"")</f>
        <v/>
      </c>
      <c r="I1917">
        <f>IF(B1917,IF(D1917=0,H1917,Rho*I1916+SQRT(1-Rho^2)*H1917),"")</f>
        <v/>
      </c>
      <c r="J1917">
        <f>IF(B1917,IF(Dist="Normal",DistA+DistB*I1917,DistA+(DistB-DistA)*NORMSDIST(I1917)),"")</f>
        <v/>
      </c>
      <c r="K1917">
        <f>IF(B1917,INDEX(MineScale,C1917),"")</f>
        <v/>
      </c>
      <c r="L1917">
        <f>IF(B1917,INDEX(Dow,1,WEEKDAY(E1917,2)),"")</f>
        <v/>
      </c>
      <c r="M1917">
        <f>IF(B1917,(1+Trend)^D1917,"")</f>
        <v/>
      </c>
      <c r="N1917">
        <f>IF(B1917,EXP(SUMPRODUCT(LN(1+(EvEff-1)*INDEX(Affected,0,C1917)*EXP(-((E1917-EvCenter)^2)/(2*EvSigma^2))))),"")</f>
        <v/>
      </c>
      <c r="O1917">
        <f>IF(B1917,ROUND(MAX(0,J1917*K1917*L1917*M1917*N1917),2),"")</f>
        <v/>
      </c>
    </row>
    <row r="1918">
      <c r="A1918" t="n">
        <v>1917</v>
      </c>
      <c r="B1918">
        <f>A1918&lt;=MineCount*Days</f>
        <v/>
      </c>
      <c r="C1918">
        <f>IF(B1918,INT((A1918-1)/Days)+1,"")</f>
        <v/>
      </c>
      <c r="D1918">
        <f>IF(B1918,MOD(A1918-1,Days),"")</f>
        <v/>
      </c>
      <c r="E1918" s="16">
        <f>IF(B1918,StartDate+D1918,"")</f>
        <v/>
      </c>
      <c r="F1918">
        <f>IF(B1918,MAX(MOD(SIN(Seed*0.1373+C1918*12.9898+D1918*78.233)*43758.5453,1),1E-9),"")</f>
        <v/>
      </c>
      <c r="G1918">
        <f>IF(B1918,MOD(SIN(Seed*0.5917+C1918*39.3468+D1918*11.135)*24634.6345,1),"")</f>
        <v/>
      </c>
      <c r="H1918">
        <f>IF(B1918,SQRT(-2*LN(F1918))*COS(2*PI()*G1918),"")</f>
        <v/>
      </c>
      <c r="I1918">
        <f>IF(B1918,IF(D1918=0,H1918,Rho*I1917+SQRT(1-Rho^2)*H1918),"")</f>
        <v/>
      </c>
      <c r="J1918">
        <f>IF(B1918,IF(Dist="Normal",DistA+DistB*I1918,DistA+(DistB-DistA)*NORMSDIST(I1918)),"")</f>
        <v/>
      </c>
      <c r="K1918">
        <f>IF(B1918,INDEX(MineScale,C1918),"")</f>
        <v/>
      </c>
      <c r="L1918">
        <f>IF(B1918,INDEX(Dow,1,WEEKDAY(E1918,2)),"")</f>
        <v/>
      </c>
      <c r="M1918">
        <f>IF(B1918,(1+Trend)^D1918,"")</f>
        <v/>
      </c>
      <c r="N1918">
        <f>IF(B1918,EXP(SUMPRODUCT(LN(1+(EvEff-1)*INDEX(Affected,0,C1918)*EXP(-((E1918-EvCenter)^2)/(2*EvSigma^2))))),"")</f>
        <v/>
      </c>
      <c r="O1918">
        <f>IF(B1918,ROUND(MAX(0,J1918*K1918*L1918*M1918*N1918),2),"")</f>
        <v/>
      </c>
    </row>
    <row r="1919">
      <c r="A1919" t="n">
        <v>1918</v>
      </c>
      <c r="B1919">
        <f>A1919&lt;=MineCount*Days</f>
        <v/>
      </c>
      <c r="C1919">
        <f>IF(B1919,INT((A1919-1)/Days)+1,"")</f>
        <v/>
      </c>
      <c r="D1919">
        <f>IF(B1919,MOD(A1919-1,Days),"")</f>
        <v/>
      </c>
      <c r="E1919" s="16">
        <f>IF(B1919,StartDate+D1919,"")</f>
        <v/>
      </c>
      <c r="F1919">
        <f>IF(B1919,MAX(MOD(SIN(Seed*0.1373+C1919*12.9898+D1919*78.233)*43758.5453,1),1E-9),"")</f>
        <v/>
      </c>
      <c r="G1919">
        <f>IF(B1919,MOD(SIN(Seed*0.5917+C1919*39.3468+D1919*11.135)*24634.6345,1),"")</f>
        <v/>
      </c>
      <c r="H1919">
        <f>IF(B1919,SQRT(-2*LN(F1919))*COS(2*PI()*G1919),"")</f>
        <v/>
      </c>
      <c r="I1919">
        <f>IF(B1919,IF(D1919=0,H1919,Rho*I1918+SQRT(1-Rho^2)*H1919),"")</f>
        <v/>
      </c>
      <c r="J1919">
        <f>IF(B1919,IF(Dist="Normal",DistA+DistB*I1919,DistA+(DistB-DistA)*NORMSDIST(I1919)),"")</f>
        <v/>
      </c>
      <c r="K1919">
        <f>IF(B1919,INDEX(MineScale,C1919),"")</f>
        <v/>
      </c>
      <c r="L1919">
        <f>IF(B1919,INDEX(Dow,1,WEEKDAY(E1919,2)),"")</f>
        <v/>
      </c>
      <c r="M1919">
        <f>IF(B1919,(1+Trend)^D1919,"")</f>
        <v/>
      </c>
      <c r="N1919">
        <f>IF(B1919,EXP(SUMPRODUCT(LN(1+(EvEff-1)*INDEX(Affected,0,C1919)*EXP(-((E1919-EvCenter)^2)/(2*EvSigma^2))))),"")</f>
        <v/>
      </c>
      <c r="O1919">
        <f>IF(B1919,ROUND(MAX(0,J1919*K1919*L1919*M1919*N1919),2),"")</f>
        <v/>
      </c>
    </row>
    <row r="1920">
      <c r="A1920" t="n">
        <v>1919</v>
      </c>
      <c r="B1920">
        <f>A1920&lt;=MineCount*Days</f>
        <v/>
      </c>
      <c r="C1920">
        <f>IF(B1920,INT((A1920-1)/Days)+1,"")</f>
        <v/>
      </c>
      <c r="D1920">
        <f>IF(B1920,MOD(A1920-1,Days),"")</f>
        <v/>
      </c>
      <c r="E1920" s="16">
        <f>IF(B1920,StartDate+D1920,"")</f>
        <v/>
      </c>
      <c r="F1920">
        <f>IF(B1920,MAX(MOD(SIN(Seed*0.1373+C1920*12.9898+D1920*78.233)*43758.5453,1),1E-9),"")</f>
        <v/>
      </c>
      <c r="G1920">
        <f>IF(B1920,MOD(SIN(Seed*0.5917+C1920*39.3468+D1920*11.135)*24634.6345,1),"")</f>
        <v/>
      </c>
      <c r="H1920">
        <f>IF(B1920,SQRT(-2*LN(F1920))*COS(2*PI()*G1920),"")</f>
        <v/>
      </c>
      <c r="I1920">
        <f>IF(B1920,IF(D1920=0,H1920,Rho*I1919+SQRT(1-Rho^2)*H1920),"")</f>
        <v/>
      </c>
      <c r="J1920">
        <f>IF(B1920,IF(Dist="Normal",DistA+DistB*I1920,DistA+(DistB-DistA)*NORMSDIST(I1920)),"")</f>
        <v/>
      </c>
      <c r="K1920">
        <f>IF(B1920,INDEX(MineScale,C1920),"")</f>
        <v/>
      </c>
      <c r="L1920">
        <f>IF(B1920,INDEX(Dow,1,WEEKDAY(E1920,2)),"")</f>
        <v/>
      </c>
      <c r="M1920">
        <f>IF(B1920,(1+Trend)^D1920,"")</f>
        <v/>
      </c>
      <c r="N1920">
        <f>IF(B1920,EXP(SUMPRODUCT(LN(1+(EvEff-1)*INDEX(Affected,0,C1920)*EXP(-((E1920-EvCenter)^2)/(2*EvSigma^2))))),"")</f>
        <v/>
      </c>
      <c r="O1920">
        <f>IF(B1920,ROUND(MAX(0,J1920*K1920*L1920*M1920*N1920),2),"")</f>
        <v/>
      </c>
    </row>
    <row r="1921">
      <c r="A1921" t="n">
        <v>1920</v>
      </c>
      <c r="B1921">
        <f>A1921&lt;=MineCount*Days</f>
        <v/>
      </c>
      <c r="C1921">
        <f>IF(B1921,INT((A1921-1)/Days)+1,"")</f>
        <v/>
      </c>
      <c r="D1921">
        <f>IF(B1921,MOD(A1921-1,Days),"")</f>
        <v/>
      </c>
      <c r="E1921" s="16">
        <f>IF(B1921,StartDate+D1921,"")</f>
        <v/>
      </c>
      <c r="F1921">
        <f>IF(B1921,MAX(MOD(SIN(Seed*0.1373+C1921*12.9898+D1921*78.233)*43758.5453,1),1E-9),"")</f>
        <v/>
      </c>
      <c r="G1921">
        <f>IF(B1921,MOD(SIN(Seed*0.5917+C1921*39.3468+D1921*11.135)*24634.6345,1),"")</f>
        <v/>
      </c>
      <c r="H1921">
        <f>IF(B1921,SQRT(-2*LN(F1921))*COS(2*PI()*G1921),"")</f>
        <v/>
      </c>
      <c r="I1921">
        <f>IF(B1921,IF(D1921=0,H1921,Rho*I1920+SQRT(1-Rho^2)*H1921),"")</f>
        <v/>
      </c>
      <c r="J1921">
        <f>IF(B1921,IF(Dist="Normal",DistA+DistB*I1921,DistA+(DistB-DistA)*NORMSDIST(I1921)),"")</f>
        <v/>
      </c>
      <c r="K1921">
        <f>IF(B1921,INDEX(MineScale,C1921),"")</f>
        <v/>
      </c>
      <c r="L1921">
        <f>IF(B1921,INDEX(Dow,1,WEEKDAY(E1921,2)),"")</f>
        <v/>
      </c>
      <c r="M1921">
        <f>IF(B1921,(1+Trend)^D1921,"")</f>
        <v/>
      </c>
      <c r="N1921">
        <f>IF(B1921,EXP(SUMPRODUCT(LN(1+(EvEff-1)*INDEX(Affected,0,C1921)*EXP(-((E1921-EvCenter)^2)/(2*EvSigma^2))))),"")</f>
        <v/>
      </c>
      <c r="O1921">
        <f>IF(B1921,ROUND(MAX(0,J1921*K1921*L1921*M1921*N1921),2),"")</f>
        <v/>
      </c>
    </row>
    <row r="1922">
      <c r="A1922" t="n">
        <v>1921</v>
      </c>
      <c r="B1922">
        <f>A1922&lt;=MineCount*Days</f>
        <v/>
      </c>
      <c r="C1922">
        <f>IF(B1922,INT((A1922-1)/Days)+1,"")</f>
        <v/>
      </c>
      <c r="D1922">
        <f>IF(B1922,MOD(A1922-1,Days),"")</f>
        <v/>
      </c>
      <c r="E1922" s="16">
        <f>IF(B1922,StartDate+D1922,"")</f>
        <v/>
      </c>
      <c r="F1922">
        <f>IF(B1922,MAX(MOD(SIN(Seed*0.1373+C1922*12.9898+D1922*78.233)*43758.5453,1),1E-9),"")</f>
        <v/>
      </c>
      <c r="G1922">
        <f>IF(B1922,MOD(SIN(Seed*0.5917+C1922*39.3468+D1922*11.135)*24634.6345,1),"")</f>
        <v/>
      </c>
      <c r="H1922">
        <f>IF(B1922,SQRT(-2*LN(F1922))*COS(2*PI()*G1922),"")</f>
        <v/>
      </c>
      <c r="I1922">
        <f>IF(B1922,IF(D1922=0,H1922,Rho*I1921+SQRT(1-Rho^2)*H1922),"")</f>
        <v/>
      </c>
      <c r="J1922">
        <f>IF(B1922,IF(Dist="Normal",DistA+DistB*I1922,DistA+(DistB-DistA)*NORMSDIST(I1922)),"")</f>
        <v/>
      </c>
      <c r="K1922">
        <f>IF(B1922,INDEX(MineScale,C1922),"")</f>
        <v/>
      </c>
      <c r="L1922">
        <f>IF(B1922,INDEX(Dow,1,WEEKDAY(E1922,2)),"")</f>
        <v/>
      </c>
      <c r="M1922">
        <f>IF(B1922,(1+Trend)^D1922,"")</f>
        <v/>
      </c>
      <c r="N1922">
        <f>IF(B1922,EXP(SUMPRODUCT(LN(1+(EvEff-1)*INDEX(Affected,0,C1922)*EXP(-((E1922-EvCenter)^2)/(2*EvSigma^2))))),"")</f>
        <v/>
      </c>
      <c r="O1922">
        <f>IF(B1922,ROUND(MAX(0,J1922*K1922*L1922*M1922*N1922),2),"")</f>
        <v/>
      </c>
    </row>
    <row r="1923">
      <c r="A1923" t="n">
        <v>1922</v>
      </c>
      <c r="B1923">
        <f>A1923&lt;=MineCount*Days</f>
        <v/>
      </c>
      <c r="C1923">
        <f>IF(B1923,INT((A1923-1)/Days)+1,"")</f>
        <v/>
      </c>
      <c r="D1923">
        <f>IF(B1923,MOD(A1923-1,Days),"")</f>
        <v/>
      </c>
      <c r="E1923" s="16">
        <f>IF(B1923,StartDate+D1923,"")</f>
        <v/>
      </c>
      <c r="F1923">
        <f>IF(B1923,MAX(MOD(SIN(Seed*0.1373+C1923*12.9898+D1923*78.233)*43758.5453,1),1E-9),"")</f>
        <v/>
      </c>
      <c r="G1923">
        <f>IF(B1923,MOD(SIN(Seed*0.5917+C1923*39.3468+D1923*11.135)*24634.6345,1),"")</f>
        <v/>
      </c>
      <c r="H1923">
        <f>IF(B1923,SQRT(-2*LN(F1923))*COS(2*PI()*G1923),"")</f>
        <v/>
      </c>
      <c r="I1923">
        <f>IF(B1923,IF(D1923=0,H1923,Rho*I1922+SQRT(1-Rho^2)*H1923),"")</f>
        <v/>
      </c>
      <c r="J1923">
        <f>IF(B1923,IF(Dist="Normal",DistA+DistB*I1923,DistA+(DistB-DistA)*NORMSDIST(I1923)),"")</f>
        <v/>
      </c>
      <c r="K1923">
        <f>IF(B1923,INDEX(MineScale,C1923),"")</f>
        <v/>
      </c>
      <c r="L1923">
        <f>IF(B1923,INDEX(Dow,1,WEEKDAY(E1923,2)),"")</f>
        <v/>
      </c>
      <c r="M1923">
        <f>IF(B1923,(1+Trend)^D1923,"")</f>
        <v/>
      </c>
      <c r="N1923">
        <f>IF(B1923,EXP(SUMPRODUCT(LN(1+(EvEff-1)*INDEX(Affected,0,C1923)*EXP(-((E1923-EvCenter)^2)/(2*EvSigma^2))))),"")</f>
        <v/>
      </c>
      <c r="O1923">
        <f>IF(B1923,ROUND(MAX(0,J1923*K1923*L1923*M1923*N1923),2),"")</f>
        <v/>
      </c>
    </row>
    <row r="1924">
      <c r="A1924" t="n">
        <v>1923</v>
      </c>
      <c r="B1924">
        <f>A1924&lt;=MineCount*Days</f>
        <v/>
      </c>
      <c r="C1924">
        <f>IF(B1924,INT((A1924-1)/Days)+1,"")</f>
        <v/>
      </c>
      <c r="D1924">
        <f>IF(B1924,MOD(A1924-1,Days),"")</f>
        <v/>
      </c>
      <c r="E1924" s="16">
        <f>IF(B1924,StartDate+D1924,"")</f>
        <v/>
      </c>
      <c r="F1924">
        <f>IF(B1924,MAX(MOD(SIN(Seed*0.1373+C1924*12.9898+D1924*78.233)*43758.5453,1),1E-9),"")</f>
        <v/>
      </c>
      <c r="G1924">
        <f>IF(B1924,MOD(SIN(Seed*0.5917+C1924*39.3468+D1924*11.135)*24634.6345,1),"")</f>
        <v/>
      </c>
      <c r="H1924">
        <f>IF(B1924,SQRT(-2*LN(F1924))*COS(2*PI()*G1924),"")</f>
        <v/>
      </c>
      <c r="I1924">
        <f>IF(B1924,IF(D1924=0,H1924,Rho*I1923+SQRT(1-Rho^2)*H1924),"")</f>
        <v/>
      </c>
      <c r="J1924">
        <f>IF(B1924,IF(Dist="Normal",DistA+DistB*I1924,DistA+(DistB-DistA)*NORMSDIST(I1924)),"")</f>
        <v/>
      </c>
      <c r="K1924">
        <f>IF(B1924,INDEX(MineScale,C1924),"")</f>
        <v/>
      </c>
      <c r="L1924">
        <f>IF(B1924,INDEX(Dow,1,WEEKDAY(E1924,2)),"")</f>
        <v/>
      </c>
      <c r="M1924">
        <f>IF(B1924,(1+Trend)^D1924,"")</f>
        <v/>
      </c>
      <c r="N1924">
        <f>IF(B1924,EXP(SUMPRODUCT(LN(1+(EvEff-1)*INDEX(Affected,0,C1924)*EXP(-((E1924-EvCenter)^2)/(2*EvSigma^2))))),"")</f>
        <v/>
      </c>
      <c r="O1924">
        <f>IF(B1924,ROUND(MAX(0,J1924*K1924*L1924*M1924*N1924),2),"")</f>
        <v/>
      </c>
    </row>
    <row r="1925">
      <c r="A1925" t="n">
        <v>1924</v>
      </c>
      <c r="B1925">
        <f>A1925&lt;=MineCount*Days</f>
        <v/>
      </c>
      <c r="C1925">
        <f>IF(B1925,INT((A1925-1)/Days)+1,"")</f>
        <v/>
      </c>
      <c r="D1925">
        <f>IF(B1925,MOD(A1925-1,Days),"")</f>
        <v/>
      </c>
      <c r="E1925" s="16">
        <f>IF(B1925,StartDate+D1925,"")</f>
        <v/>
      </c>
      <c r="F1925">
        <f>IF(B1925,MAX(MOD(SIN(Seed*0.1373+C1925*12.9898+D1925*78.233)*43758.5453,1),1E-9),"")</f>
        <v/>
      </c>
      <c r="G1925">
        <f>IF(B1925,MOD(SIN(Seed*0.5917+C1925*39.3468+D1925*11.135)*24634.6345,1),"")</f>
        <v/>
      </c>
      <c r="H1925">
        <f>IF(B1925,SQRT(-2*LN(F1925))*COS(2*PI()*G1925),"")</f>
        <v/>
      </c>
      <c r="I1925">
        <f>IF(B1925,IF(D1925=0,H1925,Rho*I1924+SQRT(1-Rho^2)*H1925),"")</f>
        <v/>
      </c>
      <c r="J1925">
        <f>IF(B1925,IF(Dist="Normal",DistA+DistB*I1925,DistA+(DistB-DistA)*NORMSDIST(I1925)),"")</f>
        <v/>
      </c>
      <c r="K1925">
        <f>IF(B1925,INDEX(MineScale,C1925),"")</f>
        <v/>
      </c>
      <c r="L1925">
        <f>IF(B1925,INDEX(Dow,1,WEEKDAY(E1925,2)),"")</f>
        <v/>
      </c>
      <c r="M1925">
        <f>IF(B1925,(1+Trend)^D1925,"")</f>
        <v/>
      </c>
      <c r="N1925">
        <f>IF(B1925,EXP(SUMPRODUCT(LN(1+(EvEff-1)*INDEX(Affected,0,C1925)*EXP(-((E1925-EvCenter)^2)/(2*EvSigma^2))))),"")</f>
        <v/>
      </c>
      <c r="O1925">
        <f>IF(B1925,ROUND(MAX(0,J1925*K1925*L1925*M1925*N1925),2),"")</f>
        <v/>
      </c>
    </row>
    <row r="1926">
      <c r="A1926" t="n">
        <v>1925</v>
      </c>
      <c r="B1926">
        <f>A1926&lt;=MineCount*Days</f>
        <v/>
      </c>
      <c r="C1926">
        <f>IF(B1926,INT((A1926-1)/Days)+1,"")</f>
        <v/>
      </c>
      <c r="D1926">
        <f>IF(B1926,MOD(A1926-1,Days),"")</f>
        <v/>
      </c>
      <c r="E1926" s="16">
        <f>IF(B1926,StartDate+D1926,"")</f>
        <v/>
      </c>
      <c r="F1926">
        <f>IF(B1926,MAX(MOD(SIN(Seed*0.1373+C1926*12.9898+D1926*78.233)*43758.5453,1),1E-9),"")</f>
        <v/>
      </c>
      <c r="G1926">
        <f>IF(B1926,MOD(SIN(Seed*0.5917+C1926*39.3468+D1926*11.135)*24634.6345,1),"")</f>
        <v/>
      </c>
      <c r="H1926">
        <f>IF(B1926,SQRT(-2*LN(F1926))*COS(2*PI()*G1926),"")</f>
        <v/>
      </c>
      <c r="I1926">
        <f>IF(B1926,IF(D1926=0,H1926,Rho*I1925+SQRT(1-Rho^2)*H1926),"")</f>
        <v/>
      </c>
      <c r="J1926">
        <f>IF(B1926,IF(Dist="Normal",DistA+DistB*I1926,DistA+(DistB-DistA)*NORMSDIST(I1926)),"")</f>
        <v/>
      </c>
      <c r="K1926">
        <f>IF(B1926,INDEX(MineScale,C1926),"")</f>
        <v/>
      </c>
      <c r="L1926">
        <f>IF(B1926,INDEX(Dow,1,WEEKDAY(E1926,2)),"")</f>
        <v/>
      </c>
      <c r="M1926">
        <f>IF(B1926,(1+Trend)^D1926,"")</f>
        <v/>
      </c>
      <c r="N1926">
        <f>IF(B1926,EXP(SUMPRODUCT(LN(1+(EvEff-1)*INDEX(Affected,0,C1926)*EXP(-((E1926-EvCenter)^2)/(2*EvSigma^2))))),"")</f>
        <v/>
      </c>
      <c r="O1926">
        <f>IF(B1926,ROUND(MAX(0,J1926*K1926*L1926*M1926*N1926),2),"")</f>
        <v/>
      </c>
    </row>
    <row r="1927">
      <c r="A1927" t="n">
        <v>1926</v>
      </c>
      <c r="B1927">
        <f>A1927&lt;=MineCount*Days</f>
        <v/>
      </c>
      <c r="C1927">
        <f>IF(B1927,INT((A1927-1)/Days)+1,"")</f>
        <v/>
      </c>
      <c r="D1927">
        <f>IF(B1927,MOD(A1927-1,Days),"")</f>
        <v/>
      </c>
      <c r="E1927" s="16">
        <f>IF(B1927,StartDate+D1927,"")</f>
        <v/>
      </c>
      <c r="F1927">
        <f>IF(B1927,MAX(MOD(SIN(Seed*0.1373+C1927*12.9898+D1927*78.233)*43758.5453,1),1E-9),"")</f>
        <v/>
      </c>
      <c r="G1927">
        <f>IF(B1927,MOD(SIN(Seed*0.5917+C1927*39.3468+D1927*11.135)*24634.6345,1),"")</f>
        <v/>
      </c>
      <c r="H1927">
        <f>IF(B1927,SQRT(-2*LN(F1927))*COS(2*PI()*G1927),"")</f>
        <v/>
      </c>
      <c r="I1927">
        <f>IF(B1927,IF(D1927=0,H1927,Rho*I1926+SQRT(1-Rho^2)*H1927),"")</f>
        <v/>
      </c>
      <c r="J1927">
        <f>IF(B1927,IF(Dist="Normal",DistA+DistB*I1927,DistA+(DistB-DistA)*NORMSDIST(I1927)),"")</f>
        <v/>
      </c>
      <c r="K1927">
        <f>IF(B1927,INDEX(MineScale,C1927),"")</f>
        <v/>
      </c>
      <c r="L1927">
        <f>IF(B1927,INDEX(Dow,1,WEEKDAY(E1927,2)),"")</f>
        <v/>
      </c>
      <c r="M1927">
        <f>IF(B1927,(1+Trend)^D1927,"")</f>
        <v/>
      </c>
      <c r="N1927">
        <f>IF(B1927,EXP(SUMPRODUCT(LN(1+(EvEff-1)*INDEX(Affected,0,C1927)*EXP(-((E1927-EvCenter)^2)/(2*EvSigma^2))))),"")</f>
        <v/>
      </c>
      <c r="O1927">
        <f>IF(B1927,ROUND(MAX(0,J1927*K1927*L1927*M1927*N1927),2),"")</f>
        <v/>
      </c>
    </row>
    <row r="1928">
      <c r="A1928" t="n">
        <v>1927</v>
      </c>
      <c r="B1928">
        <f>A1928&lt;=MineCount*Days</f>
        <v/>
      </c>
      <c r="C1928">
        <f>IF(B1928,INT((A1928-1)/Days)+1,"")</f>
        <v/>
      </c>
      <c r="D1928">
        <f>IF(B1928,MOD(A1928-1,Days),"")</f>
        <v/>
      </c>
      <c r="E1928" s="16">
        <f>IF(B1928,StartDate+D1928,"")</f>
        <v/>
      </c>
      <c r="F1928">
        <f>IF(B1928,MAX(MOD(SIN(Seed*0.1373+C1928*12.9898+D1928*78.233)*43758.5453,1),1E-9),"")</f>
        <v/>
      </c>
      <c r="G1928">
        <f>IF(B1928,MOD(SIN(Seed*0.5917+C1928*39.3468+D1928*11.135)*24634.6345,1),"")</f>
        <v/>
      </c>
      <c r="H1928">
        <f>IF(B1928,SQRT(-2*LN(F1928))*COS(2*PI()*G1928),"")</f>
        <v/>
      </c>
      <c r="I1928">
        <f>IF(B1928,IF(D1928=0,H1928,Rho*I1927+SQRT(1-Rho^2)*H1928),"")</f>
        <v/>
      </c>
      <c r="J1928">
        <f>IF(B1928,IF(Dist="Normal",DistA+DistB*I1928,DistA+(DistB-DistA)*NORMSDIST(I1928)),"")</f>
        <v/>
      </c>
      <c r="K1928">
        <f>IF(B1928,INDEX(MineScale,C1928),"")</f>
        <v/>
      </c>
      <c r="L1928">
        <f>IF(B1928,INDEX(Dow,1,WEEKDAY(E1928,2)),"")</f>
        <v/>
      </c>
      <c r="M1928">
        <f>IF(B1928,(1+Trend)^D1928,"")</f>
        <v/>
      </c>
      <c r="N1928">
        <f>IF(B1928,EXP(SUMPRODUCT(LN(1+(EvEff-1)*INDEX(Affected,0,C1928)*EXP(-((E1928-EvCenter)^2)/(2*EvSigma^2))))),"")</f>
        <v/>
      </c>
      <c r="O1928">
        <f>IF(B1928,ROUND(MAX(0,J1928*K1928*L1928*M1928*N1928),2),"")</f>
        <v/>
      </c>
    </row>
    <row r="1929">
      <c r="A1929" t="n">
        <v>1928</v>
      </c>
      <c r="B1929">
        <f>A1929&lt;=MineCount*Days</f>
        <v/>
      </c>
      <c r="C1929">
        <f>IF(B1929,INT((A1929-1)/Days)+1,"")</f>
        <v/>
      </c>
      <c r="D1929">
        <f>IF(B1929,MOD(A1929-1,Days),"")</f>
        <v/>
      </c>
      <c r="E1929" s="16">
        <f>IF(B1929,StartDate+D1929,"")</f>
        <v/>
      </c>
      <c r="F1929">
        <f>IF(B1929,MAX(MOD(SIN(Seed*0.1373+C1929*12.9898+D1929*78.233)*43758.5453,1),1E-9),"")</f>
        <v/>
      </c>
      <c r="G1929">
        <f>IF(B1929,MOD(SIN(Seed*0.5917+C1929*39.3468+D1929*11.135)*24634.6345,1),"")</f>
        <v/>
      </c>
      <c r="H1929">
        <f>IF(B1929,SQRT(-2*LN(F1929))*COS(2*PI()*G1929),"")</f>
        <v/>
      </c>
      <c r="I1929">
        <f>IF(B1929,IF(D1929=0,H1929,Rho*I1928+SQRT(1-Rho^2)*H1929),"")</f>
        <v/>
      </c>
      <c r="J1929">
        <f>IF(B1929,IF(Dist="Normal",DistA+DistB*I1929,DistA+(DistB-DistA)*NORMSDIST(I1929)),"")</f>
        <v/>
      </c>
      <c r="K1929">
        <f>IF(B1929,INDEX(MineScale,C1929),"")</f>
        <v/>
      </c>
      <c r="L1929">
        <f>IF(B1929,INDEX(Dow,1,WEEKDAY(E1929,2)),"")</f>
        <v/>
      </c>
      <c r="M1929">
        <f>IF(B1929,(1+Trend)^D1929,"")</f>
        <v/>
      </c>
      <c r="N1929">
        <f>IF(B1929,EXP(SUMPRODUCT(LN(1+(EvEff-1)*INDEX(Affected,0,C1929)*EXP(-((E1929-EvCenter)^2)/(2*EvSigma^2))))),"")</f>
        <v/>
      </c>
      <c r="O1929">
        <f>IF(B1929,ROUND(MAX(0,J1929*K1929*L1929*M1929*N1929),2),"")</f>
        <v/>
      </c>
    </row>
    <row r="1930">
      <c r="A1930" t="n">
        <v>1929</v>
      </c>
      <c r="B1930">
        <f>A1930&lt;=MineCount*Days</f>
        <v/>
      </c>
      <c r="C1930">
        <f>IF(B1930,INT((A1930-1)/Days)+1,"")</f>
        <v/>
      </c>
      <c r="D1930">
        <f>IF(B1930,MOD(A1930-1,Days),"")</f>
        <v/>
      </c>
      <c r="E1930" s="16">
        <f>IF(B1930,StartDate+D1930,"")</f>
        <v/>
      </c>
      <c r="F1930">
        <f>IF(B1930,MAX(MOD(SIN(Seed*0.1373+C1930*12.9898+D1930*78.233)*43758.5453,1),1E-9),"")</f>
        <v/>
      </c>
      <c r="G1930">
        <f>IF(B1930,MOD(SIN(Seed*0.5917+C1930*39.3468+D1930*11.135)*24634.6345,1),"")</f>
        <v/>
      </c>
      <c r="H1930">
        <f>IF(B1930,SQRT(-2*LN(F1930))*COS(2*PI()*G1930),"")</f>
        <v/>
      </c>
      <c r="I1930">
        <f>IF(B1930,IF(D1930=0,H1930,Rho*I1929+SQRT(1-Rho^2)*H1930),"")</f>
        <v/>
      </c>
      <c r="J1930">
        <f>IF(B1930,IF(Dist="Normal",DistA+DistB*I1930,DistA+(DistB-DistA)*NORMSDIST(I1930)),"")</f>
        <v/>
      </c>
      <c r="K1930">
        <f>IF(B1930,INDEX(MineScale,C1930),"")</f>
        <v/>
      </c>
      <c r="L1930">
        <f>IF(B1930,INDEX(Dow,1,WEEKDAY(E1930,2)),"")</f>
        <v/>
      </c>
      <c r="M1930">
        <f>IF(B1930,(1+Trend)^D1930,"")</f>
        <v/>
      </c>
      <c r="N1930">
        <f>IF(B1930,EXP(SUMPRODUCT(LN(1+(EvEff-1)*INDEX(Affected,0,C1930)*EXP(-((E1930-EvCenter)^2)/(2*EvSigma^2))))),"")</f>
        <v/>
      </c>
      <c r="O1930">
        <f>IF(B1930,ROUND(MAX(0,J1930*K1930*L1930*M1930*N1930),2),"")</f>
        <v/>
      </c>
    </row>
    <row r="1931">
      <c r="A1931" t="n">
        <v>1930</v>
      </c>
      <c r="B1931">
        <f>A1931&lt;=MineCount*Days</f>
        <v/>
      </c>
      <c r="C1931">
        <f>IF(B1931,INT((A1931-1)/Days)+1,"")</f>
        <v/>
      </c>
      <c r="D1931">
        <f>IF(B1931,MOD(A1931-1,Days),"")</f>
        <v/>
      </c>
      <c r="E1931" s="16">
        <f>IF(B1931,StartDate+D1931,"")</f>
        <v/>
      </c>
      <c r="F1931">
        <f>IF(B1931,MAX(MOD(SIN(Seed*0.1373+C1931*12.9898+D1931*78.233)*43758.5453,1),1E-9),"")</f>
        <v/>
      </c>
      <c r="G1931">
        <f>IF(B1931,MOD(SIN(Seed*0.5917+C1931*39.3468+D1931*11.135)*24634.6345,1),"")</f>
        <v/>
      </c>
      <c r="H1931">
        <f>IF(B1931,SQRT(-2*LN(F1931))*COS(2*PI()*G1931),"")</f>
        <v/>
      </c>
      <c r="I1931">
        <f>IF(B1931,IF(D1931=0,H1931,Rho*I1930+SQRT(1-Rho^2)*H1931),"")</f>
        <v/>
      </c>
      <c r="J1931">
        <f>IF(B1931,IF(Dist="Normal",DistA+DistB*I1931,DistA+(DistB-DistA)*NORMSDIST(I1931)),"")</f>
        <v/>
      </c>
      <c r="K1931">
        <f>IF(B1931,INDEX(MineScale,C1931),"")</f>
        <v/>
      </c>
      <c r="L1931">
        <f>IF(B1931,INDEX(Dow,1,WEEKDAY(E1931,2)),"")</f>
        <v/>
      </c>
      <c r="M1931">
        <f>IF(B1931,(1+Trend)^D1931,"")</f>
        <v/>
      </c>
      <c r="N1931">
        <f>IF(B1931,EXP(SUMPRODUCT(LN(1+(EvEff-1)*INDEX(Affected,0,C1931)*EXP(-((E1931-EvCenter)^2)/(2*EvSigma^2))))),"")</f>
        <v/>
      </c>
      <c r="O1931">
        <f>IF(B1931,ROUND(MAX(0,J1931*K1931*L1931*M1931*N1931),2),"")</f>
        <v/>
      </c>
    </row>
    <row r="1932">
      <c r="A1932" t="n">
        <v>1931</v>
      </c>
      <c r="B1932">
        <f>A1932&lt;=MineCount*Days</f>
        <v/>
      </c>
      <c r="C1932">
        <f>IF(B1932,INT((A1932-1)/Days)+1,"")</f>
        <v/>
      </c>
      <c r="D1932">
        <f>IF(B1932,MOD(A1932-1,Days),"")</f>
        <v/>
      </c>
      <c r="E1932" s="16">
        <f>IF(B1932,StartDate+D1932,"")</f>
        <v/>
      </c>
      <c r="F1932">
        <f>IF(B1932,MAX(MOD(SIN(Seed*0.1373+C1932*12.9898+D1932*78.233)*43758.5453,1),1E-9),"")</f>
        <v/>
      </c>
      <c r="G1932">
        <f>IF(B1932,MOD(SIN(Seed*0.5917+C1932*39.3468+D1932*11.135)*24634.6345,1),"")</f>
        <v/>
      </c>
      <c r="H1932">
        <f>IF(B1932,SQRT(-2*LN(F1932))*COS(2*PI()*G1932),"")</f>
        <v/>
      </c>
      <c r="I1932">
        <f>IF(B1932,IF(D1932=0,H1932,Rho*I1931+SQRT(1-Rho^2)*H1932),"")</f>
        <v/>
      </c>
      <c r="J1932">
        <f>IF(B1932,IF(Dist="Normal",DistA+DistB*I1932,DistA+(DistB-DistA)*NORMSDIST(I1932)),"")</f>
        <v/>
      </c>
      <c r="K1932">
        <f>IF(B1932,INDEX(MineScale,C1932),"")</f>
        <v/>
      </c>
      <c r="L1932">
        <f>IF(B1932,INDEX(Dow,1,WEEKDAY(E1932,2)),"")</f>
        <v/>
      </c>
      <c r="M1932">
        <f>IF(B1932,(1+Trend)^D1932,"")</f>
        <v/>
      </c>
      <c r="N1932">
        <f>IF(B1932,EXP(SUMPRODUCT(LN(1+(EvEff-1)*INDEX(Affected,0,C1932)*EXP(-((E1932-EvCenter)^2)/(2*EvSigma^2))))),"")</f>
        <v/>
      </c>
      <c r="O1932">
        <f>IF(B1932,ROUND(MAX(0,J1932*K1932*L1932*M1932*N1932),2),"")</f>
        <v/>
      </c>
    </row>
    <row r="1933">
      <c r="A1933" t="n">
        <v>1932</v>
      </c>
      <c r="B1933">
        <f>A1933&lt;=MineCount*Days</f>
        <v/>
      </c>
      <c r="C1933">
        <f>IF(B1933,INT((A1933-1)/Days)+1,"")</f>
        <v/>
      </c>
      <c r="D1933">
        <f>IF(B1933,MOD(A1933-1,Days),"")</f>
        <v/>
      </c>
      <c r="E1933" s="16">
        <f>IF(B1933,StartDate+D1933,"")</f>
        <v/>
      </c>
      <c r="F1933">
        <f>IF(B1933,MAX(MOD(SIN(Seed*0.1373+C1933*12.9898+D1933*78.233)*43758.5453,1),1E-9),"")</f>
        <v/>
      </c>
      <c r="G1933">
        <f>IF(B1933,MOD(SIN(Seed*0.5917+C1933*39.3468+D1933*11.135)*24634.6345,1),"")</f>
        <v/>
      </c>
      <c r="H1933">
        <f>IF(B1933,SQRT(-2*LN(F1933))*COS(2*PI()*G1933),"")</f>
        <v/>
      </c>
      <c r="I1933">
        <f>IF(B1933,IF(D1933=0,H1933,Rho*I1932+SQRT(1-Rho^2)*H1933),"")</f>
        <v/>
      </c>
      <c r="J1933">
        <f>IF(B1933,IF(Dist="Normal",DistA+DistB*I1933,DistA+(DistB-DistA)*NORMSDIST(I1933)),"")</f>
        <v/>
      </c>
      <c r="K1933">
        <f>IF(B1933,INDEX(MineScale,C1933),"")</f>
        <v/>
      </c>
      <c r="L1933">
        <f>IF(B1933,INDEX(Dow,1,WEEKDAY(E1933,2)),"")</f>
        <v/>
      </c>
      <c r="M1933">
        <f>IF(B1933,(1+Trend)^D1933,"")</f>
        <v/>
      </c>
      <c r="N1933">
        <f>IF(B1933,EXP(SUMPRODUCT(LN(1+(EvEff-1)*INDEX(Affected,0,C1933)*EXP(-((E1933-EvCenter)^2)/(2*EvSigma^2))))),"")</f>
        <v/>
      </c>
      <c r="O1933">
        <f>IF(B1933,ROUND(MAX(0,J1933*K1933*L1933*M1933*N1933),2),"")</f>
        <v/>
      </c>
    </row>
    <row r="1934">
      <c r="A1934" t="n">
        <v>1933</v>
      </c>
      <c r="B1934">
        <f>A1934&lt;=MineCount*Days</f>
        <v/>
      </c>
      <c r="C1934">
        <f>IF(B1934,INT((A1934-1)/Days)+1,"")</f>
        <v/>
      </c>
      <c r="D1934">
        <f>IF(B1934,MOD(A1934-1,Days),"")</f>
        <v/>
      </c>
      <c r="E1934" s="16">
        <f>IF(B1934,StartDate+D1934,"")</f>
        <v/>
      </c>
      <c r="F1934">
        <f>IF(B1934,MAX(MOD(SIN(Seed*0.1373+C1934*12.9898+D1934*78.233)*43758.5453,1),1E-9),"")</f>
        <v/>
      </c>
      <c r="G1934">
        <f>IF(B1934,MOD(SIN(Seed*0.5917+C1934*39.3468+D1934*11.135)*24634.6345,1),"")</f>
        <v/>
      </c>
      <c r="H1934">
        <f>IF(B1934,SQRT(-2*LN(F1934))*COS(2*PI()*G1934),"")</f>
        <v/>
      </c>
      <c r="I1934">
        <f>IF(B1934,IF(D1934=0,H1934,Rho*I1933+SQRT(1-Rho^2)*H1934),"")</f>
        <v/>
      </c>
      <c r="J1934">
        <f>IF(B1934,IF(Dist="Normal",DistA+DistB*I1934,DistA+(DistB-DistA)*NORMSDIST(I1934)),"")</f>
        <v/>
      </c>
      <c r="K1934">
        <f>IF(B1934,INDEX(MineScale,C1934),"")</f>
        <v/>
      </c>
      <c r="L1934">
        <f>IF(B1934,INDEX(Dow,1,WEEKDAY(E1934,2)),"")</f>
        <v/>
      </c>
      <c r="M1934">
        <f>IF(B1934,(1+Trend)^D1934,"")</f>
        <v/>
      </c>
      <c r="N1934">
        <f>IF(B1934,EXP(SUMPRODUCT(LN(1+(EvEff-1)*INDEX(Affected,0,C1934)*EXP(-((E1934-EvCenter)^2)/(2*EvSigma^2))))),"")</f>
        <v/>
      </c>
      <c r="O1934">
        <f>IF(B1934,ROUND(MAX(0,J1934*K1934*L1934*M1934*N1934),2),"")</f>
        <v/>
      </c>
    </row>
    <row r="1935">
      <c r="A1935" t="n">
        <v>1934</v>
      </c>
      <c r="B1935">
        <f>A1935&lt;=MineCount*Days</f>
        <v/>
      </c>
      <c r="C1935">
        <f>IF(B1935,INT((A1935-1)/Days)+1,"")</f>
        <v/>
      </c>
      <c r="D1935">
        <f>IF(B1935,MOD(A1935-1,Days),"")</f>
        <v/>
      </c>
      <c r="E1935" s="16">
        <f>IF(B1935,StartDate+D1935,"")</f>
        <v/>
      </c>
      <c r="F1935">
        <f>IF(B1935,MAX(MOD(SIN(Seed*0.1373+C1935*12.9898+D1935*78.233)*43758.5453,1),1E-9),"")</f>
        <v/>
      </c>
      <c r="G1935">
        <f>IF(B1935,MOD(SIN(Seed*0.5917+C1935*39.3468+D1935*11.135)*24634.6345,1),"")</f>
        <v/>
      </c>
      <c r="H1935">
        <f>IF(B1935,SQRT(-2*LN(F1935))*COS(2*PI()*G1935),"")</f>
        <v/>
      </c>
      <c r="I1935">
        <f>IF(B1935,IF(D1935=0,H1935,Rho*I1934+SQRT(1-Rho^2)*H1935),"")</f>
        <v/>
      </c>
      <c r="J1935">
        <f>IF(B1935,IF(Dist="Normal",DistA+DistB*I1935,DistA+(DistB-DistA)*NORMSDIST(I1935)),"")</f>
        <v/>
      </c>
      <c r="K1935">
        <f>IF(B1935,INDEX(MineScale,C1935),"")</f>
        <v/>
      </c>
      <c r="L1935">
        <f>IF(B1935,INDEX(Dow,1,WEEKDAY(E1935,2)),"")</f>
        <v/>
      </c>
      <c r="M1935">
        <f>IF(B1935,(1+Trend)^D1935,"")</f>
        <v/>
      </c>
      <c r="N1935">
        <f>IF(B1935,EXP(SUMPRODUCT(LN(1+(EvEff-1)*INDEX(Affected,0,C1935)*EXP(-((E1935-EvCenter)^2)/(2*EvSigma^2))))),"")</f>
        <v/>
      </c>
      <c r="O1935">
        <f>IF(B1935,ROUND(MAX(0,J1935*K1935*L1935*M1935*N1935),2),"")</f>
        <v/>
      </c>
    </row>
    <row r="1936">
      <c r="A1936" t="n">
        <v>1935</v>
      </c>
      <c r="B1936">
        <f>A1936&lt;=MineCount*Days</f>
        <v/>
      </c>
      <c r="C1936">
        <f>IF(B1936,INT((A1936-1)/Days)+1,"")</f>
        <v/>
      </c>
      <c r="D1936">
        <f>IF(B1936,MOD(A1936-1,Days),"")</f>
        <v/>
      </c>
      <c r="E1936" s="16">
        <f>IF(B1936,StartDate+D1936,"")</f>
        <v/>
      </c>
      <c r="F1936">
        <f>IF(B1936,MAX(MOD(SIN(Seed*0.1373+C1936*12.9898+D1936*78.233)*43758.5453,1),1E-9),"")</f>
        <v/>
      </c>
      <c r="G1936">
        <f>IF(B1936,MOD(SIN(Seed*0.5917+C1936*39.3468+D1936*11.135)*24634.6345,1),"")</f>
        <v/>
      </c>
      <c r="H1936">
        <f>IF(B1936,SQRT(-2*LN(F1936))*COS(2*PI()*G1936),"")</f>
        <v/>
      </c>
      <c r="I1936">
        <f>IF(B1936,IF(D1936=0,H1936,Rho*I1935+SQRT(1-Rho^2)*H1936),"")</f>
        <v/>
      </c>
      <c r="J1936">
        <f>IF(B1936,IF(Dist="Normal",DistA+DistB*I1936,DistA+(DistB-DistA)*NORMSDIST(I1936)),"")</f>
        <v/>
      </c>
      <c r="K1936">
        <f>IF(B1936,INDEX(MineScale,C1936),"")</f>
        <v/>
      </c>
      <c r="L1936">
        <f>IF(B1936,INDEX(Dow,1,WEEKDAY(E1936,2)),"")</f>
        <v/>
      </c>
      <c r="M1936">
        <f>IF(B1936,(1+Trend)^D1936,"")</f>
        <v/>
      </c>
      <c r="N1936">
        <f>IF(B1936,EXP(SUMPRODUCT(LN(1+(EvEff-1)*INDEX(Affected,0,C1936)*EXP(-((E1936-EvCenter)^2)/(2*EvSigma^2))))),"")</f>
        <v/>
      </c>
      <c r="O1936">
        <f>IF(B1936,ROUND(MAX(0,J1936*K1936*L1936*M1936*N1936),2),"")</f>
        <v/>
      </c>
    </row>
    <row r="1937">
      <c r="A1937" t="n">
        <v>1936</v>
      </c>
      <c r="B1937">
        <f>A1937&lt;=MineCount*Days</f>
        <v/>
      </c>
      <c r="C1937">
        <f>IF(B1937,INT((A1937-1)/Days)+1,"")</f>
        <v/>
      </c>
      <c r="D1937">
        <f>IF(B1937,MOD(A1937-1,Days),"")</f>
        <v/>
      </c>
      <c r="E1937" s="16">
        <f>IF(B1937,StartDate+D1937,"")</f>
        <v/>
      </c>
      <c r="F1937">
        <f>IF(B1937,MAX(MOD(SIN(Seed*0.1373+C1937*12.9898+D1937*78.233)*43758.5453,1),1E-9),"")</f>
        <v/>
      </c>
      <c r="G1937">
        <f>IF(B1937,MOD(SIN(Seed*0.5917+C1937*39.3468+D1937*11.135)*24634.6345,1),"")</f>
        <v/>
      </c>
      <c r="H1937">
        <f>IF(B1937,SQRT(-2*LN(F1937))*COS(2*PI()*G1937),"")</f>
        <v/>
      </c>
      <c r="I1937">
        <f>IF(B1937,IF(D1937=0,H1937,Rho*I1936+SQRT(1-Rho^2)*H1937),"")</f>
        <v/>
      </c>
      <c r="J1937">
        <f>IF(B1937,IF(Dist="Normal",DistA+DistB*I1937,DistA+(DistB-DistA)*NORMSDIST(I1937)),"")</f>
        <v/>
      </c>
      <c r="K1937">
        <f>IF(B1937,INDEX(MineScale,C1937),"")</f>
        <v/>
      </c>
      <c r="L1937">
        <f>IF(B1937,INDEX(Dow,1,WEEKDAY(E1937,2)),"")</f>
        <v/>
      </c>
      <c r="M1937">
        <f>IF(B1937,(1+Trend)^D1937,"")</f>
        <v/>
      </c>
      <c r="N1937">
        <f>IF(B1937,EXP(SUMPRODUCT(LN(1+(EvEff-1)*INDEX(Affected,0,C1937)*EXP(-((E1937-EvCenter)^2)/(2*EvSigma^2))))),"")</f>
        <v/>
      </c>
      <c r="O1937">
        <f>IF(B1937,ROUND(MAX(0,J1937*K1937*L1937*M1937*N1937),2),"")</f>
        <v/>
      </c>
    </row>
    <row r="1938">
      <c r="A1938" t="n">
        <v>1937</v>
      </c>
      <c r="B1938">
        <f>A1938&lt;=MineCount*Days</f>
        <v/>
      </c>
      <c r="C1938">
        <f>IF(B1938,INT((A1938-1)/Days)+1,"")</f>
        <v/>
      </c>
      <c r="D1938">
        <f>IF(B1938,MOD(A1938-1,Days),"")</f>
        <v/>
      </c>
      <c r="E1938" s="16">
        <f>IF(B1938,StartDate+D1938,"")</f>
        <v/>
      </c>
      <c r="F1938">
        <f>IF(B1938,MAX(MOD(SIN(Seed*0.1373+C1938*12.9898+D1938*78.233)*43758.5453,1),1E-9),"")</f>
        <v/>
      </c>
      <c r="G1938">
        <f>IF(B1938,MOD(SIN(Seed*0.5917+C1938*39.3468+D1938*11.135)*24634.6345,1),"")</f>
        <v/>
      </c>
      <c r="H1938">
        <f>IF(B1938,SQRT(-2*LN(F1938))*COS(2*PI()*G1938),"")</f>
        <v/>
      </c>
      <c r="I1938">
        <f>IF(B1938,IF(D1938=0,H1938,Rho*I1937+SQRT(1-Rho^2)*H1938),"")</f>
        <v/>
      </c>
      <c r="J1938">
        <f>IF(B1938,IF(Dist="Normal",DistA+DistB*I1938,DistA+(DistB-DistA)*NORMSDIST(I1938)),"")</f>
        <v/>
      </c>
      <c r="K1938">
        <f>IF(B1938,INDEX(MineScale,C1938),"")</f>
        <v/>
      </c>
      <c r="L1938">
        <f>IF(B1938,INDEX(Dow,1,WEEKDAY(E1938,2)),"")</f>
        <v/>
      </c>
      <c r="M1938">
        <f>IF(B1938,(1+Trend)^D1938,"")</f>
        <v/>
      </c>
      <c r="N1938">
        <f>IF(B1938,EXP(SUMPRODUCT(LN(1+(EvEff-1)*INDEX(Affected,0,C1938)*EXP(-((E1938-EvCenter)^2)/(2*EvSigma^2))))),"")</f>
        <v/>
      </c>
      <c r="O1938">
        <f>IF(B1938,ROUND(MAX(0,J1938*K1938*L1938*M1938*N1938),2),"")</f>
        <v/>
      </c>
    </row>
    <row r="1939">
      <c r="A1939" t="n">
        <v>1938</v>
      </c>
      <c r="B1939">
        <f>A1939&lt;=MineCount*Days</f>
        <v/>
      </c>
      <c r="C1939">
        <f>IF(B1939,INT((A1939-1)/Days)+1,"")</f>
        <v/>
      </c>
      <c r="D1939">
        <f>IF(B1939,MOD(A1939-1,Days),"")</f>
        <v/>
      </c>
      <c r="E1939" s="16">
        <f>IF(B1939,StartDate+D1939,"")</f>
        <v/>
      </c>
      <c r="F1939">
        <f>IF(B1939,MAX(MOD(SIN(Seed*0.1373+C1939*12.9898+D1939*78.233)*43758.5453,1),1E-9),"")</f>
        <v/>
      </c>
      <c r="G1939">
        <f>IF(B1939,MOD(SIN(Seed*0.5917+C1939*39.3468+D1939*11.135)*24634.6345,1),"")</f>
        <v/>
      </c>
      <c r="H1939">
        <f>IF(B1939,SQRT(-2*LN(F1939))*COS(2*PI()*G1939),"")</f>
        <v/>
      </c>
      <c r="I1939">
        <f>IF(B1939,IF(D1939=0,H1939,Rho*I1938+SQRT(1-Rho^2)*H1939),"")</f>
        <v/>
      </c>
      <c r="J1939">
        <f>IF(B1939,IF(Dist="Normal",DistA+DistB*I1939,DistA+(DistB-DistA)*NORMSDIST(I1939)),"")</f>
        <v/>
      </c>
      <c r="K1939">
        <f>IF(B1939,INDEX(MineScale,C1939),"")</f>
        <v/>
      </c>
      <c r="L1939">
        <f>IF(B1939,INDEX(Dow,1,WEEKDAY(E1939,2)),"")</f>
        <v/>
      </c>
      <c r="M1939">
        <f>IF(B1939,(1+Trend)^D1939,"")</f>
        <v/>
      </c>
      <c r="N1939">
        <f>IF(B1939,EXP(SUMPRODUCT(LN(1+(EvEff-1)*INDEX(Affected,0,C1939)*EXP(-((E1939-EvCenter)^2)/(2*EvSigma^2))))),"")</f>
        <v/>
      </c>
      <c r="O1939">
        <f>IF(B1939,ROUND(MAX(0,J1939*K1939*L1939*M1939*N1939),2),"")</f>
        <v/>
      </c>
    </row>
    <row r="1940">
      <c r="A1940" t="n">
        <v>1939</v>
      </c>
      <c r="B1940">
        <f>A1940&lt;=MineCount*Days</f>
        <v/>
      </c>
      <c r="C1940">
        <f>IF(B1940,INT((A1940-1)/Days)+1,"")</f>
        <v/>
      </c>
      <c r="D1940">
        <f>IF(B1940,MOD(A1940-1,Days),"")</f>
        <v/>
      </c>
      <c r="E1940" s="16">
        <f>IF(B1940,StartDate+D1940,"")</f>
        <v/>
      </c>
      <c r="F1940">
        <f>IF(B1940,MAX(MOD(SIN(Seed*0.1373+C1940*12.9898+D1940*78.233)*43758.5453,1),1E-9),"")</f>
        <v/>
      </c>
      <c r="G1940">
        <f>IF(B1940,MOD(SIN(Seed*0.5917+C1940*39.3468+D1940*11.135)*24634.6345,1),"")</f>
        <v/>
      </c>
      <c r="H1940">
        <f>IF(B1940,SQRT(-2*LN(F1940))*COS(2*PI()*G1940),"")</f>
        <v/>
      </c>
      <c r="I1940">
        <f>IF(B1940,IF(D1940=0,H1940,Rho*I1939+SQRT(1-Rho^2)*H1940),"")</f>
        <v/>
      </c>
      <c r="J1940">
        <f>IF(B1940,IF(Dist="Normal",DistA+DistB*I1940,DistA+(DistB-DistA)*NORMSDIST(I1940)),"")</f>
        <v/>
      </c>
      <c r="K1940">
        <f>IF(B1940,INDEX(MineScale,C1940),"")</f>
        <v/>
      </c>
      <c r="L1940">
        <f>IF(B1940,INDEX(Dow,1,WEEKDAY(E1940,2)),"")</f>
        <v/>
      </c>
      <c r="M1940">
        <f>IF(B1940,(1+Trend)^D1940,"")</f>
        <v/>
      </c>
      <c r="N1940">
        <f>IF(B1940,EXP(SUMPRODUCT(LN(1+(EvEff-1)*INDEX(Affected,0,C1940)*EXP(-((E1940-EvCenter)^2)/(2*EvSigma^2))))),"")</f>
        <v/>
      </c>
      <c r="O1940">
        <f>IF(B1940,ROUND(MAX(0,J1940*K1940*L1940*M1940*N1940),2),"")</f>
        <v/>
      </c>
    </row>
    <row r="1941">
      <c r="A1941" t="n">
        <v>1940</v>
      </c>
      <c r="B1941">
        <f>A1941&lt;=MineCount*Days</f>
        <v/>
      </c>
      <c r="C1941">
        <f>IF(B1941,INT((A1941-1)/Days)+1,"")</f>
        <v/>
      </c>
      <c r="D1941">
        <f>IF(B1941,MOD(A1941-1,Days),"")</f>
        <v/>
      </c>
      <c r="E1941" s="16">
        <f>IF(B1941,StartDate+D1941,"")</f>
        <v/>
      </c>
      <c r="F1941">
        <f>IF(B1941,MAX(MOD(SIN(Seed*0.1373+C1941*12.9898+D1941*78.233)*43758.5453,1),1E-9),"")</f>
        <v/>
      </c>
      <c r="G1941">
        <f>IF(B1941,MOD(SIN(Seed*0.5917+C1941*39.3468+D1941*11.135)*24634.6345,1),"")</f>
        <v/>
      </c>
      <c r="H1941">
        <f>IF(B1941,SQRT(-2*LN(F1941))*COS(2*PI()*G1941),"")</f>
        <v/>
      </c>
      <c r="I1941">
        <f>IF(B1941,IF(D1941=0,H1941,Rho*I1940+SQRT(1-Rho^2)*H1941),"")</f>
        <v/>
      </c>
      <c r="J1941">
        <f>IF(B1941,IF(Dist="Normal",DistA+DistB*I1941,DistA+(DistB-DistA)*NORMSDIST(I1941)),"")</f>
        <v/>
      </c>
      <c r="K1941">
        <f>IF(B1941,INDEX(MineScale,C1941),"")</f>
        <v/>
      </c>
      <c r="L1941">
        <f>IF(B1941,INDEX(Dow,1,WEEKDAY(E1941,2)),"")</f>
        <v/>
      </c>
      <c r="M1941">
        <f>IF(B1941,(1+Trend)^D1941,"")</f>
        <v/>
      </c>
      <c r="N1941">
        <f>IF(B1941,EXP(SUMPRODUCT(LN(1+(EvEff-1)*INDEX(Affected,0,C1941)*EXP(-((E1941-EvCenter)^2)/(2*EvSigma^2))))),"")</f>
        <v/>
      </c>
      <c r="O1941">
        <f>IF(B1941,ROUND(MAX(0,J1941*K1941*L1941*M1941*N1941),2),"")</f>
        <v/>
      </c>
    </row>
    <row r="1942">
      <c r="A1942" t="n">
        <v>1941</v>
      </c>
      <c r="B1942">
        <f>A1942&lt;=MineCount*Days</f>
        <v/>
      </c>
      <c r="C1942">
        <f>IF(B1942,INT((A1942-1)/Days)+1,"")</f>
        <v/>
      </c>
      <c r="D1942">
        <f>IF(B1942,MOD(A1942-1,Days),"")</f>
        <v/>
      </c>
      <c r="E1942" s="16">
        <f>IF(B1942,StartDate+D1942,"")</f>
        <v/>
      </c>
      <c r="F1942">
        <f>IF(B1942,MAX(MOD(SIN(Seed*0.1373+C1942*12.9898+D1942*78.233)*43758.5453,1),1E-9),"")</f>
        <v/>
      </c>
      <c r="G1942">
        <f>IF(B1942,MOD(SIN(Seed*0.5917+C1942*39.3468+D1942*11.135)*24634.6345,1),"")</f>
        <v/>
      </c>
      <c r="H1942">
        <f>IF(B1942,SQRT(-2*LN(F1942))*COS(2*PI()*G1942),"")</f>
        <v/>
      </c>
      <c r="I1942">
        <f>IF(B1942,IF(D1942=0,H1942,Rho*I1941+SQRT(1-Rho^2)*H1942),"")</f>
        <v/>
      </c>
      <c r="J1942">
        <f>IF(B1942,IF(Dist="Normal",DistA+DistB*I1942,DistA+(DistB-DistA)*NORMSDIST(I1942)),"")</f>
        <v/>
      </c>
      <c r="K1942">
        <f>IF(B1942,INDEX(MineScale,C1942),"")</f>
        <v/>
      </c>
      <c r="L1942">
        <f>IF(B1942,INDEX(Dow,1,WEEKDAY(E1942,2)),"")</f>
        <v/>
      </c>
      <c r="M1942">
        <f>IF(B1942,(1+Trend)^D1942,"")</f>
        <v/>
      </c>
      <c r="N1942">
        <f>IF(B1942,EXP(SUMPRODUCT(LN(1+(EvEff-1)*INDEX(Affected,0,C1942)*EXP(-((E1942-EvCenter)^2)/(2*EvSigma^2))))),"")</f>
        <v/>
      </c>
      <c r="O1942">
        <f>IF(B1942,ROUND(MAX(0,J1942*K1942*L1942*M1942*N1942),2),"")</f>
        <v/>
      </c>
    </row>
    <row r="1943">
      <c r="A1943" t="n">
        <v>1942</v>
      </c>
      <c r="B1943">
        <f>A1943&lt;=MineCount*Days</f>
        <v/>
      </c>
      <c r="C1943">
        <f>IF(B1943,INT((A1943-1)/Days)+1,"")</f>
        <v/>
      </c>
      <c r="D1943">
        <f>IF(B1943,MOD(A1943-1,Days),"")</f>
        <v/>
      </c>
      <c r="E1943" s="16">
        <f>IF(B1943,StartDate+D1943,"")</f>
        <v/>
      </c>
      <c r="F1943">
        <f>IF(B1943,MAX(MOD(SIN(Seed*0.1373+C1943*12.9898+D1943*78.233)*43758.5453,1),1E-9),"")</f>
        <v/>
      </c>
      <c r="G1943">
        <f>IF(B1943,MOD(SIN(Seed*0.5917+C1943*39.3468+D1943*11.135)*24634.6345,1),"")</f>
        <v/>
      </c>
      <c r="H1943">
        <f>IF(B1943,SQRT(-2*LN(F1943))*COS(2*PI()*G1943),"")</f>
        <v/>
      </c>
      <c r="I1943">
        <f>IF(B1943,IF(D1943=0,H1943,Rho*I1942+SQRT(1-Rho^2)*H1943),"")</f>
        <v/>
      </c>
      <c r="J1943">
        <f>IF(B1943,IF(Dist="Normal",DistA+DistB*I1943,DistA+(DistB-DistA)*NORMSDIST(I1943)),"")</f>
        <v/>
      </c>
      <c r="K1943">
        <f>IF(B1943,INDEX(MineScale,C1943),"")</f>
        <v/>
      </c>
      <c r="L1943">
        <f>IF(B1943,INDEX(Dow,1,WEEKDAY(E1943,2)),"")</f>
        <v/>
      </c>
      <c r="M1943">
        <f>IF(B1943,(1+Trend)^D1943,"")</f>
        <v/>
      </c>
      <c r="N1943">
        <f>IF(B1943,EXP(SUMPRODUCT(LN(1+(EvEff-1)*INDEX(Affected,0,C1943)*EXP(-((E1943-EvCenter)^2)/(2*EvSigma^2))))),"")</f>
        <v/>
      </c>
      <c r="O1943">
        <f>IF(B1943,ROUND(MAX(0,J1943*K1943*L1943*M1943*N1943),2),"")</f>
        <v/>
      </c>
    </row>
    <row r="1944">
      <c r="A1944" t="n">
        <v>1943</v>
      </c>
      <c r="B1944">
        <f>A1944&lt;=MineCount*Days</f>
        <v/>
      </c>
      <c r="C1944">
        <f>IF(B1944,INT((A1944-1)/Days)+1,"")</f>
        <v/>
      </c>
      <c r="D1944">
        <f>IF(B1944,MOD(A1944-1,Days),"")</f>
        <v/>
      </c>
      <c r="E1944" s="16">
        <f>IF(B1944,StartDate+D1944,"")</f>
        <v/>
      </c>
      <c r="F1944">
        <f>IF(B1944,MAX(MOD(SIN(Seed*0.1373+C1944*12.9898+D1944*78.233)*43758.5453,1),1E-9),"")</f>
        <v/>
      </c>
      <c r="G1944">
        <f>IF(B1944,MOD(SIN(Seed*0.5917+C1944*39.3468+D1944*11.135)*24634.6345,1),"")</f>
        <v/>
      </c>
      <c r="H1944">
        <f>IF(B1944,SQRT(-2*LN(F1944))*COS(2*PI()*G1944),"")</f>
        <v/>
      </c>
      <c r="I1944">
        <f>IF(B1944,IF(D1944=0,H1944,Rho*I1943+SQRT(1-Rho^2)*H1944),"")</f>
        <v/>
      </c>
      <c r="J1944">
        <f>IF(B1944,IF(Dist="Normal",DistA+DistB*I1944,DistA+(DistB-DistA)*NORMSDIST(I1944)),"")</f>
        <v/>
      </c>
      <c r="K1944">
        <f>IF(B1944,INDEX(MineScale,C1944),"")</f>
        <v/>
      </c>
      <c r="L1944">
        <f>IF(B1944,INDEX(Dow,1,WEEKDAY(E1944,2)),"")</f>
        <v/>
      </c>
      <c r="M1944">
        <f>IF(B1944,(1+Trend)^D1944,"")</f>
        <v/>
      </c>
      <c r="N1944">
        <f>IF(B1944,EXP(SUMPRODUCT(LN(1+(EvEff-1)*INDEX(Affected,0,C1944)*EXP(-((E1944-EvCenter)^2)/(2*EvSigma^2))))),"")</f>
        <v/>
      </c>
      <c r="O1944">
        <f>IF(B1944,ROUND(MAX(0,J1944*K1944*L1944*M1944*N1944),2),"")</f>
        <v/>
      </c>
    </row>
    <row r="1945">
      <c r="A1945" t="n">
        <v>1944</v>
      </c>
      <c r="B1945">
        <f>A1945&lt;=MineCount*Days</f>
        <v/>
      </c>
      <c r="C1945">
        <f>IF(B1945,INT((A1945-1)/Days)+1,"")</f>
        <v/>
      </c>
      <c r="D1945">
        <f>IF(B1945,MOD(A1945-1,Days),"")</f>
        <v/>
      </c>
      <c r="E1945" s="16">
        <f>IF(B1945,StartDate+D1945,"")</f>
        <v/>
      </c>
      <c r="F1945">
        <f>IF(B1945,MAX(MOD(SIN(Seed*0.1373+C1945*12.9898+D1945*78.233)*43758.5453,1),1E-9),"")</f>
        <v/>
      </c>
      <c r="G1945">
        <f>IF(B1945,MOD(SIN(Seed*0.5917+C1945*39.3468+D1945*11.135)*24634.6345,1),"")</f>
        <v/>
      </c>
      <c r="H1945">
        <f>IF(B1945,SQRT(-2*LN(F1945))*COS(2*PI()*G1945),"")</f>
        <v/>
      </c>
      <c r="I1945">
        <f>IF(B1945,IF(D1945=0,H1945,Rho*I1944+SQRT(1-Rho^2)*H1945),"")</f>
        <v/>
      </c>
      <c r="J1945">
        <f>IF(B1945,IF(Dist="Normal",DistA+DistB*I1945,DistA+(DistB-DistA)*NORMSDIST(I1945)),"")</f>
        <v/>
      </c>
      <c r="K1945">
        <f>IF(B1945,INDEX(MineScale,C1945),"")</f>
        <v/>
      </c>
      <c r="L1945">
        <f>IF(B1945,INDEX(Dow,1,WEEKDAY(E1945,2)),"")</f>
        <v/>
      </c>
      <c r="M1945">
        <f>IF(B1945,(1+Trend)^D1945,"")</f>
        <v/>
      </c>
      <c r="N1945">
        <f>IF(B1945,EXP(SUMPRODUCT(LN(1+(EvEff-1)*INDEX(Affected,0,C1945)*EXP(-((E1945-EvCenter)^2)/(2*EvSigma^2))))),"")</f>
        <v/>
      </c>
      <c r="O1945">
        <f>IF(B1945,ROUND(MAX(0,J1945*K1945*L1945*M1945*N1945),2),"")</f>
        <v/>
      </c>
    </row>
    <row r="1946">
      <c r="A1946" t="n">
        <v>1945</v>
      </c>
      <c r="B1946">
        <f>A1946&lt;=MineCount*Days</f>
        <v/>
      </c>
      <c r="C1946">
        <f>IF(B1946,INT((A1946-1)/Days)+1,"")</f>
        <v/>
      </c>
      <c r="D1946">
        <f>IF(B1946,MOD(A1946-1,Days),"")</f>
        <v/>
      </c>
      <c r="E1946" s="16">
        <f>IF(B1946,StartDate+D1946,"")</f>
        <v/>
      </c>
      <c r="F1946">
        <f>IF(B1946,MAX(MOD(SIN(Seed*0.1373+C1946*12.9898+D1946*78.233)*43758.5453,1),1E-9),"")</f>
        <v/>
      </c>
      <c r="G1946">
        <f>IF(B1946,MOD(SIN(Seed*0.5917+C1946*39.3468+D1946*11.135)*24634.6345,1),"")</f>
        <v/>
      </c>
      <c r="H1946">
        <f>IF(B1946,SQRT(-2*LN(F1946))*COS(2*PI()*G1946),"")</f>
        <v/>
      </c>
      <c r="I1946">
        <f>IF(B1946,IF(D1946=0,H1946,Rho*I1945+SQRT(1-Rho^2)*H1946),"")</f>
        <v/>
      </c>
      <c r="J1946">
        <f>IF(B1946,IF(Dist="Normal",DistA+DistB*I1946,DistA+(DistB-DistA)*NORMSDIST(I1946)),"")</f>
        <v/>
      </c>
      <c r="K1946">
        <f>IF(B1946,INDEX(MineScale,C1946),"")</f>
        <v/>
      </c>
      <c r="L1946">
        <f>IF(B1946,INDEX(Dow,1,WEEKDAY(E1946,2)),"")</f>
        <v/>
      </c>
      <c r="M1946">
        <f>IF(B1946,(1+Trend)^D1946,"")</f>
        <v/>
      </c>
      <c r="N1946">
        <f>IF(B1946,EXP(SUMPRODUCT(LN(1+(EvEff-1)*INDEX(Affected,0,C1946)*EXP(-((E1946-EvCenter)^2)/(2*EvSigma^2))))),"")</f>
        <v/>
      </c>
      <c r="O1946">
        <f>IF(B1946,ROUND(MAX(0,J1946*K1946*L1946*M1946*N1946),2),"")</f>
        <v/>
      </c>
    </row>
    <row r="1947">
      <c r="A1947" t="n">
        <v>1946</v>
      </c>
      <c r="B1947">
        <f>A1947&lt;=MineCount*Days</f>
        <v/>
      </c>
      <c r="C1947">
        <f>IF(B1947,INT((A1947-1)/Days)+1,"")</f>
        <v/>
      </c>
      <c r="D1947">
        <f>IF(B1947,MOD(A1947-1,Days),"")</f>
        <v/>
      </c>
      <c r="E1947" s="16">
        <f>IF(B1947,StartDate+D1947,"")</f>
        <v/>
      </c>
      <c r="F1947">
        <f>IF(B1947,MAX(MOD(SIN(Seed*0.1373+C1947*12.9898+D1947*78.233)*43758.5453,1),1E-9),"")</f>
        <v/>
      </c>
      <c r="G1947">
        <f>IF(B1947,MOD(SIN(Seed*0.5917+C1947*39.3468+D1947*11.135)*24634.6345,1),"")</f>
        <v/>
      </c>
      <c r="H1947">
        <f>IF(B1947,SQRT(-2*LN(F1947))*COS(2*PI()*G1947),"")</f>
        <v/>
      </c>
      <c r="I1947">
        <f>IF(B1947,IF(D1947=0,H1947,Rho*I1946+SQRT(1-Rho^2)*H1947),"")</f>
        <v/>
      </c>
      <c r="J1947">
        <f>IF(B1947,IF(Dist="Normal",DistA+DistB*I1947,DistA+(DistB-DistA)*NORMSDIST(I1947)),"")</f>
        <v/>
      </c>
      <c r="K1947">
        <f>IF(B1947,INDEX(MineScale,C1947),"")</f>
        <v/>
      </c>
      <c r="L1947">
        <f>IF(B1947,INDEX(Dow,1,WEEKDAY(E1947,2)),"")</f>
        <v/>
      </c>
      <c r="M1947">
        <f>IF(B1947,(1+Trend)^D1947,"")</f>
        <v/>
      </c>
      <c r="N1947">
        <f>IF(B1947,EXP(SUMPRODUCT(LN(1+(EvEff-1)*INDEX(Affected,0,C1947)*EXP(-((E1947-EvCenter)^2)/(2*EvSigma^2))))),"")</f>
        <v/>
      </c>
      <c r="O1947">
        <f>IF(B1947,ROUND(MAX(0,J1947*K1947*L1947*M1947*N1947),2),"")</f>
        <v/>
      </c>
    </row>
    <row r="1948">
      <c r="A1948" t="n">
        <v>1947</v>
      </c>
      <c r="B1948">
        <f>A1948&lt;=MineCount*Days</f>
        <v/>
      </c>
      <c r="C1948">
        <f>IF(B1948,INT((A1948-1)/Days)+1,"")</f>
        <v/>
      </c>
      <c r="D1948">
        <f>IF(B1948,MOD(A1948-1,Days),"")</f>
        <v/>
      </c>
      <c r="E1948" s="16">
        <f>IF(B1948,StartDate+D1948,"")</f>
        <v/>
      </c>
      <c r="F1948">
        <f>IF(B1948,MAX(MOD(SIN(Seed*0.1373+C1948*12.9898+D1948*78.233)*43758.5453,1),1E-9),"")</f>
        <v/>
      </c>
      <c r="G1948">
        <f>IF(B1948,MOD(SIN(Seed*0.5917+C1948*39.3468+D1948*11.135)*24634.6345,1),"")</f>
        <v/>
      </c>
      <c r="H1948">
        <f>IF(B1948,SQRT(-2*LN(F1948))*COS(2*PI()*G1948),"")</f>
        <v/>
      </c>
      <c r="I1948">
        <f>IF(B1948,IF(D1948=0,H1948,Rho*I1947+SQRT(1-Rho^2)*H1948),"")</f>
        <v/>
      </c>
      <c r="J1948">
        <f>IF(B1948,IF(Dist="Normal",DistA+DistB*I1948,DistA+(DistB-DistA)*NORMSDIST(I1948)),"")</f>
        <v/>
      </c>
      <c r="K1948">
        <f>IF(B1948,INDEX(MineScale,C1948),"")</f>
        <v/>
      </c>
      <c r="L1948">
        <f>IF(B1948,INDEX(Dow,1,WEEKDAY(E1948,2)),"")</f>
        <v/>
      </c>
      <c r="M1948">
        <f>IF(B1948,(1+Trend)^D1948,"")</f>
        <v/>
      </c>
      <c r="N1948">
        <f>IF(B1948,EXP(SUMPRODUCT(LN(1+(EvEff-1)*INDEX(Affected,0,C1948)*EXP(-((E1948-EvCenter)^2)/(2*EvSigma^2))))),"")</f>
        <v/>
      </c>
      <c r="O1948">
        <f>IF(B1948,ROUND(MAX(0,J1948*K1948*L1948*M1948*N1948),2),"")</f>
        <v/>
      </c>
    </row>
    <row r="1949">
      <c r="A1949" t="n">
        <v>1948</v>
      </c>
      <c r="B1949">
        <f>A1949&lt;=MineCount*Days</f>
        <v/>
      </c>
      <c r="C1949">
        <f>IF(B1949,INT((A1949-1)/Days)+1,"")</f>
        <v/>
      </c>
      <c r="D1949">
        <f>IF(B1949,MOD(A1949-1,Days),"")</f>
        <v/>
      </c>
      <c r="E1949" s="16">
        <f>IF(B1949,StartDate+D1949,"")</f>
        <v/>
      </c>
      <c r="F1949">
        <f>IF(B1949,MAX(MOD(SIN(Seed*0.1373+C1949*12.9898+D1949*78.233)*43758.5453,1),1E-9),"")</f>
        <v/>
      </c>
      <c r="G1949">
        <f>IF(B1949,MOD(SIN(Seed*0.5917+C1949*39.3468+D1949*11.135)*24634.6345,1),"")</f>
        <v/>
      </c>
      <c r="H1949">
        <f>IF(B1949,SQRT(-2*LN(F1949))*COS(2*PI()*G1949),"")</f>
        <v/>
      </c>
      <c r="I1949">
        <f>IF(B1949,IF(D1949=0,H1949,Rho*I1948+SQRT(1-Rho^2)*H1949),"")</f>
        <v/>
      </c>
      <c r="J1949">
        <f>IF(B1949,IF(Dist="Normal",DistA+DistB*I1949,DistA+(DistB-DistA)*NORMSDIST(I1949)),"")</f>
        <v/>
      </c>
      <c r="K1949">
        <f>IF(B1949,INDEX(MineScale,C1949),"")</f>
        <v/>
      </c>
      <c r="L1949">
        <f>IF(B1949,INDEX(Dow,1,WEEKDAY(E1949,2)),"")</f>
        <v/>
      </c>
      <c r="M1949">
        <f>IF(B1949,(1+Trend)^D1949,"")</f>
        <v/>
      </c>
      <c r="N1949">
        <f>IF(B1949,EXP(SUMPRODUCT(LN(1+(EvEff-1)*INDEX(Affected,0,C1949)*EXP(-((E1949-EvCenter)^2)/(2*EvSigma^2))))),"")</f>
        <v/>
      </c>
      <c r="O1949">
        <f>IF(B1949,ROUND(MAX(0,J1949*K1949*L1949*M1949*N1949),2),"")</f>
        <v/>
      </c>
    </row>
    <row r="1950">
      <c r="A1950" t="n">
        <v>1949</v>
      </c>
      <c r="B1950">
        <f>A1950&lt;=MineCount*Days</f>
        <v/>
      </c>
      <c r="C1950">
        <f>IF(B1950,INT((A1950-1)/Days)+1,"")</f>
        <v/>
      </c>
      <c r="D1950">
        <f>IF(B1950,MOD(A1950-1,Days),"")</f>
        <v/>
      </c>
      <c r="E1950" s="16">
        <f>IF(B1950,StartDate+D1950,"")</f>
        <v/>
      </c>
      <c r="F1950">
        <f>IF(B1950,MAX(MOD(SIN(Seed*0.1373+C1950*12.9898+D1950*78.233)*43758.5453,1),1E-9),"")</f>
        <v/>
      </c>
      <c r="G1950">
        <f>IF(B1950,MOD(SIN(Seed*0.5917+C1950*39.3468+D1950*11.135)*24634.6345,1),"")</f>
        <v/>
      </c>
      <c r="H1950">
        <f>IF(B1950,SQRT(-2*LN(F1950))*COS(2*PI()*G1950),"")</f>
        <v/>
      </c>
      <c r="I1950">
        <f>IF(B1950,IF(D1950=0,H1950,Rho*I1949+SQRT(1-Rho^2)*H1950),"")</f>
        <v/>
      </c>
      <c r="J1950">
        <f>IF(B1950,IF(Dist="Normal",DistA+DistB*I1950,DistA+(DistB-DistA)*NORMSDIST(I1950)),"")</f>
        <v/>
      </c>
      <c r="K1950">
        <f>IF(B1950,INDEX(MineScale,C1950),"")</f>
        <v/>
      </c>
      <c r="L1950">
        <f>IF(B1950,INDEX(Dow,1,WEEKDAY(E1950,2)),"")</f>
        <v/>
      </c>
      <c r="M1950">
        <f>IF(B1950,(1+Trend)^D1950,"")</f>
        <v/>
      </c>
      <c r="N1950">
        <f>IF(B1950,EXP(SUMPRODUCT(LN(1+(EvEff-1)*INDEX(Affected,0,C1950)*EXP(-((E1950-EvCenter)^2)/(2*EvSigma^2))))),"")</f>
        <v/>
      </c>
      <c r="O1950">
        <f>IF(B1950,ROUND(MAX(0,J1950*K1950*L1950*M1950*N1950),2),"")</f>
        <v/>
      </c>
    </row>
    <row r="1951">
      <c r="A1951" t="n">
        <v>1950</v>
      </c>
      <c r="B1951">
        <f>A1951&lt;=MineCount*Days</f>
        <v/>
      </c>
      <c r="C1951">
        <f>IF(B1951,INT((A1951-1)/Days)+1,"")</f>
        <v/>
      </c>
      <c r="D1951">
        <f>IF(B1951,MOD(A1951-1,Days),"")</f>
        <v/>
      </c>
      <c r="E1951" s="16">
        <f>IF(B1951,StartDate+D1951,"")</f>
        <v/>
      </c>
      <c r="F1951">
        <f>IF(B1951,MAX(MOD(SIN(Seed*0.1373+C1951*12.9898+D1951*78.233)*43758.5453,1),1E-9),"")</f>
        <v/>
      </c>
      <c r="G1951">
        <f>IF(B1951,MOD(SIN(Seed*0.5917+C1951*39.3468+D1951*11.135)*24634.6345,1),"")</f>
        <v/>
      </c>
      <c r="H1951">
        <f>IF(B1951,SQRT(-2*LN(F1951))*COS(2*PI()*G1951),"")</f>
        <v/>
      </c>
      <c r="I1951">
        <f>IF(B1951,IF(D1951=0,H1951,Rho*I1950+SQRT(1-Rho^2)*H1951),"")</f>
        <v/>
      </c>
      <c r="J1951">
        <f>IF(B1951,IF(Dist="Normal",DistA+DistB*I1951,DistA+(DistB-DistA)*NORMSDIST(I1951)),"")</f>
        <v/>
      </c>
      <c r="K1951">
        <f>IF(B1951,INDEX(MineScale,C1951),"")</f>
        <v/>
      </c>
      <c r="L1951">
        <f>IF(B1951,INDEX(Dow,1,WEEKDAY(E1951,2)),"")</f>
        <v/>
      </c>
      <c r="M1951">
        <f>IF(B1951,(1+Trend)^D1951,"")</f>
        <v/>
      </c>
      <c r="N1951">
        <f>IF(B1951,EXP(SUMPRODUCT(LN(1+(EvEff-1)*INDEX(Affected,0,C1951)*EXP(-((E1951-EvCenter)^2)/(2*EvSigma^2))))),"")</f>
        <v/>
      </c>
      <c r="O1951">
        <f>IF(B1951,ROUND(MAX(0,J1951*K1951*L1951*M1951*N1951),2),"")</f>
        <v/>
      </c>
    </row>
    <row r="1952">
      <c r="A1952" t="n">
        <v>1951</v>
      </c>
      <c r="B1952">
        <f>A1952&lt;=MineCount*Days</f>
        <v/>
      </c>
      <c r="C1952">
        <f>IF(B1952,INT((A1952-1)/Days)+1,"")</f>
        <v/>
      </c>
      <c r="D1952">
        <f>IF(B1952,MOD(A1952-1,Days),"")</f>
        <v/>
      </c>
      <c r="E1952" s="16">
        <f>IF(B1952,StartDate+D1952,"")</f>
        <v/>
      </c>
      <c r="F1952">
        <f>IF(B1952,MAX(MOD(SIN(Seed*0.1373+C1952*12.9898+D1952*78.233)*43758.5453,1),1E-9),"")</f>
        <v/>
      </c>
      <c r="G1952">
        <f>IF(B1952,MOD(SIN(Seed*0.5917+C1952*39.3468+D1952*11.135)*24634.6345,1),"")</f>
        <v/>
      </c>
      <c r="H1952">
        <f>IF(B1952,SQRT(-2*LN(F1952))*COS(2*PI()*G1952),"")</f>
        <v/>
      </c>
      <c r="I1952">
        <f>IF(B1952,IF(D1952=0,H1952,Rho*I1951+SQRT(1-Rho^2)*H1952),"")</f>
        <v/>
      </c>
      <c r="J1952">
        <f>IF(B1952,IF(Dist="Normal",DistA+DistB*I1952,DistA+(DistB-DistA)*NORMSDIST(I1952)),"")</f>
        <v/>
      </c>
      <c r="K1952">
        <f>IF(B1952,INDEX(MineScale,C1952),"")</f>
        <v/>
      </c>
      <c r="L1952">
        <f>IF(B1952,INDEX(Dow,1,WEEKDAY(E1952,2)),"")</f>
        <v/>
      </c>
      <c r="M1952">
        <f>IF(B1952,(1+Trend)^D1952,"")</f>
        <v/>
      </c>
      <c r="N1952">
        <f>IF(B1952,EXP(SUMPRODUCT(LN(1+(EvEff-1)*INDEX(Affected,0,C1952)*EXP(-((E1952-EvCenter)^2)/(2*EvSigma^2))))),"")</f>
        <v/>
      </c>
      <c r="O1952">
        <f>IF(B1952,ROUND(MAX(0,J1952*K1952*L1952*M1952*N1952),2),"")</f>
        <v/>
      </c>
    </row>
    <row r="1953">
      <c r="A1953" t="n">
        <v>1952</v>
      </c>
      <c r="B1953">
        <f>A1953&lt;=MineCount*Days</f>
        <v/>
      </c>
      <c r="C1953">
        <f>IF(B1953,INT((A1953-1)/Days)+1,"")</f>
        <v/>
      </c>
      <c r="D1953">
        <f>IF(B1953,MOD(A1953-1,Days),"")</f>
        <v/>
      </c>
      <c r="E1953" s="16">
        <f>IF(B1953,StartDate+D1953,"")</f>
        <v/>
      </c>
      <c r="F1953">
        <f>IF(B1953,MAX(MOD(SIN(Seed*0.1373+C1953*12.9898+D1953*78.233)*43758.5453,1),1E-9),"")</f>
        <v/>
      </c>
      <c r="G1953">
        <f>IF(B1953,MOD(SIN(Seed*0.5917+C1953*39.3468+D1953*11.135)*24634.6345,1),"")</f>
        <v/>
      </c>
      <c r="H1953">
        <f>IF(B1953,SQRT(-2*LN(F1953))*COS(2*PI()*G1953),"")</f>
        <v/>
      </c>
      <c r="I1953">
        <f>IF(B1953,IF(D1953=0,H1953,Rho*I1952+SQRT(1-Rho^2)*H1953),"")</f>
        <v/>
      </c>
      <c r="J1953">
        <f>IF(B1953,IF(Dist="Normal",DistA+DistB*I1953,DistA+(DistB-DistA)*NORMSDIST(I1953)),"")</f>
        <v/>
      </c>
      <c r="K1953">
        <f>IF(B1953,INDEX(MineScale,C1953),"")</f>
        <v/>
      </c>
      <c r="L1953">
        <f>IF(B1953,INDEX(Dow,1,WEEKDAY(E1953,2)),"")</f>
        <v/>
      </c>
      <c r="M1953">
        <f>IF(B1953,(1+Trend)^D1953,"")</f>
        <v/>
      </c>
      <c r="N1953">
        <f>IF(B1953,EXP(SUMPRODUCT(LN(1+(EvEff-1)*INDEX(Affected,0,C1953)*EXP(-((E1953-EvCenter)^2)/(2*EvSigma^2))))),"")</f>
        <v/>
      </c>
      <c r="O1953">
        <f>IF(B1953,ROUND(MAX(0,J1953*K1953*L1953*M1953*N1953),2),"")</f>
        <v/>
      </c>
    </row>
    <row r="1954">
      <c r="A1954" t="n">
        <v>1953</v>
      </c>
      <c r="B1954">
        <f>A1954&lt;=MineCount*Days</f>
        <v/>
      </c>
      <c r="C1954">
        <f>IF(B1954,INT((A1954-1)/Days)+1,"")</f>
        <v/>
      </c>
      <c r="D1954">
        <f>IF(B1954,MOD(A1954-1,Days),"")</f>
        <v/>
      </c>
      <c r="E1954" s="16">
        <f>IF(B1954,StartDate+D1954,"")</f>
        <v/>
      </c>
      <c r="F1954">
        <f>IF(B1954,MAX(MOD(SIN(Seed*0.1373+C1954*12.9898+D1954*78.233)*43758.5453,1),1E-9),"")</f>
        <v/>
      </c>
      <c r="G1954">
        <f>IF(B1954,MOD(SIN(Seed*0.5917+C1954*39.3468+D1954*11.135)*24634.6345,1),"")</f>
        <v/>
      </c>
      <c r="H1954">
        <f>IF(B1954,SQRT(-2*LN(F1954))*COS(2*PI()*G1954),"")</f>
        <v/>
      </c>
      <c r="I1954">
        <f>IF(B1954,IF(D1954=0,H1954,Rho*I1953+SQRT(1-Rho^2)*H1954),"")</f>
        <v/>
      </c>
      <c r="J1954">
        <f>IF(B1954,IF(Dist="Normal",DistA+DistB*I1954,DistA+(DistB-DistA)*NORMSDIST(I1954)),"")</f>
        <v/>
      </c>
      <c r="K1954">
        <f>IF(B1954,INDEX(MineScale,C1954),"")</f>
        <v/>
      </c>
      <c r="L1954">
        <f>IF(B1954,INDEX(Dow,1,WEEKDAY(E1954,2)),"")</f>
        <v/>
      </c>
      <c r="M1954">
        <f>IF(B1954,(1+Trend)^D1954,"")</f>
        <v/>
      </c>
      <c r="N1954">
        <f>IF(B1954,EXP(SUMPRODUCT(LN(1+(EvEff-1)*INDEX(Affected,0,C1954)*EXP(-((E1954-EvCenter)^2)/(2*EvSigma^2))))),"")</f>
        <v/>
      </c>
      <c r="O1954">
        <f>IF(B1954,ROUND(MAX(0,J1954*K1954*L1954*M1954*N1954),2),"")</f>
        <v/>
      </c>
    </row>
    <row r="1955">
      <c r="A1955" t="n">
        <v>1954</v>
      </c>
      <c r="B1955">
        <f>A1955&lt;=MineCount*Days</f>
        <v/>
      </c>
      <c r="C1955">
        <f>IF(B1955,INT((A1955-1)/Days)+1,"")</f>
        <v/>
      </c>
      <c r="D1955">
        <f>IF(B1955,MOD(A1955-1,Days),"")</f>
        <v/>
      </c>
      <c r="E1955" s="16">
        <f>IF(B1955,StartDate+D1955,"")</f>
        <v/>
      </c>
      <c r="F1955">
        <f>IF(B1955,MAX(MOD(SIN(Seed*0.1373+C1955*12.9898+D1955*78.233)*43758.5453,1),1E-9),"")</f>
        <v/>
      </c>
      <c r="G1955">
        <f>IF(B1955,MOD(SIN(Seed*0.5917+C1955*39.3468+D1955*11.135)*24634.6345,1),"")</f>
        <v/>
      </c>
      <c r="H1955">
        <f>IF(B1955,SQRT(-2*LN(F1955))*COS(2*PI()*G1955),"")</f>
        <v/>
      </c>
      <c r="I1955">
        <f>IF(B1955,IF(D1955=0,H1955,Rho*I1954+SQRT(1-Rho^2)*H1955),"")</f>
        <v/>
      </c>
      <c r="J1955">
        <f>IF(B1955,IF(Dist="Normal",DistA+DistB*I1955,DistA+(DistB-DistA)*NORMSDIST(I1955)),"")</f>
        <v/>
      </c>
      <c r="K1955">
        <f>IF(B1955,INDEX(MineScale,C1955),"")</f>
        <v/>
      </c>
      <c r="L1955">
        <f>IF(B1955,INDEX(Dow,1,WEEKDAY(E1955,2)),"")</f>
        <v/>
      </c>
      <c r="M1955">
        <f>IF(B1955,(1+Trend)^D1955,"")</f>
        <v/>
      </c>
      <c r="N1955">
        <f>IF(B1955,EXP(SUMPRODUCT(LN(1+(EvEff-1)*INDEX(Affected,0,C1955)*EXP(-((E1955-EvCenter)^2)/(2*EvSigma^2))))),"")</f>
        <v/>
      </c>
      <c r="O1955">
        <f>IF(B1955,ROUND(MAX(0,J1955*K1955*L1955*M1955*N1955),2),"")</f>
        <v/>
      </c>
    </row>
    <row r="1956">
      <c r="A1956" t="n">
        <v>1955</v>
      </c>
      <c r="B1956">
        <f>A1956&lt;=MineCount*Days</f>
        <v/>
      </c>
      <c r="C1956">
        <f>IF(B1956,INT((A1956-1)/Days)+1,"")</f>
        <v/>
      </c>
      <c r="D1956">
        <f>IF(B1956,MOD(A1956-1,Days),"")</f>
        <v/>
      </c>
      <c r="E1956" s="16">
        <f>IF(B1956,StartDate+D1956,"")</f>
        <v/>
      </c>
      <c r="F1956">
        <f>IF(B1956,MAX(MOD(SIN(Seed*0.1373+C1956*12.9898+D1956*78.233)*43758.5453,1),1E-9),"")</f>
        <v/>
      </c>
      <c r="G1956">
        <f>IF(B1956,MOD(SIN(Seed*0.5917+C1956*39.3468+D1956*11.135)*24634.6345,1),"")</f>
        <v/>
      </c>
      <c r="H1956">
        <f>IF(B1956,SQRT(-2*LN(F1956))*COS(2*PI()*G1956),"")</f>
        <v/>
      </c>
      <c r="I1956">
        <f>IF(B1956,IF(D1956=0,H1956,Rho*I1955+SQRT(1-Rho^2)*H1956),"")</f>
        <v/>
      </c>
      <c r="J1956">
        <f>IF(B1956,IF(Dist="Normal",DistA+DistB*I1956,DistA+(DistB-DistA)*NORMSDIST(I1956)),"")</f>
        <v/>
      </c>
      <c r="K1956">
        <f>IF(B1956,INDEX(MineScale,C1956),"")</f>
        <v/>
      </c>
      <c r="L1956">
        <f>IF(B1956,INDEX(Dow,1,WEEKDAY(E1956,2)),"")</f>
        <v/>
      </c>
      <c r="M1956">
        <f>IF(B1956,(1+Trend)^D1956,"")</f>
        <v/>
      </c>
      <c r="N1956">
        <f>IF(B1956,EXP(SUMPRODUCT(LN(1+(EvEff-1)*INDEX(Affected,0,C1956)*EXP(-((E1956-EvCenter)^2)/(2*EvSigma^2))))),"")</f>
        <v/>
      </c>
      <c r="O1956">
        <f>IF(B1956,ROUND(MAX(0,J1956*K1956*L1956*M1956*N1956),2),"")</f>
        <v/>
      </c>
    </row>
    <row r="1957">
      <c r="A1957" t="n">
        <v>1956</v>
      </c>
      <c r="B1957">
        <f>A1957&lt;=MineCount*Days</f>
        <v/>
      </c>
      <c r="C1957">
        <f>IF(B1957,INT((A1957-1)/Days)+1,"")</f>
        <v/>
      </c>
      <c r="D1957">
        <f>IF(B1957,MOD(A1957-1,Days),"")</f>
        <v/>
      </c>
      <c r="E1957" s="16">
        <f>IF(B1957,StartDate+D1957,"")</f>
        <v/>
      </c>
      <c r="F1957">
        <f>IF(B1957,MAX(MOD(SIN(Seed*0.1373+C1957*12.9898+D1957*78.233)*43758.5453,1),1E-9),"")</f>
        <v/>
      </c>
      <c r="G1957">
        <f>IF(B1957,MOD(SIN(Seed*0.5917+C1957*39.3468+D1957*11.135)*24634.6345,1),"")</f>
        <v/>
      </c>
      <c r="H1957">
        <f>IF(B1957,SQRT(-2*LN(F1957))*COS(2*PI()*G1957),"")</f>
        <v/>
      </c>
      <c r="I1957">
        <f>IF(B1957,IF(D1957=0,H1957,Rho*I1956+SQRT(1-Rho^2)*H1957),"")</f>
        <v/>
      </c>
      <c r="J1957">
        <f>IF(B1957,IF(Dist="Normal",DistA+DistB*I1957,DistA+(DistB-DistA)*NORMSDIST(I1957)),"")</f>
        <v/>
      </c>
      <c r="K1957">
        <f>IF(B1957,INDEX(MineScale,C1957),"")</f>
        <v/>
      </c>
      <c r="L1957">
        <f>IF(B1957,INDEX(Dow,1,WEEKDAY(E1957,2)),"")</f>
        <v/>
      </c>
      <c r="M1957">
        <f>IF(B1957,(1+Trend)^D1957,"")</f>
        <v/>
      </c>
      <c r="N1957">
        <f>IF(B1957,EXP(SUMPRODUCT(LN(1+(EvEff-1)*INDEX(Affected,0,C1957)*EXP(-((E1957-EvCenter)^2)/(2*EvSigma^2))))),"")</f>
        <v/>
      </c>
      <c r="O1957">
        <f>IF(B1957,ROUND(MAX(0,J1957*K1957*L1957*M1957*N1957),2),"")</f>
        <v/>
      </c>
    </row>
    <row r="1958">
      <c r="A1958" t="n">
        <v>1957</v>
      </c>
      <c r="B1958">
        <f>A1958&lt;=MineCount*Days</f>
        <v/>
      </c>
      <c r="C1958">
        <f>IF(B1958,INT((A1958-1)/Days)+1,"")</f>
        <v/>
      </c>
      <c r="D1958">
        <f>IF(B1958,MOD(A1958-1,Days),"")</f>
        <v/>
      </c>
      <c r="E1958" s="16">
        <f>IF(B1958,StartDate+D1958,"")</f>
        <v/>
      </c>
      <c r="F1958">
        <f>IF(B1958,MAX(MOD(SIN(Seed*0.1373+C1958*12.9898+D1958*78.233)*43758.5453,1),1E-9),"")</f>
        <v/>
      </c>
      <c r="G1958">
        <f>IF(B1958,MOD(SIN(Seed*0.5917+C1958*39.3468+D1958*11.135)*24634.6345,1),"")</f>
        <v/>
      </c>
      <c r="H1958">
        <f>IF(B1958,SQRT(-2*LN(F1958))*COS(2*PI()*G1958),"")</f>
        <v/>
      </c>
      <c r="I1958">
        <f>IF(B1958,IF(D1958=0,H1958,Rho*I1957+SQRT(1-Rho^2)*H1958),"")</f>
        <v/>
      </c>
      <c r="J1958">
        <f>IF(B1958,IF(Dist="Normal",DistA+DistB*I1958,DistA+(DistB-DistA)*NORMSDIST(I1958)),"")</f>
        <v/>
      </c>
      <c r="K1958">
        <f>IF(B1958,INDEX(MineScale,C1958),"")</f>
        <v/>
      </c>
      <c r="L1958">
        <f>IF(B1958,INDEX(Dow,1,WEEKDAY(E1958,2)),"")</f>
        <v/>
      </c>
      <c r="M1958">
        <f>IF(B1958,(1+Trend)^D1958,"")</f>
        <v/>
      </c>
      <c r="N1958">
        <f>IF(B1958,EXP(SUMPRODUCT(LN(1+(EvEff-1)*INDEX(Affected,0,C1958)*EXP(-((E1958-EvCenter)^2)/(2*EvSigma^2))))),"")</f>
        <v/>
      </c>
      <c r="O1958">
        <f>IF(B1958,ROUND(MAX(0,J1958*K1958*L1958*M1958*N1958),2),"")</f>
        <v/>
      </c>
    </row>
    <row r="1959">
      <c r="A1959" t="n">
        <v>1958</v>
      </c>
      <c r="B1959">
        <f>A1959&lt;=MineCount*Days</f>
        <v/>
      </c>
      <c r="C1959">
        <f>IF(B1959,INT((A1959-1)/Days)+1,"")</f>
        <v/>
      </c>
      <c r="D1959">
        <f>IF(B1959,MOD(A1959-1,Days),"")</f>
        <v/>
      </c>
      <c r="E1959" s="16">
        <f>IF(B1959,StartDate+D1959,"")</f>
        <v/>
      </c>
      <c r="F1959">
        <f>IF(B1959,MAX(MOD(SIN(Seed*0.1373+C1959*12.9898+D1959*78.233)*43758.5453,1),1E-9),"")</f>
        <v/>
      </c>
      <c r="G1959">
        <f>IF(B1959,MOD(SIN(Seed*0.5917+C1959*39.3468+D1959*11.135)*24634.6345,1),"")</f>
        <v/>
      </c>
      <c r="H1959">
        <f>IF(B1959,SQRT(-2*LN(F1959))*COS(2*PI()*G1959),"")</f>
        <v/>
      </c>
      <c r="I1959">
        <f>IF(B1959,IF(D1959=0,H1959,Rho*I1958+SQRT(1-Rho^2)*H1959),"")</f>
        <v/>
      </c>
      <c r="J1959">
        <f>IF(B1959,IF(Dist="Normal",DistA+DistB*I1959,DistA+(DistB-DistA)*NORMSDIST(I1959)),"")</f>
        <v/>
      </c>
      <c r="K1959">
        <f>IF(B1959,INDEX(MineScale,C1959),"")</f>
        <v/>
      </c>
      <c r="L1959">
        <f>IF(B1959,INDEX(Dow,1,WEEKDAY(E1959,2)),"")</f>
        <v/>
      </c>
      <c r="M1959">
        <f>IF(B1959,(1+Trend)^D1959,"")</f>
        <v/>
      </c>
      <c r="N1959">
        <f>IF(B1959,EXP(SUMPRODUCT(LN(1+(EvEff-1)*INDEX(Affected,0,C1959)*EXP(-((E1959-EvCenter)^2)/(2*EvSigma^2))))),"")</f>
        <v/>
      </c>
      <c r="O1959">
        <f>IF(B1959,ROUND(MAX(0,J1959*K1959*L1959*M1959*N1959),2),"")</f>
        <v/>
      </c>
    </row>
    <row r="1960">
      <c r="A1960" t="n">
        <v>1959</v>
      </c>
      <c r="B1960">
        <f>A1960&lt;=MineCount*Days</f>
        <v/>
      </c>
      <c r="C1960">
        <f>IF(B1960,INT((A1960-1)/Days)+1,"")</f>
        <v/>
      </c>
      <c r="D1960">
        <f>IF(B1960,MOD(A1960-1,Days),"")</f>
        <v/>
      </c>
      <c r="E1960" s="16">
        <f>IF(B1960,StartDate+D1960,"")</f>
        <v/>
      </c>
      <c r="F1960">
        <f>IF(B1960,MAX(MOD(SIN(Seed*0.1373+C1960*12.9898+D1960*78.233)*43758.5453,1),1E-9),"")</f>
        <v/>
      </c>
      <c r="G1960">
        <f>IF(B1960,MOD(SIN(Seed*0.5917+C1960*39.3468+D1960*11.135)*24634.6345,1),"")</f>
        <v/>
      </c>
      <c r="H1960">
        <f>IF(B1960,SQRT(-2*LN(F1960))*COS(2*PI()*G1960),"")</f>
        <v/>
      </c>
      <c r="I1960">
        <f>IF(B1960,IF(D1960=0,H1960,Rho*I1959+SQRT(1-Rho^2)*H1960),"")</f>
        <v/>
      </c>
      <c r="J1960">
        <f>IF(B1960,IF(Dist="Normal",DistA+DistB*I1960,DistA+(DistB-DistA)*NORMSDIST(I1960)),"")</f>
        <v/>
      </c>
      <c r="K1960">
        <f>IF(B1960,INDEX(MineScale,C1960),"")</f>
        <v/>
      </c>
      <c r="L1960">
        <f>IF(B1960,INDEX(Dow,1,WEEKDAY(E1960,2)),"")</f>
        <v/>
      </c>
      <c r="M1960">
        <f>IF(B1960,(1+Trend)^D1960,"")</f>
        <v/>
      </c>
      <c r="N1960">
        <f>IF(B1960,EXP(SUMPRODUCT(LN(1+(EvEff-1)*INDEX(Affected,0,C1960)*EXP(-((E1960-EvCenter)^2)/(2*EvSigma^2))))),"")</f>
        <v/>
      </c>
      <c r="O1960">
        <f>IF(B1960,ROUND(MAX(0,J1960*K1960*L1960*M1960*N1960),2),"")</f>
        <v/>
      </c>
    </row>
    <row r="1961">
      <c r="A1961" t="n">
        <v>1960</v>
      </c>
      <c r="B1961">
        <f>A1961&lt;=MineCount*Days</f>
        <v/>
      </c>
      <c r="C1961">
        <f>IF(B1961,INT((A1961-1)/Days)+1,"")</f>
        <v/>
      </c>
      <c r="D1961">
        <f>IF(B1961,MOD(A1961-1,Days),"")</f>
        <v/>
      </c>
      <c r="E1961" s="16">
        <f>IF(B1961,StartDate+D1961,"")</f>
        <v/>
      </c>
      <c r="F1961">
        <f>IF(B1961,MAX(MOD(SIN(Seed*0.1373+C1961*12.9898+D1961*78.233)*43758.5453,1),1E-9),"")</f>
        <v/>
      </c>
      <c r="G1961">
        <f>IF(B1961,MOD(SIN(Seed*0.5917+C1961*39.3468+D1961*11.135)*24634.6345,1),"")</f>
        <v/>
      </c>
      <c r="H1961">
        <f>IF(B1961,SQRT(-2*LN(F1961))*COS(2*PI()*G1961),"")</f>
        <v/>
      </c>
      <c r="I1961">
        <f>IF(B1961,IF(D1961=0,H1961,Rho*I1960+SQRT(1-Rho^2)*H1961),"")</f>
        <v/>
      </c>
      <c r="J1961">
        <f>IF(B1961,IF(Dist="Normal",DistA+DistB*I1961,DistA+(DistB-DistA)*NORMSDIST(I1961)),"")</f>
        <v/>
      </c>
      <c r="K1961">
        <f>IF(B1961,INDEX(MineScale,C1961),"")</f>
        <v/>
      </c>
      <c r="L1961">
        <f>IF(B1961,INDEX(Dow,1,WEEKDAY(E1961,2)),"")</f>
        <v/>
      </c>
      <c r="M1961">
        <f>IF(B1961,(1+Trend)^D1961,"")</f>
        <v/>
      </c>
      <c r="N1961">
        <f>IF(B1961,EXP(SUMPRODUCT(LN(1+(EvEff-1)*INDEX(Affected,0,C1961)*EXP(-((E1961-EvCenter)^2)/(2*EvSigma^2))))),"")</f>
        <v/>
      </c>
      <c r="O1961">
        <f>IF(B1961,ROUND(MAX(0,J1961*K1961*L1961*M1961*N1961),2),"")</f>
        <v/>
      </c>
    </row>
    <row r="1962">
      <c r="A1962" t="n">
        <v>1961</v>
      </c>
      <c r="B1962">
        <f>A1962&lt;=MineCount*Days</f>
        <v/>
      </c>
      <c r="C1962">
        <f>IF(B1962,INT((A1962-1)/Days)+1,"")</f>
        <v/>
      </c>
      <c r="D1962">
        <f>IF(B1962,MOD(A1962-1,Days),"")</f>
        <v/>
      </c>
      <c r="E1962" s="16">
        <f>IF(B1962,StartDate+D1962,"")</f>
        <v/>
      </c>
      <c r="F1962">
        <f>IF(B1962,MAX(MOD(SIN(Seed*0.1373+C1962*12.9898+D1962*78.233)*43758.5453,1),1E-9),"")</f>
        <v/>
      </c>
      <c r="G1962">
        <f>IF(B1962,MOD(SIN(Seed*0.5917+C1962*39.3468+D1962*11.135)*24634.6345,1),"")</f>
        <v/>
      </c>
      <c r="H1962">
        <f>IF(B1962,SQRT(-2*LN(F1962))*COS(2*PI()*G1962),"")</f>
        <v/>
      </c>
      <c r="I1962">
        <f>IF(B1962,IF(D1962=0,H1962,Rho*I1961+SQRT(1-Rho^2)*H1962),"")</f>
        <v/>
      </c>
      <c r="J1962">
        <f>IF(B1962,IF(Dist="Normal",DistA+DistB*I1962,DistA+(DistB-DistA)*NORMSDIST(I1962)),"")</f>
        <v/>
      </c>
      <c r="K1962">
        <f>IF(B1962,INDEX(MineScale,C1962),"")</f>
        <v/>
      </c>
      <c r="L1962">
        <f>IF(B1962,INDEX(Dow,1,WEEKDAY(E1962,2)),"")</f>
        <v/>
      </c>
      <c r="M1962">
        <f>IF(B1962,(1+Trend)^D1962,"")</f>
        <v/>
      </c>
      <c r="N1962">
        <f>IF(B1962,EXP(SUMPRODUCT(LN(1+(EvEff-1)*INDEX(Affected,0,C1962)*EXP(-((E1962-EvCenter)^2)/(2*EvSigma^2))))),"")</f>
        <v/>
      </c>
      <c r="O1962">
        <f>IF(B1962,ROUND(MAX(0,J1962*K1962*L1962*M1962*N1962),2),"")</f>
        <v/>
      </c>
    </row>
    <row r="1963">
      <c r="A1963" t="n">
        <v>1962</v>
      </c>
      <c r="B1963">
        <f>A1963&lt;=MineCount*Days</f>
        <v/>
      </c>
      <c r="C1963">
        <f>IF(B1963,INT((A1963-1)/Days)+1,"")</f>
        <v/>
      </c>
      <c r="D1963">
        <f>IF(B1963,MOD(A1963-1,Days),"")</f>
        <v/>
      </c>
      <c r="E1963" s="16">
        <f>IF(B1963,StartDate+D1963,"")</f>
        <v/>
      </c>
      <c r="F1963">
        <f>IF(B1963,MAX(MOD(SIN(Seed*0.1373+C1963*12.9898+D1963*78.233)*43758.5453,1),1E-9),"")</f>
        <v/>
      </c>
      <c r="G1963">
        <f>IF(B1963,MOD(SIN(Seed*0.5917+C1963*39.3468+D1963*11.135)*24634.6345,1),"")</f>
        <v/>
      </c>
      <c r="H1963">
        <f>IF(B1963,SQRT(-2*LN(F1963))*COS(2*PI()*G1963),"")</f>
        <v/>
      </c>
      <c r="I1963">
        <f>IF(B1963,IF(D1963=0,H1963,Rho*I1962+SQRT(1-Rho^2)*H1963),"")</f>
        <v/>
      </c>
      <c r="J1963">
        <f>IF(B1963,IF(Dist="Normal",DistA+DistB*I1963,DistA+(DistB-DistA)*NORMSDIST(I1963)),"")</f>
        <v/>
      </c>
      <c r="K1963">
        <f>IF(B1963,INDEX(MineScale,C1963),"")</f>
        <v/>
      </c>
      <c r="L1963">
        <f>IF(B1963,INDEX(Dow,1,WEEKDAY(E1963,2)),"")</f>
        <v/>
      </c>
      <c r="M1963">
        <f>IF(B1963,(1+Trend)^D1963,"")</f>
        <v/>
      </c>
      <c r="N1963">
        <f>IF(B1963,EXP(SUMPRODUCT(LN(1+(EvEff-1)*INDEX(Affected,0,C1963)*EXP(-((E1963-EvCenter)^2)/(2*EvSigma^2))))),"")</f>
        <v/>
      </c>
      <c r="O1963">
        <f>IF(B1963,ROUND(MAX(0,J1963*K1963*L1963*M1963*N1963),2),"")</f>
        <v/>
      </c>
    </row>
    <row r="1964">
      <c r="A1964" t="n">
        <v>1963</v>
      </c>
      <c r="B1964">
        <f>A1964&lt;=MineCount*Days</f>
        <v/>
      </c>
      <c r="C1964">
        <f>IF(B1964,INT((A1964-1)/Days)+1,"")</f>
        <v/>
      </c>
      <c r="D1964">
        <f>IF(B1964,MOD(A1964-1,Days),"")</f>
        <v/>
      </c>
      <c r="E1964" s="16">
        <f>IF(B1964,StartDate+D1964,"")</f>
        <v/>
      </c>
      <c r="F1964">
        <f>IF(B1964,MAX(MOD(SIN(Seed*0.1373+C1964*12.9898+D1964*78.233)*43758.5453,1),1E-9),"")</f>
        <v/>
      </c>
      <c r="G1964">
        <f>IF(B1964,MOD(SIN(Seed*0.5917+C1964*39.3468+D1964*11.135)*24634.6345,1),"")</f>
        <v/>
      </c>
      <c r="H1964">
        <f>IF(B1964,SQRT(-2*LN(F1964))*COS(2*PI()*G1964),"")</f>
        <v/>
      </c>
      <c r="I1964">
        <f>IF(B1964,IF(D1964=0,H1964,Rho*I1963+SQRT(1-Rho^2)*H1964),"")</f>
        <v/>
      </c>
      <c r="J1964">
        <f>IF(B1964,IF(Dist="Normal",DistA+DistB*I1964,DistA+(DistB-DistA)*NORMSDIST(I1964)),"")</f>
        <v/>
      </c>
      <c r="K1964">
        <f>IF(B1964,INDEX(MineScale,C1964),"")</f>
        <v/>
      </c>
      <c r="L1964">
        <f>IF(B1964,INDEX(Dow,1,WEEKDAY(E1964,2)),"")</f>
        <v/>
      </c>
      <c r="M1964">
        <f>IF(B1964,(1+Trend)^D1964,"")</f>
        <v/>
      </c>
      <c r="N1964">
        <f>IF(B1964,EXP(SUMPRODUCT(LN(1+(EvEff-1)*INDEX(Affected,0,C1964)*EXP(-((E1964-EvCenter)^2)/(2*EvSigma^2))))),"")</f>
        <v/>
      </c>
      <c r="O1964">
        <f>IF(B1964,ROUND(MAX(0,J1964*K1964*L1964*M1964*N1964),2),"")</f>
        <v/>
      </c>
    </row>
    <row r="1965">
      <c r="A1965" t="n">
        <v>1964</v>
      </c>
      <c r="B1965">
        <f>A1965&lt;=MineCount*Days</f>
        <v/>
      </c>
      <c r="C1965">
        <f>IF(B1965,INT((A1965-1)/Days)+1,"")</f>
        <v/>
      </c>
      <c r="D1965">
        <f>IF(B1965,MOD(A1965-1,Days),"")</f>
        <v/>
      </c>
      <c r="E1965" s="16">
        <f>IF(B1965,StartDate+D1965,"")</f>
        <v/>
      </c>
      <c r="F1965">
        <f>IF(B1965,MAX(MOD(SIN(Seed*0.1373+C1965*12.9898+D1965*78.233)*43758.5453,1),1E-9),"")</f>
        <v/>
      </c>
      <c r="G1965">
        <f>IF(B1965,MOD(SIN(Seed*0.5917+C1965*39.3468+D1965*11.135)*24634.6345,1),"")</f>
        <v/>
      </c>
      <c r="H1965">
        <f>IF(B1965,SQRT(-2*LN(F1965))*COS(2*PI()*G1965),"")</f>
        <v/>
      </c>
      <c r="I1965">
        <f>IF(B1965,IF(D1965=0,H1965,Rho*I1964+SQRT(1-Rho^2)*H1965),"")</f>
        <v/>
      </c>
      <c r="J1965">
        <f>IF(B1965,IF(Dist="Normal",DistA+DistB*I1965,DistA+(DistB-DistA)*NORMSDIST(I1965)),"")</f>
        <v/>
      </c>
      <c r="K1965">
        <f>IF(B1965,INDEX(MineScale,C1965),"")</f>
        <v/>
      </c>
      <c r="L1965">
        <f>IF(B1965,INDEX(Dow,1,WEEKDAY(E1965,2)),"")</f>
        <v/>
      </c>
      <c r="M1965">
        <f>IF(B1965,(1+Trend)^D1965,"")</f>
        <v/>
      </c>
      <c r="N1965">
        <f>IF(B1965,EXP(SUMPRODUCT(LN(1+(EvEff-1)*INDEX(Affected,0,C1965)*EXP(-((E1965-EvCenter)^2)/(2*EvSigma^2))))),"")</f>
        <v/>
      </c>
      <c r="O1965">
        <f>IF(B1965,ROUND(MAX(0,J1965*K1965*L1965*M1965*N1965),2),"")</f>
        <v/>
      </c>
    </row>
    <row r="1966">
      <c r="A1966" t="n">
        <v>1965</v>
      </c>
      <c r="B1966">
        <f>A1966&lt;=MineCount*Days</f>
        <v/>
      </c>
      <c r="C1966">
        <f>IF(B1966,INT((A1966-1)/Days)+1,"")</f>
        <v/>
      </c>
      <c r="D1966">
        <f>IF(B1966,MOD(A1966-1,Days),"")</f>
        <v/>
      </c>
      <c r="E1966" s="16">
        <f>IF(B1966,StartDate+D1966,"")</f>
        <v/>
      </c>
      <c r="F1966">
        <f>IF(B1966,MAX(MOD(SIN(Seed*0.1373+C1966*12.9898+D1966*78.233)*43758.5453,1),1E-9),"")</f>
        <v/>
      </c>
      <c r="G1966">
        <f>IF(B1966,MOD(SIN(Seed*0.5917+C1966*39.3468+D1966*11.135)*24634.6345,1),"")</f>
        <v/>
      </c>
      <c r="H1966">
        <f>IF(B1966,SQRT(-2*LN(F1966))*COS(2*PI()*G1966),"")</f>
        <v/>
      </c>
      <c r="I1966">
        <f>IF(B1966,IF(D1966=0,H1966,Rho*I1965+SQRT(1-Rho^2)*H1966),"")</f>
        <v/>
      </c>
      <c r="J1966">
        <f>IF(B1966,IF(Dist="Normal",DistA+DistB*I1966,DistA+(DistB-DistA)*NORMSDIST(I1966)),"")</f>
        <v/>
      </c>
      <c r="K1966">
        <f>IF(B1966,INDEX(MineScale,C1966),"")</f>
        <v/>
      </c>
      <c r="L1966">
        <f>IF(B1966,INDEX(Dow,1,WEEKDAY(E1966,2)),"")</f>
        <v/>
      </c>
      <c r="M1966">
        <f>IF(B1966,(1+Trend)^D1966,"")</f>
        <v/>
      </c>
      <c r="N1966">
        <f>IF(B1966,EXP(SUMPRODUCT(LN(1+(EvEff-1)*INDEX(Affected,0,C1966)*EXP(-((E1966-EvCenter)^2)/(2*EvSigma^2))))),"")</f>
        <v/>
      </c>
      <c r="O1966">
        <f>IF(B1966,ROUND(MAX(0,J1966*K1966*L1966*M1966*N1966),2),"")</f>
        <v/>
      </c>
    </row>
    <row r="1967">
      <c r="A1967" t="n">
        <v>1966</v>
      </c>
      <c r="B1967">
        <f>A1967&lt;=MineCount*Days</f>
        <v/>
      </c>
      <c r="C1967">
        <f>IF(B1967,INT((A1967-1)/Days)+1,"")</f>
        <v/>
      </c>
      <c r="D1967">
        <f>IF(B1967,MOD(A1967-1,Days),"")</f>
        <v/>
      </c>
      <c r="E1967" s="16">
        <f>IF(B1967,StartDate+D1967,"")</f>
        <v/>
      </c>
      <c r="F1967">
        <f>IF(B1967,MAX(MOD(SIN(Seed*0.1373+C1967*12.9898+D1967*78.233)*43758.5453,1),1E-9),"")</f>
        <v/>
      </c>
      <c r="G1967">
        <f>IF(B1967,MOD(SIN(Seed*0.5917+C1967*39.3468+D1967*11.135)*24634.6345,1),"")</f>
        <v/>
      </c>
      <c r="H1967">
        <f>IF(B1967,SQRT(-2*LN(F1967))*COS(2*PI()*G1967),"")</f>
        <v/>
      </c>
      <c r="I1967">
        <f>IF(B1967,IF(D1967=0,H1967,Rho*I1966+SQRT(1-Rho^2)*H1967),"")</f>
        <v/>
      </c>
      <c r="J1967">
        <f>IF(B1967,IF(Dist="Normal",DistA+DistB*I1967,DistA+(DistB-DistA)*NORMSDIST(I1967)),"")</f>
        <v/>
      </c>
      <c r="K1967">
        <f>IF(B1967,INDEX(MineScale,C1967),"")</f>
        <v/>
      </c>
      <c r="L1967">
        <f>IF(B1967,INDEX(Dow,1,WEEKDAY(E1967,2)),"")</f>
        <v/>
      </c>
      <c r="M1967">
        <f>IF(B1967,(1+Trend)^D1967,"")</f>
        <v/>
      </c>
      <c r="N1967">
        <f>IF(B1967,EXP(SUMPRODUCT(LN(1+(EvEff-1)*INDEX(Affected,0,C1967)*EXP(-((E1967-EvCenter)^2)/(2*EvSigma^2))))),"")</f>
        <v/>
      </c>
      <c r="O1967">
        <f>IF(B1967,ROUND(MAX(0,J1967*K1967*L1967*M1967*N1967),2),"")</f>
        <v/>
      </c>
    </row>
    <row r="1968">
      <c r="A1968" t="n">
        <v>1967</v>
      </c>
      <c r="B1968">
        <f>A1968&lt;=MineCount*Days</f>
        <v/>
      </c>
      <c r="C1968">
        <f>IF(B1968,INT((A1968-1)/Days)+1,"")</f>
        <v/>
      </c>
      <c r="D1968">
        <f>IF(B1968,MOD(A1968-1,Days),"")</f>
        <v/>
      </c>
      <c r="E1968" s="16">
        <f>IF(B1968,StartDate+D1968,"")</f>
        <v/>
      </c>
      <c r="F1968">
        <f>IF(B1968,MAX(MOD(SIN(Seed*0.1373+C1968*12.9898+D1968*78.233)*43758.5453,1),1E-9),"")</f>
        <v/>
      </c>
      <c r="G1968">
        <f>IF(B1968,MOD(SIN(Seed*0.5917+C1968*39.3468+D1968*11.135)*24634.6345,1),"")</f>
        <v/>
      </c>
      <c r="H1968">
        <f>IF(B1968,SQRT(-2*LN(F1968))*COS(2*PI()*G1968),"")</f>
        <v/>
      </c>
      <c r="I1968">
        <f>IF(B1968,IF(D1968=0,H1968,Rho*I1967+SQRT(1-Rho^2)*H1968),"")</f>
        <v/>
      </c>
      <c r="J1968">
        <f>IF(B1968,IF(Dist="Normal",DistA+DistB*I1968,DistA+(DistB-DistA)*NORMSDIST(I1968)),"")</f>
        <v/>
      </c>
      <c r="K1968">
        <f>IF(B1968,INDEX(MineScale,C1968),"")</f>
        <v/>
      </c>
      <c r="L1968">
        <f>IF(B1968,INDEX(Dow,1,WEEKDAY(E1968,2)),"")</f>
        <v/>
      </c>
      <c r="M1968">
        <f>IF(B1968,(1+Trend)^D1968,"")</f>
        <v/>
      </c>
      <c r="N1968">
        <f>IF(B1968,EXP(SUMPRODUCT(LN(1+(EvEff-1)*INDEX(Affected,0,C1968)*EXP(-((E1968-EvCenter)^2)/(2*EvSigma^2))))),"")</f>
        <v/>
      </c>
      <c r="O1968">
        <f>IF(B1968,ROUND(MAX(0,J1968*K1968*L1968*M1968*N1968),2),"")</f>
        <v/>
      </c>
    </row>
    <row r="1969">
      <c r="A1969" t="n">
        <v>1968</v>
      </c>
      <c r="B1969">
        <f>A1969&lt;=MineCount*Days</f>
        <v/>
      </c>
      <c r="C1969">
        <f>IF(B1969,INT((A1969-1)/Days)+1,"")</f>
        <v/>
      </c>
      <c r="D1969">
        <f>IF(B1969,MOD(A1969-1,Days),"")</f>
        <v/>
      </c>
      <c r="E1969" s="16">
        <f>IF(B1969,StartDate+D1969,"")</f>
        <v/>
      </c>
      <c r="F1969">
        <f>IF(B1969,MAX(MOD(SIN(Seed*0.1373+C1969*12.9898+D1969*78.233)*43758.5453,1),1E-9),"")</f>
        <v/>
      </c>
      <c r="G1969">
        <f>IF(B1969,MOD(SIN(Seed*0.5917+C1969*39.3468+D1969*11.135)*24634.6345,1),"")</f>
        <v/>
      </c>
      <c r="H1969">
        <f>IF(B1969,SQRT(-2*LN(F1969))*COS(2*PI()*G1969),"")</f>
        <v/>
      </c>
      <c r="I1969">
        <f>IF(B1969,IF(D1969=0,H1969,Rho*I1968+SQRT(1-Rho^2)*H1969),"")</f>
        <v/>
      </c>
      <c r="J1969">
        <f>IF(B1969,IF(Dist="Normal",DistA+DistB*I1969,DistA+(DistB-DistA)*NORMSDIST(I1969)),"")</f>
        <v/>
      </c>
      <c r="K1969">
        <f>IF(B1969,INDEX(MineScale,C1969),"")</f>
        <v/>
      </c>
      <c r="L1969">
        <f>IF(B1969,INDEX(Dow,1,WEEKDAY(E1969,2)),"")</f>
        <v/>
      </c>
      <c r="M1969">
        <f>IF(B1969,(1+Trend)^D1969,"")</f>
        <v/>
      </c>
      <c r="N1969">
        <f>IF(B1969,EXP(SUMPRODUCT(LN(1+(EvEff-1)*INDEX(Affected,0,C1969)*EXP(-((E1969-EvCenter)^2)/(2*EvSigma^2))))),"")</f>
        <v/>
      </c>
      <c r="O1969">
        <f>IF(B1969,ROUND(MAX(0,J1969*K1969*L1969*M1969*N1969),2),"")</f>
        <v/>
      </c>
    </row>
    <row r="1970">
      <c r="A1970" t="n">
        <v>1969</v>
      </c>
      <c r="B1970">
        <f>A1970&lt;=MineCount*Days</f>
        <v/>
      </c>
      <c r="C1970">
        <f>IF(B1970,INT((A1970-1)/Days)+1,"")</f>
        <v/>
      </c>
      <c r="D1970">
        <f>IF(B1970,MOD(A1970-1,Days),"")</f>
        <v/>
      </c>
      <c r="E1970" s="16">
        <f>IF(B1970,StartDate+D1970,"")</f>
        <v/>
      </c>
      <c r="F1970">
        <f>IF(B1970,MAX(MOD(SIN(Seed*0.1373+C1970*12.9898+D1970*78.233)*43758.5453,1),1E-9),"")</f>
        <v/>
      </c>
      <c r="G1970">
        <f>IF(B1970,MOD(SIN(Seed*0.5917+C1970*39.3468+D1970*11.135)*24634.6345,1),"")</f>
        <v/>
      </c>
      <c r="H1970">
        <f>IF(B1970,SQRT(-2*LN(F1970))*COS(2*PI()*G1970),"")</f>
        <v/>
      </c>
      <c r="I1970">
        <f>IF(B1970,IF(D1970=0,H1970,Rho*I1969+SQRT(1-Rho^2)*H1970),"")</f>
        <v/>
      </c>
      <c r="J1970">
        <f>IF(B1970,IF(Dist="Normal",DistA+DistB*I1970,DistA+(DistB-DistA)*NORMSDIST(I1970)),"")</f>
        <v/>
      </c>
      <c r="K1970">
        <f>IF(B1970,INDEX(MineScale,C1970),"")</f>
        <v/>
      </c>
      <c r="L1970">
        <f>IF(B1970,INDEX(Dow,1,WEEKDAY(E1970,2)),"")</f>
        <v/>
      </c>
      <c r="M1970">
        <f>IF(B1970,(1+Trend)^D1970,"")</f>
        <v/>
      </c>
      <c r="N1970">
        <f>IF(B1970,EXP(SUMPRODUCT(LN(1+(EvEff-1)*INDEX(Affected,0,C1970)*EXP(-((E1970-EvCenter)^2)/(2*EvSigma^2))))),"")</f>
        <v/>
      </c>
      <c r="O1970">
        <f>IF(B1970,ROUND(MAX(0,J1970*K1970*L1970*M1970*N1970),2),"")</f>
        <v/>
      </c>
    </row>
    <row r="1971">
      <c r="A1971" t="n">
        <v>1970</v>
      </c>
      <c r="B1971">
        <f>A1971&lt;=MineCount*Days</f>
        <v/>
      </c>
      <c r="C1971">
        <f>IF(B1971,INT((A1971-1)/Days)+1,"")</f>
        <v/>
      </c>
      <c r="D1971">
        <f>IF(B1971,MOD(A1971-1,Days),"")</f>
        <v/>
      </c>
      <c r="E1971" s="16">
        <f>IF(B1971,StartDate+D1971,"")</f>
        <v/>
      </c>
      <c r="F1971">
        <f>IF(B1971,MAX(MOD(SIN(Seed*0.1373+C1971*12.9898+D1971*78.233)*43758.5453,1),1E-9),"")</f>
        <v/>
      </c>
      <c r="G1971">
        <f>IF(B1971,MOD(SIN(Seed*0.5917+C1971*39.3468+D1971*11.135)*24634.6345,1),"")</f>
        <v/>
      </c>
      <c r="H1971">
        <f>IF(B1971,SQRT(-2*LN(F1971))*COS(2*PI()*G1971),"")</f>
        <v/>
      </c>
      <c r="I1971">
        <f>IF(B1971,IF(D1971=0,H1971,Rho*I1970+SQRT(1-Rho^2)*H1971),"")</f>
        <v/>
      </c>
      <c r="J1971">
        <f>IF(B1971,IF(Dist="Normal",DistA+DistB*I1971,DistA+(DistB-DistA)*NORMSDIST(I1971)),"")</f>
        <v/>
      </c>
      <c r="K1971">
        <f>IF(B1971,INDEX(MineScale,C1971),"")</f>
        <v/>
      </c>
      <c r="L1971">
        <f>IF(B1971,INDEX(Dow,1,WEEKDAY(E1971,2)),"")</f>
        <v/>
      </c>
      <c r="M1971">
        <f>IF(B1971,(1+Trend)^D1971,"")</f>
        <v/>
      </c>
      <c r="N1971">
        <f>IF(B1971,EXP(SUMPRODUCT(LN(1+(EvEff-1)*INDEX(Affected,0,C1971)*EXP(-((E1971-EvCenter)^2)/(2*EvSigma^2))))),"")</f>
        <v/>
      </c>
      <c r="O1971">
        <f>IF(B1971,ROUND(MAX(0,J1971*K1971*L1971*M1971*N1971),2),"")</f>
        <v/>
      </c>
    </row>
    <row r="1972">
      <c r="A1972" t="n">
        <v>1971</v>
      </c>
      <c r="B1972">
        <f>A1972&lt;=MineCount*Days</f>
        <v/>
      </c>
      <c r="C1972">
        <f>IF(B1972,INT((A1972-1)/Days)+1,"")</f>
        <v/>
      </c>
      <c r="D1972">
        <f>IF(B1972,MOD(A1972-1,Days),"")</f>
        <v/>
      </c>
      <c r="E1972" s="16">
        <f>IF(B1972,StartDate+D1972,"")</f>
        <v/>
      </c>
      <c r="F1972">
        <f>IF(B1972,MAX(MOD(SIN(Seed*0.1373+C1972*12.9898+D1972*78.233)*43758.5453,1),1E-9),"")</f>
        <v/>
      </c>
      <c r="G1972">
        <f>IF(B1972,MOD(SIN(Seed*0.5917+C1972*39.3468+D1972*11.135)*24634.6345,1),"")</f>
        <v/>
      </c>
      <c r="H1972">
        <f>IF(B1972,SQRT(-2*LN(F1972))*COS(2*PI()*G1972),"")</f>
        <v/>
      </c>
      <c r="I1972">
        <f>IF(B1972,IF(D1972=0,H1972,Rho*I1971+SQRT(1-Rho^2)*H1972),"")</f>
        <v/>
      </c>
      <c r="J1972">
        <f>IF(B1972,IF(Dist="Normal",DistA+DistB*I1972,DistA+(DistB-DistA)*NORMSDIST(I1972)),"")</f>
        <v/>
      </c>
      <c r="K1972">
        <f>IF(B1972,INDEX(MineScale,C1972),"")</f>
        <v/>
      </c>
      <c r="L1972">
        <f>IF(B1972,INDEX(Dow,1,WEEKDAY(E1972,2)),"")</f>
        <v/>
      </c>
      <c r="M1972">
        <f>IF(B1972,(1+Trend)^D1972,"")</f>
        <v/>
      </c>
      <c r="N1972">
        <f>IF(B1972,EXP(SUMPRODUCT(LN(1+(EvEff-1)*INDEX(Affected,0,C1972)*EXP(-((E1972-EvCenter)^2)/(2*EvSigma^2))))),"")</f>
        <v/>
      </c>
      <c r="O1972">
        <f>IF(B1972,ROUND(MAX(0,J1972*K1972*L1972*M1972*N1972),2),"")</f>
        <v/>
      </c>
    </row>
    <row r="1973">
      <c r="A1973" t="n">
        <v>1972</v>
      </c>
      <c r="B1973">
        <f>A1973&lt;=MineCount*Days</f>
        <v/>
      </c>
      <c r="C1973">
        <f>IF(B1973,INT((A1973-1)/Days)+1,"")</f>
        <v/>
      </c>
      <c r="D1973">
        <f>IF(B1973,MOD(A1973-1,Days),"")</f>
        <v/>
      </c>
      <c r="E1973" s="16">
        <f>IF(B1973,StartDate+D1973,"")</f>
        <v/>
      </c>
      <c r="F1973">
        <f>IF(B1973,MAX(MOD(SIN(Seed*0.1373+C1973*12.9898+D1973*78.233)*43758.5453,1),1E-9),"")</f>
        <v/>
      </c>
      <c r="G1973">
        <f>IF(B1973,MOD(SIN(Seed*0.5917+C1973*39.3468+D1973*11.135)*24634.6345,1),"")</f>
        <v/>
      </c>
      <c r="H1973">
        <f>IF(B1973,SQRT(-2*LN(F1973))*COS(2*PI()*G1973),"")</f>
        <v/>
      </c>
      <c r="I1973">
        <f>IF(B1973,IF(D1973=0,H1973,Rho*I1972+SQRT(1-Rho^2)*H1973),"")</f>
        <v/>
      </c>
      <c r="J1973">
        <f>IF(B1973,IF(Dist="Normal",DistA+DistB*I1973,DistA+(DistB-DistA)*NORMSDIST(I1973)),"")</f>
        <v/>
      </c>
      <c r="K1973">
        <f>IF(B1973,INDEX(MineScale,C1973),"")</f>
        <v/>
      </c>
      <c r="L1973">
        <f>IF(B1973,INDEX(Dow,1,WEEKDAY(E1973,2)),"")</f>
        <v/>
      </c>
      <c r="M1973">
        <f>IF(B1973,(1+Trend)^D1973,"")</f>
        <v/>
      </c>
      <c r="N1973">
        <f>IF(B1973,EXP(SUMPRODUCT(LN(1+(EvEff-1)*INDEX(Affected,0,C1973)*EXP(-((E1973-EvCenter)^2)/(2*EvSigma^2))))),"")</f>
        <v/>
      </c>
      <c r="O1973">
        <f>IF(B1973,ROUND(MAX(0,J1973*K1973*L1973*M1973*N1973),2),"")</f>
        <v/>
      </c>
    </row>
    <row r="1974">
      <c r="A1974" t="n">
        <v>1973</v>
      </c>
      <c r="B1974">
        <f>A1974&lt;=MineCount*Days</f>
        <v/>
      </c>
      <c r="C1974">
        <f>IF(B1974,INT((A1974-1)/Days)+1,"")</f>
        <v/>
      </c>
      <c r="D1974">
        <f>IF(B1974,MOD(A1974-1,Days),"")</f>
        <v/>
      </c>
      <c r="E1974" s="16">
        <f>IF(B1974,StartDate+D1974,"")</f>
        <v/>
      </c>
      <c r="F1974">
        <f>IF(B1974,MAX(MOD(SIN(Seed*0.1373+C1974*12.9898+D1974*78.233)*43758.5453,1),1E-9),"")</f>
        <v/>
      </c>
      <c r="G1974">
        <f>IF(B1974,MOD(SIN(Seed*0.5917+C1974*39.3468+D1974*11.135)*24634.6345,1),"")</f>
        <v/>
      </c>
      <c r="H1974">
        <f>IF(B1974,SQRT(-2*LN(F1974))*COS(2*PI()*G1974),"")</f>
        <v/>
      </c>
      <c r="I1974">
        <f>IF(B1974,IF(D1974=0,H1974,Rho*I1973+SQRT(1-Rho^2)*H1974),"")</f>
        <v/>
      </c>
      <c r="J1974">
        <f>IF(B1974,IF(Dist="Normal",DistA+DistB*I1974,DistA+(DistB-DistA)*NORMSDIST(I1974)),"")</f>
        <v/>
      </c>
      <c r="K1974">
        <f>IF(B1974,INDEX(MineScale,C1974),"")</f>
        <v/>
      </c>
      <c r="L1974">
        <f>IF(B1974,INDEX(Dow,1,WEEKDAY(E1974,2)),"")</f>
        <v/>
      </c>
      <c r="M1974">
        <f>IF(B1974,(1+Trend)^D1974,"")</f>
        <v/>
      </c>
      <c r="N1974">
        <f>IF(B1974,EXP(SUMPRODUCT(LN(1+(EvEff-1)*INDEX(Affected,0,C1974)*EXP(-((E1974-EvCenter)^2)/(2*EvSigma^2))))),"")</f>
        <v/>
      </c>
      <c r="O1974">
        <f>IF(B1974,ROUND(MAX(0,J1974*K1974*L1974*M1974*N1974),2),"")</f>
        <v/>
      </c>
    </row>
    <row r="1975">
      <c r="A1975" t="n">
        <v>1974</v>
      </c>
      <c r="B1975">
        <f>A1975&lt;=MineCount*Days</f>
        <v/>
      </c>
      <c r="C1975">
        <f>IF(B1975,INT((A1975-1)/Days)+1,"")</f>
        <v/>
      </c>
      <c r="D1975">
        <f>IF(B1975,MOD(A1975-1,Days),"")</f>
        <v/>
      </c>
      <c r="E1975" s="16">
        <f>IF(B1975,StartDate+D1975,"")</f>
        <v/>
      </c>
      <c r="F1975">
        <f>IF(B1975,MAX(MOD(SIN(Seed*0.1373+C1975*12.9898+D1975*78.233)*43758.5453,1),1E-9),"")</f>
        <v/>
      </c>
      <c r="G1975">
        <f>IF(B1975,MOD(SIN(Seed*0.5917+C1975*39.3468+D1975*11.135)*24634.6345,1),"")</f>
        <v/>
      </c>
      <c r="H1975">
        <f>IF(B1975,SQRT(-2*LN(F1975))*COS(2*PI()*G1975),"")</f>
        <v/>
      </c>
      <c r="I1975">
        <f>IF(B1975,IF(D1975=0,H1975,Rho*I1974+SQRT(1-Rho^2)*H1975),"")</f>
        <v/>
      </c>
      <c r="J1975">
        <f>IF(B1975,IF(Dist="Normal",DistA+DistB*I1975,DistA+(DistB-DistA)*NORMSDIST(I1975)),"")</f>
        <v/>
      </c>
      <c r="K1975">
        <f>IF(B1975,INDEX(MineScale,C1975),"")</f>
        <v/>
      </c>
      <c r="L1975">
        <f>IF(B1975,INDEX(Dow,1,WEEKDAY(E1975,2)),"")</f>
        <v/>
      </c>
      <c r="M1975">
        <f>IF(B1975,(1+Trend)^D1975,"")</f>
        <v/>
      </c>
      <c r="N1975">
        <f>IF(B1975,EXP(SUMPRODUCT(LN(1+(EvEff-1)*INDEX(Affected,0,C1975)*EXP(-((E1975-EvCenter)^2)/(2*EvSigma^2))))),"")</f>
        <v/>
      </c>
      <c r="O1975">
        <f>IF(B1975,ROUND(MAX(0,J1975*K1975*L1975*M1975*N1975),2),"")</f>
        <v/>
      </c>
    </row>
    <row r="1976">
      <c r="A1976" t="n">
        <v>1975</v>
      </c>
      <c r="B1976">
        <f>A1976&lt;=MineCount*Days</f>
        <v/>
      </c>
      <c r="C1976">
        <f>IF(B1976,INT((A1976-1)/Days)+1,"")</f>
        <v/>
      </c>
      <c r="D1976">
        <f>IF(B1976,MOD(A1976-1,Days),"")</f>
        <v/>
      </c>
      <c r="E1976" s="16">
        <f>IF(B1976,StartDate+D1976,"")</f>
        <v/>
      </c>
      <c r="F1976">
        <f>IF(B1976,MAX(MOD(SIN(Seed*0.1373+C1976*12.9898+D1976*78.233)*43758.5453,1),1E-9),"")</f>
        <v/>
      </c>
      <c r="G1976">
        <f>IF(B1976,MOD(SIN(Seed*0.5917+C1976*39.3468+D1976*11.135)*24634.6345,1),"")</f>
        <v/>
      </c>
      <c r="H1976">
        <f>IF(B1976,SQRT(-2*LN(F1976))*COS(2*PI()*G1976),"")</f>
        <v/>
      </c>
      <c r="I1976">
        <f>IF(B1976,IF(D1976=0,H1976,Rho*I1975+SQRT(1-Rho^2)*H1976),"")</f>
        <v/>
      </c>
      <c r="J1976">
        <f>IF(B1976,IF(Dist="Normal",DistA+DistB*I1976,DistA+(DistB-DistA)*NORMSDIST(I1976)),"")</f>
        <v/>
      </c>
      <c r="K1976">
        <f>IF(B1976,INDEX(MineScale,C1976),"")</f>
        <v/>
      </c>
      <c r="L1976">
        <f>IF(B1976,INDEX(Dow,1,WEEKDAY(E1976,2)),"")</f>
        <v/>
      </c>
      <c r="M1976">
        <f>IF(B1976,(1+Trend)^D1976,"")</f>
        <v/>
      </c>
      <c r="N1976">
        <f>IF(B1976,EXP(SUMPRODUCT(LN(1+(EvEff-1)*INDEX(Affected,0,C1976)*EXP(-((E1976-EvCenter)^2)/(2*EvSigma^2))))),"")</f>
        <v/>
      </c>
      <c r="O1976">
        <f>IF(B1976,ROUND(MAX(0,J1976*K1976*L1976*M1976*N1976),2),"")</f>
        <v/>
      </c>
    </row>
    <row r="1977">
      <c r="A1977" t="n">
        <v>1976</v>
      </c>
      <c r="B1977">
        <f>A1977&lt;=MineCount*Days</f>
        <v/>
      </c>
      <c r="C1977">
        <f>IF(B1977,INT((A1977-1)/Days)+1,"")</f>
        <v/>
      </c>
      <c r="D1977">
        <f>IF(B1977,MOD(A1977-1,Days),"")</f>
        <v/>
      </c>
      <c r="E1977" s="16">
        <f>IF(B1977,StartDate+D1977,"")</f>
        <v/>
      </c>
      <c r="F1977">
        <f>IF(B1977,MAX(MOD(SIN(Seed*0.1373+C1977*12.9898+D1977*78.233)*43758.5453,1),1E-9),"")</f>
        <v/>
      </c>
      <c r="G1977">
        <f>IF(B1977,MOD(SIN(Seed*0.5917+C1977*39.3468+D1977*11.135)*24634.6345,1),"")</f>
        <v/>
      </c>
      <c r="H1977">
        <f>IF(B1977,SQRT(-2*LN(F1977))*COS(2*PI()*G1977),"")</f>
        <v/>
      </c>
      <c r="I1977">
        <f>IF(B1977,IF(D1977=0,H1977,Rho*I1976+SQRT(1-Rho^2)*H1977),"")</f>
        <v/>
      </c>
      <c r="J1977">
        <f>IF(B1977,IF(Dist="Normal",DistA+DistB*I1977,DistA+(DistB-DistA)*NORMSDIST(I1977)),"")</f>
        <v/>
      </c>
      <c r="K1977">
        <f>IF(B1977,INDEX(MineScale,C1977),"")</f>
        <v/>
      </c>
      <c r="L1977">
        <f>IF(B1977,INDEX(Dow,1,WEEKDAY(E1977,2)),"")</f>
        <v/>
      </c>
      <c r="M1977">
        <f>IF(B1977,(1+Trend)^D1977,"")</f>
        <v/>
      </c>
      <c r="N1977">
        <f>IF(B1977,EXP(SUMPRODUCT(LN(1+(EvEff-1)*INDEX(Affected,0,C1977)*EXP(-((E1977-EvCenter)^2)/(2*EvSigma^2))))),"")</f>
        <v/>
      </c>
      <c r="O1977">
        <f>IF(B1977,ROUND(MAX(0,J1977*K1977*L1977*M1977*N1977),2),"")</f>
        <v/>
      </c>
    </row>
    <row r="1978">
      <c r="A1978" t="n">
        <v>1977</v>
      </c>
      <c r="B1978">
        <f>A1978&lt;=MineCount*Days</f>
        <v/>
      </c>
      <c r="C1978">
        <f>IF(B1978,INT((A1978-1)/Days)+1,"")</f>
        <v/>
      </c>
      <c r="D1978">
        <f>IF(B1978,MOD(A1978-1,Days),"")</f>
        <v/>
      </c>
      <c r="E1978" s="16">
        <f>IF(B1978,StartDate+D1978,"")</f>
        <v/>
      </c>
      <c r="F1978">
        <f>IF(B1978,MAX(MOD(SIN(Seed*0.1373+C1978*12.9898+D1978*78.233)*43758.5453,1),1E-9),"")</f>
        <v/>
      </c>
      <c r="G1978">
        <f>IF(B1978,MOD(SIN(Seed*0.5917+C1978*39.3468+D1978*11.135)*24634.6345,1),"")</f>
        <v/>
      </c>
      <c r="H1978">
        <f>IF(B1978,SQRT(-2*LN(F1978))*COS(2*PI()*G1978),"")</f>
        <v/>
      </c>
      <c r="I1978">
        <f>IF(B1978,IF(D1978=0,H1978,Rho*I1977+SQRT(1-Rho^2)*H1978),"")</f>
        <v/>
      </c>
      <c r="J1978">
        <f>IF(B1978,IF(Dist="Normal",DistA+DistB*I1978,DistA+(DistB-DistA)*NORMSDIST(I1978)),"")</f>
        <v/>
      </c>
      <c r="K1978">
        <f>IF(B1978,INDEX(MineScale,C1978),"")</f>
        <v/>
      </c>
      <c r="L1978">
        <f>IF(B1978,INDEX(Dow,1,WEEKDAY(E1978,2)),"")</f>
        <v/>
      </c>
      <c r="M1978">
        <f>IF(B1978,(1+Trend)^D1978,"")</f>
        <v/>
      </c>
      <c r="N1978">
        <f>IF(B1978,EXP(SUMPRODUCT(LN(1+(EvEff-1)*INDEX(Affected,0,C1978)*EXP(-((E1978-EvCenter)^2)/(2*EvSigma^2))))),"")</f>
        <v/>
      </c>
      <c r="O1978">
        <f>IF(B1978,ROUND(MAX(0,J1978*K1978*L1978*M1978*N1978),2),"")</f>
        <v/>
      </c>
    </row>
    <row r="1979">
      <c r="A1979" t="n">
        <v>1978</v>
      </c>
      <c r="B1979">
        <f>A1979&lt;=MineCount*Days</f>
        <v/>
      </c>
      <c r="C1979">
        <f>IF(B1979,INT((A1979-1)/Days)+1,"")</f>
        <v/>
      </c>
      <c r="D1979">
        <f>IF(B1979,MOD(A1979-1,Days),"")</f>
        <v/>
      </c>
      <c r="E1979" s="16">
        <f>IF(B1979,StartDate+D1979,"")</f>
        <v/>
      </c>
      <c r="F1979">
        <f>IF(B1979,MAX(MOD(SIN(Seed*0.1373+C1979*12.9898+D1979*78.233)*43758.5453,1),1E-9),"")</f>
        <v/>
      </c>
      <c r="G1979">
        <f>IF(B1979,MOD(SIN(Seed*0.5917+C1979*39.3468+D1979*11.135)*24634.6345,1),"")</f>
        <v/>
      </c>
      <c r="H1979">
        <f>IF(B1979,SQRT(-2*LN(F1979))*COS(2*PI()*G1979),"")</f>
        <v/>
      </c>
      <c r="I1979">
        <f>IF(B1979,IF(D1979=0,H1979,Rho*I1978+SQRT(1-Rho^2)*H1979),"")</f>
        <v/>
      </c>
      <c r="J1979">
        <f>IF(B1979,IF(Dist="Normal",DistA+DistB*I1979,DistA+(DistB-DistA)*NORMSDIST(I1979)),"")</f>
        <v/>
      </c>
      <c r="K1979">
        <f>IF(B1979,INDEX(MineScale,C1979),"")</f>
        <v/>
      </c>
      <c r="L1979">
        <f>IF(B1979,INDEX(Dow,1,WEEKDAY(E1979,2)),"")</f>
        <v/>
      </c>
      <c r="M1979">
        <f>IF(B1979,(1+Trend)^D1979,"")</f>
        <v/>
      </c>
      <c r="N1979">
        <f>IF(B1979,EXP(SUMPRODUCT(LN(1+(EvEff-1)*INDEX(Affected,0,C1979)*EXP(-((E1979-EvCenter)^2)/(2*EvSigma^2))))),"")</f>
        <v/>
      </c>
      <c r="O1979">
        <f>IF(B1979,ROUND(MAX(0,J1979*K1979*L1979*M1979*N1979),2),"")</f>
        <v/>
      </c>
    </row>
    <row r="1980">
      <c r="A1980" t="n">
        <v>1979</v>
      </c>
      <c r="B1980">
        <f>A1980&lt;=MineCount*Days</f>
        <v/>
      </c>
      <c r="C1980">
        <f>IF(B1980,INT((A1980-1)/Days)+1,"")</f>
        <v/>
      </c>
      <c r="D1980">
        <f>IF(B1980,MOD(A1980-1,Days),"")</f>
        <v/>
      </c>
      <c r="E1980" s="16">
        <f>IF(B1980,StartDate+D1980,"")</f>
        <v/>
      </c>
      <c r="F1980">
        <f>IF(B1980,MAX(MOD(SIN(Seed*0.1373+C1980*12.9898+D1980*78.233)*43758.5453,1),1E-9),"")</f>
        <v/>
      </c>
      <c r="G1980">
        <f>IF(B1980,MOD(SIN(Seed*0.5917+C1980*39.3468+D1980*11.135)*24634.6345,1),"")</f>
        <v/>
      </c>
      <c r="H1980">
        <f>IF(B1980,SQRT(-2*LN(F1980))*COS(2*PI()*G1980),"")</f>
        <v/>
      </c>
      <c r="I1980">
        <f>IF(B1980,IF(D1980=0,H1980,Rho*I1979+SQRT(1-Rho^2)*H1980),"")</f>
        <v/>
      </c>
      <c r="J1980">
        <f>IF(B1980,IF(Dist="Normal",DistA+DistB*I1980,DistA+(DistB-DistA)*NORMSDIST(I1980)),"")</f>
        <v/>
      </c>
      <c r="K1980">
        <f>IF(B1980,INDEX(MineScale,C1980),"")</f>
        <v/>
      </c>
      <c r="L1980">
        <f>IF(B1980,INDEX(Dow,1,WEEKDAY(E1980,2)),"")</f>
        <v/>
      </c>
      <c r="M1980">
        <f>IF(B1980,(1+Trend)^D1980,"")</f>
        <v/>
      </c>
      <c r="N1980">
        <f>IF(B1980,EXP(SUMPRODUCT(LN(1+(EvEff-1)*INDEX(Affected,0,C1980)*EXP(-((E1980-EvCenter)^2)/(2*EvSigma^2))))),"")</f>
        <v/>
      </c>
      <c r="O1980">
        <f>IF(B1980,ROUND(MAX(0,J1980*K1980*L1980*M1980*N1980),2),"")</f>
        <v/>
      </c>
    </row>
    <row r="1981">
      <c r="A1981" t="n">
        <v>1980</v>
      </c>
      <c r="B1981">
        <f>A1981&lt;=MineCount*Days</f>
        <v/>
      </c>
      <c r="C1981">
        <f>IF(B1981,INT((A1981-1)/Days)+1,"")</f>
        <v/>
      </c>
      <c r="D1981">
        <f>IF(B1981,MOD(A1981-1,Days),"")</f>
        <v/>
      </c>
      <c r="E1981" s="16">
        <f>IF(B1981,StartDate+D1981,"")</f>
        <v/>
      </c>
      <c r="F1981">
        <f>IF(B1981,MAX(MOD(SIN(Seed*0.1373+C1981*12.9898+D1981*78.233)*43758.5453,1),1E-9),"")</f>
        <v/>
      </c>
      <c r="G1981">
        <f>IF(B1981,MOD(SIN(Seed*0.5917+C1981*39.3468+D1981*11.135)*24634.6345,1),"")</f>
        <v/>
      </c>
      <c r="H1981">
        <f>IF(B1981,SQRT(-2*LN(F1981))*COS(2*PI()*G1981),"")</f>
        <v/>
      </c>
      <c r="I1981">
        <f>IF(B1981,IF(D1981=0,H1981,Rho*I1980+SQRT(1-Rho^2)*H1981),"")</f>
        <v/>
      </c>
      <c r="J1981">
        <f>IF(B1981,IF(Dist="Normal",DistA+DistB*I1981,DistA+(DistB-DistA)*NORMSDIST(I1981)),"")</f>
        <v/>
      </c>
      <c r="K1981">
        <f>IF(B1981,INDEX(MineScale,C1981),"")</f>
        <v/>
      </c>
      <c r="L1981">
        <f>IF(B1981,INDEX(Dow,1,WEEKDAY(E1981,2)),"")</f>
        <v/>
      </c>
      <c r="M1981">
        <f>IF(B1981,(1+Trend)^D1981,"")</f>
        <v/>
      </c>
      <c r="N1981">
        <f>IF(B1981,EXP(SUMPRODUCT(LN(1+(EvEff-1)*INDEX(Affected,0,C1981)*EXP(-((E1981-EvCenter)^2)/(2*EvSigma^2))))),"")</f>
        <v/>
      </c>
      <c r="O1981">
        <f>IF(B1981,ROUND(MAX(0,J1981*K1981*L1981*M1981*N1981),2),"")</f>
        <v/>
      </c>
    </row>
    <row r="1982">
      <c r="A1982" t="n">
        <v>1981</v>
      </c>
      <c r="B1982">
        <f>A1982&lt;=MineCount*Days</f>
        <v/>
      </c>
      <c r="C1982">
        <f>IF(B1982,INT((A1982-1)/Days)+1,"")</f>
        <v/>
      </c>
      <c r="D1982">
        <f>IF(B1982,MOD(A1982-1,Days),"")</f>
        <v/>
      </c>
      <c r="E1982" s="16">
        <f>IF(B1982,StartDate+D1982,"")</f>
        <v/>
      </c>
      <c r="F1982">
        <f>IF(B1982,MAX(MOD(SIN(Seed*0.1373+C1982*12.9898+D1982*78.233)*43758.5453,1),1E-9),"")</f>
        <v/>
      </c>
      <c r="G1982">
        <f>IF(B1982,MOD(SIN(Seed*0.5917+C1982*39.3468+D1982*11.135)*24634.6345,1),"")</f>
        <v/>
      </c>
      <c r="H1982">
        <f>IF(B1982,SQRT(-2*LN(F1982))*COS(2*PI()*G1982),"")</f>
        <v/>
      </c>
      <c r="I1982">
        <f>IF(B1982,IF(D1982=0,H1982,Rho*I1981+SQRT(1-Rho^2)*H1982),"")</f>
        <v/>
      </c>
      <c r="J1982">
        <f>IF(B1982,IF(Dist="Normal",DistA+DistB*I1982,DistA+(DistB-DistA)*NORMSDIST(I1982)),"")</f>
        <v/>
      </c>
      <c r="K1982">
        <f>IF(B1982,INDEX(MineScale,C1982),"")</f>
        <v/>
      </c>
      <c r="L1982">
        <f>IF(B1982,INDEX(Dow,1,WEEKDAY(E1982,2)),"")</f>
        <v/>
      </c>
      <c r="M1982">
        <f>IF(B1982,(1+Trend)^D1982,"")</f>
        <v/>
      </c>
      <c r="N1982">
        <f>IF(B1982,EXP(SUMPRODUCT(LN(1+(EvEff-1)*INDEX(Affected,0,C1982)*EXP(-((E1982-EvCenter)^2)/(2*EvSigma^2))))),"")</f>
        <v/>
      </c>
      <c r="O1982">
        <f>IF(B1982,ROUND(MAX(0,J1982*K1982*L1982*M1982*N1982),2),"")</f>
        <v/>
      </c>
    </row>
    <row r="1983">
      <c r="A1983" t="n">
        <v>1982</v>
      </c>
      <c r="B1983">
        <f>A1983&lt;=MineCount*Days</f>
        <v/>
      </c>
      <c r="C1983">
        <f>IF(B1983,INT((A1983-1)/Days)+1,"")</f>
        <v/>
      </c>
      <c r="D1983">
        <f>IF(B1983,MOD(A1983-1,Days),"")</f>
        <v/>
      </c>
      <c r="E1983" s="16">
        <f>IF(B1983,StartDate+D1983,"")</f>
        <v/>
      </c>
      <c r="F1983">
        <f>IF(B1983,MAX(MOD(SIN(Seed*0.1373+C1983*12.9898+D1983*78.233)*43758.5453,1),1E-9),"")</f>
        <v/>
      </c>
      <c r="G1983">
        <f>IF(B1983,MOD(SIN(Seed*0.5917+C1983*39.3468+D1983*11.135)*24634.6345,1),"")</f>
        <v/>
      </c>
      <c r="H1983">
        <f>IF(B1983,SQRT(-2*LN(F1983))*COS(2*PI()*G1983),"")</f>
        <v/>
      </c>
      <c r="I1983">
        <f>IF(B1983,IF(D1983=0,H1983,Rho*I1982+SQRT(1-Rho^2)*H1983),"")</f>
        <v/>
      </c>
      <c r="J1983">
        <f>IF(B1983,IF(Dist="Normal",DistA+DistB*I1983,DistA+(DistB-DistA)*NORMSDIST(I1983)),"")</f>
        <v/>
      </c>
      <c r="K1983">
        <f>IF(B1983,INDEX(MineScale,C1983),"")</f>
        <v/>
      </c>
      <c r="L1983">
        <f>IF(B1983,INDEX(Dow,1,WEEKDAY(E1983,2)),"")</f>
        <v/>
      </c>
      <c r="M1983">
        <f>IF(B1983,(1+Trend)^D1983,"")</f>
        <v/>
      </c>
      <c r="N1983">
        <f>IF(B1983,EXP(SUMPRODUCT(LN(1+(EvEff-1)*INDEX(Affected,0,C1983)*EXP(-((E1983-EvCenter)^2)/(2*EvSigma^2))))),"")</f>
        <v/>
      </c>
      <c r="O1983">
        <f>IF(B1983,ROUND(MAX(0,J1983*K1983*L1983*M1983*N1983),2),"")</f>
        <v/>
      </c>
    </row>
    <row r="1984">
      <c r="A1984" t="n">
        <v>1983</v>
      </c>
      <c r="B1984">
        <f>A1984&lt;=MineCount*Days</f>
        <v/>
      </c>
      <c r="C1984">
        <f>IF(B1984,INT((A1984-1)/Days)+1,"")</f>
        <v/>
      </c>
      <c r="D1984">
        <f>IF(B1984,MOD(A1984-1,Days),"")</f>
        <v/>
      </c>
      <c r="E1984" s="16">
        <f>IF(B1984,StartDate+D1984,"")</f>
        <v/>
      </c>
      <c r="F1984">
        <f>IF(B1984,MAX(MOD(SIN(Seed*0.1373+C1984*12.9898+D1984*78.233)*43758.5453,1),1E-9),"")</f>
        <v/>
      </c>
      <c r="G1984">
        <f>IF(B1984,MOD(SIN(Seed*0.5917+C1984*39.3468+D1984*11.135)*24634.6345,1),"")</f>
        <v/>
      </c>
      <c r="H1984">
        <f>IF(B1984,SQRT(-2*LN(F1984))*COS(2*PI()*G1984),"")</f>
        <v/>
      </c>
      <c r="I1984">
        <f>IF(B1984,IF(D1984=0,H1984,Rho*I1983+SQRT(1-Rho^2)*H1984),"")</f>
        <v/>
      </c>
      <c r="J1984">
        <f>IF(B1984,IF(Dist="Normal",DistA+DistB*I1984,DistA+(DistB-DistA)*NORMSDIST(I1984)),"")</f>
        <v/>
      </c>
      <c r="K1984">
        <f>IF(B1984,INDEX(MineScale,C1984),"")</f>
        <v/>
      </c>
      <c r="L1984">
        <f>IF(B1984,INDEX(Dow,1,WEEKDAY(E1984,2)),"")</f>
        <v/>
      </c>
      <c r="M1984">
        <f>IF(B1984,(1+Trend)^D1984,"")</f>
        <v/>
      </c>
      <c r="N1984">
        <f>IF(B1984,EXP(SUMPRODUCT(LN(1+(EvEff-1)*INDEX(Affected,0,C1984)*EXP(-((E1984-EvCenter)^2)/(2*EvSigma^2))))),"")</f>
        <v/>
      </c>
      <c r="O1984">
        <f>IF(B1984,ROUND(MAX(0,J1984*K1984*L1984*M1984*N1984),2),"")</f>
        <v/>
      </c>
    </row>
    <row r="1985">
      <c r="A1985" t="n">
        <v>1984</v>
      </c>
      <c r="B1985">
        <f>A1985&lt;=MineCount*Days</f>
        <v/>
      </c>
      <c r="C1985">
        <f>IF(B1985,INT((A1985-1)/Days)+1,"")</f>
        <v/>
      </c>
      <c r="D1985">
        <f>IF(B1985,MOD(A1985-1,Days),"")</f>
        <v/>
      </c>
      <c r="E1985" s="16">
        <f>IF(B1985,StartDate+D1985,"")</f>
        <v/>
      </c>
      <c r="F1985">
        <f>IF(B1985,MAX(MOD(SIN(Seed*0.1373+C1985*12.9898+D1985*78.233)*43758.5453,1),1E-9),"")</f>
        <v/>
      </c>
      <c r="G1985">
        <f>IF(B1985,MOD(SIN(Seed*0.5917+C1985*39.3468+D1985*11.135)*24634.6345,1),"")</f>
        <v/>
      </c>
      <c r="H1985">
        <f>IF(B1985,SQRT(-2*LN(F1985))*COS(2*PI()*G1985),"")</f>
        <v/>
      </c>
      <c r="I1985">
        <f>IF(B1985,IF(D1985=0,H1985,Rho*I1984+SQRT(1-Rho^2)*H1985),"")</f>
        <v/>
      </c>
      <c r="J1985">
        <f>IF(B1985,IF(Dist="Normal",DistA+DistB*I1985,DistA+(DistB-DistA)*NORMSDIST(I1985)),"")</f>
        <v/>
      </c>
      <c r="K1985">
        <f>IF(B1985,INDEX(MineScale,C1985),"")</f>
        <v/>
      </c>
      <c r="L1985">
        <f>IF(B1985,INDEX(Dow,1,WEEKDAY(E1985,2)),"")</f>
        <v/>
      </c>
      <c r="M1985">
        <f>IF(B1985,(1+Trend)^D1985,"")</f>
        <v/>
      </c>
      <c r="N1985">
        <f>IF(B1985,EXP(SUMPRODUCT(LN(1+(EvEff-1)*INDEX(Affected,0,C1985)*EXP(-((E1985-EvCenter)^2)/(2*EvSigma^2))))),"")</f>
        <v/>
      </c>
      <c r="O1985">
        <f>IF(B1985,ROUND(MAX(0,J1985*K1985*L1985*M1985*N1985),2),"")</f>
        <v/>
      </c>
    </row>
    <row r="1986">
      <c r="A1986" t="n">
        <v>1985</v>
      </c>
      <c r="B1986">
        <f>A1986&lt;=MineCount*Days</f>
        <v/>
      </c>
      <c r="C1986">
        <f>IF(B1986,INT((A1986-1)/Days)+1,"")</f>
        <v/>
      </c>
      <c r="D1986">
        <f>IF(B1986,MOD(A1986-1,Days),"")</f>
        <v/>
      </c>
      <c r="E1986" s="16">
        <f>IF(B1986,StartDate+D1986,"")</f>
        <v/>
      </c>
      <c r="F1986">
        <f>IF(B1986,MAX(MOD(SIN(Seed*0.1373+C1986*12.9898+D1986*78.233)*43758.5453,1),1E-9),"")</f>
        <v/>
      </c>
      <c r="G1986">
        <f>IF(B1986,MOD(SIN(Seed*0.5917+C1986*39.3468+D1986*11.135)*24634.6345,1),"")</f>
        <v/>
      </c>
      <c r="H1986">
        <f>IF(B1986,SQRT(-2*LN(F1986))*COS(2*PI()*G1986),"")</f>
        <v/>
      </c>
      <c r="I1986">
        <f>IF(B1986,IF(D1986=0,H1986,Rho*I1985+SQRT(1-Rho^2)*H1986),"")</f>
        <v/>
      </c>
      <c r="J1986">
        <f>IF(B1986,IF(Dist="Normal",DistA+DistB*I1986,DistA+(DistB-DistA)*NORMSDIST(I1986)),"")</f>
        <v/>
      </c>
      <c r="K1986">
        <f>IF(B1986,INDEX(MineScale,C1986),"")</f>
        <v/>
      </c>
      <c r="L1986">
        <f>IF(B1986,INDEX(Dow,1,WEEKDAY(E1986,2)),"")</f>
        <v/>
      </c>
      <c r="M1986">
        <f>IF(B1986,(1+Trend)^D1986,"")</f>
        <v/>
      </c>
      <c r="N1986">
        <f>IF(B1986,EXP(SUMPRODUCT(LN(1+(EvEff-1)*INDEX(Affected,0,C1986)*EXP(-((E1986-EvCenter)^2)/(2*EvSigma^2))))),"")</f>
        <v/>
      </c>
      <c r="O1986">
        <f>IF(B1986,ROUND(MAX(0,J1986*K1986*L1986*M1986*N1986),2),"")</f>
        <v/>
      </c>
    </row>
    <row r="1987">
      <c r="A1987" t="n">
        <v>1986</v>
      </c>
      <c r="B1987">
        <f>A1987&lt;=MineCount*Days</f>
        <v/>
      </c>
      <c r="C1987">
        <f>IF(B1987,INT((A1987-1)/Days)+1,"")</f>
        <v/>
      </c>
      <c r="D1987">
        <f>IF(B1987,MOD(A1987-1,Days),"")</f>
        <v/>
      </c>
      <c r="E1987" s="16">
        <f>IF(B1987,StartDate+D1987,"")</f>
        <v/>
      </c>
      <c r="F1987">
        <f>IF(B1987,MAX(MOD(SIN(Seed*0.1373+C1987*12.9898+D1987*78.233)*43758.5453,1),1E-9),"")</f>
        <v/>
      </c>
      <c r="G1987">
        <f>IF(B1987,MOD(SIN(Seed*0.5917+C1987*39.3468+D1987*11.135)*24634.6345,1),"")</f>
        <v/>
      </c>
      <c r="H1987">
        <f>IF(B1987,SQRT(-2*LN(F1987))*COS(2*PI()*G1987),"")</f>
        <v/>
      </c>
      <c r="I1987">
        <f>IF(B1987,IF(D1987=0,H1987,Rho*I1986+SQRT(1-Rho^2)*H1987),"")</f>
        <v/>
      </c>
      <c r="J1987">
        <f>IF(B1987,IF(Dist="Normal",DistA+DistB*I1987,DistA+(DistB-DistA)*NORMSDIST(I1987)),"")</f>
        <v/>
      </c>
      <c r="K1987">
        <f>IF(B1987,INDEX(MineScale,C1987),"")</f>
        <v/>
      </c>
      <c r="L1987">
        <f>IF(B1987,INDEX(Dow,1,WEEKDAY(E1987,2)),"")</f>
        <v/>
      </c>
      <c r="M1987">
        <f>IF(B1987,(1+Trend)^D1987,"")</f>
        <v/>
      </c>
      <c r="N1987">
        <f>IF(B1987,EXP(SUMPRODUCT(LN(1+(EvEff-1)*INDEX(Affected,0,C1987)*EXP(-((E1987-EvCenter)^2)/(2*EvSigma^2))))),"")</f>
        <v/>
      </c>
      <c r="O1987">
        <f>IF(B1987,ROUND(MAX(0,J1987*K1987*L1987*M1987*N1987),2),"")</f>
        <v/>
      </c>
    </row>
    <row r="1988">
      <c r="A1988" t="n">
        <v>1987</v>
      </c>
      <c r="B1988">
        <f>A1988&lt;=MineCount*Days</f>
        <v/>
      </c>
      <c r="C1988">
        <f>IF(B1988,INT((A1988-1)/Days)+1,"")</f>
        <v/>
      </c>
      <c r="D1988">
        <f>IF(B1988,MOD(A1988-1,Days),"")</f>
        <v/>
      </c>
      <c r="E1988" s="16">
        <f>IF(B1988,StartDate+D1988,"")</f>
        <v/>
      </c>
      <c r="F1988">
        <f>IF(B1988,MAX(MOD(SIN(Seed*0.1373+C1988*12.9898+D1988*78.233)*43758.5453,1),1E-9),"")</f>
        <v/>
      </c>
      <c r="G1988">
        <f>IF(B1988,MOD(SIN(Seed*0.5917+C1988*39.3468+D1988*11.135)*24634.6345,1),"")</f>
        <v/>
      </c>
      <c r="H1988">
        <f>IF(B1988,SQRT(-2*LN(F1988))*COS(2*PI()*G1988),"")</f>
        <v/>
      </c>
      <c r="I1988">
        <f>IF(B1988,IF(D1988=0,H1988,Rho*I1987+SQRT(1-Rho^2)*H1988),"")</f>
        <v/>
      </c>
      <c r="J1988">
        <f>IF(B1988,IF(Dist="Normal",DistA+DistB*I1988,DistA+(DistB-DistA)*NORMSDIST(I1988)),"")</f>
        <v/>
      </c>
      <c r="K1988">
        <f>IF(B1988,INDEX(MineScale,C1988),"")</f>
        <v/>
      </c>
      <c r="L1988">
        <f>IF(B1988,INDEX(Dow,1,WEEKDAY(E1988,2)),"")</f>
        <v/>
      </c>
      <c r="M1988">
        <f>IF(B1988,(1+Trend)^D1988,"")</f>
        <v/>
      </c>
      <c r="N1988">
        <f>IF(B1988,EXP(SUMPRODUCT(LN(1+(EvEff-1)*INDEX(Affected,0,C1988)*EXP(-((E1988-EvCenter)^2)/(2*EvSigma^2))))),"")</f>
        <v/>
      </c>
      <c r="O1988">
        <f>IF(B1988,ROUND(MAX(0,J1988*K1988*L1988*M1988*N1988),2),"")</f>
        <v/>
      </c>
    </row>
    <row r="1989">
      <c r="A1989" t="n">
        <v>1988</v>
      </c>
      <c r="B1989">
        <f>A1989&lt;=MineCount*Days</f>
        <v/>
      </c>
      <c r="C1989">
        <f>IF(B1989,INT((A1989-1)/Days)+1,"")</f>
        <v/>
      </c>
      <c r="D1989">
        <f>IF(B1989,MOD(A1989-1,Days),"")</f>
        <v/>
      </c>
      <c r="E1989" s="16">
        <f>IF(B1989,StartDate+D1989,"")</f>
        <v/>
      </c>
      <c r="F1989">
        <f>IF(B1989,MAX(MOD(SIN(Seed*0.1373+C1989*12.9898+D1989*78.233)*43758.5453,1),1E-9),"")</f>
        <v/>
      </c>
      <c r="G1989">
        <f>IF(B1989,MOD(SIN(Seed*0.5917+C1989*39.3468+D1989*11.135)*24634.6345,1),"")</f>
        <v/>
      </c>
      <c r="H1989">
        <f>IF(B1989,SQRT(-2*LN(F1989))*COS(2*PI()*G1989),"")</f>
        <v/>
      </c>
      <c r="I1989">
        <f>IF(B1989,IF(D1989=0,H1989,Rho*I1988+SQRT(1-Rho^2)*H1989),"")</f>
        <v/>
      </c>
      <c r="J1989">
        <f>IF(B1989,IF(Dist="Normal",DistA+DistB*I1989,DistA+(DistB-DistA)*NORMSDIST(I1989)),"")</f>
        <v/>
      </c>
      <c r="K1989">
        <f>IF(B1989,INDEX(MineScale,C1989),"")</f>
        <v/>
      </c>
      <c r="L1989">
        <f>IF(B1989,INDEX(Dow,1,WEEKDAY(E1989,2)),"")</f>
        <v/>
      </c>
      <c r="M1989">
        <f>IF(B1989,(1+Trend)^D1989,"")</f>
        <v/>
      </c>
      <c r="N1989">
        <f>IF(B1989,EXP(SUMPRODUCT(LN(1+(EvEff-1)*INDEX(Affected,0,C1989)*EXP(-((E1989-EvCenter)^2)/(2*EvSigma^2))))),"")</f>
        <v/>
      </c>
      <c r="O1989">
        <f>IF(B1989,ROUND(MAX(0,J1989*K1989*L1989*M1989*N1989),2),"")</f>
        <v/>
      </c>
    </row>
    <row r="1990">
      <c r="A1990" t="n">
        <v>1989</v>
      </c>
      <c r="B1990">
        <f>A1990&lt;=MineCount*Days</f>
        <v/>
      </c>
      <c r="C1990">
        <f>IF(B1990,INT((A1990-1)/Days)+1,"")</f>
        <v/>
      </c>
      <c r="D1990">
        <f>IF(B1990,MOD(A1990-1,Days),"")</f>
        <v/>
      </c>
      <c r="E1990" s="16">
        <f>IF(B1990,StartDate+D1990,"")</f>
        <v/>
      </c>
      <c r="F1990">
        <f>IF(B1990,MAX(MOD(SIN(Seed*0.1373+C1990*12.9898+D1990*78.233)*43758.5453,1),1E-9),"")</f>
        <v/>
      </c>
      <c r="G1990">
        <f>IF(B1990,MOD(SIN(Seed*0.5917+C1990*39.3468+D1990*11.135)*24634.6345,1),"")</f>
        <v/>
      </c>
      <c r="H1990">
        <f>IF(B1990,SQRT(-2*LN(F1990))*COS(2*PI()*G1990),"")</f>
        <v/>
      </c>
      <c r="I1990">
        <f>IF(B1990,IF(D1990=0,H1990,Rho*I1989+SQRT(1-Rho^2)*H1990),"")</f>
        <v/>
      </c>
      <c r="J1990">
        <f>IF(B1990,IF(Dist="Normal",DistA+DistB*I1990,DistA+(DistB-DistA)*NORMSDIST(I1990)),"")</f>
        <v/>
      </c>
      <c r="K1990">
        <f>IF(B1990,INDEX(MineScale,C1990),"")</f>
        <v/>
      </c>
      <c r="L1990">
        <f>IF(B1990,INDEX(Dow,1,WEEKDAY(E1990,2)),"")</f>
        <v/>
      </c>
      <c r="M1990">
        <f>IF(B1990,(1+Trend)^D1990,"")</f>
        <v/>
      </c>
      <c r="N1990">
        <f>IF(B1990,EXP(SUMPRODUCT(LN(1+(EvEff-1)*INDEX(Affected,0,C1990)*EXP(-((E1990-EvCenter)^2)/(2*EvSigma^2))))),"")</f>
        <v/>
      </c>
      <c r="O1990">
        <f>IF(B1990,ROUND(MAX(0,J1990*K1990*L1990*M1990*N1990),2),"")</f>
        <v/>
      </c>
    </row>
    <row r="1991">
      <c r="A1991" t="n">
        <v>1990</v>
      </c>
      <c r="B1991">
        <f>A1991&lt;=MineCount*Days</f>
        <v/>
      </c>
      <c r="C1991">
        <f>IF(B1991,INT((A1991-1)/Days)+1,"")</f>
        <v/>
      </c>
      <c r="D1991">
        <f>IF(B1991,MOD(A1991-1,Days),"")</f>
        <v/>
      </c>
      <c r="E1991" s="16">
        <f>IF(B1991,StartDate+D1991,"")</f>
        <v/>
      </c>
      <c r="F1991">
        <f>IF(B1991,MAX(MOD(SIN(Seed*0.1373+C1991*12.9898+D1991*78.233)*43758.5453,1),1E-9),"")</f>
        <v/>
      </c>
      <c r="G1991">
        <f>IF(B1991,MOD(SIN(Seed*0.5917+C1991*39.3468+D1991*11.135)*24634.6345,1),"")</f>
        <v/>
      </c>
      <c r="H1991">
        <f>IF(B1991,SQRT(-2*LN(F1991))*COS(2*PI()*G1991),"")</f>
        <v/>
      </c>
      <c r="I1991">
        <f>IF(B1991,IF(D1991=0,H1991,Rho*I1990+SQRT(1-Rho^2)*H1991),"")</f>
        <v/>
      </c>
      <c r="J1991">
        <f>IF(B1991,IF(Dist="Normal",DistA+DistB*I1991,DistA+(DistB-DistA)*NORMSDIST(I1991)),"")</f>
        <v/>
      </c>
      <c r="K1991">
        <f>IF(B1991,INDEX(MineScale,C1991),"")</f>
        <v/>
      </c>
      <c r="L1991">
        <f>IF(B1991,INDEX(Dow,1,WEEKDAY(E1991,2)),"")</f>
        <v/>
      </c>
      <c r="M1991">
        <f>IF(B1991,(1+Trend)^D1991,"")</f>
        <v/>
      </c>
      <c r="N1991">
        <f>IF(B1991,EXP(SUMPRODUCT(LN(1+(EvEff-1)*INDEX(Affected,0,C1991)*EXP(-((E1991-EvCenter)^2)/(2*EvSigma^2))))),"")</f>
        <v/>
      </c>
      <c r="O1991">
        <f>IF(B1991,ROUND(MAX(0,J1991*K1991*L1991*M1991*N1991),2),"")</f>
        <v/>
      </c>
    </row>
    <row r="1992">
      <c r="A1992" t="n">
        <v>1991</v>
      </c>
      <c r="B1992">
        <f>A1992&lt;=MineCount*Days</f>
        <v/>
      </c>
      <c r="C1992">
        <f>IF(B1992,INT((A1992-1)/Days)+1,"")</f>
        <v/>
      </c>
      <c r="D1992">
        <f>IF(B1992,MOD(A1992-1,Days),"")</f>
        <v/>
      </c>
      <c r="E1992" s="16">
        <f>IF(B1992,StartDate+D1992,"")</f>
        <v/>
      </c>
      <c r="F1992">
        <f>IF(B1992,MAX(MOD(SIN(Seed*0.1373+C1992*12.9898+D1992*78.233)*43758.5453,1),1E-9),"")</f>
        <v/>
      </c>
      <c r="G1992">
        <f>IF(B1992,MOD(SIN(Seed*0.5917+C1992*39.3468+D1992*11.135)*24634.6345,1),"")</f>
        <v/>
      </c>
      <c r="H1992">
        <f>IF(B1992,SQRT(-2*LN(F1992))*COS(2*PI()*G1992),"")</f>
        <v/>
      </c>
      <c r="I1992">
        <f>IF(B1992,IF(D1992=0,H1992,Rho*I1991+SQRT(1-Rho^2)*H1992),"")</f>
        <v/>
      </c>
      <c r="J1992">
        <f>IF(B1992,IF(Dist="Normal",DistA+DistB*I1992,DistA+(DistB-DistA)*NORMSDIST(I1992)),"")</f>
        <v/>
      </c>
      <c r="K1992">
        <f>IF(B1992,INDEX(MineScale,C1992),"")</f>
        <v/>
      </c>
      <c r="L1992">
        <f>IF(B1992,INDEX(Dow,1,WEEKDAY(E1992,2)),"")</f>
        <v/>
      </c>
      <c r="M1992">
        <f>IF(B1992,(1+Trend)^D1992,"")</f>
        <v/>
      </c>
      <c r="N1992">
        <f>IF(B1992,EXP(SUMPRODUCT(LN(1+(EvEff-1)*INDEX(Affected,0,C1992)*EXP(-((E1992-EvCenter)^2)/(2*EvSigma^2))))),"")</f>
        <v/>
      </c>
      <c r="O1992">
        <f>IF(B1992,ROUND(MAX(0,J1992*K1992*L1992*M1992*N1992),2),"")</f>
        <v/>
      </c>
    </row>
    <row r="1993">
      <c r="A1993" t="n">
        <v>1992</v>
      </c>
      <c r="B1993">
        <f>A1993&lt;=MineCount*Days</f>
        <v/>
      </c>
      <c r="C1993">
        <f>IF(B1993,INT((A1993-1)/Days)+1,"")</f>
        <v/>
      </c>
      <c r="D1993">
        <f>IF(B1993,MOD(A1993-1,Days),"")</f>
        <v/>
      </c>
      <c r="E1993" s="16">
        <f>IF(B1993,StartDate+D1993,"")</f>
        <v/>
      </c>
      <c r="F1993">
        <f>IF(B1993,MAX(MOD(SIN(Seed*0.1373+C1993*12.9898+D1993*78.233)*43758.5453,1),1E-9),"")</f>
        <v/>
      </c>
      <c r="G1993">
        <f>IF(B1993,MOD(SIN(Seed*0.5917+C1993*39.3468+D1993*11.135)*24634.6345,1),"")</f>
        <v/>
      </c>
      <c r="H1993">
        <f>IF(B1993,SQRT(-2*LN(F1993))*COS(2*PI()*G1993),"")</f>
        <v/>
      </c>
      <c r="I1993">
        <f>IF(B1993,IF(D1993=0,H1993,Rho*I1992+SQRT(1-Rho^2)*H1993),"")</f>
        <v/>
      </c>
      <c r="J1993">
        <f>IF(B1993,IF(Dist="Normal",DistA+DistB*I1993,DistA+(DistB-DistA)*NORMSDIST(I1993)),"")</f>
        <v/>
      </c>
      <c r="K1993">
        <f>IF(B1993,INDEX(MineScale,C1993),"")</f>
        <v/>
      </c>
      <c r="L1993">
        <f>IF(B1993,INDEX(Dow,1,WEEKDAY(E1993,2)),"")</f>
        <v/>
      </c>
      <c r="M1993">
        <f>IF(B1993,(1+Trend)^D1993,"")</f>
        <v/>
      </c>
      <c r="N1993">
        <f>IF(B1993,EXP(SUMPRODUCT(LN(1+(EvEff-1)*INDEX(Affected,0,C1993)*EXP(-((E1993-EvCenter)^2)/(2*EvSigma^2))))),"")</f>
        <v/>
      </c>
      <c r="O1993">
        <f>IF(B1993,ROUND(MAX(0,J1993*K1993*L1993*M1993*N1993),2),"")</f>
        <v/>
      </c>
    </row>
    <row r="1994">
      <c r="A1994" t="n">
        <v>1993</v>
      </c>
      <c r="B1994">
        <f>A1994&lt;=MineCount*Days</f>
        <v/>
      </c>
      <c r="C1994">
        <f>IF(B1994,INT((A1994-1)/Days)+1,"")</f>
        <v/>
      </c>
      <c r="D1994">
        <f>IF(B1994,MOD(A1994-1,Days),"")</f>
        <v/>
      </c>
      <c r="E1994" s="16">
        <f>IF(B1994,StartDate+D1994,"")</f>
        <v/>
      </c>
      <c r="F1994">
        <f>IF(B1994,MAX(MOD(SIN(Seed*0.1373+C1994*12.9898+D1994*78.233)*43758.5453,1),1E-9),"")</f>
        <v/>
      </c>
      <c r="G1994">
        <f>IF(B1994,MOD(SIN(Seed*0.5917+C1994*39.3468+D1994*11.135)*24634.6345,1),"")</f>
        <v/>
      </c>
      <c r="H1994">
        <f>IF(B1994,SQRT(-2*LN(F1994))*COS(2*PI()*G1994),"")</f>
        <v/>
      </c>
      <c r="I1994">
        <f>IF(B1994,IF(D1994=0,H1994,Rho*I1993+SQRT(1-Rho^2)*H1994),"")</f>
        <v/>
      </c>
      <c r="J1994">
        <f>IF(B1994,IF(Dist="Normal",DistA+DistB*I1994,DistA+(DistB-DistA)*NORMSDIST(I1994)),"")</f>
        <v/>
      </c>
      <c r="K1994">
        <f>IF(B1994,INDEX(MineScale,C1994),"")</f>
        <v/>
      </c>
      <c r="L1994">
        <f>IF(B1994,INDEX(Dow,1,WEEKDAY(E1994,2)),"")</f>
        <v/>
      </c>
      <c r="M1994">
        <f>IF(B1994,(1+Trend)^D1994,"")</f>
        <v/>
      </c>
      <c r="N1994">
        <f>IF(B1994,EXP(SUMPRODUCT(LN(1+(EvEff-1)*INDEX(Affected,0,C1994)*EXP(-((E1994-EvCenter)^2)/(2*EvSigma^2))))),"")</f>
        <v/>
      </c>
      <c r="O1994">
        <f>IF(B1994,ROUND(MAX(0,J1994*K1994*L1994*M1994*N1994),2),"")</f>
        <v/>
      </c>
    </row>
    <row r="1995">
      <c r="A1995" t="n">
        <v>1994</v>
      </c>
      <c r="B1995">
        <f>A1995&lt;=MineCount*Days</f>
        <v/>
      </c>
      <c r="C1995">
        <f>IF(B1995,INT((A1995-1)/Days)+1,"")</f>
        <v/>
      </c>
      <c r="D1995">
        <f>IF(B1995,MOD(A1995-1,Days),"")</f>
        <v/>
      </c>
      <c r="E1995" s="16">
        <f>IF(B1995,StartDate+D1995,"")</f>
        <v/>
      </c>
      <c r="F1995">
        <f>IF(B1995,MAX(MOD(SIN(Seed*0.1373+C1995*12.9898+D1995*78.233)*43758.5453,1),1E-9),"")</f>
        <v/>
      </c>
      <c r="G1995">
        <f>IF(B1995,MOD(SIN(Seed*0.5917+C1995*39.3468+D1995*11.135)*24634.6345,1),"")</f>
        <v/>
      </c>
      <c r="H1995">
        <f>IF(B1995,SQRT(-2*LN(F1995))*COS(2*PI()*G1995),"")</f>
        <v/>
      </c>
      <c r="I1995">
        <f>IF(B1995,IF(D1995=0,H1995,Rho*I1994+SQRT(1-Rho^2)*H1995),"")</f>
        <v/>
      </c>
      <c r="J1995">
        <f>IF(B1995,IF(Dist="Normal",DistA+DistB*I1995,DistA+(DistB-DistA)*NORMSDIST(I1995)),"")</f>
        <v/>
      </c>
      <c r="K1995">
        <f>IF(B1995,INDEX(MineScale,C1995),"")</f>
        <v/>
      </c>
      <c r="L1995">
        <f>IF(B1995,INDEX(Dow,1,WEEKDAY(E1995,2)),"")</f>
        <v/>
      </c>
      <c r="M1995">
        <f>IF(B1995,(1+Trend)^D1995,"")</f>
        <v/>
      </c>
      <c r="N1995">
        <f>IF(B1995,EXP(SUMPRODUCT(LN(1+(EvEff-1)*INDEX(Affected,0,C1995)*EXP(-((E1995-EvCenter)^2)/(2*EvSigma^2))))),"")</f>
        <v/>
      </c>
      <c r="O1995">
        <f>IF(B1995,ROUND(MAX(0,J1995*K1995*L1995*M1995*N1995),2),"")</f>
        <v/>
      </c>
    </row>
    <row r="1996">
      <c r="A1996" t="n">
        <v>1995</v>
      </c>
      <c r="B1996">
        <f>A1996&lt;=MineCount*Days</f>
        <v/>
      </c>
      <c r="C1996">
        <f>IF(B1996,INT((A1996-1)/Days)+1,"")</f>
        <v/>
      </c>
      <c r="D1996">
        <f>IF(B1996,MOD(A1996-1,Days),"")</f>
        <v/>
      </c>
      <c r="E1996" s="16">
        <f>IF(B1996,StartDate+D1996,"")</f>
        <v/>
      </c>
      <c r="F1996">
        <f>IF(B1996,MAX(MOD(SIN(Seed*0.1373+C1996*12.9898+D1996*78.233)*43758.5453,1),1E-9),"")</f>
        <v/>
      </c>
      <c r="G1996">
        <f>IF(B1996,MOD(SIN(Seed*0.5917+C1996*39.3468+D1996*11.135)*24634.6345,1),"")</f>
        <v/>
      </c>
      <c r="H1996">
        <f>IF(B1996,SQRT(-2*LN(F1996))*COS(2*PI()*G1996),"")</f>
        <v/>
      </c>
      <c r="I1996">
        <f>IF(B1996,IF(D1996=0,H1996,Rho*I1995+SQRT(1-Rho^2)*H1996),"")</f>
        <v/>
      </c>
      <c r="J1996">
        <f>IF(B1996,IF(Dist="Normal",DistA+DistB*I1996,DistA+(DistB-DistA)*NORMSDIST(I1996)),"")</f>
        <v/>
      </c>
      <c r="K1996">
        <f>IF(B1996,INDEX(MineScale,C1996),"")</f>
        <v/>
      </c>
      <c r="L1996">
        <f>IF(B1996,INDEX(Dow,1,WEEKDAY(E1996,2)),"")</f>
        <v/>
      </c>
      <c r="M1996">
        <f>IF(B1996,(1+Trend)^D1996,"")</f>
        <v/>
      </c>
      <c r="N1996">
        <f>IF(B1996,EXP(SUMPRODUCT(LN(1+(EvEff-1)*INDEX(Affected,0,C1996)*EXP(-((E1996-EvCenter)^2)/(2*EvSigma^2))))),"")</f>
        <v/>
      </c>
      <c r="O1996">
        <f>IF(B1996,ROUND(MAX(0,J1996*K1996*L1996*M1996*N1996),2),"")</f>
        <v/>
      </c>
    </row>
    <row r="1997">
      <c r="A1997" t="n">
        <v>1996</v>
      </c>
      <c r="B1997">
        <f>A1997&lt;=MineCount*Days</f>
        <v/>
      </c>
      <c r="C1997">
        <f>IF(B1997,INT((A1997-1)/Days)+1,"")</f>
        <v/>
      </c>
      <c r="D1997">
        <f>IF(B1997,MOD(A1997-1,Days),"")</f>
        <v/>
      </c>
      <c r="E1997" s="16">
        <f>IF(B1997,StartDate+D1997,"")</f>
        <v/>
      </c>
      <c r="F1997">
        <f>IF(B1997,MAX(MOD(SIN(Seed*0.1373+C1997*12.9898+D1997*78.233)*43758.5453,1),1E-9),"")</f>
        <v/>
      </c>
      <c r="G1997">
        <f>IF(B1997,MOD(SIN(Seed*0.5917+C1997*39.3468+D1997*11.135)*24634.6345,1),"")</f>
        <v/>
      </c>
      <c r="H1997">
        <f>IF(B1997,SQRT(-2*LN(F1997))*COS(2*PI()*G1997),"")</f>
        <v/>
      </c>
      <c r="I1997">
        <f>IF(B1997,IF(D1997=0,H1997,Rho*I1996+SQRT(1-Rho^2)*H1997),"")</f>
        <v/>
      </c>
      <c r="J1997">
        <f>IF(B1997,IF(Dist="Normal",DistA+DistB*I1997,DistA+(DistB-DistA)*NORMSDIST(I1997)),"")</f>
        <v/>
      </c>
      <c r="K1997">
        <f>IF(B1997,INDEX(MineScale,C1997),"")</f>
        <v/>
      </c>
      <c r="L1997">
        <f>IF(B1997,INDEX(Dow,1,WEEKDAY(E1997,2)),"")</f>
        <v/>
      </c>
      <c r="M1997">
        <f>IF(B1997,(1+Trend)^D1997,"")</f>
        <v/>
      </c>
      <c r="N1997">
        <f>IF(B1997,EXP(SUMPRODUCT(LN(1+(EvEff-1)*INDEX(Affected,0,C1997)*EXP(-((E1997-EvCenter)^2)/(2*EvSigma^2))))),"")</f>
        <v/>
      </c>
      <c r="O1997">
        <f>IF(B1997,ROUND(MAX(0,J1997*K1997*L1997*M1997*N1997),2),"")</f>
        <v/>
      </c>
    </row>
    <row r="1998">
      <c r="A1998" t="n">
        <v>1997</v>
      </c>
      <c r="B1998">
        <f>A1998&lt;=MineCount*Days</f>
        <v/>
      </c>
      <c r="C1998">
        <f>IF(B1998,INT((A1998-1)/Days)+1,"")</f>
        <v/>
      </c>
      <c r="D1998">
        <f>IF(B1998,MOD(A1998-1,Days),"")</f>
        <v/>
      </c>
      <c r="E1998" s="16">
        <f>IF(B1998,StartDate+D1998,"")</f>
        <v/>
      </c>
      <c r="F1998">
        <f>IF(B1998,MAX(MOD(SIN(Seed*0.1373+C1998*12.9898+D1998*78.233)*43758.5453,1),1E-9),"")</f>
        <v/>
      </c>
      <c r="G1998">
        <f>IF(B1998,MOD(SIN(Seed*0.5917+C1998*39.3468+D1998*11.135)*24634.6345,1),"")</f>
        <v/>
      </c>
      <c r="H1998">
        <f>IF(B1998,SQRT(-2*LN(F1998))*COS(2*PI()*G1998),"")</f>
        <v/>
      </c>
      <c r="I1998">
        <f>IF(B1998,IF(D1998=0,H1998,Rho*I1997+SQRT(1-Rho^2)*H1998),"")</f>
        <v/>
      </c>
      <c r="J1998">
        <f>IF(B1998,IF(Dist="Normal",DistA+DistB*I1998,DistA+(DistB-DistA)*NORMSDIST(I1998)),"")</f>
        <v/>
      </c>
      <c r="K1998">
        <f>IF(B1998,INDEX(MineScale,C1998),"")</f>
        <v/>
      </c>
      <c r="L1998">
        <f>IF(B1998,INDEX(Dow,1,WEEKDAY(E1998,2)),"")</f>
        <v/>
      </c>
      <c r="M1998">
        <f>IF(B1998,(1+Trend)^D1998,"")</f>
        <v/>
      </c>
      <c r="N1998">
        <f>IF(B1998,EXP(SUMPRODUCT(LN(1+(EvEff-1)*INDEX(Affected,0,C1998)*EXP(-((E1998-EvCenter)^2)/(2*EvSigma^2))))),"")</f>
        <v/>
      </c>
      <c r="O1998">
        <f>IF(B1998,ROUND(MAX(0,J1998*K1998*L1998*M1998*N1998),2),"")</f>
        <v/>
      </c>
    </row>
    <row r="1999">
      <c r="A1999" t="n">
        <v>1998</v>
      </c>
      <c r="B1999">
        <f>A1999&lt;=MineCount*Days</f>
        <v/>
      </c>
      <c r="C1999">
        <f>IF(B1999,INT((A1999-1)/Days)+1,"")</f>
        <v/>
      </c>
      <c r="D1999">
        <f>IF(B1999,MOD(A1999-1,Days),"")</f>
        <v/>
      </c>
      <c r="E1999" s="16">
        <f>IF(B1999,StartDate+D1999,"")</f>
        <v/>
      </c>
      <c r="F1999">
        <f>IF(B1999,MAX(MOD(SIN(Seed*0.1373+C1999*12.9898+D1999*78.233)*43758.5453,1),1E-9),"")</f>
        <v/>
      </c>
      <c r="G1999">
        <f>IF(B1999,MOD(SIN(Seed*0.5917+C1999*39.3468+D1999*11.135)*24634.6345,1),"")</f>
        <v/>
      </c>
      <c r="H1999">
        <f>IF(B1999,SQRT(-2*LN(F1999))*COS(2*PI()*G1999),"")</f>
        <v/>
      </c>
      <c r="I1999">
        <f>IF(B1999,IF(D1999=0,H1999,Rho*I1998+SQRT(1-Rho^2)*H1999),"")</f>
        <v/>
      </c>
      <c r="J1999">
        <f>IF(B1999,IF(Dist="Normal",DistA+DistB*I1999,DistA+(DistB-DistA)*NORMSDIST(I1999)),"")</f>
        <v/>
      </c>
      <c r="K1999">
        <f>IF(B1999,INDEX(MineScale,C1999),"")</f>
        <v/>
      </c>
      <c r="L1999">
        <f>IF(B1999,INDEX(Dow,1,WEEKDAY(E1999,2)),"")</f>
        <v/>
      </c>
      <c r="M1999">
        <f>IF(B1999,(1+Trend)^D1999,"")</f>
        <v/>
      </c>
      <c r="N1999">
        <f>IF(B1999,EXP(SUMPRODUCT(LN(1+(EvEff-1)*INDEX(Affected,0,C1999)*EXP(-((E1999-EvCenter)^2)/(2*EvSigma^2))))),"")</f>
        <v/>
      </c>
      <c r="O1999">
        <f>IF(B1999,ROUND(MAX(0,J1999*K1999*L1999*M1999*N1999),2),"")</f>
        <v/>
      </c>
    </row>
    <row r="2000">
      <c r="A2000" t="n">
        <v>1999</v>
      </c>
      <c r="B2000">
        <f>A2000&lt;=MineCount*Days</f>
        <v/>
      </c>
      <c r="C2000">
        <f>IF(B2000,INT((A2000-1)/Days)+1,"")</f>
        <v/>
      </c>
      <c r="D2000">
        <f>IF(B2000,MOD(A2000-1,Days),"")</f>
        <v/>
      </c>
      <c r="E2000" s="16">
        <f>IF(B2000,StartDate+D2000,"")</f>
        <v/>
      </c>
      <c r="F2000">
        <f>IF(B2000,MAX(MOD(SIN(Seed*0.1373+C2000*12.9898+D2000*78.233)*43758.5453,1),1E-9),"")</f>
        <v/>
      </c>
      <c r="G2000">
        <f>IF(B2000,MOD(SIN(Seed*0.5917+C2000*39.3468+D2000*11.135)*24634.6345,1),"")</f>
        <v/>
      </c>
      <c r="H2000">
        <f>IF(B2000,SQRT(-2*LN(F2000))*COS(2*PI()*G2000),"")</f>
        <v/>
      </c>
      <c r="I2000">
        <f>IF(B2000,IF(D2000=0,H2000,Rho*I1999+SQRT(1-Rho^2)*H2000),"")</f>
        <v/>
      </c>
      <c r="J2000">
        <f>IF(B2000,IF(Dist="Normal",DistA+DistB*I2000,DistA+(DistB-DistA)*NORMSDIST(I2000)),"")</f>
        <v/>
      </c>
      <c r="K2000">
        <f>IF(B2000,INDEX(MineScale,C2000),"")</f>
        <v/>
      </c>
      <c r="L2000">
        <f>IF(B2000,INDEX(Dow,1,WEEKDAY(E2000,2)),"")</f>
        <v/>
      </c>
      <c r="M2000">
        <f>IF(B2000,(1+Trend)^D2000,"")</f>
        <v/>
      </c>
      <c r="N2000">
        <f>IF(B2000,EXP(SUMPRODUCT(LN(1+(EvEff-1)*INDEX(Affected,0,C2000)*EXP(-((E2000-EvCenter)^2)/(2*EvSigma^2))))),"")</f>
        <v/>
      </c>
      <c r="O2000">
        <f>IF(B2000,ROUND(MAX(0,J2000*K2000*L2000*M2000*N2000),2),"")</f>
        <v/>
      </c>
    </row>
    <row r="2001">
      <c r="A2001" t="n">
        <v>2000</v>
      </c>
      <c r="B2001">
        <f>A2001&lt;=MineCount*Days</f>
        <v/>
      </c>
      <c r="C2001">
        <f>IF(B2001,INT((A2001-1)/Days)+1,"")</f>
        <v/>
      </c>
      <c r="D2001">
        <f>IF(B2001,MOD(A2001-1,Days),"")</f>
        <v/>
      </c>
      <c r="E2001" s="16">
        <f>IF(B2001,StartDate+D2001,"")</f>
        <v/>
      </c>
      <c r="F2001">
        <f>IF(B2001,MAX(MOD(SIN(Seed*0.1373+C2001*12.9898+D2001*78.233)*43758.5453,1),1E-9),"")</f>
        <v/>
      </c>
      <c r="G2001">
        <f>IF(B2001,MOD(SIN(Seed*0.5917+C2001*39.3468+D2001*11.135)*24634.6345,1),"")</f>
        <v/>
      </c>
      <c r="H2001">
        <f>IF(B2001,SQRT(-2*LN(F2001))*COS(2*PI()*G2001),"")</f>
        <v/>
      </c>
      <c r="I2001">
        <f>IF(B2001,IF(D2001=0,H2001,Rho*I2000+SQRT(1-Rho^2)*H2001),"")</f>
        <v/>
      </c>
      <c r="J2001">
        <f>IF(B2001,IF(Dist="Normal",DistA+DistB*I2001,DistA+(DistB-DistA)*NORMSDIST(I2001)),"")</f>
        <v/>
      </c>
      <c r="K2001">
        <f>IF(B2001,INDEX(MineScale,C2001),"")</f>
        <v/>
      </c>
      <c r="L2001">
        <f>IF(B2001,INDEX(Dow,1,WEEKDAY(E2001,2)),"")</f>
        <v/>
      </c>
      <c r="M2001">
        <f>IF(B2001,(1+Trend)^D2001,"")</f>
        <v/>
      </c>
      <c r="N2001">
        <f>IF(B2001,EXP(SUMPRODUCT(LN(1+(EvEff-1)*INDEX(Affected,0,C2001)*EXP(-((E2001-EvCenter)^2)/(2*EvSigma^2))))),"")</f>
        <v/>
      </c>
      <c r="O2001">
        <f>IF(B2001,ROUND(MAX(0,J2001*K2001*L2001*M2001*N2001),2),"")</f>
        <v/>
      </c>
    </row>
    <row r="2002">
      <c r="A2002" t="n">
        <v>2001</v>
      </c>
      <c r="B2002">
        <f>A2002&lt;=MineCount*Days</f>
        <v/>
      </c>
      <c r="C2002">
        <f>IF(B2002,INT((A2002-1)/Days)+1,"")</f>
        <v/>
      </c>
      <c r="D2002">
        <f>IF(B2002,MOD(A2002-1,Days),"")</f>
        <v/>
      </c>
      <c r="E2002" s="16">
        <f>IF(B2002,StartDate+D2002,"")</f>
        <v/>
      </c>
      <c r="F2002">
        <f>IF(B2002,MAX(MOD(SIN(Seed*0.1373+C2002*12.9898+D2002*78.233)*43758.5453,1),1E-9),"")</f>
        <v/>
      </c>
      <c r="G2002">
        <f>IF(B2002,MOD(SIN(Seed*0.5917+C2002*39.3468+D2002*11.135)*24634.6345,1),"")</f>
        <v/>
      </c>
      <c r="H2002">
        <f>IF(B2002,SQRT(-2*LN(F2002))*COS(2*PI()*G2002),"")</f>
        <v/>
      </c>
      <c r="I2002">
        <f>IF(B2002,IF(D2002=0,H2002,Rho*I2001+SQRT(1-Rho^2)*H2002),"")</f>
        <v/>
      </c>
      <c r="J2002">
        <f>IF(B2002,IF(Dist="Normal",DistA+DistB*I2002,DistA+(DistB-DistA)*NORMSDIST(I2002)),"")</f>
        <v/>
      </c>
      <c r="K2002">
        <f>IF(B2002,INDEX(MineScale,C2002),"")</f>
        <v/>
      </c>
      <c r="L2002">
        <f>IF(B2002,INDEX(Dow,1,WEEKDAY(E2002,2)),"")</f>
        <v/>
      </c>
      <c r="M2002">
        <f>IF(B2002,(1+Trend)^D2002,"")</f>
        <v/>
      </c>
      <c r="N2002">
        <f>IF(B2002,EXP(SUMPRODUCT(LN(1+(EvEff-1)*INDEX(Affected,0,C2002)*EXP(-((E2002-EvCenter)^2)/(2*EvSigma^2))))),"")</f>
        <v/>
      </c>
      <c r="O2002">
        <f>IF(B2002,ROUND(MAX(0,J2002*K2002*L2002*M2002*N2002),2),"")</f>
        <v/>
      </c>
    </row>
    <row r="2003">
      <c r="A2003" t="n">
        <v>2002</v>
      </c>
      <c r="B2003">
        <f>A2003&lt;=MineCount*Days</f>
        <v/>
      </c>
      <c r="C2003">
        <f>IF(B2003,INT((A2003-1)/Days)+1,"")</f>
        <v/>
      </c>
      <c r="D2003">
        <f>IF(B2003,MOD(A2003-1,Days),"")</f>
        <v/>
      </c>
      <c r="E2003" s="16">
        <f>IF(B2003,StartDate+D2003,"")</f>
        <v/>
      </c>
      <c r="F2003">
        <f>IF(B2003,MAX(MOD(SIN(Seed*0.1373+C2003*12.9898+D2003*78.233)*43758.5453,1),1E-9),"")</f>
        <v/>
      </c>
      <c r="G2003">
        <f>IF(B2003,MOD(SIN(Seed*0.5917+C2003*39.3468+D2003*11.135)*24634.6345,1),"")</f>
        <v/>
      </c>
      <c r="H2003">
        <f>IF(B2003,SQRT(-2*LN(F2003))*COS(2*PI()*G2003),"")</f>
        <v/>
      </c>
      <c r="I2003">
        <f>IF(B2003,IF(D2003=0,H2003,Rho*I2002+SQRT(1-Rho^2)*H2003),"")</f>
        <v/>
      </c>
      <c r="J2003">
        <f>IF(B2003,IF(Dist="Normal",DistA+DistB*I2003,DistA+(DistB-DistA)*NORMSDIST(I2003)),"")</f>
        <v/>
      </c>
      <c r="K2003">
        <f>IF(B2003,INDEX(MineScale,C2003),"")</f>
        <v/>
      </c>
      <c r="L2003">
        <f>IF(B2003,INDEX(Dow,1,WEEKDAY(E2003,2)),"")</f>
        <v/>
      </c>
      <c r="M2003">
        <f>IF(B2003,(1+Trend)^D2003,"")</f>
        <v/>
      </c>
      <c r="N2003">
        <f>IF(B2003,EXP(SUMPRODUCT(LN(1+(EvEff-1)*INDEX(Affected,0,C2003)*EXP(-((E2003-EvCenter)^2)/(2*EvSigma^2))))),"")</f>
        <v/>
      </c>
      <c r="O2003">
        <f>IF(B2003,ROUND(MAX(0,J2003*K2003*L2003*M2003*N2003),2),"")</f>
        <v/>
      </c>
    </row>
    <row r="2004">
      <c r="A2004" t="n">
        <v>2003</v>
      </c>
      <c r="B2004">
        <f>A2004&lt;=MineCount*Days</f>
        <v/>
      </c>
      <c r="C2004">
        <f>IF(B2004,INT((A2004-1)/Days)+1,"")</f>
        <v/>
      </c>
      <c r="D2004">
        <f>IF(B2004,MOD(A2004-1,Days),"")</f>
        <v/>
      </c>
      <c r="E2004" s="16">
        <f>IF(B2004,StartDate+D2004,"")</f>
        <v/>
      </c>
      <c r="F2004">
        <f>IF(B2004,MAX(MOD(SIN(Seed*0.1373+C2004*12.9898+D2004*78.233)*43758.5453,1),1E-9),"")</f>
        <v/>
      </c>
      <c r="G2004">
        <f>IF(B2004,MOD(SIN(Seed*0.5917+C2004*39.3468+D2004*11.135)*24634.6345,1),"")</f>
        <v/>
      </c>
      <c r="H2004">
        <f>IF(B2004,SQRT(-2*LN(F2004))*COS(2*PI()*G2004),"")</f>
        <v/>
      </c>
      <c r="I2004">
        <f>IF(B2004,IF(D2004=0,H2004,Rho*I2003+SQRT(1-Rho^2)*H2004),"")</f>
        <v/>
      </c>
      <c r="J2004">
        <f>IF(B2004,IF(Dist="Normal",DistA+DistB*I2004,DistA+(DistB-DistA)*NORMSDIST(I2004)),"")</f>
        <v/>
      </c>
      <c r="K2004">
        <f>IF(B2004,INDEX(MineScale,C2004),"")</f>
        <v/>
      </c>
      <c r="L2004">
        <f>IF(B2004,INDEX(Dow,1,WEEKDAY(E2004,2)),"")</f>
        <v/>
      </c>
      <c r="M2004">
        <f>IF(B2004,(1+Trend)^D2004,"")</f>
        <v/>
      </c>
      <c r="N2004">
        <f>IF(B2004,EXP(SUMPRODUCT(LN(1+(EvEff-1)*INDEX(Affected,0,C2004)*EXP(-((E2004-EvCenter)^2)/(2*EvSigma^2))))),"")</f>
        <v/>
      </c>
      <c r="O2004">
        <f>IF(B2004,ROUND(MAX(0,J2004*K2004*L2004*M2004*N2004),2),"")</f>
        <v/>
      </c>
    </row>
    <row r="2005">
      <c r="A2005" t="n">
        <v>2004</v>
      </c>
      <c r="B2005">
        <f>A2005&lt;=MineCount*Days</f>
        <v/>
      </c>
      <c r="C2005">
        <f>IF(B2005,INT((A2005-1)/Days)+1,"")</f>
        <v/>
      </c>
      <c r="D2005">
        <f>IF(B2005,MOD(A2005-1,Days),"")</f>
        <v/>
      </c>
      <c r="E2005" s="16">
        <f>IF(B2005,StartDate+D2005,"")</f>
        <v/>
      </c>
      <c r="F2005">
        <f>IF(B2005,MAX(MOD(SIN(Seed*0.1373+C2005*12.9898+D2005*78.233)*43758.5453,1),1E-9),"")</f>
        <v/>
      </c>
      <c r="G2005">
        <f>IF(B2005,MOD(SIN(Seed*0.5917+C2005*39.3468+D2005*11.135)*24634.6345,1),"")</f>
        <v/>
      </c>
      <c r="H2005">
        <f>IF(B2005,SQRT(-2*LN(F2005))*COS(2*PI()*G2005),"")</f>
        <v/>
      </c>
      <c r="I2005">
        <f>IF(B2005,IF(D2005=0,H2005,Rho*I2004+SQRT(1-Rho^2)*H2005),"")</f>
        <v/>
      </c>
      <c r="J2005">
        <f>IF(B2005,IF(Dist="Normal",DistA+DistB*I2005,DistA+(DistB-DistA)*NORMSDIST(I2005)),"")</f>
        <v/>
      </c>
      <c r="K2005">
        <f>IF(B2005,INDEX(MineScale,C2005),"")</f>
        <v/>
      </c>
      <c r="L2005">
        <f>IF(B2005,INDEX(Dow,1,WEEKDAY(E2005,2)),"")</f>
        <v/>
      </c>
      <c r="M2005">
        <f>IF(B2005,(1+Trend)^D2005,"")</f>
        <v/>
      </c>
      <c r="N2005">
        <f>IF(B2005,EXP(SUMPRODUCT(LN(1+(EvEff-1)*INDEX(Affected,0,C2005)*EXP(-((E2005-EvCenter)^2)/(2*EvSigma^2))))),"")</f>
        <v/>
      </c>
      <c r="O2005">
        <f>IF(B2005,ROUND(MAX(0,J2005*K2005*L2005*M2005*N2005),2),"")</f>
        <v/>
      </c>
    </row>
    <row r="2006">
      <c r="A2006" t="n">
        <v>2005</v>
      </c>
      <c r="B2006">
        <f>A2006&lt;=MineCount*Days</f>
        <v/>
      </c>
      <c r="C2006">
        <f>IF(B2006,INT((A2006-1)/Days)+1,"")</f>
        <v/>
      </c>
      <c r="D2006">
        <f>IF(B2006,MOD(A2006-1,Days),"")</f>
        <v/>
      </c>
      <c r="E2006" s="16">
        <f>IF(B2006,StartDate+D2006,"")</f>
        <v/>
      </c>
      <c r="F2006">
        <f>IF(B2006,MAX(MOD(SIN(Seed*0.1373+C2006*12.9898+D2006*78.233)*43758.5453,1),1E-9),"")</f>
        <v/>
      </c>
      <c r="G2006">
        <f>IF(B2006,MOD(SIN(Seed*0.5917+C2006*39.3468+D2006*11.135)*24634.6345,1),"")</f>
        <v/>
      </c>
      <c r="H2006">
        <f>IF(B2006,SQRT(-2*LN(F2006))*COS(2*PI()*G2006),"")</f>
        <v/>
      </c>
      <c r="I2006">
        <f>IF(B2006,IF(D2006=0,H2006,Rho*I2005+SQRT(1-Rho^2)*H2006),"")</f>
        <v/>
      </c>
      <c r="J2006">
        <f>IF(B2006,IF(Dist="Normal",DistA+DistB*I2006,DistA+(DistB-DistA)*NORMSDIST(I2006)),"")</f>
        <v/>
      </c>
      <c r="K2006">
        <f>IF(B2006,INDEX(MineScale,C2006),"")</f>
        <v/>
      </c>
      <c r="L2006">
        <f>IF(B2006,INDEX(Dow,1,WEEKDAY(E2006,2)),"")</f>
        <v/>
      </c>
      <c r="M2006">
        <f>IF(B2006,(1+Trend)^D2006,"")</f>
        <v/>
      </c>
      <c r="N2006">
        <f>IF(B2006,EXP(SUMPRODUCT(LN(1+(EvEff-1)*INDEX(Affected,0,C2006)*EXP(-((E2006-EvCenter)^2)/(2*EvSigma^2))))),"")</f>
        <v/>
      </c>
      <c r="O2006">
        <f>IF(B2006,ROUND(MAX(0,J2006*K2006*L2006*M2006*N2006),2),"")</f>
        <v/>
      </c>
    </row>
    <row r="2007">
      <c r="A2007" t="n">
        <v>2006</v>
      </c>
      <c r="B2007">
        <f>A2007&lt;=MineCount*Days</f>
        <v/>
      </c>
      <c r="C2007">
        <f>IF(B2007,INT((A2007-1)/Days)+1,"")</f>
        <v/>
      </c>
      <c r="D2007">
        <f>IF(B2007,MOD(A2007-1,Days),"")</f>
        <v/>
      </c>
      <c r="E2007" s="16">
        <f>IF(B2007,StartDate+D2007,"")</f>
        <v/>
      </c>
      <c r="F2007">
        <f>IF(B2007,MAX(MOD(SIN(Seed*0.1373+C2007*12.9898+D2007*78.233)*43758.5453,1),1E-9),"")</f>
        <v/>
      </c>
      <c r="G2007">
        <f>IF(B2007,MOD(SIN(Seed*0.5917+C2007*39.3468+D2007*11.135)*24634.6345,1),"")</f>
        <v/>
      </c>
      <c r="H2007">
        <f>IF(B2007,SQRT(-2*LN(F2007))*COS(2*PI()*G2007),"")</f>
        <v/>
      </c>
      <c r="I2007">
        <f>IF(B2007,IF(D2007=0,H2007,Rho*I2006+SQRT(1-Rho^2)*H2007),"")</f>
        <v/>
      </c>
      <c r="J2007">
        <f>IF(B2007,IF(Dist="Normal",DistA+DistB*I2007,DistA+(DistB-DistA)*NORMSDIST(I2007)),"")</f>
        <v/>
      </c>
      <c r="K2007">
        <f>IF(B2007,INDEX(MineScale,C2007),"")</f>
        <v/>
      </c>
      <c r="L2007">
        <f>IF(B2007,INDEX(Dow,1,WEEKDAY(E2007,2)),"")</f>
        <v/>
      </c>
      <c r="M2007">
        <f>IF(B2007,(1+Trend)^D2007,"")</f>
        <v/>
      </c>
      <c r="N2007">
        <f>IF(B2007,EXP(SUMPRODUCT(LN(1+(EvEff-1)*INDEX(Affected,0,C2007)*EXP(-((E2007-EvCenter)^2)/(2*EvSigma^2))))),"")</f>
        <v/>
      </c>
      <c r="O2007">
        <f>IF(B2007,ROUND(MAX(0,J2007*K2007*L2007*M2007*N2007),2),"")</f>
        <v/>
      </c>
    </row>
    <row r="2008">
      <c r="A2008" t="n">
        <v>2007</v>
      </c>
      <c r="B2008">
        <f>A2008&lt;=MineCount*Days</f>
        <v/>
      </c>
      <c r="C2008">
        <f>IF(B2008,INT((A2008-1)/Days)+1,"")</f>
        <v/>
      </c>
      <c r="D2008">
        <f>IF(B2008,MOD(A2008-1,Days),"")</f>
        <v/>
      </c>
      <c r="E2008" s="16">
        <f>IF(B2008,StartDate+D2008,"")</f>
        <v/>
      </c>
      <c r="F2008">
        <f>IF(B2008,MAX(MOD(SIN(Seed*0.1373+C2008*12.9898+D2008*78.233)*43758.5453,1),1E-9),"")</f>
        <v/>
      </c>
      <c r="G2008">
        <f>IF(B2008,MOD(SIN(Seed*0.5917+C2008*39.3468+D2008*11.135)*24634.6345,1),"")</f>
        <v/>
      </c>
      <c r="H2008">
        <f>IF(B2008,SQRT(-2*LN(F2008))*COS(2*PI()*G2008),"")</f>
        <v/>
      </c>
      <c r="I2008">
        <f>IF(B2008,IF(D2008=0,H2008,Rho*I2007+SQRT(1-Rho^2)*H2008),"")</f>
        <v/>
      </c>
      <c r="J2008">
        <f>IF(B2008,IF(Dist="Normal",DistA+DistB*I2008,DistA+(DistB-DistA)*NORMSDIST(I2008)),"")</f>
        <v/>
      </c>
      <c r="K2008">
        <f>IF(B2008,INDEX(MineScale,C2008),"")</f>
        <v/>
      </c>
      <c r="L2008">
        <f>IF(B2008,INDEX(Dow,1,WEEKDAY(E2008,2)),"")</f>
        <v/>
      </c>
      <c r="M2008">
        <f>IF(B2008,(1+Trend)^D2008,"")</f>
        <v/>
      </c>
      <c r="N2008">
        <f>IF(B2008,EXP(SUMPRODUCT(LN(1+(EvEff-1)*INDEX(Affected,0,C2008)*EXP(-((E2008-EvCenter)^2)/(2*EvSigma^2))))),"")</f>
        <v/>
      </c>
      <c r="O2008">
        <f>IF(B2008,ROUND(MAX(0,J2008*K2008*L2008*M2008*N2008),2),"")</f>
        <v/>
      </c>
    </row>
    <row r="2009">
      <c r="A2009" t="n">
        <v>2008</v>
      </c>
      <c r="B2009">
        <f>A2009&lt;=MineCount*Days</f>
        <v/>
      </c>
      <c r="C2009">
        <f>IF(B2009,INT((A2009-1)/Days)+1,"")</f>
        <v/>
      </c>
      <c r="D2009">
        <f>IF(B2009,MOD(A2009-1,Days),"")</f>
        <v/>
      </c>
      <c r="E2009" s="16">
        <f>IF(B2009,StartDate+D2009,"")</f>
        <v/>
      </c>
      <c r="F2009">
        <f>IF(B2009,MAX(MOD(SIN(Seed*0.1373+C2009*12.9898+D2009*78.233)*43758.5453,1),1E-9),"")</f>
        <v/>
      </c>
      <c r="G2009">
        <f>IF(B2009,MOD(SIN(Seed*0.5917+C2009*39.3468+D2009*11.135)*24634.6345,1),"")</f>
        <v/>
      </c>
      <c r="H2009">
        <f>IF(B2009,SQRT(-2*LN(F2009))*COS(2*PI()*G2009),"")</f>
        <v/>
      </c>
      <c r="I2009">
        <f>IF(B2009,IF(D2009=0,H2009,Rho*I2008+SQRT(1-Rho^2)*H2009),"")</f>
        <v/>
      </c>
      <c r="J2009">
        <f>IF(B2009,IF(Dist="Normal",DistA+DistB*I2009,DistA+(DistB-DistA)*NORMSDIST(I2009)),"")</f>
        <v/>
      </c>
      <c r="K2009">
        <f>IF(B2009,INDEX(MineScale,C2009),"")</f>
        <v/>
      </c>
      <c r="L2009">
        <f>IF(B2009,INDEX(Dow,1,WEEKDAY(E2009,2)),"")</f>
        <v/>
      </c>
      <c r="M2009">
        <f>IF(B2009,(1+Trend)^D2009,"")</f>
        <v/>
      </c>
      <c r="N2009">
        <f>IF(B2009,EXP(SUMPRODUCT(LN(1+(EvEff-1)*INDEX(Affected,0,C2009)*EXP(-((E2009-EvCenter)^2)/(2*EvSigma^2))))),"")</f>
        <v/>
      </c>
      <c r="O2009">
        <f>IF(B2009,ROUND(MAX(0,J2009*K2009*L2009*M2009*N2009),2),"")</f>
        <v/>
      </c>
    </row>
    <row r="2010">
      <c r="A2010" t="n">
        <v>2009</v>
      </c>
      <c r="B2010">
        <f>A2010&lt;=MineCount*Days</f>
        <v/>
      </c>
      <c r="C2010">
        <f>IF(B2010,INT((A2010-1)/Days)+1,"")</f>
        <v/>
      </c>
      <c r="D2010">
        <f>IF(B2010,MOD(A2010-1,Days),"")</f>
        <v/>
      </c>
      <c r="E2010" s="16">
        <f>IF(B2010,StartDate+D2010,"")</f>
        <v/>
      </c>
      <c r="F2010">
        <f>IF(B2010,MAX(MOD(SIN(Seed*0.1373+C2010*12.9898+D2010*78.233)*43758.5453,1),1E-9),"")</f>
        <v/>
      </c>
      <c r="G2010">
        <f>IF(B2010,MOD(SIN(Seed*0.5917+C2010*39.3468+D2010*11.135)*24634.6345,1),"")</f>
        <v/>
      </c>
      <c r="H2010">
        <f>IF(B2010,SQRT(-2*LN(F2010))*COS(2*PI()*G2010),"")</f>
        <v/>
      </c>
      <c r="I2010">
        <f>IF(B2010,IF(D2010=0,H2010,Rho*I2009+SQRT(1-Rho^2)*H2010),"")</f>
        <v/>
      </c>
      <c r="J2010">
        <f>IF(B2010,IF(Dist="Normal",DistA+DistB*I2010,DistA+(DistB-DistA)*NORMSDIST(I2010)),"")</f>
        <v/>
      </c>
      <c r="K2010">
        <f>IF(B2010,INDEX(MineScale,C2010),"")</f>
        <v/>
      </c>
      <c r="L2010">
        <f>IF(B2010,INDEX(Dow,1,WEEKDAY(E2010,2)),"")</f>
        <v/>
      </c>
      <c r="M2010">
        <f>IF(B2010,(1+Trend)^D2010,"")</f>
        <v/>
      </c>
      <c r="N2010">
        <f>IF(B2010,EXP(SUMPRODUCT(LN(1+(EvEff-1)*INDEX(Affected,0,C2010)*EXP(-((E2010-EvCenter)^2)/(2*EvSigma^2))))),"")</f>
        <v/>
      </c>
      <c r="O2010">
        <f>IF(B2010,ROUND(MAX(0,J2010*K2010*L2010*M2010*N2010),2),"")</f>
        <v/>
      </c>
    </row>
    <row r="2011">
      <c r="A2011" t="n">
        <v>2010</v>
      </c>
      <c r="B2011">
        <f>A2011&lt;=MineCount*Days</f>
        <v/>
      </c>
      <c r="C2011">
        <f>IF(B2011,INT((A2011-1)/Days)+1,"")</f>
        <v/>
      </c>
      <c r="D2011">
        <f>IF(B2011,MOD(A2011-1,Days),"")</f>
        <v/>
      </c>
      <c r="E2011" s="16">
        <f>IF(B2011,StartDate+D2011,"")</f>
        <v/>
      </c>
      <c r="F2011">
        <f>IF(B2011,MAX(MOD(SIN(Seed*0.1373+C2011*12.9898+D2011*78.233)*43758.5453,1),1E-9),"")</f>
        <v/>
      </c>
      <c r="G2011">
        <f>IF(B2011,MOD(SIN(Seed*0.5917+C2011*39.3468+D2011*11.135)*24634.6345,1),"")</f>
        <v/>
      </c>
      <c r="H2011">
        <f>IF(B2011,SQRT(-2*LN(F2011))*COS(2*PI()*G2011),"")</f>
        <v/>
      </c>
      <c r="I2011">
        <f>IF(B2011,IF(D2011=0,H2011,Rho*I2010+SQRT(1-Rho^2)*H2011),"")</f>
        <v/>
      </c>
      <c r="J2011">
        <f>IF(B2011,IF(Dist="Normal",DistA+DistB*I2011,DistA+(DistB-DistA)*NORMSDIST(I2011)),"")</f>
        <v/>
      </c>
      <c r="K2011">
        <f>IF(B2011,INDEX(MineScale,C2011),"")</f>
        <v/>
      </c>
      <c r="L2011">
        <f>IF(B2011,INDEX(Dow,1,WEEKDAY(E2011,2)),"")</f>
        <v/>
      </c>
      <c r="M2011">
        <f>IF(B2011,(1+Trend)^D2011,"")</f>
        <v/>
      </c>
      <c r="N2011">
        <f>IF(B2011,EXP(SUMPRODUCT(LN(1+(EvEff-1)*INDEX(Affected,0,C2011)*EXP(-((E2011-EvCenter)^2)/(2*EvSigma^2))))),"")</f>
        <v/>
      </c>
      <c r="O2011">
        <f>IF(B2011,ROUND(MAX(0,J2011*K2011*L2011*M2011*N2011),2),"")</f>
        <v/>
      </c>
    </row>
    <row r="2012">
      <c r="A2012" t="n">
        <v>2011</v>
      </c>
      <c r="B2012">
        <f>A2012&lt;=MineCount*Days</f>
        <v/>
      </c>
      <c r="C2012">
        <f>IF(B2012,INT((A2012-1)/Days)+1,"")</f>
        <v/>
      </c>
      <c r="D2012">
        <f>IF(B2012,MOD(A2012-1,Days),"")</f>
        <v/>
      </c>
      <c r="E2012" s="16">
        <f>IF(B2012,StartDate+D2012,"")</f>
        <v/>
      </c>
      <c r="F2012">
        <f>IF(B2012,MAX(MOD(SIN(Seed*0.1373+C2012*12.9898+D2012*78.233)*43758.5453,1),1E-9),"")</f>
        <v/>
      </c>
      <c r="G2012">
        <f>IF(B2012,MOD(SIN(Seed*0.5917+C2012*39.3468+D2012*11.135)*24634.6345,1),"")</f>
        <v/>
      </c>
      <c r="H2012">
        <f>IF(B2012,SQRT(-2*LN(F2012))*COS(2*PI()*G2012),"")</f>
        <v/>
      </c>
      <c r="I2012">
        <f>IF(B2012,IF(D2012=0,H2012,Rho*I2011+SQRT(1-Rho^2)*H2012),"")</f>
        <v/>
      </c>
      <c r="J2012">
        <f>IF(B2012,IF(Dist="Normal",DistA+DistB*I2012,DistA+(DistB-DistA)*NORMSDIST(I2012)),"")</f>
        <v/>
      </c>
      <c r="K2012">
        <f>IF(B2012,INDEX(MineScale,C2012),"")</f>
        <v/>
      </c>
      <c r="L2012">
        <f>IF(B2012,INDEX(Dow,1,WEEKDAY(E2012,2)),"")</f>
        <v/>
      </c>
      <c r="M2012">
        <f>IF(B2012,(1+Trend)^D2012,"")</f>
        <v/>
      </c>
      <c r="N2012">
        <f>IF(B2012,EXP(SUMPRODUCT(LN(1+(EvEff-1)*INDEX(Affected,0,C2012)*EXP(-((E2012-EvCenter)^2)/(2*EvSigma^2))))),"")</f>
        <v/>
      </c>
      <c r="O2012">
        <f>IF(B2012,ROUND(MAX(0,J2012*K2012*L2012*M2012*N2012),2),"")</f>
        <v/>
      </c>
    </row>
    <row r="2013">
      <c r="A2013" t="n">
        <v>2012</v>
      </c>
      <c r="B2013">
        <f>A2013&lt;=MineCount*Days</f>
        <v/>
      </c>
      <c r="C2013">
        <f>IF(B2013,INT((A2013-1)/Days)+1,"")</f>
        <v/>
      </c>
      <c r="D2013">
        <f>IF(B2013,MOD(A2013-1,Days),"")</f>
        <v/>
      </c>
      <c r="E2013" s="16">
        <f>IF(B2013,StartDate+D2013,"")</f>
        <v/>
      </c>
      <c r="F2013">
        <f>IF(B2013,MAX(MOD(SIN(Seed*0.1373+C2013*12.9898+D2013*78.233)*43758.5453,1),1E-9),"")</f>
        <v/>
      </c>
      <c r="G2013">
        <f>IF(B2013,MOD(SIN(Seed*0.5917+C2013*39.3468+D2013*11.135)*24634.6345,1),"")</f>
        <v/>
      </c>
      <c r="H2013">
        <f>IF(B2013,SQRT(-2*LN(F2013))*COS(2*PI()*G2013),"")</f>
        <v/>
      </c>
      <c r="I2013">
        <f>IF(B2013,IF(D2013=0,H2013,Rho*I2012+SQRT(1-Rho^2)*H2013),"")</f>
        <v/>
      </c>
      <c r="J2013">
        <f>IF(B2013,IF(Dist="Normal",DistA+DistB*I2013,DistA+(DistB-DistA)*NORMSDIST(I2013)),"")</f>
        <v/>
      </c>
      <c r="K2013">
        <f>IF(B2013,INDEX(MineScale,C2013),"")</f>
        <v/>
      </c>
      <c r="L2013">
        <f>IF(B2013,INDEX(Dow,1,WEEKDAY(E2013,2)),"")</f>
        <v/>
      </c>
      <c r="M2013">
        <f>IF(B2013,(1+Trend)^D2013,"")</f>
        <v/>
      </c>
      <c r="N2013">
        <f>IF(B2013,EXP(SUMPRODUCT(LN(1+(EvEff-1)*INDEX(Affected,0,C2013)*EXP(-((E2013-EvCenter)^2)/(2*EvSigma^2))))),"")</f>
        <v/>
      </c>
      <c r="O2013">
        <f>IF(B2013,ROUND(MAX(0,J2013*K2013*L2013*M2013*N2013),2),"")</f>
        <v/>
      </c>
    </row>
    <row r="2014">
      <c r="A2014" t="n">
        <v>2013</v>
      </c>
      <c r="B2014">
        <f>A2014&lt;=MineCount*Days</f>
        <v/>
      </c>
      <c r="C2014">
        <f>IF(B2014,INT((A2014-1)/Days)+1,"")</f>
        <v/>
      </c>
      <c r="D2014">
        <f>IF(B2014,MOD(A2014-1,Days),"")</f>
        <v/>
      </c>
      <c r="E2014" s="16">
        <f>IF(B2014,StartDate+D2014,"")</f>
        <v/>
      </c>
      <c r="F2014">
        <f>IF(B2014,MAX(MOD(SIN(Seed*0.1373+C2014*12.9898+D2014*78.233)*43758.5453,1),1E-9),"")</f>
        <v/>
      </c>
      <c r="G2014">
        <f>IF(B2014,MOD(SIN(Seed*0.5917+C2014*39.3468+D2014*11.135)*24634.6345,1),"")</f>
        <v/>
      </c>
      <c r="H2014">
        <f>IF(B2014,SQRT(-2*LN(F2014))*COS(2*PI()*G2014),"")</f>
        <v/>
      </c>
      <c r="I2014">
        <f>IF(B2014,IF(D2014=0,H2014,Rho*I2013+SQRT(1-Rho^2)*H2014),"")</f>
        <v/>
      </c>
      <c r="J2014">
        <f>IF(B2014,IF(Dist="Normal",DistA+DistB*I2014,DistA+(DistB-DistA)*NORMSDIST(I2014)),"")</f>
        <v/>
      </c>
      <c r="K2014">
        <f>IF(B2014,INDEX(MineScale,C2014),"")</f>
        <v/>
      </c>
      <c r="L2014">
        <f>IF(B2014,INDEX(Dow,1,WEEKDAY(E2014,2)),"")</f>
        <v/>
      </c>
      <c r="M2014">
        <f>IF(B2014,(1+Trend)^D2014,"")</f>
        <v/>
      </c>
      <c r="N2014">
        <f>IF(B2014,EXP(SUMPRODUCT(LN(1+(EvEff-1)*INDEX(Affected,0,C2014)*EXP(-((E2014-EvCenter)^2)/(2*EvSigma^2))))),"")</f>
        <v/>
      </c>
      <c r="O2014">
        <f>IF(B2014,ROUND(MAX(0,J2014*K2014*L2014*M2014*N2014),2),"")</f>
        <v/>
      </c>
    </row>
    <row r="2015">
      <c r="A2015" t="n">
        <v>2014</v>
      </c>
      <c r="B2015">
        <f>A2015&lt;=MineCount*Days</f>
        <v/>
      </c>
      <c r="C2015">
        <f>IF(B2015,INT((A2015-1)/Days)+1,"")</f>
        <v/>
      </c>
      <c r="D2015">
        <f>IF(B2015,MOD(A2015-1,Days),"")</f>
        <v/>
      </c>
      <c r="E2015" s="16">
        <f>IF(B2015,StartDate+D2015,"")</f>
        <v/>
      </c>
      <c r="F2015">
        <f>IF(B2015,MAX(MOD(SIN(Seed*0.1373+C2015*12.9898+D2015*78.233)*43758.5453,1),1E-9),"")</f>
        <v/>
      </c>
      <c r="G2015">
        <f>IF(B2015,MOD(SIN(Seed*0.5917+C2015*39.3468+D2015*11.135)*24634.6345,1),"")</f>
        <v/>
      </c>
      <c r="H2015">
        <f>IF(B2015,SQRT(-2*LN(F2015))*COS(2*PI()*G2015),"")</f>
        <v/>
      </c>
      <c r="I2015">
        <f>IF(B2015,IF(D2015=0,H2015,Rho*I2014+SQRT(1-Rho^2)*H2015),"")</f>
        <v/>
      </c>
      <c r="J2015">
        <f>IF(B2015,IF(Dist="Normal",DistA+DistB*I2015,DistA+(DistB-DistA)*NORMSDIST(I2015)),"")</f>
        <v/>
      </c>
      <c r="K2015">
        <f>IF(B2015,INDEX(MineScale,C2015),"")</f>
        <v/>
      </c>
      <c r="L2015">
        <f>IF(B2015,INDEX(Dow,1,WEEKDAY(E2015,2)),"")</f>
        <v/>
      </c>
      <c r="M2015">
        <f>IF(B2015,(1+Trend)^D2015,"")</f>
        <v/>
      </c>
      <c r="N2015">
        <f>IF(B2015,EXP(SUMPRODUCT(LN(1+(EvEff-1)*INDEX(Affected,0,C2015)*EXP(-((E2015-EvCenter)^2)/(2*EvSigma^2))))),"")</f>
        <v/>
      </c>
      <c r="O2015">
        <f>IF(B2015,ROUND(MAX(0,J2015*K2015*L2015*M2015*N2015),2),"")</f>
        <v/>
      </c>
    </row>
    <row r="2016">
      <c r="A2016" t="n">
        <v>2015</v>
      </c>
      <c r="B2016">
        <f>A2016&lt;=MineCount*Days</f>
        <v/>
      </c>
      <c r="C2016">
        <f>IF(B2016,INT((A2016-1)/Days)+1,"")</f>
        <v/>
      </c>
      <c r="D2016">
        <f>IF(B2016,MOD(A2016-1,Days),"")</f>
        <v/>
      </c>
      <c r="E2016" s="16">
        <f>IF(B2016,StartDate+D2016,"")</f>
        <v/>
      </c>
      <c r="F2016">
        <f>IF(B2016,MAX(MOD(SIN(Seed*0.1373+C2016*12.9898+D2016*78.233)*43758.5453,1),1E-9),"")</f>
        <v/>
      </c>
      <c r="G2016">
        <f>IF(B2016,MOD(SIN(Seed*0.5917+C2016*39.3468+D2016*11.135)*24634.6345,1),"")</f>
        <v/>
      </c>
      <c r="H2016">
        <f>IF(B2016,SQRT(-2*LN(F2016))*COS(2*PI()*G2016),"")</f>
        <v/>
      </c>
      <c r="I2016">
        <f>IF(B2016,IF(D2016=0,H2016,Rho*I2015+SQRT(1-Rho^2)*H2016),"")</f>
        <v/>
      </c>
      <c r="J2016">
        <f>IF(B2016,IF(Dist="Normal",DistA+DistB*I2016,DistA+(DistB-DistA)*NORMSDIST(I2016)),"")</f>
        <v/>
      </c>
      <c r="K2016">
        <f>IF(B2016,INDEX(MineScale,C2016),"")</f>
        <v/>
      </c>
      <c r="L2016">
        <f>IF(B2016,INDEX(Dow,1,WEEKDAY(E2016,2)),"")</f>
        <v/>
      </c>
      <c r="M2016">
        <f>IF(B2016,(1+Trend)^D2016,"")</f>
        <v/>
      </c>
      <c r="N2016">
        <f>IF(B2016,EXP(SUMPRODUCT(LN(1+(EvEff-1)*INDEX(Affected,0,C2016)*EXP(-((E2016-EvCenter)^2)/(2*EvSigma^2))))),"")</f>
        <v/>
      </c>
      <c r="O2016">
        <f>IF(B2016,ROUND(MAX(0,J2016*K2016*L2016*M2016*N2016),2),"")</f>
        <v/>
      </c>
    </row>
    <row r="2017">
      <c r="A2017" t="n">
        <v>2016</v>
      </c>
      <c r="B2017">
        <f>A2017&lt;=MineCount*Days</f>
        <v/>
      </c>
      <c r="C2017">
        <f>IF(B2017,INT((A2017-1)/Days)+1,"")</f>
        <v/>
      </c>
      <c r="D2017">
        <f>IF(B2017,MOD(A2017-1,Days),"")</f>
        <v/>
      </c>
      <c r="E2017" s="16">
        <f>IF(B2017,StartDate+D2017,"")</f>
        <v/>
      </c>
      <c r="F2017">
        <f>IF(B2017,MAX(MOD(SIN(Seed*0.1373+C2017*12.9898+D2017*78.233)*43758.5453,1),1E-9),"")</f>
        <v/>
      </c>
      <c r="G2017">
        <f>IF(B2017,MOD(SIN(Seed*0.5917+C2017*39.3468+D2017*11.135)*24634.6345,1),"")</f>
        <v/>
      </c>
      <c r="H2017">
        <f>IF(B2017,SQRT(-2*LN(F2017))*COS(2*PI()*G2017),"")</f>
        <v/>
      </c>
      <c r="I2017">
        <f>IF(B2017,IF(D2017=0,H2017,Rho*I2016+SQRT(1-Rho^2)*H2017),"")</f>
        <v/>
      </c>
      <c r="J2017">
        <f>IF(B2017,IF(Dist="Normal",DistA+DistB*I2017,DistA+(DistB-DistA)*NORMSDIST(I2017)),"")</f>
        <v/>
      </c>
      <c r="K2017">
        <f>IF(B2017,INDEX(MineScale,C2017),"")</f>
        <v/>
      </c>
      <c r="L2017">
        <f>IF(B2017,INDEX(Dow,1,WEEKDAY(E2017,2)),"")</f>
        <v/>
      </c>
      <c r="M2017">
        <f>IF(B2017,(1+Trend)^D2017,"")</f>
        <v/>
      </c>
      <c r="N2017">
        <f>IF(B2017,EXP(SUMPRODUCT(LN(1+(EvEff-1)*INDEX(Affected,0,C2017)*EXP(-((E2017-EvCenter)^2)/(2*EvSigma^2))))),"")</f>
        <v/>
      </c>
      <c r="O2017">
        <f>IF(B2017,ROUND(MAX(0,J2017*K2017*L2017*M2017*N2017),2),"")</f>
        <v/>
      </c>
    </row>
    <row r="2018">
      <c r="A2018" t="n">
        <v>2017</v>
      </c>
      <c r="B2018">
        <f>A2018&lt;=MineCount*Days</f>
        <v/>
      </c>
      <c r="C2018">
        <f>IF(B2018,INT((A2018-1)/Days)+1,"")</f>
        <v/>
      </c>
      <c r="D2018">
        <f>IF(B2018,MOD(A2018-1,Days),"")</f>
        <v/>
      </c>
      <c r="E2018" s="16">
        <f>IF(B2018,StartDate+D2018,"")</f>
        <v/>
      </c>
      <c r="F2018">
        <f>IF(B2018,MAX(MOD(SIN(Seed*0.1373+C2018*12.9898+D2018*78.233)*43758.5453,1),1E-9),"")</f>
        <v/>
      </c>
      <c r="G2018">
        <f>IF(B2018,MOD(SIN(Seed*0.5917+C2018*39.3468+D2018*11.135)*24634.6345,1),"")</f>
        <v/>
      </c>
      <c r="H2018">
        <f>IF(B2018,SQRT(-2*LN(F2018))*COS(2*PI()*G2018),"")</f>
        <v/>
      </c>
      <c r="I2018">
        <f>IF(B2018,IF(D2018=0,H2018,Rho*I2017+SQRT(1-Rho^2)*H2018),"")</f>
        <v/>
      </c>
      <c r="J2018">
        <f>IF(B2018,IF(Dist="Normal",DistA+DistB*I2018,DistA+(DistB-DistA)*NORMSDIST(I2018)),"")</f>
        <v/>
      </c>
      <c r="K2018">
        <f>IF(B2018,INDEX(MineScale,C2018),"")</f>
        <v/>
      </c>
      <c r="L2018">
        <f>IF(B2018,INDEX(Dow,1,WEEKDAY(E2018,2)),"")</f>
        <v/>
      </c>
      <c r="M2018">
        <f>IF(B2018,(1+Trend)^D2018,"")</f>
        <v/>
      </c>
      <c r="N2018">
        <f>IF(B2018,EXP(SUMPRODUCT(LN(1+(EvEff-1)*INDEX(Affected,0,C2018)*EXP(-((E2018-EvCenter)^2)/(2*EvSigma^2))))),"")</f>
        <v/>
      </c>
      <c r="O2018">
        <f>IF(B2018,ROUND(MAX(0,J2018*K2018*L2018*M2018*N2018),2),"")</f>
        <v/>
      </c>
    </row>
    <row r="2019">
      <c r="A2019" t="n">
        <v>2018</v>
      </c>
      <c r="B2019">
        <f>A2019&lt;=MineCount*Days</f>
        <v/>
      </c>
      <c r="C2019">
        <f>IF(B2019,INT((A2019-1)/Days)+1,"")</f>
        <v/>
      </c>
      <c r="D2019">
        <f>IF(B2019,MOD(A2019-1,Days),"")</f>
        <v/>
      </c>
      <c r="E2019" s="16">
        <f>IF(B2019,StartDate+D2019,"")</f>
        <v/>
      </c>
      <c r="F2019">
        <f>IF(B2019,MAX(MOD(SIN(Seed*0.1373+C2019*12.9898+D2019*78.233)*43758.5453,1),1E-9),"")</f>
        <v/>
      </c>
      <c r="G2019">
        <f>IF(B2019,MOD(SIN(Seed*0.5917+C2019*39.3468+D2019*11.135)*24634.6345,1),"")</f>
        <v/>
      </c>
      <c r="H2019">
        <f>IF(B2019,SQRT(-2*LN(F2019))*COS(2*PI()*G2019),"")</f>
        <v/>
      </c>
      <c r="I2019">
        <f>IF(B2019,IF(D2019=0,H2019,Rho*I2018+SQRT(1-Rho^2)*H2019),"")</f>
        <v/>
      </c>
      <c r="J2019">
        <f>IF(B2019,IF(Dist="Normal",DistA+DistB*I2019,DistA+(DistB-DistA)*NORMSDIST(I2019)),"")</f>
        <v/>
      </c>
      <c r="K2019">
        <f>IF(B2019,INDEX(MineScale,C2019),"")</f>
        <v/>
      </c>
      <c r="L2019">
        <f>IF(B2019,INDEX(Dow,1,WEEKDAY(E2019,2)),"")</f>
        <v/>
      </c>
      <c r="M2019">
        <f>IF(B2019,(1+Trend)^D2019,"")</f>
        <v/>
      </c>
      <c r="N2019">
        <f>IF(B2019,EXP(SUMPRODUCT(LN(1+(EvEff-1)*INDEX(Affected,0,C2019)*EXP(-((E2019-EvCenter)^2)/(2*EvSigma^2))))),"")</f>
        <v/>
      </c>
      <c r="O2019">
        <f>IF(B2019,ROUND(MAX(0,J2019*K2019*L2019*M2019*N2019),2),"")</f>
        <v/>
      </c>
    </row>
    <row r="2020">
      <c r="A2020" t="n">
        <v>2019</v>
      </c>
      <c r="B2020">
        <f>A2020&lt;=MineCount*Days</f>
        <v/>
      </c>
      <c r="C2020">
        <f>IF(B2020,INT((A2020-1)/Days)+1,"")</f>
        <v/>
      </c>
      <c r="D2020">
        <f>IF(B2020,MOD(A2020-1,Days),"")</f>
        <v/>
      </c>
      <c r="E2020" s="16">
        <f>IF(B2020,StartDate+D2020,"")</f>
        <v/>
      </c>
      <c r="F2020">
        <f>IF(B2020,MAX(MOD(SIN(Seed*0.1373+C2020*12.9898+D2020*78.233)*43758.5453,1),1E-9),"")</f>
        <v/>
      </c>
      <c r="G2020">
        <f>IF(B2020,MOD(SIN(Seed*0.5917+C2020*39.3468+D2020*11.135)*24634.6345,1),"")</f>
        <v/>
      </c>
      <c r="H2020">
        <f>IF(B2020,SQRT(-2*LN(F2020))*COS(2*PI()*G2020),"")</f>
        <v/>
      </c>
      <c r="I2020">
        <f>IF(B2020,IF(D2020=0,H2020,Rho*I2019+SQRT(1-Rho^2)*H2020),"")</f>
        <v/>
      </c>
      <c r="J2020">
        <f>IF(B2020,IF(Dist="Normal",DistA+DistB*I2020,DistA+(DistB-DistA)*NORMSDIST(I2020)),"")</f>
        <v/>
      </c>
      <c r="K2020">
        <f>IF(B2020,INDEX(MineScale,C2020),"")</f>
        <v/>
      </c>
      <c r="L2020">
        <f>IF(B2020,INDEX(Dow,1,WEEKDAY(E2020,2)),"")</f>
        <v/>
      </c>
      <c r="M2020">
        <f>IF(B2020,(1+Trend)^D2020,"")</f>
        <v/>
      </c>
      <c r="N2020">
        <f>IF(B2020,EXP(SUMPRODUCT(LN(1+(EvEff-1)*INDEX(Affected,0,C2020)*EXP(-((E2020-EvCenter)^2)/(2*EvSigma^2))))),"")</f>
        <v/>
      </c>
      <c r="O2020">
        <f>IF(B2020,ROUND(MAX(0,J2020*K2020*L2020*M2020*N2020),2),"")</f>
        <v/>
      </c>
    </row>
    <row r="2021">
      <c r="A2021" t="n">
        <v>2020</v>
      </c>
      <c r="B2021">
        <f>A2021&lt;=MineCount*Days</f>
        <v/>
      </c>
      <c r="C2021">
        <f>IF(B2021,INT((A2021-1)/Days)+1,"")</f>
        <v/>
      </c>
      <c r="D2021">
        <f>IF(B2021,MOD(A2021-1,Days),"")</f>
        <v/>
      </c>
      <c r="E2021" s="16">
        <f>IF(B2021,StartDate+D2021,"")</f>
        <v/>
      </c>
      <c r="F2021">
        <f>IF(B2021,MAX(MOD(SIN(Seed*0.1373+C2021*12.9898+D2021*78.233)*43758.5453,1),1E-9),"")</f>
        <v/>
      </c>
      <c r="G2021">
        <f>IF(B2021,MOD(SIN(Seed*0.5917+C2021*39.3468+D2021*11.135)*24634.6345,1),"")</f>
        <v/>
      </c>
      <c r="H2021">
        <f>IF(B2021,SQRT(-2*LN(F2021))*COS(2*PI()*G2021),"")</f>
        <v/>
      </c>
      <c r="I2021">
        <f>IF(B2021,IF(D2021=0,H2021,Rho*I2020+SQRT(1-Rho^2)*H2021),"")</f>
        <v/>
      </c>
      <c r="J2021">
        <f>IF(B2021,IF(Dist="Normal",DistA+DistB*I2021,DistA+(DistB-DistA)*NORMSDIST(I2021)),"")</f>
        <v/>
      </c>
      <c r="K2021">
        <f>IF(B2021,INDEX(MineScale,C2021),"")</f>
        <v/>
      </c>
      <c r="L2021">
        <f>IF(B2021,INDEX(Dow,1,WEEKDAY(E2021,2)),"")</f>
        <v/>
      </c>
      <c r="M2021">
        <f>IF(B2021,(1+Trend)^D2021,"")</f>
        <v/>
      </c>
      <c r="N2021">
        <f>IF(B2021,EXP(SUMPRODUCT(LN(1+(EvEff-1)*INDEX(Affected,0,C2021)*EXP(-((E2021-EvCenter)^2)/(2*EvSigma^2))))),"")</f>
        <v/>
      </c>
      <c r="O2021">
        <f>IF(B2021,ROUND(MAX(0,J2021*K2021*L2021*M2021*N2021),2),"")</f>
        <v/>
      </c>
    </row>
    <row r="2022">
      <c r="A2022" t="n">
        <v>2021</v>
      </c>
      <c r="B2022">
        <f>A2022&lt;=MineCount*Days</f>
        <v/>
      </c>
      <c r="C2022">
        <f>IF(B2022,INT((A2022-1)/Days)+1,"")</f>
        <v/>
      </c>
      <c r="D2022">
        <f>IF(B2022,MOD(A2022-1,Days),"")</f>
        <v/>
      </c>
      <c r="E2022" s="16">
        <f>IF(B2022,StartDate+D2022,"")</f>
        <v/>
      </c>
      <c r="F2022">
        <f>IF(B2022,MAX(MOD(SIN(Seed*0.1373+C2022*12.9898+D2022*78.233)*43758.5453,1),1E-9),"")</f>
        <v/>
      </c>
      <c r="G2022">
        <f>IF(B2022,MOD(SIN(Seed*0.5917+C2022*39.3468+D2022*11.135)*24634.6345,1),"")</f>
        <v/>
      </c>
      <c r="H2022">
        <f>IF(B2022,SQRT(-2*LN(F2022))*COS(2*PI()*G2022),"")</f>
        <v/>
      </c>
      <c r="I2022">
        <f>IF(B2022,IF(D2022=0,H2022,Rho*I2021+SQRT(1-Rho^2)*H2022),"")</f>
        <v/>
      </c>
      <c r="J2022">
        <f>IF(B2022,IF(Dist="Normal",DistA+DistB*I2022,DistA+(DistB-DistA)*NORMSDIST(I2022)),"")</f>
        <v/>
      </c>
      <c r="K2022">
        <f>IF(B2022,INDEX(MineScale,C2022),"")</f>
        <v/>
      </c>
      <c r="L2022">
        <f>IF(B2022,INDEX(Dow,1,WEEKDAY(E2022,2)),"")</f>
        <v/>
      </c>
      <c r="M2022">
        <f>IF(B2022,(1+Trend)^D2022,"")</f>
        <v/>
      </c>
      <c r="N2022">
        <f>IF(B2022,EXP(SUMPRODUCT(LN(1+(EvEff-1)*INDEX(Affected,0,C2022)*EXP(-((E2022-EvCenter)^2)/(2*EvSigma^2))))),"")</f>
        <v/>
      </c>
      <c r="O2022">
        <f>IF(B2022,ROUND(MAX(0,J2022*K2022*L2022*M2022*N2022),2),"")</f>
        <v/>
      </c>
    </row>
    <row r="2023">
      <c r="A2023" t="n">
        <v>2022</v>
      </c>
      <c r="B2023">
        <f>A2023&lt;=MineCount*Days</f>
        <v/>
      </c>
      <c r="C2023">
        <f>IF(B2023,INT((A2023-1)/Days)+1,"")</f>
        <v/>
      </c>
      <c r="D2023">
        <f>IF(B2023,MOD(A2023-1,Days),"")</f>
        <v/>
      </c>
      <c r="E2023" s="16">
        <f>IF(B2023,StartDate+D2023,"")</f>
        <v/>
      </c>
      <c r="F2023">
        <f>IF(B2023,MAX(MOD(SIN(Seed*0.1373+C2023*12.9898+D2023*78.233)*43758.5453,1),1E-9),"")</f>
        <v/>
      </c>
      <c r="G2023">
        <f>IF(B2023,MOD(SIN(Seed*0.5917+C2023*39.3468+D2023*11.135)*24634.6345,1),"")</f>
        <v/>
      </c>
      <c r="H2023">
        <f>IF(B2023,SQRT(-2*LN(F2023))*COS(2*PI()*G2023),"")</f>
        <v/>
      </c>
      <c r="I2023">
        <f>IF(B2023,IF(D2023=0,H2023,Rho*I2022+SQRT(1-Rho^2)*H2023),"")</f>
        <v/>
      </c>
      <c r="J2023">
        <f>IF(B2023,IF(Dist="Normal",DistA+DistB*I2023,DistA+(DistB-DistA)*NORMSDIST(I2023)),"")</f>
        <v/>
      </c>
      <c r="K2023">
        <f>IF(B2023,INDEX(MineScale,C2023),"")</f>
        <v/>
      </c>
      <c r="L2023">
        <f>IF(B2023,INDEX(Dow,1,WEEKDAY(E2023,2)),"")</f>
        <v/>
      </c>
      <c r="M2023">
        <f>IF(B2023,(1+Trend)^D2023,"")</f>
        <v/>
      </c>
      <c r="N2023">
        <f>IF(B2023,EXP(SUMPRODUCT(LN(1+(EvEff-1)*INDEX(Affected,0,C2023)*EXP(-((E2023-EvCenter)^2)/(2*EvSigma^2))))),"")</f>
        <v/>
      </c>
      <c r="O2023">
        <f>IF(B2023,ROUND(MAX(0,J2023*K2023*L2023*M2023*N2023),2),"")</f>
        <v/>
      </c>
    </row>
    <row r="2024">
      <c r="A2024" t="n">
        <v>2023</v>
      </c>
      <c r="B2024">
        <f>A2024&lt;=MineCount*Days</f>
        <v/>
      </c>
      <c r="C2024">
        <f>IF(B2024,INT((A2024-1)/Days)+1,"")</f>
        <v/>
      </c>
      <c r="D2024">
        <f>IF(B2024,MOD(A2024-1,Days),"")</f>
        <v/>
      </c>
      <c r="E2024" s="16">
        <f>IF(B2024,StartDate+D2024,"")</f>
        <v/>
      </c>
      <c r="F2024">
        <f>IF(B2024,MAX(MOD(SIN(Seed*0.1373+C2024*12.9898+D2024*78.233)*43758.5453,1),1E-9),"")</f>
        <v/>
      </c>
      <c r="G2024">
        <f>IF(B2024,MOD(SIN(Seed*0.5917+C2024*39.3468+D2024*11.135)*24634.6345,1),"")</f>
        <v/>
      </c>
      <c r="H2024">
        <f>IF(B2024,SQRT(-2*LN(F2024))*COS(2*PI()*G2024),"")</f>
        <v/>
      </c>
      <c r="I2024">
        <f>IF(B2024,IF(D2024=0,H2024,Rho*I2023+SQRT(1-Rho^2)*H2024),"")</f>
        <v/>
      </c>
      <c r="J2024">
        <f>IF(B2024,IF(Dist="Normal",DistA+DistB*I2024,DistA+(DistB-DistA)*NORMSDIST(I2024)),"")</f>
        <v/>
      </c>
      <c r="K2024">
        <f>IF(B2024,INDEX(MineScale,C2024),"")</f>
        <v/>
      </c>
      <c r="L2024">
        <f>IF(B2024,INDEX(Dow,1,WEEKDAY(E2024,2)),"")</f>
        <v/>
      </c>
      <c r="M2024">
        <f>IF(B2024,(1+Trend)^D2024,"")</f>
        <v/>
      </c>
      <c r="N2024">
        <f>IF(B2024,EXP(SUMPRODUCT(LN(1+(EvEff-1)*INDEX(Affected,0,C2024)*EXP(-((E2024-EvCenter)^2)/(2*EvSigma^2))))),"")</f>
        <v/>
      </c>
      <c r="O2024">
        <f>IF(B2024,ROUND(MAX(0,J2024*K2024*L2024*M2024*N2024),2),"")</f>
        <v/>
      </c>
    </row>
    <row r="2025">
      <c r="A2025" t="n">
        <v>2024</v>
      </c>
      <c r="B2025">
        <f>A2025&lt;=MineCount*Days</f>
        <v/>
      </c>
      <c r="C2025">
        <f>IF(B2025,INT((A2025-1)/Days)+1,"")</f>
        <v/>
      </c>
      <c r="D2025">
        <f>IF(B2025,MOD(A2025-1,Days),"")</f>
        <v/>
      </c>
      <c r="E2025" s="16">
        <f>IF(B2025,StartDate+D2025,"")</f>
        <v/>
      </c>
      <c r="F2025">
        <f>IF(B2025,MAX(MOD(SIN(Seed*0.1373+C2025*12.9898+D2025*78.233)*43758.5453,1),1E-9),"")</f>
        <v/>
      </c>
      <c r="G2025">
        <f>IF(B2025,MOD(SIN(Seed*0.5917+C2025*39.3468+D2025*11.135)*24634.6345,1),"")</f>
        <v/>
      </c>
      <c r="H2025">
        <f>IF(B2025,SQRT(-2*LN(F2025))*COS(2*PI()*G2025),"")</f>
        <v/>
      </c>
      <c r="I2025">
        <f>IF(B2025,IF(D2025=0,H2025,Rho*I2024+SQRT(1-Rho^2)*H2025),"")</f>
        <v/>
      </c>
      <c r="J2025">
        <f>IF(B2025,IF(Dist="Normal",DistA+DistB*I2025,DistA+(DistB-DistA)*NORMSDIST(I2025)),"")</f>
        <v/>
      </c>
      <c r="K2025">
        <f>IF(B2025,INDEX(MineScale,C2025),"")</f>
        <v/>
      </c>
      <c r="L2025">
        <f>IF(B2025,INDEX(Dow,1,WEEKDAY(E2025,2)),"")</f>
        <v/>
      </c>
      <c r="M2025">
        <f>IF(B2025,(1+Trend)^D2025,"")</f>
        <v/>
      </c>
      <c r="N2025">
        <f>IF(B2025,EXP(SUMPRODUCT(LN(1+(EvEff-1)*INDEX(Affected,0,C2025)*EXP(-((E2025-EvCenter)^2)/(2*EvSigma^2))))),"")</f>
        <v/>
      </c>
      <c r="O2025">
        <f>IF(B2025,ROUND(MAX(0,J2025*K2025*L2025*M2025*N2025),2),"")</f>
        <v/>
      </c>
    </row>
    <row r="2026">
      <c r="A2026" t="n">
        <v>2025</v>
      </c>
      <c r="B2026">
        <f>A2026&lt;=MineCount*Days</f>
        <v/>
      </c>
      <c r="C2026">
        <f>IF(B2026,INT((A2026-1)/Days)+1,"")</f>
        <v/>
      </c>
      <c r="D2026">
        <f>IF(B2026,MOD(A2026-1,Days),"")</f>
        <v/>
      </c>
      <c r="E2026" s="16">
        <f>IF(B2026,StartDate+D2026,"")</f>
        <v/>
      </c>
      <c r="F2026">
        <f>IF(B2026,MAX(MOD(SIN(Seed*0.1373+C2026*12.9898+D2026*78.233)*43758.5453,1),1E-9),"")</f>
        <v/>
      </c>
      <c r="G2026">
        <f>IF(B2026,MOD(SIN(Seed*0.5917+C2026*39.3468+D2026*11.135)*24634.6345,1),"")</f>
        <v/>
      </c>
      <c r="H2026">
        <f>IF(B2026,SQRT(-2*LN(F2026))*COS(2*PI()*G2026),"")</f>
        <v/>
      </c>
      <c r="I2026">
        <f>IF(B2026,IF(D2026=0,H2026,Rho*I2025+SQRT(1-Rho^2)*H2026),"")</f>
        <v/>
      </c>
      <c r="J2026">
        <f>IF(B2026,IF(Dist="Normal",DistA+DistB*I2026,DistA+(DistB-DistA)*NORMSDIST(I2026)),"")</f>
        <v/>
      </c>
      <c r="K2026">
        <f>IF(B2026,INDEX(MineScale,C2026),"")</f>
        <v/>
      </c>
      <c r="L2026">
        <f>IF(B2026,INDEX(Dow,1,WEEKDAY(E2026,2)),"")</f>
        <v/>
      </c>
      <c r="M2026">
        <f>IF(B2026,(1+Trend)^D2026,"")</f>
        <v/>
      </c>
      <c r="N2026">
        <f>IF(B2026,EXP(SUMPRODUCT(LN(1+(EvEff-1)*INDEX(Affected,0,C2026)*EXP(-((E2026-EvCenter)^2)/(2*EvSigma^2))))),"")</f>
        <v/>
      </c>
      <c r="O2026">
        <f>IF(B2026,ROUND(MAX(0,J2026*K2026*L2026*M2026*N2026),2),"")</f>
        <v/>
      </c>
    </row>
    <row r="2027">
      <c r="A2027" t="n">
        <v>2026</v>
      </c>
      <c r="B2027">
        <f>A2027&lt;=MineCount*Days</f>
        <v/>
      </c>
      <c r="C2027">
        <f>IF(B2027,INT((A2027-1)/Days)+1,"")</f>
        <v/>
      </c>
      <c r="D2027">
        <f>IF(B2027,MOD(A2027-1,Days),"")</f>
        <v/>
      </c>
      <c r="E2027" s="16">
        <f>IF(B2027,StartDate+D2027,"")</f>
        <v/>
      </c>
      <c r="F2027">
        <f>IF(B2027,MAX(MOD(SIN(Seed*0.1373+C2027*12.9898+D2027*78.233)*43758.5453,1),1E-9),"")</f>
        <v/>
      </c>
      <c r="G2027">
        <f>IF(B2027,MOD(SIN(Seed*0.5917+C2027*39.3468+D2027*11.135)*24634.6345,1),"")</f>
        <v/>
      </c>
      <c r="H2027">
        <f>IF(B2027,SQRT(-2*LN(F2027))*COS(2*PI()*G2027),"")</f>
        <v/>
      </c>
      <c r="I2027">
        <f>IF(B2027,IF(D2027=0,H2027,Rho*I2026+SQRT(1-Rho^2)*H2027),"")</f>
        <v/>
      </c>
      <c r="J2027">
        <f>IF(B2027,IF(Dist="Normal",DistA+DistB*I2027,DistA+(DistB-DistA)*NORMSDIST(I2027)),"")</f>
        <v/>
      </c>
      <c r="K2027">
        <f>IF(B2027,INDEX(MineScale,C2027),"")</f>
        <v/>
      </c>
      <c r="L2027">
        <f>IF(B2027,INDEX(Dow,1,WEEKDAY(E2027,2)),"")</f>
        <v/>
      </c>
      <c r="M2027">
        <f>IF(B2027,(1+Trend)^D2027,"")</f>
        <v/>
      </c>
      <c r="N2027">
        <f>IF(B2027,EXP(SUMPRODUCT(LN(1+(EvEff-1)*INDEX(Affected,0,C2027)*EXP(-((E2027-EvCenter)^2)/(2*EvSigma^2))))),"")</f>
        <v/>
      </c>
      <c r="O2027">
        <f>IF(B2027,ROUND(MAX(0,J2027*K2027*L2027*M2027*N2027),2),"")</f>
        <v/>
      </c>
    </row>
    <row r="2028">
      <c r="A2028" t="n">
        <v>2027</v>
      </c>
      <c r="B2028">
        <f>A2028&lt;=MineCount*Days</f>
        <v/>
      </c>
      <c r="C2028">
        <f>IF(B2028,INT((A2028-1)/Days)+1,"")</f>
        <v/>
      </c>
      <c r="D2028">
        <f>IF(B2028,MOD(A2028-1,Days),"")</f>
        <v/>
      </c>
      <c r="E2028" s="16">
        <f>IF(B2028,StartDate+D2028,"")</f>
        <v/>
      </c>
      <c r="F2028">
        <f>IF(B2028,MAX(MOD(SIN(Seed*0.1373+C2028*12.9898+D2028*78.233)*43758.5453,1),1E-9),"")</f>
        <v/>
      </c>
      <c r="G2028">
        <f>IF(B2028,MOD(SIN(Seed*0.5917+C2028*39.3468+D2028*11.135)*24634.6345,1),"")</f>
        <v/>
      </c>
      <c r="H2028">
        <f>IF(B2028,SQRT(-2*LN(F2028))*COS(2*PI()*G2028),"")</f>
        <v/>
      </c>
      <c r="I2028">
        <f>IF(B2028,IF(D2028=0,H2028,Rho*I2027+SQRT(1-Rho^2)*H2028),"")</f>
        <v/>
      </c>
      <c r="J2028">
        <f>IF(B2028,IF(Dist="Normal",DistA+DistB*I2028,DistA+(DistB-DistA)*NORMSDIST(I2028)),"")</f>
        <v/>
      </c>
      <c r="K2028">
        <f>IF(B2028,INDEX(MineScale,C2028),"")</f>
        <v/>
      </c>
      <c r="L2028">
        <f>IF(B2028,INDEX(Dow,1,WEEKDAY(E2028,2)),"")</f>
        <v/>
      </c>
      <c r="M2028">
        <f>IF(B2028,(1+Trend)^D2028,"")</f>
        <v/>
      </c>
      <c r="N2028">
        <f>IF(B2028,EXP(SUMPRODUCT(LN(1+(EvEff-1)*INDEX(Affected,0,C2028)*EXP(-((E2028-EvCenter)^2)/(2*EvSigma^2))))),"")</f>
        <v/>
      </c>
      <c r="O2028">
        <f>IF(B2028,ROUND(MAX(0,J2028*K2028*L2028*M2028*N2028),2),"")</f>
        <v/>
      </c>
    </row>
    <row r="2029">
      <c r="A2029" t="n">
        <v>2028</v>
      </c>
      <c r="B2029">
        <f>A2029&lt;=MineCount*Days</f>
        <v/>
      </c>
      <c r="C2029">
        <f>IF(B2029,INT((A2029-1)/Days)+1,"")</f>
        <v/>
      </c>
      <c r="D2029">
        <f>IF(B2029,MOD(A2029-1,Days),"")</f>
        <v/>
      </c>
      <c r="E2029" s="16">
        <f>IF(B2029,StartDate+D2029,"")</f>
        <v/>
      </c>
      <c r="F2029">
        <f>IF(B2029,MAX(MOD(SIN(Seed*0.1373+C2029*12.9898+D2029*78.233)*43758.5453,1),1E-9),"")</f>
        <v/>
      </c>
      <c r="G2029">
        <f>IF(B2029,MOD(SIN(Seed*0.5917+C2029*39.3468+D2029*11.135)*24634.6345,1),"")</f>
        <v/>
      </c>
      <c r="H2029">
        <f>IF(B2029,SQRT(-2*LN(F2029))*COS(2*PI()*G2029),"")</f>
        <v/>
      </c>
      <c r="I2029">
        <f>IF(B2029,IF(D2029=0,H2029,Rho*I2028+SQRT(1-Rho^2)*H2029),"")</f>
        <v/>
      </c>
      <c r="J2029">
        <f>IF(B2029,IF(Dist="Normal",DistA+DistB*I2029,DistA+(DistB-DistA)*NORMSDIST(I2029)),"")</f>
        <v/>
      </c>
      <c r="K2029">
        <f>IF(B2029,INDEX(MineScale,C2029),"")</f>
        <v/>
      </c>
      <c r="L2029">
        <f>IF(B2029,INDEX(Dow,1,WEEKDAY(E2029,2)),"")</f>
        <v/>
      </c>
      <c r="M2029">
        <f>IF(B2029,(1+Trend)^D2029,"")</f>
        <v/>
      </c>
      <c r="N2029">
        <f>IF(B2029,EXP(SUMPRODUCT(LN(1+(EvEff-1)*INDEX(Affected,0,C2029)*EXP(-((E2029-EvCenter)^2)/(2*EvSigma^2))))),"")</f>
        <v/>
      </c>
      <c r="O2029">
        <f>IF(B2029,ROUND(MAX(0,J2029*K2029*L2029*M2029*N2029),2),"")</f>
        <v/>
      </c>
    </row>
    <row r="2030">
      <c r="A2030" t="n">
        <v>2029</v>
      </c>
      <c r="B2030">
        <f>A2030&lt;=MineCount*Days</f>
        <v/>
      </c>
      <c r="C2030">
        <f>IF(B2030,INT((A2030-1)/Days)+1,"")</f>
        <v/>
      </c>
      <c r="D2030">
        <f>IF(B2030,MOD(A2030-1,Days),"")</f>
        <v/>
      </c>
      <c r="E2030" s="16">
        <f>IF(B2030,StartDate+D2030,"")</f>
        <v/>
      </c>
      <c r="F2030">
        <f>IF(B2030,MAX(MOD(SIN(Seed*0.1373+C2030*12.9898+D2030*78.233)*43758.5453,1),1E-9),"")</f>
        <v/>
      </c>
      <c r="G2030">
        <f>IF(B2030,MOD(SIN(Seed*0.5917+C2030*39.3468+D2030*11.135)*24634.6345,1),"")</f>
        <v/>
      </c>
      <c r="H2030">
        <f>IF(B2030,SQRT(-2*LN(F2030))*COS(2*PI()*G2030),"")</f>
        <v/>
      </c>
      <c r="I2030">
        <f>IF(B2030,IF(D2030=0,H2030,Rho*I2029+SQRT(1-Rho^2)*H2030),"")</f>
        <v/>
      </c>
      <c r="J2030">
        <f>IF(B2030,IF(Dist="Normal",DistA+DistB*I2030,DistA+(DistB-DistA)*NORMSDIST(I2030)),"")</f>
        <v/>
      </c>
      <c r="K2030">
        <f>IF(B2030,INDEX(MineScale,C2030),"")</f>
        <v/>
      </c>
      <c r="L2030">
        <f>IF(B2030,INDEX(Dow,1,WEEKDAY(E2030,2)),"")</f>
        <v/>
      </c>
      <c r="M2030">
        <f>IF(B2030,(1+Trend)^D2030,"")</f>
        <v/>
      </c>
      <c r="N2030">
        <f>IF(B2030,EXP(SUMPRODUCT(LN(1+(EvEff-1)*INDEX(Affected,0,C2030)*EXP(-((E2030-EvCenter)^2)/(2*EvSigma^2))))),"")</f>
        <v/>
      </c>
      <c r="O2030">
        <f>IF(B2030,ROUND(MAX(0,J2030*K2030*L2030*M2030*N2030),2),"")</f>
        <v/>
      </c>
    </row>
    <row r="2031">
      <c r="A2031" t="n">
        <v>2030</v>
      </c>
      <c r="B2031">
        <f>A2031&lt;=MineCount*Days</f>
        <v/>
      </c>
      <c r="C2031">
        <f>IF(B2031,INT((A2031-1)/Days)+1,"")</f>
        <v/>
      </c>
      <c r="D2031">
        <f>IF(B2031,MOD(A2031-1,Days),"")</f>
        <v/>
      </c>
      <c r="E2031" s="16">
        <f>IF(B2031,StartDate+D2031,"")</f>
        <v/>
      </c>
      <c r="F2031">
        <f>IF(B2031,MAX(MOD(SIN(Seed*0.1373+C2031*12.9898+D2031*78.233)*43758.5453,1),1E-9),"")</f>
        <v/>
      </c>
      <c r="G2031">
        <f>IF(B2031,MOD(SIN(Seed*0.5917+C2031*39.3468+D2031*11.135)*24634.6345,1),"")</f>
        <v/>
      </c>
      <c r="H2031">
        <f>IF(B2031,SQRT(-2*LN(F2031))*COS(2*PI()*G2031),"")</f>
        <v/>
      </c>
      <c r="I2031">
        <f>IF(B2031,IF(D2031=0,H2031,Rho*I2030+SQRT(1-Rho^2)*H2031),"")</f>
        <v/>
      </c>
      <c r="J2031">
        <f>IF(B2031,IF(Dist="Normal",DistA+DistB*I2031,DistA+(DistB-DistA)*NORMSDIST(I2031)),"")</f>
        <v/>
      </c>
      <c r="K2031">
        <f>IF(B2031,INDEX(MineScale,C2031),"")</f>
        <v/>
      </c>
      <c r="L2031">
        <f>IF(B2031,INDEX(Dow,1,WEEKDAY(E2031,2)),"")</f>
        <v/>
      </c>
      <c r="M2031">
        <f>IF(B2031,(1+Trend)^D2031,"")</f>
        <v/>
      </c>
      <c r="N2031">
        <f>IF(B2031,EXP(SUMPRODUCT(LN(1+(EvEff-1)*INDEX(Affected,0,C2031)*EXP(-((E2031-EvCenter)^2)/(2*EvSigma^2))))),"")</f>
        <v/>
      </c>
      <c r="O2031">
        <f>IF(B2031,ROUND(MAX(0,J2031*K2031*L2031*M2031*N2031),2),"")</f>
        <v/>
      </c>
    </row>
    <row r="2032">
      <c r="A2032" t="n">
        <v>2031</v>
      </c>
      <c r="B2032">
        <f>A2032&lt;=MineCount*Days</f>
        <v/>
      </c>
      <c r="C2032">
        <f>IF(B2032,INT((A2032-1)/Days)+1,"")</f>
        <v/>
      </c>
      <c r="D2032">
        <f>IF(B2032,MOD(A2032-1,Days),"")</f>
        <v/>
      </c>
      <c r="E2032" s="16">
        <f>IF(B2032,StartDate+D2032,"")</f>
        <v/>
      </c>
      <c r="F2032">
        <f>IF(B2032,MAX(MOD(SIN(Seed*0.1373+C2032*12.9898+D2032*78.233)*43758.5453,1),1E-9),"")</f>
        <v/>
      </c>
      <c r="G2032">
        <f>IF(B2032,MOD(SIN(Seed*0.5917+C2032*39.3468+D2032*11.135)*24634.6345,1),"")</f>
        <v/>
      </c>
      <c r="H2032">
        <f>IF(B2032,SQRT(-2*LN(F2032))*COS(2*PI()*G2032),"")</f>
        <v/>
      </c>
      <c r="I2032">
        <f>IF(B2032,IF(D2032=0,H2032,Rho*I2031+SQRT(1-Rho^2)*H2032),"")</f>
        <v/>
      </c>
      <c r="J2032">
        <f>IF(B2032,IF(Dist="Normal",DistA+DistB*I2032,DistA+(DistB-DistA)*NORMSDIST(I2032)),"")</f>
        <v/>
      </c>
      <c r="K2032">
        <f>IF(B2032,INDEX(MineScale,C2032),"")</f>
        <v/>
      </c>
      <c r="L2032">
        <f>IF(B2032,INDEX(Dow,1,WEEKDAY(E2032,2)),"")</f>
        <v/>
      </c>
      <c r="M2032">
        <f>IF(B2032,(1+Trend)^D2032,"")</f>
        <v/>
      </c>
      <c r="N2032">
        <f>IF(B2032,EXP(SUMPRODUCT(LN(1+(EvEff-1)*INDEX(Affected,0,C2032)*EXP(-((E2032-EvCenter)^2)/(2*EvSigma^2))))),"")</f>
        <v/>
      </c>
      <c r="O2032">
        <f>IF(B2032,ROUND(MAX(0,J2032*K2032*L2032*M2032*N2032),2),"")</f>
        <v/>
      </c>
    </row>
    <row r="2033">
      <c r="A2033" t="n">
        <v>2032</v>
      </c>
      <c r="B2033">
        <f>A2033&lt;=MineCount*Days</f>
        <v/>
      </c>
      <c r="C2033">
        <f>IF(B2033,INT((A2033-1)/Days)+1,"")</f>
        <v/>
      </c>
      <c r="D2033">
        <f>IF(B2033,MOD(A2033-1,Days),"")</f>
        <v/>
      </c>
      <c r="E2033" s="16">
        <f>IF(B2033,StartDate+D2033,"")</f>
        <v/>
      </c>
      <c r="F2033">
        <f>IF(B2033,MAX(MOD(SIN(Seed*0.1373+C2033*12.9898+D2033*78.233)*43758.5453,1),1E-9),"")</f>
        <v/>
      </c>
      <c r="G2033">
        <f>IF(B2033,MOD(SIN(Seed*0.5917+C2033*39.3468+D2033*11.135)*24634.6345,1),"")</f>
        <v/>
      </c>
      <c r="H2033">
        <f>IF(B2033,SQRT(-2*LN(F2033))*COS(2*PI()*G2033),"")</f>
        <v/>
      </c>
      <c r="I2033">
        <f>IF(B2033,IF(D2033=0,H2033,Rho*I2032+SQRT(1-Rho^2)*H2033),"")</f>
        <v/>
      </c>
      <c r="J2033">
        <f>IF(B2033,IF(Dist="Normal",DistA+DistB*I2033,DistA+(DistB-DistA)*NORMSDIST(I2033)),"")</f>
        <v/>
      </c>
      <c r="K2033">
        <f>IF(B2033,INDEX(MineScale,C2033),"")</f>
        <v/>
      </c>
      <c r="L2033">
        <f>IF(B2033,INDEX(Dow,1,WEEKDAY(E2033,2)),"")</f>
        <v/>
      </c>
      <c r="M2033">
        <f>IF(B2033,(1+Trend)^D2033,"")</f>
        <v/>
      </c>
      <c r="N2033">
        <f>IF(B2033,EXP(SUMPRODUCT(LN(1+(EvEff-1)*INDEX(Affected,0,C2033)*EXP(-((E2033-EvCenter)^2)/(2*EvSigma^2))))),"")</f>
        <v/>
      </c>
      <c r="O2033">
        <f>IF(B2033,ROUND(MAX(0,J2033*K2033*L2033*M2033*N2033),2),"")</f>
        <v/>
      </c>
    </row>
    <row r="2034">
      <c r="A2034" t="n">
        <v>2033</v>
      </c>
      <c r="B2034">
        <f>A2034&lt;=MineCount*Days</f>
        <v/>
      </c>
      <c r="C2034">
        <f>IF(B2034,INT((A2034-1)/Days)+1,"")</f>
        <v/>
      </c>
      <c r="D2034">
        <f>IF(B2034,MOD(A2034-1,Days),"")</f>
        <v/>
      </c>
      <c r="E2034" s="16">
        <f>IF(B2034,StartDate+D2034,"")</f>
        <v/>
      </c>
      <c r="F2034">
        <f>IF(B2034,MAX(MOD(SIN(Seed*0.1373+C2034*12.9898+D2034*78.233)*43758.5453,1),1E-9),"")</f>
        <v/>
      </c>
      <c r="G2034">
        <f>IF(B2034,MOD(SIN(Seed*0.5917+C2034*39.3468+D2034*11.135)*24634.6345,1),"")</f>
        <v/>
      </c>
      <c r="H2034">
        <f>IF(B2034,SQRT(-2*LN(F2034))*COS(2*PI()*G2034),"")</f>
        <v/>
      </c>
      <c r="I2034">
        <f>IF(B2034,IF(D2034=0,H2034,Rho*I2033+SQRT(1-Rho^2)*H2034),"")</f>
        <v/>
      </c>
      <c r="J2034">
        <f>IF(B2034,IF(Dist="Normal",DistA+DistB*I2034,DistA+(DistB-DistA)*NORMSDIST(I2034)),"")</f>
        <v/>
      </c>
      <c r="K2034">
        <f>IF(B2034,INDEX(MineScale,C2034),"")</f>
        <v/>
      </c>
      <c r="L2034">
        <f>IF(B2034,INDEX(Dow,1,WEEKDAY(E2034,2)),"")</f>
        <v/>
      </c>
      <c r="M2034">
        <f>IF(B2034,(1+Trend)^D2034,"")</f>
        <v/>
      </c>
      <c r="N2034">
        <f>IF(B2034,EXP(SUMPRODUCT(LN(1+(EvEff-1)*INDEX(Affected,0,C2034)*EXP(-((E2034-EvCenter)^2)/(2*EvSigma^2))))),"")</f>
        <v/>
      </c>
      <c r="O2034">
        <f>IF(B2034,ROUND(MAX(0,J2034*K2034*L2034*M2034*N2034),2),"")</f>
        <v/>
      </c>
    </row>
    <row r="2035">
      <c r="A2035" t="n">
        <v>2034</v>
      </c>
      <c r="B2035">
        <f>A2035&lt;=MineCount*Days</f>
        <v/>
      </c>
      <c r="C2035">
        <f>IF(B2035,INT((A2035-1)/Days)+1,"")</f>
        <v/>
      </c>
      <c r="D2035">
        <f>IF(B2035,MOD(A2035-1,Days),"")</f>
        <v/>
      </c>
      <c r="E2035" s="16">
        <f>IF(B2035,StartDate+D2035,"")</f>
        <v/>
      </c>
      <c r="F2035">
        <f>IF(B2035,MAX(MOD(SIN(Seed*0.1373+C2035*12.9898+D2035*78.233)*43758.5453,1),1E-9),"")</f>
        <v/>
      </c>
      <c r="G2035">
        <f>IF(B2035,MOD(SIN(Seed*0.5917+C2035*39.3468+D2035*11.135)*24634.6345,1),"")</f>
        <v/>
      </c>
      <c r="H2035">
        <f>IF(B2035,SQRT(-2*LN(F2035))*COS(2*PI()*G2035),"")</f>
        <v/>
      </c>
      <c r="I2035">
        <f>IF(B2035,IF(D2035=0,H2035,Rho*I2034+SQRT(1-Rho^2)*H2035),"")</f>
        <v/>
      </c>
      <c r="J2035">
        <f>IF(B2035,IF(Dist="Normal",DistA+DistB*I2035,DistA+(DistB-DistA)*NORMSDIST(I2035)),"")</f>
        <v/>
      </c>
      <c r="K2035">
        <f>IF(B2035,INDEX(MineScale,C2035),"")</f>
        <v/>
      </c>
      <c r="L2035">
        <f>IF(B2035,INDEX(Dow,1,WEEKDAY(E2035,2)),"")</f>
        <v/>
      </c>
      <c r="M2035">
        <f>IF(B2035,(1+Trend)^D2035,"")</f>
        <v/>
      </c>
      <c r="N2035">
        <f>IF(B2035,EXP(SUMPRODUCT(LN(1+(EvEff-1)*INDEX(Affected,0,C2035)*EXP(-((E2035-EvCenter)^2)/(2*EvSigma^2))))),"")</f>
        <v/>
      </c>
      <c r="O2035">
        <f>IF(B2035,ROUND(MAX(0,J2035*K2035*L2035*M2035*N2035),2),"")</f>
        <v/>
      </c>
    </row>
    <row r="2036">
      <c r="A2036" t="n">
        <v>2035</v>
      </c>
      <c r="B2036">
        <f>A2036&lt;=MineCount*Days</f>
        <v/>
      </c>
      <c r="C2036">
        <f>IF(B2036,INT((A2036-1)/Days)+1,"")</f>
        <v/>
      </c>
      <c r="D2036">
        <f>IF(B2036,MOD(A2036-1,Days),"")</f>
        <v/>
      </c>
      <c r="E2036" s="16">
        <f>IF(B2036,StartDate+D2036,"")</f>
        <v/>
      </c>
      <c r="F2036">
        <f>IF(B2036,MAX(MOD(SIN(Seed*0.1373+C2036*12.9898+D2036*78.233)*43758.5453,1),1E-9),"")</f>
        <v/>
      </c>
      <c r="G2036">
        <f>IF(B2036,MOD(SIN(Seed*0.5917+C2036*39.3468+D2036*11.135)*24634.6345,1),"")</f>
        <v/>
      </c>
      <c r="H2036">
        <f>IF(B2036,SQRT(-2*LN(F2036))*COS(2*PI()*G2036),"")</f>
        <v/>
      </c>
      <c r="I2036">
        <f>IF(B2036,IF(D2036=0,H2036,Rho*I2035+SQRT(1-Rho^2)*H2036),"")</f>
        <v/>
      </c>
      <c r="J2036">
        <f>IF(B2036,IF(Dist="Normal",DistA+DistB*I2036,DistA+(DistB-DistA)*NORMSDIST(I2036)),"")</f>
        <v/>
      </c>
      <c r="K2036">
        <f>IF(B2036,INDEX(MineScale,C2036),"")</f>
        <v/>
      </c>
      <c r="L2036">
        <f>IF(B2036,INDEX(Dow,1,WEEKDAY(E2036,2)),"")</f>
        <v/>
      </c>
      <c r="M2036">
        <f>IF(B2036,(1+Trend)^D2036,"")</f>
        <v/>
      </c>
      <c r="N2036">
        <f>IF(B2036,EXP(SUMPRODUCT(LN(1+(EvEff-1)*INDEX(Affected,0,C2036)*EXP(-((E2036-EvCenter)^2)/(2*EvSigma^2))))),"")</f>
        <v/>
      </c>
      <c r="O2036">
        <f>IF(B2036,ROUND(MAX(0,J2036*K2036*L2036*M2036*N2036),2),"")</f>
        <v/>
      </c>
    </row>
    <row r="2037">
      <c r="A2037" t="n">
        <v>2036</v>
      </c>
      <c r="B2037">
        <f>A2037&lt;=MineCount*Days</f>
        <v/>
      </c>
      <c r="C2037">
        <f>IF(B2037,INT((A2037-1)/Days)+1,"")</f>
        <v/>
      </c>
      <c r="D2037">
        <f>IF(B2037,MOD(A2037-1,Days),"")</f>
        <v/>
      </c>
      <c r="E2037" s="16">
        <f>IF(B2037,StartDate+D2037,"")</f>
        <v/>
      </c>
      <c r="F2037">
        <f>IF(B2037,MAX(MOD(SIN(Seed*0.1373+C2037*12.9898+D2037*78.233)*43758.5453,1),1E-9),"")</f>
        <v/>
      </c>
      <c r="G2037">
        <f>IF(B2037,MOD(SIN(Seed*0.5917+C2037*39.3468+D2037*11.135)*24634.6345,1),"")</f>
        <v/>
      </c>
      <c r="H2037">
        <f>IF(B2037,SQRT(-2*LN(F2037))*COS(2*PI()*G2037),"")</f>
        <v/>
      </c>
      <c r="I2037">
        <f>IF(B2037,IF(D2037=0,H2037,Rho*I2036+SQRT(1-Rho^2)*H2037),"")</f>
        <v/>
      </c>
      <c r="J2037">
        <f>IF(B2037,IF(Dist="Normal",DistA+DistB*I2037,DistA+(DistB-DistA)*NORMSDIST(I2037)),"")</f>
        <v/>
      </c>
      <c r="K2037">
        <f>IF(B2037,INDEX(MineScale,C2037),"")</f>
        <v/>
      </c>
      <c r="L2037">
        <f>IF(B2037,INDEX(Dow,1,WEEKDAY(E2037,2)),"")</f>
        <v/>
      </c>
      <c r="M2037">
        <f>IF(B2037,(1+Trend)^D2037,"")</f>
        <v/>
      </c>
      <c r="N2037">
        <f>IF(B2037,EXP(SUMPRODUCT(LN(1+(EvEff-1)*INDEX(Affected,0,C2037)*EXP(-((E2037-EvCenter)^2)/(2*EvSigma^2))))),"")</f>
        <v/>
      </c>
      <c r="O2037">
        <f>IF(B2037,ROUND(MAX(0,J2037*K2037*L2037*M2037*N2037),2),"")</f>
        <v/>
      </c>
    </row>
    <row r="2038">
      <c r="A2038" t="n">
        <v>2037</v>
      </c>
      <c r="B2038">
        <f>A2038&lt;=MineCount*Days</f>
        <v/>
      </c>
      <c r="C2038">
        <f>IF(B2038,INT((A2038-1)/Days)+1,"")</f>
        <v/>
      </c>
      <c r="D2038">
        <f>IF(B2038,MOD(A2038-1,Days),"")</f>
        <v/>
      </c>
      <c r="E2038" s="16">
        <f>IF(B2038,StartDate+D2038,"")</f>
        <v/>
      </c>
      <c r="F2038">
        <f>IF(B2038,MAX(MOD(SIN(Seed*0.1373+C2038*12.9898+D2038*78.233)*43758.5453,1),1E-9),"")</f>
        <v/>
      </c>
      <c r="G2038">
        <f>IF(B2038,MOD(SIN(Seed*0.5917+C2038*39.3468+D2038*11.135)*24634.6345,1),"")</f>
        <v/>
      </c>
      <c r="H2038">
        <f>IF(B2038,SQRT(-2*LN(F2038))*COS(2*PI()*G2038),"")</f>
        <v/>
      </c>
      <c r="I2038">
        <f>IF(B2038,IF(D2038=0,H2038,Rho*I2037+SQRT(1-Rho^2)*H2038),"")</f>
        <v/>
      </c>
      <c r="J2038">
        <f>IF(B2038,IF(Dist="Normal",DistA+DistB*I2038,DistA+(DistB-DistA)*NORMSDIST(I2038)),"")</f>
        <v/>
      </c>
      <c r="K2038">
        <f>IF(B2038,INDEX(MineScale,C2038),"")</f>
        <v/>
      </c>
      <c r="L2038">
        <f>IF(B2038,INDEX(Dow,1,WEEKDAY(E2038,2)),"")</f>
        <v/>
      </c>
      <c r="M2038">
        <f>IF(B2038,(1+Trend)^D2038,"")</f>
        <v/>
      </c>
      <c r="N2038">
        <f>IF(B2038,EXP(SUMPRODUCT(LN(1+(EvEff-1)*INDEX(Affected,0,C2038)*EXP(-((E2038-EvCenter)^2)/(2*EvSigma^2))))),"")</f>
        <v/>
      </c>
      <c r="O2038">
        <f>IF(B2038,ROUND(MAX(0,J2038*K2038*L2038*M2038*N2038),2),"")</f>
        <v/>
      </c>
    </row>
    <row r="2039">
      <c r="A2039" t="n">
        <v>2038</v>
      </c>
      <c r="B2039">
        <f>A2039&lt;=MineCount*Days</f>
        <v/>
      </c>
      <c r="C2039">
        <f>IF(B2039,INT((A2039-1)/Days)+1,"")</f>
        <v/>
      </c>
      <c r="D2039">
        <f>IF(B2039,MOD(A2039-1,Days),"")</f>
        <v/>
      </c>
      <c r="E2039" s="16">
        <f>IF(B2039,StartDate+D2039,"")</f>
        <v/>
      </c>
      <c r="F2039">
        <f>IF(B2039,MAX(MOD(SIN(Seed*0.1373+C2039*12.9898+D2039*78.233)*43758.5453,1),1E-9),"")</f>
        <v/>
      </c>
      <c r="G2039">
        <f>IF(B2039,MOD(SIN(Seed*0.5917+C2039*39.3468+D2039*11.135)*24634.6345,1),"")</f>
        <v/>
      </c>
      <c r="H2039">
        <f>IF(B2039,SQRT(-2*LN(F2039))*COS(2*PI()*G2039),"")</f>
        <v/>
      </c>
      <c r="I2039">
        <f>IF(B2039,IF(D2039=0,H2039,Rho*I2038+SQRT(1-Rho^2)*H2039),"")</f>
        <v/>
      </c>
      <c r="J2039">
        <f>IF(B2039,IF(Dist="Normal",DistA+DistB*I2039,DistA+(DistB-DistA)*NORMSDIST(I2039)),"")</f>
        <v/>
      </c>
      <c r="K2039">
        <f>IF(B2039,INDEX(MineScale,C2039),"")</f>
        <v/>
      </c>
      <c r="L2039">
        <f>IF(B2039,INDEX(Dow,1,WEEKDAY(E2039,2)),"")</f>
        <v/>
      </c>
      <c r="M2039">
        <f>IF(B2039,(1+Trend)^D2039,"")</f>
        <v/>
      </c>
      <c r="N2039">
        <f>IF(B2039,EXP(SUMPRODUCT(LN(1+(EvEff-1)*INDEX(Affected,0,C2039)*EXP(-((E2039-EvCenter)^2)/(2*EvSigma^2))))),"")</f>
        <v/>
      </c>
      <c r="O2039">
        <f>IF(B2039,ROUND(MAX(0,J2039*K2039*L2039*M2039*N2039),2),"")</f>
        <v/>
      </c>
    </row>
    <row r="2040">
      <c r="A2040" t="n">
        <v>2039</v>
      </c>
      <c r="B2040">
        <f>A2040&lt;=MineCount*Days</f>
        <v/>
      </c>
      <c r="C2040">
        <f>IF(B2040,INT((A2040-1)/Days)+1,"")</f>
        <v/>
      </c>
      <c r="D2040">
        <f>IF(B2040,MOD(A2040-1,Days),"")</f>
        <v/>
      </c>
      <c r="E2040" s="16">
        <f>IF(B2040,StartDate+D2040,"")</f>
        <v/>
      </c>
      <c r="F2040">
        <f>IF(B2040,MAX(MOD(SIN(Seed*0.1373+C2040*12.9898+D2040*78.233)*43758.5453,1),1E-9),"")</f>
        <v/>
      </c>
      <c r="G2040">
        <f>IF(B2040,MOD(SIN(Seed*0.5917+C2040*39.3468+D2040*11.135)*24634.6345,1),"")</f>
        <v/>
      </c>
      <c r="H2040">
        <f>IF(B2040,SQRT(-2*LN(F2040))*COS(2*PI()*G2040),"")</f>
        <v/>
      </c>
      <c r="I2040">
        <f>IF(B2040,IF(D2040=0,H2040,Rho*I2039+SQRT(1-Rho^2)*H2040),"")</f>
        <v/>
      </c>
      <c r="J2040">
        <f>IF(B2040,IF(Dist="Normal",DistA+DistB*I2040,DistA+(DistB-DistA)*NORMSDIST(I2040)),"")</f>
        <v/>
      </c>
      <c r="K2040">
        <f>IF(B2040,INDEX(MineScale,C2040),"")</f>
        <v/>
      </c>
      <c r="L2040">
        <f>IF(B2040,INDEX(Dow,1,WEEKDAY(E2040,2)),"")</f>
        <v/>
      </c>
      <c r="M2040">
        <f>IF(B2040,(1+Trend)^D2040,"")</f>
        <v/>
      </c>
      <c r="N2040">
        <f>IF(B2040,EXP(SUMPRODUCT(LN(1+(EvEff-1)*INDEX(Affected,0,C2040)*EXP(-((E2040-EvCenter)^2)/(2*EvSigma^2))))),"")</f>
        <v/>
      </c>
      <c r="O2040">
        <f>IF(B2040,ROUND(MAX(0,J2040*K2040*L2040*M2040*N2040),2),"")</f>
        <v/>
      </c>
    </row>
    <row r="2041">
      <c r="A2041" t="n">
        <v>2040</v>
      </c>
      <c r="B2041">
        <f>A2041&lt;=MineCount*Days</f>
        <v/>
      </c>
      <c r="C2041">
        <f>IF(B2041,INT((A2041-1)/Days)+1,"")</f>
        <v/>
      </c>
      <c r="D2041">
        <f>IF(B2041,MOD(A2041-1,Days),"")</f>
        <v/>
      </c>
      <c r="E2041" s="16">
        <f>IF(B2041,StartDate+D2041,"")</f>
        <v/>
      </c>
      <c r="F2041">
        <f>IF(B2041,MAX(MOD(SIN(Seed*0.1373+C2041*12.9898+D2041*78.233)*43758.5453,1),1E-9),"")</f>
        <v/>
      </c>
      <c r="G2041">
        <f>IF(B2041,MOD(SIN(Seed*0.5917+C2041*39.3468+D2041*11.135)*24634.6345,1),"")</f>
        <v/>
      </c>
      <c r="H2041">
        <f>IF(B2041,SQRT(-2*LN(F2041))*COS(2*PI()*G2041),"")</f>
        <v/>
      </c>
      <c r="I2041">
        <f>IF(B2041,IF(D2041=0,H2041,Rho*I2040+SQRT(1-Rho^2)*H2041),"")</f>
        <v/>
      </c>
      <c r="J2041">
        <f>IF(B2041,IF(Dist="Normal",DistA+DistB*I2041,DistA+(DistB-DistA)*NORMSDIST(I2041)),"")</f>
        <v/>
      </c>
      <c r="K2041">
        <f>IF(B2041,INDEX(MineScale,C2041),"")</f>
        <v/>
      </c>
      <c r="L2041">
        <f>IF(B2041,INDEX(Dow,1,WEEKDAY(E2041,2)),"")</f>
        <v/>
      </c>
      <c r="M2041">
        <f>IF(B2041,(1+Trend)^D2041,"")</f>
        <v/>
      </c>
      <c r="N2041">
        <f>IF(B2041,EXP(SUMPRODUCT(LN(1+(EvEff-1)*INDEX(Affected,0,C2041)*EXP(-((E2041-EvCenter)^2)/(2*EvSigma^2))))),"")</f>
        <v/>
      </c>
      <c r="O2041">
        <f>IF(B2041,ROUND(MAX(0,J2041*K2041*L2041*M2041*N2041),2),"")</f>
        <v/>
      </c>
    </row>
    <row r="2042">
      <c r="A2042" t="n">
        <v>2041</v>
      </c>
      <c r="B2042">
        <f>A2042&lt;=MineCount*Days</f>
        <v/>
      </c>
      <c r="C2042">
        <f>IF(B2042,INT((A2042-1)/Days)+1,"")</f>
        <v/>
      </c>
      <c r="D2042">
        <f>IF(B2042,MOD(A2042-1,Days),"")</f>
        <v/>
      </c>
      <c r="E2042" s="16">
        <f>IF(B2042,StartDate+D2042,"")</f>
        <v/>
      </c>
      <c r="F2042">
        <f>IF(B2042,MAX(MOD(SIN(Seed*0.1373+C2042*12.9898+D2042*78.233)*43758.5453,1),1E-9),"")</f>
        <v/>
      </c>
      <c r="G2042">
        <f>IF(B2042,MOD(SIN(Seed*0.5917+C2042*39.3468+D2042*11.135)*24634.6345,1),"")</f>
        <v/>
      </c>
      <c r="H2042">
        <f>IF(B2042,SQRT(-2*LN(F2042))*COS(2*PI()*G2042),"")</f>
        <v/>
      </c>
      <c r="I2042">
        <f>IF(B2042,IF(D2042=0,H2042,Rho*I2041+SQRT(1-Rho^2)*H2042),"")</f>
        <v/>
      </c>
      <c r="J2042">
        <f>IF(B2042,IF(Dist="Normal",DistA+DistB*I2042,DistA+(DistB-DistA)*NORMSDIST(I2042)),"")</f>
        <v/>
      </c>
      <c r="K2042">
        <f>IF(B2042,INDEX(MineScale,C2042),"")</f>
        <v/>
      </c>
      <c r="L2042">
        <f>IF(B2042,INDEX(Dow,1,WEEKDAY(E2042,2)),"")</f>
        <v/>
      </c>
      <c r="M2042">
        <f>IF(B2042,(1+Trend)^D2042,"")</f>
        <v/>
      </c>
      <c r="N2042">
        <f>IF(B2042,EXP(SUMPRODUCT(LN(1+(EvEff-1)*INDEX(Affected,0,C2042)*EXP(-((E2042-EvCenter)^2)/(2*EvSigma^2))))),"")</f>
        <v/>
      </c>
      <c r="O2042">
        <f>IF(B2042,ROUND(MAX(0,J2042*K2042*L2042*M2042*N2042),2),"")</f>
        <v/>
      </c>
    </row>
    <row r="2043">
      <c r="A2043" t="n">
        <v>2042</v>
      </c>
      <c r="B2043">
        <f>A2043&lt;=MineCount*Days</f>
        <v/>
      </c>
      <c r="C2043">
        <f>IF(B2043,INT((A2043-1)/Days)+1,"")</f>
        <v/>
      </c>
      <c r="D2043">
        <f>IF(B2043,MOD(A2043-1,Days),"")</f>
        <v/>
      </c>
      <c r="E2043" s="16">
        <f>IF(B2043,StartDate+D2043,"")</f>
        <v/>
      </c>
      <c r="F2043">
        <f>IF(B2043,MAX(MOD(SIN(Seed*0.1373+C2043*12.9898+D2043*78.233)*43758.5453,1),1E-9),"")</f>
        <v/>
      </c>
      <c r="G2043">
        <f>IF(B2043,MOD(SIN(Seed*0.5917+C2043*39.3468+D2043*11.135)*24634.6345,1),"")</f>
        <v/>
      </c>
      <c r="H2043">
        <f>IF(B2043,SQRT(-2*LN(F2043))*COS(2*PI()*G2043),"")</f>
        <v/>
      </c>
      <c r="I2043">
        <f>IF(B2043,IF(D2043=0,H2043,Rho*I2042+SQRT(1-Rho^2)*H2043),"")</f>
        <v/>
      </c>
      <c r="J2043">
        <f>IF(B2043,IF(Dist="Normal",DistA+DistB*I2043,DistA+(DistB-DistA)*NORMSDIST(I2043)),"")</f>
        <v/>
      </c>
      <c r="K2043">
        <f>IF(B2043,INDEX(MineScale,C2043),"")</f>
        <v/>
      </c>
      <c r="L2043">
        <f>IF(B2043,INDEX(Dow,1,WEEKDAY(E2043,2)),"")</f>
        <v/>
      </c>
      <c r="M2043">
        <f>IF(B2043,(1+Trend)^D2043,"")</f>
        <v/>
      </c>
      <c r="N2043">
        <f>IF(B2043,EXP(SUMPRODUCT(LN(1+(EvEff-1)*INDEX(Affected,0,C2043)*EXP(-((E2043-EvCenter)^2)/(2*EvSigma^2))))),"")</f>
        <v/>
      </c>
      <c r="O2043">
        <f>IF(B2043,ROUND(MAX(0,J2043*K2043*L2043*M2043*N2043),2),"")</f>
        <v/>
      </c>
    </row>
    <row r="2044">
      <c r="A2044" t="n">
        <v>2043</v>
      </c>
      <c r="B2044">
        <f>A2044&lt;=MineCount*Days</f>
        <v/>
      </c>
      <c r="C2044">
        <f>IF(B2044,INT((A2044-1)/Days)+1,"")</f>
        <v/>
      </c>
      <c r="D2044">
        <f>IF(B2044,MOD(A2044-1,Days),"")</f>
        <v/>
      </c>
      <c r="E2044" s="16">
        <f>IF(B2044,StartDate+D2044,"")</f>
        <v/>
      </c>
      <c r="F2044">
        <f>IF(B2044,MAX(MOD(SIN(Seed*0.1373+C2044*12.9898+D2044*78.233)*43758.5453,1),1E-9),"")</f>
        <v/>
      </c>
      <c r="G2044">
        <f>IF(B2044,MOD(SIN(Seed*0.5917+C2044*39.3468+D2044*11.135)*24634.6345,1),"")</f>
        <v/>
      </c>
      <c r="H2044">
        <f>IF(B2044,SQRT(-2*LN(F2044))*COS(2*PI()*G2044),"")</f>
        <v/>
      </c>
      <c r="I2044">
        <f>IF(B2044,IF(D2044=0,H2044,Rho*I2043+SQRT(1-Rho^2)*H2044),"")</f>
        <v/>
      </c>
      <c r="J2044">
        <f>IF(B2044,IF(Dist="Normal",DistA+DistB*I2044,DistA+(DistB-DistA)*NORMSDIST(I2044)),"")</f>
        <v/>
      </c>
      <c r="K2044">
        <f>IF(B2044,INDEX(MineScale,C2044),"")</f>
        <v/>
      </c>
      <c r="L2044">
        <f>IF(B2044,INDEX(Dow,1,WEEKDAY(E2044,2)),"")</f>
        <v/>
      </c>
      <c r="M2044">
        <f>IF(B2044,(1+Trend)^D2044,"")</f>
        <v/>
      </c>
      <c r="N2044">
        <f>IF(B2044,EXP(SUMPRODUCT(LN(1+(EvEff-1)*INDEX(Affected,0,C2044)*EXP(-((E2044-EvCenter)^2)/(2*EvSigma^2))))),"")</f>
        <v/>
      </c>
      <c r="O2044">
        <f>IF(B2044,ROUND(MAX(0,J2044*K2044*L2044*M2044*N2044),2),"")</f>
        <v/>
      </c>
    </row>
    <row r="2045">
      <c r="A2045" t="n">
        <v>2044</v>
      </c>
      <c r="B2045">
        <f>A2045&lt;=MineCount*Days</f>
        <v/>
      </c>
      <c r="C2045">
        <f>IF(B2045,INT((A2045-1)/Days)+1,"")</f>
        <v/>
      </c>
      <c r="D2045">
        <f>IF(B2045,MOD(A2045-1,Days),"")</f>
        <v/>
      </c>
      <c r="E2045" s="16">
        <f>IF(B2045,StartDate+D2045,"")</f>
        <v/>
      </c>
      <c r="F2045">
        <f>IF(B2045,MAX(MOD(SIN(Seed*0.1373+C2045*12.9898+D2045*78.233)*43758.5453,1),1E-9),"")</f>
        <v/>
      </c>
      <c r="G2045">
        <f>IF(B2045,MOD(SIN(Seed*0.5917+C2045*39.3468+D2045*11.135)*24634.6345,1),"")</f>
        <v/>
      </c>
      <c r="H2045">
        <f>IF(B2045,SQRT(-2*LN(F2045))*COS(2*PI()*G2045),"")</f>
        <v/>
      </c>
      <c r="I2045">
        <f>IF(B2045,IF(D2045=0,H2045,Rho*I2044+SQRT(1-Rho^2)*H2045),"")</f>
        <v/>
      </c>
      <c r="J2045">
        <f>IF(B2045,IF(Dist="Normal",DistA+DistB*I2045,DistA+(DistB-DistA)*NORMSDIST(I2045)),"")</f>
        <v/>
      </c>
      <c r="K2045">
        <f>IF(B2045,INDEX(MineScale,C2045),"")</f>
        <v/>
      </c>
      <c r="L2045">
        <f>IF(B2045,INDEX(Dow,1,WEEKDAY(E2045,2)),"")</f>
        <v/>
      </c>
      <c r="M2045">
        <f>IF(B2045,(1+Trend)^D2045,"")</f>
        <v/>
      </c>
      <c r="N2045">
        <f>IF(B2045,EXP(SUMPRODUCT(LN(1+(EvEff-1)*INDEX(Affected,0,C2045)*EXP(-((E2045-EvCenter)^2)/(2*EvSigma^2))))),"")</f>
        <v/>
      </c>
      <c r="O2045">
        <f>IF(B2045,ROUND(MAX(0,J2045*K2045*L2045*M2045*N2045),2),"")</f>
        <v/>
      </c>
    </row>
    <row r="2046">
      <c r="A2046" t="n">
        <v>2045</v>
      </c>
      <c r="B2046">
        <f>A2046&lt;=MineCount*Days</f>
        <v/>
      </c>
      <c r="C2046">
        <f>IF(B2046,INT((A2046-1)/Days)+1,"")</f>
        <v/>
      </c>
      <c r="D2046">
        <f>IF(B2046,MOD(A2046-1,Days),"")</f>
        <v/>
      </c>
      <c r="E2046" s="16">
        <f>IF(B2046,StartDate+D2046,"")</f>
        <v/>
      </c>
      <c r="F2046">
        <f>IF(B2046,MAX(MOD(SIN(Seed*0.1373+C2046*12.9898+D2046*78.233)*43758.5453,1),1E-9),"")</f>
        <v/>
      </c>
      <c r="G2046">
        <f>IF(B2046,MOD(SIN(Seed*0.5917+C2046*39.3468+D2046*11.135)*24634.6345,1),"")</f>
        <v/>
      </c>
      <c r="H2046">
        <f>IF(B2046,SQRT(-2*LN(F2046))*COS(2*PI()*G2046),"")</f>
        <v/>
      </c>
      <c r="I2046">
        <f>IF(B2046,IF(D2046=0,H2046,Rho*I2045+SQRT(1-Rho^2)*H2046),"")</f>
        <v/>
      </c>
      <c r="J2046">
        <f>IF(B2046,IF(Dist="Normal",DistA+DistB*I2046,DistA+(DistB-DistA)*NORMSDIST(I2046)),"")</f>
        <v/>
      </c>
      <c r="K2046">
        <f>IF(B2046,INDEX(MineScale,C2046),"")</f>
        <v/>
      </c>
      <c r="L2046">
        <f>IF(B2046,INDEX(Dow,1,WEEKDAY(E2046,2)),"")</f>
        <v/>
      </c>
      <c r="M2046">
        <f>IF(B2046,(1+Trend)^D2046,"")</f>
        <v/>
      </c>
      <c r="N2046">
        <f>IF(B2046,EXP(SUMPRODUCT(LN(1+(EvEff-1)*INDEX(Affected,0,C2046)*EXP(-((E2046-EvCenter)^2)/(2*EvSigma^2))))),"")</f>
        <v/>
      </c>
      <c r="O2046">
        <f>IF(B2046,ROUND(MAX(0,J2046*K2046*L2046*M2046*N2046),2),"")</f>
        <v/>
      </c>
    </row>
    <row r="2047">
      <c r="A2047" t="n">
        <v>2046</v>
      </c>
      <c r="B2047">
        <f>A2047&lt;=MineCount*Days</f>
        <v/>
      </c>
      <c r="C2047">
        <f>IF(B2047,INT((A2047-1)/Days)+1,"")</f>
        <v/>
      </c>
      <c r="D2047">
        <f>IF(B2047,MOD(A2047-1,Days),"")</f>
        <v/>
      </c>
      <c r="E2047" s="16">
        <f>IF(B2047,StartDate+D2047,"")</f>
        <v/>
      </c>
      <c r="F2047">
        <f>IF(B2047,MAX(MOD(SIN(Seed*0.1373+C2047*12.9898+D2047*78.233)*43758.5453,1),1E-9),"")</f>
        <v/>
      </c>
      <c r="G2047">
        <f>IF(B2047,MOD(SIN(Seed*0.5917+C2047*39.3468+D2047*11.135)*24634.6345,1),"")</f>
        <v/>
      </c>
      <c r="H2047">
        <f>IF(B2047,SQRT(-2*LN(F2047))*COS(2*PI()*G2047),"")</f>
        <v/>
      </c>
      <c r="I2047">
        <f>IF(B2047,IF(D2047=0,H2047,Rho*I2046+SQRT(1-Rho^2)*H2047),"")</f>
        <v/>
      </c>
      <c r="J2047">
        <f>IF(B2047,IF(Dist="Normal",DistA+DistB*I2047,DistA+(DistB-DistA)*NORMSDIST(I2047)),"")</f>
        <v/>
      </c>
      <c r="K2047">
        <f>IF(B2047,INDEX(MineScale,C2047),"")</f>
        <v/>
      </c>
      <c r="L2047">
        <f>IF(B2047,INDEX(Dow,1,WEEKDAY(E2047,2)),"")</f>
        <v/>
      </c>
      <c r="M2047">
        <f>IF(B2047,(1+Trend)^D2047,"")</f>
        <v/>
      </c>
      <c r="N2047">
        <f>IF(B2047,EXP(SUMPRODUCT(LN(1+(EvEff-1)*INDEX(Affected,0,C2047)*EXP(-((E2047-EvCenter)^2)/(2*EvSigma^2))))),"")</f>
        <v/>
      </c>
      <c r="O2047">
        <f>IF(B2047,ROUND(MAX(0,J2047*K2047*L2047*M2047*N2047),2),"")</f>
        <v/>
      </c>
    </row>
    <row r="2048">
      <c r="A2048" t="n">
        <v>2047</v>
      </c>
      <c r="B2048">
        <f>A2048&lt;=MineCount*Days</f>
        <v/>
      </c>
      <c r="C2048">
        <f>IF(B2048,INT((A2048-1)/Days)+1,"")</f>
        <v/>
      </c>
      <c r="D2048">
        <f>IF(B2048,MOD(A2048-1,Days),"")</f>
        <v/>
      </c>
      <c r="E2048" s="16">
        <f>IF(B2048,StartDate+D2048,"")</f>
        <v/>
      </c>
      <c r="F2048">
        <f>IF(B2048,MAX(MOD(SIN(Seed*0.1373+C2048*12.9898+D2048*78.233)*43758.5453,1),1E-9),"")</f>
        <v/>
      </c>
      <c r="G2048">
        <f>IF(B2048,MOD(SIN(Seed*0.5917+C2048*39.3468+D2048*11.135)*24634.6345,1),"")</f>
        <v/>
      </c>
      <c r="H2048">
        <f>IF(B2048,SQRT(-2*LN(F2048))*COS(2*PI()*G2048),"")</f>
        <v/>
      </c>
      <c r="I2048">
        <f>IF(B2048,IF(D2048=0,H2048,Rho*I2047+SQRT(1-Rho^2)*H2048),"")</f>
        <v/>
      </c>
      <c r="J2048">
        <f>IF(B2048,IF(Dist="Normal",DistA+DistB*I2048,DistA+(DistB-DistA)*NORMSDIST(I2048)),"")</f>
        <v/>
      </c>
      <c r="K2048">
        <f>IF(B2048,INDEX(MineScale,C2048),"")</f>
        <v/>
      </c>
      <c r="L2048">
        <f>IF(B2048,INDEX(Dow,1,WEEKDAY(E2048,2)),"")</f>
        <v/>
      </c>
      <c r="M2048">
        <f>IF(B2048,(1+Trend)^D2048,"")</f>
        <v/>
      </c>
      <c r="N2048">
        <f>IF(B2048,EXP(SUMPRODUCT(LN(1+(EvEff-1)*INDEX(Affected,0,C2048)*EXP(-((E2048-EvCenter)^2)/(2*EvSigma^2))))),"")</f>
        <v/>
      </c>
      <c r="O2048">
        <f>IF(B2048,ROUND(MAX(0,J2048*K2048*L2048*M2048*N2048),2),"")</f>
        <v/>
      </c>
    </row>
    <row r="2049">
      <c r="A2049" t="n">
        <v>2048</v>
      </c>
      <c r="B2049">
        <f>A2049&lt;=MineCount*Days</f>
        <v/>
      </c>
      <c r="C2049">
        <f>IF(B2049,INT((A2049-1)/Days)+1,"")</f>
        <v/>
      </c>
      <c r="D2049">
        <f>IF(B2049,MOD(A2049-1,Days),"")</f>
        <v/>
      </c>
      <c r="E2049" s="16">
        <f>IF(B2049,StartDate+D2049,"")</f>
        <v/>
      </c>
      <c r="F2049">
        <f>IF(B2049,MAX(MOD(SIN(Seed*0.1373+C2049*12.9898+D2049*78.233)*43758.5453,1),1E-9),"")</f>
        <v/>
      </c>
      <c r="G2049">
        <f>IF(B2049,MOD(SIN(Seed*0.5917+C2049*39.3468+D2049*11.135)*24634.6345,1),"")</f>
        <v/>
      </c>
      <c r="H2049">
        <f>IF(B2049,SQRT(-2*LN(F2049))*COS(2*PI()*G2049),"")</f>
        <v/>
      </c>
      <c r="I2049">
        <f>IF(B2049,IF(D2049=0,H2049,Rho*I2048+SQRT(1-Rho^2)*H2049),"")</f>
        <v/>
      </c>
      <c r="J2049">
        <f>IF(B2049,IF(Dist="Normal",DistA+DistB*I2049,DistA+(DistB-DistA)*NORMSDIST(I2049)),"")</f>
        <v/>
      </c>
      <c r="K2049">
        <f>IF(B2049,INDEX(MineScale,C2049),"")</f>
        <v/>
      </c>
      <c r="L2049">
        <f>IF(B2049,INDEX(Dow,1,WEEKDAY(E2049,2)),"")</f>
        <v/>
      </c>
      <c r="M2049">
        <f>IF(B2049,(1+Trend)^D2049,"")</f>
        <v/>
      </c>
      <c r="N2049">
        <f>IF(B2049,EXP(SUMPRODUCT(LN(1+(EvEff-1)*INDEX(Affected,0,C2049)*EXP(-((E2049-EvCenter)^2)/(2*EvSigma^2))))),"")</f>
        <v/>
      </c>
      <c r="O2049">
        <f>IF(B2049,ROUND(MAX(0,J2049*K2049*L2049*M2049*N2049),2),"")</f>
        <v/>
      </c>
    </row>
    <row r="2050">
      <c r="A2050" t="n">
        <v>2049</v>
      </c>
      <c r="B2050">
        <f>A2050&lt;=MineCount*Days</f>
        <v/>
      </c>
      <c r="C2050">
        <f>IF(B2050,INT((A2050-1)/Days)+1,"")</f>
        <v/>
      </c>
      <c r="D2050">
        <f>IF(B2050,MOD(A2050-1,Days),"")</f>
        <v/>
      </c>
      <c r="E2050" s="16">
        <f>IF(B2050,StartDate+D2050,"")</f>
        <v/>
      </c>
      <c r="F2050">
        <f>IF(B2050,MAX(MOD(SIN(Seed*0.1373+C2050*12.9898+D2050*78.233)*43758.5453,1),1E-9),"")</f>
        <v/>
      </c>
      <c r="G2050">
        <f>IF(B2050,MOD(SIN(Seed*0.5917+C2050*39.3468+D2050*11.135)*24634.6345,1),"")</f>
        <v/>
      </c>
      <c r="H2050">
        <f>IF(B2050,SQRT(-2*LN(F2050))*COS(2*PI()*G2050),"")</f>
        <v/>
      </c>
      <c r="I2050">
        <f>IF(B2050,IF(D2050=0,H2050,Rho*I2049+SQRT(1-Rho^2)*H2050),"")</f>
        <v/>
      </c>
      <c r="J2050">
        <f>IF(B2050,IF(Dist="Normal",DistA+DistB*I2050,DistA+(DistB-DistA)*NORMSDIST(I2050)),"")</f>
        <v/>
      </c>
      <c r="K2050">
        <f>IF(B2050,INDEX(MineScale,C2050),"")</f>
        <v/>
      </c>
      <c r="L2050">
        <f>IF(B2050,INDEX(Dow,1,WEEKDAY(E2050,2)),"")</f>
        <v/>
      </c>
      <c r="M2050">
        <f>IF(B2050,(1+Trend)^D2050,"")</f>
        <v/>
      </c>
      <c r="N2050">
        <f>IF(B2050,EXP(SUMPRODUCT(LN(1+(EvEff-1)*INDEX(Affected,0,C2050)*EXP(-((E2050-EvCenter)^2)/(2*EvSigma^2))))),"")</f>
        <v/>
      </c>
      <c r="O2050">
        <f>IF(B2050,ROUND(MAX(0,J2050*K2050*L2050*M2050*N2050),2),"")</f>
        <v/>
      </c>
    </row>
    <row r="2051">
      <c r="A2051" t="n">
        <v>2050</v>
      </c>
      <c r="B2051">
        <f>A2051&lt;=MineCount*Days</f>
        <v/>
      </c>
      <c r="C2051">
        <f>IF(B2051,INT((A2051-1)/Days)+1,"")</f>
        <v/>
      </c>
      <c r="D2051">
        <f>IF(B2051,MOD(A2051-1,Days),"")</f>
        <v/>
      </c>
      <c r="E2051" s="16">
        <f>IF(B2051,StartDate+D2051,"")</f>
        <v/>
      </c>
      <c r="F2051">
        <f>IF(B2051,MAX(MOD(SIN(Seed*0.1373+C2051*12.9898+D2051*78.233)*43758.5453,1),1E-9),"")</f>
        <v/>
      </c>
      <c r="G2051">
        <f>IF(B2051,MOD(SIN(Seed*0.5917+C2051*39.3468+D2051*11.135)*24634.6345,1),"")</f>
        <v/>
      </c>
      <c r="H2051">
        <f>IF(B2051,SQRT(-2*LN(F2051))*COS(2*PI()*G2051),"")</f>
        <v/>
      </c>
      <c r="I2051">
        <f>IF(B2051,IF(D2051=0,H2051,Rho*I2050+SQRT(1-Rho^2)*H2051),"")</f>
        <v/>
      </c>
      <c r="J2051">
        <f>IF(B2051,IF(Dist="Normal",DistA+DistB*I2051,DistA+(DistB-DistA)*NORMSDIST(I2051)),"")</f>
        <v/>
      </c>
      <c r="K2051">
        <f>IF(B2051,INDEX(MineScale,C2051),"")</f>
        <v/>
      </c>
      <c r="L2051">
        <f>IF(B2051,INDEX(Dow,1,WEEKDAY(E2051,2)),"")</f>
        <v/>
      </c>
      <c r="M2051">
        <f>IF(B2051,(1+Trend)^D2051,"")</f>
        <v/>
      </c>
      <c r="N2051">
        <f>IF(B2051,EXP(SUMPRODUCT(LN(1+(EvEff-1)*INDEX(Affected,0,C2051)*EXP(-((E2051-EvCenter)^2)/(2*EvSigma^2))))),"")</f>
        <v/>
      </c>
      <c r="O2051">
        <f>IF(B2051,ROUND(MAX(0,J2051*K2051*L2051*M2051*N2051),2),"")</f>
        <v/>
      </c>
    </row>
    <row r="2052">
      <c r="A2052" t="n">
        <v>2051</v>
      </c>
      <c r="B2052">
        <f>A2052&lt;=MineCount*Days</f>
        <v/>
      </c>
      <c r="C2052">
        <f>IF(B2052,INT((A2052-1)/Days)+1,"")</f>
        <v/>
      </c>
      <c r="D2052">
        <f>IF(B2052,MOD(A2052-1,Days),"")</f>
        <v/>
      </c>
      <c r="E2052" s="16">
        <f>IF(B2052,StartDate+D2052,"")</f>
        <v/>
      </c>
      <c r="F2052">
        <f>IF(B2052,MAX(MOD(SIN(Seed*0.1373+C2052*12.9898+D2052*78.233)*43758.5453,1),1E-9),"")</f>
        <v/>
      </c>
      <c r="G2052">
        <f>IF(B2052,MOD(SIN(Seed*0.5917+C2052*39.3468+D2052*11.135)*24634.6345,1),"")</f>
        <v/>
      </c>
      <c r="H2052">
        <f>IF(B2052,SQRT(-2*LN(F2052))*COS(2*PI()*G2052),"")</f>
        <v/>
      </c>
      <c r="I2052">
        <f>IF(B2052,IF(D2052=0,H2052,Rho*I2051+SQRT(1-Rho^2)*H2052),"")</f>
        <v/>
      </c>
      <c r="J2052">
        <f>IF(B2052,IF(Dist="Normal",DistA+DistB*I2052,DistA+(DistB-DistA)*NORMSDIST(I2052)),"")</f>
        <v/>
      </c>
      <c r="K2052">
        <f>IF(B2052,INDEX(MineScale,C2052),"")</f>
        <v/>
      </c>
      <c r="L2052">
        <f>IF(B2052,INDEX(Dow,1,WEEKDAY(E2052,2)),"")</f>
        <v/>
      </c>
      <c r="M2052">
        <f>IF(B2052,(1+Trend)^D2052,"")</f>
        <v/>
      </c>
      <c r="N2052">
        <f>IF(B2052,EXP(SUMPRODUCT(LN(1+(EvEff-1)*INDEX(Affected,0,C2052)*EXP(-((E2052-EvCenter)^2)/(2*EvSigma^2))))),"")</f>
        <v/>
      </c>
      <c r="O2052">
        <f>IF(B2052,ROUND(MAX(0,J2052*K2052*L2052*M2052*N2052),2),"")</f>
        <v/>
      </c>
    </row>
    <row r="2053">
      <c r="A2053" t="n">
        <v>2052</v>
      </c>
      <c r="B2053">
        <f>A2053&lt;=MineCount*Days</f>
        <v/>
      </c>
      <c r="C2053">
        <f>IF(B2053,INT((A2053-1)/Days)+1,"")</f>
        <v/>
      </c>
      <c r="D2053">
        <f>IF(B2053,MOD(A2053-1,Days),"")</f>
        <v/>
      </c>
      <c r="E2053" s="16">
        <f>IF(B2053,StartDate+D2053,"")</f>
        <v/>
      </c>
      <c r="F2053">
        <f>IF(B2053,MAX(MOD(SIN(Seed*0.1373+C2053*12.9898+D2053*78.233)*43758.5453,1),1E-9),"")</f>
        <v/>
      </c>
      <c r="G2053">
        <f>IF(B2053,MOD(SIN(Seed*0.5917+C2053*39.3468+D2053*11.135)*24634.6345,1),"")</f>
        <v/>
      </c>
      <c r="H2053">
        <f>IF(B2053,SQRT(-2*LN(F2053))*COS(2*PI()*G2053),"")</f>
        <v/>
      </c>
      <c r="I2053">
        <f>IF(B2053,IF(D2053=0,H2053,Rho*I2052+SQRT(1-Rho^2)*H2053),"")</f>
        <v/>
      </c>
      <c r="J2053">
        <f>IF(B2053,IF(Dist="Normal",DistA+DistB*I2053,DistA+(DistB-DistA)*NORMSDIST(I2053)),"")</f>
        <v/>
      </c>
      <c r="K2053">
        <f>IF(B2053,INDEX(MineScale,C2053),"")</f>
        <v/>
      </c>
      <c r="L2053">
        <f>IF(B2053,INDEX(Dow,1,WEEKDAY(E2053,2)),"")</f>
        <v/>
      </c>
      <c r="M2053">
        <f>IF(B2053,(1+Trend)^D2053,"")</f>
        <v/>
      </c>
      <c r="N2053">
        <f>IF(B2053,EXP(SUMPRODUCT(LN(1+(EvEff-1)*INDEX(Affected,0,C2053)*EXP(-((E2053-EvCenter)^2)/(2*EvSigma^2))))),"")</f>
        <v/>
      </c>
      <c r="O2053">
        <f>IF(B2053,ROUND(MAX(0,J2053*K2053*L2053*M2053*N2053),2),"")</f>
        <v/>
      </c>
    </row>
    <row r="2054">
      <c r="A2054" t="n">
        <v>2053</v>
      </c>
      <c r="B2054">
        <f>A2054&lt;=MineCount*Days</f>
        <v/>
      </c>
      <c r="C2054">
        <f>IF(B2054,INT((A2054-1)/Days)+1,"")</f>
        <v/>
      </c>
      <c r="D2054">
        <f>IF(B2054,MOD(A2054-1,Days),"")</f>
        <v/>
      </c>
      <c r="E2054" s="16">
        <f>IF(B2054,StartDate+D2054,"")</f>
        <v/>
      </c>
      <c r="F2054">
        <f>IF(B2054,MAX(MOD(SIN(Seed*0.1373+C2054*12.9898+D2054*78.233)*43758.5453,1),1E-9),"")</f>
        <v/>
      </c>
      <c r="G2054">
        <f>IF(B2054,MOD(SIN(Seed*0.5917+C2054*39.3468+D2054*11.135)*24634.6345,1),"")</f>
        <v/>
      </c>
      <c r="H2054">
        <f>IF(B2054,SQRT(-2*LN(F2054))*COS(2*PI()*G2054),"")</f>
        <v/>
      </c>
      <c r="I2054">
        <f>IF(B2054,IF(D2054=0,H2054,Rho*I2053+SQRT(1-Rho^2)*H2054),"")</f>
        <v/>
      </c>
      <c r="J2054">
        <f>IF(B2054,IF(Dist="Normal",DistA+DistB*I2054,DistA+(DistB-DistA)*NORMSDIST(I2054)),"")</f>
        <v/>
      </c>
      <c r="K2054">
        <f>IF(B2054,INDEX(MineScale,C2054),"")</f>
        <v/>
      </c>
      <c r="L2054">
        <f>IF(B2054,INDEX(Dow,1,WEEKDAY(E2054,2)),"")</f>
        <v/>
      </c>
      <c r="M2054">
        <f>IF(B2054,(1+Trend)^D2054,"")</f>
        <v/>
      </c>
      <c r="N2054">
        <f>IF(B2054,EXP(SUMPRODUCT(LN(1+(EvEff-1)*INDEX(Affected,0,C2054)*EXP(-((E2054-EvCenter)^2)/(2*EvSigma^2))))),"")</f>
        <v/>
      </c>
      <c r="O2054">
        <f>IF(B2054,ROUND(MAX(0,J2054*K2054*L2054*M2054*N2054),2),"")</f>
        <v/>
      </c>
    </row>
    <row r="2055">
      <c r="A2055" t="n">
        <v>2054</v>
      </c>
      <c r="B2055">
        <f>A2055&lt;=MineCount*Days</f>
        <v/>
      </c>
      <c r="C2055">
        <f>IF(B2055,INT((A2055-1)/Days)+1,"")</f>
        <v/>
      </c>
      <c r="D2055">
        <f>IF(B2055,MOD(A2055-1,Days),"")</f>
        <v/>
      </c>
      <c r="E2055" s="16">
        <f>IF(B2055,StartDate+D2055,"")</f>
        <v/>
      </c>
      <c r="F2055">
        <f>IF(B2055,MAX(MOD(SIN(Seed*0.1373+C2055*12.9898+D2055*78.233)*43758.5453,1),1E-9),"")</f>
        <v/>
      </c>
      <c r="G2055">
        <f>IF(B2055,MOD(SIN(Seed*0.5917+C2055*39.3468+D2055*11.135)*24634.6345,1),"")</f>
        <v/>
      </c>
      <c r="H2055">
        <f>IF(B2055,SQRT(-2*LN(F2055))*COS(2*PI()*G2055),"")</f>
        <v/>
      </c>
      <c r="I2055">
        <f>IF(B2055,IF(D2055=0,H2055,Rho*I2054+SQRT(1-Rho^2)*H2055),"")</f>
        <v/>
      </c>
      <c r="J2055">
        <f>IF(B2055,IF(Dist="Normal",DistA+DistB*I2055,DistA+(DistB-DistA)*NORMSDIST(I2055)),"")</f>
        <v/>
      </c>
      <c r="K2055">
        <f>IF(B2055,INDEX(MineScale,C2055),"")</f>
        <v/>
      </c>
      <c r="L2055">
        <f>IF(B2055,INDEX(Dow,1,WEEKDAY(E2055,2)),"")</f>
        <v/>
      </c>
      <c r="M2055">
        <f>IF(B2055,(1+Trend)^D2055,"")</f>
        <v/>
      </c>
      <c r="N2055">
        <f>IF(B2055,EXP(SUMPRODUCT(LN(1+(EvEff-1)*INDEX(Affected,0,C2055)*EXP(-((E2055-EvCenter)^2)/(2*EvSigma^2))))),"")</f>
        <v/>
      </c>
      <c r="O2055">
        <f>IF(B2055,ROUND(MAX(0,J2055*K2055*L2055*M2055*N2055),2),"")</f>
        <v/>
      </c>
    </row>
    <row r="2056">
      <c r="A2056" t="n">
        <v>2055</v>
      </c>
      <c r="B2056">
        <f>A2056&lt;=MineCount*Days</f>
        <v/>
      </c>
      <c r="C2056">
        <f>IF(B2056,INT((A2056-1)/Days)+1,"")</f>
        <v/>
      </c>
      <c r="D2056">
        <f>IF(B2056,MOD(A2056-1,Days),"")</f>
        <v/>
      </c>
      <c r="E2056" s="16">
        <f>IF(B2056,StartDate+D2056,"")</f>
        <v/>
      </c>
      <c r="F2056">
        <f>IF(B2056,MAX(MOD(SIN(Seed*0.1373+C2056*12.9898+D2056*78.233)*43758.5453,1),1E-9),"")</f>
        <v/>
      </c>
      <c r="G2056">
        <f>IF(B2056,MOD(SIN(Seed*0.5917+C2056*39.3468+D2056*11.135)*24634.6345,1),"")</f>
        <v/>
      </c>
      <c r="H2056">
        <f>IF(B2056,SQRT(-2*LN(F2056))*COS(2*PI()*G2056),"")</f>
        <v/>
      </c>
      <c r="I2056">
        <f>IF(B2056,IF(D2056=0,H2056,Rho*I2055+SQRT(1-Rho^2)*H2056),"")</f>
        <v/>
      </c>
      <c r="J2056">
        <f>IF(B2056,IF(Dist="Normal",DistA+DistB*I2056,DistA+(DistB-DistA)*NORMSDIST(I2056)),"")</f>
        <v/>
      </c>
      <c r="K2056">
        <f>IF(B2056,INDEX(MineScale,C2056),"")</f>
        <v/>
      </c>
      <c r="L2056">
        <f>IF(B2056,INDEX(Dow,1,WEEKDAY(E2056,2)),"")</f>
        <v/>
      </c>
      <c r="M2056">
        <f>IF(B2056,(1+Trend)^D2056,"")</f>
        <v/>
      </c>
      <c r="N2056">
        <f>IF(B2056,EXP(SUMPRODUCT(LN(1+(EvEff-1)*INDEX(Affected,0,C2056)*EXP(-((E2056-EvCenter)^2)/(2*EvSigma^2))))),"")</f>
        <v/>
      </c>
      <c r="O2056">
        <f>IF(B2056,ROUND(MAX(0,J2056*K2056*L2056*M2056*N2056),2),"")</f>
        <v/>
      </c>
    </row>
    <row r="2057">
      <c r="A2057" t="n">
        <v>2056</v>
      </c>
      <c r="B2057">
        <f>A2057&lt;=MineCount*Days</f>
        <v/>
      </c>
      <c r="C2057">
        <f>IF(B2057,INT((A2057-1)/Days)+1,"")</f>
        <v/>
      </c>
      <c r="D2057">
        <f>IF(B2057,MOD(A2057-1,Days),"")</f>
        <v/>
      </c>
      <c r="E2057" s="16">
        <f>IF(B2057,StartDate+D2057,"")</f>
        <v/>
      </c>
      <c r="F2057">
        <f>IF(B2057,MAX(MOD(SIN(Seed*0.1373+C2057*12.9898+D2057*78.233)*43758.5453,1),1E-9),"")</f>
        <v/>
      </c>
      <c r="G2057">
        <f>IF(B2057,MOD(SIN(Seed*0.5917+C2057*39.3468+D2057*11.135)*24634.6345,1),"")</f>
        <v/>
      </c>
      <c r="H2057">
        <f>IF(B2057,SQRT(-2*LN(F2057))*COS(2*PI()*G2057),"")</f>
        <v/>
      </c>
      <c r="I2057">
        <f>IF(B2057,IF(D2057=0,H2057,Rho*I2056+SQRT(1-Rho^2)*H2057),"")</f>
        <v/>
      </c>
      <c r="J2057">
        <f>IF(B2057,IF(Dist="Normal",DistA+DistB*I2057,DistA+(DistB-DistA)*NORMSDIST(I2057)),"")</f>
        <v/>
      </c>
      <c r="K2057">
        <f>IF(B2057,INDEX(MineScale,C2057),"")</f>
        <v/>
      </c>
      <c r="L2057">
        <f>IF(B2057,INDEX(Dow,1,WEEKDAY(E2057,2)),"")</f>
        <v/>
      </c>
      <c r="M2057">
        <f>IF(B2057,(1+Trend)^D2057,"")</f>
        <v/>
      </c>
      <c r="N2057">
        <f>IF(B2057,EXP(SUMPRODUCT(LN(1+(EvEff-1)*INDEX(Affected,0,C2057)*EXP(-((E2057-EvCenter)^2)/(2*EvSigma^2))))),"")</f>
        <v/>
      </c>
      <c r="O2057">
        <f>IF(B2057,ROUND(MAX(0,J2057*K2057*L2057*M2057*N2057),2),"")</f>
        <v/>
      </c>
    </row>
    <row r="2058">
      <c r="A2058" t="n">
        <v>2057</v>
      </c>
      <c r="B2058">
        <f>A2058&lt;=MineCount*Days</f>
        <v/>
      </c>
      <c r="C2058">
        <f>IF(B2058,INT((A2058-1)/Days)+1,"")</f>
        <v/>
      </c>
      <c r="D2058">
        <f>IF(B2058,MOD(A2058-1,Days),"")</f>
        <v/>
      </c>
      <c r="E2058" s="16">
        <f>IF(B2058,StartDate+D2058,"")</f>
        <v/>
      </c>
      <c r="F2058">
        <f>IF(B2058,MAX(MOD(SIN(Seed*0.1373+C2058*12.9898+D2058*78.233)*43758.5453,1),1E-9),"")</f>
        <v/>
      </c>
      <c r="G2058">
        <f>IF(B2058,MOD(SIN(Seed*0.5917+C2058*39.3468+D2058*11.135)*24634.6345,1),"")</f>
        <v/>
      </c>
      <c r="H2058">
        <f>IF(B2058,SQRT(-2*LN(F2058))*COS(2*PI()*G2058),"")</f>
        <v/>
      </c>
      <c r="I2058">
        <f>IF(B2058,IF(D2058=0,H2058,Rho*I2057+SQRT(1-Rho^2)*H2058),"")</f>
        <v/>
      </c>
      <c r="J2058">
        <f>IF(B2058,IF(Dist="Normal",DistA+DistB*I2058,DistA+(DistB-DistA)*NORMSDIST(I2058)),"")</f>
        <v/>
      </c>
      <c r="K2058">
        <f>IF(B2058,INDEX(MineScale,C2058),"")</f>
        <v/>
      </c>
      <c r="L2058">
        <f>IF(B2058,INDEX(Dow,1,WEEKDAY(E2058,2)),"")</f>
        <v/>
      </c>
      <c r="M2058">
        <f>IF(B2058,(1+Trend)^D2058,"")</f>
        <v/>
      </c>
      <c r="N2058">
        <f>IF(B2058,EXP(SUMPRODUCT(LN(1+(EvEff-1)*INDEX(Affected,0,C2058)*EXP(-((E2058-EvCenter)^2)/(2*EvSigma^2))))),"")</f>
        <v/>
      </c>
      <c r="O2058">
        <f>IF(B2058,ROUND(MAX(0,J2058*K2058*L2058*M2058*N2058),2),"")</f>
        <v/>
      </c>
    </row>
    <row r="2059">
      <c r="A2059" t="n">
        <v>2058</v>
      </c>
      <c r="B2059">
        <f>A2059&lt;=MineCount*Days</f>
        <v/>
      </c>
      <c r="C2059">
        <f>IF(B2059,INT((A2059-1)/Days)+1,"")</f>
        <v/>
      </c>
      <c r="D2059">
        <f>IF(B2059,MOD(A2059-1,Days),"")</f>
        <v/>
      </c>
      <c r="E2059" s="16">
        <f>IF(B2059,StartDate+D2059,"")</f>
        <v/>
      </c>
      <c r="F2059">
        <f>IF(B2059,MAX(MOD(SIN(Seed*0.1373+C2059*12.9898+D2059*78.233)*43758.5453,1),1E-9),"")</f>
        <v/>
      </c>
      <c r="G2059">
        <f>IF(B2059,MOD(SIN(Seed*0.5917+C2059*39.3468+D2059*11.135)*24634.6345,1),"")</f>
        <v/>
      </c>
      <c r="H2059">
        <f>IF(B2059,SQRT(-2*LN(F2059))*COS(2*PI()*G2059),"")</f>
        <v/>
      </c>
      <c r="I2059">
        <f>IF(B2059,IF(D2059=0,H2059,Rho*I2058+SQRT(1-Rho^2)*H2059),"")</f>
        <v/>
      </c>
      <c r="J2059">
        <f>IF(B2059,IF(Dist="Normal",DistA+DistB*I2059,DistA+(DistB-DistA)*NORMSDIST(I2059)),"")</f>
        <v/>
      </c>
      <c r="K2059">
        <f>IF(B2059,INDEX(MineScale,C2059),"")</f>
        <v/>
      </c>
      <c r="L2059">
        <f>IF(B2059,INDEX(Dow,1,WEEKDAY(E2059,2)),"")</f>
        <v/>
      </c>
      <c r="M2059">
        <f>IF(B2059,(1+Trend)^D2059,"")</f>
        <v/>
      </c>
      <c r="N2059">
        <f>IF(B2059,EXP(SUMPRODUCT(LN(1+(EvEff-1)*INDEX(Affected,0,C2059)*EXP(-((E2059-EvCenter)^2)/(2*EvSigma^2))))),"")</f>
        <v/>
      </c>
      <c r="O2059">
        <f>IF(B2059,ROUND(MAX(0,J2059*K2059*L2059*M2059*N2059),2),"")</f>
        <v/>
      </c>
    </row>
    <row r="2060">
      <c r="A2060" t="n">
        <v>2059</v>
      </c>
      <c r="B2060">
        <f>A2060&lt;=MineCount*Days</f>
        <v/>
      </c>
      <c r="C2060">
        <f>IF(B2060,INT((A2060-1)/Days)+1,"")</f>
        <v/>
      </c>
      <c r="D2060">
        <f>IF(B2060,MOD(A2060-1,Days),"")</f>
        <v/>
      </c>
      <c r="E2060" s="16">
        <f>IF(B2060,StartDate+D2060,"")</f>
        <v/>
      </c>
      <c r="F2060">
        <f>IF(B2060,MAX(MOD(SIN(Seed*0.1373+C2060*12.9898+D2060*78.233)*43758.5453,1),1E-9),"")</f>
        <v/>
      </c>
      <c r="G2060">
        <f>IF(B2060,MOD(SIN(Seed*0.5917+C2060*39.3468+D2060*11.135)*24634.6345,1),"")</f>
        <v/>
      </c>
      <c r="H2060">
        <f>IF(B2060,SQRT(-2*LN(F2060))*COS(2*PI()*G2060),"")</f>
        <v/>
      </c>
      <c r="I2060">
        <f>IF(B2060,IF(D2060=0,H2060,Rho*I2059+SQRT(1-Rho^2)*H2060),"")</f>
        <v/>
      </c>
      <c r="J2060">
        <f>IF(B2060,IF(Dist="Normal",DistA+DistB*I2060,DistA+(DistB-DistA)*NORMSDIST(I2060)),"")</f>
        <v/>
      </c>
      <c r="K2060">
        <f>IF(B2060,INDEX(MineScale,C2060),"")</f>
        <v/>
      </c>
      <c r="L2060">
        <f>IF(B2060,INDEX(Dow,1,WEEKDAY(E2060,2)),"")</f>
        <v/>
      </c>
      <c r="M2060">
        <f>IF(B2060,(1+Trend)^D2060,"")</f>
        <v/>
      </c>
      <c r="N2060">
        <f>IF(B2060,EXP(SUMPRODUCT(LN(1+(EvEff-1)*INDEX(Affected,0,C2060)*EXP(-((E2060-EvCenter)^2)/(2*EvSigma^2))))),"")</f>
        <v/>
      </c>
      <c r="O2060">
        <f>IF(B2060,ROUND(MAX(0,J2060*K2060*L2060*M2060*N2060),2),"")</f>
        <v/>
      </c>
    </row>
    <row r="2061">
      <c r="A2061" t="n">
        <v>2060</v>
      </c>
      <c r="B2061">
        <f>A2061&lt;=MineCount*Days</f>
        <v/>
      </c>
      <c r="C2061">
        <f>IF(B2061,INT((A2061-1)/Days)+1,"")</f>
        <v/>
      </c>
      <c r="D2061">
        <f>IF(B2061,MOD(A2061-1,Days),"")</f>
        <v/>
      </c>
      <c r="E2061" s="16">
        <f>IF(B2061,StartDate+D2061,"")</f>
        <v/>
      </c>
      <c r="F2061">
        <f>IF(B2061,MAX(MOD(SIN(Seed*0.1373+C2061*12.9898+D2061*78.233)*43758.5453,1),1E-9),"")</f>
        <v/>
      </c>
      <c r="G2061">
        <f>IF(B2061,MOD(SIN(Seed*0.5917+C2061*39.3468+D2061*11.135)*24634.6345,1),"")</f>
        <v/>
      </c>
      <c r="H2061">
        <f>IF(B2061,SQRT(-2*LN(F2061))*COS(2*PI()*G2061),"")</f>
        <v/>
      </c>
      <c r="I2061">
        <f>IF(B2061,IF(D2061=0,H2061,Rho*I2060+SQRT(1-Rho^2)*H2061),"")</f>
        <v/>
      </c>
      <c r="J2061">
        <f>IF(B2061,IF(Dist="Normal",DistA+DistB*I2061,DistA+(DistB-DistA)*NORMSDIST(I2061)),"")</f>
        <v/>
      </c>
      <c r="K2061">
        <f>IF(B2061,INDEX(MineScale,C2061),"")</f>
        <v/>
      </c>
      <c r="L2061">
        <f>IF(B2061,INDEX(Dow,1,WEEKDAY(E2061,2)),"")</f>
        <v/>
      </c>
      <c r="M2061">
        <f>IF(B2061,(1+Trend)^D2061,"")</f>
        <v/>
      </c>
      <c r="N2061">
        <f>IF(B2061,EXP(SUMPRODUCT(LN(1+(EvEff-1)*INDEX(Affected,0,C2061)*EXP(-((E2061-EvCenter)^2)/(2*EvSigma^2))))),"")</f>
        <v/>
      </c>
      <c r="O2061">
        <f>IF(B2061,ROUND(MAX(0,J2061*K2061*L2061*M2061*N2061),2),"")</f>
        <v/>
      </c>
    </row>
    <row r="2062">
      <c r="A2062" t="n">
        <v>2061</v>
      </c>
      <c r="B2062">
        <f>A2062&lt;=MineCount*Days</f>
        <v/>
      </c>
      <c r="C2062">
        <f>IF(B2062,INT((A2062-1)/Days)+1,"")</f>
        <v/>
      </c>
      <c r="D2062">
        <f>IF(B2062,MOD(A2062-1,Days),"")</f>
        <v/>
      </c>
      <c r="E2062" s="16">
        <f>IF(B2062,StartDate+D2062,"")</f>
        <v/>
      </c>
      <c r="F2062">
        <f>IF(B2062,MAX(MOD(SIN(Seed*0.1373+C2062*12.9898+D2062*78.233)*43758.5453,1),1E-9),"")</f>
        <v/>
      </c>
      <c r="G2062">
        <f>IF(B2062,MOD(SIN(Seed*0.5917+C2062*39.3468+D2062*11.135)*24634.6345,1),"")</f>
        <v/>
      </c>
      <c r="H2062">
        <f>IF(B2062,SQRT(-2*LN(F2062))*COS(2*PI()*G2062),"")</f>
        <v/>
      </c>
      <c r="I2062">
        <f>IF(B2062,IF(D2062=0,H2062,Rho*I2061+SQRT(1-Rho^2)*H2062),"")</f>
        <v/>
      </c>
      <c r="J2062">
        <f>IF(B2062,IF(Dist="Normal",DistA+DistB*I2062,DistA+(DistB-DistA)*NORMSDIST(I2062)),"")</f>
        <v/>
      </c>
      <c r="K2062">
        <f>IF(B2062,INDEX(MineScale,C2062),"")</f>
        <v/>
      </c>
      <c r="L2062">
        <f>IF(B2062,INDEX(Dow,1,WEEKDAY(E2062,2)),"")</f>
        <v/>
      </c>
      <c r="M2062">
        <f>IF(B2062,(1+Trend)^D2062,"")</f>
        <v/>
      </c>
      <c r="N2062">
        <f>IF(B2062,EXP(SUMPRODUCT(LN(1+(EvEff-1)*INDEX(Affected,0,C2062)*EXP(-((E2062-EvCenter)^2)/(2*EvSigma^2))))),"")</f>
        <v/>
      </c>
      <c r="O2062">
        <f>IF(B2062,ROUND(MAX(0,J2062*K2062*L2062*M2062*N2062),2),"")</f>
        <v/>
      </c>
    </row>
    <row r="2063">
      <c r="A2063" t="n">
        <v>2062</v>
      </c>
      <c r="B2063">
        <f>A2063&lt;=MineCount*Days</f>
        <v/>
      </c>
      <c r="C2063">
        <f>IF(B2063,INT((A2063-1)/Days)+1,"")</f>
        <v/>
      </c>
      <c r="D2063">
        <f>IF(B2063,MOD(A2063-1,Days),"")</f>
        <v/>
      </c>
      <c r="E2063" s="16">
        <f>IF(B2063,StartDate+D2063,"")</f>
        <v/>
      </c>
      <c r="F2063">
        <f>IF(B2063,MAX(MOD(SIN(Seed*0.1373+C2063*12.9898+D2063*78.233)*43758.5453,1),1E-9),"")</f>
        <v/>
      </c>
      <c r="G2063">
        <f>IF(B2063,MOD(SIN(Seed*0.5917+C2063*39.3468+D2063*11.135)*24634.6345,1),"")</f>
        <v/>
      </c>
      <c r="H2063">
        <f>IF(B2063,SQRT(-2*LN(F2063))*COS(2*PI()*G2063),"")</f>
        <v/>
      </c>
      <c r="I2063">
        <f>IF(B2063,IF(D2063=0,H2063,Rho*I2062+SQRT(1-Rho^2)*H2063),"")</f>
        <v/>
      </c>
      <c r="J2063">
        <f>IF(B2063,IF(Dist="Normal",DistA+DistB*I2063,DistA+(DistB-DistA)*NORMSDIST(I2063)),"")</f>
        <v/>
      </c>
      <c r="K2063">
        <f>IF(B2063,INDEX(MineScale,C2063),"")</f>
        <v/>
      </c>
      <c r="L2063">
        <f>IF(B2063,INDEX(Dow,1,WEEKDAY(E2063,2)),"")</f>
        <v/>
      </c>
      <c r="M2063">
        <f>IF(B2063,(1+Trend)^D2063,"")</f>
        <v/>
      </c>
      <c r="N2063">
        <f>IF(B2063,EXP(SUMPRODUCT(LN(1+(EvEff-1)*INDEX(Affected,0,C2063)*EXP(-((E2063-EvCenter)^2)/(2*EvSigma^2))))),"")</f>
        <v/>
      </c>
      <c r="O2063">
        <f>IF(B2063,ROUND(MAX(0,J2063*K2063*L2063*M2063*N2063),2),"")</f>
        <v/>
      </c>
    </row>
    <row r="2064">
      <c r="A2064" t="n">
        <v>2063</v>
      </c>
      <c r="B2064">
        <f>A2064&lt;=MineCount*Days</f>
        <v/>
      </c>
      <c r="C2064">
        <f>IF(B2064,INT((A2064-1)/Days)+1,"")</f>
        <v/>
      </c>
      <c r="D2064">
        <f>IF(B2064,MOD(A2064-1,Days),"")</f>
        <v/>
      </c>
      <c r="E2064" s="16">
        <f>IF(B2064,StartDate+D2064,"")</f>
        <v/>
      </c>
      <c r="F2064">
        <f>IF(B2064,MAX(MOD(SIN(Seed*0.1373+C2064*12.9898+D2064*78.233)*43758.5453,1),1E-9),"")</f>
        <v/>
      </c>
      <c r="G2064">
        <f>IF(B2064,MOD(SIN(Seed*0.5917+C2064*39.3468+D2064*11.135)*24634.6345,1),"")</f>
        <v/>
      </c>
      <c r="H2064">
        <f>IF(B2064,SQRT(-2*LN(F2064))*COS(2*PI()*G2064),"")</f>
        <v/>
      </c>
      <c r="I2064">
        <f>IF(B2064,IF(D2064=0,H2064,Rho*I2063+SQRT(1-Rho^2)*H2064),"")</f>
        <v/>
      </c>
      <c r="J2064">
        <f>IF(B2064,IF(Dist="Normal",DistA+DistB*I2064,DistA+(DistB-DistA)*NORMSDIST(I2064)),"")</f>
        <v/>
      </c>
      <c r="K2064">
        <f>IF(B2064,INDEX(MineScale,C2064),"")</f>
        <v/>
      </c>
      <c r="L2064">
        <f>IF(B2064,INDEX(Dow,1,WEEKDAY(E2064,2)),"")</f>
        <v/>
      </c>
      <c r="M2064">
        <f>IF(B2064,(1+Trend)^D2064,"")</f>
        <v/>
      </c>
      <c r="N2064">
        <f>IF(B2064,EXP(SUMPRODUCT(LN(1+(EvEff-1)*INDEX(Affected,0,C2064)*EXP(-((E2064-EvCenter)^2)/(2*EvSigma^2))))),"")</f>
        <v/>
      </c>
      <c r="O2064">
        <f>IF(B2064,ROUND(MAX(0,J2064*K2064*L2064*M2064*N2064),2),"")</f>
        <v/>
      </c>
    </row>
    <row r="2065">
      <c r="A2065" t="n">
        <v>2064</v>
      </c>
      <c r="B2065">
        <f>A2065&lt;=MineCount*Days</f>
        <v/>
      </c>
      <c r="C2065">
        <f>IF(B2065,INT((A2065-1)/Days)+1,"")</f>
        <v/>
      </c>
      <c r="D2065">
        <f>IF(B2065,MOD(A2065-1,Days),"")</f>
        <v/>
      </c>
      <c r="E2065" s="16">
        <f>IF(B2065,StartDate+D2065,"")</f>
        <v/>
      </c>
      <c r="F2065">
        <f>IF(B2065,MAX(MOD(SIN(Seed*0.1373+C2065*12.9898+D2065*78.233)*43758.5453,1),1E-9),"")</f>
        <v/>
      </c>
      <c r="G2065">
        <f>IF(B2065,MOD(SIN(Seed*0.5917+C2065*39.3468+D2065*11.135)*24634.6345,1),"")</f>
        <v/>
      </c>
      <c r="H2065">
        <f>IF(B2065,SQRT(-2*LN(F2065))*COS(2*PI()*G2065),"")</f>
        <v/>
      </c>
      <c r="I2065">
        <f>IF(B2065,IF(D2065=0,H2065,Rho*I2064+SQRT(1-Rho^2)*H2065),"")</f>
        <v/>
      </c>
      <c r="J2065">
        <f>IF(B2065,IF(Dist="Normal",DistA+DistB*I2065,DistA+(DistB-DistA)*NORMSDIST(I2065)),"")</f>
        <v/>
      </c>
      <c r="K2065">
        <f>IF(B2065,INDEX(MineScale,C2065),"")</f>
        <v/>
      </c>
      <c r="L2065">
        <f>IF(B2065,INDEX(Dow,1,WEEKDAY(E2065,2)),"")</f>
        <v/>
      </c>
      <c r="M2065">
        <f>IF(B2065,(1+Trend)^D2065,"")</f>
        <v/>
      </c>
      <c r="N2065">
        <f>IF(B2065,EXP(SUMPRODUCT(LN(1+(EvEff-1)*INDEX(Affected,0,C2065)*EXP(-((E2065-EvCenter)^2)/(2*EvSigma^2))))),"")</f>
        <v/>
      </c>
      <c r="O2065">
        <f>IF(B2065,ROUND(MAX(0,J2065*K2065*L2065*M2065*N2065),2),"")</f>
        <v/>
      </c>
    </row>
    <row r="2066">
      <c r="A2066" t="n">
        <v>2065</v>
      </c>
      <c r="B2066">
        <f>A2066&lt;=MineCount*Days</f>
        <v/>
      </c>
      <c r="C2066">
        <f>IF(B2066,INT((A2066-1)/Days)+1,"")</f>
        <v/>
      </c>
      <c r="D2066">
        <f>IF(B2066,MOD(A2066-1,Days),"")</f>
        <v/>
      </c>
      <c r="E2066" s="16">
        <f>IF(B2066,StartDate+D2066,"")</f>
        <v/>
      </c>
      <c r="F2066">
        <f>IF(B2066,MAX(MOD(SIN(Seed*0.1373+C2066*12.9898+D2066*78.233)*43758.5453,1),1E-9),"")</f>
        <v/>
      </c>
      <c r="G2066">
        <f>IF(B2066,MOD(SIN(Seed*0.5917+C2066*39.3468+D2066*11.135)*24634.6345,1),"")</f>
        <v/>
      </c>
      <c r="H2066">
        <f>IF(B2066,SQRT(-2*LN(F2066))*COS(2*PI()*G2066),"")</f>
        <v/>
      </c>
      <c r="I2066">
        <f>IF(B2066,IF(D2066=0,H2066,Rho*I2065+SQRT(1-Rho^2)*H2066),"")</f>
        <v/>
      </c>
      <c r="J2066">
        <f>IF(B2066,IF(Dist="Normal",DistA+DistB*I2066,DistA+(DistB-DistA)*NORMSDIST(I2066)),"")</f>
        <v/>
      </c>
      <c r="K2066">
        <f>IF(B2066,INDEX(MineScale,C2066),"")</f>
        <v/>
      </c>
      <c r="L2066">
        <f>IF(B2066,INDEX(Dow,1,WEEKDAY(E2066,2)),"")</f>
        <v/>
      </c>
      <c r="M2066">
        <f>IF(B2066,(1+Trend)^D2066,"")</f>
        <v/>
      </c>
      <c r="N2066">
        <f>IF(B2066,EXP(SUMPRODUCT(LN(1+(EvEff-1)*INDEX(Affected,0,C2066)*EXP(-((E2066-EvCenter)^2)/(2*EvSigma^2))))),"")</f>
        <v/>
      </c>
      <c r="O2066">
        <f>IF(B2066,ROUND(MAX(0,J2066*K2066*L2066*M2066*N2066),2),"")</f>
        <v/>
      </c>
    </row>
    <row r="2067">
      <c r="A2067" t="n">
        <v>2066</v>
      </c>
      <c r="B2067">
        <f>A2067&lt;=MineCount*Days</f>
        <v/>
      </c>
      <c r="C2067">
        <f>IF(B2067,INT((A2067-1)/Days)+1,"")</f>
        <v/>
      </c>
      <c r="D2067">
        <f>IF(B2067,MOD(A2067-1,Days),"")</f>
        <v/>
      </c>
      <c r="E2067" s="16">
        <f>IF(B2067,StartDate+D2067,"")</f>
        <v/>
      </c>
      <c r="F2067">
        <f>IF(B2067,MAX(MOD(SIN(Seed*0.1373+C2067*12.9898+D2067*78.233)*43758.5453,1),1E-9),"")</f>
        <v/>
      </c>
      <c r="G2067">
        <f>IF(B2067,MOD(SIN(Seed*0.5917+C2067*39.3468+D2067*11.135)*24634.6345,1),"")</f>
        <v/>
      </c>
      <c r="H2067">
        <f>IF(B2067,SQRT(-2*LN(F2067))*COS(2*PI()*G2067),"")</f>
        <v/>
      </c>
      <c r="I2067">
        <f>IF(B2067,IF(D2067=0,H2067,Rho*I2066+SQRT(1-Rho^2)*H2067),"")</f>
        <v/>
      </c>
      <c r="J2067">
        <f>IF(B2067,IF(Dist="Normal",DistA+DistB*I2067,DistA+(DistB-DistA)*NORMSDIST(I2067)),"")</f>
        <v/>
      </c>
      <c r="K2067">
        <f>IF(B2067,INDEX(MineScale,C2067),"")</f>
        <v/>
      </c>
      <c r="L2067">
        <f>IF(B2067,INDEX(Dow,1,WEEKDAY(E2067,2)),"")</f>
        <v/>
      </c>
      <c r="M2067">
        <f>IF(B2067,(1+Trend)^D2067,"")</f>
        <v/>
      </c>
      <c r="N2067">
        <f>IF(B2067,EXP(SUMPRODUCT(LN(1+(EvEff-1)*INDEX(Affected,0,C2067)*EXP(-((E2067-EvCenter)^2)/(2*EvSigma^2))))),"")</f>
        <v/>
      </c>
      <c r="O2067">
        <f>IF(B2067,ROUND(MAX(0,J2067*K2067*L2067*M2067*N2067),2),"")</f>
        <v/>
      </c>
    </row>
    <row r="2068">
      <c r="A2068" t="n">
        <v>2067</v>
      </c>
      <c r="B2068">
        <f>A2068&lt;=MineCount*Days</f>
        <v/>
      </c>
      <c r="C2068">
        <f>IF(B2068,INT((A2068-1)/Days)+1,"")</f>
        <v/>
      </c>
      <c r="D2068">
        <f>IF(B2068,MOD(A2068-1,Days),"")</f>
        <v/>
      </c>
      <c r="E2068" s="16">
        <f>IF(B2068,StartDate+D2068,"")</f>
        <v/>
      </c>
      <c r="F2068">
        <f>IF(B2068,MAX(MOD(SIN(Seed*0.1373+C2068*12.9898+D2068*78.233)*43758.5453,1),1E-9),"")</f>
        <v/>
      </c>
      <c r="G2068">
        <f>IF(B2068,MOD(SIN(Seed*0.5917+C2068*39.3468+D2068*11.135)*24634.6345,1),"")</f>
        <v/>
      </c>
      <c r="H2068">
        <f>IF(B2068,SQRT(-2*LN(F2068))*COS(2*PI()*G2068),"")</f>
        <v/>
      </c>
      <c r="I2068">
        <f>IF(B2068,IF(D2068=0,H2068,Rho*I2067+SQRT(1-Rho^2)*H2068),"")</f>
        <v/>
      </c>
      <c r="J2068">
        <f>IF(B2068,IF(Dist="Normal",DistA+DistB*I2068,DistA+(DistB-DistA)*NORMSDIST(I2068)),"")</f>
        <v/>
      </c>
      <c r="K2068">
        <f>IF(B2068,INDEX(MineScale,C2068),"")</f>
        <v/>
      </c>
      <c r="L2068">
        <f>IF(B2068,INDEX(Dow,1,WEEKDAY(E2068,2)),"")</f>
        <v/>
      </c>
      <c r="M2068">
        <f>IF(B2068,(1+Trend)^D2068,"")</f>
        <v/>
      </c>
      <c r="N2068">
        <f>IF(B2068,EXP(SUMPRODUCT(LN(1+(EvEff-1)*INDEX(Affected,0,C2068)*EXP(-((E2068-EvCenter)^2)/(2*EvSigma^2))))),"")</f>
        <v/>
      </c>
      <c r="O2068">
        <f>IF(B2068,ROUND(MAX(0,J2068*K2068*L2068*M2068*N2068),2),"")</f>
        <v/>
      </c>
    </row>
    <row r="2069">
      <c r="A2069" t="n">
        <v>2068</v>
      </c>
      <c r="B2069">
        <f>A2069&lt;=MineCount*Days</f>
        <v/>
      </c>
      <c r="C2069">
        <f>IF(B2069,INT((A2069-1)/Days)+1,"")</f>
        <v/>
      </c>
      <c r="D2069">
        <f>IF(B2069,MOD(A2069-1,Days),"")</f>
        <v/>
      </c>
      <c r="E2069" s="16">
        <f>IF(B2069,StartDate+D2069,"")</f>
        <v/>
      </c>
      <c r="F2069">
        <f>IF(B2069,MAX(MOD(SIN(Seed*0.1373+C2069*12.9898+D2069*78.233)*43758.5453,1),1E-9),"")</f>
        <v/>
      </c>
      <c r="G2069">
        <f>IF(B2069,MOD(SIN(Seed*0.5917+C2069*39.3468+D2069*11.135)*24634.6345,1),"")</f>
        <v/>
      </c>
      <c r="H2069">
        <f>IF(B2069,SQRT(-2*LN(F2069))*COS(2*PI()*G2069),"")</f>
        <v/>
      </c>
      <c r="I2069">
        <f>IF(B2069,IF(D2069=0,H2069,Rho*I2068+SQRT(1-Rho^2)*H2069),"")</f>
        <v/>
      </c>
      <c r="J2069">
        <f>IF(B2069,IF(Dist="Normal",DistA+DistB*I2069,DistA+(DistB-DistA)*NORMSDIST(I2069)),"")</f>
        <v/>
      </c>
      <c r="K2069">
        <f>IF(B2069,INDEX(MineScale,C2069),"")</f>
        <v/>
      </c>
      <c r="L2069">
        <f>IF(B2069,INDEX(Dow,1,WEEKDAY(E2069,2)),"")</f>
        <v/>
      </c>
      <c r="M2069">
        <f>IF(B2069,(1+Trend)^D2069,"")</f>
        <v/>
      </c>
      <c r="N2069">
        <f>IF(B2069,EXP(SUMPRODUCT(LN(1+(EvEff-1)*INDEX(Affected,0,C2069)*EXP(-((E2069-EvCenter)^2)/(2*EvSigma^2))))),"")</f>
        <v/>
      </c>
      <c r="O2069">
        <f>IF(B2069,ROUND(MAX(0,J2069*K2069*L2069*M2069*N2069),2),"")</f>
        <v/>
      </c>
    </row>
    <row r="2070">
      <c r="A2070" t="n">
        <v>2069</v>
      </c>
      <c r="B2070">
        <f>A2070&lt;=MineCount*Days</f>
        <v/>
      </c>
      <c r="C2070">
        <f>IF(B2070,INT((A2070-1)/Days)+1,"")</f>
        <v/>
      </c>
      <c r="D2070">
        <f>IF(B2070,MOD(A2070-1,Days),"")</f>
        <v/>
      </c>
      <c r="E2070" s="16">
        <f>IF(B2070,StartDate+D2070,"")</f>
        <v/>
      </c>
      <c r="F2070">
        <f>IF(B2070,MAX(MOD(SIN(Seed*0.1373+C2070*12.9898+D2070*78.233)*43758.5453,1),1E-9),"")</f>
        <v/>
      </c>
      <c r="G2070">
        <f>IF(B2070,MOD(SIN(Seed*0.5917+C2070*39.3468+D2070*11.135)*24634.6345,1),"")</f>
        <v/>
      </c>
      <c r="H2070">
        <f>IF(B2070,SQRT(-2*LN(F2070))*COS(2*PI()*G2070),"")</f>
        <v/>
      </c>
      <c r="I2070">
        <f>IF(B2070,IF(D2070=0,H2070,Rho*I2069+SQRT(1-Rho^2)*H2070),"")</f>
        <v/>
      </c>
      <c r="J2070">
        <f>IF(B2070,IF(Dist="Normal",DistA+DistB*I2070,DistA+(DistB-DistA)*NORMSDIST(I2070)),"")</f>
        <v/>
      </c>
      <c r="K2070">
        <f>IF(B2070,INDEX(MineScale,C2070),"")</f>
        <v/>
      </c>
      <c r="L2070">
        <f>IF(B2070,INDEX(Dow,1,WEEKDAY(E2070,2)),"")</f>
        <v/>
      </c>
      <c r="M2070">
        <f>IF(B2070,(1+Trend)^D2070,"")</f>
        <v/>
      </c>
      <c r="N2070">
        <f>IF(B2070,EXP(SUMPRODUCT(LN(1+(EvEff-1)*INDEX(Affected,0,C2070)*EXP(-((E2070-EvCenter)^2)/(2*EvSigma^2))))),"")</f>
        <v/>
      </c>
      <c r="O2070">
        <f>IF(B2070,ROUND(MAX(0,J2070*K2070*L2070*M2070*N2070),2),"")</f>
        <v/>
      </c>
    </row>
    <row r="2071">
      <c r="A2071" t="n">
        <v>2070</v>
      </c>
      <c r="B2071">
        <f>A2071&lt;=MineCount*Days</f>
        <v/>
      </c>
      <c r="C2071">
        <f>IF(B2071,INT((A2071-1)/Days)+1,"")</f>
        <v/>
      </c>
      <c r="D2071">
        <f>IF(B2071,MOD(A2071-1,Days),"")</f>
        <v/>
      </c>
      <c r="E2071" s="16">
        <f>IF(B2071,StartDate+D2071,"")</f>
        <v/>
      </c>
      <c r="F2071">
        <f>IF(B2071,MAX(MOD(SIN(Seed*0.1373+C2071*12.9898+D2071*78.233)*43758.5453,1),1E-9),"")</f>
        <v/>
      </c>
      <c r="G2071">
        <f>IF(B2071,MOD(SIN(Seed*0.5917+C2071*39.3468+D2071*11.135)*24634.6345,1),"")</f>
        <v/>
      </c>
      <c r="H2071">
        <f>IF(B2071,SQRT(-2*LN(F2071))*COS(2*PI()*G2071),"")</f>
        <v/>
      </c>
      <c r="I2071">
        <f>IF(B2071,IF(D2071=0,H2071,Rho*I2070+SQRT(1-Rho^2)*H2071),"")</f>
        <v/>
      </c>
      <c r="J2071">
        <f>IF(B2071,IF(Dist="Normal",DistA+DistB*I2071,DistA+(DistB-DistA)*NORMSDIST(I2071)),"")</f>
        <v/>
      </c>
      <c r="K2071">
        <f>IF(B2071,INDEX(MineScale,C2071),"")</f>
        <v/>
      </c>
      <c r="L2071">
        <f>IF(B2071,INDEX(Dow,1,WEEKDAY(E2071,2)),"")</f>
        <v/>
      </c>
      <c r="M2071">
        <f>IF(B2071,(1+Trend)^D2071,"")</f>
        <v/>
      </c>
      <c r="N2071">
        <f>IF(B2071,EXP(SUMPRODUCT(LN(1+(EvEff-1)*INDEX(Affected,0,C2071)*EXP(-((E2071-EvCenter)^2)/(2*EvSigma^2))))),"")</f>
        <v/>
      </c>
      <c r="O2071">
        <f>IF(B2071,ROUND(MAX(0,J2071*K2071*L2071*M2071*N2071),2),"")</f>
        <v/>
      </c>
    </row>
    <row r="2072">
      <c r="A2072" t="n">
        <v>2071</v>
      </c>
      <c r="B2072">
        <f>A2072&lt;=MineCount*Days</f>
        <v/>
      </c>
      <c r="C2072">
        <f>IF(B2072,INT((A2072-1)/Days)+1,"")</f>
        <v/>
      </c>
      <c r="D2072">
        <f>IF(B2072,MOD(A2072-1,Days),"")</f>
        <v/>
      </c>
      <c r="E2072" s="16">
        <f>IF(B2072,StartDate+D2072,"")</f>
        <v/>
      </c>
      <c r="F2072">
        <f>IF(B2072,MAX(MOD(SIN(Seed*0.1373+C2072*12.9898+D2072*78.233)*43758.5453,1),1E-9),"")</f>
        <v/>
      </c>
      <c r="G2072">
        <f>IF(B2072,MOD(SIN(Seed*0.5917+C2072*39.3468+D2072*11.135)*24634.6345,1),"")</f>
        <v/>
      </c>
      <c r="H2072">
        <f>IF(B2072,SQRT(-2*LN(F2072))*COS(2*PI()*G2072),"")</f>
        <v/>
      </c>
      <c r="I2072">
        <f>IF(B2072,IF(D2072=0,H2072,Rho*I2071+SQRT(1-Rho^2)*H2072),"")</f>
        <v/>
      </c>
      <c r="J2072">
        <f>IF(B2072,IF(Dist="Normal",DistA+DistB*I2072,DistA+(DistB-DistA)*NORMSDIST(I2072)),"")</f>
        <v/>
      </c>
      <c r="K2072">
        <f>IF(B2072,INDEX(MineScale,C2072),"")</f>
        <v/>
      </c>
      <c r="L2072">
        <f>IF(B2072,INDEX(Dow,1,WEEKDAY(E2072,2)),"")</f>
        <v/>
      </c>
      <c r="M2072">
        <f>IF(B2072,(1+Trend)^D2072,"")</f>
        <v/>
      </c>
      <c r="N2072">
        <f>IF(B2072,EXP(SUMPRODUCT(LN(1+(EvEff-1)*INDEX(Affected,0,C2072)*EXP(-((E2072-EvCenter)^2)/(2*EvSigma^2))))),"")</f>
        <v/>
      </c>
      <c r="O2072">
        <f>IF(B2072,ROUND(MAX(0,J2072*K2072*L2072*M2072*N2072),2),"")</f>
        <v/>
      </c>
    </row>
    <row r="2073">
      <c r="A2073" t="n">
        <v>2072</v>
      </c>
      <c r="B2073">
        <f>A2073&lt;=MineCount*Days</f>
        <v/>
      </c>
      <c r="C2073">
        <f>IF(B2073,INT((A2073-1)/Days)+1,"")</f>
        <v/>
      </c>
      <c r="D2073">
        <f>IF(B2073,MOD(A2073-1,Days),"")</f>
        <v/>
      </c>
      <c r="E2073" s="16">
        <f>IF(B2073,StartDate+D2073,"")</f>
        <v/>
      </c>
      <c r="F2073">
        <f>IF(B2073,MAX(MOD(SIN(Seed*0.1373+C2073*12.9898+D2073*78.233)*43758.5453,1),1E-9),"")</f>
        <v/>
      </c>
      <c r="G2073">
        <f>IF(B2073,MOD(SIN(Seed*0.5917+C2073*39.3468+D2073*11.135)*24634.6345,1),"")</f>
        <v/>
      </c>
      <c r="H2073">
        <f>IF(B2073,SQRT(-2*LN(F2073))*COS(2*PI()*G2073),"")</f>
        <v/>
      </c>
      <c r="I2073">
        <f>IF(B2073,IF(D2073=0,H2073,Rho*I2072+SQRT(1-Rho^2)*H2073),"")</f>
        <v/>
      </c>
      <c r="J2073">
        <f>IF(B2073,IF(Dist="Normal",DistA+DistB*I2073,DistA+(DistB-DistA)*NORMSDIST(I2073)),"")</f>
        <v/>
      </c>
      <c r="K2073">
        <f>IF(B2073,INDEX(MineScale,C2073),"")</f>
        <v/>
      </c>
      <c r="L2073">
        <f>IF(B2073,INDEX(Dow,1,WEEKDAY(E2073,2)),"")</f>
        <v/>
      </c>
      <c r="M2073">
        <f>IF(B2073,(1+Trend)^D2073,"")</f>
        <v/>
      </c>
      <c r="N2073">
        <f>IF(B2073,EXP(SUMPRODUCT(LN(1+(EvEff-1)*INDEX(Affected,0,C2073)*EXP(-((E2073-EvCenter)^2)/(2*EvSigma^2))))),"")</f>
        <v/>
      </c>
      <c r="O2073">
        <f>IF(B2073,ROUND(MAX(0,J2073*K2073*L2073*M2073*N2073),2),"")</f>
        <v/>
      </c>
    </row>
    <row r="2074">
      <c r="A2074" t="n">
        <v>2073</v>
      </c>
      <c r="B2074">
        <f>A2074&lt;=MineCount*Days</f>
        <v/>
      </c>
      <c r="C2074">
        <f>IF(B2074,INT((A2074-1)/Days)+1,"")</f>
        <v/>
      </c>
      <c r="D2074">
        <f>IF(B2074,MOD(A2074-1,Days),"")</f>
        <v/>
      </c>
      <c r="E2074" s="16">
        <f>IF(B2074,StartDate+D2074,"")</f>
        <v/>
      </c>
      <c r="F2074">
        <f>IF(B2074,MAX(MOD(SIN(Seed*0.1373+C2074*12.9898+D2074*78.233)*43758.5453,1),1E-9),"")</f>
        <v/>
      </c>
      <c r="G2074">
        <f>IF(B2074,MOD(SIN(Seed*0.5917+C2074*39.3468+D2074*11.135)*24634.6345,1),"")</f>
        <v/>
      </c>
      <c r="H2074">
        <f>IF(B2074,SQRT(-2*LN(F2074))*COS(2*PI()*G2074),"")</f>
        <v/>
      </c>
      <c r="I2074">
        <f>IF(B2074,IF(D2074=0,H2074,Rho*I2073+SQRT(1-Rho^2)*H2074),"")</f>
        <v/>
      </c>
      <c r="J2074">
        <f>IF(B2074,IF(Dist="Normal",DistA+DistB*I2074,DistA+(DistB-DistA)*NORMSDIST(I2074)),"")</f>
        <v/>
      </c>
      <c r="K2074">
        <f>IF(B2074,INDEX(MineScale,C2074),"")</f>
        <v/>
      </c>
      <c r="L2074">
        <f>IF(B2074,INDEX(Dow,1,WEEKDAY(E2074,2)),"")</f>
        <v/>
      </c>
      <c r="M2074">
        <f>IF(B2074,(1+Trend)^D2074,"")</f>
        <v/>
      </c>
      <c r="N2074">
        <f>IF(B2074,EXP(SUMPRODUCT(LN(1+(EvEff-1)*INDEX(Affected,0,C2074)*EXP(-((E2074-EvCenter)^2)/(2*EvSigma^2))))),"")</f>
        <v/>
      </c>
      <c r="O2074">
        <f>IF(B2074,ROUND(MAX(0,J2074*K2074*L2074*M2074*N2074),2),"")</f>
        <v/>
      </c>
    </row>
    <row r="2075">
      <c r="A2075" t="n">
        <v>2074</v>
      </c>
      <c r="B2075">
        <f>A2075&lt;=MineCount*Days</f>
        <v/>
      </c>
      <c r="C2075">
        <f>IF(B2075,INT((A2075-1)/Days)+1,"")</f>
        <v/>
      </c>
      <c r="D2075">
        <f>IF(B2075,MOD(A2075-1,Days),"")</f>
        <v/>
      </c>
      <c r="E2075" s="16">
        <f>IF(B2075,StartDate+D2075,"")</f>
        <v/>
      </c>
      <c r="F2075">
        <f>IF(B2075,MAX(MOD(SIN(Seed*0.1373+C2075*12.9898+D2075*78.233)*43758.5453,1),1E-9),"")</f>
        <v/>
      </c>
      <c r="G2075">
        <f>IF(B2075,MOD(SIN(Seed*0.5917+C2075*39.3468+D2075*11.135)*24634.6345,1),"")</f>
        <v/>
      </c>
      <c r="H2075">
        <f>IF(B2075,SQRT(-2*LN(F2075))*COS(2*PI()*G2075),"")</f>
        <v/>
      </c>
      <c r="I2075">
        <f>IF(B2075,IF(D2075=0,H2075,Rho*I2074+SQRT(1-Rho^2)*H2075),"")</f>
        <v/>
      </c>
      <c r="J2075">
        <f>IF(B2075,IF(Dist="Normal",DistA+DistB*I2075,DistA+(DistB-DistA)*NORMSDIST(I2075)),"")</f>
        <v/>
      </c>
      <c r="K2075">
        <f>IF(B2075,INDEX(MineScale,C2075),"")</f>
        <v/>
      </c>
      <c r="L2075">
        <f>IF(B2075,INDEX(Dow,1,WEEKDAY(E2075,2)),"")</f>
        <v/>
      </c>
      <c r="M2075">
        <f>IF(B2075,(1+Trend)^D2075,"")</f>
        <v/>
      </c>
      <c r="N2075">
        <f>IF(B2075,EXP(SUMPRODUCT(LN(1+(EvEff-1)*INDEX(Affected,0,C2075)*EXP(-((E2075-EvCenter)^2)/(2*EvSigma^2))))),"")</f>
        <v/>
      </c>
      <c r="O2075">
        <f>IF(B2075,ROUND(MAX(0,J2075*K2075*L2075*M2075*N2075),2),"")</f>
        <v/>
      </c>
    </row>
    <row r="2076">
      <c r="A2076" t="n">
        <v>2075</v>
      </c>
      <c r="B2076">
        <f>A2076&lt;=MineCount*Days</f>
        <v/>
      </c>
      <c r="C2076">
        <f>IF(B2076,INT((A2076-1)/Days)+1,"")</f>
        <v/>
      </c>
      <c r="D2076">
        <f>IF(B2076,MOD(A2076-1,Days),"")</f>
        <v/>
      </c>
      <c r="E2076" s="16">
        <f>IF(B2076,StartDate+D2076,"")</f>
        <v/>
      </c>
      <c r="F2076">
        <f>IF(B2076,MAX(MOD(SIN(Seed*0.1373+C2076*12.9898+D2076*78.233)*43758.5453,1),1E-9),"")</f>
        <v/>
      </c>
      <c r="G2076">
        <f>IF(B2076,MOD(SIN(Seed*0.5917+C2076*39.3468+D2076*11.135)*24634.6345,1),"")</f>
        <v/>
      </c>
      <c r="H2076">
        <f>IF(B2076,SQRT(-2*LN(F2076))*COS(2*PI()*G2076),"")</f>
        <v/>
      </c>
      <c r="I2076">
        <f>IF(B2076,IF(D2076=0,H2076,Rho*I2075+SQRT(1-Rho^2)*H2076),"")</f>
        <v/>
      </c>
      <c r="J2076">
        <f>IF(B2076,IF(Dist="Normal",DistA+DistB*I2076,DistA+(DistB-DistA)*NORMSDIST(I2076)),"")</f>
        <v/>
      </c>
      <c r="K2076">
        <f>IF(B2076,INDEX(MineScale,C2076),"")</f>
        <v/>
      </c>
      <c r="L2076">
        <f>IF(B2076,INDEX(Dow,1,WEEKDAY(E2076,2)),"")</f>
        <v/>
      </c>
      <c r="M2076">
        <f>IF(B2076,(1+Trend)^D2076,"")</f>
        <v/>
      </c>
      <c r="N2076">
        <f>IF(B2076,EXP(SUMPRODUCT(LN(1+(EvEff-1)*INDEX(Affected,0,C2076)*EXP(-((E2076-EvCenter)^2)/(2*EvSigma^2))))),"")</f>
        <v/>
      </c>
      <c r="O2076">
        <f>IF(B2076,ROUND(MAX(0,J2076*K2076*L2076*M2076*N2076),2),"")</f>
        <v/>
      </c>
    </row>
    <row r="2077">
      <c r="A2077" t="n">
        <v>2076</v>
      </c>
      <c r="B2077">
        <f>A2077&lt;=MineCount*Days</f>
        <v/>
      </c>
      <c r="C2077">
        <f>IF(B2077,INT((A2077-1)/Days)+1,"")</f>
        <v/>
      </c>
      <c r="D2077">
        <f>IF(B2077,MOD(A2077-1,Days),"")</f>
        <v/>
      </c>
      <c r="E2077" s="16">
        <f>IF(B2077,StartDate+D2077,"")</f>
        <v/>
      </c>
      <c r="F2077">
        <f>IF(B2077,MAX(MOD(SIN(Seed*0.1373+C2077*12.9898+D2077*78.233)*43758.5453,1),1E-9),"")</f>
        <v/>
      </c>
      <c r="G2077">
        <f>IF(B2077,MOD(SIN(Seed*0.5917+C2077*39.3468+D2077*11.135)*24634.6345,1),"")</f>
        <v/>
      </c>
      <c r="H2077">
        <f>IF(B2077,SQRT(-2*LN(F2077))*COS(2*PI()*G2077),"")</f>
        <v/>
      </c>
      <c r="I2077">
        <f>IF(B2077,IF(D2077=0,H2077,Rho*I2076+SQRT(1-Rho^2)*H2077),"")</f>
        <v/>
      </c>
      <c r="J2077">
        <f>IF(B2077,IF(Dist="Normal",DistA+DistB*I2077,DistA+(DistB-DistA)*NORMSDIST(I2077)),"")</f>
        <v/>
      </c>
      <c r="K2077">
        <f>IF(B2077,INDEX(MineScale,C2077),"")</f>
        <v/>
      </c>
      <c r="L2077">
        <f>IF(B2077,INDEX(Dow,1,WEEKDAY(E2077,2)),"")</f>
        <v/>
      </c>
      <c r="M2077">
        <f>IF(B2077,(1+Trend)^D2077,"")</f>
        <v/>
      </c>
      <c r="N2077">
        <f>IF(B2077,EXP(SUMPRODUCT(LN(1+(EvEff-1)*INDEX(Affected,0,C2077)*EXP(-((E2077-EvCenter)^2)/(2*EvSigma^2))))),"")</f>
        <v/>
      </c>
      <c r="O2077">
        <f>IF(B2077,ROUND(MAX(0,J2077*K2077*L2077*M2077*N2077),2),"")</f>
        <v/>
      </c>
    </row>
    <row r="2078">
      <c r="A2078" t="n">
        <v>2077</v>
      </c>
      <c r="B2078">
        <f>A2078&lt;=MineCount*Days</f>
        <v/>
      </c>
      <c r="C2078">
        <f>IF(B2078,INT((A2078-1)/Days)+1,"")</f>
        <v/>
      </c>
      <c r="D2078">
        <f>IF(B2078,MOD(A2078-1,Days),"")</f>
        <v/>
      </c>
      <c r="E2078" s="16">
        <f>IF(B2078,StartDate+D2078,"")</f>
        <v/>
      </c>
      <c r="F2078">
        <f>IF(B2078,MAX(MOD(SIN(Seed*0.1373+C2078*12.9898+D2078*78.233)*43758.5453,1),1E-9),"")</f>
        <v/>
      </c>
      <c r="G2078">
        <f>IF(B2078,MOD(SIN(Seed*0.5917+C2078*39.3468+D2078*11.135)*24634.6345,1),"")</f>
        <v/>
      </c>
      <c r="H2078">
        <f>IF(B2078,SQRT(-2*LN(F2078))*COS(2*PI()*G2078),"")</f>
        <v/>
      </c>
      <c r="I2078">
        <f>IF(B2078,IF(D2078=0,H2078,Rho*I2077+SQRT(1-Rho^2)*H2078),"")</f>
        <v/>
      </c>
      <c r="J2078">
        <f>IF(B2078,IF(Dist="Normal",DistA+DistB*I2078,DistA+(DistB-DistA)*NORMSDIST(I2078)),"")</f>
        <v/>
      </c>
      <c r="K2078">
        <f>IF(B2078,INDEX(MineScale,C2078),"")</f>
        <v/>
      </c>
      <c r="L2078">
        <f>IF(B2078,INDEX(Dow,1,WEEKDAY(E2078,2)),"")</f>
        <v/>
      </c>
      <c r="M2078">
        <f>IF(B2078,(1+Trend)^D2078,"")</f>
        <v/>
      </c>
      <c r="N2078">
        <f>IF(B2078,EXP(SUMPRODUCT(LN(1+(EvEff-1)*INDEX(Affected,0,C2078)*EXP(-((E2078-EvCenter)^2)/(2*EvSigma^2))))),"")</f>
        <v/>
      </c>
      <c r="O2078">
        <f>IF(B2078,ROUND(MAX(0,J2078*K2078*L2078*M2078*N2078),2),"")</f>
        <v/>
      </c>
    </row>
    <row r="2079">
      <c r="A2079" t="n">
        <v>2078</v>
      </c>
      <c r="B2079">
        <f>A2079&lt;=MineCount*Days</f>
        <v/>
      </c>
      <c r="C2079">
        <f>IF(B2079,INT((A2079-1)/Days)+1,"")</f>
        <v/>
      </c>
      <c r="D2079">
        <f>IF(B2079,MOD(A2079-1,Days),"")</f>
        <v/>
      </c>
      <c r="E2079" s="16">
        <f>IF(B2079,StartDate+D2079,"")</f>
        <v/>
      </c>
      <c r="F2079">
        <f>IF(B2079,MAX(MOD(SIN(Seed*0.1373+C2079*12.9898+D2079*78.233)*43758.5453,1),1E-9),"")</f>
        <v/>
      </c>
      <c r="G2079">
        <f>IF(B2079,MOD(SIN(Seed*0.5917+C2079*39.3468+D2079*11.135)*24634.6345,1),"")</f>
        <v/>
      </c>
      <c r="H2079">
        <f>IF(B2079,SQRT(-2*LN(F2079))*COS(2*PI()*G2079),"")</f>
        <v/>
      </c>
      <c r="I2079">
        <f>IF(B2079,IF(D2079=0,H2079,Rho*I2078+SQRT(1-Rho^2)*H2079),"")</f>
        <v/>
      </c>
      <c r="J2079">
        <f>IF(B2079,IF(Dist="Normal",DistA+DistB*I2079,DistA+(DistB-DistA)*NORMSDIST(I2079)),"")</f>
        <v/>
      </c>
      <c r="K2079">
        <f>IF(B2079,INDEX(MineScale,C2079),"")</f>
        <v/>
      </c>
      <c r="L2079">
        <f>IF(B2079,INDEX(Dow,1,WEEKDAY(E2079,2)),"")</f>
        <v/>
      </c>
      <c r="M2079">
        <f>IF(B2079,(1+Trend)^D2079,"")</f>
        <v/>
      </c>
      <c r="N2079">
        <f>IF(B2079,EXP(SUMPRODUCT(LN(1+(EvEff-1)*INDEX(Affected,0,C2079)*EXP(-((E2079-EvCenter)^2)/(2*EvSigma^2))))),"")</f>
        <v/>
      </c>
      <c r="O2079">
        <f>IF(B2079,ROUND(MAX(0,J2079*K2079*L2079*M2079*N2079),2),"")</f>
        <v/>
      </c>
    </row>
    <row r="2080">
      <c r="A2080" t="n">
        <v>2079</v>
      </c>
      <c r="B2080">
        <f>A2080&lt;=MineCount*Days</f>
        <v/>
      </c>
      <c r="C2080">
        <f>IF(B2080,INT((A2080-1)/Days)+1,"")</f>
        <v/>
      </c>
      <c r="D2080">
        <f>IF(B2080,MOD(A2080-1,Days),"")</f>
        <v/>
      </c>
      <c r="E2080" s="16">
        <f>IF(B2080,StartDate+D2080,"")</f>
        <v/>
      </c>
      <c r="F2080">
        <f>IF(B2080,MAX(MOD(SIN(Seed*0.1373+C2080*12.9898+D2080*78.233)*43758.5453,1),1E-9),"")</f>
        <v/>
      </c>
      <c r="G2080">
        <f>IF(B2080,MOD(SIN(Seed*0.5917+C2080*39.3468+D2080*11.135)*24634.6345,1),"")</f>
        <v/>
      </c>
      <c r="H2080">
        <f>IF(B2080,SQRT(-2*LN(F2080))*COS(2*PI()*G2080),"")</f>
        <v/>
      </c>
      <c r="I2080">
        <f>IF(B2080,IF(D2080=0,H2080,Rho*I2079+SQRT(1-Rho^2)*H2080),"")</f>
        <v/>
      </c>
      <c r="J2080">
        <f>IF(B2080,IF(Dist="Normal",DistA+DistB*I2080,DistA+(DistB-DistA)*NORMSDIST(I2080)),"")</f>
        <v/>
      </c>
      <c r="K2080">
        <f>IF(B2080,INDEX(MineScale,C2080),"")</f>
        <v/>
      </c>
      <c r="L2080">
        <f>IF(B2080,INDEX(Dow,1,WEEKDAY(E2080,2)),"")</f>
        <v/>
      </c>
      <c r="M2080">
        <f>IF(B2080,(1+Trend)^D2080,"")</f>
        <v/>
      </c>
      <c r="N2080">
        <f>IF(B2080,EXP(SUMPRODUCT(LN(1+(EvEff-1)*INDEX(Affected,0,C2080)*EXP(-((E2080-EvCenter)^2)/(2*EvSigma^2))))),"")</f>
        <v/>
      </c>
      <c r="O2080">
        <f>IF(B2080,ROUND(MAX(0,J2080*K2080*L2080*M2080*N2080),2),"")</f>
        <v/>
      </c>
    </row>
    <row r="2081">
      <c r="A2081" t="n">
        <v>2080</v>
      </c>
      <c r="B2081">
        <f>A2081&lt;=MineCount*Days</f>
        <v/>
      </c>
      <c r="C2081">
        <f>IF(B2081,INT((A2081-1)/Days)+1,"")</f>
        <v/>
      </c>
      <c r="D2081">
        <f>IF(B2081,MOD(A2081-1,Days),"")</f>
        <v/>
      </c>
      <c r="E2081" s="16">
        <f>IF(B2081,StartDate+D2081,"")</f>
        <v/>
      </c>
      <c r="F2081">
        <f>IF(B2081,MAX(MOD(SIN(Seed*0.1373+C2081*12.9898+D2081*78.233)*43758.5453,1),1E-9),"")</f>
        <v/>
      </c>
      <c r="G2081">
        <f>IF(B2081,MOD(SIN(Seed*0.5917+C2081*39.3468+D2081*11.135)*24634.6345,1),"")</f>
        <v/>
      </c>
      <c r="H2081">
        <f>IF(B2081,SQRT(-2*LN(F2081))*COS(2*PI()*G2081),"")</f>
        <v/>
      </c>
      <c r="I2081">
        <f>IF(B2081,IF(D2081=0,H2081,Rho*I2080+SQRT(1-Rho^2)*H2081),"")</f>
        <v/>
      </c>
      <c r="J2081">
        <f>IF(B2081,IF(Dist="Normal",DistA+DistB*I2081,DistA+(DistB-DistA)*NORMSDIST(I2081)),"")</f>
        <v/>
      </c>
      <c r="K2081">
        <f>IF(B2081,INDEX(MineScale,C2081),"")</f>
        <v/>
      </c>
      <c r="L2081">
        <f>IF(B2081,INDEX(Dow,1,WEEKDAY(E2081,2)),"")</f>
        <v/>
      </c>
      <c r="M2081">
        <f>IF(B2081,(1+Trend)^D2081,"")</f>
        <v/>
      </c>
      <c r="N2081">
        <f>IF(B2081,EXP(SUMPRODUCT(LN(1+(EvEff-1)*INDEX(Affected,0,C2081)*EXP(-((E2081-EvCenter)^2)/(2*EvSigma^2))))),"")</f>
        <v/>
      </c>
      <c r="O2081">
        <f>IF(B2081,ROUND(MAX(0,J2081*K2081*L2081*M2081*N2081),2),"")</f>
        <v/>
      </c>
    </row>
    <row r="2082">
      <c r="A2082" t="n">
        <v>2081</v>
      </c>
      <c r="B2082">
        <f>A2082&lt;=MineCount*Days</f>
        <v/>
      </c>
      <c r="C2082">
        <f>IF(B2082,INT((A2082-1)/Days)+1,"")</f>
        <v/>
      </c>
      <c r="D2082">
        <f>IF(B2082,MOD(A2082-1,Days),"")</f>
        <v/>
      </c>
      <c r="E2082" s="16">
        <f>IF(B2082,StartDate+D2082,"")</f>
        <v/>
      </c>
      <c r="F2082">
        <f>IF(B2082,MAX(MOD(SIN(Seed*0.1373+C2082*12.9898+D2082*78.233)*43758.5453,1),1E-9),"")</f>
        <v/>
      </c>
      <c r="G2082">
        <f>IF(B2082,MOD(SIN(Seed*0.5917+C2082*39.3468+D2082*11.135)*24634.6345,1),"")</f>
        <v/>
      </c>
      <c r="H2082">
        <f>IF(B2082,SQRT(-2*LN(F2082))*COS(2*PI()*G2082),"")</f>
        <v/>
      </c>
      <c r="I2082">
        <f>IF(B2082,IF(D2082=0,H2082,Rho*I2081+SQRT(1-Rho^2)*H2082),"")</f>
        <v/>
      </c>
      <c r="J2082">
        <f>IF(B2082,IF(Dist="Normal",DistA+DistB*I2082,DistA+(DistB-DistA)*NORMSDIST(I2082)),"")</f>
        <v/>
      </c>
      <c r="K2082">
        <f>IF(B2082,INDEX(MineScale,C2082),"")</f>
        <v/>
      </c>
      <c r="L2082">
        <f>IF(B2082,INDEX(Dow,1,WEEKDAY(E2082,2)),"")</f>
        <v/>
      </c>
      <c r="M2082">
        <f>IF(B2082,(1+Trend)^D2082,"")</f>
        <v/>
      </c>
      <c r="N2082">
        <f>IF(B2082,EXP(SUMPRODUCT(LN(1+(EvEff-1)*INDEX(Affected,0,C2082)*EXP(-((E2082-EvCenter)^2)/(2*EvSigma^2))))),"")</f>
        <v/>
      </c>
      <c r="O2082">
        <f>IF(B2082,ROUND(MAX(0,J2082*K2082*L2082*M2082*N2082),2),"")</f>
        <v/>
      </c>
    </row>
    <row r="2083">
      <c r="A2083" t="n">
        <v>2082</v>
      </c>
      <c r="B2083">
        <f>A2083&lt;=MineCount*Days</f>
        <v/>
      </c>
      <c r="C2083">
        <f>IF(B2083,INT((A2083-1)/Days)+1,"")</f>
        <v/>
      </c>
      <c r="D2083">
        <f>IF(B2083,MOD(A2083-1,Days),"")</f>
        <v/>
      </c>
      <c r="E2083" s="16">
        <f>IF(B2083,StartDate+D2083,"")</f>
        <v/>
      </c>
      <c r="F2083">
        <f>IF(B2083,MAX(MOD(SIN(Seed*0.1373+C2083*12.9898+D2083*78.233)*43758.5453,1),1E-9),"")</f>
        <v/>
      </c>
      <c r="G2083">
        <f>IF(B2083,MOD(SIN(Seed*0.5917+C2083*39.3468+D2083*11.135)*24634.6345,1),"")</f>
        <v/>
      </c>
      <c r="H2083">
        <f>IF(B2083,SQRT(-2*LN(F2083))*COS(2*PI()*G2083),"")</f>
        <v/>
      </c>
      <c r="I2083">
        <f>IF(B2083,IF(D2083=0,H2083,Rho*I2082+SQRT(1-Rho^2)*H2083),"")</f>
        <v/>
      </c>
      <c r="J2083">
        <f>IF(B2083,IF(Dist="Normal",DistA+DistB*I2083,DistA+(DistB-DistA)*NORMSDIST(I2083)),"")</f>
        <v/>
      </c>
      <c r="K2083">
        <f>IF(B2083,INDEX(MineScale,C2083),"")</f>
        <v/>
      </c>
      <c r="L2083">
        <f>IF(B2083,INDEX(Dow,1,WEEKDAY(E2083,2)),"")</f>
        <v/>
      </c>
      <c r="M2083">
        <f>IF(B2083,(1+Trend)^D2083,"")</f>
        <v/>
      </c>
      <c r="N2083">
        <f>IF(B2083,EXP(SUMPRODUCT(LN(1+(EvEff-1)*INDEX(Affected,0,C2083)*EXP(-((E2083-EvCenter)^2)/(2*EvSigma^2))))),"")</f>
        <v/>
      </c>
      <c r="O2083">
        <f>IF(B2083,ROUND(MAX(0,J2083*K2083*L2083*M2083*N2083),2),"")</f>
        <v/>
      </c>
    </row>
    <row r="2084">
      <c r="A2084" t="n">
        <v>2083</v>
      </c>
      <c r="B2084">
        <f>A2084&lt;=MineCount*Days</f>
        <v/>
      </c>
      <c r="C2084">
        <f>IF(B2084,INT((A2084-1)/Days)+1,"")</f>
        <v/>
      </c>
      <c r="D2084">
        <f>IF(B2084,MOD(A2084-1,Days),"")</f>
        <v/>
      </c>
      <c r="E2084" s="16">
        <f>IF(B2084,StartDate+D2084,"")</f>
        <v/>
      </c>
      <c r="F2084">
        <f>IF(B2084,MAX(MOD(SIN(Seed*0.1373+C2084*12.9898+D2084*78.233)*43758.5453,1),1E-9),"")</f>
        <v/>
      </c>
      <c r="G2084">
        <f>IF(B2084,MOD(SIN(Seed*0.5917+C2084*39.3468+D2084*11.135)*24634.6345,1),"")</f>
        <v/>
      </c>
      <c r="H2084">
        <f>IF(B2084,SQRT(-2*LN(F2084))*COS(2*PI()*G2084),"")</f>
        <v/>
      </c>
      <c r="I2084">
        <f>IF(B2084,IF(D2084=0,H2084,Rho*I2083+SQRT(1-Rho^2)*H2084),"")</f>
        <v/>
      </c>
      <c r="J2084">
        <f>IF(B2084,IF(Dist="Normal",DistA+DistB*I2084,DistA+(DistB-DistA)*NORMSDIST(I2084)),"")</f>
        <v/>
      </c>
      <c r="K2084">
        <f>IF(B2084,INDEX(MineScale,C2084),"")</f>
        <v/>
      </c>
      <c r="L2084">
        <f>IF(B2084,INDEX(Dow,1,WEEKDAY(E2084,2)),"")</f>
        <v/>
      </c>
      <c r="M2084">
        <f>IF(B2084,(1+Trend)^D2084,"")</f>
        <v/>
      </c>
      <c r="N2084">
        <f>IF(B2084,EXP(SUMPRODUCT(LN(1+(EvEff-1)*INDEX(Affected,0,C2084)*EXP(-((E2084-EvCenter)^2)/(2*EvSigma^2))))),"")</f>
        <v/>
      </c>
      <c r="O2084">
        <f>IF(B2084,ROUND(MAX(0,J2084*K2084*L2084*M2084*N2084),2),"")</f>
        <v/>
      </c>
    </row>
    <row r="2085">
      <c r="A2085" t="n">
        <v>2084</v>
      </c>
      <c r="B2085">
        <f>A2085&lt;=MineCount*Days</f>
        <v/>
      </c>
      <c r="C2085">
        <f>IF(B2085,INT((A2085-1)/Days)+1,"")</f>
        <v/>
      </c>
      <c r="D2085">
        <f>IF(B2085,MOD(A2085-1,Days),"")</f>
        <v/>
      </c>
      <c r="E2085" s="16">
        <f>IF(B2085,StartDate+D2085,"")</f>
        <v/>
      </c>
      <c r="F2085">
        <f>IF(B2085,MAX(MOD(SIN(Seed*0.1373+C2085*12.9898+D2085*78.233)*43758.5453,1),1E-9),"")</f>
        <v/>
      </c>
      <c r="G2085">
        <f>IF(B2085,MOD(SIN(Seed*0.5917+C2085*39.3468+D2085*11.135)*24634.6345,1),"")</f>
        <v/>
      </c>
      <c r="H2085">
        <f>IF(B2085,SQRT(-2*LN(F2085))*COS(2*PI()*G2085),"")</f>
        <v/>
      </c>
      <c r="I2085">
        <f>IF(B2085,IF(D2085=0,H2085,Rho*I2084+SQRT(1-Rho^2)*H2085),"")</f>
        <v/>
      </c>
      <c r="J2085">
        <f>IF(B2085,IF(Dist="Normal",DistA+DistB*I2085,DistA+(DistB-DistA)*NORMSDIST(I2085)),"")</f>
        <v/>
      </c>
      <c r="K2085">
        <f>IF(B2085,INDEX(MineScale,C2085),"")</f>
        <v/>
      </c>
      <c r="L2085">
        <f>IF(B2085,INDEX(Dow,1,WEEKDAY(E2085,2)),"")</f>
        <v/>
      </c>
      <c r="M2085">
        <f>IF(B2085,(1+Trend)^D2085,"")</f>
        <v/>
      </c>
      <c r="N2085">
        <f>IF(B2085,EXP(SUMPRODUCT(LN(1+(EvEff-1)*INDEX(Affected,0,C2085)*EXP(-((E2085-EvCenter)^2)/(2*EvSigma^2))))),"")</f>
        <v/>
      </c>
      <c r="O2085">
        <f>IF(B2085,ROUND(MAX(0,J2085*K2085*L2085*M2085*N2085),2),"")</f>
        <v/>
      </c>
    </row>
    <row r="2086">
      <c r="A2086" t="n">
        <v>2085</v>
      </c>
      <c r="B2086">
        <f>A2086&lt;=MineCount*Days</f>
        <v/>
      </c>
      <c r="C2086">
        <f>IF(B2086,INT((A2086-1)/Days)+1,"")</f>
        <v/>
      </c>
      <c r="D2086">
        <f>IF(B2086,MOD(A2086-1,Days),"")</f>
        <v/>
      </c>
      <c r="E2086" s="16">
        <f>IF(B2086,StartDate+D2086,"")</f>
        <v/>
      </c>
      <c r="F2086">
        <f>IF(B2086,MAX(MOD(SIN(Seed*0.1373+C2086*12.9898+D2086*78.233)*43758.5453,1),1E-9),"")</f>
        <v/>
      </c>
      <c r="G2086">
        <f>IF(B2086,MOD(SIN(Seed*0.5917+C2086*39.3468+D2086*11.135)*24634.6345,1),"")</f>
        <v/>
      </c>
      <c r="H2086">
        <f>IF(B2086,SQRT(-2*LN(F2086))*COS(2*PI()*G2086),"")</f>
        <v/>
      </c>
      <c r="I2086">
        <f>IF(B2086,IF(D2086=0,H2086,Rho*I2085+SQRT(1-Rho^2)*H2086),"")</f>
        <v/>
      </c>
      <c r="J2086">
        <f>IF(B2086,IF(Dist="Normal",DistA+DistB*I2086,DistA+(DistB-DistA)*NORMSDIST(I2086)),"")</f>
        <v/>
      </c>
      <c r="K2086">
        <f>IF(B2086,INDEX(MineScale,C2086),"")</f>
        <v/>
      </c>
      <c r="L2086">
        <f>IF(B2086,INDEX(Dow,1,WEEKDAY(E2086,2)),"")</f>
        <v/>
      </c>
      <c r="M2086">
        <f>IF(B2086,(1+Trend)^D2086,"")</f>
        <v/>
      </c>
      <c r="N2086">
        <f>IF(B2086,EXP(SUMPRODUCT(LN(1+(EvEff-1)*INDEX(Affected,0,C2086)*EXP(-((E2086-EvCenter)^2)/(2*EvSigma^2))))),"")</f>
        <v/>
      </c>
      <c r="O2086">
        <f>IF(B2086,ROUND(MAX(0,J2086*K2086*L2086*M2086*N2086),2),"")</f>
        <v/>
      </c>
    </row>
    <row r="2087">
      <c r="A2087" t="n">
        <v>2086</v>
      </c>
      <c r="B2087">
        <f>A2087&lt;=MineCount*Days</f>
        <v/>
      </c>
      <c r="C2087">
        <f>IF(B2087,INT((A2087-1)/Days)+1,"")</f>
        <v/>
      </c>
      <c r="D2087">
        <f>IF(B2087,MOD(A2087-1,Days),"")</f>
        <v/>
      </c>
      <c r="E2087" s="16">
        <f>IF(B2087,StartDate+D2087,"")</f>
        <v/>
      </c>
      <c r="F2087">
        <f>IF(B2087,MAX(MOD(SIN(Seed*0.1373+C2087*12.9898+D2087*78.233)*43758.5453,1),1E-9),"")</f>
        <v/>
      </c>
      <c r="G2087">
        <f>IF(B2087,MOD(SIN(Seed*0.5917+C2087*39.3468+D2087*11.135)*24634.6345,1),"")</f>
        <v/>
      </c>
      <c r="H2087">
        <f>IF(B2087,SQRT(-2*LN(F2087))*COS(2*PI()*G2087),"")</f>
        <v/>
      </c>
      <c r="I2087">
        <f>IF(B2087,IF(D2087=0,H2087,Rho*I2086+SQRT(1-Rho^2)*H2087),"")</f>
        <v/>
      </c>
      <c r="J2087">
        <f>IF(B2087,IF(Dist="Normal",DistA+DistB*I2087,DistA+(DistB-DistA)*NORMSDIST(I2087)),"")</f>
        <v/>
      </c>
      <c r="K2087">
        <f>IF(B2087,INDEX(MineScale,C2087),"")</f>
        <v/>
      </c>
      <c r="L2087">
        <f>IF(B2087,INDEX(Dow,1,WEEKDAY(E2087,2)),"")</f>
        <v/>
      </c>
      <c r="M2087">
        <f>IF(B2087,(1+Trend)^D2087,"")</f>
        <v/>
      </c>
      <c r="N2087">
        <f>IF(B2087,EXP(SUMPRODUCT(LN(1+(EvEff-1)*INDEX(Affected,0,C2087)*EXP(-((E2087-EvCenter)^2)/(2*EvSigma^2))))),"")</f>
        <v/>
      </c>
      <c r="O2087">
        <f>IF(B2087,ROUND(MAX(0,J2087*K2087*L2087*M2087*N2087),2),"")</f>
        <v/>
      </c>
    </row>
    <row r="2088">
      <c r="A2088" t="n">
        <v>2087</v>
      </c>
      <c r="B2088">
        <f>A2088&lt;=MineCount*Days</f>
        <v/>
      </c>
      <c r="C2088">
        <f>IF(B2088,INT((A2088-1)/Days)+1,"")</f>
        <v/>
      </c>
      <c r="D2088">
        <f>IF(B2088,MOD(A2088-1,Days),"")</f>
        <v/>
      </c>
      <c r="E2088" s="16">
        <f>IF(B2088,StartDate+D2088,"")</f>
        <v/>
      </c>
      <c r="F2088">
        <f>IF(B2088,MAX(MOD(SIN(Seed*0.1373+C2088*12.9898+D2088*78.233)*43758.5453,1),1E-9),"")</f>
        <v/>
      </c>
      <c r="G2088">
        <f>IF(B2088,MOD(SIN(Seed*0.5917+C2088*39.3468+D2088*11.135)*24634.6345,1),"")</f>
        <v/>
      </c>
      <c r="H2088">
        <f>IF(B2088,SQRT(-2*LN(F2088))*COS(2*PI()*G2088),"")</f>
        <v/>
      </c>
      <c r="I2088">
        <f>IF(B2088,IF(D2088=0,H2088,Rho*I2087+SQRT(1-Rho^2)*H2088),"")</f>
        <v/>
      </c>
      <c r="J2088">
        <f>IF(B2088,IF(Dist="Normal",DistA+DistB*I2088,DistA+(DistB-DistA)*NORMSDIST(I2088)),"")</f>
        <v/>
      </c>
      <c r="K2088">
        <f>IF(B2088,INDEX(MineScale,C2088),"")</f>
        <v/>
      </c>
      <c r="L2088">
        <f>IF(B2088,INDEX(Dow,1,WEEKDAY(E2088,2)),"")</f>
        <v/>
      </c>
      <c r="M2088">
        <f>IF(B2088,(1+Trend)^D2088,"")</f>
        <v/>
      </c>
      <c r="N2088">
        <f>IF(B2088,EXP(SUMPRODUCT(LN(1+(EvEff-1)*INDEX(Affected,0,C2088)*EXP(-((E2088-EvCenter)^2)/(2*EvSigma^2))))),"")</f>
        <v/>
      </c>
      <c r="O2088">
        <f>IF(B2088,ROUND(MAX(0,J2088*K2088*L2088*M2088*N2088),2),"")</f>
        <v/>
      </c>
    </row>
    <row r="2089">
      <c r="A2089" t="n">
        <v>2088</v>
      </c>
      <c r="B2089">
        <f>A2089&lt;=MineCount*Days</f>
        <v/>
      </c>
      <c r="C2089">
        <f>IF(B2089,INT((A2089-1)/Days)+1,"")</f>
        <v/>
      </c>
      <c r="D2089">
        <f>IF(B2089,MOD(A2089-1,Days),"")</f>
        <v/>
      </c>
      <c r="E2089" s="16">
        <f>IF(B2089,StartDate+D2089,"")</f>
        <v/>
      </c>
      <c r="F2089">
        <f>IF(B2089,MAX(MOD(SIN(Seed*0.1373+C2089*12.9898+D2089*78.233)*43758.5453,1),1E-9),"")</f>
        <v/>
      </c>
      <c r="G2089">
        <f>IF(B2089,MOD(SIN(Seed*0.5917+C2089*39.3468+D2089*11.135)*24634.6345,1),"")</f>
        <v/>
      </c>
      <c r="H2089">
        <f>IF(B2089,SQRT(-2*LN(F2089))*COS(2*PI()*G2089),"")</f>
        <v/>
      </c>
      <c r="I2089">
        <f>IF(B2089,IF(D2089=0,H2089,Rho*I2088+SQRT(1-Rho^2)*H2089),"")</f>
        <v/>
      </c>
      <c r="J2089">
        <f>IF(B2089,IF(Dist="Normal",DistA+DistB*I2089,DistA+(DistB-DistA)*NORMSDIST(I2089)),"")</f>
        <v/>
      </c>
      <c r="K2089">
        <f>IF(B2089,INDEX(MineScale,C2089),"")</f>
        <v/>
      </c>
      <c r="L2089">
        <f>IF(B2089,INDEX(Dow,1,WEEKDAY(E2089,2)),"")</f>
        <v/>
      </c>
      <c r="M2089">
        <f>IF(B2089,(1+Trend)^D2089,"")</f>
        <v/>
      </c>
      <c r="N2089">
        <f>IF(B2089,EXP(SUMPRODUCT(LN(1+(EvEff-1)*INDEX(Affected,0,C2089)*EXP(-((E2089-EvCenter)^2)/(2*EvSigma^2))))),"")</f>
        <v/>
      </c>
      <c r="O2089">
        <f>IF(B2089,ROUND(MAX(0,J2089*K2089*L2089*M2089*N2089),2),"")</f>
        <v/>
      </c>
    </row>
    <row r="2090">
      <c r="A2090" t="n">
        <v>2089</v>
      </c>
      <c r="B2090">
        <f>A2090&lt;=MineCount*Days</f>
        <v/>
      </c>
      <c r="C2090">
        <f>IF(B2090,INT((A2090-1)/Days)+1,"")</f>
        <v/>
      </c>
      <c r="D2090">
        <f>IF(B2090,MOD(A2090-1,Days),"")</f>
        <v/>
      </c>
      <c r="E2090" s="16">
        <f>IF(B2090,StartDate+D2090,"")</f>
        <v/>
      </c>
      <c r="F2090">
        <f>IF(B2090,MAX(MOD(SIN(Seed*0.1373+C2090*12.9898+D2090*78.233)*43758.5453,1),1E-9),"")</f>
        <v/>
      </c>
      <c r="G2090">
        <f>IF(B2090,MOD(SIN(Seed*0.5917+C2090*39.3468+D2090*11.135)*24634.6345,1),"")</f>
        <v/>
      </c>
      <c r="H2090">
        <f>IF(B2090,SQRT(-2*LN(F2090))*COS(2*PI()*G2090),"")</f>
        <v/>
      </c>
      <c r="I2090">
        <f>IF(B2090,IF(D2090=0,H2090,Rho*I2089+SQRT(1-Rho^2)*H2090),"")</f>
        <v/>
      </c>
      <c r="J2090">
        <f>IF(B2090,IF(Dist="Normal",DistA+DistB*I2090,DistA+(DistB-DistA)*NORMSDIST(I2090)),"")</f>
        <v/>
      </c>
      <c r="K2090">
        <f>IF(B2090,INDEX(MineScale,C2090),"")</f>
        <v/>
      </c>
      <c r="L2090">
        <f>IF(B2090,INDEX(Dow,1,WEEKDAY(E2090,2)),"")</f>
        <v/>
      </c>
      <c r="M2090">
        <f>IF(B2090,(1+Trend)^D2090,"")</f>
        <v/>
      </c>
      <c r="N2090">
        <f>IF(B2090,EXP(SUMPRODUCT(LN(1+(EvEff-1)*INDEX(Affected,0,C2090)*EXP(-((E2090-EvCenter)^2)/(2*EvSigma^2))))),"")</f>
        <v/>
      </c>
      <c r="O2090">
        <f>IF(B2090,ROUND(MAX(0,J2090*K2090*L2090*M2090*N2090),2),"")</f>
        <v/>
      </c>
    </row>
    <row r="2091">
      <c r="A2091" t="n">
        <v>2090</v>
      </c>
      <c r="B2091">
        <f>A2091&lt;=MineCount*Days</f>
        <v/>
      </c>
      <c r="C2091">
        <f>IF(B2091,INT((A2091-1)/Days)+1,"")</f>
        <v/>
      </c>
      <c r="D2091">
        <f>IF(B2091,MOD(A2091-1,Days),"")</f>
        <v/>
      </c>
      <c r="E2091" s="16">
        <f>IF(B2091,StartDate+D2091,"")</f>
        <v/>
      </c>
      <c r="F2091">
        <f>IF(B2091,MAX(MOD(SIN(Seed*0.1373+C2091*12.9898+D2091*78.233)*43758.5453,1),1E-9),"")</f>
        <v/>
      </c>
      <c r="G2091">
        <f>IF(B2091,MOD(SIN(Seed*0.5917+C2091*39.3468+D2091*11.135)*24634.6345,1),"")</f>
        <v/>
      </c>
      <c r="H2091">
        <f>IF(B2091,SQRT(-2*LN(F2091))*COS(2*PI()*G2091),"")</f>
        <v/>
      </c>
      <c r="I2091">
        <f>IF(B2091,IF(D2091=0,H2091,Rho*I2090+SQRT(1-Rho^2)*H2091),"")</f>
        <v/>
      </c>
      <c r="J2091">
        <f>IF(B2091,IF(Dist="Normal",DistA+DistB*I2091,DistA+(DistB-DistA)*NORMSDIST(I2091)),"")</f>
        <v/>
      </c>
      <c r="K2091">
        <f>IF(B2091,INDEX(MineScale,C2091),"")</f>
        <v/>
      </c>
      <c r="L2091">
        <f>IF(B2091,INDEX(Dow,1,WEEKDAY(E2091,2)),"")</f>
        <v/>
      </c>
      <c r="M2091">
        <f>IF(B2091,(1+Trend)^D2091,"")</f>
        <v/>
      </c>
      <c r="N2091">
        <f>IF(B2091,EXP(SUMPRODUCT(LN(1+(EvEff-1)*INDEX(Affected,0,C2091)*EXP(-((E2091-EvCenter)^2)/(2*EvSigma^2))))),"")</f>
        <v/>
      </c>
      <c r="O2091">
        <f>IF(B2091,ROUND(MAX(0,J2091*K2091*L2091*M2091*N2091),2),"")</f>
        <v/>
      </c>
    </row>
    <row r="2092">
      <c r="A2092" t="n">
        <v>2091</v>
      </c>
      <c r="B2092">
        <f>A2092&lt;=MineCount*Days</f>
        <v/>
      </c>
      <c r="C2092">
        <f>IF(B2092,INT((A2092-1)/Days)+1,"")</f>
        <v/>
      </c>
      <c r="D2092">
        <f>IF(B2092,MOD(A2092-1,Days),"")</f>
        <v/>
      </c>
      <c r="E2092" s="16">
        <f>IF(B2092,StartDate+D2092,"")</f>
        <v/>
      </c>
      <c r="F2092">
        <f>IF(B2092,MAX(MOD(SIN(Seed*0.1373+C2092*12.9898+D2092*78.233)*43758.5453,1),1E-9),"")</f>
        <v/>
      </c>
      <c r="G2092">
        <f>IF(B2092,MOD(SIN(Seed*0.5917+C2092*39.3468+D2092*11.135)*24634.6345,1),"")</f>
        <v/>
      </c>
      <c r="H2092">
        <f>IF(B2092,SQRT(-2*LN(F2092))*COS(2*PI()*G2092),"")</f>
        <v/>
      </c>
      <c r="I2092">
        <f>IF(B2092,IF(D2092=0,H2092,Rho*I2091+SQRT(1-Rho^2)*H2092),"")</f>
        <v/>
      </c>
      <c r="J2092">
        <f>IF(B2092,IF(Dist="Normal",DistA+DistB*I2092,DistA+(DistB-DistA)*NORMSDIST(I2092)),"")</f>
        <v/>
      </c>
      <c r="K2092">
        <f>IF(B2092,INDEX(MineScale,C2092),"")</f>
        <v/>
      </c>
      <c r="L2092">
        <f>IF(B2092,INDEX(Dow,1,WEEKDAY(E2092,2)),"")</f>
        <v/>
      </c>
      <c r="M2092">
        <f>IF(B2092,(1+Trend)^D2092,"")</f>
        <v/>
      </c>
      <c r="N2092">
        <f>IF(B2092,EXP(SUMPRODUCT(LN(1+(EvEff-1)*INDEX(Affected,0,C2092)*EXP(-((E2092-EvCenter)^2)/(2*EvSigma^2))))),"")</f>
        <v/>
      </c>
      <c r="O2092">
        <f>IF(B2092,ROUND(MAX(0,J2092*K2092*L2092*M2092*N2092),2),"")</f>
        <v/>
      </c>
    </row>
    <row r="2093">
      <c r="A2093" t="n">
        <v>2092</v>
      </c>
      <c r="B2093">
        <f>A2093&lt;=MineCount*Days</f>
        <v/>
      </c>
      <c r="C2093">
        <f>IF(B2093,INT((A2093-1)/Days)+1,"")</f>
        <v/>
      </c>
      <c r="D2093">
        <f>IF(B2093,MOD(A2093-1,Days),"")</f>
        <v/>
      </c>
      <c r="E2093" s="16">
        <f>IF(B2093,StartDate+D2093,"")</f>
        <v/>
      </c>
      <c r="F2093">
        <f>IF(B2093,MAX(MOD(SIN(Seed*0.1373+C2093*12.9898+D2093*78.233)*43758.5453,1),1E-9),"")</f>
        <v/>
      </c>
      <c r="G2093">
        <f>IF(B2093,MOD(SIN(Seed*0.5917+C2093*39.3468+D2093*11.135)*24634.6345,1),"")</f>
        <v/>
      </c>
      <c r="H2093">
        <f>IF(B2093,SQRT(-2*LN(F2093))*COS(2*PI()*G2093),"")</f>
        <v/>
      </c>
      <c r="I2093">
        <f>IF(B2093,IF(D2093=0,H2093,Rho*I2092+SQRT(1-Rho^2)*H2093),"")</f>
        <v/>
      </c>
      <c r="J2093">
        <f>IF(B2093,IF(Dist="Normal",DistA+DistB*I2093,DistA+(DistB-DistA)*NORMSDIST(I2093)),"")</f>
        <v/>
      </c>
      <c r="K2093">
        <f>IF(B2093,INDEX(MineScale,C2093),"")</f>
        <v/>
      </c>
      <c r="L2093">
        <f>IF(B2093,INDEX(Dow,1,WEEKDAY(E2093,2)),"")</f>
        <v/>
      </c>
      <c r="M2093">
        <f>IF(B2093,(1+Trend)^D2093,"")</f>
        <v/>
      </c>
      <c r="N2093">
        <f>IF(B2093,EXP(SUMPRODUCT(LN(1+(EvEff-1)*INDEX(Affected,0,C2093)*EXP(-((E2093-EvCenter)^2)/(2*EvSigma^2))))),"")</f>
        <v/>
      </c>
      <c r="O2093">
        <f>IF(B2093,ROUND(MAX(0,J2093*K2093*L2093*M2093*N2093),2),"")</f>
        <v/>
      </c>
    </row>
    <row r="2094">
      <c r="A2094" t="n">
        <v>2093</v>
      </c>
      <c r="B2094">
        <f>A2094&lt;=MineCount*Days</f>
        <v/>
      </c>
      <c r="C2094">
        <f>IF(B2094,INT((A2094-1)/Days)+1,"")</f>
        <v/>
      </c>
      <c r="D2094">
        <f>IF(B2094,MOD(A2094-1,Days),"")</f>
        <v/>
      </c>
      <c r="E2094" s="16">
        <f>IF(B2094,StartDate+D2094,"")</f>
        <v/>
      </c>
      <c r="F2094">
        <f>IF(B2094,MAX(MOD(SIN(Seed*0.1373+C2094*12.9898+D2094*78.233)*43758.5453,1),1E-9),"")</f>
        <v/>
      </c>
      <c r="G2094">
        <f>IF(B2094,MOD(SIN(Seed*0.5917+C2094*39.3468+D2094*11.135)*24634.6345,1),"")</f>
        <v/>
      </c>
      <c r="H2094">
        <f>IF(B2094,SQRT(-2*LN(F2094))*COS(2*PI()*G2094),"")</f>
        <v/>
      </c>
      <c r="I2094">
        <f>IF(B2094,IF(D2094=0,H2094,Rho*I2093+SQRT(1-Rho^2)*H2094),"")</f>
        <v/>
      </c>
      <c r="J2094">
        <f>IF(B2094,IF(Dist="Normal",DistA+DistB*I2094,DistA+(DistB-DistA)*NORMSDIST(I2094)),"")</f>
        <v/>
      </c>
      <c r="K2094">
        <f>IF(B2094,INDEX(MineScale,C2094),"")</f>
        <v/>
      </c>
      <c r="L2094">
        <f>IF(B2094,INDEX(Dow,1,WEEKDAY(E2094,2)),"")</f>
        <v/>
      </c>
      <c r="M2094">
        <f>IF(B2094,(1+Trend)^D2094,"")</f>
        <v/>
      </c>
      <c r="N2094">
        <f>IF(B2094,EXP(SUMPRODUCT(LN(1+(EvEff-1)*INDEX(Affected,0,C2094)*EXP(-((E2094-EvCenter)^2)/(2*EvSigma^2))))),"")</f>
        <v/>
      </c>
      <c r="O2094">
        <f>IF(B2094,ROUND(MAX(0,J2094*K2094*L2094*M2094*N2094),2),"")</f>
        <v/>
      </c>
    </row>
    <row r="2095">
      <c r="A2095" t="n">
        <v>2094</v>
      </c>
      <c r="B2095">
        <f>A2095&lt;=MineCount*Days</f>
        <v/>
      </c>
      <c r="C2095">
        <f>IF(B2095,INT((A2095-1)/Days)+1,"")</f>
        <v/>
      </c>
      <c r="D2095">
        <f>IF(B2095,MOD(A2095-1,Days),"")</f>
        <v/>
      </c>
      <c r="E2095" s="16">
        <f>IF(B2095,StartDate+D2095,"")</f>
        <v/>
      </c>
      <c r="F2095">
        <f>IF(B2095,MAX(MOD(SIN(Seed*0.1373+C2095*12.9898+D2095*78.233)*43758.5453,1),1E-9),"")</f>
        <v/>
      </c>
      <c r="G2095">
        <f>IF(B2095,MOD(SIN(Seed*0.5917+C2095*39.3468+D2095*11.135)*24634.6345,1),"")</f>
        <v/>
      </c>
      <c r="H2095">
        <f>IF(B2095,SQRT(-2*LN(F2095))*COS(2*PI()*G2095),"")</f>
        <v/>
      </c>
      <c r="I2095">
        <f>IF(B2095,IF(D2095=0,H2095,Rho*I2094+SQRT(1-Rho^2)*H2095),"")</f>
        <v/>
      </c>
      <c r="J2095">
        <f>IF(B2095,IF(Dist="Normal",DistA+DistB*I2095,DistA+(DistB-DistA)*NORMSDIST(I2095)),"")</f>
        <v/>
      </c>
      <c r="K2095">
        <f>IF(B2095,INDEX(MineScale,C2095),"")</f>
        <v/>
      </c>
      <c r="L2095">
        <f>IF(B2095,INDEX(Dow,1,WEEKDAY(E2095,2)),"")</f>
        <v/>
      </c>
      <c r="M2095">
        <f>IF(B2095,(1+Trend)^D2095,"")</f>
        <v/>
      </c>
      <c r="N2095">
        <f>IF(B2095,EXP(SUMPRODUCT(LN(1+(EvEff-1)*INDEX(Affected,0,C2095)*EXP(-((E2095-EvCenter)^2)/(2*EvSigma^2))))),"")</f>
        <v/>
      </c>
      <c r="O2095">
        <f>IF(B2095,ROUND(MAX(0,J2095*K2095*L2095*M2095*N2095),2),"")</f>
        <v/>
      </c>
    </row>
    <row r="2096">
      <c r="A2096" t="n">
        <v>2095</v>
      </c>
      <c r="B2096">
        <f>A2096&lt;=MineCount*Days</f>
        <v/>
      </c>
      <c r="C2096">
        <f>IF(B2096,INT((A2096-1)/Days)+1,"")</f>
        <v/>
      </c>
      <c r="D2096">
        <f>IF(B2096,MOD(A2096-1,Days),"")</f>
        <v/>
      </c>
      <c r="E2096" s="16">
        <f>IF(B2096,StartDate+D2096,"")</f>
        <v/>
      </c>
      <c r="F2096">
        <f>IF(B2096,MAX(MOD(SIN(Seed*0.1373+C2096*12.9898+D2096*78.233)*43758.5453,1),1E-9),"")</f>
        <v/>
      </c>
      <c r="G2096">
        <f>IF(B2096,MOD(SIN(Seed*0.5917+C2096*39.3468+D2096*11.135)*24634.6345,1),"")</f>
        <v/>
      </c>
      <c r="H2096">
        <f>IF(B2096,SQRT(-2*LN(F2096))*COS(2*PI()*G2096),"")</f>
        <v/>
      </c>
      <c r="I2096">
        <f>IF(B2096,IF(D2096=0,H2096,Rho*I2095+SQRT(1-Rho^2)*H2096),"")</f>
        <v/>
      </c>
      <c r="J2096">
        <f>IF(B2096,IF(Dist="Normal",DistA+DistB*I2096,DistA+(DistB-DistA)*NORMSDIST(I2096)),"")</f>
        <v/>
      </c>
      <c r="K2096">
        <f>IF(B2096,INDEX(MineScale,C2096),"")</f>
        <v/>
      </c>
      <c r="L2096">
        <f>IF(B2096,INDEX(Dow,1,WEEKDAY(E2096,2)),"")</f>
        <v/>
      </c>
      <c r="M2096">
        <f>IF(B2096,(1+Trend)^D2096,"")</f>
        <v/>
      </c>
      <c r="N2096">
        <f>IF(B2096,EXP(SUMPRODUCT(LN(1+(EvEff-1)*INDEX(Affected,0,C2096)*EXP(-((E2096-EvCenter)^2)/(2*EvSigma^2))))),"")</f>
        <v/>
      </c>
      <c r="O2096">
        <f>IF(B2096,ROUND(MAX(0,J2096*K2096*L2096*M2096*N2096),2),"")</f>
        <v/>
      </c>
    </row>
    <row r="2097">
      <c r="A2097" t="n">
        <v>2096</v>
      </c>
      <c r="B2097">
        <f>A2097&lt;=MineCount*Days</f>
        <v/>
      </c>
      <c r="C2097">
        <f>IF(B2097,INT((A2097-1)/Days)+1,"")</f>
        <v/>
      </c>
      <c r="D2097">
        <f>IF(B2097,MOD(A2097-1,Days),"")</f>
        <v/>
      </c>
      <c r="E2097" s="16">
        <f>IF(B2097,StartDate+D2097,"")</f>
        <v/>
      </c>
      <c r="F2097">
        <f>IF(B2097,MAX(MOD(SIN(Seed*0.1373+C2097*12.9898+D2097*78.233)*43758.5453,1),1E-9),"")</f>
        <v/>
      </c>
      <c r="G2097">
        <f>IF(B2097,MOD(SIN(Seed*0.5917+C2097*39.3468+D2097*11.135)*24634.6345,1),"")</f>
        <v/>
      </c>
      <c r="H2097">
        <f>IF(B2097,SQRT(-2*LN(F2097))*COS(2*PI()*G2097),"")</f>
        <v/>
      </c>
      <c r="I2097">
        <f>IF(B2097,IF(D2097=0,H2097,Rho*I2096+SQRT(1-Rho^2)*H2097),"")</f>
        <v/>
      </c>
      <c r="J2097">
        <f>IF(B2097,IF(Dist="Normal",DistA+DistB*I2097,DistA+(DistB-DistA)*NORMSDIST(I2097)),"")</f>
        <v/>
      </c>
      <c r="K2097">
        <f>IF(B2097,INDEX(MineScale,C2097),"")</f>
        <v/>
      </c>
      <c r="L2097">
        <f>IF(B2097,INDEX(Dow,1,WEEKDAY(E2097,2)),"")</f>
        <v/>
      </c>
      <c r="M2097">
        <f>IF(B2097,(1+Trend)^D2097,"")</f>
        <v/>
      </c>
      <c r="N2097">
        <f>IF(B2097,EXP(SUMPRODUCT(LN(1+(EvEff-1)*INDEX(Affected,0,C2097)*EXP(-((E2097-EvCenter)^2)/(2*EvSigma^2))))),"")</f>
        <v/>
      </c>
      <c r="O2097">
        <f>IF(B2097,ROUND(MAX(0,J2097*K2097*L2097*M2097*N2097),2),"")</f>
        <v/>
      </c>
    </row>
    <row r="2098">
      <c r="A2098" t="n">
        <v>2097</v>
      </c>
      <c r="B2098">
        <f>A2098&lt;=MineCount*Days</f>
        <v/>
      </c>
      <c r="C2098">
        <f>IF(B2098,INT((A2098-1)/Days)+1,"")</f>
        <v/>
      </c>
      <c r="D2098">
        <f>IF(B2098,MOD(A2098-1,Days),"")</f>
        <v/>
      </c>
      <c r="E2098" s="16">
        <f>IF(B2098,StartDate+D2098,"")</f>
        <v/>
      </c>
      <c r="F2098">
        <f>IF(B2098,MAX(MOD(SIN(Seed*0.1373+C2098*12.9898+D2098*78.233)*43758.5453,1),1E-9),"")</f>
        <v/>
      </c>
      <c r="G2098">
        <f>IF(B2098,MOD(SIN(Seed*0.5917+C2098*39.3468+D2098*11.135)*24634.6345,1),"")</f>
        <v/>
      </c>
      <c r="H2098">
        <f>IF(B2098,SQRT(-2*LN(F2098))*COS(2*PI()*G2098),"")</f>
        <v/>
      </c>
      <c r="I2098">
        <f>IF(B2098,IF(D2098=0,H2098,Rho*I2097+SQRT(1-Rho^2)*H2098),"")</f>
        <v/>
      </c>
      <c r="J2098">
        <f>IF(B2098,IF(Dist="Normal",DistA+DistB*I2098,DistA+(DistB-DistA)*NORMSDIST(I2098)),"")</f>
        <v/>
      </c>
      <c r="K2098">
        <f>IF(B2098,INDEX(MineScale,C2098),"")</f>
        <v/>
      </c>
      <c r="L2098">
        <f>IF(B2098,INDEX(Dow,1,WEEKDAY(E2098,2)),"")</f>
        <v/>
      </c>
      <c r="M2098">
        <f>IF(B2098,(1+Trend)^D2098,"")</f>
        <v/>
      </c>
      <c r="N2098">
        <f>IF(B2098,EXP(SUMPRODUCT(LN(1+(EvEff-1)*INDEX(Affected,0,C2098)*EXP(-((E2098-EvCenter)^2)/(2*EvSigma^2))))),"")</f>
        <v/>
      </c>
      <c r="O2098">
        <f>IF(B2098,ROUND(MAX(0,J2098*K2098*L2098*M2098*N2098),2),"")</f>
        <v/>
      </c>
    </row>
    <row r="2099">
      <c r="A2099" t="n">
        <v>2098</v>
      </c>
      <c r="B2099">
        <f>A2099&lt;=MineCount*Days</f>
        <v/>
      </c>
      <c r="C2099">
        <f>IF(B2099,INT((A2099-1)/Days)+1,"")</f>
        <v/>
      </c>
      <c r="D2099">
        <f>IF(B2099,MOD(A2099-1,Days),"")</f>
        <v/>
      </c>
      <c r="E2099" s="16">
        <f>IF(B2099,StartDate+D2099,"")</f>
        <v/>
      </c>
      <c r="F2099">
        <f>IF(B2099,MAX(MOD(SIN(Seed*0.1373+C2099*12.9898+D2099*78.233)*43758.5453,1),1E-9),"")</f>
        <v/>
      </c>
      <c r="G2099">
        <f>IF(B2099,MOD(SIN(Seed*0.5917+C2099*39.3468+D2099*11.135)*24634.6345,1),"")</f>
        <v/>
      </c>
      <c r="H2099">
        <f>IF(B2099,SQRT(-2*LN(F2099))*COS(2*PI()*G2099),"")</f>
        <v/>
      </c>
      <c r="I2099">
        <f>IF(B2099,IF(D2099=0,H2099,Rho*I2098+SQRT(1-Rho^2)*H2099),"")</f>
        <v/>
      </c>
      <c r="J2099">
        <f>IF(B2099,IF(Dist="Normal",DistA+DistB*I2099,DistA+(DistB-DistA)*NORMSDIST(I2099)),"")</f>
        <v/>
      </c>
      <c r="K2099">
        <f>IF(B2099,INDEX(MineScale,C2099),"")</f>
        <v/>
      </c>
      <c r="L2099">
        <f>IF(B2099,INDEX(Dow,1,WEEKDAY(E2099,2)),"")</f>
        <v/>
      </c>
      <c r="M2099">
        <f>IF(B2099,(1+Trend)^D2099,"")</f>
        <v/>
      </c>
      <c r="N2099">
        <f>IF(B2099,EXP(SUMPRODUCT(LN(1+(EvEff-1)*INDEX(Affected,0,C2099)*EXP(-((E2099-EvCenter)^2)/(2*EvSigma^2))))),"")</f>
        <v/>
      </c>
      <c r="O2099">
        <f>IF(B2099,ROUND(MAX(0,J2099*K2099*L2099*M2099*N2099),2),"")</f>
        <v/>
      </c>
    </row>
    <row r="2100">
      <c r="A2100" t="n">
        <v>2099</v>
      </c>
      <c r="B2100">
        <f>A2100&lt;=MineCount*Days</f>
        <v/>
      </c>
      <c r="C2100">
        <f>IF(B2100,INT((A2100-1)/Days)+1,"")</f>
        <v/>
      </c>
      <c r="D2100">
        <f>IF(B2100,MOD(A2100-1,Days),"")</f>
        <v/>
      </c>
      <c r="E2100" s="16">
        <f>IF(B2100,StartDate+D2100,"")</f>
        <v/>
      </c>
      <c r="F2100">
        <f>IF(B2100,MAX(MOD(SIN(Seed*0.1373+C2100*12.9898+D2100*78.233)*43758.5453,1),1E-9),"")</f>
        <v/>
      </c>
      <c r="G2100">
        <f>IF(B2100,MOD(SIN(Seed*0.5917+C2100*39.3468+D2100*11.135)*24634.6345,1),"")</f>
        <v/>
      </c>
      <c r="H2100">
        <f>IF(B2100,SQRT(-2*LN(F2100))*COS(2*PI()*G2100),"")</f>
        <v/>
      </c>
      <c r="I2100">
        <f>IF(B2100,IF(D2100=0,H2100,Rho*I2099+SQRT(1-Rho^2)*H2100),"")</f>
        <v/>
      </c>
      <c r="J2100">
        <f>IF(B2100,IF(Dist="Normal",DistA+DistB*I2100,DistA+(DistB-DistA)*NORMSDIST(I2100)),"")</f>
        <v/>
      </c>
      <c r="K2100">
        <f>IF(B2100,INDEX(MineScale,C2100),"")</f>
        <v/>
      </c>
      <c r="L2100">
        <f>IF(B2100,INDEX(Dow,1,WEEKDAY(E2100,2)),"")</f>
        <v/>
      </c>
      <c r="M2100">
        <f>IF(B2100,(1+Trend)^D2100,"")</f>
        <v/>
      </c>
      <c r="N2100">
        <f>IF(B2100,EXP(SUMPRODUCT(LN(1+(EvEff-1)*INDEX(Affected,0,C2100)*EXP(-((E2100-EvCenter)^2)/(2*EvSigma^2))))),"")</f>
        <v/>
      </c>
      <c r="O2100">
        <f>IF(B2100,ROUND(MAX(0,J2100*K2100*L2100*M2100*N2100),2),"")</f>
        <v/>
      </c>
    </row>
    <row r="2101">
      <c r="A2101" t="n">
        <v>2100</v>
      </c>
      <c r="B2101">
        <f>A2101&lt;=MineCount*Days</f>
        <v/>
      </c>
      <c r="C2101">
        <f>IF(B2101,INT((A2101-1)/Days)+1,"")</f>
        <v/>
      </c>
      <c r="D2101">
        <f>IF(B2101,MOD(A2101-1,Days),"")</f>
        <v/>
      </c>
      <c r="E2101" s="16">
        <f>IF(B2101,StartDate+D2101,"")</f>
        <v/>
      </c>
      <c r="F2101">
        <f>IF(B2101,MAX(MOD(SIN(Seed*0.1373+C2101*12.9898+D2101*78.233)*43758.5453,1),1E-9),"")</f>
        <v/>
      </c>
      <c r="G2101">
        <f>IF(B2101,MOD(SIN(Seed*0.5917+C2101*39.3468+D2101*11.135)*24634.6345,1),"")</f>
        <v/>
      </c>
      <c r="H2101">
        <f>IF(B2101,SQRT(-2*LN(F2101))*COS(2*PI()*G2101),"")</f>
        <v/>
      </c>
      <c r="I2101">
        <f>IF(B2101,IF(D2101=0,H2101,Rho*I2100+SQRT(1-Rho^2)*H2101),"")</f>
        <v/>
      </c>
      <c r="J2101">
        <f>IF(B2101,IF(Dist="Normal",DistA+DistB*I2101,DistA+(DistB-DistA)*NORMSDIST(I2101)),"")</f>
        <v/>
      </c>
      <c r="K2101">
        <f>IF(B2101,INDEX(MineScale,C2101),"")</f>
        <v/>
      </c>
      <c r="L2101">
        <f>IF(B2101,INDEX(Dow,1,WEEKDAY(E2101,2)),"")</f>
        <v/>
      </c>
      <c r="M2101">
        <f>IF(B2101,(1+Trend)^D2101,"")</f>
        <v/>
      </c>
      <c r="N2101">
        <f>IF(B2101,EXP(SUMPRODUCT(LN(1+(EvEff-1)*INDEX(Affected,0,C2101)*EXP(-((E2101-EvCenter)^2)/(2*EvSigma^2))))),"")</f>
        <v/>
      </c>
      <c r="O2101">
        <f>IF(B2101,ROUND(MAX(0,J2101*K2101*L2101*M2101*N2101),2),"")</f>
        <v/>
      </c>
    </row>
    <row r="2102">
      <c r="A2102" t="n">
        <v>2101</v>
      </c>
      <c r="B2102">
        <f>A2102&lt;=MineCount*Days</f>
        <v/>
      </c>
      <c r="C2102">
        <f>IF(B2102,INT((A2102-1)/Days)+1,"")</f>
        <v/>
      </c>
      <c r="D2102">
        <f>IF(B2102,MOD(A2102-1,Days),"")</f>
        <v/>
      </c>
      <c r="E2102" s="16">
        <f>IF(B2102,StartDate+D2102,"")</f>
        <v/>
      </c>
      <c r="F2102">
        <f>IF(B2102,MAX(MOD(SIN(Seed*0.1373+C2102*12.9898+D2102*78.233)*43758.5453,1),1E-9),"")</f>
        <v/>
      </c>
      <c r="G2102">
        <f>IF(B2102,MOD(SIN(Seed*0.5917+C2102*39.3468+D2102*11.135)*24634.6345,1),"")</f>
        <v/>
      </c>
      <c r="H2102">
        <f>IF(B2102,SQRT(-2*LN(F2102))*COS(2*PI()*G2102),"")</f>
        <v/>
      </c>
      <c r="I2102">
        <f>IF(B2102,IF(D2102=0,H2102,Rho*I2101+SQRT(1-Rho^2)*H2102),"")</f>
        <v/>
      </c>
      <c r="J2102">
        <f>IF(B2102,IF(Dist="Normal",DistA+DistB*I2102,DistA+(DistB-DistA)*NORMSDIST(I2102)),"")</f>
        <v/>
      </c>
      <c r="K2102">
        <f>IF(B2102,INDEX(MineScale,C2102),"")</f>
        <v/>
      </c>
      <c r="L2102">
        <f>IF(B2102,INDEX(Dow,1,WEEKDAY(E2102,2)),"")</f>
        <v/>
      </c>
      <c r="M2102">
        <f>IF(B2102,(1+Trend)^D2102,"")</f>
        <v/>
      </c>
      <c r="N2102">
        <f>IF(B2102,EXP(SUMPRODUCT(LN(1+(EvEff-1)*INDEX(Affected,0,C2102)*EXP(-((E2102-EvCenter)^2)/(2*EvSigma^2))))),"")</f>
        <v/>
      </c>
      <c r="O2102">
        <f>IF(B2102,ROUND(MAX(0,J2102*K2102*L2102*M2102*N2102),2),"")</f>
        <v/>
      </c>
    </row>
    <row r="2103">
      <c r="A2103" t="n">
        <v>2102</v>
      </c>
      <c r="B2103">
        <f>A2103&lt;=MineCount*Days</f>
        <v/>
      </c>
      <c r="C2103">
        <f>IF(B2103,INT((A2103-1)/Days)+1,"")</f>
        <v/>
      </c>
      <c r="D2103">
        <f>IF(B2103,MOD(A2103-1,Days),"")</f>
        <v/>
      </c>
      <c r="E2103" s="16">
        <f>IF(B2103,StartDate+D2103,"")</f>
        <v/>
      </c>
      <c r="F2103">
        <f>IF(B2103,MAX(MOD(SIN(Seed*0.1373+C2103*12.9898+D2103*78.233)*43758.5453,1),1E-9),"")</f>
        <v/>
      </c>
      <c r="G2103">
        <f>IF(B2103,MOD(SIN(Seed*0.5917+C2103*39.3468+D2103*11.135)*24634.6345,1),"")</f>
        <v/>
      </c>
      <c r="H2103">
        <f>IF(B2103,SQRT(-2*LN(F2103))*COS(2*PI()*G2103),"")</f>
        <v/>
      </c>
      <c r="I2103">
        <f>IF(B2103,IF(D2103=0,H2103,Rho*I2102+SQRT(1-Rho^2)*H2103),"")</f>
        <v/>
      </c>
      <c r="J2103">
        <f>IF(B2103,IF(Dist="Normal",DistA+DistB*I2103,DistA+(DistB-DistA)*NORMSDIST(I2103)),"")</f>
        <v/>
      </c>
      <c r="K2103">
        <f>IF(B2103,INDEX(MineScale,C2103),"")</f>
        <v/>
      </c>
      <c r="L2103">
        <f>IF(B2103,INDEX(Dow,1,WEEKDAY(E2103,2)),"")</f>
        <v/>
      </c>
      <c r="M2103">
        <f>IF(B2103,(1+Trend)^D2103,"")</f>
        <v/>
      </c>
      <c r="N2103">
        <f>IF(B2103,EXP(SUMPRODUCT(LN(1+(EvEff-1)*INDEX(Affected,0,C2103)*EXP(-((E2103-EvCenter)^2)/(2*EvSigma^2))))),"")</f>
        <v/>
      </c>
      <c r="O2103">
        <f>IF(B2103,ROUND(MAX(0,J2103*K2103*L2103*M2103*N2103),2),"")</f>
        <v/>
      </c>
    </row>
    <row r="2104">
      <c r="A2104" t="n">
        <v>2103</v>
      </c>
      <c r="B2104">
        <f>A2104&lt;=MineCount*Days</f>
        <v/>
      </c>
      <c r="C2104">
        <f>IF(B2104,INT((A2104-1)/Days)+1,"")</f>
        <v/>
      </c>
      <c r="D2104">
        <f>IF(B2104,MOD(A2104-1,Days),"")</f>
        <v/>
      </c>
      <c r="E2104" s="16">
        <f>IF(B2104,StartDate+D2104,"")</f>
        <v/>
      </c>
      <c r="F2104">
        <f>IF(B2104,MAX(MOD(SIN(Seed*0.1373+C2104*12.9898+D2104*78.233)*43758.5453,1),1E-9),"")</f>
        <v/>
      </c>
      <c r="G2104">
        <f>IF(B2104,MOD(SIN(Seed*0.5917+C2104*39.3468+D2104*11.135)*24634.6345,1),"")</f>
        <v/>
      </c>
      <c r="H2104">
        <f>IF(B2104,SQRT(-2*LN(F2104))*COS(2*PI()*G2104),"")</f>
        <v/>
      </c>
      <c r="I2104">
        <f>IF(B2104,IF(D2104=0,H2104,Rho*I2103+SQRT(1-Rho^2)*H2104),"")</f>
        <v/>
      </c>
      <c r="J2104">
        <f>IF(B2104,IF(Dist="Normal",DistA+DistB*I2104,DistA+(DistB-DistA)*NORMSDIST(I2104)),"")</f>
        <v/>
      </c>
      <c r="K2104">
        <f>IF(B2104,INDEX(MineScale,C2104),"")</f>
        <v/>
      </c>
      <c r="L2104">
        <f>IF(B2104,INDEX(Dow,1,WEEKDAY(E2104,2)),"")</f>
        <v/>
      </c>
      <c r="M2104">
        <f>IF(B2104,(1+Trend)^D2104,"")</f>
        <v/>
      </c>
      <c r="N2104">
        <f>IF(B2104,EXP(SUMPRODUCT(LN(1+(EvEff-1)*INDEX(Affected,0,C2104)*EXP(-((E2104-EvCenter)^2)/(2*EvSigma^2))))),"")</f>
        <v/>
      </c>
      <c r="O2104">
        <f>IF(B2104,ROUND(MAX(0,J2104*K2104*L2104*M2104*N2104),2),"")</f>
        <v/>
      </c>
    </row>
    <row r="2105">
      <c r="A2105" t="n">
        <v>2104</v>
      </c>
      <c r="B2105">
        <f>A2105&lt;=MineCount*Days</f>
        <v/>
      </c>
      <c r="C2105">
        <f>IF(B2105,INT((A2105-1)/Days)+1,"")</f>
        <v/>
      </c>
      <c r="D2105">
        <f>IF(B2105,MOD(A2105-1,Days),"")</f>
        <v/>
      </c>
      <c r="E2105" s="16">
        <f>IF(B2105,StartDate+D2105,"")</f>
        <v/>
      </c>
      <c r="F2105">
        <f>IF(B2105,MAX(MOD(SIN(Seed*0.1373+C2105*12.9898+D2105*78.233)*43758.5453,1),1E-9),"")</f>
        <v/>
      </c>
      <c r="G2105">
        <f>IF(B2105,MOD(SIN(Seed*0.5917+C2105*39.3468+D2105*11.135)*24634.6345,1),"")</f>
        <v/>
      </c>
      <c r="H2105">
        <f>IF(B2105,SQRT(-2*LN(F2105))*COS(2*PI()*G2105),"")</f>
        <v/>
      </c>
      <c r="I2105">
        <f>IF(B2105,IF(D2105=0,H2105,Rho*I2104+SQRT(1-Rho^2)*H2105),"")</f>
        <v/>
      </c>
      <c r="J2105">
        <f>IF(B2105,IF(Dist="Normal",DistA+DistB*I2105,DistA+(DistB-DistA)*NORMSDIST(I2105)),"")</f>
        <v/>
      </c>
      <c r="K2105">
        <f>IF(B2105,INDEX(MineScale,C2105),"")</f>
        <v/>
      </c>
      <c r="L2105">
        <f>IF(B2105,INDEX(Dow,1,WEEKDAY(E2105,2)),"")</f>
        <v/>
      </c>
      <c r="M2105">
        <f>IF(B2105,(1+Trend)^D2105,"")</f>
        <v/>
      </c>
      <c r="N2105">
        <f>IF(B2105,EXP(SUMPRODUCT(LN(1+(EvEff-1)*INDEX(Affected,0,C2105)*EXP(-((E2105-EvCenter)^2)/(2*EvSigma^2))))),"")</f>
        <v/>
      </c>
      <c r="O2105">
        <f>IF(B2105,ROUND(MAX(0,J2105*K2105*L2105*M2105*N2105),2),"")</f>
        <v/>
      </c>
    </row>
    <row r="2106">
      <c r="A2106" t="n">
        <v>2105</v>
      </c>
      <c r="B2106">
        <f>A2106&lt;=MineCount*Days</f>
        <v/>
      </c>
      <c r="C2106">
        <f>IF(B2106,INT((A2106-1)/Days)+1,"")</f>
        <v/>
      </c>
      <c r="D2106">
        <f>IF(B2106,MOD(A2106-1,Days),"")</f>
        <v/>
      </c>
      <c r="E2106" s="16">
        <f>IF(B2106,StartDate+D2106,"")</f>
        <v/>
      </c>
      <c r="F2106">
        <f>IF(B2106,MAX(MOD(SIN(Seed*0.1373+C2106*12.9898+D2106*78.233)*43758.5453,1),1E-9),"")</f>
        <v/>
      </c>
      <c r="G2106">
        <f>IF(B2106,MOD(SIN(Seed*0.5917+C2106*39.3468+D2106*11.135)*24634.6345,1),"")</f>
        <v/>
      </c>
      <c r="H2106">
        <f>IF(B2106,SQRT(-2*LN(F2106))*COS(2*PI()*G2106),"")</f>
        <v/>
      </c>
      <c r="I2106">
        <f>IF(B2106,IF(D2106=0,H2106,Rho*I2105+SQRT(1-Rho^2)*H2106),"")</f>
        <v/>
      </c>
      <c r="J2106">
        <f>IF(B2106,IF(Dist="Normal",DistA+DistB*I2106,DistA+(DistB-DistA)*NORMSDIST(I2106)),"")</f>
        <v/>
      </c>
      <c r="K2106">
        <f>IF(B2106,INDEX(MineScale,C2106),"")</f>
        <v/>
      </c>
      <c r="L2106">
        <f>IF(B2106,INDEX(Dow,1,WEEKDAY(E2106,2)),"")</f>
        <v/>
      </c>
      <c r="M2106">
        <f>IF(B2106,(1+Trend)^D2106,"")</f>
        <v/>
      </c>
      <c r="N2106">
        <f>IF(B2106,EXP(SUMPRODUCT(LN(1+(EvEff-1)*INDEX(Affected,0,C2106)*EXP(-((E2106-EvCenter)^2)/(2*EvSigma^2))))),"")</f>
        <v/>
      </c>
      <c r="O2106">
        <f>IF(B2106,ROUND(MAX(0,J2106*K2106*L2106*M2106*N2106),2),"")</f>
        <v/>
      </c>
    </row>
    <row r="2107">
      <c r="A2107" t="n">
        <v>2106</v>
      </c>
      <c r="B2107">
        <f>A2107&lt;=MineCount*Days</f>
        <v/>
      </c>
      <c r="C2107">
        <f>IF(B2107,INT((A2107-1)/Days)+1,"")</f>
        <v/>
      </c>
      <c r="D2107">
        <f>IF(B2107,MOD(A2107-1,Days),"")</f>
        <v/>
      </c>
      <c r="E2107" s="16">
        <f>IF(B2107,StartDate+D2107,"")</f>
        <v/>
      </c>
      <c r="F2107">
        <f>IF(B2107,MAX(MOD(SIN(Seed*0.1373+C2107*12.9898+D2107*78.233)*43758.5453,1),1E-9),"")</f>
        <v/>
      </c>
      <c r="G2107">
        <f>IF(B2107,MOD(SIN(Seed*0.5917+C2107*39.3468+D2107*11.135)*24634.6345,1),"")</f>
        <v/>
      </c>
      <c r="H2107">
        <f>IF(B2107,SQRT(-2*LN(F2107))*COS(2*PI()*G2107),"")</f>
        <v/>
      </c>
      <c r="I2107">
        <f>IF(B2107,IF(D2107=0,H2107,Rho*I2106+SQRT(1-Rho^2)*H2107),"")</f>
        <v/>
      </c>
      <c r="J2107">
        <f>IF(B2107,IF(Dist="Normal",DistA+DistB*I2107,DistA+(DistB-DistA)*NORMSDIST(I2107)),"")</f>
        <v/>
      </c>
      <c r="K2107">
        <f>IF(B2107,INDEX(MineScale,C2107),"")</f>
        <v/>
      </c>
      <c r="L2107">
        <f>IF(B2107,INDEX(Dow,1,WEEKDAY(E2107,2)),"")</f>
        <v/>
      </c>
      <c r="M2107">
        <f>IF(B2107,(1+Trend)^D2107,"")</f>
        <v/>
      </c>
      <c r="N2107">
        <f>IF(B2107,EXP(SUMPRODUCT(LN(1+(EvEff-1)*INDEX(Affected,0,C2107)*EXP(-((E2107-EvCenter)^2)/(2*EvSigma^2))))),"")</f>
        <v/>
      </c>
      <c r="O2107">
        <f>IF(B2107,ROUND(MAX(0,J2107*K2107*L2107*M2107*N2107),2),"")</f>
        <v/>
      </c>
    </row>
    <row r="2108">
      <c r="A2108" t="n">
        <v>2107</v>
      </c>
      <c r="B2108">
        <f>A2108&lt;=MineCount*Days</f>
        <v/>
      </c>
      <c r="C2108">
        <f>IF(B2108,INT((A2108-1)/Days)+1,"")</f>
        <v/>
      </c>
      <c r="D2108">
        <f>IF(B2108,MOD(A2108-1,Days),"")</f>
        <v/>
      </c>
      <c r="E2108" s="16">
        <f>IF(B2108,StartDate+D2108,"")</f>
        <v/>
      </c>
      <c r="F2108">
        <f>IF(B2108,MAX(MOD(SIN(Seed*0.1373+C2108*12.9898+D2108*78.233)*43758.5453,1),1E-9),"")</f>
        <v/>
      </c>
      <c r="G2108">
        <f>IF(B2108,MOD(SIN(Seed*0.5917+C2108*39.3468+D2108*11.135)*24634.6345,1),"")</f>
        <v/>
      </c>
      <c r="H2108">
        <f>IF(B2108,SQRT(-2*LN(F2108))*COS(2*PI()*G2108),"")</f>
        <v/>
      </c>
      <c r="I2108">
        <f>IF(B2108,IF(D2108=0,H2108,Rho*I2107+SQRT(1-Rho^2)*H2108),"")</f>
        <v/>
      </c>
      <c r="J2108">
        <f>IF(B2108,IF(Dist="Normal",DistA+DistB*I2108,DistA+(DistB-DistA)*NORMSDIST(I2108)),"")</f>
        <v/>
      </c>
      <c r="K2108">
        <f>IF(B2108,INDEX(MineScale,C2108),"")</f>
        <v/>
      </c>
      <c r="L2108">
        <f>IF(B2108,INDEX(Dow,1,WEEKDAY(E2108,2)),"")</f>
        <v/>
      </c>
      <c r="M2108">
        <f>IF(B2108,(1+Trend)^D2108,"")</f>
        <v/>
      </c>
      <c r="N2108">
        <f>IF(B2108,EXP(SUMPRODUCT(LN(1+(EvEff-1)*INDEX(Affected,0,C2108)*EXP(-((E2108-EvCenter)^2)/(2*EvSigma^2))))),"")</f>
        <v/>
      </c>
      <c r="O2108">
        <f>IF(B2108,ROUND(MAX(0,J2108*K2108*L2108*M2108*N2108),2),"")</f>
        <v/>
      </c>
    </row>
    <row r="2109">
      <c r="A2109" t="n">
        <v>2108</v>
      </c>
      <c r="B2109">
        <f>A2109&lt;=MineCount*Days</f>
        <v/>
      </c>
      <c r="C2109">
        <f>IF(B2109,INT((A2109-1)/Days)+1,"")</f>
        <v/>
      </c>
      <c r="D2109">
        <f>IF(B2109,MOD(A2109-1,Days),"")</f>
        <v/>
      </c>
      <c r="E2109" s="16">
        <f>IF(B2109,StartDate+D2109,"")</f>
        <v/>
      </c>
      <c r="F2109">
        <f>IF(B2109,MAX(MOD(SIN(Seed*0.1373+C2109*12.9898+D2109*78.233)*43758.5453,1),1E-9),"")</f>
        <v/>
      </c>
      <c r="G2109">
        <f>IF(B2109,MOD(SIN(Seed*0.5917+C2109*39.3468+D2109*11.135)*24634.6345,1),"")</f>
        <v/>
      </c>
      <c r="H2109">
        <f>IF(B2109,SQRT(-2*LN(F2109))*COS(2*PI()*G2109),"")</f>
        <v/>
      </c>
      <c r="I2109">
        <f>IF(B2109,IF(D2109=0,H2109,Rho*I2108+SQRT(1-Rho^2)*H2109),"")</f>
        <v/>
      </c>
      <c r="J2109">
        <f>IF(B2109,IF(Dist="Normal",DistA+DistB*I2109,DistA+(DistB-DistA)*NORMSDIST(I2109)),"")</f>
        <v/>
      </c>
      <c r="K2109">
        <f>IF(B2109,INDEX(MineScale,C2109),"")</f>
        <v/>
      </c>
      <c r="L2109">
        <f>IF(B2109,INDEX(Dow,1,WEEKDAY(E2109,2)),"")</f>
        <v/>
      </c>
      <c r="M2109">
        <f>IF(B2109,(1+Trend)^D2109,"")</f>
        <v/>
      </c>
      <c r="N2109">
        <f>IF(B2109,EXP(SUMPRODUCT(LN(1+(EvEff-1)*INDEX(Affected,0,C2109)*EXP(-((E2109-EvCenter)^2)/(2*EvSigma^2))))),"")</f>
        <v/>
      </c>
      <c r="O2109">
        <f>IF(B2109,ROUND(MAX(0,J2109*K2109*L2109*M2109*N2109),2),"")</f>
        <v/>
      </c>
    </row>
    <row r="2110">
      <c r="A2110" t="n">
        <v>2109</v>
      </c>
      <c r="B2110">
        <f>A2110&lt;=MineCount*Days</f>
        <v/>
      </c>
      <c r="C2110">
        <f>IF(B2110,INT((A2110-1)/Days)+1,"")</f>
        <v/>
      </c>
      <c r="D2110">
        <f>IF(B2110,MOD(A2110-1,Days),"")</f>
        <v/>
      </c>
      <c r="E2110" s="16">
        <f>IF(B2110,StartDate+D2110,"")</f>
        <v/>
      </c>
      <c r="F2110">
        <f>IF(B2110,MAX(MOD(SIN(Seed*0.1373+C2110*12.9898+D2110*78.233)*43758.5453,1),1E-9),"")</f>
        <v/>
      </c>
      <c r="G2110">
        <f>IF(B2110,MOD(SIN(Seed*0.5917+C2110*39.3468+D2110*11.135)*24634.6345,1),"")</f>
        <v/>
      </c>
      <c r="H2110">
        <f>IF(B2110,SQRT(-2*LN(F2110))*COS(2*PI()*G2110),"")</f>
        <v/>
      </c>
      <c r="I2110">
        <f>IF(B2110,IF(D2110=0,H2110,Rho*I2109+SQRT(1-Rho^2)*H2110),"")</f>
        <v/>
      </c>
      <c r="J2110">
        <f>IF(B2110,IF(Dist="Normal",DistA+DistB*I2110,DistA+(DistB-DistA)*NORMSDIST(I2110)),"")</f>
        <v/>
      </c>
      <c r="K2110">
        <f>IF(B2110,INDEX(MineScale,C2110),"")</f>
        <v/>
      </c>
      <c r="L2110">
        <f>IF(B2110,INDEX(Dow,1,WEEKDAY(E2110,2)),"")</f>
        <v/>
      </c>
      <c r="M2110">
        <f>IF(B2110,(1+Trend)^D2110,"")</f>
        <v/>
      </c>
      <c r="N2110">
        <f>IF(B2110,EXP(SUMPRODUCT(LN(1+(EvEff-1)*INDEX(Affected,0,C2110)*EXP(-((E2110-EvCenter)^2)/(2*EvSigma^2))))),"")</f>
        <v/>
      </c>
      <c r="O2110">
        <f>IF(B2110,ROUND(MAX(0,J2110*K2110*L2110*M2110*N2110),2),"")</f>
        <v/>
      </c>
    </row>
    <row r="2111">
      <c r="A2111" t="n">
        <v>2110</v>
      </c>
      <c r="B2111">
        <f>A2111&lt;=MineCount*Days</f>
        <v/>
      </c>
      <c r="C2111">
        <f>IF(B2111,INT((A2111-1)/Days)+1,"")</f>
        <v/>
      </c>
      <c r="D2111">
        <f>IF(B2111,MOD(A2111-1,Days),"")</f>
        <v/>
      </c>
      <c r="E2111" s="16">
        <f>IF(B2111,StartDate+D2111,"")</f>
        <v/>
      </c>
      <c r="F2111">
        <f>IF(B2111,MAX(MOD(SIN(Seed*0.1373+C2111*12.9898+D2111*78.233)*43758.5453,1),1E-9),"")</f>
        <v/>
      </c>
      <c r="G2111">
        <f>IF(B2111,MOD(SIN(Seed*0.5917+C2111*39.3468+D2111*11.135)*24634.6345,1),"")</f>
        <v/>
      </c>
      <c r="H2111">
        <f>IF(B2111,SQRT(-2*LN(F2111))*COS(2*PI()*G2111),"")</f>
        <v/>
      </c>
      <c r="I2111">
        <f>IF(B2111,IF(D2111=0,H2111,Rho*I2110+SQRT(1-Rho^2)*H2111),"")</f>
        <v/>
      </c>
      <c r="J2111">
        <f>IF(B2111,IF(Dist="Normal",DistA+DistB*I2111,DistA+(DistB-DistA)*NORMSDIST(I2111)),"")</f>
        <v/>
      </c>
      <c r="K2111">
        <f>IF(B2111,INDEX(MineScale,C2111),"")</f>
        <v/>
      </c>
      <c r="L2111">
        <f>IF(B2111,INDEX(Dow,1,WEEKDAY(E2111,2)),"")</f>
        <v/>
      </c>
      <c r="M2111">
        <f>IF(B2111,(1+Trend)^D2111,"")</f>
        <v/>
      </c>
      <c r="N2111">
        <f>IF(B2111,EXP(SUMPRODUCT(LN(1+(EvEff-1)*INDEX(Affected,0,C2111)*EXP(-((E2111-EvCenter)^2)/(2*EvSigma^2))))),"")</f>
        <v/>
      </c>
      <c r="O2111">
        <f>IF(B2111,ROUND(MAX(0,J2111*K2111*L2111*M2111*N2111),2),"")</f>
        <v/>
      </c>
    </row>
    <row r="2112">
      <c r="A2112" t="n">
        <v>2111</v>
      </c>
      <c r="B2112">
        <f>A2112&lt;=MineCount*Days</f>
        <v/>
      </c>
      <c r="C2112">
        <f>IF(B2112,INT((A2112-1)/Days)+1,"")</f>
        <v/>
      </c>
      <c r="D2112">
        <f>IF(B2112,MOD(A2112-1,Days),"")</f>
        <v/>
      </c>
      <c r="E2112" s="16">
        <f>IF(B2112,StartDate+D2112,"")</f>
        <v/>
      </c>
      <c r="F2112">
        <f>IF(B2112,MAX(MOD(SIN(Seed*0.1373+C2112*12.9898+D2112*78.233)*43758.5453,1),1E-9),"")</f>
        <v/>
      </c>
      <c r="G2112">
        <f>IF(B2112,MOD(SIN(Seed*0.5917+C2112*39.3468+D2112*11.135)*24634.6345,1),"")</f>
        <v/>
      </c>
      <c r="H2112">
        <f>IF(B2112,SQRT(-2*LN(F2112))*COS(2*PI()*G2112),"")</f>
        <v/>
      </c>
      <c r="I2112">
        <f>IF(B2112,IF(D2112=0,H2112,Rho*I2111+SQRT(1-Rho^2)*H2112),"")</f>
        <v/>
      </c>
      <c r="J2112">
        <f>IF(B2112,IF(Dist="Normal",DistA+DistB*I2112,DistA+(DistB-DistA)*NORMSDIST(I2112)),"")</f>
        <v/>
      </c>
      <c r="K2112">
        <f>IF(B2112,INDEX(MineScale,C2112),"")</f>
        <v/>
      </c>
      <c r="L2112">
        <f>IF(B2112,INDEX(Dow,1,WEEKDAY(E2112,2)),"")</f>
        <v/>
      </c>
      <c r="M2112">
        <f>IF(B2112,(1+Trend)^D2112,"")</f>
        <v/>
      </c>
      <c r="N2112">
        <f>IF(B2112,EXP(SUMPRODUCT(LN(1+(EvEff-1)*INDEX(Affected,0,C2112)*EXP(-((E2112-EvCenter)^2)/(2*EvSigma^2))))),"")</f>
        <v/>
      </c>
      <c r="O2112">
        <f>IF(B2112,ROUND(MAX(0,J2112*K2112*L2112*M2112*N2112),2),"")</f>
        <v/>
      </c>
    </row>
    <row r="2113">
      <c r="A2113" t="n">
        <v>2112</v>
      </c>
      <c r="B2113">
        <f>A2113&lt;=MineCount*Days</f>
        <v/>
      </c>
      <c r="C2113">
        <f>IF(B2113,INT((A2113-1)/Days)+1,"")</f>
        <v/>
      </c>
      <c r="D2113">
        <f>IF(B2113,MOD(A2113-1,Days),"")</f>
        <v/>
      </c>
      <c r="E2113" s="16">
        <f>IF(B2113,StartDate+D2113,"")</f>
        <v/>
      </c>
      <c r="F2113">
        <f>IF(B2113,MAX(MOD(SIN(Seed*0.1373+C2113*12.9898+D2113*78.233)*43758.5453,1),1E-9),"")</f>
        <v/>
      </c>
      <c r="G2113">
        <f>IF(B2113,MOD(SIN(Seed*0.5917+C2113*39.3468+D2113*11.135)*24634.6345,1),"")</f>
        <v/>
      </c>
      <c r="H2113">
        <f>IF(B2113,SQRT(-2*LN(F2113))*COS(2*PI()*G2113),"")</f>
        <v/>
      </c>
      <c r="I2113">
        <f>IF(B2113,IF(D2113=0,H2113,Rho*I2112+SQRT(1-Rho^2)*H2113),"")</f>
        <v/>
      </c>
      <c r="J2113">
        <f>IF(B2113,IF(Dist="Normal",DistA+DistB*I2113,DistA+(DistB-DistA)*NORMSDIST(I2113)),"")</f>
        <v/>
      </c>
      <c r="K2113">
        <f>IF(B2113,INDEX(MineScale,C2113),"")</f>
        <v/>
      </c>
      <c r="L2113">
        <f>IF(B2113,INDEX(Dow,1,WEEKDAY(E2113,2)),"")</f>
        <v/>
      </c>
      <c r="M2113">
        <f>IF(B2113,(1+Trend)^D2113,"")</f>
        <v/>
      </c>
      <c r="N2113">
        <f>IF(B2113,EXP(SUMPRODUCT(LN(1+(EvEff-1)*INDEX(Affected,0,C2113)*EXP(-((E2113-EvCenter)^2)/(2*EvSigma^2))))),"")</f>
        <v/>
      </c>
      <c r="O2113">
        <f>IF(B2113,ROUND(MAX(0,J2113*K2113*L2113*M2113*N2113),2),"")</f>
        <v/>
      </c>
    </row>
    <row r="2114">
      <c r="A2114" t="n">
        <v>2113</v>
      </c>
      <c r="B2114">
        <f>A2114&lt;=MineCount*Days</f>
        <v/>
      </c>
      <c r="C2114">
        <f>IF(B2114,INT((A2114-1)/Days)+1,"")</f>
        <v/>
      </c>
      <c r="D2114">
        <f>IF(B2114,MOD(A2114-1,Days),"")</f>
        <v/>
      </c>
      <c r="E2114" s="16">
        <f>IF(B2114,StartDate+D2114,"")</f>
        <v/>
      </c>
      <c r="F2114">
        <f>IF(B2114,MAX(MOD(SIN(Seed*0.1373+C2114*12.9898+D2114*78.233)*43758.5453,1),1E-9),"")</f>
        <v/>
      </c>
      <c r="G2114">
        <f>IF(B2114,MOD(SIN(Seed*0.5917+C2114*39.3468+D2114*11.135)*24634.6345,1),"")</f>
        <v/>
      </c>
      <c r="H2114">
        <f>IF(B2114,SQRT(-2*LN(F2114))*COS(2*PI()*G2114),"")</f>
        <v/>
      </c>
      <c r="I2114">
        <f>IF(B2114,IF(D2114=0,H2114,Rho*I2113+SQRT(1-Rho^2)*H2114),"")</f>
        <v/>
      </c>
      <c r="J2114">
        <f>IF(B2114,IF(Dist="Normal",DistA+DistB*I2114,DistA+(DistB-DistA)*NORMSDIST(I2114)),"")</f>
        <v/>
      </c>
      <c r="K2114">
        <f>IF(B2114,INDEX(MineScale,C2114),"")</f>
        <v/>
      </c>
      <c r="L2114">
        <f>IF(B2114,INDEX(Dow,1,WEEKDAY(E2114,2)),"")</f>
        <v/>
      </c>
      <c r="M2114">
        <f>IF(B2114,(1+Trend)^D2114,"")</f>
        <v/>
      </c>
      <c r="N2114">
        <f>IF(B2114,EXP(SUMPRODUCT(LN(1+(EvEff-1)*INDEX(Affected,0,C2114)*EXP(-((E2114-EvCenter)^2)/(2*EvSigma^2))))),"")</f>
        <v/>
      </c>
      <c r="O2114">
        <f>IF(B2114,ROUND(MAX(0,J2114*K2114*L2114*M2114*N2114),2),"")</f>
        <v/>
      </c>
    </row>
    <row r="2115">
      <c r="A2115" t="n">
        <v>2114</v>
      </c>
      <c r="B2115">
        <f>A2115&lt;=MineCount*Days</f>
        <v/>
      </c>
      <c r="C2115">
        <f>IF(B2115,INT((A2115-1)/Days)+1,"")</f>
        <v/>
      </c>
      <c r="D2115">
        <f>IF(B2115,MOD(A2115-1,Days),"")</f>
        <v/>
      </c>
      <c r="E2115" s="16">
        <f>IF(B2115,StartDate+D2115,"")</f>
        <v/>
      </c>
      <c r="F2115">
        <f>IF(B2115,MAX(MOD(SIN(Seed*0.1373+C2115*12.9898+D2115*78.233)*43758.5453,1),1E-9),"")</f>
        <v/>
      </c>
      <c r="G2115">
        <f>IF(B2115,MOD(SIN(Seed*0.5917+C2115*39.3468+D2115*11.135)*24634.6345,1),"")</f>
        <v/>
      </c>
      <c r="H2115">
        <f>IF(B2115,SQRT(-2*LN(F2115))*COS(2*PI()*G2115),"")</f>
        <v/>
      </c>
      <c r="I2115">
        <f>IF(B2115,IF(D2115=0,H2115,Rho*I2114+SQRT(1-Rho^2)*H2115),"")</f>
        <v/>
      </c>
      <c r="J2115">
        <f>IF(B2115,IF(Dist="Normal",DistA+DistB*I2115,DistA+(DistB-DistA)*NORMSDIST(I2115)),"")</f>
        <v/>
      </c>
      <c r="K2115">
        <f>IF(B2115,INDEX(MineScale,C2115),"")</f>
        <v/>
      </c>
      <c r="L2115">
        <f>IF(B2115,INDEX(Dow,1,WEEKDAY(E2115,2)),"")</f>
        <v/>
      </c>
      <c r="M2115">
        <f>IF(B2115,(1+Trend)^D2115,"")</f>
        <v/>
      </c>
      <c r="N2115">
        <f>IF(B2115,EXP(SUMPRODUCT(LN(1+(EvEff-1)*INDEX(Affected,0,C2115)*EXP(-((E2115-EvCenter)^2)/(2*EvSigma^2))))),"")</f>
        <v/>
      </c>
      <c r="O2115">
        <f>IF(B2115,ROUND(MAX(0,J2115*K2115*L2115*M2115*N2115),2),"")</f>
        <v/>
      </c>
    </row>
    <row r="2116">
      <c r="A2116" t="n">
        <v>2115</v>
      </c>
      <c r="B2116">
        <f>A2116&lt;=MineCount*Days</f>
        <v/>
      </c>
      <c r="C2116">
        <f>IF(B2116,INT((A2116-1)/Days)+1,"")</f>
        <v/>
      </c>
      <c r="D2116">
        <f>IF(B2116,MOD(A2116-1,Days),"")</f>
        <v/>
      </c>
      <c r="E2116" s="16">
        <f>IF(B2116,StartDate+D2116,"")</f>
        <v/>
      </c>
      <c r="F2116">
        <f>IF(B2116,MAX(MOD(SIN(Seed*0.1373+C2116*12.9898+D2116*78.233)*43758.5453,1),1E-9),"")</f>
        <v/>
      </c>
      <c r="G2116">
        <f>IF(B2116,MOD(SIN(Seed*0.5917+C2116*39.3468+D2116*11.135)*24634.6345,1),"")</f>
        <v/>
      </c>
      <c r="H2116">
        <f>IF(B2116,SQRT(-2*LN(F2116))*COS(2*PI()*G2116),"")</f>
        <v/>
      </c>
      <c r="I2116">
        <f>IF(B2116,IF(D2116=0,H2116,Rho*I2115+SQRT(1-Rho^2)*H2116),"")</f>
        <v/>
      </c>
      <c r="J2116">
        <f>IF(B2116,IF(Dist="Normal",DistA+DistB*I2116,DistA+(DistB-DistA)*NORMSDIST(I2116)),"")</f>
        <v/>
      </c>
      <c r="K2116">
        <f>IF(B2116,INDEX(MineScale,C2116),"")</f>
        <v/>
      </c>
      <c r="L2116">
        <f>IF(B2116,INDEX(Dow,1,WEEKDAY(E2116,2)),"")</f>
        <v/>
      </c>
      <c r="M2116">
        <f>IF(B2116,(1+Trend)^D2116,"")</f>
        <v/>
      </c>
      <c r="N2116">
        <f>IF(B2116,EXP(SUMPRODUCT(LN(1+(EvEff-1)*INDEX(Affected,0,C2116)*EXP(-((E2116-EvCenter)^2)/(2*EvSigma^2))))),"")</f>
        <v/>
      </c>
      <c r="O2116">
        <f>IF(B2116,ROUND(MAX(0,J2116*K2116*L2116*M2116*N2116),2),"")</f>
        <v/>
      </c>
    </row>
    <row r="2117">
      <c r="A2117" t="n">
        <v>2116</v>
      </c>
      <c r="B2117">
        <f>A2117&lt;=MineCount*Days</f>
        <v/>
      </c>
      <c r="C2117">
        <f>IF(B2117,INT((A2117-1)/Days)+1,"")</f>
        <v/>
      </c>
      <c r="D2117">
        <f>IF(B2117,MOD(A2117-1,Days),"")</f>
        <v/>
      </c>
      <c r="E2117" s="16">
        <f>IF(B2117,StartDate+D2117,"")</f>
        <v/>
      </c>
      <c r="F2117">
        <f>IF(B2117,MAX(MOD(SIN(Seed*0.1373+C2117*12.9898+D2117*78.233)*43758.5453,1),1E-9),"")</f>
        <v/>
      </c>
      <c r="G2117">
        <f>IF(B2117,MOD(SIN(Seed*0.5917+C2117*39.3468+D2117*11.135)*24634.6345,1),"")</f>
        <v/>
      </c>
      <c r="H2117">
        <f>IF(B2117,SQRT(-2*LN(F2117))*COS(2*PI()*G2117),"")</f>
        <v/>
      </c>
      <c r="I2117">
        <f>IF(B2117,IF(D2117=0,H2117,Rho*I2116+SQRT(1-Rho^2)*H2117),"")</f>
        <v/>
      </c>
      <c r="J2117">
        <f>IF(B2117,IF(Dist="Normal",DistA+DistB*I2117,DistA+(DistB-DistA)*NORMSDIST(I2117)),"")</f>
        <v/>
      </c>
      <c r="K2117">
        <f>IF(B2117,INDEX(MineScale,C2117),"")</f>
        <v/>
      </c>
      <c r="L2117">
        <f>IF(B2117,INDEX(Dow,1,WEEKDAY(E2117,2)),"")</f>
        <v/>
      </c>
      <c r="M2117">
        <f>IF(B2117,(1+Trend)^D2117,"")</f>
        <v/>
      </c>
      <c r="N2117">
        <f>IF(B2117,EXP(SUMPRODUCT(LN(1+(EvEff-1)*INDEX(Affected,0,C2117)*EXP(-((E2117-EvCenter)^2)/(2*EvSigma^2))))),"")</f>
        <v/>
      </c>
      <c r="O2117">
        <f>IF(B2117,ROUND(MAX(0,J2117*K2117*L2117*M2117*N2117),2),"")</f>
        <v/>
      </c>
    </row>
    <row r="2118">
      <c r="A2118" t="n">
        <v>2117</v>
      </c>
      <c r="B2118">
        <f>A2118&lt;=MineCount*Days</f>
        <v/>
      </c>
      <c r="C2118">
        <f>IF(B2118,INT((A2118-1)/Days)+1,"")</f>
        <v/>
      </c>
      <c r="D2118">
        <f>IF(B2118,MOD(A2118-1,Days),"")</f>
        <v/>
      </c>
      <c r="E2118" s="16">
        <f>IF(B2118,StartDate+D2118,"")</f>
        <v/>
      </c>
      <c r="F2118">
        <f>IF(B2118,MAX(MOD(SIN(Seed*0.1373+C2118*12.9898+D2118*78.233)*43758.5453,1),1E-9),"")</f>
        <v/>
      </c>
      <c r="G2118">
        <f>IF(B2118,MOD(SIN(Seed*0.5917+C2118*39.3468+D2118*11.135)*24634.6345,1),"")</f>
        <v/>
      </c>
      <c r="H2118">
        <f>IF(B2118,SQRT(-2*LN(F2118))*COS(2*PI()*G2118),"")</f>
        <v/>
      </c>
      <c r="I2118">
        <f>IF(B2118,IF(D2118=0,H2118,Rho*I2117+SQRT(1-Rho^2)*H2118),"")</f>
        <v/>
      </c>
      <c r="J2118">
        <f>IF(B2118,IF(Dist="Normal",DistA+DistB*I2118,DistA+(DistB-DistA)*NORMSDIST(I2118)),"")</f>
        <v/>
      </c>
      <c r="K2118">
        <f>IF(B2118,INDEX(MineScale,C2118),"")</f>
        <v/>
      </c>
      <c r="L2118">
        <f>IF(B2118,INDEX(Dow,1,WEEKDAY(E2118,2)),"")</f>
        <v/>
      </c>
      <c r="M2118">
        <f>IF(B2118,(1+Trend)^D2118,"")</f>
        <v/>
      </c>
      <c r="N2118">
        <f>IF(B2118,EXP(SUMPRODUCT(LN(1+(EvEff-1)*INDEX(Affected,0,C2118)*EXP(-((E2118-EvCenter)^2)/(2*EvSigma^2))))),"")</f>
        <v/>
      </c>
      <c r="O2118">
        <f>IF(B2118,ROUND(MAX(0,J2118*K2118*L2118*M2118*N2118),2),"")</f>
        <v/>
      </c>
    </row>
    <row r="2119">
      <c r="A2119" t="n">
        <v>2118</v>
      </c>
      <c r="B2119">
        <f>A2119&lt;=MineCount*Days</f>
        <v/>
      </c>
      <c r="C2119">
        <f>IF(B2119,INT((A2119-1)/Days)+1,"")</f>
        <v/>
      </c>
      <c r="D2119">
        <f>IF(B2119,MOD(A2119-1,Days),"")</f>
        <v/>
      </c>
      <c r="E2119" s="16">
        <f>IF(B2119,StartDate+D2119,"")</f>
        <v/>
      </c>
      <c r="F2119">
        <f>IF(B2119,MAX(MOD(SIN(Seed*0.1373+C2119*12.9898+D2119*78.233)*43758.5453,1),1E-9),"")</f>
        <v/>
      </c>
      <c r="G2119">
        <f>IF(B2119,MOD(SIN(Seed*0.5917+C2119*39.3468+D2119*11.135)*24634.6345,1),"")</f>
        <v/>
      </c>
      <c r="H2119">
        <f>IF(B2119,SQRT(-2*LN(F2119))*COS(2*PI()*G2119),"")</f>
        <v/>
      </c>
      <c r="I2119">
        <f>IF(B2119,IF(D2119=0,H2119,Rho*I2118+SQRT(1-Rho^2)*H2119),"")</f>
        <v/>
      </c>
      <c r="J2119">
        <f>IF(B2119,IF(Dist="Normal",DistA+DistB*I2119,DistA+(DistB-DistA)*NORMSDIST(I2119)),"")</f>
        <v/>
      </c>
      <c r="K2119">
        <f>IF(B2119,INDEX(MineScale,C2119),"")</f>
        <v/>
      </c>
      <c r="L2119">
        <f>IF(B2119,INDEX(Dow,1,WEEKDAY(E2119,2)),"")</f>
        <v/>
      </c>
      <c r="M2119">
        <f>IF(B2119,(1+Trend)^D2119,"")</f>
        <v/>
      </c>
      <c r="N2119">
        <f>IF(B2119,EXP(SUMPRODUCT(LN(1+(EvEff-1)*INDEX(Affected,0,C2119)*EXP(-((E2119-EvCenter)^2)/(2*EvSigma^2))))),"")</f>
        <v/>
      </c>
      <c r="O2119">
        <f>IF(B2119,ROUND(MAX(0,J2119*K2119*L2119*M2119*N2119),2),"")</f>
        <v/>
      </c>
    </row>
    <row r="2120">
      <c r="A2120" t="n">
        <v>2119</v>
      </c>
      <c r="B2120">
        <f>A2120&lt;=MineCount*Days</f>
        <v/>
      </c>
      <c r="C2120">
        <f>IF(B2120,INT((A2120-1)/Days)+1,"")</f>
        <v/>
      </c>
      <c r="D2120">
        <f>IF(B2120,MOD(A2120-1,Days),"")</f>
        <v/>
      </c>
      <c r="E2120" s="16">
        <f>IF(B2120,StartDate+D2120,"")</f>
        <v/>
      </c>
      <c r="F2120">
        <f>IF(B2120,MAX(MOD(SIN(Seed*0.1373+C2120*12.9898+D2120*78.233)*43758.5453,1),1E-9),"")</f>
        <v/>
      </c>
      <c r="G2120">
        <f>IF(B2120,MOD(SIN(Seed*0.5917+C2120*39.3468+D2120*11.135)*24634.6345,1),"")</f>
        <v/>
      </c>
      <c r="H2120">
        <f>IF(B2120,SQRT(-2*LN(F2120))*COS(2*PI()*G2120),"")</f>
        <v/>
      </c>
      <c r="I2120">
        <f>IF(B2120,IF(D2120=0,H2120,Rho*I2119+SQRT(1-Rho^2)*H2120),"")</f>
        <v/>
      </c>
      <c r="J2120">
        <f>IF(B2120,IF(Dist="Normal",DistA+DistB*I2120,DistA+(DistB-DistA)*NORMSDIST(I2120)),"")</f>
        <v/>
      </c>
      <c r="K2120">
        <f>IF(B2120,INDEX(MineScale,C2120),"")</f>
        <v/>
      </c>
      <c r="L2120">
        <f>IF(B2120,INDEX(Dow,1,WEEKDAY(E2120,2)),"")</f>
        <v/>
      </c>
      <c r="M2120">
        <f>IF(B2120,(1+Trend)^D2120,"")</f>
        <v/>
      </c>
      <c r="N2120">
        <f>IF(B2120,EXP(SUMPRODUCT(LN(1+(EvEff-1)*INDEX(Affected,0,C2120)*EXP(-((E2120-EvCenter)^2)/(2*EvSigma^2))))),"")</f>
        <v/>
      </c>
      <c r="O2120">
        <f>IF(B2120,ROUND(MAX(0,J2120*K2120*L2120*M2120*N2120),2),"")</f>
        <v/>
      </c>
    </row>
    <row r="2121">
      <c r="A2121" t="n">
        <v>2120</v>
      </c>
      <c r="B2121">
        <f>A2121&lt;=MineCount*Days</f>
        <v/>
      </c>
      <c r="C2121">
        <f>IF(B2121,INT((A2121-1)/Days)+1,"")</f>
        <v/>
      </c>
      <c r="D2121">
        <f>IF(B2121,MOD(A2121-1,Days),"")</f>
        <v/>
      </c>
      <c r="E2121" s="16">
        <f>IF(B2121,StartDate+D2121,"")</f>
        <v/>
      </c>
      <c r="F2121">
        <f>IF(B2121,MAX(MOD(SIN(Seed*0.1373+C2121*12.9898+D2121*78.233)*43758.5453,1),1E-9),"")</f>
        <v/>
      </c>
      <c r="G2121">
        <f>IF(B2121,MOD(SIN(Seed*0.5917+C2121*39.3468+D2121*11.135)*24634.6345,1),"")</f>
        <v/>
      </c>
      <c r="H2121">
        <f>IF(B2121,SQRT(-2*LN(F2121))*COS(2*PI()*G2121),"")</f>
        <v/>
      </c>
      <c r="I2121">
        <f>IF(B2121,IF(D2121=0,H2121,Rho*I2120+SQRT(1-Rho^2)*H2121),"")</f>
        <v/>
      </c>
      <c r="J2121">
        <f>IF(B2121,IF(Dist="Normal",DistA+DistB*I2121,DistA+(DistB-DistA)*NORMSDIST(I2121)),"")</f>
        <v/>
      </c>
      <c r="K2121">
        <f>IF(B2121,INDEX(MineScale,C2121),"")</f>
        <v/>
      </c>
      <c r="L2121">
        <f>IF(B2121,INDEX(Dow,1,WEEKDAY(E2121,2)),"")</f>
        <v/>
      </c>
      <c r="M2121">
        <f>IF(B2121,(1+Trend)^D2121,"")</f>
        <v/>
      </c>
      <c r="N2121">
        <f>IF(B2121,EXP(SUMPRODUCT(LN(1+(EvEff-1)*INDEX(Affected,0,C2121)*EXP(-((E2121-EvCenter)^2)/(2*EvSigma^2))))),"")</f>
        <v/>
      </c>
      <c r="O2121">
        <f>IF(B2121,ROUND(MAX(0,J2121*K2121*L2121*M2121*N2121),2),"")</f>
        <v/>
      </c>
    </row>
    <row r="2122">
      <c r="A2122" t="n">
        <v>2121</v>
      </c>
      <c r="B2122">
        <f>A2122&lt;=MineCount*Days</f>
        <v/>
      </c>
      <c r="C2122">
        <f>IF(B2122,INT((A2122-1)/Days)+1,"")</f>
        <v/>
      </c>
      <c r="D2122">
        <f>IF(B2122,MOD(A2122-1,Days),"")</f>
        <v/>
      </c>
      <c r="E2122" s="16">
        <f>IF(B2122,StartDate+D2122,"")</f>
        <v/>
      </c>
      <c r="F2122">
        <f>IF(B2122,MAX(MOD(SIN(Seed*0.1373+C2122*12.9898+D2122*78.233)*43758.5453,1),1E-9),"")</f>
        <v/>
      </c>
      <c r="G2122">
        <f>IF(B2122,MOD(SIN(Seed*0.5917+C2122*39.3468+D2122*11.135)*24634.6345,1),"")</f>
        <v/>
      </c>
      <c r="H2122">
        <f>IF(B2122,SQRT(-2*LN(F2122))*COS(2*PI()*G2122),"")</f>
        <v/>
      </c>
      <c r="I2122">
        <f>IF(B2122,IF(D2122=0,H2122,Rho*I2121+SQRT(1-Rho^2)*H2122),"")</f>
        <v/>
      </c>
      <c r="J2122">
        <f>IF(B2122,IF(Dist="Normal",DistA+DistB*I2122,DistA+(DistB-DistA)*NORMSDIST(I2122)),"")</f>
        <v/>
      </c>
      <c r="K2122">
        <f>IF(B2122,INDEX(MineScale,C2122),"")</f>
        <v/>
      </c>
      <c r="L2122">
        <f>IF(B2122,INDEX(Dow,1,WEEKDAY(E2122,2)),"")</f>
        <v/>
      </c>
      <c r="M2122">
        <f>IF(B2122,(1+Trend)^D2122,"")</f>
        <v/>
      </c>
      <c r="N2122">
        <f>IF(B2122,EXP(SUMPRODUCT(LN(1+(EvEff-1)*INDEX(Affected,0,C2122)*EXP(-((E2122-EvCenter)^2)/(2*EvSigma^2))))),"")</f>
        <v/>
      </c>
      <c r="O2122">
        <f>IF(B2122,ROUND(MAX(0,J2122*K2122*L2122*M2122*N2122),2),"")</f>
        <v/>
      </c>
    </row>
    <row r="2123">
      <c r="A2123" t="n">
        <v>2122</v>
      </c>
      <c r="B2123">
        <f>A2123&lt;=MineCount*Days</f>
        <v/>
      </c>
      <c r="C2123">
        <f>IF(B2123,INT((A2123-1)/Days)+1,"")</f>
        <v/>
      </c>
      <c r="D2123">
        <f>IF(B2123,MOD(A2123-1,Days),"")</f>
        <v/>
      </c>
      <c r="E2123" s="16">
        <f>IF(B2123,StartDate+D2123,"")</f>
        <v/>
      </c>
      <c r="F2123">
        <f>IF(B2123,MAX(MOD(SIN(Seed*0.1373+C2123*12.9898+D2123*78.233)*43758.5453,1),1E-9),"")</f>
        <v/>
      </c>
      <c r="G2123">
        <f>IF(B2123,MOD(SIN(Seed*0.5917+C2123*39.3468+D2123*11.135)*24634.6345,1),"")</f>
        <v/>
      </c>
      <c r="H2123">
        <f>IF(B2123,SQRT(-2*LN(F2123))*COS(2*PI()*G2123),"")</f>
        <v/>
      </c>
      <c r="I2123">
        <f>IF(B2123,IF(D2123=0,H2123,Rho*I2122+SQRT(1-Rho^2)*H2123),"")</f>
        <v/>
      </c>
      <c r="J2123">
        <f>IF(B2123,IF(Dist="Normal",DistA+DistB*I2123,DistA+(DistB-DistA)*NORMSDIST(I2123)),"")</f>
        <v/>
      </c>
      <c r="K2123">
        <f>IF(B2123,INDEX(MineScale,C2123),"")</f>
        <v/>
      </c>
      <c r="L2123">
        <f>IF(B2123,INDEX(Dow,1,WEEKDAY(E2123,2)),"")</f>
        <v/>
      </c>
      <c r="M2123">
        <f>IF(B2123,(1+Trend)^D2123,"")</f>
        <v/>
      </c>
      <c r="N2123">
        <f>IF(B2123,EXP(SUMPRODUCT(LN(1+(EvEff-1)*INDEX(Affected,0,C2123)*EXP(-((E2123-EvCenter)^2)/(2*EvSigma^2))))),"")</f>
        <v/>
      </c>
      <c r="O2123">
        <f>IF(B2123,ROUND(MAX(0,J2123*K2123*L2123*M2123*N2123),2),"")</f>
        <v/>
      </c>
    </row>
    <row r="2124">
      <c r="A2124" t="n">
        <v>2123</v>
      </c>
      <c r="B2124">
        <f>A2124&lt;=MineCount*Days</f>
        <v/>
      </c>
      <c r="C2124">
        <f>IF(B2124,INT((A2124-1)/Days)+1,"")</f>
        <v/>
      </c>
      <c r="D2124">
        <f>IF(B2124,MOD(A2124-1,Days),"")</f>
        <v/>
      </c>
      <c r="E2124" s="16">
        <f>IF(B2124,StartDate+D2124,"")</f>
        <v/>
      </c>
      <c r="F2124">
        <f>IF(B2124,MAX(MOD(SIN(Seed*0.1373+C2124*12.9898+D2124*78.233)*43758.5453,1),1E-9),"")</f>
        <v/>
      </c>
      <c r="G2124">
        <f>IF(B2124,MOD(SIN(Seed*0.5917+C2124*39.3468+D2124*11.135)*24634.6345,1),"")</f>
        <v/>
      </c>
      <c r="H2124">
        <f>IF(B2124,SQRT(-2*LN(F2124))*COS(2*PI()*G2124),"")</f>
        <v/>
      </c>
      <c r="I2124">
        <f>IF(B2124,IF(D2124=0,H2124,Rho*I2123+SQRT(1-Rho^2)*H2124),"")</f>
        <v/>
      </c>
      <c r="J2124">
        <f>IF(B2124,IF(Dist="Normal",DistA+DistB*I2124,DistA+(DistB-DistA)*NORMSDIST(I2124)),"")</f>
        <v/>
      </c>
      <c r="K2124">
        <f>IF(B2124,INDEX(MineScale,C2124),"")</f>
        <v/>
      </c>
      <c r="L2124">
        <f>IF(B2124,INDEX(Dow,1,WEEKDAY(E2124,2)),"")</f>
        <v/>
      </c>
      <c r="M2124">
        <f>IF(B2124,(1+Trend)^D2124,"")</f>
        <v/>
      </c>
      <c r="N2124">
        <f>IF(B2124,EXP(SUMPRODUCT(LN(1+(EvEff-1)*INDEX(Affected,0,C2124)*EXP(-((E2124-EvCenter)^2)/(2*EvSigma^2))))),"")</f>
        <v/>
      </c>
      <c r="O2124">
        <f>IF(B2124,ROUND(MAX(0,J2124*K2124*L2124*M2124*N2124),2),"")</f>
        <v/>
      </c>
    </row>
    <row r="2125">
      <c r="A2125" t="n">
        <v>2124</v>
      </c>
      <c r="B2125">
        <f>A2125&lt;=MineCount*Days</f>
        <v/>
      </c>
      <c r="C2125">
        <f>IF(B2125,INT((A2125-1)/Days)+1,"")</f>
        <v/>
      </c>
      <c r="D2125">
        <f>IF(B2125,MOD(A2125-1,Days),"")</f>
        <v/>
      </c>
      <c r="E2125" s="16">
        <f>IF(B2125,StartDate+D2125,"")</f>
        <v/>
      </c>
      <c r="F2125">
        <f>IF(B2125,MAX(MOD(SIN(Seed*0.1373+C2125*12.9898+D2125*78.233)*43758.5453,1),1E-9),"")</f>
        <v/>
      </c>
      <c r="G2125">
        <f>IF(B2125,MOD(SIN(Seed*0.5917+C2125*39.3468+D2125*11.135)*24634.6345,1),"")</f>
        <v/>
      </c>
      <c r="H2125">
        <f>IF(B2125,SQRT(-2*LN(F2125))*COS(2*PI()*G2125),"")</f>
        <v/>
      </c>
      <c r="I2125">
        <f>IF(B2125,IF(D2125=0,H2125,Rho*I2124+SQRT(1-Rho^2)*H2125),"")</f>
        <v/>
      </c>
      <c r="J2125">
        <f>IF(B2125,IF(Dist="Normal",DistA+DistB*I2125,DistA+(DistB-DistA)*NORMSDIST(I2125)),"")</f>
        <v/>
      </c>
      <c r="K2125">
        <f>IF(B2125,INDEX(MineScale,C2125),"")</f>
        <v/>
      </c>
      <c r="L2125">
        <f>IF(B2125,INDEX(Dow,1,WEEKDAY(E2125,2)),"")</f>
        <v/>
      </c>
      <c r="M2125">
        <f>IF(B2125,(1+Trend)^D2125,"")</f>
        <v/>
      </c>
      <c r="N2125">
        <f>IF(B2125,EXP(SUMPRODUCT(LN(1+(EvEff-1)*INDEX(Affected,0,C2125)*EXP(-((E2125-EvCenter)^2)/(2*EvSigma^2))))),"")</f>
        <v/>
      </c>
      <c r="O2125">
        <f>IF(B2125,ROUND(MAX(0,J2125*K2125*L2125*M2125*N2125),2),"")</f>
        <v/>
      </c>
    </row>
    <row r="2126">
      <c r="A2126" t="n">
        <v>2125</v>
      </c>
      <c r="B2126">
        <f>A2126&lt;=MineCount*Days</f>
        <v/>
      </c>
      <c r="C2126">
        <f>IF(B2126,INT((A2126-1)/Days)+1,"")</f>
        <v/>
      </c>
      <c r="D2126">
        <f>IF(B2126,MOD(A2126-1,Days),"")</f>
        <v/>
      </c>
      <c r="E2126" s="16">
        <f>IF(B2126,StartDate+D2126,"")</f>
        <v/>
      </c>
      <c r="F2126">
        <f>IF(B2126,MAX(MOD(SIN(Seed*0.1373+C2126*12.9898+D2126*78.233)*43758.5453,1),1E-9),"")</f>
        <v/>
      </c>
      <c r="G2126">
        <f>IF(B2126,MOD(SIN(Seed*0.5917+C2126*39.3468+D2126*11.135)*24634.6345,1),"")</f>
        <v/>
      </c>
      <c r="H2126">
        <f>IF(B2126,SQRT(-2*LN(F2126))*COS(2*PI()*G2126),"")</f>
        <v/>
      </c>
      <c r="I2126">
        <f>IF(B2126,IF(D2126=0,H2126,Rho*I2125+SQRT(1-Rho^2)*H2126),"")</f>
        <v/>
      </c>
      <c r="J2126">
        <f>IF(B2126,IF(Dist="Normal",DistA+DistB*I2126,DistA+(DistB-DistA)*NORMSDIST(I2126)),"")</f>
        <v/>
      </c>
      <c r="K2126">
        <f>IF(B2126,INDEX(MineScale,C2126),"")</f>
        <v/>
      </c>
      <c r="L2126">
        <f>IF(B2126,INDEX(Dow,1,WEEKDAY(E2126,2)),"")</f>
        <v/>
      </c>
      <c r="M2126">
        <f>IF(B2126,(1+Trend)^D2126,"")</f>
        <v/>
      </c>
      <c r="N2126">
        <f>IF(B2126,EXP(SUMPRODUCT(LN(1+(EvEff-1)*INDEX(Affected,0,C2126)*EXP(-((E2126-EvCenter)^2)/(2*EvSigma^2))))),"")</f>
        <v/>
      </c>
      <c r="O2126">
        <f>IF(B2126,ROUND(MAX(0,J2126*K2126*L2126*M2126*N2126),2),"")</f>
        <v/>
      </c>
    </row>
    <row r="2127">
      <c r="A2127" t="n">
        <v>2126</v>
      </c>
      <c r="B2127">
        <f>A2127&lt;=MineCount*Days</f>
        <v/>
      </c>
      <c r="C2127">
        <f>IF(B2127,INT((A2127-1)/Days)+1,"")</f>
        <v/>
      </c>
      <c r="D2127">
        <f>IF(B2127,MOD(A2127-1,Days),"")</f>
        <v/>
      </c>
      <c r="E2127" s="16">
        <f>IF(B2127,StartDate+D2127,"")</f>
        <v/>
      </c>
      <c r="F2127">
        <f>IF(B2127,MAX(MOD(SIN(Seed*0.1373+C2127*12.9898+D2127*78.233)*43758.5453,1),1E-9),"")</f>
        <v/>
      </c>
      <c r="G2127">
        <f>IF(B2127,MOD(SIN(Seed*0.5917+C2127*39.3468+D2127*11.135)*24634.6345,1),"")</f>
        <v/>
      </c>
      <c r="H2127">
        <f>IF(B2127,SQRT(-2*LN(F2127))*COS(2*PI()*G2127),"")</f>
        <v/>
      </c>
      <c r="I2127">
        <f>IF(B2127,IF(D2127=0,H2127,Rho*I2126+SQRT(1-Rho^2)*H2127),"")</f>
        <v/>
      </c>
      <c r="J2127">
        <f>IF(B2127,IF(Dist="Normal",DistA+DistB*I2127,DistA+(DistB-DistA)*NORMSDIST(I2127)),"")</f>
        <v/>
      </c>
      <c r="K2127">
        <f>IF(B2127,INDEX(MineScale,C2127),"")</f>
        <v/>
      </c>
      <c r="L2127">
        <f>IF(B2127,INDEX(Dow,1,WEEKDAY(E2127,2)),"")</f>
        <v/>
      </c>
      <c r="M2127">
        <f>IF(B2127,(1+Trend)^D2127,"")</f>
        <v/>
      </c>
      <c r="N2127">
        <f>IF(B2127,EXP(SUMPRODUCT(LN(1+(EvEff-1)*INDEX(Affected,0,C2127)*EXP(-((E2127-EvCenter)^2)/(2*EvSigma^2))))),"")</f>
        <v/>
      </c>
      <c r="O2127">
        <f>IF(B2127,ROUND(MAX(0,J2127*K2127*L2127*M2127*N2127),2),"")</f>
        <v/>
      </c>
    </row>
    <row r="2128">
      <c r="A2128" t="n">
        <v>2127</v>
      </c>
      <c r="B2128">
        <f>A2128&lt;=MineCount*Days</f>
        <v/>
      </c>
      <c r="C2128">
        <f>IF(B2128,INT((A2128-1)/Days)+1,"")</f>
        <v/>
      </c>
      <c r="D2128">
        <f>IF(B2128,MOD(A2128-1,Days),"")</f>
        <v/>
      </c>
      <c r="E2128" s="16">
        <f>IF(B2128,StartDate+D2128,"")</f>
        <v/>
      </c>
      <c r="F2128">
        <f>IF(B2128,MAX(MOD(SIN(Seed*0.1373+C2128*12.9898+D2128*78.233)*43758.5453,1),1E-9),"")</f>
        <v/>
      </c>
      <c r="G2128">
        <f>IF(B2128,MOD(SIN(Seed*0.5917+C2128*39.3468+D2128*11.135)*24634.6345,1),"")</f>
        <v/>
      </c>
      <c r="H2128">
        <f>IF(B2128,SQRT(-2*LN(F2128))*COS(2*PI()*G2128),"")</f>
        <v/>
      </c>
      <c r="I2128">
        <f>IF(B2128,IF(D2128=0,H2128,Rho*I2127+SQRT(1-Rho^2)*H2128),"")</f>
        <v/>
      </c>
      <c r="J2128">
        <f>IF(B2128,IF(Dist="Normal",DistA+DistB*I2128,DistA+(DistB-DistA)*NORMSDIST(I2128)),"")</f>
        <v/>
      </c>
      <c r="K2128">
        <f>IF(B2128,INDEX(MineScale,C2128),"")</f>
        <v/>
      </c>
      <c r="L2128">
        <f>IF(B2128,INDEX(Dow,1,WEEKDAY(E2128,2)),"")</f>
        <v/>
      </c>
      <c r="M2128">
        <f>IF(B2128,(1+Trend)^D2128,"")</f>
        <v/>
      </c>
      <c r="N2128">
        <f>IF(B2128,EXP(SUMPRODUCT(LN(1+(EvEff-1)*INDEX(Affected,0,C2128)*EXP(-((E2128-EvCenter)^2)/(2*EvSigma^2))))),"")</f>
        <v/>
      </c>
      <c r="O2128">
        <f>IF(B2128,ROUND(MAX(0,J2128*K2128*L2128*M2128*N2128),2),"")</f>
        <v/>
      </c>
    </row>
    <row r="2129">
      <c r="A2129" t="n">
        <v>2128</v>
      </c>
      <c r="B2129">
        <f>A2129&lt;=MineCount*Days</f>
        <v/>
      </c>
      <c r="C2129">
        <f>IF(B2129,INT((A2129-1)/Days)+1,"")</f>
        <v/>
      </c>
      <c r="D2129">
        <f>IF(B2129,MOD(A2129-1,Days),"")</f>
        <v/>
      </c>
      <c r="E2129" s="16">
        <f>IF(B2129,StartDate+D2129,"")</f>
        <v/>
      </c>
      <c r="F2129">
        <f>IF(B2129,MAX(MOD(SIN(Seed*0.1373+C2129*12.9898+D2129*78.233)*43758.5453,1),1E-9),"")</f>
        <v/>
      </c>
      <c r="G2129">
        <f>IF(B2129,MOD(SIN(Seed*0.5917+C2129*39.3468+D2129*11.135)*24634.6345,1),"")</f>
        <v/>
      </c>
      <c r="H2129">
        <f>IF(B2129,SQRT(-2*LN(F2129))*COS(2*PI()*G2129),"")</f>
        <v/>
      </c>
      <c r="I2129">
        <f>IF(B2129,IF(D2129=0,H2129,Rho*I2128+SQRT(1-Rho^2)*H2129),"")</f>
        <v/>
      </c>
      <c r="J2129">
        <f>IF(B2129,IF(Dist="Normal",DistA+DistB*I2129,DistA+(DistB-DistA)*NORMSDIST(I2129)),"")</f>
        <v/>
      </c>
      <c r="K2129">
        <f>IF(B2129,INDEX(MineScale,C2129),"")</f>
        <v/>
      </c>
      <c r="L2129">
        <f>IF(B2129,INDEX(Dow,1,WEEKDAY(E2129,2)),"")</f>
        <v/>
      </c>
      <c r="M2129">
        <f>IF(B2129,(1+Trend)^D2129,"")</f>
        <v/>
      </c>
      <c r="N2129">
        <f>IF(B2129,EXP(SUMPRODUCT(LN(1+(EvEff-1)*INDEX(Affected,0,C2129)*EXP(-((E2129-EvCenter)^2)/(2*EvSigma^2))))),"")</f>
        <v/>
      </c>
      <c r="O2129">
        <f>IF(B2129,ROUND(MAX(0,J2129*K2129*L2129*M2129*N2129),2),"")</f>
        <v/>
      </c>
    </row>
    <row r="2130">
      <c r="A2130" t="n">
        <v>2129</v>
      </c>
      <c r="B2130">
        <f>A2130&lt;=MineCount*Days</f>
        <v/>
      </c>
      <c r="C2130">
        <f>IF(B2130,INT((A2130-1)/Days)+1,"")</f>
        <v/>
      </c>
      <c r="D2130">
        <f>IF(B2130,MOD(A2130-1,Days),"")</f>
        <v/>
      </c>
      <c r="E2130" s="16">
        <f>IF(B2130,StartDate+D2130,"")</f>
        <v/>
      </c>
      <c r="F2130">
        <f>IF(B2130,MAX(MOD(SIN(Seed*0.1373+C2130*12.9898+D2130*78.233)*43758.5453,1),1E-9),"")</f>
        <v/>
      </c>
      <c r="G2130">
        <f>IF(B2130,MOD(SIN(Seed*0.5917+C2130*39.3468+D2130*11.135)*24634.6345,1),"")</f>
        <v/>
      </c>
      <c r="H2130">
        <f>IF(B2130,SQRT(-2*LN(F2130))*COS(2*PI()*G2130),"")</f>
        <v/>
      </c>
      <c r="I2130">
        <f>IF(B2130,IF(D2130=0,H2130,Rho*I2129+SQRT(1-Rho^2)*H2130),"")</f>
        <v/>
      </c>
      <c r="J2130">
        <f>IF(B2130,IF(Dist="Normal",DistA+DistB*I2130,DistA+(DistB-DistA)*NORMSDIST(I2130)),"")</f>
        <v/>
      </c>
      <c r="K2130">
        <f>IF(B2130,INDEX(MineScale,C2130),"")</f>
        <v/>
      </c>
      <c r="L2130">
        <f>IF(B2130,INDEX(Dow,1,WEEKDAY(E2130,2)),"")</f>
        <v/>
      </c>
      <c r="M2130">
        <f>IF(B2130,(1+Trend)^D2130,"")</f>
        <v/>
      </c>
      <c r="N2130">
        <f>IF(B2130,EXP(SUMPRODUCT(LN(1+(EvEff-1)*INDEX(Affected,0,C2130)*EXP(-((E2130-EvCenter)^2)/(2*EvSigma^2))))),"")</f>
        <v/>
      </c>
      <c r="O2130">
        <f>IF(B2130,ROUND(MAX(0,J2130*K2130*L2130*M2130*N2130),2),"")</f>
        <v/>
      </c>
    </row>
    <row r="2131">
      <c r="A2131" t="n">
        <v>2130</v>
      </c>
      <c r="B2131">
        <f>A2131&lt;=MineCount*Days</f>
        <v/>
      </c>
      <c r="C2131">
        <f>IF(B2131,INT((A2131-1)/Days)+1,"")</f>
        <v/>
      </c>
      <c r="D2131">
        <f>IF(B2131,MOD(A2131-1,Days),"")</f>
        <v/>
      </c>
      <c r="E2131" s="16">
        <f>IF(B2131,StartDate+D2131,"")</f>
        <v/>
      </c>
      <c r="F2131">
        <f>IF(B2131,MAX(MOD(SIN(Seed*0.1373+C2131*12.9898+D2131*78.233)*43758.5453,1),1E-9),"")</f>
        <v/>
      </c>
      <c r="G2131">
        <f>IF(B2131,MOD(SIN(Seed*0.5917+C2131*39.3468+D2131*11.135)*24634.6345,1),"")</f>
        <v/>
      </c>
      <c r="H2131">
        <f>IF(B2131,SQRT(-2*LN(F2131))*COS(2*PI()*G2131),"")</f>
        <v/>
      </c>
      <c r="I2131">
        <f>IF(B2131,IF(D2131=0,H2131,Rho*I2130+SQRT(1-Rho^2)*H2131),"")</f>
        <v/>
      </c>
      <c r="J2131">
        <f>IF(B2131,IF(Dist="Normal",DistA+DistB*I2131,DistA+(DistB-DistA)*NORMSDIST(I2131)),"")</f>
        <v/>
      </c>
      <c r="K2131">
        <f>IF(B2131,INDEX(MineScale,C2131),"")</f>
        <v/>
      </c>
      <c r="L2131">
        <f>IF(B2131,INDEX(Dow,1,WEEKDAY(E2131,2)),"")</f>
        <v/>
      </c>
      <c r="M2131">
        <f>IF(B2131,(1+Trend)^D2131,"")</f>
        <v/>
      </c>
      <c r="N2131">
        <f>IF(B2131,EXP(SUMPRODUCT(LN(1+(EvEff-1)*INDEX(Affected,0,C2131)*EXP(-((E2131-EvCenter)^2)/(2*EvSigma^2))))),"")</f>
        <v/>
      </c>
      <c r="O2131">
        <f>IF(B2131,ROUND(MAX(0,J2131*K2131*L2131*M2131*N2131),2),"")</f>
        <v/>
      </c>
    </row>
    <row r="2132">
      <c r="A2132" t="n">
        <v>2131</v>
      </c>
      <c r="B2132">
        <f>A2132&lt;=MineCount*Days</f>
        <v/>
      </c>
      <c r="C2132">
        <f>IF(B2132,INT((A2132-1)/Days)+1,"")</f>
        <v/>
      </c>
      <c r="D2132">
        <f>IF(B2132,MOD(A2132-1,Days),"")</f>
        <v/>
      </c>
      <c r="E2132" s="16">
        <f>IF(B2132,StartDate+D2132,"")</f>
        <v/>
      </c>
      <c r="F2132">
        <f>IF(B2132,MAX(MOD(SIN(Seed*0.1373+C2132*12.9898+D2132*78.233)*43758.5453,1),1E-9),"")</f>
        <v/>
      </c>
      <c r="G2132">
        <f>IF(B2132,MOD(SIN(Seed*0.5917+C2132*39.3468+D2132*11.135)*24634.6345,1),"")</f>
        <v/>
      </c>
      <c r="H2132">
        <f>IF(B2132,SQRT(-2*LN(F2132))*COS(2*PI()*G2132),"")</f>
        <v/>
      </c>
      <c r="I2132">
        <f>IF(B2132,IF(D2132=0,H2132,Rho*I2131+SQRT(1-Rho^2)*H2132),"")</f>
        <v/>
      </c>
      <c r="J2132">
        <f>IF(B2132,IF(Dist="Normal",DistA+DistB*I2132,DistA+(DistB-DistA)*NORMSDIST(I2132)),"")</f>
        <v/>
      </c>
      <c r="K2132">
        <f>IF(B2132,INDEX(MineScale,C2132),"")</f>
        <v/>
      </c>
      <c r="L2132">
        <f>IF(B2132,INDEX(Dow,1,WEEKDAY(E2132,2)),"")</f>
        <v/>
      </c>
      <c r="M2132">
        <f>IF(B2132,(1+Trend)^D2132,"")</f>
        <v/>
      </c>
      <c r="N2132">
        <f>IF(B2132,EXP(SUMPRODUCT(LN(1+(EvEff-1)*INDEX(Affected,0,C2132)*EXP(-((E2132-EvCenter)^2)/(2*EvSigma^2))))),"")</f>
        <v/>
      </c>
      <c r="O2132">
        <f>IF(B2132,ROUND(MAX(0,J2132*K2132*L2132*M2132*N2132),2),"")</f>
        <v/>
      </c>
    </row>
    <row r="2133">
      <c r="A2133" t="n">
        <v>2132</v>
      </c>
      <c r="B2133">
        <f>A2133&lt;=MineCount*Days</f>
        <v/>
      </c>
      <c r="C2133">
        <f>IF(B2133,INT((A2133-1)/Days)+1,"")</f>
        <v/>
      </c>
      <c r="D2133">
        <f>IF(B2133,MOD(A2133-1,Days),"")</f>
        <v/>
      </c>
      <c r="E2133" s="16">
        <f>IF(B2133,StartDate+D2133,"")</f>
        <v/>
      </c>
      <c r="F2133">
        <f>IF(B2133,MAX(MOD(SIN(Seed*0.1373+C2133*12.9898+D2133*78.233)*43758.5453,1),1E-9),"")</f>
        <v/>
      </c>
      <c r="G2133">
        <f>IF(B2133,MOD(SIN(Seed*0.5917+C2133*39.3468+D2133*11.135)*24634.6345,1),"")</f>
        <v/>
      </c>
      <c r="H2133">
        <f>IF(B2133,SQRT(-2*LN(F2133))*COS(2*PI()*G2133),"")</f>
        <v/>
      </c>
      <c r="I2133">
        <f>IF(B2133,IF(D2133=0,H2133,Rho*I2132+SQRT(1-Rho^2)*H2133),"")</f>
        <v/>
      </c>
      <c r="J2133">
        <f>IF(B2133,IF(Dist="Normal",DistA+DistB*I2133,DistA+(DistB-DistA)*NORMSDIST(I2133)),"")</f>
        <v/>
      </c>
      <c r="K2133">
        <f>IF(B2133,INDEX(MineScale,C2133),"")</f>
        <v/>
      </c>
      <c r="L2133">
        <f>IF(B2133,INDEX(Dow,1,WEEKDAY(E2133,2)),"")</f>
        <v/>
      </c>
      <c r="M2133">
        <f>IF(B2133,(1+Trend)^D2133,"")</f>
        <v/>
      </c>
      <c r="N2133">
        <f>IF(B2133,EXP(SUMPRODUCT(LN(1+(EvEff-1)*INDEX(Affected,0,C2133)*EXP(-((E2133-EvCenter)^2)/(2*EvSigma^2))))),"")</f>
        <v/>
      </c>
      <c r="O2133">
        <f>IF(B2133,ROUND(MAX(0,J2133*K2133*L2133*M2133*N2133),2),"")</f>
        <v/>
      </c>
    </row>
    <row r="2134">
      <c r="A2134" t="n">
        <v>2133</v>
      </c>
      <c r="B2134">
        <f>A2134&lt;=MineCount*Days</f>
        <v/>
      </c>
      <c r="C2134">
        <f>IF(B2134,INT((A2134-1)/Days)+1,"")</f>
        <v/>
      </c>
      <c r="D2134">
        <f>IF(B2134,MOD(A2134-1,Days),"")</f>
        <v/>
      </c>
      <c r="E2134" s="16">
        <f>IF(B2134,StartDate+D2134,"")</f>
        <v/>
      </c>
      <c r="F2134">
        <f>IF(B2134,MAX(MOD(SIN(Seed*0.1373+C2134*12.9898+D2134*78.233)*43758.5453,1),1E-9),"")</f>
        <v/>
      </c>
      <c r="G2134">
        <f>IF(B2134,MOD(SIN(Seed*0.5917+C2134*39.3468+D2134*11.135)*24634.6345,1),"")</f>
        <v/>
      </c>
      <c r="H2134">
        <f>IF(B2134,SQRT(-2*LN(F2134))*COS(2*PI()*G2134),"")</f>
        <v/>
      </c>
      <c r="I2134">
        <f>IF(B2134,IF(D2134=0,H2134,Rho*I2133+SQRT(1-Rho^2)*H2134),"")</f>
        <v/>
      </c>
      <c r="J2134">
        <f>IF(B2134,IF(Dist="Normal",DistA+DistB*I2134,DistA+(DistB-DistA)*NORMSDIST(I2134)),"")</f>
        <v/>
      </c>
      <c r="K2134">
        <f>IF(B2134,INDEX(MineScale,C2134),"")</f>
        <v/>
      </c>
      <c r="L2134">
        <f>IF(B2134,INDEX(Dow,1,WEEKDAY(E2134,2)),"")</f>
        <v/>
      </c>
      <c r="M2134">
        <f>IF(B2134,(1+Trend)^D2134,"")</f>
        <v/>
      </c>
      <c r="N2134">
        <f>IF(B2134,EXP(SUMPRODUCT(LN(1+(EvEff-1)*INDEX(Affected,0,C2134)*EXP(-((E2134-EvCenter)^2)/(2*EvSigma^2))))),"")</f>
        <v/>
      </c>
      <c r="O2134">
        <f>IF(B2134,ROUND(MAX(0,J2134*K2134*L2134*M2134*N2134),2),"")</f>
        <v/>
      </c>
    </row>
    <row r="2135">
      <c r="A2135" t="n">
        <v>2134</v>
      </c>
      <c r="B2135">
        <f>A2135&lt;=MineCount*Days</f>
        <v/>
      </c>
      <c r="C2135">
        <f>IF(B2135,INT((A2135-1)/Days)+1,"")</f>
        <v/>
      </c>
      <c r="D2135">
        <f>IF(B2135,MOD(A2135-1,Days),"")</f>
        <v/>
      </c>
      <c r="E2135" s="16">
        <f>IF(B2135,StartDate+D2135,"")</f>
        <v/>
      </c>
      <c r="F2135">
        <f>IF(B2135,MAX(MOD(SIN(Seed*0.1373+C2135*12.9898+D2135*78.233)*43758.5453,1),1E-9),"")</f>
        <v/>
      </c>
      <c r="G2135">
        <f>IF(B2135,MOD(SIN(Seed*0.5917+C2135*39.3468+D2135*11.135)*24634.6345,1),"")</f>
        <v/>
      </c>
      <c r="H2135">
        <f>IF(B2135,SQRT(-2*LN(F2135))*COS(2*PI()*G2135),"")</f>
        <v/>
      </c>
      <c r="I2135">
        <f>IF(B2135,IF(D2135=0,H2135,Rho*I2134+SQRT(1-Rho^2)*H2135),"")</f>
        <v/>
      </c>
      <c r="J2135">
        <f>IF(B2135,IF(Dist="Normal",DistA+DistB*I2135,DistA+(DistB-DistA)*NORMSDIST(I2135)),"")</f>
        <v/>
      </c>
      <c r="K2135">
        <f>IF(B2135,INDEX(MineScale,C2135),"")</f>
        <v/>
      </c>
      <c r="L2135">
        <f>IF(B2135,INDEX(Dow,1,WEEKDAY(E2135,2)),"")</f>
        <v/>
      </c>
      <c r="M2135">
        <f>IF(B2135,(1+Trend)^D2135,"")</f>
        <v/>
      </c>
      <c r="N2135">
        <f>IF(B2135,EXP(SUMPRODUCT(LN(1+(EvEff-1)*INDEX(Affected,0,C2135)*EXP(-((E2135-EvCenter)^2)/(2*EvSigma^2))))),"")</f>
        <v/>
      </c>
      <c r="O2135">
        <f>IF(B2135,ROUND(MAX(0,J2135*K2135*L2135*M2135*N2135),2),"")</f>
        <v/>
      </c>
    </row>
    <row r="2136">
      <c r="A2136" t="n">
        <v>2135</v>
      </c>
      <c r="B2136">
        <f>A2136&lt;=MineCount*Days</f>
        <v/>
      </c>
      <c r="C2136">
        <f>IF(B2136,INT((A2136-1)/Days)+1,"")</f>
        <v/>
      </c>
      <c r="D2136">
        <f>IF(B2136,MOD(A2136-1,Days),"")</f>
        <v/>
      </c>
      <c r="E2136" s="16">
        <f>IF(B2136,StartDate+D2136,"")</f>
        <v/>
      </c>
      <c r="F2136">
        <f>IF(B2136,MAX(MOD(SIN(Seed*0.1373+C2136*12.9898+D2136*78.233)*43758.5453,1),1E-9),"")</f>
        <v/>
      </c>
      <c r="G2136">
        <f>IF(B2136,MOD(SIN(Seed*0.5917+C2136*39.3468+D2136*11.135)*24634.6345,1),"")</f>
        <v/>
      </c>
      <c r="H2136">
        <f>IF(B2136,SQRT(-2*LN(F2136))*COS(2*PI()*G2136),"")</f>
        <v/>
      </c>
      <c r="I2136">
        <f>IF(B2136,IF(D2136=0,H2136,Rho*I2135+SQRT(1-Rho^2)*H2136),"")</f>
        <v/>
      </c>
      <c r="J2136">
        <f>IF(B2136,IF(Dist="Normal",DistA+DistB*I2136,DistA+(DistB-DistA)*NORMSDIST(I2136)),"")</f>
        <v/>
      </c>
      <c r="K2136">
        <f>IF(B2136,INDEX(MineScale,C2136),"")</f>
        <v/>
      </c>
      <c r="L2136">
        <f>IF(B2136,INDEX(Dow,1,WEEKDAY(E2136,2)),"")</f>
        <v/>
      </c>
      <c r="M2136">
        <f>IF(B2136,(1+Trend)^D2136,"")</f>
        <v/>
      </c>
      <c r="N2136">
        <f>IF(B2136,EXP(SUMPRODUCT(LN(1+(EvEff-1)*INDEX(Affected,0,C2136)*EXP(-((E2136-EvCenter)^2)/(2*EvSigma^2))))),"")</f>
        <v/>
      </c>
      <c r="O2136">
        <f>IF(B2136,ROUND(MAX(0,J2136*K2136*L2136*M2136*N2136),2),"")</f>
        <v/>
      </c>
    </row>
    <row r="2137">
      <c r="A2137" t="n">
        <v>2136</v>
      </c>
      <c r="B2137">
        <f>A2137&lt;=MineCount*Days</f>
        <v/>
      </c>
      <c r="C2137">
        <f>IF(B2137,INT((A2137-1)/Days)+1,"")</f>
        <v/>
      </c>
      <c r="D2137">
        <f>IF(B2137,MOD(A2137-1,Days),"")</f>
        <v/>
      </c>
      <c r="E2137" s="16">
        <f>IF(B2137,StartDate+D2137,"")</f>
        <v/>
      </c>
      <c r="F2137">
        <f>IF(B2137,MAX(MOD(SIN(Seed*0.1373+C2137*12.9898+D2137*78.233)*43758.5453,1),1E-9),"")</f>
        <v/>
      </c>
      <c r="G2137">
        <f>IF(B2137,MOD(SIN(Seed*0.5917+C2137*39.3468+D2137*11.135)*24634.6345,1),"")</f>
        <v/>
      </c>
      <c r="H2137">
        <f>IF(B2137,SQRT(-2*LN(F2137))*COS(2*PI()*G2137),"")</f>
        <v/>
      </c>
      <c r="I2137">
        <f>IF(B2137,IF(D2137=0,H2137,Rho*I2136+SQRT(1-Rho^2)*H2137),"")</f>
        <v/>
      </c>
      <c r="J2137">
        <f>IF(B2137,IF(Dist="Normal",DistA+DistB*I2137,DistA+(DistB-DistA)*NORMSDIST(I2137)),"")</f>
        <v/>
      </c>
      <c r="K2137">
        <f>IF(B2137,INDEX(MineScale,C2137),"")</f>
        <v/>
      </c>
      <c r="L2137">
        <f>IF(B2137,INDEX(Dow,1,WEEKDAY(E2137,2)),"")</f>
        <v/>
      </c>
      <c r="M2137">
        <f>IF(B2137,(1+Trend)^D2137,"")</f>
        <v/>
      </c>
      <c r="N2137">
        <f>IF(B2137,EXP(SUMPRODUCT(LN(1+(EvEff-1)*INDEX(Affected,0,C2137)*EXP(-((E2137-EvCenter)^2)/(2*EvSigma^2))))),"")</f>
        <v/>
      </c>
      <c r="O2137">
        <f>IF(B2137,ROUND(MAX(0,J2137*K2137*L2137*M2137*N2137),2),"")</f>
        <v/>
      </c>
    </row>
    <row r="2138">
      <c r="A2138" t="n">
        <v>2137</v>
      </c>
      <c r="B2138">
        <f>A2138&lt;=MineCount*Days</f>
        <v/>
      </c>
      <c r="C2138">
        <f>IF(B2138,INT((A2138-1)/Days)+1,"")</f>
        <v/>
      </c>
      <c r="D2138">
        <f>IF(B2138,MOD(A2138-1,Days),"")</f>
        <v/>
      </c>
      <c r="E2138" s="16">
        <f>IF(B2138,StartDate+D2138,"")</f>
        <v/>
      </c>
      <c r="F2138">
        <f>IF(B2138,MAX(MOD(SIN(Seed*0.1373+C2138*12.9898+D2138*78.233)*43758.5453,1),1E-9),"")</f>
        <v/>
      </c>
      <c r="G2138">
        <f>IF(B2138,MOD(SIN(Seed*0.5917+C2138*39.3468+D2138*11.135)*24634.6345,1),"")</f>
        <v/>
      </c>
      <c r="H2138">
        <f>IF(B2138,SQRT(-2*LN(F2138))*COS(2*PI()*G2138),"")</f>
        <v/>
      </c>
      <c r="I2138">
        <f>IF(B2138,IF(D2138=0,H2138,Rho*I2137+SQRT(1-Rho^2)*H2138),"")</f>
        <v/>
      </c>
      <c r="J2138">
        <f>IF(B2138,IF(Dist="Normal",DistA+DistB*I2138,DistA+(DistB-DistA)*NORMSDIST(I2138)),"")</f>
        <v/>
      </c>
      <c r="K2138">
        <f>IF(B2138,INDEX(MineScale,C2138),"")</f>
        <v/>
      </c>
      <c r="L2138">
        <f>IF(B2138,INDEX(Dow,1,WEEKDAY(E2138,2)),"")</f>
        <v/>
      </c>
      <c r="M2138">
        <f>IF(B2138,(1+Trend)^D2138,"")</f>
        <v/>
      </c>
      <c r="N2138">
        <f>IF(B2138,EXP(SUMPRODUCT(LN(1+(EvEff-1)*INDEX(Affected,0,C2138)*EXP(-((E2138-EvCenter)^2)/(2*EvSigma^2))))),"")</f>
        <v/>
      </c>
      <c r="O2138">
        <f>IF(B2138,ROUND(MAX(0,J2138*K2138*L2138*M2138*N2138),2),"")</f>
        <v/>
      </c>
    </row>
    <row r="2139">
      <c r="A2139" t="n">
        <v>2138</v>
      </c>
      <c r="B2139">
        <f>A2139&lt;=MineCount*Days</f>
        <v/>
      </c>
      <c r="C2139">
        <f>IF(B2139,INT((A2139-1)/Days)+1,"")</f>
        <v/>
      </c>
      <c r="D2139">
        <f>IF(B2139,MOD(A2139-1,Days),"")</f>
        <v/>
      </c>
      <c r="E2139" s="16">
        <f>IF(B2139,StartDate+D2139,"")</f>
        <v/>
      </c>
      <c r="F2139">
        <f>IF(B2139,MAX(MOD(SIN(Seed*0.1373+C2139*12.9898+D2139*78.233)*43758.5453,1),1E-9),"")</f>
        <v/>
      </c>
      <c r="G2139">
        <f>IF(B2139,MOD(SIN(Seed*0.5917+C2139*39.3468+D2139*11.135)*24634.6345,1),"")</f>
        <v/>
      </c>
      <c r="H2139">
        <f>IF(B2139,SQRT(-2*LN(F2139))*COS(2*PI()*G2139),"")</f>
        <v/>
      </c>
      <c r="I2139">
        <f>IF(B2139,IF(D2139=0,H2139,Rho*I2138+SQRT(1-Rho^2)*H2139),"")</f>
        <v/>
      </c>
      <c r="J2139">
        <f>IF(B2139,IF(Dist="Normal",DistA+DistB*I2139,DistA+(DistB-DistA)*NORMSDIST(I2139)),"")</f>
        <v/>
      </c>
      <c r="K2139">
        <f>IF(B2139,INDEX(MineScale,C2139),"")</f>
        <v/>
      </c>
      <c r="L2139">
        <f>IF(B2139,INDEX(Dow,1,WEEKDAY(E2139,2)),"")</f>
        <v/>
      </c>
      <c r="M2139">
        <f>IF(B2139,(1+Trend)^D2139,"")</f>
        <v/>
      </c>
      <c r="N2139">
        <f>IF(B2139,EXP(SUMPRODUCT(LN(1+(EvEff-1)*INDEX(Affected,0,C2139)*EXP(-((E2139-EvCenter)^2)/(2*EvSigma^2))))),"")</f>
        <v/>
      </c>
      <c r="O2139">
        <f>IF(B2139,ROUND(MAX(0,J2139*K2139*L2139*M2139*N2139),2),"")</f>
        <v/>
      </c>
    </row>
    <row r="2140">
      <c r="A2140" t="n">
        <v>2139</v>
      </c>
      <c r="B2140">
        <f>A2140&lt;=MineCount*Days</f>
        <v/>
      </c>
      <c r="C2140">
        <f>IF(B2140,INT((A2140-1)/Days)+1,"")</f>
        <v/>
      </c>
      <c r="D2140">
        <f>IF(B2140,MOD(A2140-1,Days),"")</f>
        <v/>
      </c>
      <c r="E2140" s="16">
        <f>IF(B2140,StartDate+D2140,"")</f>
        <v/>
      </c>
      <c r="F2140">
        <f>IF(B2140,MAX(MOD(SIN(Seed*0.1373+C2140*12.9898+D2140*78.233)*43758.5453,1),1E-9),"")</f>
        <v/>
      </c>
      <c r="G2140">
        <f>IF(B2140,MOD(SIN(Seed*0.5917+C2140*39.3468+D2140*11.135)*24634.6345,1),"")</f>
        <v/>
      </c>
      <c r="H2140">
        <f>IF(B2140,SQRT(-2*LN(F2140))*COS(2*PI()*G2140),"")</f>
        <v/>
      </c>
      <c r="I2140">
        <f>IF(B2140,IF(D2140=0,H2140,Rho*I2139+SQRT(1-Rho^2)*H2140),"")</f>
        <v/>
      </c>
      <c r="J2140">
        <f>IF(B2140,IF(Dist="Normal",DistA+DistB*I2140,DistA+(DistB-DistA)*NORMSDIST(I2140)),"")</f>
        <v/>
      </c>
      <c r="K2140">
        <f>IF(B2140,INDEX(MineScale,C2140),"")</f>
        <v/>
      </c>
      <c r="L2140">
        <f>IF(B2140,INDEX(Dow,1,WEEKDAY(E2140,2)),"")</f>
        <v/>
      </c>
      <c r="M2140">
        <f>IF(B2140,(1+Trend)^D2140,"")</f>
        <v/>
      </c>
      <c r="N2140">
        <f>IF(B2140,EXP(SUMPRODUCT(LN(1+(EvEff-1)*INDEX(Affected,0,C2140)*EXP(-((E2140-EvCenter)^2)/(2*EvSigma^2))))),"")</f>
        <v/>
      </c>
      <c r="O2140">
        <f>IF(B2140,ROUND(MAX(0,J2140*K2140*L2140*M2140*N2140),2),"")</f>
        <v/>
      </c>
    </row>
    <row r="2141">
      <c r="A2141" t="n">
        <v>2140</v>
      </c>
      <c r="B2141">
        <f>A2141&lt;=MineCount*Days</f>
        <v/>
      </c>
      <c r="C2141">
        <f>IF(B2141,INT((A2141-1)/Days)+1,"")</f>
        <v/>
      </c>
      <c r="D2141">
        <f>IF(B2141,MOD(A2141-1,Days),"")</f>
        <v/>
      </c>
      <c r="E2141" s="16">
        <f>IF(B2141,StartDate+D2141,"")</f>
        <v/>
      </c>
      <c r="F2141">
        <f>IF(B2141,MAX(MOD(SIN(Seed*0.1373+C2141*12.9898+D2141*78.233)*43758.5453,1),1E-9),"")</f>
        <v/>
      </c>
      <c r="G2141">
        <f>IF(B2141,MOD(SIN(Seed*0.5917+C2141*39.3468+D2141*11.135)*24634.6345,1),"")</f>
        <v/>
      </c>
      <c r="H2141">
        <f>IF(B2141,SQRT(-2*LN(F2141))*COS(2*PI()*G2141),"")</f>
        <v/>
      </c>
      <c r="I2141">
        <f>IF(B2141,IF(D2141=0,H2141,Rho*I2140+SQRT(1-Rho^2)*H2141),"")</f>
        <v/>
      </c>
      <c r="J2141">
        <f>IF(B2141,IF(Dist="Normal",DistA+DistB*I2141,DistA+(DistB-DistA)*NORMSDIST(I2141)),"")</f>
        <v/>
      </c>
      <c r="K2141">
        <f>IF(B2141,INDEX(MineScale,C2141),"")</f>
        <v/>
      </c>
      <c r="L2141">
        <f>IF(B2141,INDEX(Dow,1,WEEKDAY(E2141,2)),"")</f>
        <v/>
      </c>
      <c r="M2141">
        <f>IF(B2141,(1+Trend)^D2141,"")</f>
        <v/>
      </c>
      <c r="N2141">
        <f>IF(B2141,EXP(SUMPRODUCT(LN(1+(EvEff-1)*INDEX(Affected,0,C2141)*EXP(-((E2141-EvCenter)^2)/(2*EvSigma^2))))),"")</f>
        <v/>
      </c>
      <c r="O2141">
        <f>IF(B2141,ROUND(MAX(0,J2141*K2141*L2141*M2141*N2141),2),"")</f>
        <v/>
      </c>
    </row>
    <row r="2142">
      <c r="A2142" t="n">
        <v>2141</v>
      </c>
      <c r="B2142">
        <f>A2142&lt;=MineCount*Days</f>
        <v/>
      </c>
      <c r="C2142">
        <f>IF(B2142,INT((A2142-1)/Days)+1,"")</f>
        <v/>
      </c>
      <c r="D2142">
        <f>IF(B2142,MOD(A2142-1,Days),"")</f>
        <v/>
      </c>
      <c r="E2142" s="16">
        <f>IF(B2142,StartDate+D2142,"")</f>
        <v/>
      </c>
      <c r="F2142">
        <f>IF(B2142,MAX(MOD(SIN(Seed*0.1373+C2142*12.9898+D2142*78.233)*43758.5453,1),1E-9),"")</f>
        <v/>
      </c>
      <c r="G2142">
        <f>IF(B2142,MOD(SIN(Seed*0.5917+C2142*39.3468+D2142*11.135)*24634.6345,1),"")</f>
        <v/>
      </c>
      <c r="H2142">
        <f>IF(B2142,SQRT(-2*LN(F2142))*COS(2*PI()*G2142),"")</f>
        <v/>
      </c>
      <c r="I2142">
        <f>IF(B2142,IF(D2142=0,H2142,Rho*I2141+SQRT(1-Rho^2)*H2142),"")</f>
        <v/>
      </c>
      <c r="J2142">
        <f>IF(B2142,IF(Dist="Normal",DistA+DistB*I2142,DistA+(DistB-DistA)*NORMSDIST(I2142)),"")</f>
        <v/>
      </c>
      <c r="K2142">
        <f>IF(B2142,INDEX(MineScale,C2142),"")</f>
        <v/>
      </c>
      <c r="L2142">
        <f>IF(B2142,INDEX(Dow,1,WEEKDAY(E2142,2)),"")</f>
        <v/>
      </c>
      <c r="M2142">
        <f>IF(B2142,(1+Trend)^D2142,"")</f>
        <v/>
      </c>
      <c r="N2142">
        <f>IF(B2142,EXP(SUMPRODUCT(LN(1+(EvEff-1)*INDEX(Affected,0,C2142)*EXP(-((E2142-EvCenter)^2)/(2*EvSigma^2))))),"")</f>
        <v/>
      </c>
      <c r="O2142">
        <f>IF(B2142,ROUND(MAX(0,J2142*K2142*L2142*M2142*N2142),2),"")</f>
        <v/>
      </c>
    </row>
    <row r="2143">
      <c r="A2143" t="n">
        <v>2142</v>
      </c>
      <c r="B2143">
        <f>A2143&lt;=MineCount*Days</f>
        <v/>
      </c>
      <c r="C2143">
        <f>IF(B2143,INT((A2143-1)/Days)+1,"")</f>
        <v/>
      </c>
      <c r="D2143">
        <f>IF(B2143,MOD(A2143-1,Days),"")</f>
        <v/>
      </c>
      <c r="E2143" s="16">
        <f>IF(B2143,StartDate+D2143,"")</f>
        <v/>
      </c>
      <c r="F2143">
        <f>IF(B2143,MAX(MOD(SIN(Seed*0.1373+C2143*12.9898+D2143*78.233)*43758.5453,1),1E-9),"")</f>
        <v/>
      </c>
      <c r="G2143">
        <f>IF(B2143,MOD(SIN(Seed*0.5917+C2143*39.3468+D2143*11.135)*24634.6345,1),"")</f>
        <v/>
      </c>
      <c r="H2143">
        <f>IF(B2143,SQRT(-2*LN(F2143))*COS(2*PI()*G2143),"")</f>
        <v/>
      </c>
      <c r="I2143">
        <f>IF(B2143,IF(D2143=0,H2143,Rho*I2142+SQRT(1-Rho^2)*H2143),"")</f>
        <v/>
      </c>
      <c r="J2143">
        <f>IF(B2143,IF(Dist="Normal",DistA+DistB*I2143,DistA+(DistB-DistA)*NORMSDIST(I2143)),"")</f>
        <v/>
      </c>
      <c r="K2143">
        <f>IF(B2143,INDEX(MineScale,C2143),"")</f>
        <v/>
      </c>
      <c r="L2143">
        <f>IF(B2143,INDEX(Dow,1,WEEKDAY(E2143,2)),"")</f>
        <v/>
      </c>
      <c r="M2143">
        <f>IF(B2143,(1+Trend)^D2143,"")</f>
        <v/>
      </c>
      <c r="N2143">
        <f>IF(B2143,EXP(SUMPRODUCT(LN(1+(EvEff-1)*INDEX(Affected,0,C2143)*EXP(-((E2143-EvCenter)^2)/(2*EvSigma^2))))),"")</f>
        <v/>
      </c>
      <c r="O2143">
        <f>IF(B2143,ROUND(MAX(0,J2143*K2143*L2143*M2143*N2143),2),"")</f>
        <v/>
      </c>
    </row>
    <row r="2144">
      <c r="A2144" t="n">
        <v>2143</v>
      </c>
      <c r="B2144">
        <f>A2144&lt;=MineCount*Days</f>
        <v/>
      </c>
      <c r="C2144">
        <f>IF(B2144,INT((A2144-1)/Days)+1,"")</f>
        <v/>
      </c>
      <c r="D2144">
        <f>IF(B2144,MOD(A2144-1,Days),"")</f>
        <v/>
      </c>
      <c r="E2144" s="16">
        <f>IF(B2144,StartDate+D2144,"")</f>
        <v/>
      </c>
      <c r="F2144">
        <f>IF(B2144,MAX(MOD(SIN(Seed*0.1373+C2144*12.9898+D2144*78.233)*43758.5453,1),1E-9),"")</f>
        <v/>
      </c>
      <c r="G2144">
        <f>IF(B2144,MOD(SIN(Seed*0.5917+C2144*39.3468+D2144*11.135)*24634.6345,1),"")</f>
        <v/>
      </c>
      <c r="H2144">
        <f>IF(B2144,SQRT(-2*LN(F2144))*COS(2*PI()*G2144),"")</f>
        <v/>
      </c>
      <c r="I2144">
        <f>IF(B2144,IF(D2144=0,H2144,Rho*I2143+SQRT(1-Rho^2)*H2144),"")</f>
        <v/>
      </c>
      <c r="J2144">
        <f>IF(B2144,IF(Dist="Normal",DistA+DistB*I2144,DistA+(DistB-DistA)*NORMSDIST(I2144)),"")</f>
        <v/>
      </c>
      <c r="K2144">
        <f>IF(B2144,INDEX(MineScale,C2144),"")</f>
        <v/>
      </c>
      <c r="L2144">
        <f>IF(B2144,INDEX(Dow,1,WEEKDAY(E2144,2)),"")</f>
        <v/>
      </c>
      <c r="M2144">
        <f>IF(B2144,(1+Trend)^D2144,"")</f>
        <v/>
      </c>
      <c r="N2144">
        <f>IF(B2144,EXP(SUMPRODUCT(LN(1+(EvEff-1)*INDEX(Affected,0,C2144)*EXP(-((E2144-EvCenter)^2)/(2*EvSigma^2))))),"")</f>
        <v/>
      </c>
      <c r="O2144">
        <f>IF(B2144,ROUND(MAX(0,J2144*K2144*L2144*M2144*N2144),2),"")</f>
        <v/>
      </c>
    </row>
    <row r="2145">
      <c r="A2145" t="n">
        <v>2144</v>
      </c>
      <c r="B2145">
        <f>A2145&lt;=MineCount*Days</f>
        <v/>
      </c>
      <c r="C2145">
        <f>IF(B2145,INT((A2145-1)/Days)+1,"")</f>
        <v/>
      </c>
      <c r="D2145">
        <f>IF(B2145,MOD(A2145-1,Days),"")</f>
        <v/>
      </c>
      <c r="E2145" s="16">
        <f>IF(B2145,StartDate+D2145,"")</f>
        <v/>
      </c>
      <c r="F2145">
        <f>IF(B2145,MAX(MOD(SIN(Seed*0.1373+C2145*12.9898+D2145*78.233)*43758.5453,1),1E-9),"")</f>
        <v/>
      </c>
      <c r="G2145">
        <f>IF(B2145,MOD(SIN(Seed*0.5917+C2145*39.3468+D2145*11.135)*24634.6345,1),"")</f>
        <v/>
      </c>
      <c r="H2145">
        <f>IF(B2145,SQRT(-2*LN(F2145))*COS(2*PI()*G2145),"")</f>
        <v/>
      </c>
      <c r="I2145">
        <f>IF(B2145,IF(D2145=0,H2145,Rho*I2144+SQRT(1-Rho^2)*H2145),"")</f>
        <v/>
      </c>
      <c r="J2145">
        <f>IF(B2145,IF(Dist="Normal",DistA+DistB*I2145,DistA+(DistB-DistA)*NORMSDIST(I2145)),"")</f>
        <v/>
      </c>
      <c r="K2145">
        <f>IF(B2145,INDEX(MineScale,C2145),"")</f>
        <v/>
      </c>
      <c r="L2145">
        <f>IF(B2145,INDEX(Dow,1,WEEKDAY(E2145,2)),"")</f>
        <v/>
      </c>
      <c r="M2145">
        <f>IF(B2145,(1+Trend)^D2145,"")</f>
        <v/>
      </c>
      <c r="N2145">
        <f>IF(B2145,EXP(SUMPRODUCT(LN(1+(EvEff-1)*INDEX(Affected,0,C2145)*EXP(-((E2145-EvCenter)^2)/(2*EvSigma^2))))),"")</f>
        <v/>
      </c>
      <c r="O2145">
        <f>IF(B2145,ROUND(MAX(0,J2145*K2145*L2145*M2145*N2145),2),"")</f>
        <v/>
      </c>
    </row>
    <row r="2146">
      <c r="A2146" t="n">
        <v>2145</v>
      </c>
      <c r="B2146">
        <f>A2146&lt;=MineCount*Days</f>
        <v/>
      </c>
      <c r="C2146">
        <f>IF(B2146,INT((A2146-1)/Days)+1,"")</f>
        <v/>
      </c>
      <c r="D2146">
        <f>IF(B2146,MOD(A2146-1,Days),"")</f>
        <v/>
      </c>
      <c r="E2146" s="16">
        <f>IF(B2146,StartDate+D2146,"")</f>
        <v/>
      </c>
      <c r="F2146">
        <f>IF(B2146,MAX(MOD(SIN(Seed*0.1373+C2146*12.9898+D2146*78.233)*43758.5453,1),1E-9),"")</f>
        <v/>
      </c>
      <c r="G2146">
        <f>IF(B2146,MOD(SIN(Seed*0.5917+C2146*39.3468+D2146*11.135)*24634.6345,1),"")</f>
        <v/>
      </c>
      <c r="H2146">
        <f>IF(B2146,SQRT(-2*LN(F2146))*COS(2*PI()*G2146),"")</f>
        <v/>
      </c>
      <c r="I2146">
        <f>IF(B2146,IF(D2146=0,H2146,Rho*I2145+SQRT(1-Rho^2)*H2146),"")</f>
        <v/>
      </c>
      <c r="J2146">
        <f>IF(B2146,IF(Dist="Normal",DistA+DistB*I2146,DistA+(DistB-DistA)*NORMSDIST(I2146)),"")</f>
        <v/>
      </c>
      <c r="K2146">
        <f>IF(B2146,INDEX(MineScale,C2146),"")</f>
        <v/>
      </c>
      <c r="L2146">
        <f>IF(B2146,INDEX(Dow,1,WEEKDAY(E2146,2)),"")</f>
        <v/>
      </c>
      <c r="M2146">
        <f>IF(B2146,(1+Trend)^D2146,"")</f>
        <v/>
      </c>
      <c r="N2146">
        <f>IF(B2146,EXP(SUMPRODUCT(LN(1+(EvEff-1)*INDEX(Affected,0,C2146)*EXP(-((E2146-EvCenter)^2)/(2*EvSigma^2))))),"")</f>
        <v/>
      </c>
      <c r="O2146">
        <f>IF(B2146,ROUND(MAX(0,J2146*K2146*L2146*M2146*N2146),2),"")</f>
        <v/>
      </c>
    </row>
    <row r="2147">
      <c r="A2147" t="n">
        <v>2146</v>
      </c>
      <c r="B2147">
        <f>A2147&lt;=MineCount*Days</f>
        <v/>
      </c>
      <c r="C2147">
        <f>IF(B2147,INT((A2147-1)/Days)+1,"")</f>
        <v/>
      </c>
      <c r="D2147">
        <f>IF(B2147,MOD(A2147-1,Days),"")</f>
        <v/>
      </c>
      <c r="E2147" s="16">
        <f>IF(B2147,StartDate+D2147,"")</f>
        <v/>
      </c>
      <c r="F2147">
        <f>IF(B2147,MAX(MOD(SIN(Seed*0.1373+C2147*12.9898+D2147*78.233)*43758.5453,1),1E-9),"")</f>
        <v/>
      </c>
      <c r="G2147">
        <f>IF(B2147,MOD(SIN(Seed*0.5917+C2147*39.3468+D2147*11.135)*24634.6345,1),"")</f>
        <v/>
      </c>
      <c r="H2147">
        <f>IF(B2147,SQRT(-2*LN(F2147))*COS(2*PI()*G2147),"")</f>
        <v/>
      </c>
      <c r="I2147">
        <f>IF(B2147,IF(D2147=0,H2147,Rho*I2146+SQRT(1-Rho^2)*H2147),"")</f>
        <v/>
      </c>
      <c r="J2147">
        <f>IF(B2147,IF(Dist="Normal",DistA+DistB*I2147,DistA+(DistB-DistA)*NORMSDIST(I2147)),"")</f>
        <v/>
      </c>
      <c r="K2147">
        <f>IF(B2147,INDEX(MineScale,C2147),"")</f>
        <v/>
      </c>
      <c r="L2147">
        <f>IF(B2147,INDEX(Dow,1,WEEKDAY(E2147,2)),"")</f>
        <v/>
      </c>
      <c r="M2147">
        <f>IF(B2147,(1+Trend)^D2147,"")</f>
        <v/>
      </c>
      <c r="N2147">
        <f>IF(B2147,EXP(SUMPRODUCT(LN(1+(EvEff-1)*INDEX(Affected,0,C2147)*EXP(-((E2147-EvCenter)^2)/(2*EvSigma^2))))),"")</f>
        <v/>
      </c>
      <c r="O2147">
        <f>IF(B2147,ROUND(MAX(0,J2147*K2147*L2147*M2147*N2147),2),"")</f>
        <v/>
      </c>
    </row>
    <row r="2148">
      <c r="A2148" t="n">
        <v>2147</v>
      </c>
      <c r="B2148">
        <f>A2148&lt;=MineCount*Days</f>
        <v/>
      </c>
      <c r="C2148">
        <f>IF(B2148,INT((A2148-1)/Days)+1,"")</f>
        <v/>
      </c>
      <c r="D2148">
        <f>IF(B2148,MOD(A2148-1,Days),"")</f>
        <v/>
      </c>
      <c r="E2148" s="16">
        <f>IF(B2148,StartDate+D2148,"")</f>
        <v/>
      </c>
      <c r="F2148">
        <f>IF(B2148,MAX(MOD(SIN(Seed*0.1373+C2148*12.9898+D2148*78.233)*43758.5453,1),1E-9),"")</f>
        <v/>
      </c>
      <c r="G2148">
        <f>IF(B2148,MOD(SIN(Seed*0.5917+C2148*39.3468+D2148*11.135)*24634.6345,1),"")</f>
        <v/>
      </c>
      <c r="H2148">
        <f>IF(B2148,SQRT(-2*LN(F2148))*COS(2*PI()*G2148),"")</f>
        <v/>
      </c>
      <c r="I2148">
        <f>IF(B2148,IF(D2148=0,H2148,Rho*I2147+SQRT(1-Rho^2)*H2148),"")</f>
        <v/>
      </c>
      <c r="J2148">
        <f>IF(B2148,IF(Dist="Normal",DistA+DistB*I2148,DistA+(DistB-DistA)*NORMSDIST(I2148)),"")</f>
        <v/>
      </c>
      <c r="K2148">
        <f>IF(B2148,INDEX(MineScale,C2148),"")</f>
        <v/>
      </c>
      <c r="L2148">
        <f>IF(B2148,INDEX(Dow,1,WEEKDAY(E2148,2)),"")</f>
        <v/>
      </c>
      <c r="M2148">
        <f>IF(B2148,(1+Trend)^D2148,"")</f>
        <v/>
      </c>
      <c r="N2148">
        <f>IF(B2148,EXP(SUMPRODUCT(LN(1+(EvEff-1)*INDEX(Affected,0,C2148)*EXP(-((E2148-EvCenter)^2)/(2*EvSigma^2))))),"")</f>
        <v/>
      </c>
      <c r="O2148">
        <f>IF(B2148,ROUND(MAX(0,J2148*K2148*L2148*M2148*N2148),2),"")</f>
        <v/>
      </c>
    </row>
    <row r="2149">
      <c r="A2149" t="n">
        <v>2148</v>
      </c>
      <c r="B2149">
        <f>A2149&lt;=MineCount*Days</f>
        <v/>
      </c>
      <c r="C2149">
        <f>IF(B2149,INT((A2149-1)/Days)+1,"")</f>
        <v/>
      </c>
      <c r="D2149">
        <f>IF(B2149,MOD(A2149-1,Days),"")</f>
        <v/>
      </c>
      <c r="E2149" s="16">
        <f>IF(B2149,StartDate+D2149,"")</f>
        <v/>
      </c>
      <c r="F2149">
        <f>IF(B2149,MAX(MOD(SIN(Seed*0.1373+C2149*12.9898+D2149*78.233)*43758.5453,1),1E-9),"")</f>
        <v/>
      </c>
      <c r="G2149">
        <f>IF(B2149,MOD(SIN(Seed*0.5917+C2149*39.3468+D2149*11.135)*24634.6345,1),"")</f>
        <v/>
      </c>
      <c r="H2149">
        <f>IF(B2149,SQRT(-2*LN(F2149))*COS(2*PI()*G2149),"")</f>
        <v/>
      </c>
      <c r="I2149">
        <f>IF(B2149,IF(D2149=0,H2149,Rho*I2148+SQRT(1-Rho^2)*H2149),"")</f>
        <v/>
      </c>
      <c r="J2149">
        <f>IF(B2149,IF(Dist="Normal",DistA+DistB*I2149,DistA+(DistB-DistA)*NORMSDIST(I2149)),"")</f>
        <v/>
      </c>
      <c r="K2149">
        <f>IF(B2149,INDEX(MineScale,C2149),"")</f>
        <v/>
      </c>
      <c r="L2149">
        <f>IF(B2149,INDEX(Dow,1,WEEKDAY(E2149,2)),"")</f>
        <v/>
      </c>
      <c r="M2149">
        <f>IF(B2149,(1+Trend)^D2149,"")</f>
        <v/>
      </c>
      <c r="N2149">
        <f>IF(B2149,EXP(SUMPRODUCT(LN(1+(EvEff-1)*INDEX(Affected,0,C2149)*EXP(-((E2149-EvCenter)^2)/(2*EvSigma^2))))),"")</f>
        <v/>
      </c>
      <c r="O2149">
        <f>IF(B2149,ROUND(MAX(0,J2149*K2149*L2149*M2149*N2149),2),"")</f>
        <v/>
      </c>
    </row>
    <row r="2150">
      <c r="A2150" t="n">
        <v>2149</v>
      </c>
      <c r="B2150">
        <f>A2150&lt;=MineCount*Days</f>
        <v/>
      </c>
      <c r="C2150">
        <f>IF(B2150,INT((A2150-1)/Days)+1,"")</f>
        <v/>
      </c>
      <c r="D2150">
        <f>IF(B2150,MOD(A2150-1,Days),"")</f>
        <v/>
      </c>
      <c r="E2150" s="16">
        <f>IF(B2150,StartDate+D2150,"")</f>
        <v/>
      </c>
      <c r="F2150">
        <f>IF(B2150,MAX(MOD(SIN(Seed*0.1373+C2150*12.9898+D2150*78.233)*43758.5453,1),1E-9),"")</f>
        <v/>
      </c>
      <c r="G2150">
        <f>IF(B2150,MOD(SIN(Seed*0.5917+C2150*39.3468+D2150*11.135)*24634.6345,1),"")</f>
        <v/>
      </c>
      <c r="H2150">
        <f>IF(B2150,SQRT(-2*LN(F2150))*COS(2*PI()*G2150),"")</f>
        <v/>
      </c>
      <c r="I2150">
        <f>IF(B2150,IF(D2150=0,H2150,Rho*I2149+SQRT(1-Rho^2)*H2150),"")</f>
        <v/>
      </c>
      <c r="J2150">
        <f>IF(B2150,IF(Dist="Normal",DistA+DistB*I2150,DistA+(DistB-DistA)*NORMSDIST(I2150)),"")</f>
        <v/>
      </c>
      <c r="K2150">
        <f>IF(B2150,INDEX(MineScale,C2150),"")</f>
        <v/>
      </c>
      <c r="L2150">
        <f>IF(B2150,INDEX(Dow,1,WEEKDAY(E2150,2)),"")</f>
        <v/>
      </c>
      <c r="M2150">
        <f>IF(B2150,(1+Trend)^D2150,"")</f>
        <v/>
      </c>
      <c r="N2150">
        <f>IF(B2150,EXP(SUMPRODUCT(LN(1+(EvEff-1)*INDEX(Affected,0,C2150)*EXP(-((E2150-EvCenter)^2)/(2*EvSigma^2))))),"")</f>
        <v/>
      </c>
      <c r="O2150">
        <f>IF(B2150,ROUND(MAX(0,J2150*K2150*L2150*M2150*N2150),2),"")</f>
        <v/>
      </c>
    </row>
    <row r="2151">
      <c r="A2151" t="n">
        <v>2150</v>
      </c>
      <c r="B2151">
        <f>A2151&lt;=MineCount*Days</f>
        <v/>
      </c>
      <c r="C2151">
        <f>IF(B2151,INT((A2151-1)/Days)+1,"")</f>
        <v/>
      </c>
      <c r="D2151">
        <f>IF(B2151,MOD(A2151-1,Days),"")</f>
        <v/>
      </c>
      <c r="E2151" s="16">
        <f>IF(B2151,StartDate+D2151,"")</f>
        <v/>
      </c>
      <c r="F2151">
        <f>IF(B2151,MAX(MOD(SIN(Seed*0.1373+C2151*12.9898+D2151*78.233)*43758.5453,1),1E-9),"")</f>
        <v/>
      </c>
      <c r="G2151">
        <f>IF(B2151,MOD(SIN(Seed*0.5917+C2151*39.3468+D2151*11.135)*24634.6345,1),"")</f>
        <v/>
      </c>
      <c r="H2151">
        <f>IF(B2151,SQRT(-2*LN(F2151))*COS(2*PI()*G2151),"")</f>
        <v/>
      </c>
      <c r="I2151">
        <f>IF(B2151,IF(D2151=0,H2151,Rho*I2150+SQRT(1-Rho^2)*H2151),"")</f>
        <v/>
      </c>
      <c r="J2151">
        <f>IF(B2151,IF(Dist="Normal",DistA+DistB*I2151,DistA+(DistB-DistA)*NORMSDIST(I2151)),"")</f>
        <v/>
      </c>
      <c r="K2151">
        <f>IF(B2151,INDEX(MineScale,C2151),"")</f>
        <v/>
      </c>
      <c r="L2151">
        <f>IF(B2151,INDEX(Dow,1,WEEKDAY(E2151,2)),"")</f>
        <v/>
      </c>
      <c r="M2151">
        <f>IF(B2151,(1+Trend)^D2151,"")</f>
        <v/>
      </c>
      <c r="N2151">
        <f>IF(B2151,EXP(SUMPRODUCT(LN(1+(EvEff-1)*INDEX(Affected,0,C2151)*EXP(-((E2151-EvCenter)^2)/(2*EvSigma^2))))),"")</f>
        <v/>
      </c>
      <c r="O2151">
        <f>IF(B2151,ROUND(MAX(0,J2151*K2151*L2151*M2151*N2151),2),"")</f>
        <v/>
      </c>
    </row>
    <row r="2152">
      <c r="A2152" t="n">
        <v>2151</v>
      </c>
      <c r="B2152">
        <f>A2152&lt;=MineCount*Days</f>
        <v/>
      </c>
      <c r="C2152">
        <f>IF(B2152,INT((A2152-1)/Days)+1,"")</f>
        <v/>
      </c>
      <c r="D2152">
        <f>IF(B2152,MOD(A2152-1,Days),"")</f>
        <v/>
      </c>
      <c r="E2152" s="16">
        <f>IF(B2152,StartDate+D2152,"")</f>
        <v/>
      </c>
      <c r="F2152">
        <f>IF(B2152,MAX(MOD(SIN(Seed*0.1373+C2152*12.9898+D2152*78.233)*43758.5453,1),1E-9),"")</f>
        <v/>
      </c>
      <c r="G2152">
        <f>IF(B2152,MOD(SIN(Seed*0.5917+C2152*39.3468+D2152*11.135)*24634.6345,1),"")</f>
        <v/>
      </c>
      <c r="H2152">
        <f>IF(B2152,SQRT(-2*LN(F2152))*COS(2*PI()*G2152),"")</f>
        <v/>
      </c>
      <c r="I2152">
        <f>IF(B2152,IF(D2152=0,H2152,Rho*I2151+SQRT(1-Rho^2)*H2152),"")</f>
        <v/>
      </c>
      <c r="J2152">
        <f>IF(B2152,IF(Dist="Normal",DistA+DistB*I2152,DistA+(DistB-DistA)*NORMSDIST(I2152)),"")</f>
        <v/>
      </c>
      <c r="K2152">
        <f>IF(B2152,INDEX(MineScale,C2152),"")</f>
        <v/>
      </c>
      <c r="L2152">
        <f>IF(B2152,INDEX(Dow,1,WEEKDAY(E2152,2)),"")</f>
        <v/>
      </c>
      <c r="M2152">
        <f>IF(B2152,(1+Trend)^D2152,"")</f>
        <v/>
      </c>
      <c r="N2152">
        <f>IF(B2152,EXP(SUMPRODUCT(LN(1+(EvEff-1)*INDEX(Affected,0,C2152)*EXP(-((E2152-EvCenter)^2)/(2*EvSigma^2))))),"")</f>
        <v/>
      </c>
      <c r="O2152">
        <f>IF(B2152,ROUND(MAX(0,J2152*K2152*L2152*M2152*N2152),2),"")</f>
        <v/>
      </c>
    </row>
    <row r="2153">
      <c r="A2153" t="n">
        <v>2152</v>
      </c>
      <c r="B2153">
        <f>A2153&lt;=MineCount*Days</f>
        <v/>
      </c>
      <c r="C2153">
        <f>IF(B2153,INT((A2153-1)/Days)+1,"")</f>
        <v/>
      </c>
      <c r="D2153">
        <f>IF(B2153,MOD(A2153-1,Days),"")</f>
        <v/>
      </c>
      <c r="E2153" s="16">
        <f>IF(B2153,StartDate+D2153,"")</f>
        <v/>
      </c>
      <c r="F2153">
        <f>IF(B2153,MAX(MOD(SIN(Seed*0.1373+C2153*12.9898+D2153*78.233)*43758.5453,1),1E-9),"")</f>
        <v/>
      </c>
      <c r="G2153">
        <f>IF(B2153,MOD(SIN(Seed*0.5917+C2153*39.3468+D2153*11.135)*24634.6345,1),"")</f>
        <v/>
      </c>
      <c r="H2153">
        <f>IF(B2153,SQRT(-2*LN(F2153))*COS(2*PI()*G2153),"")</f>
        <v/>
      </c>
      <c r="I2153">
        <f>IF(B2153,IF(D2153=0,H2153,Rho*I2152+SQRT(1-Rho^2)*H2153),"")</f>
        <v/>
      </c>
      <c r="J2153">
        <f>IF(B2153,IF(Dist="Normal",DistA+DistB*I2153,DistA+(DistB-DistA)*NORMSDIST(I2153)),"")</f>
        <v/>
      </c>
      <c r="K2153">
        <f>IF(B2153,INDEX(MineScale,C2153),"")</f>
        <v/>
      </c>
      <c r="L2153">
        <f>IF(B2153,INDEX(Dow,1,WEEKDAY(E2153,2)),"")</f>
        <v/>
      </c>
      <c r="M2153">
        <f>IF(B2153,(1+Trend)^D2153,"")</f>
        <v/>
      </c>
      <c r="N2153">
        <f>IF(B2153,EXP(SUMPRODUCT(LN(1+(EvEff-1)*INDEX(Affected,0,C2153)*EXP(-((E2153-EvCenter)^2)/(2*EvSigma^2))))),"")</f>
        <v/>
      </c>
      <c r="O2153">
        <f>IF(B2153,ROUND(MAX(0,J2153*K2153*L2153*M2153*N2153),2),"")</f>
        <v/>
      </c>
    </row>
    <row r="2154">
      <c r="A2154" t="n">
        <v>2153</v>
      </c>
      <c r="B2154">
        <f>A2154&lt;=MineCount*Days</f>
        <v/>
      </c>
      <c r="C2154">
        <f>IF(B2154,INT((A2154-1)/Days)+1,"")</f>
        <v/>
      </c>
      <c r="D2154">
        <f>IF(B2154,MOD(A2154-1,Days),"")</f>
        <v/>
      </c>
      <c r="E2154" s="16">
        <f>IF(B2154,StartDate+D2154,"")</f>
        <v/>
      </c>
      <c r="F2154">
        <f>IF(B2154,MAX(MOD(SIN(Seed*0.1373+C2154*12.9898+D2154*78.233)*43758.5453,1),1E-9),"")</f>
        <v/>
      </c>
      <c r="G2154">
        <f>IF(B2154,MOD(SIN(Seed*0.5917+C2154*39.3468+D2154*11.135)*24634.6345,1),"")</f>
        <v/>
      </c>
      <c r="H2154">
        <f>IF(B2154,SQRT(-2*LN(F2154))*COS(2*PI()*G2154),"")</f>
        <v/>
      </c>
      <c r="I2154">
        <f>IF(B2154,IF(D2154=0,H2154,Rho*I2153+SQRT(1-Rho^2)*H2154),"")</f>
        <v/>
      </c>
      <c r="J2154">
        <f>IF(B2154,IF(Dist="Normal",DistA+DistB*I2154,DistA+(DistB-DistA)*NORMSDIST(I2154)),"")</f>
        <v/>
      </c>
      <c r="K2154">
        <f>IF(B2154,INDEX(MineScale,C2154),"")</f>
        <v/>
      </c>
      <c r="L2154">
        <f>IF(B2154,INDEX(Dow,1,WEEKDAY(E2154,2)),"")</f>
        <v/>
      </c>
      <c r="M2154">
        <f>IF(B2154,(1+Trend)^D2154,"")</f>
        <v/>
      </c>
      <c r="N2154">
        <f>IF(B2154,EXP(SUMPRODUCT(LN(1+(EvEff-1)*INDEX(Affected,0,C2154)*EXP(-((E2154-EvCenter)^2)/(2*EvSigma^2))))),"")</f>
        <v/>
      </c>
      <c r="O2154">
        <f>IF(B2154,ROUND(MAX(0,J2154*K2154*L2154*M2154*N2154),2),"")</f>
        <v/>
      </c>
    </row>
    <row r="2155">
      <c r="A2155" t="n">
        <v>2154</v>
      </c>
      <c r="B2155">
        <f>A2155&lt;=MineCount*Days</f>
        <v/>
      </c>
      <c r="C2155">
        <f>IF(B2155,INT((A2155-1)/Days)+1,"")</f>
        <v/>
      </c>
      <c r="D2155">
        <f>IF(B2155,MOD(A2155-1,Days),"")</f>
        <v/>
      </c>
      <c r="E2155" s="16">
        <f>IF(B2155,StartDate+D2155,"")</f>
        <v/>
      </c>
      <c r="F2155">
        <f>IF(B2155,MAX(MOD(SIN(Seed*0.1373+C2155*12.9898+D2155*78.233)*43758.5453,1),1E-9),"")</f>
        <v/>
      </c>
      <c r="G2155">
        <f>IF(B2155,MOD(SIN(Seed*0.5917+C2155*39.3468+D2155*11.135)*24634.6345,1),"")</f>
        <v/>
      </c>
      <c r="H2155">
        <f>IF(B2155,SQRT(-2*LN(F2155))*COS(2*PI()*G2155),"")</f>
        <v/>
      </c>
      <c r="I2155">
        <f>IF(B2155,IF(D2155=0,H2155,Rho*I2154+SQRT(1-Rho^2)*H2155),"")</f>
        <v/>
      </c>
      <c r="J2155">
        <f>IF(B2155,IF(Dist="Normal",DistA+DistB*I2155,DistA+(DistB-DistA)*NORMSDIST(I2155)),"")</f>
        <v/>
      </c>
      <c r="K2155">
        <f>IF(B2155,INDEX(MineScale,C2155),"")</f>
        <v/>
      </c>
      <c r="L2155">
        <f>IF(B2155,INDEX(Dow,1,WEEKDAY(E2155,2)),"")</f>
        <v/>
      </c>
      <c r="M2155">
        <f>IF(B2155,(1+Trend)^D2155,"")</f>
        <v/>
      </c>
      <c r="N2155">
        <f>IF(B2155,EXP(SUMPRODUCT(LN(1+(EvEff-1)*INDEX(Affected,0,C2155)*EXP(-((E2155-EvCenter)^2)/(2*EvSigma^2))))),"")</f>
        <v/>
      </c>
      <c r="O2155">
        <f>IF(B2155,ROUND(MAX(0,J2155*K2155*L2155*M2155*N2155),2),"")</f>
        <v/>
      </c>
    </row>
    <row r="2156">
      <c r="A2156" t="n">
        <v>2155</v>
      </c>
      <c r="B2156">
        <f>A2156&lt;=MineCount*Days</f>
        <v/>
      </c>
      <c r="C2156">
        <f>IF(B2156,INT((A2156-1)/Days)+1,"")</f>
        <v/>
      </c>
      <c r="D2156">
        <f>IF(B2156,MOD(A2156-1,Days),"")</f>
        <v/>
      </c>
      <c r="E2156" s="16">
        <f>IF(B2156,StartDate+D2156,"")</f>
        <v/>
      </c>
      <c r="F2156">
        <f>IF(B2156,MAX(MOD(SIN(Seed*0.1373+C2156*12.9898+D2156*78.233)*43758.5453,1),1E-9),"")</f>
        <v/>
      </c>
      <c r="G2156">
        <f>IF(B2156,MOD(SIN(Seed*0.5917+C2156*39.3468+D2156*11.135)*24634.6345,1),"")</f>
        <v/>
      </c>
      <c r="H2156">
        <f>IF(B2156,SQRT(-2*LN(F2156))*COS(2*PI()*G2156),"")</f>
        <v/>
      </c>
      <c r="I2156">
        <f>IF(B2156,IF(D2156=0,H2156,Rho*I2155+SQRT(1-Rho^2)*H2156),"")</f>
        <v/>
      </c>
      <c r="J2156">
        <f>IF(B2156,IF(Dist="Normal",DistA+DistB*I2156,DistA+(DistB-DistA)*NORMSDIST(I2156)),"")</f>
        <v/>
      </c>
      <c r="K2156">
        <f>IF(B2156,INDEX(MineScale,C2156),"")</f>
        <v/>
      </c>
      <c r="L2156">
        <f>IF(B2156,INDEX(Dow,1,WEEKDAY(E2156,2)),"")</f>
        <v/>
      </c>
      <c r="M2156">
        <f>IF(B2156,(1+Trend)^D2156,"")</f>
        <v/>
      </c>
      <c r="N2156">
        <f>IF(B2156,EXP(SUMPRODUCT(LN(1+(EvEff-1)*INDEX(Affected,0,C2156)*EXP(-((E2156-EvCenter)^2)/(2*EvSigma^2))))),"")</f>
        <v/>
      </c>
      <c r="O2156">
        <f>IF(B2156,ROUND(MAX(0,J2156*K2156*L2156*M2156*N2156),2),"")</f>
        <v/>
      </c>
    </row>
    <row r="2157">
      <c r="A2157" t="n">
        <v>2156</v>
      </c>
      <c r="B2157">
        <f>A2157&lt;=MineCount*Days</f>
        <v/>
      </c>
      <c r="C2157">
        <f>IF(B2157,INT((A2157-1)/Days)+1,"")</f>
        <v/>
      </c>
      <c r="D2157">
        <f>IF(B2157,MOD(A2157-1,Days),"")</f>
        <v/>
      </c>
      <c r="E2157" s="16">
        <f>IF(B2157,StartDate+D2157,"")</f>
        <v/>
      </c>
      <c r="F2157">
        <f>IF(B2157,MAX(MOD(SIN(Seed*0.1373+C2157*12.9898+D2157*78.233)*43758.5453,1),1E-9),"")</f>
        <v/>
      </c>
      <c r="G2157">
        <f>IF(B2157,MOD(SIN(Seed*0.5917+C2157*39.3468+D2157*11.135)*24634.6345,1),"")</f>
        <v/>
      </c>
      <c r="H2157">
        <f>IF(B2157,SQRT(-2*LN(F2157))*COS(2*PI()*G2157),"")</f>
        <v/>
      </c>
      <c r="I2157">
        <f>IF(B2157,IF(D2157=0,H2157,Rho*I2156+SQRT(1-Rho^2)*H2157),"")</f>
        <v/>
      </c>
      <c r="J2157">
        <f>IF(B2157,IF(Dist="Normal",DistA+DistB*I2157,DistA+(DistB-DistA)*NORMSDIST(I2157)),"")</f>
        <v/>
      </c>
      <c r="K2157">
        <f>IF(B2157,INDEX(MineScale,C2157),"")</f>
        <v/>
      </c>
      <c r="L2157">
        <f>IF(B2157,INDEX(Dow,1,WEEKDAY(E2157,2)),"")</f>
        <v/>
      </c>
      <c r="M2157">
        <f>IF(B2157,(1+Trend)^D2157,"")</f>
        <v/>
      </c>
      <c r="N2157">
        <f>IF(B2157,EXP(SUMPRODUCT(LN(1+(EvEff-1)*INDEX(Affected,0,C2157)*EXP(-((E2157-EvCenter)^2)/(2*EvSigma^2))))),"")</f>
        <v/>
      </c>
      <c r="O2157">
        <f>IF(B2157,ROUND(MAX(0,J2157*K2157*L2157*M2157*N2157),2),"")</f>
        <v/>
      </c>
    </row>
    <row r="2158">
      <c r="A2158" t="n">
        <v>2157</v>
      </c>
      <c r="B2158">
        <f>A2158&lt;=MineCount*Days</f>
        <v/>
      </c>
      <c r="C2158">
        <f>IF(B2158,INT((A2158-1)/Days)+1,"")</f>
        <v/>
      </c>
      <c r="D2158">
        <f>IF(B2158,MOD(A2158-1,Days),"")</f>
        <v/>
      </c>
      <c r="E2158" s="16">
        <f>IF(B2158,StartDate+D2158,"")</f>
        <v/>
      </c>
      <c r="F2158">
        <f>IF(B2158,MAX(MOD(SIN(Seed*0.1373+C2158*12.9898+D2158*78.233)*43758.5453,1),1E-9),"")</f>
        <v/>
      </c>
      <c r="G2158">
        <f>IF(B2158,MOD(SIN(Seed*0.5917+C2158*39.3468+D2158*11.135)*24634.6345,1),"")</f>
        <v/>
      </c>
      <c r="H2158">
        <f>IF(B2158,SQRT(-2*LN(F2158))*COS(2*PI()*G2158),"")</f>
        <v/>
      </c>
      <c r="I2158">
        <f>IF(B2158,IF(D2158=0,H2158,Rho*I2157+SQRT(1-Rho^2)*H2158),"")</f>
        <v/>
      </c>
      <c r="J2158">
        <f>IF(B2158,IF(Dist="Normal",DistA+DistB*I2158,DistA+(DistB-DistA)*NORMSDIST(I2158)),"")</f>
        <v/>
      </c>
      <c r="K2158">
        <f>IF(B2158,INDEX(MineScale,C2158),"")</f>
        <v/>
      </c>
      <c r="L2158">
        <f>IF(B2158,INDEX(Dow,1,WEEKDAY(E2158,2)),"")</f>
        <v/>
      </c>
      <c r="M2158">
        <f>IF(B2158,(1+Trend)^D2158,"")</f>
        <v/>
      </c>
      <c r="N2158">
        <f>IF(B2158,EXP(SUMPRODUCT(LN(1+(EvEff-1)*INDEX(Affected,0,C2158)*EXP(-((E2158-EvCenter)^2)/(2*EvSigma^2))))),"")</f>
        <v/>
      </c>
      <c r="O2158">
        <f>IF(B2158,ROUND(MAX(0,J2158*K2158*L2158*M2158*N2158),2),"")</f>
        <v/>
      </c>
    </row>
    <row r="2159">
      <c r="A2159" t="n">
        <v>2158</v>
      </c>
      <c r="B2159">
        <f>A2159&lt;=MineCount*Days</f>
        <v/>
      </c>
      <c r="C2159">
        <f>IF(B2159,INT((A2159-1)/Days)+1,"")</f>
        <v/>
      </c>
      <c r="D2159">
        <f>IF(B2159,MOD(A2159-1,Days),"")</f>
        <v/>
      </c>
      <c r="E2159" s="16">
        <f>IF(B2159,StartDate+D2159,"")</f>
        <v/>
      </c>
      <c r="F2159">
        <f>IF(B2159,MAX(MOD(SIN(Seed*0.1373+C2159*12.9898+D2159*78.233)*43758.5453,1),1E-9),"")</f>
        <v/>
      </c>
      <c r="G2159">
        <f>IF(B2159,MOD(SIN(Seed*0.5917+C2159*39.3468+D2159*11.135)*24634.6345,1),"")</f>
        <v/>
      </c>
      <c r="H2159">
        <f>IF(B2159,SQRT(-2*LN(F2159))*COS(2*PI()*G2159),"")</f>
        <v/>
      </c>
      <c r="I2159">
        <f>IF(B2159,IF(D2159=0,H2159,Rho*I2158+SQRT(1-Rho^2)*H2159),"")</f>
        <v/>
      </c>
      <c r="J2159">
        <f>IF(B2159,IF(Dist="Normal",DistA+DistB*I2159,DistA+(DistB-DistA)*NORMSDIST(I2159)),"")</f>
        <v/>
      </c>
      <c r="K2159">
        <f>IF(B2159,INDEX(MineScale,C2159),"")</f>
        <v/>
      </c>
      <c r="L2159">
        <f>IF(B2159,INDEX(Dow,1,WEEKDAY(E2159,2)),"")</f>
        <v/>
      </c>
      <c r="M2159">
        <f>IF(B2159,(1+Trend)^D2159,"")</f>
        <v/>
      </c>
      <c r="N2159">
        <f>IF(B2159,EXP(SUMPRODUCT(LN(1+(EvEff-1)*INDEX(Affected,0,C2159)*EXP(-((E2159-EvCenter)^2)/(2*EvSigma^2))))),"")</f>
        <v/>
      </c>
      <c r="O2159">
        <f>IF(B2159,ROUND(MAX(0,J2159*K2159*L2159*M2159*N2159),2),"")</f>
        <v/>
      </c>
    </row>
    <row r="2160">
      <c r="A2160" t="n">
        <v>2159</v>
      </c>
      <c r="B2160">
        <f>A2160&lt;=MineCount*Days</f>
        <v/>
      </c>
      <c r="C2160">
        <f>IF(B2160,INT((A2160-1)/Days)+1,"")</f>
        <v/>
      </c>
      <c r="D2160">
        <f>IF(B2160,MOD(A2160-1,Days),"")</f>
        <v/>
      </c>
      <c r="E2160" s="16">
        <f>IF(B2160,StartDate+D2160,"")</f>
        <v/>
      </c>
      <c r="F2160">
        <f>IF(B2160,MAX(MOD(SIN(Seed*0.1373+C2160*12.9898+D2160*78.233)*43758.5453,1),1E-9),"")</f>
        <v/>
      </c>
      <c r="G2160">
        <f>IF(B2160,MOD(SIN(Seed*0.5917+C2160*39.3468+D2160*11.135)*24634.6345,1),"")</f>
        <v/>
      </c>
      <c r="H2160">
        <f>IF(B2160,SQRT(-2*LN(F2160))*COS(2*PI()*G2160),"")</f>
        <v/>
      </c>
      <c r="I2160">
        <f>IF(B2160,IF(D2160=0,H2160,Rho*I2159+SQRT(1-Rho^2)*H2160),"")</f>
        <v/>
      </c>
      <c r="J2160">
        <f>IF(B2160,IF(Dist="Normal",DistA+DistB*I2160,DistA+(DistB-DistA)*NORMSDIST(I2160)),"")</f>
        <v/>
      </c>
      <c r="K2160">
        <f>IF(B2160,INDEX(MineScale,C2160),"")</f>
        <v/>
      </c>
      <c r="L2160">
        <f>IF(B2160,INDEX(Dow,1,WEEKDAY(E2160,2)),"")</f>
        <v/>
      </c>
      <c r="M2160">
        <f>IF(B2160,(1+Trend)^D2160,"")</f>
        <v/>
      </c>
      <c r="N2160">
        <f>IF(B2160,EXP(SUMPRODUCT(LN(1+(EvEff-1)*INDEX(Affected,0,C2160)*EXP(-((E2160-EvCenter)^2)/(2*EvSigma^2))))),"")</f>
        <v/>
      </c>
      <c r="O2160">
        <f>IF(B2160,ROUND(MAX(0,J2160*K2160*L2160*M2160*N2160),2),"")</f>
        <v/>
      </c>
    </row>
    <row r="2161">
      <c r="A2161" t="n">
        <v>2160</v>
      </c>
      <c r="B2161">
        <f>A2161&lt;=MineCount*Days</f>
        <v/>
      </c>
      <c r="C2161">
        <f>IF(B2161,INT((A2161-1)/Days)+1,"")</f>
        <v/>
      </c>
      <c r="D2161">
        <f>IF(B2161,MOD(A2161-1,Days),"")</f>
        <v/>
      </c>
      <c r="E2161" s="16">
        <f>IF(B2161,StartDate+D2161,"")</f>
        <v/>
      </c>
      <c r="F2161">
        <f>IF(B2161,MAX(MOD(SIN(Seed*0.1373+C2161*12.9898+D2161*78.233)*43758.5453,1),1E-9),"")</f>
        <v/>
      </c>
      <c r="G2161">
        <f>IF(B2161,MOD(SIN(Seed*0.5917+C2161*39.3468+D2161*11.135)*24634.6345,1),"")</f>
        <v/>
      </c>
      <c r="H2161">
        <f>IF(B2161,SQRT(-2*LN(F2161))*COS(2*PI()*G2161),"")</f>
        <v/>
      </c>
      <c r="I2161">
        <f>IF(B2161,IF(D2161=0,H2161,Rho*I2160+SQRT(1-Rho^2)*H2161),"")</f>
        <v/>
      </c>
      <c r="J2161">
        <f>IF(B2161,IF(Dist="Normal",DistA+DistB*I2161,DistA+(DistB-DistA)*NORMSDIST(I2161)),"")</f>
        <v/>
      </c>
      <c r="K2161">
        <f>IF(B2161,INDEX(MineScale,C2161),"")</f>
        <v/>
      </c>
      <c r="L2161">
        <f>IF(B2161,INDEX(Dow,1,WEEKDAY(E2161,2)),"")</f>
        <v/>
      </c>
      <c r="M2161">
        <f>IF(B2161,(1+Trend)^D2161,"")</f>
        <v/>
      </c>
      <c r="N2161">
        <f>IF(B2161,EXP(SUMPRODUCT(LN(1+(EvEff-1)*INDEX(Affected,0,C2161)*EXP(-((E2161-EvCenter)^2)/(2*EvSigma^2))))),"")</f>
        <v/>
      </c>
      <c r="O2161">
        <f>IF(B2161,ROUND(MAX(0,J2161*K2161*L2161*M2161*N2161),2),"")</f>
        <v/>
      </c>
    </row>
    <row r="2162">
      <c r="A2162" t="n">
        <v>2161</v>
      </c>
      <c r="B2162">
        <f>A2162&lt;=MineCount*Days</f>
        <v/>
      </c>
      <c r="C2162">
        <f>IF(B2162,INT((A2162-1)/Days)+1,"")</f>
        <v/>
      </c>
      <c r="D2162">
        <f>IF(B2162,MOD(A2162-1,Days),"")</f>
        <v/>
      </c>
      <c r="E2162" s="16">
        <f>IF(B2162,StartDate+D2162,"")</f>
        <v/>
      </c>
      <c r="F2162">
        <f>IF(B2162,MAX(MOD(SIN(Seed*0.1373+C2162*12.9898+D2162*78.233)*43758.5453,1),1E-9),"")</f>
        <v/>
      </c>
      <c r="G2162">
        <f>IF(B2162,MOD(SIN(Seed*0.5917+C2162*39.3468+D2162*11.135)*24634.6345,1),"")</f>
        <v/>
      </c>
      <c r="H2162">
        <f>IF(B2162,SQRT(-2*LN(F2162))*COS(2*PI()*G2162),"")</f>
        <v/>
      </c>
      <c r="I2162">
        <f>IF(B2162,IF(D2162=0,H2162,Rho*I2161+SQRT(1-Rho^2)*H2162),"")</f>
        <v/>
      </c>
      <c r="J2162">
        <f>IF(B2162,IF(Dist="Normal",DistA+DistB*I2162,DistA+(DistB-DistA)*NORMSDIST(I2162)),"")</f>
        <v/>
      </c>
      <c r="K2162">
        <f>IF(B2162,INDEX(MineScale,C2162),"")</f>
        <v/>
      </c>
      <c r="L2162">
        <f>IF(B2162,INDEX(Dow,1,WEEKDAY(E2162,2)),"")</f>
        <v/>
      </c>
      <c r="M2162">
        <f>IF(B2162,(1+Trend)^D2162,"")</f>
        <v/>
      </c>
      <c r="N2162">
        <f>IF(B2162,EXP(SUMPRODUCT(LN(1+(EvEff-1)*INDEX(Affected,0,C2162)*EXP(-((E2162-EvCenter)^2)/(2*EvSigma^2))))),"")</f>
        <v/>
      </c>
      <c r="O2162">
        <f>IF(B2162,ROUND(MAX(0,J2162*K2162*L2162*M2162*N2162),2),"")</f>
        <v/>
      </c>
    </row>
    <row r="2163">
      <c r="A2163" t="n">
        <v>2162</v>
      </c>
      <c r="B2163">
        <f>A2163&lt;=MineCount*Days</f>
        <v/>
      </c>
      <c r="C2163">
        <f>IF(B2163,INT((A2163-1)/Days)+1,"")</f>
        <v/>
      </c>
      <c r="D2163">
        <f>IF(B2163,MOD(A2163-1,Days),"")</f>
        <v/>
      </c>
      <c r="E2163" s="16">
        <f>IF(B2163,StartDate+D2163,"")</f>
        <v/>
      </c>
      <c r="F2163">
        <f>IF(B2163,MAX(MOD(SIN(Seed*0.1373+C2163*12.9898+D2163*78.233)*43758.5453,1),1E-9),"")</f>
        <v/>
      </c>
      <c r="G2163">
        <f>IF(B2163,MOD(SIN(Seed*0.5917+C2163*39.3468+D2163*11.135)*24634.6345,1),"")</f>
        <v/>
      </c>
      <c r="H2163">
        <f>IF(B2163,SQRT(-2*LN(F2163))*COS(2*PI()*G2163),"")</f>
        <v/>
      </c>
      <c r="I2163">
        <f>IF(B2163,IF(D2163=0,H2163,Rho*I2162+SQRT(1-Rho^2)*H2163),"")</f>
        <v/>
      </c>
      <c r="J2163">
        <f>IF(B2163,IF(Dist="Normal",DistA+DistB*I2163,DistA+(DistB-DistA)*NORMSDIST(I2163)),"")</f>
        <v/>
      </c>
      <c r="K2163">
        <f>IF(B2163,INDEX(MineScale,C2163),"")</f>
        <v/>
      </c>
      <c r="L2163">
        <f>IF(B2163,INDEX(Dow,1,WEEKDAY(E2163,2)),"")</f>
        <v/>
      </c>
      <c r="M2163">
        <f>IF(B2163,(1+Trend)^D2163,"")</f>
        <v/>
      </c>
      <c r="N2163">
        <f>IF(B2163,EXP(SUMPRODUCT(LN(1+(EvEff-1)*INDEX(Affected,0,C2163)*EXP(-((E2163-EvCenter)^2)/(2*EvSigma^2))))),"")</f>
        <v/>
      </c>
      <c r="O2163">
        <f>IF(B2163,ROUND(MAX(0,J2163*K2163*L2163*M2163*N2163),2),"")</f>
        <v/>
      </c>
    </row>
    <row r="2164">
      <c r="A2164" t="n">
        <v>2163</v>
      </c>
      <c r="B2164">
        <f>A2164&lt;=MineCount*Days</f>
        <v/>
      </c>
      <c r="C2164">
        <f>IF(B2164,INT((A2164-1)/Days)+1,"")</f>
        <v/>
      </c>
      <c r="D2164">
        <f>IF(B2164,MOD(A2164-1,Days),"")</f>
        <v/>
      </c>
      <c r="E2164" s="16">
        <f>IF(B2164,StartDate+D2164,"")</f>
        <v/>
      </c>
      <c r="F2164">
        <f>IF(B2164,MAX(MOD(SIN(Seed*0.1373+C2164*12.9898+D2164*78.233)*43758.5453,1),1E-9),"")</f>
        <v/>
      </c>
      <c r="G2164">
        <f>IF(B2164,MOD(SIN(Seed*0.5917+C2164*39.3468+D2164*11.135)*24634.6345,1),"")</f>
        <v/>
      </c>
      <c r="H2164">
        <f>IF(B2164,SQRT(-2*LN(F2164))*COS(2*PI()*G2164),"")</f>
        <v/>
      </c>
      <c r="I2164">
        <f>IF(B2164,IF(D2164=0,H2164,Rho*I2163+SQRT(1-Rho^2)*H2164),"")</f>
        <v/>
      </c>
      <c r="J2164">
        <f>IF(B2164,IF(Dist="Normal",DistA+DistB*I2164,DistA+(DistB-DistA)*NORMSDIST(I2164)),"")</f>
        <v/>
      </c>
      <c r="K2164">
        <f>IF(B2164,INDEX(MineScale,C2164),"")</f>
        <v/>
      </c>
      <c r="L2164">
        <f>IF(B2164,INDEX(Dow,1,WEEKDAY(E2164,2)),"")</f>
        <v/>
      </c>
      <c r="M2164">
        <f>IF(B2164,(1+Trend)^D2164,"")</f>
        <v/>
      </c>
      <c r="N2164">
        <f>IF(B2164,EXP(SUMPRODUCT(LN(1+(EvEff-1)*INDEX(Affected,0,C2164)*EXP(-((E2164-EvCenter)^2)/(2*EvSigma^2))))),"")</f>
        <v/>
      </c>
      <c r="O2164">
        <f>IF(B2164,ROUND(MAX(0,J2164*K2164*L2164*M2164*N2164),2),"")</f>
        <v/>
      </c>
    </row>
    <row r="2165">
      <c r="A2165" t="n">
        <v>2164</v>
      </c>
      <c r="B2165">
        <f>A2165&lt;=MineCount*Days</f>
        <v/>
      </c>
      <c r="C2165">
        <f>IF(B2165,INT((A2165-1)/Days)+1,"")</f>
        <v/>
      </c>
      <c r="D2165">
        <f>IF(B2165,MOD(A2165-1,Days),"")</f>
        <v/>
      </c>
      <c r="E2165" s="16">
        <f>IF(B2165,StartDate+D2165,"")</f>
        <v/>
      </c>
      <c r="F2165">
        <f>IF(B2165,MAX(MOD(SIN(Seed*0.1373+C2165*12.9898+D2165*78.233)*43758.5453,1),1E-9),"")</f>
        <v/>
      </c>
      <c r="G2165">
        <f>IF(B2165,MOD(SIN(Seed*0.5917+C2165*39.3468+D2165*11.135)*24634.6345,1),"")</f>
        <v/>
      </c>
      <c r="H2165">
        <f>IF(B2165,SQRT(-2*LN(F2165))*COS(2*PI()*G2165),"")</f>
        <v/>
      </c>
      <c r="I2165">
        <f>IF(B2165,IF(D2165=0,H2165,Rho*I2164+SQRT(1-Rho^2)*H2165),"")</f>
        <v/>
      </c>
      <c r="J2165">
        <f>IF(B2165,IF(Dist="Normal",DistA+DistB*I2165,DistA+(DistB-DistA)*NORMSDIST(I2165)),"")</f>
        <v/>
      </c>
      <c r="K2165">
        <f>IF(B2165,INDEX(MineScale,C2165),"")</f>
        <v/>
      </c>
      <c r="L2165">
        <f>IF(B2165,INDEX(Dow,1,WEEKDAY(E2165,2)),"")</f>
        <v/>
      </c>
      <c r="M2165">
        <f>IF(B2165,(1+Trend)^D2165,"")</f>
        <v/>
      </c>
      <c r="N2165">
        <f>IF(B2165,EXP(SUMPRODUCT(LN(1+(EvEff-1)*INDEX(Affected,0,C2165)*EXP(-((E2165-EvCenter)^2)/(2*EvSigma^2))))),"")</f>
        <v/>
      </c>
      <c r="O2165">
        <f>IF(B2165,ROUND(MAX(0,J2165*K2165*L2165*M2165*N2165),2),"")</f>
        <v/>
      </c>
    </row>
    <row r="2166">
      <c r="A2166" t="n">
        <v>2165</v>
      </c>
      <c r="B2166">
        <f>A2166&lt;=MineCount*Days</f>
        <v/>
      </c>
      <c r="C2166">
        <f>IF(B2166,INT((A2166-1)/Days)+1,"")</f>
        <v/>
      </c>
      <c r="D2166">
        <f>IF(B2166,MOD(A2166-1,Days),"")</f>
        <v/>
      </c>
      <c r="E2166" s="16">
        <f>IF(B2166,StartDate+D2166,"")</f>
        <v/>
      </c>
      <c r="F2166">
        <f>IF(B2166,MAX(MOD(SIN(Seed*0.1373+C2166*12.9898+D2166*78.233)*43758.5453,1),1E-9),"")</f>
        <v/>
      </c>
      <c r="G2166">
        <f>IF(B2166,MOD(SIN(Seed*0.5917+C2166*39.3468+D2166*11.135)*24634.6345,1),"")</f>
        <v/>
      </c>
      <c r="H2166">
        <f>IF(B2166,SQRT(-2*LN(F2166))*COS(2*PI()*G2166),"")</f>
        <v/>
      </c>
      <c r="I2166">
        <f>IF(B2166,IF(D2166=0,H2166,Rho*I2165+SQRT(1-Rho^2)*H2166),"")</f>
        <v/>
      </c>
      <c r="J2166">
        <f>IF(B2166,IF(Dist="Normal",DistA+DistB*I2166,DistA+(DistB-DistA)*NORMSDIST(I2166)),"")</f>
        <v/>
      </c>
      <c r="K2166">
        <f>IF(B2166,INDEX(MineScale,C2166),"")</f>
        <v/>
      </c>
      <c r="L2166">
        <f>IF(B2166,INDEX(Dow,1,WEEKDAY(E2166,2)),"")</f>
        <v/>
      </c>
      <c r="M2166">
        <f>IF(B2166,(1+Trend)^D2166,"")</f>
        <v/>
      </c>
      <c r="N2166">
        <f>IF(B2166,EXP(SUMPRODUCT(LN(1+(EvEff-1)*INDEX(Affected,0,C2166)*EXP(-((E2166-EvCenter)^2)/(2*EvSigma^2))))),"")</f>
        <v/>
      </c>
      <c r="O2166">
        <f>IF(B2166,ROUND(MAX(0,J2166*K2166*L2166*M2166*N2166),2),"")</f>
        <v/>
      </c>
    </row>
    <row r="2167">
      <c r="A2167" t="n">
        <v>2166</v>
      </c>
      <c r="B2167">
        <f>A2167&lt;=MineCount*Days</f>
        <v/>
      </c>
      <c r="C2167">
        <f>IF(B2167,INT((A2167-1)/Days)+1,"")</f>
        <v/>
      </c>
      <c r="D2167">
        <f>IF(B2167,MOD(A2167-1,Days),"")</f>
        <v/>
      </c>
      <c r="E2167" s="16">
        <f>IF(B2167,StartDate+D2167,"")</f>
        <v/>
      </c>
      <c r="F2167">
        <f>IF(B2167,MAX(MOD(SIN(Seed*0.1373+C2167*12.9898+D2167*78.233)*43758.5453,1),1E-9),"")</f>
        <v/>
      </c>
      <c r="G2167">
        <f>IF(B2167,MOD(SIN(Seed*0.5917+C2167*39.3468+D2167*11.135)*24634.6345,1),"")</f>
        <v/>
      </c>
      <c r="H2167">
        <f>IF(B2167,SQRT(-2*LN(F2167))*COS(2*PI()*G2167),"")</f>
        <v/>
      </c>
      <c r="I2167">
        <f>IF(B2167,IF(D2167=0,H2167,Rho*I2166+SQRT(1-Rho^2)*H2167),"")</f>
        <v/>
      </c>
      <c r="J2167">
        <f>IF(B2167,IF(Dist="Normal",DistA+DistB*I2167,DistA+(DistB-DistA)*NORMSDIST(I2167)),"")</f>
        <v/>
      </c>
      <c r="K2167">
        <f>IF(B2167,INDEX(MineScale,C2167),"")</f>
        <v/>
      </c>
      <c r="L2167">
        <f>IF(B2167,INDEX(Dow,1,WEEKDAY(E2167,2)),"")</f>
        <v/>
      </c>
      <c r="M2167">
        <f>IF(B2167,(1+Trend)^D2167,"")</f>
        <v/>
      </c>
      <c r="N2167">
        <f>IF(B2167,EXP(SUMPRODUCT(LN(1+(EvEff-1)*INDEX(Affected,0,C2167)*EXP(-((E2167-EvCenter)^2)/(2*EvSigma^2))))),"")</f>
        <v/>
      </c>
      <c r="O2167">
        <f>IF(B2167,ROUND(MAX(0,J2167*K2167*L2167*M2167*N2167),2),"")</f>
        <v/>
      </c>
    </row>
    <row r="2168">
      <c r="A2168" t="n">
        <v>2167</v>
      </c>
      <c r="B2168">
        <f>A2168&lt;=MineCount*Days</f>
        <v/>
      </c>
      <c r="C2168">
        <f>IF(B2168,INT((A2168-1)/Days)+1,"")</f>
        <v/>
      </c>
      <c r="D2168">
        <f>IF(B2168,MOD(A2168-1,Days),"")</f>
        <v/>
      </c>
      <c r="E2168" s="16">
        <f>IF(B2168,StartDate+D2168,"")</f>
        <v/>
      </c>
      <c r="F2168">
        <f>IF(B2168,MAX(MOD(SIN(Seed*0.1373+C2168*12.9898+D2168*78.233)*43758.5453,1),1E-9),"")</f>
        <v/>
      </c>
      <c r="G2168">
        <f>IF(B2168,MOD(SIN(Seed*0.5917+C2168*39.3468+D2168*11.135)*24634.6345,1),"")</f>
        <v/>
      </c>
      <c r="H2168">
        <f>IF(B2168,SQRT(-2*LN(F2168))*COS(2*PI()*G2168),"")</f>
        <v/>
      </c>
      <c r="I2168">
        <f>IF(B2168,IF(D2168=0,H2168,Rho*I2167+SQRT(1-Rho^2)*H2168),"")</f>
        <v/>
      </c>
      <c r="J2168">
        <f>IF(B2168,IF(Dist="Normal",DistA+DistB*I2168,DistA+(DistB-DistA)*NORMSDIST(I2168)),"")</f>
        <v/>
      </c>
      <c r="K2168">
        <f>IF(B2168,INDEX(MineScale,C2168),"")</f>
        <v/>
      </c>
      <c r="L2168">
        <f>IF(B2168,INDEX(Dow,1,WEEKDAY(E2168,2)),"")</f>
        <v/>
      </c>
      <c r="M2168">
        <f>IF(B2168,(1+Trend)^D2168,"")</f>
        <v/>
      </c>
      <c r="N2168">
        <f>IF(B2168,EXP(SUMPRODUCT(LN(1+(EvEff-1)*INDEX(Affected,0,C2168)*EXP(-((E2168-EvCenter)^2)/(2*EvSigma^2))))),"")</f>
        <v/>
      </c>
      <c r="O2168">
        <f>IF(B2168,ROUND(MAX(0,J2168*K2168*L2168*M2168*N2168),2),"")</f>
        <v/>
      </c>
    </row>
    <row r="2169">
      <c r="A2169" t="n">
        <v>2168</v>
      </c>
      <c r="B2169">
        <f>A2169&lt;=MineCount*Days</f>
        <v/>
      </c>
      <c r="C2169">
        <f>IF(B2169,INT((A2169-1)/Days)+1,"")</f>
        <v/>
      </c>
      <c r="D2169">
        <f>IF(B2169,MOD(A2169-1,Days),"")</f>
        <v/>
      </c>
      <c r="E2169" s="16">
        <f>IF(B2169,StartDate+D2169,"")</f>
        <v/>
      </c>
      <c r="F2169">
        <f>IF(B2169,MAX(MOD(SIN(Seed*0.1373+C2169*12.9898+D2169*78.233)*43758.5453,1),1E-9),"")</f>
        <v/>
      </c>
      <c r="G2169">
        <f>IF(B2169,MOD(SIN(Seed*0.5917+C2169*39.3468+D2169*11.135)*24634.6345,1),"")</f>
        <v/>
      </c>
      <c r="H2169">
        <f>IF(B2169,SQRT(-2*LN(F2169))*COS(2*PI()*G2169),"")</f>
        <v/>
      </c>
      <c r="I2169">
        <f>IF(B2169,IF(D2169=0,H2169,Rho*I2168+SQRT(1-Rho^2)*H2169),"")</f>
        <v/>
      </c>
      <c r="J2169">
        <f>IF(B2169,IF(Dist="Normal",DistA+DistB*I2169,DistA+(DistB-DistA)*NORMSDIST(I2169)),"")</f>
        <v/>
      </c>
      <c r="K2169">
        <f>IF(B2169,INDEX(MineScale,C2169),"")</f>
        <v/>
      </c>
      <c r="L2169">
        <f>IF(B2169,INDEX(Dow,1,WEEKDAY(E2169,2)),"")</f>
        <v/>
      </c>
      <c r="M2169">
        <f>IF(B2169,(1+Trend)^D2169,"")</f>
        <v/>
      </c>
      <c r="N2169">
        <f>IF(B2169,EXP(SUMPRODUCT(LN(1+(EvEff-1)*INDEX(Affected,0,C2169)*EXP(-((E2169-EvCenter)^2)/(2*EvSigma^2))))),"")</f>
        <v/>
      </c>
      <c r="O2169">
        <f>IF(B2169,ROUND(MAX(0,J2169*K2169*L2169*M2169*N2169),2),"")</f>
        <v/>
      </c>
    </row>
    <row r="2170">
      <c r="A2170" t="n">
        <v>2169</v>
      </c>
      <c r="B2170">
        <f>A2170&lt;=MineCount*Days</f>
        <v/>
      </c>
      <c r="C2170">
        <f>IF(B2170,INT((A2170-1)/Days)+1,"")</f>
        <v/>
      </c>
      <c r="D2170">
        <f>IF(B2170,MOD(A2170-1,Days),"")</f>
        <v/>
      </c>
      <c r="E2170" s="16">
        <f>IF(B2170,StartDate+D2170,"")</f>
        <v/>
      </c>
      <c r="F2170">
        <f>IF(B2170,MAX(MOD(SIN(Seed*0.1373+C2170*12.9898+D2170*78.233)*43758.5453,1),1E-9),"")</f>
        <v/>
      </c>
      <c r="G2170">
        <f>IF(B2170,MOD(SIN(Seed*0.5917+C2170*39.3468+D2170*11.135)*24634.6345,1),"")</f>
        <v/>
      </c>
      <c r="H2170">
        <f>IF(B2170,SQRT(-2*LN(F2170))*COS(2*PI()*G2170),"")</f>
        <v/>
      </c>
      <c r="I2170">
        <f>IF(B2170,IF(D2170=0,H2170,Rho*I2169+SQRT(1-Rho^2)*H2170),"")</f>
        <v/>
      </c>
      <c r="J2170">
        <f>IF(B2170,IF(Dist="Normal",DistA+DistB*I2170,DistA+(DistB-DistA)*NORMSDIST(I2170)),"")</f>
        <v/>
      </c>
      <c r="K2170">
        <f>IF(B2170,INDEX(MineScale,C2170),"")</f>
        <v/>
      </c>
      <c r="L2170">
        <f>IF(B2170,INDEX(Dow,1,WEEKDAY(E2170,2)),"")</f>
        <v/>
      </c>
      <c r="M2170">
        <f>IF(B2170,(1+Trend)^D2170,"")</f>
        <v/>
      </c>
      <c r="N2170">
        <f>IF(B2170,EXP(SUMPRODUCT(LN(1+(EvEff-1)*INDEX(Affected,0,C2170)*EXP(-((E2170-EvCenter)^2)/(2*EvSigma^2))))),"")</f>
        <v/>
      </c>
      <c r="O2170">
        <f>IF(B2170,ROUND(MAX(0,J2170*K2170*L2170*M2170*N2170),2),"")</f>
        <v/>
      </c>
    </row>
    <row r="2171">
      <c r="A2171" t="n">
        <v>2170</v>
      </c>
      <c r="B2171">
        <f>A2171&lt;=MineCount*Days</f>
        <v/>
      </c>
      <c r="C2171">
        <f>IF(B2171,INT((A2171-1)/Days)+1,"")</f>
        <v/>
      </c>
      <c r="D2171">
        <f>IF(B2171,MOD(A2171-1,Days),"")</f>
        <v/>
      </c>
      <c r="E2171" s="16">
        <f>IF(B2171,StartDate+D2171,"")</f>
        <v/>
      </c>
      <c r="F2171">
        <f>IF(B2171,MAX(MOD(SIN(Seed*0.1373+C2171*12.9898+D2171*78.233)*43758.5453,1),1E-9),"")</f>
        <v/>
      </c>
      <c r="G2171">
        <f>IF(B2171,MOD(SIN(Seed*0.5917+C2171*39.3468+D2171*11.135)*24634.6345,1),"")</f>
        <v/>
      </c>
      <c r="H2171">
        <f>IF(B2171,SQRT(-2*LN(F2171))*COS(2*PI()*G2171),"")</f>
        <v/>
      </c>
      <c r="I2171">
        <f>IF(B2171,IF(D2171=0,H2171,Rho*I2170+SQRT(1-Rho^2)*H2171),"")</f>
        <v/>
      </c>
      <c r="J2171">
        <f>IF(B2171,IF(Dist="Normal",DistA+DistB*I2171,DistA+(DistB-DistA)*NORMSDIST(I2171)),"")</f>
        <v/>
      </c>
      <c r="K2171">
        <f>IF(B2171,INDEX(MineScale,C2171),"")</f>
        <v/>
      </c>
      <c r="L2171">
        <f>IF(B2171,INDEX(Dow,1,WEEKDAY(E2171,2)),"")</f>
        <v/>
      </c>
      <c r="M2171">
        <f>IF(B2171,(1+Trend)^D2171,"")</f>
        <v/>
      </c>
      <c r="N2171">
        <f>IF(B2171,EXP(SUMPRODUCT(LN(1+(EvEff-1)*INDEX(Affected,0,C2171)*EXP(-((E2171-EvCenter)^2)/(2*EvSigma^2))))),"")</f>
        <v/>
      </c>
      <c r="O2171">
        <f>IF(B2171,ROUND(MAX(0,J2171*K2171*L2171*M2171*N2171),2),"")</f>
        <v/>
      </c>
    </row>
    <row r="2172">
      <c r="A2172" t="n">
        <v>2171</v>
      </c>
      <c r="B2172">
        <f>A2172&lt;=MineCount*Days</f>
        <v/>
      </c>
      <c r="C2172">
        <f>IF(B2172,INT((A2172-1)/Days)+1,"")</f>
        <v/>
      </c>
      <c r="D2172">
        <f>IF(B2172,MOD(A2172-1,Days),"")</f>
        <v/>
      </c>
      <c r="E2172" s="16">
        <f>IF(B2172,StartDate+D2172,"")</f>
        <v/>
      </c>
      <c r="F2172">
        <f>IF(B2172,MAX(MOD(SIN(Seed*0.1373+C2172*12.9898+D2172*78.233)*43758.5453,1),1E-9),"")</f>
        <v/>
      </c>
      <c r="G2172">
        <f>IF(B2172,MOD(SIN(Seed*0.5917+C2172*39.3468+D2172*11.135)*24634.6345,1),"")</f>
        <v/>
      </c>
      <c r="H2172">
        <f>IF(B2172,SQRT(-2*LN(F2172))*COS(2*PI()*G2172),"")</f>
        <v/>
      </c>
      <c r="I2172">
        <f>IF(B2172,IF(D2172=0,H2172,Rho*I2171+SQRT(1-Rho^2)*H2172),"")</f>
        <v/>
      </c>
      <c r="J2172">
        <f>IF(B2172,IF(Dist="Normal",DistA+DistB*I2172,DistA+(DistB-DistA)*NORMSDIST(I2172)),"")</f>
        <v/>
      </c>
      <c r="K2172">
        <f>IF(B2172,INDEX(MineScale,C2172),"")</f>
        <v/>
      </c>
      <c r="L2172">
        <f>IF(B2172,INDEX(Dow,1,WEEKDAY(E2172,2)),"")</f>
        <v/>
      </c>
      <c r="M2172">
        <f>IF(B2172,(1+Trend)^D2172,"")</f>
        <v/>
      </c>
      <c r="N2172">
        <f>IF(B2172,EXP(SUMPRODUCT(LN(1+(EvEff-1)*INDEX(Affected,0,C2172)*EXP(-((E2172-EvCenter)^2)/(2*EvSigma^2))))),"")</f>
        <v/>
      </c>
      <c r="O2172">
        <f>IF(B2172,ROUND(MAX(0,J2172*K2172*L2172*M2172*N2172),2),"")</f>
        <v/>
      </c>
    </row>
    <row r="2173">
      <c r="A2173" t="n">
        <v>2172</v>
      </c>
      <c r="B2173">
        <f>A2173&lt;=MineCount*Days</f>
        <v/>
      </c>
      <c r="C2173">
        <f>IF(B2173,INT((A2173-1)/Days)+1,"")</f>
        <v/>
      </c>
      <c r="D2173">
        <f>IF(B2173,MOD(A2173-1,Days),"")</f>
        <v/>
      </c>
      <c r="E2173" s="16">
        <f>IF(B2173,StartDate+D2173,"")</f>
        <v/>
      </c>
      <c r="F2173">
        <f>IF(B2173,MAX(MOD(SIN(Seed*0.1373+C2173*12.9898+D2173*78.233)*43758.5453,1),1E-9),"")</f>
        <v/>
      </c>
      <c r="G2173">
        <f>IF(B2173,MOD(SIN(Seed*0.5917+C2173*39.3468+D2173*11.135)*24634.6345,1),"")</f>
        <v/>
      </c>
      <c r="H2173">
        <f>IF(B2173,SQRT(-2*LN(F2173))*COS(2*PI()*G2173),"")</f>
        <v/>
      </c>
      <c r="I2173">
        <f>IF(B2173,IF(D2173=0,H2173,Rho*I2172+SQRT(1-Rho^2)*H2173),"")</f>
        <v/>
      </c>
      <c r="J2173">
        <f>IF(B2173,IF(Dist="Normal",DistA+DistB*I2173,DistA+(DistB-DistA)*NORMSDIST(I2173)),"")</f>
        <v/>
      </c>
      <c r="K2173">
        <f>IF(B2173,INDEX(MineScale,C2173),"")</f>
        <v/>
      </c>
      <c r="L2173">
        <f>IF(B2173,INDEX(Dow,1,WEEKDAY(E2173,2)),"")</f>
        <v/>
      </c>
      <c r="M2173">
        <f>IF(B2173,(1+Trend)^D2173,"")</f>
        <v/>
      </c>
      <c r="N2173">
        <f>IF(B2173,EXP(SUMPRODUCT(LN(1+(EvEff-1)*INDEX(Affected,0,C2173)*EXP(-((E2173-EvCenter)^2)/(2*EvSigma^2))))),"")</f>
        <v/>
      </c>
      <c r="O2173">
        <f>IF(B2173,ROUND(MAX(0,J2173*K2173*L2173*M2173*N2173),2),"")</f>
        <v/>
      </c>
    </row>
    <row r="2174">
      <c r="A2174" t="n">
        <v>2173</v>
      </c>
      <c r="B2174">
        <f>A2174&lt;=MineCount*Days</f>
        <v/>
      </c>
      <c r="C2174">
        <f>IF(B2174,INT((A2174-1)/Days)+1,"")</f>
        <v/>
      </c>
      <c r="D2174">
        <f>IF(B2174,MOD(A2174-1,Days),"")</f>
        <v/>
      </c>
      <c r="E2174" s="16">
        <f>IF(B2174,StartDate+D2174,"")</f>
        <v/>
      </c>
      <c r="F2174">
        <f>IF(B2174,MAX(MOD(SIN(Seed*0.1373+C2174*12.9898+D2174*78.233)*43758.5453,1),1E-9),"")</f>
        <v/>
      </c>
      <c r="G2174">
        <f>IF(B2174,MOD(SIN(Seed*0.5917+C2174*39.3468+D2174*11.135)*24634.6345,1),"")</f>
        <v/>
      </c>
      <c r="H2174">
        <f>IF(B2174,SQRT(-2*LN(F2174))*COS(2*PI()*G2174),"")</f>
        <v/>
      </c>
      <c r="I2174">
        <f>IF(B2174,IF(D2174=0,H2174,Rho*I2173+SQRT(1-Rho^2)*H2174),"")</f>
        <v/>
      </c>
      <c r="J2174">
        <f>IF(B2174,IF(Dist="Normal",DistA+DistB*I2174,DistA+(DistB-DistA)*NORMSDIST(I2174)),"")</f>
        <v/>
      </c>
      <c r="K2174">
        <f>IF(B2174,INDEX(MineScale,C2174),"")</f>
        <v/>
      </c>
      <c r="L2174">
        <f>IF(B2174,INDEX(Dow,1,WEEKDAY(E2174,2)),"")</f>
        <v/>
      </c>
      <c r="M2174">
        <f>IF(B2174,(1+Trend)^D2174,"")</f>
        <v/>
      </c>
      <c r="N2174">
        <f>IF(B2174,EXP(SUMPRODUCT(LN(1+(EvEff-1)*INDEX(Affected,0,C2174)*EXP(-((E2174-EvCenter)^2)/(2*EvSigma^2))))),"")</f>
        <v/>
      </c>
      <c r="O2174">
        <f>IF(B2174,ROUND(MAX(0,J2174*K2174*L2174*M2174*N2174),2),"")</f>
        <v/>
      </c>
    </row>
    <row r="2175">
      <c r="A2175" t="n">
        <v>2174</v>
      </c>
      <c r="B2175">
        <f>A2175&lt;=MineCount*Days</f>
        <v/>
      </c>
      <c r="C2175">
        <f>IF(B2175,INT((A2175-1)/Days)+1,"")</f>
        <v/>
      </c>
      <c r="D2175">
        <f>IF(B2175,MOD(A2175-1,Days),"")</f>
        <v/>
      </c>
      <c r="E2175" s="16">
        <f>IF(B2175,StartDate+D2175,"")</f>
        <v/>
      </c>
      <c r="F2175">
        <f>IF(B2175,MAX(MOD(SIN(Seed*0.1373+C2175*12.9898+D2175*78.233)*43758.5453,1),1E-9),"")</f>
        <v/>
      </c>
      <c r="G2175">
        <f>IF(B2175,MOD(SIN(Seed*0.5917+C2175*39.3468+D2175*11.135)*24634.6345,1),"")</f>
        <v/>
      </c>
      <c r="H2175">
        <f>IF(B2175,SQRT(-2*LN(F2175))*COS(2*PI()*G2175),"")</f>
        <v/>
      </c>
      <c r="I2175">
        <f>IF(B2175,IF(D2175=0,H2175,Rho*I2174+SQRT(1-Rho^2)*H2175),"")</f>
        <v/>
      </c>
      <c r="J2175">
        <f>IF(B2175,IF(Dist="Normal",DistA+DistB*I2175,DistA+(DistB-DistA)*NORMSDIST(I2175)),"")</f>
        <v/>
      </c>
      <c r="K2175">
        <f>IF(B2175,INDEX(MineScale,C2175),"")</f>
        <v/>
      </c>
      <c r="L2175">
        <f>IF(B2175,INDEX(Dow,1,WEEKDAY(E2175,2)),"")</f>
        <v/>
      </c>
      <c r="M2175">
        <f>IF(B2175,(1+Trend)^D2175,"")</f>
        <v/>
      </c>
      <c r="N2175">
        <f>IF(B2175,EXP(SUMPRODUCT(LN(1+(EvEff-1)*INDEX(Affected,0,C2175)*EXP(-((E2175-EvCenter)^2)/(2*EvSigma^2))))),"")</f>
        <v/>
      </c>
      <c r="O2175">
        <f>IF(B2175,ROUND(MAX(0,J2175*K2175*L2175*M2175*N2175),2),"")</f>
        <v/>
      </c>
    </row>
    <row r="2176">
      <c r="A2176" t="n">
        <v>2175</v>
      </c>
      <c r="B2176">
        <f>A2176&lt;=MineCount*Days</f>
        <v/>
      </c>
      <c r="C2176">
        <f>IF(B2176,INT((A2176-1)/Days)+1,"")</f>
        <v/>
      </c>
      <c r="D2176">
        <f>IF(B2176,MOD(A2176-1,Days),"")</f>
        <v/>
      </c>
      <c r="E2176" s="16">
        <f>IF(B2176,StartDate+D2176,"")</f>
        <v/>
      </c>
      <c r="F2176">
        <f>IF(B2176,MAX(MOD(SIN(Seed*0.1373+C2176*12.9898+D2176*78.233)*43758.5453,1),1E-9),"")</f>
        <v/>
      </c>
      <c r="G2176">
        <f>IF(B2176,MOD(SIN(Seed*0.5917+C2176*39.3468+D2176*11.135)*24634.6345,1),"")</f>
        <v/>
      </c>
      <c r="H2176">
        <f>IF(B2176,SQRT(-2*LN(F2176))*COS(2*PI()*G2176),"")</f>
        <v/>
      </c>
      <c r="I2176">
        <f>IF(B2176,IF(D2176=0,H2176,Rho*I2175+SQRT(1-Rho^2)*H2176),"")</f>
        <v/>
      </c>
      <c r="J2176">
        <f>IF(B2176,IF(Dist="Normal",DistA+DistB*I2176,DistA+(DistB-DistA)*NORMSDIST(I2176)),"")</f>
        <v/>
      </c>
      <c r="K2176">
        <f>IF(B2176,INDEX(MineScale,C2176),"")</f>
        <v/>
      </c>
      <c r="L2176">
        <f>IF(B2176,INDEX(Dow,1,WEEKDAY(E2176,2)),"")</f>
        <v/>
      </c>
      <c r="M2176">
        <f>IF(B2176,(1+Trend)^D2176,"")</f>
        <v/>
      </c>
      <c r="N2176">
        <f>IF(B2176,EXP(SUMPRODUCT(LN(1+(EvEff-1)*INDEX(Affected,0,C2176)*EXP(-((E2176-EvCenter)^2)/(2*EvSigma^2))))),"")</f>
        <v/>
      </c>
      <c r="O2176">
        <f>IF(B2176,ROUND(MAX(0,J2176*K2176*L2176*M2176*N2176),2),"")</f>
        <v/>
      </c>
    </row>
    <row r="2177">
      <c r="A2177" t="n">
        <v>2176</v>
      </c>
      <c r="B2177">
        <f>A2177&lt;=MineCount*Days</f>
        <v/>
      </c>
      <c r="C2177">
        <f>IF(B2177,INT((A2177-1)/Days)+1,"")</f>
        <v/>
      </c>
      <c r="D2177">
        <f>IF(B2177,MOD(A2177-1,Days),"")</f>
        <v/>
      </c>
      <c r="E2177" s="16">
        <f>IF(B2177,StartDate+D2177,"")</f>
        <v/>
      </c>
      <c r="F2177">
        <f>IF(B2177,MAX(MOD(SIN(Seed*0.1373+C2177*12.9898+D2177*78.233)*43758.5453,1),1E-9),"")</f>
        <v/>
      </c>
      <c r="G2177">
        <f>IF(B2177,MOD(SIN(Seed*0.5917+C2177*39.3468+D2177*11.135)*24634.6345,1),"")</f>
        <v/>
      </c>
      <c r="H2177">
        <f>IF(B2177,SQRT(-2*LN(F2177))*COS(2*PI()*G2177),"")</f>
        <v/>
      </c>
      <c r="I2177">
        <f>IF(B2177,IF(D2177=0,H2177,Rho*I2176+SQRT(1-Rho^2)*H2177),"")</f>
        <v/>
      </c>
      <c r="J2177">
        <f>IF(B2177,IF(Dist="Normal",DistA+DistB*I2177,DistA+(DistB-DistA)*NORMSDIST(I2177)),"")</f>
        <v/>
      </c>
      <c r="K2177">
        <f>IF(B2177,INDEX(MineScale,C2177),"")</f>
        <v/>
      </c>
      <c r="L2177">
        <f>IF(B2177,INDEX(Dow,1,WEEKDAY(E2177,2)),"")</f>
        <v/>
      </c>
      <c r="M2177">
        <f>IF(B2177,(1+Trend)^D2177,"")</f>
        <v/>
      </c>
      <c r="N2177">
        <f>IF(B2177,EXP(SUMPRODUCT(LN(1+(EvEff-1)*INDEX(Affected,0,C2177)*EXP(-((E2177-EvCenter)^2)/(2*EvSigma^2))))),"")</f>
        <v/>
      </c>
      <c r="O2177">
        <f>IF(B2177,ROUND(MAX(0,J2177*K2177*L2177*M2177*N2177),2),"")</f>
        <v/>
      </c>
    </row>
    <row r="2178">
      <c r="A2178" t="n">
        <v>2177</v>
      </c>
      <c r="B2178">
        <f>A2178&lt;=MineCount*Days</f>
        <v/>
      </c>
      <c r="C2178">
        <f>IF(B2178,INT((A2178-1)/Days)+1,"")</f>
        <v/>
      </c>
      <c r="D2178">
        <f>IF(B2178,MOD(A2178-1,Days),"")</f>
        <v/>
      </c>
      <c r="E2178" s="16">
        <f>IF(B2178,StartDate+D2178,"")</f>
        <v/>
      </c>
      <c r="F2178">
        <f>IF(B2178,MAX(MOD(SIN(Seed*0.1373+C2178*12.9898+D2178*78.233)*43758.5453,1),1E-9),"")</f>
        <v/>
      </c>
      <c r="G2178">
        <f>IF(B2178,MOD(SIN(Seed*0.5917+C2178*39.3468+D2178*11.135)*24634.6345,1),"")</f>
        <v/>
      </c>
      <c r="H2178">
        <f>IF(B2178,SQRT(-2*LN(F2178))*COS(2*PI()*G2178),"")</f>
        <v/>
      </c>
      <c r="I2178">
        <f>IF(B2178,IF(D2178=0,H2178,Rho*I2177+SQRT(1-Rho^2)*H2178),"")</f>
        <v/>
      </c>
      <c r="J2178">
        <f>IF(B2178,IF(Dist="Normal",DistA+DistB*I2178,DistA+(DistB-DistA)*NORMSDIST(I2178)),"")</f>
        <v/>
      </c>
      <c r="K2178">
        <f>IF(B2178,INDEX(MineScale,C2178),"")</f>
        <v/>
      </c>
      <c r="L2178">
        <f>IF(B2178,INDEX(Dow,1,WEEKDAY(E2178,2)),"")</f>
        <v/>
      </c>
      <c r="M2178">
        <f>IF(B2178,(1+Trend)^D2178,"")</f>
        <v/>
      </c>
      <c r="N2178">
        <f>IF(B2178,EXP(SUMPRODUCT(LN(1+(EvEff-1)*INDEX(Affected,0,C2178)*EXP(-((E2178-EvCenter)^2)/(2*EvSigma^2))))),"")</f>
        <v/>
      </c>
      <c r="O2178">
        <f>IF(B2178,ROUND(MAX(0,J2178*K2178*L2178*M2178*N2178),2),"")</f>
        <v/>
      </c>
    </row>
    <row r="2179">
      <c r="A2179" t="n">
        <v>2178</v>
      </c>
      <c r="B2179">
        <f>A2179&lt;=MineCount*Days</f>
        <v/>
      </c>
      <c r="C2179">
        <f>IF(B2179,INT((A2179-1)/Days)+1,"")</f>
        <v/>
      </c>
      <c r="D2179">
        <f>IF(B2179,MOD(A2179-1,Days),"")</f>
        <v/>
      </c>
      <c r="E2179" s="16">
        <f>IF(B2179,StartDate+D2179,"")</f>
        <v/>
      </c>
      <c r="F2179">
        <f>IF(B2179,MAX(MOD(SIN(Seed*0.1373+C2179*12.9898+D2179*78.233)*43758.5453,1),1E-9),"")</f>
        <v/>
      </c>
      <c r="G2179">
        <f>IF(B2179,MOD(SIN(Seed*0.5917+C2179*39.3468+D2179*11.135)*24634.6345,1),"")</f>
        <v/>
      </c>
      <c r="H2179">
        <f>IF(B2179,SQRT(-2*LN(F2179))*COS(2*PI()*G2179),"")</f>
        <v/>
      </c>
      <c r="I2179">
        <f>IF(B2179,IF(D2179=0,H2179,Rho*I2178+SQRT(1-Rho^2)*H2179),"")</f>
        <v/>
      </c>
      <c r="J2179">
        <f>IF(B2179,IF(Dist="Normal",DistA+DistB*I2179,DistA+(DistB-DistA)*NORMSDIST(I2179)),"")</f>
        <v/>
      </c>
      <c r="K2179">
        <f>IF(B2179,INDEX(MineScale,C2179),"")</f>
        <v/>
      </c>
      <c r="L2179">
        <f>IF(B2179,INDEX(Dow,1,WEEKDAY(E2179,2)),"")</f>
        <v/>
      </c>
      <c r="M2179">
        <f>IF(B2179,(1+Trend)^D2179,"")</f>
        <v/>
      </c>
      <c r="N2179">
        <f>IF(B2179,EXP(SUMPRODUCT(LN(1+(EvEff-1)*INDEX(Affected,0,C2179)*EXP(-((E2179-EvCenter)^2)/(2*EvSigma^2))))),"")</f>
        <v/>
      </c>
      <c r="O2179">
        <f>IF(B2179,ROUND(MAX(0,J2179*K2179*L2179*M2179*N2179),2),"")</f>
        <v/>
      </c>
    </row>
    <row r="2180">
      <c r="A2180" t="n">
        <v>2179</v>
      </c>
      <c r="B2180">
        <f>A2180&lt;=MineCount*Days</f>
        <v/>
      </c>
      <c r="C2180">
        <f>IF(B2180,INT((A2180-1)/Days)+1,"")</f>
        <v/>
      </c>
      <c r="D2180">
        <f>IF(B2180,MOD(A2180-1,Days),"")</f>
        <v/>
      </c>
      <c r="E2180" s="16">
        <f>IF(B2180,StartDate+D2180,"")</f>
        <v/>
      </c>
      <c r="F2180">
        <f>IF(B2180,MAX(MOD(SIN(Seed*0.1373+C2180*12.9898+D2180*78.233)*43758.5453,1),1E-9),"")</f>
        <v/>
      </c>
      <c r="G2180">
        <f>IF(B2180,MOD(SIN(Seed*0.5917+C2180*39.3468+D2180*11.135)*24634.6345,1),"")</f>
        <v/>
      </c>
      <c r="H2180">
        <f>IF(B2180,SQRT(-2*LN(F2180))*COS(2*PI()*G2180),"")</f>
        <v/>
      </c>
      <c r="I2180">
        <f>IF(B2180,IF(D2180=0,H2180,Rho*I2179+SQRT(1-Rho^2)*H2180),"")</f>
        <v/>
      </c>
      <c r="J2180">
        <f>IF(B2180,IF(Dist="Normal",DistA+DistB*I2180,DistA+(DistB-DistA)*NORMSDIST(I2180)),"")</f>
        <v/>
      </c>
      <c r="K2180">
        <f>IF(B2180,INDEX(MineScale,C2180),"")</f>
        <v/>
      </c>
      <c r="L2180">
        <f>IF(B2180,INDEX(Dow,1,WEEKDAY(E2180,2)),"")</f>
        <v/>
      </c>
      <c r="M2180">
        <f>IF(B2180,(1+Trend)^D2180,"")</f>
        <v/>
      </c>
      <c r="N2180">
        <f>IF(B2180,EXP(SUMPRODUCT(LN(1+(EvEff-1)*INDEX(Affected,0,C2180)*EXP(-((E2180-EvCenter)^2)/(2*EvSigma^2))))),"")</f>
        <v/>
      </c>
      <c r="O2180">
        <f>IF(B2180,ROUND(MAX(0,J2180*K2180*L2180*M2180*N2180),2),"")</f>
        <v/>
      </c>
    </row>
    <row r="2181">
      <c r="A2181" t="n">
        <v>2180</v>
      </c>
      <c r="B2181">
        <f>A2181&lt;=MineCount*Days</f>
        <v/>
      </c>
      <c r="C2181">
        <f>IF(B2181,INT((A2181-1)/Days)+1,"")</f>
        <v/>
      </c>
      <c r="D2181">
        <f>IF(B2181,MOD(A2181-1,Days),"")</f>
        <v/>
      </c>
      <c r="E2181" s="16">
        <f>IF(B2181,StartDate+D2181,"")</f>
        <v/>
      </c>
      <c r="F2181">
        <f>IF(B2181,MAX(MOD(SIN(Seed*0.1373+C2181*12.9898+D2181*78.233)*43758.5453,1),1E-9),"")</f>
        <v/>
      </c>
      <c r="G2181">
        <f>IF(B2181,MOD(SIN(Seed*0.5917+C2181*39.3468+D2181*11.135)*24634.6345,1),"")</f>
        <v/>
      </c>
      <c r="H2181">
        <f>IF(B2181,SQRT(-2*LN(F2181))*COS(2*PI()*G2181),"")</f>
        <v/>
      </c>
      <c r="I2181">
        <f>IF(B2181,IF(D2181=0,H2181,Rho*I2180+SQRT(1-Rho^2)*H2181),"")</f>
        <v/>
      </c>
      <c r="J2181">
        <f>IF(B2181,IF(Dist="Normal",DistA+DistB*I2181,DistA+(DistB-DistA)*NORMSDIST(I2181)),"")</f>
        <v/>
      </c>
      <c r="K2181">
        <f>IF(B2181,INDEX(MineScale,C2181),"")</f>
        <v/>
      </c>
      <c r="L2181">
        <f>IF(B2181,INDEX(Dow,1,WEEKDAY(E2181,2)),"")</f>
        <v/>
      </c>
      <c r="M2181">
        <f>IF(B2181,(1+Trend)^D2181,"")</f>
        <v/>
      </c>
      <c r="N2181">
        <f>IF(B2181,EXP(SUMPRODUCT(LN(1+(EvEff-1)*INDEX(Affected,0,C2181)*EXP(-((E2181-EvCenter)^2)/(2*EvSigma^2))))),"")</f>
        <v/>
      </c>
      <c r="O2181">
        <f>IF(B2181,ROUND(MAX(0,J2181*K2181*L2181*M2181*N2181),2),"")</f>
        <v/>
      </c>
    </row>
    <row r="2182">
      <c r="A2182" t="n">
        <v>2181</v>
      </c>
      <c r="B2182">
        <f>A2182&lt;=MineCount*Days</f>
        <v/>
      </c>
      <c r="C2182">
        <f>IF(B2182,INT((A2182-1)/Days)+1,"")</f>
        <v/>
      </c>
      <c r="D2182">
        <f>IF(B2182,MOD(A2182-1,Days),"")</f>
        <v/>
      </c>
      <c r="E2182" s="16">
        <f>IF(B2182,StartDate+D2182,"")</f>
        <v/>
      </c>
      <c r="F2182">
        <f>IF(B2182,MAX(MOD(SIN(Seed*0.1373+C2182*12.9898+D2182*78.233)*43758.5453,1),1E-9),"")</f>
        <v/>
      </c>
      <c r="G2182">
        <f>IF(B2182,MOD(SIN(Seed*0.5917+C2182*39.3468+D2182*11.135)*24634.6345,1),"")</f>
        <v/>
      </c>
      <c r="H2182">
        <f>IF(B2182,SQRT(-2*LN(F2182))*COS(2*PI()*G2182),"")</f>
        <v/>
      </c>
      <c r="I2182">
        <f>IF(B2182,IF(D2182=0,H2182,Rho*I2181+SQRT(1-Rho^2)*H2182),"")</f>
        <v/>
      </c>
      <c r="J2182">
        <f>IF(B2182,IF(Dist="Normal",DistA+DistB*I2182,DistA+(DistB-DistA)*NORMSDIST(I2182)),"")</f>
        <v/>
      </c>
      <c r="K2182">
        <f>IF(B2182,INDEX(MineScale,C2182),"")</f>
        <v/>
      </c>
      <c r="L2182">
        <f>IF(B2182,INDEX(Dow,1,WEEKDAY(E2182,2)),"")</f>
        <v/>
      </c>
      <c r="M2182">
        <f>IF(B2182,(1+Trend)^D2182,"")</f>
        <v/>
      </c>
      <c r="N2182">
        <f>IF(B2182,EXP(SUMPRODUCT(LN(1+(EvEff-1)*INDEX(Affected,0,C2182)*EXP(-((E2182-EvCenter)^2)/(2*EvSigma^2))))),"")</f>
        <v/>
      </c>
      <c r="O2182">
        <f>IF(B2182,ROUND(MAX(0,J2182*K2182*L2182*M2182*N2182),2),"")</f>
        <v/>
      </c>
    </row>
    <row r="2183">
      <c r="A2183" t="n">
        <v>2182</v>
      </c>
      <c r="B2183">
        <f>A2183&lt;=MineCount*Days</f>
        <v/>
      </c>
      <c r="C2183">
        <f>IF(B2183,INT((A2183-1)/Days)+1,"")</f>
        <v/>
      </c>
      <c r="D2183">
        <f>IF(B2183,MOD(A2183-1,Days),"")</f>
        <v/>
      </c>
      <c r="E2183" s="16">
        <f>IF(B2183,StartDate+D2183,"")</f>
        <v/>
      </c>
      <c r="F2183">
        <f>IF(B2183,MAX(MOD(SIN(Seed*0.1373+C2183*12.9898+D2183*78.233)*43758.5453,1),1E-9),"")</f>
        <v/>
      </c>
      <c r="G2183">
        <f>IF(B2183,MOD(SIN(Seed*0.5917+C2183*39.3468+D2183*11.135)*24634.6345,1),"")</f>
        <v/>
      </c>
      <c r="H2183">
        <f>IF(B2183,SQRT(-2*LN(F2183))*COS(2*PI()*G2183),"")</f>
        <v/>
      </c>
      <c r="I2183">
        <f>IF(B2183,IF(D2183=0,H2183,Rho*I2182+SQRT(1-Rho^2)*H2183),"")</f>
        <v/>
      </c>
      <c r="J2183">
        <f>IF(B2183,IF(Dist="Normal",DistA+DistB*I2183,DistA+(DistB-DistA)*NORMSDIST(I2183)),"")</f>
        <v/>
      </c>
      <c r="K2183">
        <f>IF(B2183,INDEX(MineScale,C2183),"")</f>
        <v/>
      </c>
      <c r="L2183">
        <f>IF(B2183,INDEX(Dow,1,WEEKDAY(E2183,2)),"")</f>
        <v/>
      </c>
      <c r="M2183">
        <f>IF(B2183,(1+Trend)^D2183,"")</f>
        <v/>
      </c>
      <c r="N2183">
        <f>IF(B2183,EXP(SUMPRODUCT(LN(1+(EvEff-1)*INDEX(Affected,0,C2183)*EXP(-((E2183-EvCenter)^2)/(2*EvSigma^2))))),"")</f>
        <v/>
      </c>
      <c r="O2183">
        <f>IF(B2183,ROUND(MAX(0,J2183*K2183*L2183*M2183*N2183),2),"")</f>
        <v/>
      </c>
    </row>
    <row r="2184">
      <c r="A2184" t="n">
        <v>2183</v>
      </c>
      <c r="B2184">
        <f>A2184&lt;=MineCount*Days</f>
        <v/>
      </c>
      <c r="C2184">
        <f>IF(B2184,INT((A2184-1)/Days)+1,"")</f>
        <v/>
      </c>
      <c r="D2184">
        <f>IF(B2184,MOD(A2184-1,Days),"")</f>
        <v/>
      </c>
      <c r="E2184" s="16">
        <f>IF(B2184,StartDate+D2184,"")</f>
        <v/>
      </c>
      <c r="F2184">
        <f>IF(B2184,MAX(MOD(SIN(Seed*0.1373+C2184*12.9898+D2184*78.233)*43758.5453,1),1E-9),"")</f>
        <v/>
      </c>
      <c r="G2184">
        <f>IF(B2184,MOD(SIN(Seed*0.5917+C2184*39.3468+D2184*11.135)*24634.6345,1),"")</f>
        <v/>
      </c>
      <c r="H2184">
        <f>IF(B2184,SQRT(-2*LN(F2184))*COS(2*PI()*G2184),"")</f>
        <v/>
      </c>
      <c r="I2184">
        <f>IF(B2184,IF(D2184=0,H2184,Rho*I2183+SQRT(1-Rho^2)*H2184),"")</f>
        <v/>
      </c>
      <c r="J2184">
        <f>IF(B2184,IF(Dist="Normal",DistA+DistB*I2184,DistA+(DistB-DistA)*NORMSDIST(I2184)),"")</f>
        <v/>
      </c>
      <c r="K2184">
        <f>IF(B2184,INDEX(MineScale,C2184),"")</f>
        <v/>
      </c>
      <c r="L2184">
        <f>IF(B2184,INDEX(Dow,1,WEEKDAY(E2184,2)),"")</f>
        <v/>
      </c>
      <c r="M2184">
        <f>IF(B2184,(1+Trend)^D2184,"")</f>
        <v/>
      </c>
      <c r="N2184">
        <f>IF(B2184,EXP(SUMPRODUCT(LN(1+(EvEff-1)*INDEX(Affected,0,C2184)*EXP(-((E2184-EvCenter)^2)/(2*EvSigma^2))))),"")</f>
        <v/>
      </c>
      <c r="O2184">
        <f>IF(B2184,ROUND(MAX(0,J2184*K2184*L2184*M2184*N2184),2),"")</f>
        <v/>
      </c>
    </row>
    <row r="2185">
      <c r="A2185" t="n">
        <v>2184</v>
      </c>
      <c r="B2185">
        <f>A2185&lt;=MineCount*Days</f>
        <v/>
      </c>
      <c r="C2185">
        <f>IF(B2185,INT((A2185-1)/Days)+1,"")</f>
        <v/>
      </c>
      <c r="D2185">
        <f>IF(B2185,MOD(A2185-1,Days),"")</f>
        <v/>
      </c>
      <c r="E2185" s="16">
        <f>IF(B2185,StartDate+D2185,"")</f>
        <v/>
      </c>
      <c r="F2185">
        <f>IF(B2185,MAX(MOD(SIN(Seed*0.1373+C2185*12.9898+D2185*78.233)*43758.5453,1),1E-9),"")</f>
        <v/>
      </c>
      <c r="G2185">
        <f>IF(B2185,MOD(SIN(Seed*0.5917+C2185*39.3468+D2185*11.135)*24634.6345,1),"")</f>
        <v/>
      </c>
      <c r="H2185">
        <f>IF(B2185,SQRT(-2*LN(F2185))*COS(2*PI()*G2185),"")</f>
        <v/>
      </c>
      <c r="I2185">
        <f>IF(B2185,IF(D2185=0,H2185,Rho*I2184+SQRT(1-Rho^2)*H2185),"")</f>
        <v/>
      </c>
      <c r="J2185">
        <f>IF(B2185,IF(Dist="Normal",DistA+DistB*I2185,DistA+(DistB-DistA)*NORMSDIST(I2185)),"")</f>
        <v/>
      </c>
      <c r="K2185">
        <f>IF(B2185,INDEX(MineScale,C2185),"")</f>
        <v/>
      </c>
      <c r="L2185">
        <f>IF(B2185,INDEX(Dow,1,WEEKDAY(E2185,2)),"")</f>
        <v/>
      </c>
      <c r="M2185">
        <f>IF(B2185,(1+Trend)^D2185,"")</f>
        <v/>
      </c>
      <c r="N2185">
        <f>IF(B2185,EXP(SUMPRODUCT(LN(1+(EvEff-1)*INDEX(Affected,0,C2185)*EXP(-((E2185-EvCenter)^2)/(2*EvSigma^2))))),"")</f>
        <v/>
      </c>
      <c r="O2185">
        <f>IF(B2185,ROUND(MAX(0,J2185*K2185*L2185*M2185*N2185),2),"")</f>
        <v/>
      </c>
    </row>
    <row r="2186">
      <c r="A2186" t="n">
        <v>2185</v>
      </c>
      <c r="B2186">
        <f>A2186&lt;=MineCount*Days</f>
        <v/>
      </c>
      <c r="C2186">
        <f>IF(B2186,INT((A2186-1)/Days)+1,"")</f>
        <v/>
      </c>
      <c r="D2186">
        <f>IF(B2186,MOD(A2186-1,Days),"")</f>
        <v/>
      </c>
      <c r="E2186" s="16">
        <f>IF(B2186,StartDate+D2186,"")</f>
        <v/>
      </c>
      <c r="F2186">
        <f>IF(B2186,MAX(MOD(SIN(Seed*0.1373+C2186*12.9898+D2186*78.233)*43758.5453,1),1E-9),"")</f>
        <v/>
      </c>
      <c r="G2186">
        <f>IF(B2186,MOD(SIN(Seed*0.5917+C2186*39.3468+D2186*11.135)*24634.6345,1),"")</f>
        <v/>
      </c>
      <c r="H2186">
        <f>IF(B2186,SQRT(-2*LN(F2186))*COS(2*PI()*G2186),"")</f>
        <v/>
      </c>
      <c r="I2186">
        <f>IF(B2186,IF(D2186=0,H2186,Rho*I2185+SQRT(1-Rho^2)*H2186),"")</f>
        <v/>
      </c>
      <c r="J2186">
        <f>IF(B2186,IF(Dist="Normal",DistA+DistB*I2186,DistA+(DistB-DistA)*NORMSDIST(I2186)),"")</f>
        <v/>
      </c>
      <c r="K2186">
        <f>IF(B2186,INDEX(MineScale,C2186),"")</f>
        <v/>
      </c>
      <c r="L2186">
        <f>IF(B2186,INDEX(Dow,1,WEEKDAY(E2186,2)),"")</f>
        <v/>
      </c>
      <c r="M2186">
        <f>IF(B2186,(1+Trend)^D2186,"")</f>
        <v/>
      </c>
      <c r="N2186">
        <f>IF(B2186,EXP(SUMPRODUCT(LN(1+(EvEff-1)*INDEX(Affected,0,C2186)*EXP(-((E2186-EvCenter)^2)/(2*EvSigma^2))))),"")</f>
        <v/>
      </c>
      <c r="O2186">
        <f>IF(B2186,ROUND(MAX(0,J2186*K2186*L2186*M2186*N2186),2),"")</f>
        <v/>
      </c>
    </row>
    <row r="2187">
      <c r="A2187" t="n">
        <v>2186</v>
      </c>
      <c r="B2187">
        <f>A2187&lt;=MineCount*Days</f>
        <v/>
      </c>
      <c r="C2187">
        <f>IF(B2187,INT((A2187-1)/Days)+1,"")</f>
        <v/>
      </c>
      <c r="D2187">
        <f>IF(B2187,MOD(A2187-1,Days),"")</f>
        <v/>
      </c>
      <c r="E2187" s="16">
        <f>IF(B2187,StartDate+D2187,"")</f>
        <v/>
      </c>
      <c r="F2187">
        <f>IF(B2187,MAX(MOD(SIN(Seed*0.1373+C2187*12.9898+D2187*78.233)*43758.5453,1),1E-9),"")</f>
        <v/>
      </c>
      <c r="G2187">
        <f>IF(B2187,MOD(SIN(Seed*0.5917+C2187*39.3468+D2187*11.135)*24634.6345,1),"")</f>
        <v/>
      </c>
      <c r="H2187">
        <f>IF(B2187,SQRT(-2*LN(F2187))*COS(2*PI()*G2187),"")</f>
        <v/>
      </c>
      <c r="I2187">
        <f>IF(B2187,IF(D2187=0,H2187,Rho*I2186+SQRT(1-Rho^2)*H2187),"")</f>
        <v/>
      </c>
      <c r="J2187">
        <f>IF(B2187,IF(Dist="Normal",DistA+DistB*I2187,DistA+(DistB-DistA)*NORMSDIST(I2187)),"")</f>
        <v/>
      </c>
      <c r="K2187">
        <f>IF(B2187,INDEX(MineScale,C2187),"")</f>
        <v/>
      </c>
      <c r="L2187">
        <f>IF(B2187,INDEX(Dow,1,WEEKDAY(E2187,2)),"")</f>
        <v/>
      </c>
      <c r="M2187">
        <f>IF(B2187,(1+Trend)^D2187,"")</f>
        <v/>
      </c>
      <c r="N2187">
        <f>IF(B2187,EXP(SUMPRODUCT(LN(1+(EvEff-1)*INDEX(Affected,0,C2187)*EXP(-((E2187-EvCenter)^2)/(2*EvSigma^2))))),"")</f>
        <v/>
      </c>
      <c r="O2187">
        <f>IF(B2187,ROUND(MAX(0,J2187*K2187*L2187*M2187*N2187),2),"")</f>
        <v/>
      </c>
    </row>
    <row r="2188">
      <c r="A2188" t="n">
        <v>2187</v>
      </c>
      <c r="B2188">
        <f>A2188&lt;=MineCount*Days</f>
        <v/>
      </c>
      <c r="C2188">
        <f>IF(B2188,INT((A2188-1)/Days)+1,"")</f>
        <v/>
      </c>
      <c r="D2188">
        <f>IF(B2188,MOD(A2188-1,Days),"")</f>
        <v/>
      </c>
      <c r="E2188" s="16">
        <f>IF(B2188,StartDate+D2188,"")</f>
        <v/>
      </c>
      <c r="F2188">
        <f>IF(B2188,MAX(MOD(SIN(Seed*0.1373+C2188*12.9898+D2188*78.233)*43758.5453,1),1E-9),"")</f>
        <v/>
      </c>
      <c r="G2188">
        <f>IF(B2188,MOD(SIN(Seed*0.5917+C2188*39.3468+D2188*11.135)*24634.6345,1),"")</f>
        <v/>
      </c>
      <c r="H2188">
        <f>IF(B2188,SQRT(-2*LN(F2188))*COS(2*PI()*G2188),"")</f>
        <v/>
      </c>
      <c r="I2188">
        <f>IF(B2188,IF(D2188=0,H2188,Rho*I2187+SQRT(1-Rho^2)*H2188),"")</f>
        <v/>
      </c>
      <c r="J2188">
        <f>IF(B2188,IF(Dist="Normal",DistA+DistB*I2188,DistA+(DistB-DistA)*NORMSDIST(I2188)),"")</f>
        <v/>
      </c>
      <c r="K2188">
        <f>IF(B2188,INDEX(MineScale,C2188),"")</f>
        <v/>
      </c>
      <c r="L2188">
        <f>IF(B2188,INDEX(Dow,1,WEEKDAY(E2188,2)),"")</f>
        <v/>
      </c>
      <c r="M2188">
        <f>IF(B2188,(1+Trend)^D2188,"")</f>
        <v/>
      </c>
      <c r="N2188">
        <f>IF(B2188,EXP(SUMPRODUCT(LN(1+(EvEff-1)*INDEX(Affected,0,C2188)*EXP(-((E2188-EvCenter)^2)/(2*EvSigma^2))))),"")</f>
        <v/>
      </c>
      <c r="O2188">
        <f>IF(B2188,ROUND(MAX(0,J2188*K2188*L2188*M2188*N2188),2),"")</f>
        <v/>
      </c>
    </row>
    <row r="2189">
      <c r="A2189" t="n">
        <v>2188</v>
      </c>
      <c r="B2189">
        <f>A2189&lt;=MineCount*Days</f>
        <v/>
      </c>
      <c r="C2189">
        <f>IF(B2189,INT((A2189-1)/Days)+1,"")</f>
        <v/>
      </c>
      <c r="D2189">
        <f>IF(B2189,MOD(A2189-1,Days),"")</f>
        <v/>
      </c>
      <c r="E2189" s="16">
        <f>IF(B2189,StartDate+D2189,"")</f>
        <v/>
      </c>
      <c r="F2189">
        <f>IF(B2189,MAX(MOD(SIN(Seed*0.1373+C2189*12.9898+D2189*78.233)*43758.5453,1),1E-9),"")</f>
        <v/>
      </c>
      <c r="G2189">
        <f>IF(B2189,MOD(SIN(Seed*0.5917+C2189*39.3468+D2189*11.135)*24634.6345,1),"")</f>
        <v/>
      </c>
      <c r="H2189">
        <f>IF(B2189,SQRT(-2*LN(F2189))*COS(2*PI()*G2189),"")</f>
        <v/>
      </c>
      <c r="I2189">
        <f>IF(B2189,IF(D2189=0,H2189,Rho*I2188+SQRT(1-Rho^2)*H2189),"")</f>
        <v/>
      </c>
      <c r="J2189">
        <f>IF(B2189,IF(Dist="Normal",DistA+DistB*I2189,DistA+(DistB-DistA)*NORMSDIST(I2189)),"")</f>
        <v/>
      </c>
      <c r="K2189">
        <f>IF(B2189,INDEX(MineScale,C2189),"")</f>
        <v/>
      </c>
      <c r="L2189">
        <f>IF(B2189,INDEX(Dow,1,WEEKDAY(E2189,2)),"")</f>
        <v/>
      </c>
      <c r="M2189">
        <f>IF(B2189,(1+Trend)^D2189,"")</f>
        <v/>
      </c>
      <c r="N2189">
        <f>IF(B2189,EXP(SUMPRODUCT(LN(1+(EvEff-1)*INDEX(Affected,0,C2189)*EXP(-((E2189-EvCenter)^2)/(2*EvSigma^2))))),"")</f>
        <v/>
      </c>
      <c r="O2189">
        <f>IF(B2189,ROUND(MAX(0,J2189*K2189*L2189*M2189*N2189),2),"")</f>
        <v/>
      </c>
    </row>
    <row r="2190">
      <c r="A2190" t="n">
        <v>2189</v>
      </c>
      <c r="B2190">
        <f>A2190&lt;=MineCount*Days</f>
        <v/>
      </c>
      <c r="C2190">
        <f>IF(B2190,INT((A2190-1)/Days)+1,"")</f>
        <v/>
      </c>
      <c r="D2190">
        <f>IF(B2190,MOD(A2190-1,Days),"")</f>
        <v/>
      </c>
      <c r="E2190" s="16">
        <f>IF(B2190,StartDate+D2190,"")</f>
        <v/>
      </c>
      <c r="F2190">
        <f>IF(B2190,MAX(MOD(SIN(Seed*0.1373+C2190*12.9898+D2190*78.233)*43758.5453,1),1E-9),"")</f>
        <v/>
      </c>
      <c r="G2190">
        <f>IF(B2190,MOD(SIN(Seed*0.5917+C2190*39.3468+D2190*11.135)*24634.6345,1),"")</f>
        <v/>
      </c>
      <c r="H2190">
        <f>IF(B2190,SQRT(-2*LN(F2190))*COS(2*PI()*G2190),"")</f>
        <v/>
      </c>
      <c r="I2190">
        <f>IF(B2190,IF(D2190=0,H2190,Rho*I2189+SQRT(1-Rho^2)*H2190),"")</f>
        <v/>
      </c>
      <c r="J2190">
        <f>IF(B2190,IF(Dist="Normal",DistA+DistB*I2190,DistA+(DistB-DistA)*NORMSDIST(I2190)),"")</f>
        <v/>
      </c>
      <c r="K2190">
        <f>IF(B2190,INDEX(MineScale,C2190),"")</f>
        <v/>
      </c>
      <c r="L2190">
        <f>IF(B2190,INDEX(Dow,1,WEEKDAY(E2190,2)),"")</f>
        <v/>
      </c>
      <c r="M2190">
        <f>IF(B2190,(1+Trend)^D2190,"")</f>
        <v/>
      </c>
      <c r="N2190">
        <f>IF(B2190,EXP(SUMPRODUCT(LN(1+(EvEff-1)*INDEX(Affected,0,C2190)*EXP(-((E2190-EvCenter)^2)/(2*EvSigma^2))))),"")</f>
        <v/>
      </c>
      <c r="O2190">
        <f>IF(B2190,ROUND(MAX(0,J2190*K2190*L2190*M2190*N2190),2),"")</f>
        <v/>
      </c>
    </row>
    <row r="2191">
      <c r="A2191" t="n">
        <v>2190</v>
      </c>
      <c r="B2191">
        <f>A2191&lt;=MineCount*Days</f>
        <v/>
      </c>
      <c r="C2191">
        <f>IF(B2191,INT((A2191-1)/Days)+1,"")</f>
        <v/>
      </c>
      <c r="D2191">
        <f>IF(B2191,MOD(A2191-1,Days),"")</f>
        <v/>
      </c>
      <c r="E2191" s="16">
        <f>IF(B2191,StartDate+D2191,"")</f>
        <v/>
      </c>
      <c r="F2191">
        <f>IF(B2191,MAX(MOD(SIN(Seed*0.1373+C2191*12.9898+D2191*78.233)*43758.5453,1),1E-9),"")</f>
        <v/>
      </c>
      <c r="G2191">
        <f>IF(B2191,MOD(SIN(Seed*0.5917+C2191*39.3468+D2191*11.135)*24634.6345,1),"")</f>
        <v/>
      </c>
      <c r="H2191">
        <f>IF(B2191,SQRT(-2*LN(F2191))*COS(2*PI()*G2191),"")</f>
        <v/>
      </c>
      <c r="I2191">
        <f>IF(B2191,IF(D2191=0,H2191,Rho*I2190+SQRT(1-Rho^2)*H2191),"")</f>
        <v/>
      </c>
      <c r="J2191">
        <f>IF(B2191,IF(Dist="Normal",DistA+DistB*I2191,DistA+(DistB-DistA)*NORMSDIST(I2191)),"")</f>
        <v/>
      </c>
      <c r="K2191">
        <f>IF(B2191,INDEX(MineScale,C2191),"")</f>
        <v/>
      </c>
      <c r="L2191">
        <f>IF(B2191,INDEX(Dow,1,WEEKDAY(E2191,2)),"")</f>
        <v/>
      </c>
      <c r="M2191">
        <f>IF(B2191,(1+Trend)^D2191,"")</f>
        <v/>
      </c>
      <c r="N2191">
        <f>IF(B2191,EXP(SUMPRODUCT(LN(1+(EvEff-1)*INDEX(Affected,0,C2191)*EXP(-((E2191-EvCenter)^2)/(2*EvSigma^2))))),"")</f>
        <v/>
      </c>
      <c r="O2191">
        <f>IF(B2191,ROUND(MAX(0,J2191*K2191*L2191*M2191*N2191),2),"")</f>
        <v/>
      </c>
    </row>
    <row r="2192">
      <c r="A2192" t="n">
        <v>2191</v>
      </c>
      <c r="B2192">
        <f>A2192&lt;=MineCount*Days</f>
        <v/>
      </c>
      <c r="C2192">
        <f>IF(B2192,INT((A2192-1)/Days)+1,"")</f>
        <v/>
      </c>
      <c r="D2192">
        <f>IF(B2192,MOD(A2192-1,Days),"")</f>
        <v/>
      </c>
      <c r="E2192" s="16">
        <f>IF(B2192,StartDate+D2192,"")</f>
        <v/>
      </c>
      <c r="F2192">
        <f>IF(B2192,MAX(MOD(SIN(Seed*0.1373+C2192*12.9898+D2192*78.233)*43758.5453,1),1E-9),"")</f>
        <v/>
      </c>
      <c r="G2192">
        <f>IF(B2192,MOD(SIN(Seed*0.5917+C2192*39.3468+D2192*11.135)*24634.6345,1),"")</f>
        <v/>
      </c>
      <c r="H2192">
        <f>IF(B2192,SQRT(-2*LN(F2192))*COS(2*PI()*G2192),"")</f>
        <v/>
      </c>
      <c r="I2192">
        <f>IF(B2192,IF(D2192=0,H2192,Rho*I2191+SQRT(1-Rho^2)*H2192),"")</f>
        <v/>
      </c>
      <c r="J2192">
        <f>IF(B2192,IF(Dist="Normal",DistA+DistB*I2192,DistA+(DistB-DistA)*NORMSDIST(I2192)),"")</f>
        <v/>
      </c>
      <c r="K2192">
        <f>IF(B2192,INDEX(MineScale,C2192),"")</f>
        <v/>
      </c>
      <c r="L2192">
        <f>IF(B2192,INDEX(Dow,1,WEEKDAY(E2192,2)),"")</f>
        <v/>
      </c>
      <c r="M2192">
        <f>IF(B2192,(1+Trend)^D2192,"")</f>
        <v/>
      </c>
      <c r="N2192">
        <f>IF(B2192,EXP(SUMPRODUCT(LN(1+(EvEff-1)*INDEX(Affected,0,C2192)*EXP(-((E2192-EvCenter)^2)/(2*EvSigma^2))))),"")</f>
        <v/>
      </c>
      <c r="O2192">
        <f>IF(B2192,ROUND(MAX(0,J2192*K2192*L2192*M2192*N2192),2),"")</f>
        <v/>
      </c>
    </row>
    <row r="2193">
      <c r="A2193" t="n">
        <v>2192</v>
      </c>
      <c r="B2193">
        <f>A2193&lt;=MineCount*Days</f>
        <v/>
      </c>
      <c r="C2193">
        <f>IF(B2193,INT((A2193-1)/Days)+1,"")</f>
        <v/>
      </c>
      <c r="D2193">
        <f>IF(B2193,MOD(A2193-1,Days),"")</f>
        <v/>
      </c>
      <c r="E2193" s="16">
        <f>IF(B2193,StartDate+D2193,"")</f>
        <v/>
      </c>
      <c r="F2193">
        <f>IF(B2193,MAX(MOD(SIN(Seed*0.1373+C2193*12.9898+D2193*78.233)*43758.5453,1),1E-9),"")</f>
        <v/>
      </c>
      <c r="G2193">
        <f>IF(B2193,MOD(SIN(Seed*0.5917+C2193*39.3468+D2193*11.135)*24634.6345,1),"")</f>
        <v/>
      </c>
      <c r="H2193">
        <f>IF(B2193,SQRT(-2*LN(F2193))*COS(2*PI()*G2193),"")</f>
        <v/>
      </c>
      <c r="I2193">
        <f>IF(B2193,IF(D2193=0,H2193,Rho*I2192+SQRT(1-Rho^2)*H2193),"")</f>
        <v/>
      </c>
      <c r="J2193">
        <f>IF(B2193,IF(Dist="Normal",DistA+DistB*I2193,DistA+(DistB-DistA)*NORMSDIST(I2193)),"")</f>
        <v/>
      </c>
      <c r="K2193">
        <f>IF(B2193,INDEX(MineScale,C2193),"")</f>
        <v/>
      </c>
      <c r="L2193">
        <f>IF(B2193,INDEX(Dow,1,WEEKDAY(E2193,2)),"")</f>
        <v/>
      </c>
      <c r="M2193">
        <f>IF(B2193,(1+Trend)^D2193,"")</f>
        <v/>
      </c>
      <c r="N2193">
        <f>IF(B2193,EXP(SUMPRODUCT(LN(1+(EvEff-1)*INDEX(Affected,0,C2193)*EXP(-((E2193-EvCenter)^2)/(2*EvSigma^2))))),"")</f>
        <v/>
      </c>
      <c r="O2193">
        <f>IF(B2193,ROUND(MAX(0,J2193*K2193*L2193*M2193*N2193),2),"")</f>
        <v/>
      </c>
    </row>
    <row r="2194">
      <c r="A2194" t="n">
        <v>2193</v>
      </c>
      <c r="B2194">
        <f>A2194&lt;=MineCount*Days</f>
        <v/>
      </c>
      <c r="C2194">
        <f>IF(B2194,INT((A2194-1)/Days)+1,"")</f>
        <v/>
      </c>
      <c r="D2194">
        <f>IF(B2194,MOD(A2194-1,Days),"")</f>
        <v/>
      </c>
      <c r="E2194" s="16">
        <f>IF(B2194,StartDate+D2194,"")</f>
        <v/>
      </c>
      <c r="F2194">
        <f>IF(B2194,MAX(MOD(SIN(Seed*0.1373+C2194*12.9898+D2194*78.233)*43758.5453,1),1E-9),"")</f>
        <v/>
      </c>
      <c r="G2194">
        <f>IF(B2194,MOD(SIN(Seed*0.5917+C2194*39.3468+D2194*11.135)*24634.6345,1),"")</f>
        <v/>
      </c>
      <c r="H2194">
        <f>IF(B2194,SQRT(-2*LN(F2194))*COS(2*PI()*G2194),"")</f>
        <v/>
      </c>
      <c r="I2194">
        <f>IF(B2194,IF(D2194=0,H2194,Rho*I2193+SQRT(1-Rho^2)*H2194),"")</f>
        <v/>
      </c>
      <c r="J2194">
        <f>IF(B2194,IF(Dist="Normal",DistA+DistB*I2194,DistA+(DistB-DistA)*NORMSDIST(I2194)),"")</f>
        <v/>
      </c>
      <c r="K2194">
        <f>IF(B2194,INDEX(MineScale,C2194),"")</f>
        <v/>
      </c>
      <c r="L2194">
        <f>IF(B2194,INDEX(Dow,1,WEEKDAY(E2194,2)),"")</f>
        <v/>
      </c>
      <c r="M2194">
        <f>IF(B2194,(1+Trend)^D2194,"")</f>
        <v/>
      </c>
      <c r="N2194">
        <f>IF(B2194,EXP(SUMPRODUCT(LN(1+(EvEff-1)*INDEX(Affected,0,C2194)*EXP(-((E2194-EvCenter)^2)/(2*EvSigma^2))))),"")</f>
        <v/>
      </c>
      <c r="O2194">
        <f>IF(B2194,ROUND(MAX(0,J2194*K2194*L2194*M2194*N2194),2),"")</f>
        <v/>
      </c>
    </row>
    <row r="2195">
      <c r="A2195" t="n">
        <v>2194</v>
      </c>
      <c r="B2195">
        <f>A2195&lt;=MineCount*Days</f>
        <v/>
      </c>
      <c r="C2195">
        <f>IF(B2195,INT((A2195-1)/Days)+1,"")</f>
        <v/>
      </c>
      <c r="D2195">
        <f>IF(B2195,MOD(A2195-1,Days),"")</f>
        <v/>
      </c>
      <c r="E2195" s="16">
        <f>IF(B2195,StartDate+D2195,"")</f>
        <v/>
      </c>
      <c r="F2195">
        <f>IF(B2195,MAX(MOD(SIN(Seed*0.1373+C2195*12.9898+D2195*78.233)*43758.5453,1),1E-9),"")</f>
        <v/>
      </c>
      <c r="G2195">
        <f>IF(B2195,MOD(SIN(Seed*0.5917+C2195*39.3468+D2195*11.135)*24634.6345,1),"")</f>
        <v/>
      </c>
      <c r="H2195">
        <f>IF(B2195,SQRT(-2*LN(F2195))*COS(2*PI()*G2195),"")</f>
        <v/>
      </c>
      <c r="I2195">
        <f>IF(B2195,IF(D2195=0,H2195,Rho*I2194+SQRT(1-Rho^2)*H2195),"")</f>
        <v/>
      </c>
      <c r="J2195">
        <f>IF(B2195,IF(Dist="Normal",DistA+DistB*I2195,DistA+(DistB-DistA)*NORMSDIST(I2195)),"")</f>
        <v/>
      </c>
      <c r="K2195">
        <f>IF(B2195,INDEX(MineScale,C2195),"")</f>
        <v/>
      </c>
      <c r="L2195">
        <f>IF(B2195,INDEX(Dow,1,WEEKDAY(E2195,2)),"")</f>
        <v/>
      </c>
      <c r="M2195">
        <f>IF(B2195,(1+Trend)^D2195,"")</f>
        <v/>
      </c>
      <c r="N2195">
        <f>IF(B2195,EXP(SUMPRODUCT(LN(1+(EvEff-1)*INDEX(Affected,0,C2195)*EXP(-((E2195-EvCenter)^2)/(2*EvSigma^2))))),"")</f>
        <v/>
      </c>
      <c r="O2195">
        <f>IF(B2195,ROUND(MAX(0,J2195*K2195*L2195*M2195*N2195),2),"")</f>
        <v/>
      </c>
    </row>
    <row r="2196">
      <c r="A2196" t="n">
        <v>2195</v>
      </c>
      <c r="B2196">
        <f>A2196&lt;=MineCount*Days</f>
        <v/>
      </c>
      <c r="C2196">
        <f>IF(B2196,INT((A2196-1)/Days)+1,"")</f>
        <v/>
      </c>
      <c r="D2196">
        <f>IF(B2196,MOD(A2196-1,Days),"")</f>
        <v/>
      </c>
      <c r="E2196" s="16">
        <f>IF(B2196,StartDate+D2196,"")</f>
        <v/>
      </c>
      <c r="F2196">
        <f>IF(B2196,MAX(MOD(SIN(Seed*0.1373+C2196*12.9898+D2196*78.233)*43758.5453,1),1E-9),"")</f>
        <v/>
      </c>
      <c r="G2196">
        <f>IF(B2196,MOD(SIN(Seed*0.5917+C2196*39.3468+D2196*11.135)*24634.6345,1),"")</f>
        <v/>
      </c>
      <c r="H2196">
        <f>IF(B2196,SQRT(-2*LN(F2196))*COS(2*PI()*G2196),"")</f>
        <v/>
      </c>
      <c r="I2196">
        <f>IF(B2196,IF(D2196=0,H2196,Rho*I2195+SQRT(1-Rho^2)*H2196),"")</f>
        <v/>
      </c>
      <c r="J2196">
        <f>IF(B2196,IF(Dist="Normal",DistA+DistB*I2196,DistA+(DistB-DistA)*NORMSDIST(I2196)),"")</f>
        <v/>
      </c>
      <c r="K2196">
        <f>IF(B2196,INDEX(MineScale,C2196),"")</f>
        <v/>
      </c>
      <c r="L2196">
        <f>IF(B2196,INDEX(Dow,1,WEEKDAY(E2196,2)),"")</f>
        <v/>
      </c>
      <c r="M2196">
        <f>IF(B2196,(1+Trend)^D2196,"")</f>
        <v/>
      </c>
      <c r="N2196">
        <f>IF(B2196,EXP(SUMPRODUCT(LN(1+(EvEff-1)*INDEX(Affected,0,C2196)*EXP(-((E2196-EvCenter)^2)/(2*EvSigma^2))))),"")</f>
        <v/>
      </c>
      <c r="O2196">
        <f>IF(B2196,ROUND(MAX(0,J2196*K2196*L2196*M2196*N2196),2),"")</f>
        <v/>
      </c>
    </row>
    <row r="2197">
      <c r="A2197" t="n">
        <v>2196</v>
      </c>
      <c r="B2197">
        <f>A2197&lt;=MineCount*Days</f>
        <v/>
      </c>
      <c r="C2197">
        <f>IF(B2197,INT((A2197-1)/Days)+1,"")</f>
        <v/>
      </c>
      <c r="D2197">
        <f>IF(B2197,MOD(A2197-1,Days),"")</f>
        <v/>
      </c>
      <c r="E2197" s="16">
        <f>IF(B2197,StartDate+D2197,"")</f>
        <v/>
      </c>
      <c r="F2197">
        <f>IF(B2197,MAX(MOD(SIN(Seed*0.1373+C2197*12.9898+D2197*78.233)*43758.5453,1),1E-9),"")</f>
        <v/>
      </c>
      <c r="G2197">
        <f>IF(B2197,MOD(SIN(Seed*0.5917+C2197*39.3468+D2197*11.135)*24634.6345,1),"")</f>
        <v/>
      </c>
      <c r="H2197">
        <f>IF(B2197,SQRT(-2*LN(F2197))*COS(2*PI()*G2197),"")</f>
        <v/>
      </c>
      <c r="I2197">
        <f>IF(B2197,IF(D2197=0,H2197,Rho*I2196+SQRT(1-Rho^2)*H2197),"")</f>
        <v/>
      </c>
      <c r="J2197">
        <f>IF(B2197,IF(Dist="Normal",DistA+DistB*I2197,DistA+(DistB-DistA)*NORMSDIST(I2197)),"")</f>
        <v/>
      </c>
      <c r="K2197">
        <f>IF(B2197,INDEX(MineScale,C2197),"")</f>
        <v/>
      </c>
      <c r="L2197">
        <f>IF(B2197,INDEX(Dow,1,WEEKDAY(E2197,2)),"")</f>
        <v/>
      </c>
      <c r="M2197">
        <f>IF(B2197,(1+Trend)^D2197,"")</f>
        <v/>
      </c>
      <c r="N2197">
        <f>IF(B2197,EXP(SUMPRODUCT(LN(1+(EvEff-1)*INDEX(Affected,0,C2197)*EXP(-((E2197-EvCenter)^2)/(2*EvSigma^2))))),"")</f>
        <v/>
      </c>
      <c r="O2197">
        <f>IF(B2197,ROUND(MAX(0,J2197*K2197*L2197*M2197*N2197),2),"")</f>
        <v/>
      </c>
    </row>
    <row r="2198">
      <c r="A2198" t="n">
        <v>2197</v>
      </c>
      <c r="B2198">
        <f>A2198&lt;=MineCount*Days</f>
        <v/>
      </c>
      <c r="C2198">
        <f>IF(B2198,INT((A2198-1)/Days)+1,"")</f>
        <v/>
      </c>
      <c r="D2198">
        <f>IF(B2198,MOD(A2198-1,Days),"")</f>
        <v/>
      </c>
      <c r="E2198" s="16">
        <f>IF(B2198,StartDate+D2198,"")</f>
        <v/>
      </c>
      <c r="F2198">
        <f>IF(B2198,MAX(MOD(SIN(Seed*0.1373+C2198*12.9898+D2198*78.233)*43758.5453,1),1E-9),"")</f>
        <v/>
      </c>
      <c r="G2198">
        <f>IF(B2198,MOD(SIN(Seed*0.5917+C2198*39.3468+D2198*11.135)*24634.6345,1),"")</f>
        <v/>
      </c>
      <c r="H2198">
        <f>IF(B2198,SQRT(-2*LN(F2198))*COS(2*PI()*G2198),"")</f>
        <v/>
      </c>
      <c r="I2198">
        <f>IF(B2198,IF(D2198=0,H2198,Rho*I2197+SQRT(1-Rho^2)*H2198),"")</f>
        <v/>
      </c>
      <c r="J2198">
        <f>IF(B2198,IF(Dist="Normal",DistA+DistB*I2198,DistA+(DistB-DistA)*NORMSDIST(I2198)),"")</f>
        <v/>
      </c>
      <c r="K2198">
        <f>IF(B2198,INDEX(MineScale,C2198),"")</f>
        <v/>
      </c>
      <c r="L2198">
        <f>IF(B2198,INDEX(Dow,1,WEEKDAY(E2198,2)),"")</f>
        <v/>
      </c>
      <c r="M2198">
        <f>IF(B2198,(1+Trend)^D2198,"")</f>
        <v/>
      </c>
      <c r="N2198">
        <f>IF(B2198,EXP(SUMPRODUCT(LN(1+(EvEff-1)*INDEX(Affected,0,C2198)*EXP(-((E2198-EvCenter)^2)/(2*EvSigma^2))))),"")</f>
        <v/>
      </c>
      <c r="O2198">
        <f>IF(B2198,ROUND(MAX(0,J2198*K2198*L2198*M2198*N2198),2),"")</f>
        <v/>
      </c>
    </row>
    <row r="2199">
      <c r="A2199" t="n">
        <v>2198</v>
      </c>
      <c r="B2199">
        <f>A2199&lt;=MineCount*Days</f>
        <v/>
      </c>
      <c r="C2199">
        <f>IF(B2199,INT((A2199-1)/Days)+1,"")</f>
        <v/>
      </c>
      <c r="D2199">
        <f>IF(B2199,MOD(A2199-1,Days),"")</f>
        <v/>
      </c>
      <c r="E2199" s="16">
        <f>IF(B2199,StartDate+D2199,"")</f>
        <v/>
      </c>
      <c r="F2199">
        <f>IF(B2199,MAX(MOD(SIN(Seed*0.1373+C2199*12.9898+D2199*78.233)*43758.5453,1),1E-9),"")</f>
        <v/>
      </c>
      <c r="G2199">
        <f>IF(B2199,MOD(SIN(Seed*0.5917+C2199*39.3468+D2199*11.135)*24634.6345,1),"")</f>
        <v/>
      </c>
      <c r="H2199">
        <f>IF(B2199,SQRT(-2*LN(F2199))*COS(2*PI()*G2199),"")</f>
        <v/>
      </c>
      <c r="I2199">
        <f>IF(B2199,IF(D2199=0,H2199,Rho*I2198+SQRT(1-Rho^2)*H2199),"")</f>
        <v/>
      </c>
      <c r="J2199">
        <f>IF(B2199,IF(Dist="Normal",DistA+DistB*I2199,DistA+(DistB-DistA)*NORMSDIST(I2199)),"")</f>
        <v/>
      </c>
      <c r="K2199">
        <f>IF(B2199,INDEX(MineScale,C2199),"")</f>
        <v/>
      </c>
      <c r="L2199">
        <f>IF(B2199,INDEX(Dow,1,WEEKDAY(E2199,2)),"")</f>
        <v/>
      </c>
      <c r="M2199">
        <f>IF(B2199,(1+Trend)^D2199,"")</f>
        <v/>
      </c>
      <c r="N2199">
        <f>IF(B2199,EXP(SUMPRODUCT(LN(1+(EvEff-1)*INDEX(Affected,0,C2199)*EXP(-((E2199-EvCenter)^2)/(2*EvSigma^2))))),"")</f>
        <v/>
      </c>
      <c r="O2199">
        <f>IF(B2199,ROUND(MAX(0,J2199*K2199*L2199*M2199*N2199),2),"")</f>
        <v/>
      </c>
    </row>
    <row r="2200">
      <c r="A2200" t="n">
        <v>2199</v>
      </c>
      <c r="B2200">
        <f>A2200&lt;=MineCount*Days</f>
        <v/>
      </c>
      <c r="C2200">
        <f>IF(B2200,INT((A2200-1)/Days)+1,"")</f>
        <v/>
      </c>
      <c r="D2200">
        <f>IF(B2200,MOD(A2200-1,Days),"")</f>
        <v/>
      </c>
      <c r="E2200" s="16">
        <f>IF(B2200,StartDate+D2200,"")</f>
        <v/>
      </c>
      <c r="F2200">
        <f>IF(B2200,MAX(MOD(SIN(Seed*0.1373+C2200*12.9898+D2200*78.233)*43758.5453,1),1E-9),"")</f>
        <v/>
      </c>
      <c r="G2200">
        <f>IF(B2200,MOD(SIN(Seed*0.5917+C2200*39.3468+D2200*11.135)*24634.6345,1),"")</f>
        <v/>
      </c>
      <c r="H2200">
        <f>IF(B2200,SQRT(-2*LN(F2200))*COS(2*PI()*G2200),"")</f>
        <v/>
      </c>
      <c r="I2200">
        <f>IF(B2200,IF(D2200=0,H2200,Rho*I2199+SQRT(1-Rho^2)*H2200),"")</f>
        <v/>
      </c>
      <c r="J2200">
        <f>IF(B2200,IF(Dist="Normal",DistA+DistB*I2200,DistA+(DistB-DistA)*NORMSDIST(I2200)),"")</f>
        <v/>
      </c>
      <c r="K2200">
        <f>IF(B2200,INDEX(MineScale,C2200),"")</f>
        <v/>
      </c>
      <c r="L2200">
        <f>IF(B2200,INDEX(Dow,1,WEEKDAY(E2200,2)),"")</f>
        <v/>
      </c>
      <c r="M2200">
        <f>IF(B2200,(1+Trend)^D2200,"")</f>
        <v/>
      </c>
      <c r="N2200">
        <f>IF(B2200,EXP(SUMPRODUCT(LN(1+(EvEff-1)*INDEX(Affected,0,C2200)*EXP(-((E2200-EvCenter)^2)/(2*EvSigma^2))))),"")</f>
        <v/>
      </c>
      <c r="O2200">
        <f>IF(B2200,ROUND(MAX(0,J2200*K2200*L2200*M2200*N2200),2),"")</f>
        <v/>
      </c>
    </row>
    <row r="2201">
      <c r="A2201" t="n">
        <v>2200</v>
      </c>
      <c r="B2201">
        <f>A2201&lt;=MineCount*Days</f>
        <v/>
      </c>
      <c r="C2201">
        <f>IF(B2201,INT((A2201-1)/Days)+1,"")</f>
        <v/>
      </c>
      <c r="D2201">
        <f>IF(B2201,MOD(A2201-1,Days),"")</f>
        <v/>
      </c>
      <c r="E2201" s="16">
        <f>IF(B2201,StartDate+D2201,"")</f>
        <v/>
      </c>
      <c r="F2201">
        <f>IF(B2201,MAX(MOD(SIN(Seed*0.1373+C2201*12.9898+D2201*78.233)*43758.5453,1),1E-9),"")</f>
        <v/>
      </c>
      <c r="G2201">
        <f>IF(B2201,MOD(SIN(Seed*0.5917+C2201*39.3468+D2201*11.135)*24634.6345,1),"")</f>
        <v/>
      </c>
      <c r="H2201">
        <f>IF(B2201,SQRT(-2*LN(F2201))*COS(2*PI()*G2201),"")</f>
        <v/>
      </c>
      <c r="I2201">
        <f>IF(B2201,IF(D2201=0,H2201,Rho*I2200+SQRT(1-Rho^2)*H2201),"")</f>
        <v/>
      </c>
      <c r="J2201">
        <f>IF(B2201,IF(Dist="Normal",DistA+DistB*I2201,DistA+(DistB-DistA)*NORMSDIST(I2201)),"")</f>
        <v/>
      </c>
      <c r="K2201">
        <f>IF(B2201,INDEX(MineScale,C2201),"")</f>
        <v/>
      </c>
      <c r="L2201">
        <f>IF(B2201,INDEX(Dow,1,WEEKDAY(E2201,2)),"")</f>
        <v/>
      </c>
      <c r="M2201">
        <f>IF(B2201,(1+Trend)^D2201,"")</f>
        <v/>
      </c>
      <c r="N2201">
        <f>IF(B2201,EXP(SUMPRODUCT(LN(1+(EvEff-1)*INDEX(Affected,0,C2201)*EXP(-((E2201-EvCenter)^2)/(2*EvSigma^2))))),"")</f>
        <v/>
      </c>
      <c r="O2201">
        <f>IF(B2201,ROUND(MAX(0,J2201*K2201*L2201*M2201*N2201),2),"")</f>
        <v/>
      </c>
    </row>
    <row r="2202">
      <c r="A2202" t="n">
        <v>2201</v>
      </c>
      <c r="B2202">
        <f>A2202&lt;=MineCount*Days</f>
        <v/>
      </c>
      <c r="C2202">
        <f>IF(B2202,INT((A2202-1)/Days)+1,"")</f>
        <v/>
      </c>
      <c r="D2202">
        <f>IF(B2202,MOD(A2202-1,Days),"")</f>
        <v/>
      </c>
      <c r="E2202" s="16">
        <f>IF(B2202,StartDate+D2202,"")</f>
        <v/>
      </c>
      <c r="F2202">
        <f>IF(B2202,MAX(MOD(SIN(Seed*0.1373+C2202*12.9898+D2202*78.233)*43758.5453,1),1E-9),"")</f>
        <v/>
      </c>
      <c r="G2202">
        <f>IF(B2202,MOD(SIN(Seed*0.5917+C2202*39.3468+D2202*11.135)*24634.6345,1),"")</f>
        <v/>
      </c>
      <c r="H2202">
        <f>IF(B2202,SQRT(-2*LN(F2202))*COS(2*PI()*G2202),"")</f>
        <v/>
      </c>
      <c r="I2202">
        <f>IF(B2202,IF(D2202=0,H2202,Rho*I2201+SQRT(1-Rho^2)*H2202),"")</f>
        <v/>
      </c>
      <c r="J2202">
        <f>IF(B2202,IF(Dist="Normal",DistA+DistB*I2202,DistA+(DistB-DistA)*NORMSDIST(I2202)),"")</f>
        <v/>
      </c>
      <c r="K2202">
        <f>IF(B2202,INDEX(MineScale,C2202),"")</f>
        <v/>
      </c>
      <c r="L2202">
        <f>IF(B2202,INDEX(Dow,1,WEEKDAY(E2202,2)),"")</f>
        <v/>
      </c>
      <c r="M2202">
        <f>IF(B2202,(1+Trend)^D2202,"")</f>
        <v/>
      </c>
      <c r="N2202">
        <f>IF(B2202,EXP(SUMPRODUCT(LN(1+(EvEff-1)*INDEX(Affected,0,C2202)*EXP(-((E2202-EvCenter)^2)/(2*EvSigma^2))))),"")</f>
        <v/>
      </c>
      <c r="O2202">
        <f>IF(B2202,ROUND(MAX(0,J2202*K2202*L2202*M2202*N2202),2),"")</f>
        <v/>
      </c>
    </row>
    <row r="2203">
      <c r="A2203" t="n">
        <v>2202</v>
      </c>
      <c r="B2203">
        <f>A2203&lt;=MineCount*Days</f>
        <v/>
      </c>
      <c r="C2203">
        <f>IF(B2203,INT((A2203-1)/Days)+1,"")</f>
        <v/>
      </c>
      <c r="D2203">
        <f>IF(B2203,MOD(A2203-1,Days),"")</f>
        <v/>
      </c>
      <c r="E2203" s="16">
        <f>IF(B2203,StartDate+D2203,"")</f>
        <v/>
      </c>
      <c r="F2203">
        <f>IF(B2203,MAX(MOD(SIN(Seed*0.1373+C2203*12.9898+D2203*78.233)*43758.5453,1),1E-9),"")</f>
        <v/>
      </c>
      <c r="G2203">
        <f>IF(B2203,MOD(SIN(Seed*0.5917+C2203*39.3468+D2203*11.135)*24634.6345,1),"")</f>
        <v/>
      </c>
      <c r="H2203">
        <f>IF(B2203,SQRT(-2*LN(F2203))*COS(2*PI()*G2203),"")</f>
        <v/>
      </c>
      <c r="I2203">
        <f>IF(B2203,IF(D2203=0,H2203,Rho*I2202+SQRT(1-Rho^2)*H2203),"")</f>
        <v/>
      </c>
      <c r="J2203">
        <f>IF(B2203,IF(Dist="Normal",DistA+DistB*I2203,DistA+(DistB-DistA)*NORMSDIST(I2203)),"")</f>
        <v/>
      </c>
      <c r="K2203">
        <f>IF(B2203,INDEX(MineScale,C2203),"")</f>
        <v/>
      </c>
      <c r="L2203">
        <f>IF(B2203,INDEX(Dow,1,WEEKDAY(E2203,2)),"")</f>
        <v/>
      </c>
      <c r="M2203">
        <f>IF(B2203,(1+Trend)^D2203,"")</f>
        <v/>
      </c>
      <c r="N2203">
        <f>IF(B2203,EXP(SUMPRODUCT(LN(1+(EvEff-1)*INDEX(Affected,0,C2203)*EXP(-((E2203-EvCenter)^2)/(2*EvSigma^2))))),"")</f>
        <v/>
      </c>
      <c r="O2203">
        <f>IF(B2203,ROUND(MAX(0,J2203*K2203*L2203*M2203*N2203),2),"")</f>
        <v/>
      </c>
    </row>
    <row r="2204">
      <c r="A2204" t="n">
        <v>2203</v>
      </c>
      <c r="B2204">
        <f>A2204&lt;=MineCount*Days</f>
        <v/>
      </c>
      <c r="C2204">
        <f>IF(B2204,INT((A2204-1)/Days)+1,"")</f>
        <v/>
      </c>
      <c r="D2204">
        <f>IF(B2204,MOD(A2204-1,Days),"")</f>
        <v/>
      </c>
      <c r="E2204" s="16">
        <f>IF(B2204,StartDate+D2204,"")</f>
        <v/>
      </c>
      <c r="F2204">
        <f>IF(B2204,MAX(MOD(SIN(Seed*0.1373+C2204*12.9898+D2204*78.233)*43758.5453,1),1E-9),"")</f>
        <v/>
      </c>
      <c r="G2204">
        <f>IF(B2204,MOD(SIN(Seed*0.5917+C2204*39.3468+D2204*11.135)*24634.6345,1),"")</f>
        <v/>
      </c>
      <c r="H2204">
        <f>IF(B2204,SQRT(-2*LN(F2204))*COS(2*PI()*G2204),"")</f>
        <v/>
      </c>
      <c r="I2204">
        <f>IF(B2204,IF(D2204=0,H2204,Rho*I2203+SQRT(1-Rho^2)*H2204),"")</f>
        <v/>
      </c>
      <c r="J2204">
        <f>IF(B2204,IF(Dist="Normal",DistA+DistB*I2204,DistA+(DistB-DistA)*NORMSDIST(I2204)),"")</f>
        <v/>
      </c>
      <c r="K2204">
        <f>IF(B2204,INDEX(MineScale,C2204),"")</f>
        <v/>
      </c>
      <c r="L2204">
        <f>IF(B2204,INDEX(Dow,1,WEEKDAY(E2204,2)),"")</f>
        <v/>
      </c>
      <c r="M2204">
        <f>IF(B2204,(1+Trend)^D2204,"")</f>
        <v/>
      </c>
      <c r="N2204">
        <f>IF(B2204,EXP(SUMPRODUCT(LN(1+(EvEff-1)*INDEX(Affected,0,C2204)*EXP(-((E2204-EvCenter)^2)/(2*EvSigma^2))))),"")</f>
        <v/>
      </c>
      <c r="O2204">
        <f>IF(B2204,ROUND(MAX(0,J2204*K2204*L2204*M2204*N2204),2),"")</f>
        <v/>
      </c>
    </row>
    <row r="2205">
      <c r="A2205" t="n">
        <v>2204</v>
      </c>
      <c r="B2205">
        <f>A2205&lt;=MineCount*Days</f>
        <v/>
      </c>
      <c r="C2205">
        <f>IF(B2205,INT((A2205-1)/Days)+1,"")</f>
        <v/>
      </c>
      <c r="D2205">
        <f>IF(B2205,MOD(A2205-1,Days),"")</f>
        <v/>
      </c>
      <c r="E2205" s="16">
        <f>IF(B2205,StartDate+D2205,"")</f>
        <v/>
      </c>
      <c r="F2205">
        <f>IF(B2205,MAX(MOD(SIN(Seed*0.1373+C2205*12.9898+D2205*78.233)*43758.5453,1),1E-9),"")</f>
        <v/>
      </c>
      <c r="G2205">
        <f>IF(B2205,MOD(SIN(Seed*0.5917+C2205*39.3468+D2205*11.135)*24634.6345,1),"")</f>
        <v/>
      </c>
      <c r="H2205">
        <f>IF(B2205,SQRT(-2*LN(F2205))*COS(2*PI()*G2205),"")</f>
        <v/>
      </c>
      <c r="I2205">
        <f>IF(B2205,IF(D2205=0,H2205,Rho*I2204+SQRT(1-Rho^2)*H2205),"")</f>
        <v/>
      </c>
      <c r="J2205">
        <f>IF(B2205,IF(Dist="Normal",DistA+DistB*I2205,DistA+(DistB-DistA)*NORMSDIST(I2205)),"")</f>
        <v/>
      </c>
      <c r="K2205">
        <f>IF(B2205,INDEX(MineScale,C2205),"")</f>
        <v/>
      </c>
      <c r="L2205">
        <f>IF(B2205,INDEX(Dow,1,WEEKDAY(E2205,2)),"")</f>
        <v/>
      </c>
      <c r="M2205">
        <f>IF(B2205,(1+Trend)^D2205,"")</f>
        <v/>
      </c>
      <c r="N2205">
        <f>IF(B2205,EXP(SUMPRODUCT(LN(1+(EvEff-1)*INDEX(Affected,0,C2205)*EXP(-((E2205-EvCenter)^2)/(2*EvSigma^2))))),"")</f>
        <v/>
      </c>
      <c r="O2205">
        <f>IF(B2205,ROUND(MAX(0,J2205*K2205*L2205*M2205*N2205),2),"")</f>
        <v/>
      </c>
    </row>
    <row r="2206">
      <c r="A2206" t="n">
        <v>2205</v>
      </c>
      <c r="B2206">
        <f>A2206&lt;=MineCount*Days</f>
        <v/>
      </c>
      <c r="C2206">
        <f>IF(B2206,INT((A2206-1)/Days)+1,"")</f>
        <v/>
      </c>
      <c r="D2206">
        <f>IF(B2206,MOD(A2206-1,Days),"")</f>
        <v/>
      </c>
      <c r="E2206" s="16">
        <f>IF(B2206,StartDate+D2206,"")</f>
        <v/>
      </c>
      <c r="F2206">
        <f>IF(B2206,MAX(MOD(SIN(Seed*0.1373+C2206*12.9898+D2206*78.233)*43758.5453,1),1E-9),"")</f>
        <v/>
      </c>
      <c r="G2206">
        <f>IF(B2206,MOD(SIN(Seed*0.5917+C2206*39.3468+D2206*11.135)*24634.6345,1),"")</f>
        <v/>
      </c>
      <c r="H2206">
        <f>IF(B2206,SQRT(-2*LN(F2206))*COS(2*PI()*G2206),"")</f>
        <v/>
      </c>
      <c r="I2206">
        <f>IF(B2206,IF(D2206=0,H2206,Rho*I2205+SQRT(1-Rho^2)*H2206),"")</f>
        <v/>
      </c>
      <c r="J2206">
        <f>IF(B2206,IF(Dist="Normal",DistA+DistB*I2206,DistA+(DistB-DistA)*NORMSDIST(I2206)),"")</f>
        <v/>
      </c>
      <c r="K2206">
        <f>IF(B2206,INDEX(MineScale,C2206),"")</f>
        <v/>
      </c>
      <c r="L2206">
        <f>IF(B2206,INDEX(Dow,1,WEEKDAY(E2206,2)),"")</f>
        <v/>
      </c>
      <c r="M2206">
        <f>IF(B2206,(1+Trend)^D2206,"")</f>
        <v/>
      </c>
      <c r="N2206">
        <f>IF(B2206,EXP(SUMPRODUCT(LN(1+(EvEff-1)*INDEX(Affected,0,C2206)*EXP(-((E2206-EvCenter)^2)/(2*EvSigma^2))))),"")</f>
        <v/>
      </c>
      <c r="O2206">
        <f>IF(B2206,ROUND(MAX(0,J2206*K2206*L2206*M2206*N2206),2),"")</f>
        <v/>
      </c>
    </row>
    <row r="2207">
      <c r="A2207" t="n">
        <v>2206</v>
      </c>
      <c r="B2207">
        <f>A2207&lt;=MineCount*Days</f>
        <v/>
      </c>
      <c r="C2207">
        <f>IF(B2207,INT((A2207-1)/Days)+1,"")</f>
        <v/>
      </c>
      <c r="D2207">
        <f>IF(B2207,MOD(A2207-1,Days),"")</f>
        <v/>
      </c>
      <c r="E2207" s="16">
        <f>IF(B2207,StartDate+D2207,"")</f>
        <v/>
      </c>
      <c r="F2207">
        <f>IF(B2207,MAX(MOD(SIN(Seed*0.1373+C2207*12.9898+D2207*78.233)*43758.5453,1),1E-9),"")</f>
        <v/>
      </c>
      <c r="G2207">
        <f>IF(B2207,MOD(SIN(Seed*0.5917+C2207*39.3468+D2207*11.135)*24634.6345,1),"")</f>
        <v/>
      </c>
      <c r="H2207">
        <f>IF(B2207,SQRT(-2*LN(F2207))*COS(2*PI()*G2207),"")</f>
        <v/>
      </c>
      <c r="I2207">
        <f>IF(B2207,IF(D2207=0,H2207,Rho*I2206+SQRT(1-Rho^2)*H2207),"")</f>
        <v/>
      </c>
      <c r="J2207">
        <f>IF(B2207,IF(Dist="Normal",DistA+DistB*I2207,DistA+(DistB-DistA)*NORMSDIST(I2207)),"")</f>
        <v/>
      </c>
      <c r="K2207">
        <f>IF(B2207,INDEX(MineScale,C2207),"")</f>
        <v/>
      </c>
      <c r="L2207">
        <f>IF(B2207,INDEX(Dow,1,WEEKDAY(E2207,2)),"")</f>
        <v/>
      </c>
      <c r="M2207">
        <f>IF(B2207,(1+Trend)^D2207,"")</f>
        <v/>
      </c>
      <c r="N2207">
        <f>IF(B2207,EXP(SUMPRODUCT(LN(1+(EvEff-1)*INDEX(Affected,0,C2207)*EXP(-((E2207-EvCenter)^2)/(2*EvSigma^2))))),"")</f>
        <v/>
      </c>
      <c r="O2207">
        <f>IF(B2207,ROUND(MAX(0,J2207*K2207*L2207*M2207*N2207),2),"")</f>
        <v/>
      </c>
    </row>
    <row r="2208">
      <c r="A2208" t="n">
        <v>2207</v>
      </c>
      <c r="B2208">
        <f>A2208&lt;=MineCount*Days</f>
        <v/>
      </c>
      <c r="C2208">
        <f>IF(B2208,INT((A2208-1)/Days)+1,"")</f>
        <v/>
      </c>
      <c r="D2208">
        <f>IF(B2208,MOD(A2208-1,Days),"")</f>
        <v/>
      </c>
      <c r="E2208" s="16">
        <f>IF(B2208,StartDate+D2208,"")</f>
        <v/>
      </c>
      <c r="F2208">
        <f>IF(B2208,MAX(MOD(SIN(Seed*0.1373+C2208*12.9898+D2208*78.233)*43758.5453,1),1E-9),"")</f>
        <v/>
      </c>
      <c r="G2208">
        <f>IF(B2208,MOD(SIN(Seed*0.5917+C2208*39.3468+D2208*11.135)*24634.6345,1),"")</f>
        <v/>
      </c>
      <c r="H2208">
        <f>IF(B2208,SQRT(-2*LN(F2208))*COS(2*PI()*G2208),"")</f>
        <v/>
      </c>
      <c r="I2208">
        <f>IF(B2208,IF(D2208=0,H2208,Rho*I2207+SQRT(1-Rho^2)*H2208),"")</f>
        <v/>
      </c>
      <c r="J2208">
        <f>IF(B2208,IF(Dist="Normal",DistA+DistB*I2208,DistA+(DistB-DistA)*NORMSDIST(I2208)),"")</f>
        <v/>
      </c>
      <c r="K2208">
        <f>IF(B2208,INDEX(MineScale,C2208),"")</f>
        <v/>
      </c>
      <c r="L2208">
        <f>IF(B2208,INDEX(Dow,1,WEEKDAY(E2208,2)),"")</f>
        <v/>
      </c>
      <c r="M2208">
        <f>IF(B2208,(1+Trend)^D2208,"")</f>
        <v/>
      </c>
      <c r="N2208">
        <f>IF(B2208,EXP(SUMPRODUCT(LN(1+(EvEff-1)*INDEX(Affected,0,C2208)*EXP(-((E2208-EvCenter)^2)/(2*EvSigma^2))))),"")</f>
        <v/>
      </c>
      <c r="O2208">
        <f>IF(B2208,ROUND(MAX(0,J2208*K2208*L2208*M2208*N2208),2),"")</f>
        <v/>
      </c>
    </row>
    <row r="2209">
      <c r="A2209" t="n">
        <v>2208</v>
      </c>
      <c r="B2209">
        <f>A2209&lt;=MineCount*Days</f>
        <v/>
      </c>
      <c r="C2209">
        <f>IF(B2209,INT((A2209-1)/Days)+1,"")</f>
        <v/>
      </c>
      <c r="D2209">
        <f>IF(B2209,MOD(A2209-1,Days),"")</f>
        <v/>
      </c>
      <c r="E2209" s="16">
        <f>IF(B2209,StartDate+D2209,"")</f>
        <v/>
      </c>
      <c r="F2209">
        <f>IF(B2209,MAX(MOD(SIN(Seed*0.1373+C2209*12.9898+D2209*78.233)*43758.5453,1),1E-9),"")</f>
        <v/>
      </c>
      <c r="G2209">
        <f>IF(B2209,MOD(SIN(Seed*0.5917+C2209*39.3468+D2209*11.135)*24634.6345,1),"")</f>
        <v/>
      </c>
      <c r="H2209">
        <f>IF(B2209,SQRT(-2*LN(F2209))*COS(2*PI()*G2209),"")</f>
        <v/>
      </c>
      <c r="I2209">
        <f>IF(B2209,IF(D2209=0,H2209,Rho*I2208+SQRT(1-Rho^2)*H2209),"")</f>
        <v/>
      </c>
      <c r="J2209">
        <f>IF(B2209,IF(Dist="Normal",DistA+DistB*I2209,DistA+(DistB-DistA)*NORMSDIST(I2209)),"")</f>
        <v/>
      </c>
      <c r="K2209">
        <f>IF(B2209,INDEX(MineScale,C2209),"")</f>
        <v/>
      </c>
      <c r="L2209">
        <f>IF(B2209,INDEX(Dow,1,WEEKDAY(E2209,2)),"")</f>
        <v/>
      </c>
      <c r="M2209">
        <f>IF(B2209,(1+Trend)^D2209,"")</f>
        <v/>
      </c>
      <c r="N2209">
        <f>IF(B2209,EXP(SUMPRODUCT(LN(1+(EvEff-1)*INDEX(Affected,0,C2209)*EXP(-((E2209-EvCenter)^2)/(2*EvSigma^2))))),"")</f>
        <v/>
      </c>
      <c r="O2209">
        <f>IF(B2209,ROUND(MAX(0,J2209*K2209*L2209*M2209*N2209),2),"")</f>
        <v/>
      </c>
    </row>
    <row r="2210">
      <c r="A2210" t="n">
        <v>2209</v>
      </c>
      <c r="B2210">
        <f>A2210&lt;=MineCount*Days</f>
        <v/>
      </c>
      <c r="C2210">
        <f>IF(B2210,INT((A2210-1)/Days)+1,"")</f>
        <v/>
      </c>
      <c r="D2210">
        <f>IF(B2210,MOD(A2210-1,Days),"")</f>
        <v/>
      </c>
      <c r="E2210" s="16">
        <f>IF(B2210,StartDate+D2210,"")</f>
        <v/>
      </c>
      <c r="F2210">
        <f>IF(B2210,MAX(MOD(SIN(Seed*0.1373+C2210*12.9898+D2210*78.233)*43758.5453,1),1E-9),"")</f>
        <v/>
      </c>
      <c r="G2210">
        <f>IF(B2210,MOD(SIN(Seed*0.5917+C2210*39.3468+D2210*11.135)*24634.6345,1),"")</f>
        <v/>
      </c>
      <c r="H2210">
        <f>IF(B2210,SQRT(-2*LN(F2210))*COS(2*PI()*G2210),"")</f>
        <v/>
      </c>
      <c r="I2210">
        <f>IF(B2210,IF(D2210=0,H2210,Rho*I2209+SQRT(1-Rho^2)*H2210),"")</f>
        <v/>
      </c>
      <c r="J2210">
        <f>IF(B2210,IF(Dist="Normal",DistA+DistB*I2210,DistA+(DistB-DistA)*NORMSDIST(I2210)),"")</f>
        <v/>
      </c>
      <c r="K2210">
        <f>IF(B2210,INDEX(MineScale,C2210),"")</f>
        <v/>
      </c>
      <c r="L2210">
        <f>IF(B2210,INDEX(Dow,1,WEEKDAY(E2210,2)),"")</f>
        <v/>
      </c>
      <c r="M2210">
        <f>IF(B2210,(1+Trend)^D2210,"")</f>
        <v/>
      </c>
      <c r="N2210">
        <f>IF(B2210,EXP(SUMPRODUCT(LN(1+(EvEff-1)*INDEX(Affected,0,C2210)*EXP(-((E2210-EvCenter)^2)/(2*EvSigma^2))))),"")</f>
        <v/>
      </c>
      <c r="O2210">
        <f>IF(B2210,ROUND(MAX(0,J2210*K2210*L2210*M2210*N2210),2),"")</f>
        <v/>
      </c>
    </row>
    <row r="2211">
      <c r="A2211" t="n">
        <v>2210</v>
      </c>
      <c r="B2211">
        <f>A2211&lt;=MineCount*Days</f>
        <v/>
      </c>
      <c r="C2211">
        <f>IF(B2211,INT((A2211-1)/Days)+1,"")</f>
        <v/>
      </c>
      <c r="D2211">
        <f>IF(B2211,MOD(A2211-1,Days),"")</f>
        <v/>
      </c>
      <c r="E2211" s="16">
        <f>IF(B2211,StartDate+D2211,"")</f>
        <v/>
      </c>
      <c r="F2211">
        <f>IF(B2211,MAX(MOD(SIN(Seed*0.1373+C2211*12.9898+D2211*78.233)*43758.5453,1),1E-9),"")</f>
        <v/>
      </c>
      <c r="G2211">
        <f>IF(B2211,MOD(SIN(Seed*0.5917+C2211*39.3468+D2211*11.135)*24634.6345,1),"")</f>
        <v/>
      </c>
      <c r="H2211">
        <f>IF(B2211,SQRT(-2*LN(F2211))*COS(2*PI()*G2211),"")</f>
        <v/>
      </c>
      <c r="I2211">
        <f>IF(B2211,IF(D2211=0,H2211,Rho*I2210+SQRT(1-Rho^2)*H2211),"")</f>
        <v/>
      </c>
      <c r="J2211">
        <f>IF(B2211,IF(Dist="Normal",DistA+DistB*I2211,DistA+(DistB-DistA)*NORMSDIST(I2211)),"")</f>
        <v/>
      </c>
      <c r="K2211">
        <f>IF(B2211,INDEX(MineScale,C2211),"")</f>
        <v/>
      </c>
      <c r="L2211">
        <f>IF(B2211,INDEX(Dow,1,WEEKDAY(E2211,2)),"")</f>
        <v/>
      </c>
      <c r="M2211">
        <f>IF(B2211,(1+Trend)^D2211,"")</f>
        <v/>
      </c>
      <c r="N2211">
        <f>IF(B2211,EXP(SUMPRODUCT(LN(1+(EvEff-1)*INDEX(Affected,0,C2211)*EXP(-((E2211-EvCenter)^2)/(2*EvSigma^2))))),"")</f>
        <v/>
      </c>
      <c r="O2211">
        <f>IF(B2211,ROUND(MAX(0,J2211*K2211*L2211*M2211*N2211),2),"")</f>
        <v/>
      </c>
    </row>
    <row r="2212">
      <c r="A2212" t="n">
        <v>2211</v>
      </c>
      <c r="B2212">
        <f>A2212&lt;=MineCount*Days</f>
        <v/>
      </c>
      <c r="C2212">
        <f>IF(B2212,INT((A2212-1)/Days)+1,"")</f>
        <v/>
      </c>
      <c r="D2212">
        <f>IF(B2212,MOD(A2212-1,Days),"")</f>
        <v/>
      </c>
      <c r="E2212" s="16">
        <f>IF(B2212,StartDate+D2212,"")</f>
        <v/>
      </c>
      <c r="F2212">
        <f>IF(B2212,MAX(MOD(SIN(Seed*0.1373+C2212*12.9898+D2212*78.233)*43758.5453,1),1E-9),"")</f>
        <v/>
      </c>
      <c r="G2212">
        <f>IF(B2212,MOD(SIN(Seed*0.5917+C2212*39.3468+D2212*11.135)*24634.6345,1),"")</f>
        <v/>
      </c>
      <c r="H2212">
        <f>IF(B2212,SQRT(-2*LN(F2212))*COS(2*PI()*G2212),"")</f>
        <v/>
      </c>
      <c r="I2212">
        <f>IF(B2212,IF(D2212=0,H2212,Rho*I2211+SQRT(1-Rho^2)*H2212),"")</f>
        <v/>
      </c>
      <c r="J2212">
        <f>IF(B2212,IF(Dist="Normal",DistA+DistB*I2212,DistA+(DistB-DistA)*NORMSDIST(I2212)),"")</f>
        <v/>
      </c>
      <c r="K2212">
        <f>IF(B2212,INDEX(MineScale,C2212),"")</f>
        <v/>
      </c>
      <c r="L2212">
        <f>IF(B2212,INDEX(Dow,1,WEEKDAY(E2212,2)),"")</f>
        <v/>
      </c>
      <c r="M2212">
        <f>IF(B2212,(1+Trend)^D2212,"")</f>
        <v/>
      </c>
      <c r="N2212">
        <f>IF(B2212,EXP(SUMPRODUCT(LN(1+(EvEff-1)*INDEX(Affected,0,C2212)*EXP(-((E2212-EvCenter)^2)/(2*EvSigma^2))))),"")</f>
        <v/>
      </c>
      <c r="O2212">
        <f>IF(B2212,ROUND(MAX(0,J2212*K2212*L2212*M2212*N2212),2),"")</f>
        <v/>
      </c>
    </row>
    <row r="2213">
      <c r="A2213" t="n">
        <v>2212</v>
      </c>
      <c r="B2213">
        <f>A2213&lt;=MineCount*Days</f>
        <v/>
      </c>
      <c r="C2213">
        <f>IF(B2213,INT((A2213-1)/Days)+1,"")</f>
        <v/>
      </c>
      <c r="D2213">
        <f>IF(B2213,MOD(A2213-1,Days),"")</f>
        <v/>
      </c>
      <c r="E2213" s="16">
        <f>IF(B2213,StartDate+D2213,"")</f>
        <v/>
      </c>
      <c r="F2213">
        <f>IF(B2213,MAX(MOD(SIN(Seed*0.1373+C2213*12.9898+D2213*78.233)*43758.5453,1),1E-9),"")</f>
        <v/>
      </c>
      <c r="G2213">
        <f>IF(B2213,MOD(SIN(Seed*0.5917+C2213*39.3468+D2213*11.135)*24634.6345,1),"")</f>
        <v/>
      </c>
      <c r="H2213">
        <f>IF(B2213,SQRT(-2*LN(F2213))*COS(2*PI()*G2213),"")</f>
        <v/>
      </c>
      <c r="I2213">
        <f>IF(B2213,IF(D2213=0,H2213,Rho*I2212+SQRT(1-Rho^2)*H2213),"")</f>
        <v/>
      </c>
      <c r="J2213">
        <f>IF(B2213,IF(Dist="Normal",DistA+DistB*I2213,DistA+(DistB-DistA)*NORMSDIST(I2213)),"")</f>
        <v/>
      </c>
      <c r="K2213">
        <f>IF(B2213,INDEX(MineScale,C2213),"")</f>
        <v/>
      </c>
      <c r="L2213">
        <f>IF(B2213,INDEX(Dow,1,WEEKDAY(E2213,2)),"")</f>
        <v/>
      </c>
      <c r="M2213">
        <f>IF(B2213,(1+Trend)^D2213,"")</f>
        <v/>
      </c>
      <c r="N2213">
        <f>IF(B2213,EXP(SUMPRODUCT(LN(1+(EvEff-1)*INDEX(Affected,0,C2213)*EXP(-((E2213-EvCenter)^2)/(2*EvSigma^2))))),"")</f>
        <v/>
      </c>
      <c r="O2213">
        <f>IF(B2213,ROUND(MAX(0,J2213*K2213*L2213*M2213*N2213),2),"")</f>
        <v/>
      </c>
    </row>
    <row r="2214">
      <c r="A2214" t="n">
        <v>2213</v>
      </c>
      <c r="B2214">
        <f>A2214&lt;=MineCount*Days</f>
        <v/>
      </c>
      <c r="C2214">
        <f>IF(B2214,INT((A2214-1)/Days)+1,"")</f>
        <v/>
      </c>
      <c r="D2214">
        <f>IF(B2214,MOD(A2214-1,Days),"")</f>
        <v/>
      </c>
      <c r="E2214" s="16">
        <f>IF(B2214,StartDate+D2214,"")</f>
        <v/>
      </c>
      <c r="F2214">
        <f>IF(B2214,MAX(MOD(SIN(Seed*0.1373+C2214*12.9898+D2214*78.233)*43758.5453,1),1E-9),"")</f>
        <v/>
      </c>
      <c r="G2214">
        <f>IF(B2214,MOD(SIN(Seed*0.5917+C2214*39.3468+D2214*11.135)*24634.6345,1),"")</f>
        <v/>
      </c>
      <c r="H2214">
        <f>IF(B2214,SQRT(-2*LN(F2214))*COS(2*PI()*G2214),"")</f>
        <v/>
      </c>
      <c r="I2214">
        <f>IF(B2214,IF(D2214=0,H2214,Rho*I2213+SQRT(1-Rho^2)*H2214),"")</f>
        <v/>
      </c>
      <c r="J2214">
        <f>IF(B2214,IF(Dist="Normal",DistA+DistB*I2214,DistA+(DistB-DistA)*NORMSDIST(I2214)),"")</f>
        <v/>
      </c>
      <c r="K2214">
        <f>IF(B2214,INDEX(MineScale,C2214),"")</f>
        <v/>
      </c>
      <c r="L2214">
        <f>IF(B2214,INDEX(Dow,1,WEEKDAY(E2214,2)),"")</f>
        <v/>
      </c>
      <c r="M2214">
        <f>IF(B2214,(1+Trend)^D2214,"")</f>
        <v/>
      </c>
      <c r="N2214">
        <f>IF(B2214,EXP(SUMPRODUCT(LN(1+(EvEff-1)*INDEX(Affected,0,C2214)*EXP(-((E2214-EvCenter)^2)/(2*EvSigma^2))))),"")</f>
        <v/>
      </c>
      <c r="O2214">
        <f>IF(B2214,ROUND(MAX(0,J2214*K2214*L2214*M2214*N2214),2),"")</f>
        <v/>
      </c>
    </row>
    <row r="2215">
      <c r="A2215" t="n">
        <v>2214</v>
      </c>
      <c r="B2215">
        <f>A2215&lt;=MineCount*Days</f>
        <v/>
      </c>
      <c r="C2215">
        <f>IF(B2215,INT((A2215-1)/Days)+1,"")</f>
        <v/>
      </c>
      <c r="D2215">
        <f>IF(B2215,MOD(A2215-1,Days),"")</f>
        <v/>
      </c>
      <c r="E2215" s="16">
        <f>IF(B2215,StartDate+D2215,"")</f>
        <v/>
      </c>
      <c r="F2215">
        <f>IF(B2215,MAX(MOD(SIN(Seed*0.1373+C2215*12.9898+D2215*78.233)*43758.5453,1),1E-9),"")</f>
        <v/>
      </c>
      <c r="G2215">
        <f>IF(B2215,MOD(SIN(Seed*0.5917+C2215*39.3468+D2215*11.135)*24634.6345,1),"")</f>
        <v/>
      </c>
      <c r="H2215">
        <f>IF(B2215,SQRT(-2*LN(F2215))*COS(2*PI()*G2215),"")</f>
        <v/>
      </c>
      <c r="I2215">
        <f>IF(B2215,IF(D2215=0,H2215,Rho*I2214+SQRT(1-Rho^2)*H2215),"")</f>
        <v/>
      </c>
      <c r="J2215">
        <f>IF(B2215,IF(Dist="Normal",DistA+DistB*I2215,DistA+(DistB-DistA)*NORMSDIST(I2215)),"")</f>
        <v/>
      </c>
      <c r="K2215">
        <f>IF(B2215,INDEX(MineScale,C2215),"")</f>
        <v/>
      </c>
      <c r="L2215">
        <f>IF(B2215,INDEX(Dow,1,WEEKDAY(E2215,2)),"")</f>
        <v/>
      </c>
      <c r="M2215">
        <f>IF(B2215,(1+Trend)^D2215,"")</f>
        <v/>
      </c>
      <c r="N2215">
        <f>IF(B2215,EXP(SUMPRODUCT(LN(1+(EvEff-1)*INDEX(Affected,0,C2215)*EXP(-((E2215-EvCenter)^2)/(2*EvSigma^2))))),"")</f>
        <v/>
      </c>
      <c r="O2215">
        <f>IF(B2215,ROUND(MAX(0,J2215*K2215*L2215*M2215*N2215),2),"")</f>
        <v/>
      </c>
    </row>
    <row r="2216">
      <c r="A2216" t="n">
        <v>2215</v>
      </c>
      <c r="B2216">
        <f>A2216&lt;=MineCount*Days</f>
        <v/>
      </c>
      <c r="C2216">
        <f>IF(B2216,INT((A2216-1)/Days)+1,"")</f>
        <v/>
      </c>
      <c r="D2216">
        <f>IF(B2216,MOD(A2216-1,Days),"")</f>
        <v/>
      </c>
      <c r="E2216" s="16">
        <f>IF(B2216,StartDate+D2216,"")</f>
        <v/>
      </c>
      <c r="F2216">
        <f>IF(B2216,MAX(MOD(SIN(Seed*0.1373+C2216*12.9898+D2216*78.233)*43758.5453,1),1E-9),"")</f>
        <v/>
      </c>
      <c r="G2216">
        <f>IF(B2216,MOD(SIN(Seed*0.5917+C2216*39.3468+D2216*11.135)*24634.6345,1),"")</f>
        <v/>
      </c>
      <c r="H2216">
        <f>IF(B2216,SQRT(-2*LN(F2216))*COS(2*PI()*G2216),"")</f>
        <v/>
      </c>
      <c r="I2216">
        <f>IF(B2216,IF(D2216=0,H2216,Rho*I2215+SQRT(1-Rho^2)*H2216),"")</f>
        <v/>
      </c>
      <c r="J2216">
        <f>IF(B2216,IF(Dist="Normal",DistA+DistB*I2216,DistA+(DistB-DistA)*NORMSDIST(I2216)),"")</f>
        <v/>
      </c>
      <c r="K2216">
        <f>IF(B2216,INDEX(MineScale,C2216),"")</f>
        <v/>
      </c>
      <c r="L2216">
        <f>IF(B2216,INDEX(Dow,1,WEEKDAY(E2216,2)),"")</f>
        <v/>
      </c>
      <c r="M2216">
        <f>IF(B2216,(1+Trend)^D2216,"")</f>
        <v/>
      </c>
      <c r="N2216">
        <f>IF(B2216,EXP(SUMPRODUCT(LN(1+(EvEff-1)*INDEX(Affected,0,C2216)*EXP(-((E2216-EvCenter)^2)/(2*EvSigma^2))))),"")</f>
        <v/>
      </c>
      <c r="O2216">
        <f>IF(B2216,ROUND(MAX(0,J2216*K2216*L2216*M2216*N2216),2),"")</f>
        <v/>
      </c>
    </row>
    <row r="2217">
      <c r="A2217" t="n">
        <v>2216</v>
      </c>
      <c r="B2217">
        <f>A2217&lt;=MineCount*Days</f>
        <v/>
      </c>
      <c r="C2217">
        <f>IF(B2217,INT((A2217-1)/Days)+1,"")</f>
        <v/>
      </c>
      <c r="D2217">
        <f>IF(B2217,MOD(A2217-1,Days),"")</f>
        <v/>
      </c>
      <c r="E2217" s="16">
        <f>IF(B2217,StartDate+D2217,"")</f>
        <v/>
      </c>
      <c r="F2217">
        <f>IF(B2217,MAX(MOD(SIN(Seed*0.1373+C2217*12.9898+D2217*78.233)*43758.5453,1),1E-9),"")</f>
        <v/>
      </c>
      <c r="G2217">
        <f>IF(B2217,MOD(SIN(Seed*0.5917+C2217*39.3468+D2217*11.135)*24634.6345,1),"")</f>
        <v/>
      </c>
      <c r="H2217">
        <f>IF(B2217,SQRT(-2*LN(F2217))*COS(2*PI()*G2217),"")</f>
        <v/>
      </c>
      <c r="I2217">
        <f>IF(B2217,IF(D2217=0,H2217,Rho*I2216+SQRT(1-Rho^2)*H2217),"")</f>
        <v/>
      </c>
      <c r="J2217">
        <f>IF(B2217,IF(Dist="Normal",DistA+DistB*I2217,DistA+(DistB-DistA)*NORMSDIST(I2217)),"")</f>
        <v/>
      </c>
      <c r="K2217">
        <f>IF(B2217,INDEX(MineScale,C2217),"")</f>
        <v/>
      </c>
      <c r="L2217">
        <f>IF(B2217,INDEX(Dow,1,WEEKDAY(E2217,2)),"")</f>
        <v/>
      </c>
      <c r="M2217">
        <f>IF(B2217,(1+Trend)^D2217,"")</f>
        <v/>
      </c>
      <c r="N2217">
        <f>IF(B2217,EXP(SUMPRODUCT(LN(1+(EvEff-1)*INDEX(Affected,0,C2217)*EXP(-((E2217-EvCenter)^2)/(2*EvSigma^2))))),"")</f>
        <v/>
      </c>
      <c r="O2217">
        <f>IF(B2217,ROUND(MAX(0,J2217*K2217*L2217*M2217*N2217),2),"")</f>
        <v/>
      </c>
    </row>
    <row r="2218">
      <c r="A2218" t="n">
        <v>2217</v>
      </c>
      <c r="B2218">
        <f>A2218&lt;=MineCount*Days</f>
        <v/>
      </c>
      <c r="C2218">
        <f>IF(B2218,INT((A2218-1)/Days)+1,"")</f>
        <v/>
      </c>
      <c r="D2218">
        <f>IF(B2218,MOD(A2218-1,Days),"")</f>
        <v/>
      </c>
      <c r="E2218" s="16">
        <f>IF(B2218,StartDate+D2218,"")</f>
        <v/>
      </c>
      <c r="F2218">
        <f>IF(B2218,MAX(MOD(SIN(Seed*0.1373+C2218*12.9898+D2218*78.233)*43758.5453,1),1E-9),"")</f>
        <v/>
      </c>
      <c r="G2218">
        <f>IF(B2218,MOD(SIN(Seed*0.5917+C2218*39.3468+D2218*11.135)*24634.6345,1),"")</f>
        <v/>
      </c>
      <c r="H2218">
        <f>IF(B2218,SQRT(-2*LN(F2218))*COS(2*PI()*G2218),"")</f>
        <v/>
      </c>
      <c r="I2218">
        <f>IF(B2218,IF(D2218=0,H2218,Rho*I2217+SQRT(1-Rho^2)*H2218),"")</f>
        <v/>
      </c>
      <c r="J2218">
        <f>IF(B2218,IF(Dist="Normal",DistA+DistB*I2218,DistA+(DistB-DistA)*NORMSDIST(I2218)),"")</f>
        <v/>
      </c>
      <c r="K2218">
        <f>IF(B2218,INDEX(MineScale,C2218),"")</f>
        <v/>
      </c>
      <c r="L2218">
        <f>IF(B2218,INDEX(Dow,1,WEEKDAY(E2218,2)),"")</f>
        <v/>
      </c>
      <c r="M2218">
        <f>IF(B2218,(1+Trend)^D2218,"")</f>
        <v/>
      </c>
      <c r="N2218">
        <f>IF(B2218,EXP(SUMPRODUCT(LN(1+(EvEff-1)*INDEX(Affected,0,C2218)*EXP(-((E2218-EvCenter)^2)/(2*EvSigma^2))))),"")</f>
        <v/>
      </c>
      <c r="O2218">
        <f>IF(B2218,ROUND(MAX(0,J2218*K2218*L2218*M2218*N2218),2),"")</f>
        <v/>
      </c>
    </row>
    <row r="2219">
      <c r="A2219" t="n">
        <v>2218</v>
      </c>
      <c r="B2219">
        <f>A2219&lt;=MineCount*Days</f>
        <v/>
      </c>
      <c r="C2219">
        <f>IF(B2219,INT((A2219-1)/Days)+1,"")</f>
        <v/>
      </c>
      <c r="D2219">
        <f>IF(B2219,MOD(A2219-1,Days),"")</f>
        <v/>
      </c>
      <c r="E2219" s="16">
        <f>IF(B2219,StartDate+D2219,"")</f>
        <v/>
      </c>
      <c r="F2219">
        <f>IF(B2219,MAX(MOD(SIN(Seed*0.1373+C2219*12.9898+D2219*78.233)*43758.5453,1),1E-9),"")</f>
        <v/>
      </c>
      <c r="G2219">
        <f>IF(B2219,MOD(SIN(Seed*0.5917+C2219*39.3468+D2219*11.135)*24634.6345,1),"")</f>
        <v/>
      </c>
      <c r="H2219">
        <f>IF(B2219,SQRT(-2*LN(F2219))*COS(2*PI()*G2219),"")</f>
        <v/>
      </c>
      <c r="I2219">
        <f>IF(B2219,IF(D2219=0,H2219,Rho*I2218+SQRT(1-Rho^2)*H2219),"")</f>
        <v/>
      </c>
      <c r="J2219">
        <f>IF(B2219,IF(Dist="Normal",DistA+DistB*I2219,DistA+(DistB-DistA)*NORMSDIST(I2219)),"")</f>
        <v/>
      </c>
      <c r="K2219">
        <f>IF(B2219,INDEX(MineScale,C2219),"")</f>
        <v/>
      </c>
      <c r="L2219">
        <f>IF(B2219,INDEX(Dow,1,WEEKDAY(E2219,2)),"")</f>
        <v/>
      </c>
      <c r="M2219">
        <f>IF(B2219,(1+Trend)^D2219,"")</f>
        <v/>
      </c>
      <c r="N2219">
        <f>IF(B2219,EXP(SUMPRODUCT(LN(1+(EvEff-1)*INDEX(Affected,0,C2219)*EXP(-((E2219-EvCenter)^2)/(2*EvSigma^2))))),"")</f>
        <v/>
      </c>
      <c r="O2219">
        <f>IF(B2219,ROUND(MAX(0,J2219*K2219*L2219*M2219*N2219),2),"")</f>
        <v/>
      </c>
    </row>
    <row r="2220">
      <c r="A2220" t="n">
        <v>2219</v>
      </c>
      <c r="B2220">
        <f>A2220&lt;=MineCount*Days</f>
        <v/>
      </c>
      <c r="C2220">
        <f>IF(B2220,INT((A2220-1)/Days)+1,"")</f>
        <v/>
      </c>
      <c r="D2220">
        <f>IF(B2220,MOD(A2220-1,Days),"")</f>
        <v/>
      </c>
      <c r="E2220" s="16">
        <f>IF(B2220,StartDate+D2220,"")</f>
        <v/>
      </c>
      <c r="F2220">
        <f>IF(B2220,MAX(MOD(SIN(Seed*0.1373+C2220*12.9898+D2220*78.233)*43758.5453,1),1E-9),"")</f>
        <v/>
      </c>
      <c r="G2220">
        <f>IF(B2220,MOD(SIN(Seed*0.5917+C2220*39.3468+D2220*11.135)*24634.6345,1),"")</f>
        <v/>
      </c>
      <c r="H2220">
        <f>IF(B2220,SQRT(-2*LN(F2220))*COS(2*PI()*G2220),"")</f>
        <v/>
      </c>
      <c r="I2220">
        <f>IF(B2220,IF(D2220=0,H2220,Rho*I2219+SQRT(1-Rho^2)*H2220),"")</f>
        <v/>
      </c>
      <c r="J2220">
        <f>IF(B2220,IF(Dist="Normal",DistA+DistB*I2220,DistA+(DistB-DistA)*NORMSDIST(I2220)),"")</f>
        <v/>
      </c>
      <c r="K2220">
        <f>IF(B2220,INDEX(MineScale,C2220),"")</f>
        <v/>
      </c>
      <c r="L2220">
        <f>IF(B2220,INDEX(Dow,1,WEEKDAY(E2220,2)),"")</f>
        <v/>
      </c>
      <c r="M2220">
        <f>IF(B2220,(1+Trend)^D2220,"")</f>
        <v/>
      </c>
      <c r="N2220">
        <f>IF(B2220,EXP(SUMPRODUCT(LN(1+(EvEff-1)*INDEX(Affected,0,C2220)*EXP(-((E2220-EvCenter)^2)/(2*EvSigma^2))))),"")</f>
        <v/>
      </c>
      <c r="O2220">
        <f>IF(B2220,ROUND(MAX(0,J2220*K2220*L2220*M2220*N2220),2),"")</f>
        <v/>
      </c>
    </row>
    <row r="2221">
      <c r="A2221" t="n">
        <v>2220</v>
      </c>
      <c r="B2221">
        <f>A2221&lt;=MineCount*Days</f>
        <v/>
      </c>
      <c r="C2221">
        <f>IF(B2221,INT((A2221-1)/Days)+1,"")</f>
        <v/>
      </c>
      <c r="D2221">
        <f>IF(B2221,MOD(A2221-1,Days),"")</f>
        <v/>
      </c>
      <c r="E2221" s="16">
        <f>IF(B2221,StartDate+D2221,"")</f>
        <v/>
      </c>
      <c r="F2221">
        <f>IF(B2221,MAX(MOD(SIN(Seed*0.1373+C2221*12.9898+D2221*78.233)*43758.5453,1),1E-9),"")</f>
        <v/>
      </c>
      <c r="G2221">
        <f>IF(B2221,MOD(SIN(Seed*0.5917+C2221*39.3468+D2221*11.135)*24634.6345,1),"")</f>
        <v/>
      </c>
      <c r="H2221">
        <f>IF(B2221,SQRT(-2*LN(F2221))*COS(2*PI()*G2221),"")</f>
        <v/>
      </c>
      <c r="I2221">
        <f>IF(B2221,IF(D2221=0,H2221,Rho*I2220+SQRT(1-Rho^2)*H2221),"")</f>
        <v/>
      </c>
      <c r="J2221">
        <f>IF(B2221,IF(Dist="Normal",DistA+DistB*I2221,DistA+(DistB-DistA)*NORMSDIST(I2221)),"")</f>
        <v/>
      </c>
      <c r="K2221">
        <f>IF(B2221,INDEX(MineScale,C2221),"")</f>
        <v/>
      </c>
      <c r="L2221">
        <f>IF(B2221,INDEX(Dow,1,WEEKDAY(E2221,2)),"")</f>
        <v/>
      </c>
      <c r="M2221">
        <f>IF(B2221,(1+Trend)^D2221,"")</f>
        <v/>
      </c>
      <c r="N2221">
        <f>IF(B2221,EXP(SUMPRODUCT(LN(1+(EvEff-1)*INDEX(Affected,0,C2221)*EXP(-((E2221-EvCenter)^2)/(2*EvSigma^2))))),"")</f>
        <v/>
      </c>
      <c r="O2221">
        <f>IF(B2221,ROUND(MAX(0,J2221*K2221*L2221*M2221*N2221),2),"")</f>
        <v/>
      </c>
    </row>
    <row r="2222">
      <c r="A2222" t="n">
        <v>2221</v>
      </c>
      <c r="B2222">
        <f>A2222&lt;=MineCount*Days</f>
        <v/>
      </c>
      <c r="C2222">
        <f>IF(B2222,INT((A2222-1)/Days)+1,"")</f>
        <v/>
      </c>
      <c r="D2222">
        <f>IF(B2222,MOD(A2222-1,Days),"")</f>
        <v/>
      </c>
      <c r="E2222" s="16">
        <f>IF(B2222,StartDate+D2222,"")</f>
        <v/>
      </c>
      <c r="F2222">
        <f>IF(B2222,MAX(MOD(SIN(Seed*0.1373+C2222*12.9898+D2222*78.233)*43758.5453,1),1E-9),"")</f>
        <v/>
      </c>
      <c r="G2222">
        <f>IF(B2222,MOD(SIN(Seed*0.5917+C2222*39.3468+D2222*11.135)*24634.6345,1),"")</f>
        <v/>
      </c>
      <c r="H2222">
        <f>IF(B2222,SQRT(-2*LN(F2222))*COS(2*PI()*G2222),"")</f>
        <v/>
      </c>
      <c r="I2222">
        <f>IF(B2222,IF(D2222=0,H2222,Rho*I2221+SQRT(1-Rho^2)*H2222),"")</f>
        <v/>
      </c>
      <c r="J2222">
        <f>IF(B2222,IF(Dist="Normal",DistA+DistB*I2222,DistA+(DistB-DistA)*NORMSDIST(I2222)),"")</f>
        <v/>
      </c>
      <c r="K2222">
        <f>IF(B2222,INDEX(MineScale,C2222),"")</f>
        <v/>
      </c>
      <c r="L2222">
        <f>IF(B2222,INDEX(Dow,1,WEEKDAY(E2222,2)),"")</f>
        <v/>
      </c>
      <c r="M2222">
        <f>IF(B2222,(1+Trend)^D2222,"")</f>
        <v/>
      </c>
      <c r="N2222">
        <f>IF(B2222,EXP(SUMPRODUCT(LN(1+(EvEff-1)*INDEX(Affected,0,C2222)*EXP(-((E2222-EvCenter)^2)/(2*EvSigma^2))))),"")</f>
        <v/>
      </c>
      <c r="O2222">
        <f>IF(B2222,ROUND(MAX(0,J2222*K2222*L2222*M2222*N2222),2),"")</f>
        <v/>
      </c>
    </row>
    <row r="2223">
      <c r="A2223" t="n">
        <v>2222</v>
      </c>
      <c r="B2223">
        <f>A2223&lt;=MineCount*Days</f>
        <v/>
      </c>
      <c r="C2223">
        <f>IF(B2223,INT((A2223-1)/Days)+1,"")</f>
        <v/>
      </c>
      <c r="D2223">
        <f>IF(B2223,MOD(A2223-1,Days),"")</f>
        <v/>
      </c>
      <c r="E2223" s="16">
        <f>IF(B2223,StartDate+D2223,"")</f>
        <v/>
      </c>
      <c r="F2223">
        <f>IF(B2223,MAX(MOD(SIN(Seed*0.1373+C2223*12.9898+D2223*78.233)*43758.5453,1),1E-9),"")</f>
        <v/>
      </c>
      <c r="G2223">
        <f>IF(B2223,MOD(SIN(Seed*0.5917+C2223*39.3468+D2223*11.135)*24634.6345,1),"")</f>
        <v/>
      </c>
      <c r="H2223">
        <f>IF(B2223,SQRT(-2*LN(F2223))*COS(2*PI()*G2223),"")</f>
        <v/>
      </c>
      <c r="I2223">
        <f>IF(B2223,IF(D2223=0,H2223,Rho*I2222+SQRT(1-Rho^2)*H2223),"")</f>
        <v/>
      </c>
      <c r="J2223">
        <f>IF(B2223,IF(Dist="Normal",DistA+DistB*I2223,DistA+(DistB-DistA)*NORMSDIST(I2223)),"")</f>
        <v/>
      </c>
      <c r="K2223">
        <f>IF(B2223,INDEX(MineScale,C2223),"")</f>
        <v/>
      </c>
      <c r="L2223">
        <f>IF(B2223,INDEX(Dow,1,WEEKDAY(E2223,2)),"")</f>
        <v/>
      </c>
      <c r="M2223">
        <f>IF(B2223,(1+Trend)^D2223,"")</f>
        <v/>
      </c>
      <c r="N2223">
        <f>IF(B2223,EXP(SUMPRODUCT(LN(1+(EvEff-1)*INDEX(Affected,0,C2223)*EXP(-((E2223-EvCenter)^2)/(2*EvSigma^2))))),"")</f>
        <v/>
      </c>
      <c r="O2223">
        <f>IF(B2223,ROUND(MAX(0,J2223*K2223*L2223*M2223*N2223),2),"")</f>
        <v/>
      </c>
    </row>
    <row r="2224">
      <c r="A2224" t="n">
        <v>2223</v>
      </c>
      <c r="B2224">
        <f>A2224&lt;=MineCount*Days</f>
        <v/>
      </c>
      <c r="C2224">
        <f>IF(B2224,INT((A2224-1)/Days)+1,"")</f>
        <v/>
      </c>
      <c r="D2224">
        <f>IF(B2224,MOD(A2224-1,Days),"")</f>
        <v/>
      </c>
      <c r="E2224" s="16">
        <f>IF(B2224,StartDate+D2224,"")</f>
        <v/>
      </c>
      <c r="F2224">
        <f>IF(B2224,MAX(MOD(SIN(Seed*0.1373+C2224*12.9898+D2224*78.233)*43758.5453,1),1E-9),"")</f>
        <v/>
      </c>
      <c r="G2224">
        <f>IF(B2224,MOD(SIN(Seed*0.5917+C2224*39.3468+D2224*11.135)*24634.6345,1),"")</f>
        <v/>
      </c>
      <c r="H2224">
        <f>IF(B2224,SQRT(-2*LN(F2224))*COS(2*PI()*G2224),"")</f>
        <v/>
      </c>
      <c r="I2224">
        <f>IF(B2224,IF(D2224=0,H2224,Rho*I2223+SQRT(1-Rho^2)*H2224),"")</f>
        <v/>
      </c>
      <c r="J2224">
        <f>IF(B2224,IF(Dist="Normal",DistA+DistB*I2224,DistA+(DistB-DistA)*NORMSDIST(I2224)),"")</f>
        <v/>
      </c>
      <c r="K2224">
        <f>IF(B2224,INDEX(MineScale,C2224),"")</f>
        <v/>
      </c>
      <c r="L2224">
        <f>IF(B2224,INDEX(Dow,1,WEEKDAY(E2224,2)),"")</f>
        <v/>
      </c>
      <c r="M2224">
        <f>IF(B2224,(1+Trend)^D2224,"")</f>
        <v/>
      </c>
      <c r="N2224">
        <f>IF(B2224,EXP(SUMPRODUCT(LN(1+(EvEff-1)*INDEX(Affected,0,C2224)*EXP(-((E2224-EvCenter)^2)/(2*EvSigma^2))))),"")</f>
        <v/>
      </c>
      <c r="O2224">
        <f>IF(B2224,ROUND(MAX(0,J2224*K2224*L2224*M2224*N2224),2),"")</f>
        <v/>
      </c>
    </row>
    <row r="2225">
      <c r="A2225" t="n">
        <v>2224</v>
      </c>
      <c r="B2225">
        <f>A2225&lt;=MineCount*Days</f>
        <v/>
      </c>
      <c r="C2225">
        <f>IF(B2225,INT((A2225-1)/Days)+1,"")</f>
        <v/>
      </c>
      <c r="D2225">
        <f>IF(B2225,MOD(A2225-1,Days),"")</f>
        <v/>
      </c>
      <c r="E2225" s="16">
        <f>IF(B2225,StartDate+D2225,"")</f>
        <v/>
      </c>
      <c r="F2225">
        <f>IF(B2225,MAX(MOD(SIN(Seed*0.1373+C2225*12.9898+D2225*78.233)*43758.5453,1),1E-9),"")</f>
        <v/>
      </c>
      <c r="G2225">
        <f>IF(B2225,MOD(SIN(Seed*0.5917+C2225*39.3468+D2225*11.135)*24634.6345,1),"")</f>
        <v/>
      </c>
      <c r="H2225">
        <f>IF(B2225,SQRT(-2*LN(F2225))*COS(2*PI()*G2225),"")</f>
        <v/>
      </c>
      <c r="I2225">
        <f>IF(B2225,IF(D2225=0,H2225,Rho*I2224+SQRT(1-Rho^2)*H2225),"")</f>
        <v/>
      </c>
      <c r="J2225">
        <f>IF(B2225,IF(Dist="Normal",DistA+DistB*I2225,DistA+(DistB-DistA)*NORMSDIST(I2225)),"")</f>
        <v/>
      </c>
      <c r="K2225">
        <f>IF(B2225,INDEX(MineScale,C2225),"")</f>
        <v/>
      </c>
      <c r="L2225">
        <f>IF(B2225,INDEX(Dow,1,WEEKDAY(E2225,2)),"")</f>
        <v/>
      </c>
      <c r="M2225">
        <f>IF(B2225,(1+Trend)^D2225,"")</f>
        <v/>
      </c>
      <c r="N2225">
        <f>IF(B2225,EXP(SUMPRODUCT(LN(1+(EvEff-1)*INDEX(Affected,0,C2225)*EXP(-((E2225-EvCenter)^2)/(2*EvSigma^2))))),"")</f>
        <v/>
      </c>
      <c r="O2225">
        <f>IF(B2225,ROUND(MAX(0,J2225*K2225*L2225*M2225*N2225),2),"")</f>
        <v/>
      </c>
    </row>
    <row r="2226">
      <c r="A2226" t="n">
        <v>2225</v>
      </c>
      <c r="B2226">
        <f>A2226&lt;=MineCount*Days</f>
        <v/>
      </c>
      <c r="C2226">
        <f>IF(B2226,INT((A2226-1)/Days)+1,"")</f>
        <v/>
      </c>
      <c r="D2226">
        <f>IF(B2226,MOD(A2226-1,Days),"")</f>
        <v/>
      </c>
      <c r="E2226" s="16">
        <f>IF(B2226,StartDate+D2226,"")</f>
        <v/>
      </c>
      <c r="F2226">
        <f>IF(B2226,MAX(MOD(SIN(Seed*0.1373+C2226*12.9898+D2226*78.233)*43758.5453,1),1E-9),"")</f>
        <v/>
      </c>
      <c r="G2226">
        <f>IF(B2226,MOD(SIN(Seed*0.5917+C2226*39.3468+D2226*11.135)*24634.6345,1),"")</f>
        <v/>
      </c>
      <c r="H2226">
        <f>IF(B2226,SQRT(-2*LN(F2226))*COS(2*PI()*G2226),"")</f>
        <v/>
      </c>
      <c r="I2226">
        <f>IF(B2226,IF(D2226=0,H2226,Rho*I2225+SQRT(1-Rho^2)*H2226),"")</f>
        <v/>
      </c>
      <c r="J2226">
        <f>IF(B2226,IF(Dist="Normal",DistA+DistB*I2226,DistA+(DistB-DistA)*NORMSDIST(I2226)),"")</f>
        <v/>
      </c>
      <c r="K2226">
        <f>IF(B2226,INDEX(MineScale,C2226),"")</f>
        <v/>
      </c>
      <c r="L2226">
        <f>IF(B2226,INDEX(Dow,1,WEEKDAY(E2226,2)),"")</f>
        <v/>
      </c>
      <c r="M2226">
        <f>IF(B2226,(1+Trend)^D2226,"")</f>
        <v/>
      </c>
      <c r="N2226">
        <f>IF(B2226,EXP(SUMPRODUCT(LN(1+(EvEff-1)*INDEX(Affected,0,C2226)*EXP(-((E2226-EvCenter)^2)/(2*EvSigma^2))))),"")</f>
        <v/>
      </c>
      <c r="O2226">
        <f>IF(B2226,ROUND(MAX(0,J2226*K2226*L2226*M2226*N2226),2),"")</f>
        <v/>
      </c>
    </row>
    <row r="2227">
      <c r="A2227" t="n">
        <v>2226</v>
      </c>
      <c r="B2227">
        <f>A2227&lt;=MineCount*Days</f>
        <v/>
      </c>
      <c r="C2227">
        <f>IF(B2227,INT((A2227-1)/Days)+1,"")</f>
        <v/>
      </c>
      <c r="D2227">
        <f>IF(B2227,MOD(A2227-1,Days),"")</f>
        <v/>
      </c>
      <c r="E2227" s="16">
        <f>IF(B2227,StartDate+D2227,"")</f>
        <v/>
      </c>
      <c r="F2227">
        <f>IF(B2227,MAX(MOD(SIN(Seed*0.1373+C2227*12.9898+D2227*78.233)*43758.5453,1),1E-9),"")</f>
        <v/>
      </c>
      <c r="G2227">
        <f>IF(B2227,MOD(SIN(Seed*0.5917+C2227*39.3468+D2227*11.135)*24634.6345,1),"")</f>
        <v/>
      </c>
      <c r="H2227">
        <f>IF(B2227,SQRT(-2*LN(F2227))*COS(2*PI()*G2227),"")</f>
        <v/>
      </c>
      <c r="I2227">
        <f>IF(B2227,IF(D2227=0,H2227,Rho*I2226+SQRT(1-Rho^2)*H2227),"")</f>
        <v/>
      </c>
      <c r="J2227">
        <f>IF(B2227,IF(Dist="Normal",DistA+DistB*I2227,DistA+(DistB-DistA)*NORMSDIST(I2227)),"")</f>
        <v/>
      </c>
      <c r="K2227">
        <f>IF(B2227,INDEX(MineScale,C2227),"")</f>
        <v/>
      </c>
      <c r="L2227">
        <f>IF(B2227,INDEX(Dow,1,WEEKDAY(E2227,2)),"")</f>
        <v/>
      </c>
      <c r="M2227">
        <f>IF(B2227,(1+Trend)^D2227,"")</f>
        <v/>
      </c>
      <c r="N2227">
        <f>IF(B2227,EXP(SUMPRODUCT(LN(1+(EvEff-1)*INDEX(Affected,0,C2227)*EXP(-((E2227-EvCenter)^2)/(2*EvSigma^2))))),"")</f>
        <v/>
      </c>
      <c r="O2227">
        <f>IF(B2227,ROUND(MAX(0,J2227*K2227*L2227*M2227*N2227),2),"")</f>
        <v/>
      </c>
    </row>
    <row r="2228">
      <c r="A2228" t="n">
        <v>2227</v>
      </c>
      <c r="B2228">
        <f>A2228&lt;=MineCount*Days</f>
        <v/>
      </c>
      <c r="C2228">
        <f>IF(B2228,INT((A2228-1)/Days)+1,"")</f>
        <v/>
      </c>
      <c r="D2228">
        <f>IF(B2228,MOD(A2228-1,Days),"")</f>
        <v/>
      </c>
      <c r="E2228" s="16">
        <f>IF(B2228,StartDate+D2228,"")</f>
        <v/>
      </c>
      <c r="F2228">
        <f>IF(B2228,MAX(MOD(SIN(Seed*0.1373+C2228*12.9898+D2228*78.233)*43758.5453,1),1E-9),"")</f>
        <v/>
      </c>
      <c r="G2228">
        <f>IF(B2228,MOD(SIN(Seed*0.5917+C2228*39.3468+D2228*11.135)*24634.6345,1),"")</f>
        <v/>
      </c>
      <c r="H2228">
        <f>IF(B2228,SQRT(-2*LN(F2228))*COS(2*PI()*G2228),"")</f>
        <v/>
      </c>
      <c r="I2228">
        <f>IF(B2228,IF(D2228=0,H2228,Rho*I2227+SQRT(1-Rho^2)*H2228),"")</f>
        <v/>
      </c>
      <c r="J2228">
        <f>IF(B2228,IF(Dist="Normal",DistA+DistB*I2228,DistA+(DistB-DistA)*NORMSDIST(I2228)),"")</f>
        <v/>
      </c>
      <c r="K2228">
        <f>IF(B2228,INDEX(MineScale,C2228),"")</f>
        <v/>
      </c>
      <c r="L2228">
        <f>IF(B2228,INDEX(Dow,1,WEEKDAY(E2228,2)),"")</f>
        <v/>
      </c>
      <c r="M2228">
        <f>IF(B2228,(1+Trend)^D2228,"")</f>
        <v/>
      </c>
      <c r="N2228">
        <f>IF(B2228,EXP(SUMPRODUCT(LN(1+(EvEff-1)*INDEX(Affected,0,C2228)*EXP(-((E2228-EvCenter)^2)/(2*EvSigma^2))))),"")</f>
        <v/>
      </c>
      <c r="O2228">
        <f>IF(B2228,ROUND(MAX(0,J2228*K2228*L2228*M2228*N2228),2),"")</f>
        <v/>
      </c>
    </row>
    <row r="2229">
      <c r="A2229" t="n">
        <v>2228</v>
      </c>
      <c r="B2229">
        <f>A2229&lt;=MineCount*Days</f>
        <v/>
      </c>
      <c r="C2229">
        <f>IF(B2229,INT((A2229-1)/Days)+1,"")</f>
        <v/>
      </c>
      <c r="D2229">
        <f>IF(B2229,MOD(A2229-1,Days),"")</f>
        <v/>
      </c>
      <c r="E2229" s="16">
        <f>IF(B2229,StartDate+D2229,"")</f>
        <v/>
      </c>
      <c r="F2229">
        <f>IF(B2229,MAX(MOD(SIN(Seed*0.1373+C2229*12.9898+D2229*78.233)*43758.5453,1),1E-9),"")</f>
        <v/>
      </c>
      <c r="G2229">
        <f>IF(B2229,MOD(SIN(Seed*0.5917+C2229*39.3468+D2229*11.135)*24634.6345,1),"")</f>
        <v/>
      </c>
      <c r="H2229">
        <f>IF(B2229,SQRT(-2*LN(F2229))*COS(2*PI()*G2229),"")</f>
        <v/>
      </c>
      <c r="I2229">
        <f>IF(B2229,IF(D2229=0,H2229,Rho*I2228+SQRT(1-Rho^2)*H2229),"")</f>
        <v/>
      </c>
      <c r="J2229">
        <f>IF(B2229,IF(Dist="Normal",DistA+DistB*I2229,DistA+(DistB-DistA)*NORMSDIST(I2229)),"")</f>
        <v/>
      </c>
      <c r="K2229">
        <f>IF(B2229,INDEX(MineScale,C2229),"")</f>
        <v/>
      </c>
      <c r="L2229">
        <f>IF(B2229,INDEX(Dow,1,WEEKDAY(E2229,2)),"")</f>
        <v/>
      </c>
      <c r="M2229">
        <f>IF(B2229,(1+Trend)^D2229,"")</f>
        <v/>
      </c>
      <c r="N2229">
        <f>IF(B2229,EXP(SUMPRODUCT(LN(1+(EvEff-1)*INDEX(Affected,0,C2229)*EXP(-((E2229-EvCenter)^2)/(2*EvSigma^2))))),"")</f>
        <v/>
      </c>
      <c r="O2229">
        <f>IF(B2229,ROUND(MAX(0,J2229*K2229*L2229*M2229*N2229),2),"")</f>
        <v/>
      </c>
    </row>
    <row r="2230">
      <c r="A2230" t="n">
        <v>2229</v>
      </c>
      <c r="B2230">
        <f>A2230&lt;=MineCount*Days</f>
        <v/>
      </c>
      <c r="C2230">
        <f>IF(B2230,INT((A2230-1)/Days)+1,"")</f>
        <v/>
      </c>
      <c r="D2230">
        <f>IF(B2230,MOD(A2230-1,Days),"")</f>
        <v/>
      </c>
      <c r="E2230" s="16">
        <f>IF(B2230,StartDate+D2230,"")</f>
        <v/>
      </c>
      <c r="F2230">
        <f>IF(B2230,MAX(MOD(SIN(Seed*0.1373+C2230*12.9898+D2230*78.233)*43758.5453,1),1E-9),"")</f>
        <v/>
      </c>
      <c r="G2230">
        <f>IF(B2230,MOD(SIN(Seed*0.5917+C2230*39.3468+D2230*11.135)*24634.6345,1),"")</f>
        <v/>
      </c>
      <c r="H2230">
        <f>IF(B2230,SQRT(-2*LN(F2230))*COS(2*PI()*G2230),"")</f>
        <v/>
      </c>
      <c r="I2230">
        <f>IF(B2230,IF(D2230=0,H2230,Rho*I2229+SQRT(1-Rho^2)*H2230),"")</f>
        <v/>
      </c>
      <c r="J2230">
        <f>IF(B2230,IF(Dist="Normal",DistA+DistB*I2230,DistA+(DistB-DistA)*NORMSDIST(I2230)),"")</f>
        <v/>
      </c>
      <c r="K2230">
        <f>IF(B2230,INDEX(MineScale,C2230),"")</f>
        <v/>
      </c>
      <c r="L2230">
        <f>IF(B2230,INDEX(Dow,1,WEEKDAY(E2230,2)),"")</f>
        <v/>
      </c>
      <c r="M2230">
        <f>IF(B2230,(1+Trend)^D2230,"")</f>
        <v/>
      </c>
      <c r="N2230">
        <f>IF(B2230,EXP(SUMPRODUCT(LN(1+(EvEff-1)*INDEX(Affected,0,C2230)*EXP(-((E2230-EvCenter)^2)/(2*EvSigma^2))))),"")</f>
        <v/>
      </c>
      <c r="O2230">
        <f>IF(B2230,ROUND(MAX(0,J2230*K2230*L2230*M2230*N2230),2),"")</f>
        <v/>
      </c>
    </row>
    <row r="2231">
      <c r="A2231" t="n">
        <v>2230</v>
      </c>
      <c r="B2231">
        <f>A2231&lt;=MineCount*Days</f>
        <v/>
      </c>
      <c r="C2231">
        <f>IF(B2231,INT((A2231-1)/Days)+1,"")</f>
        <v/>
      </c>
      <c r="D2231">
        <f>IF(B2231,MOD(A2231-1,Days),"")</f>
        <v/>
      </c>
      <c r="E2231" s="16">
        <f>IF(B2231,StartDate+D2231,"")</f>
        <v/>
      </c>
      <c r="F2231">
        <f>IF(B2231,MAX(MOD(SIN(Seed*0.1373+C2231*12.9898+D2231*78.233)*43758.5453,1),1E-9),"")</f>
        <v/>
      </c>
      <c r="G2231">
        <f>IF(B2231,MOD(SIN(Seed*0.5917+C2231*39.3468+D2231*11.135)*24634.6345,1),"")</f>
        <v/>
      </c>
      <c r="H2231">
        <f>IF(B2231,SQRT(-2*LN(F2231))*COS(2*PI()*G2231),"")</f>
        <v/>
      </c>
      <c r="I2231">
        <f>IF(B2231,IF(D2231=0,H2231,Rho*I2230+SQRT(1-Rho^2)*H2231),"")</f>
        <v/>
      </c>
      <c r="J2231">
        <f>IF(B2231,IF(Dist="Normal",DistA+DistB*I2231,DistA+(DistB-DistA)*NORMSDIST(I2231)),"")</f>
        <v/>
      </c>
      <c r="K2231">
        <f>IF(B2231,INDEX(MineScale,C2231),"")</f>
        <v/>
      </c>
      <c r="L2231">
        <f>IF(B2231,INDEX(Dow,1,WEEKDAY(E2231,2)),"")</f>
        <v/>
      </c>
      <c r="M2231">
        <f>IF(B2231,(1+Trend)^D2231,"")</f>
        <v/>
      </c>
      <c r="N2231">
        <f>IF(B2231,EXP(SUMPRODUCT(LN(1+(EvEff-1)*INDEX(Affected,0,C2231)*EXP(-((E2231-EvCenter)^2)/(2*EvSigma^2))))),"")</f>
        <v/>
      </c>
      <c r="O2231">
        <f>IF(B2231,ROUND(MAX(0,J2231*K2231*L2231*M2231*N2231),2),"")</f>
        <v/>
      </c>
    </row>
    <row r="2232">
      <c r="A2232" t="n">
        <v>2231</v>
      </c>
      <c r="B2232">
        <f>A2232&lt;=MineCount*Days</f>
        <v/>
      </c>
      <c r="C2232">
        <f>IF(B2232,INT((A2232-1)/Days)+1,"")</f>
        <v/>
      </c>
      <c r="D2232">
        <f>IF(B2232,MOD(A2232-1,Days),"")</f>
        <v/>
      </c>
      <c r="E2232" s="16">
        <f>IF(B2232,StartDate+D2232,"")</f>
        <v/>
      </c>
      <c r="F2232">
        <f>IF(B2232,MAX(MOD(SIN(Seed*0.1373+C2232*12.9898+D2232*78.233)*43758.5453,1),1E-9),"")</f>
        <v/>
      </c>
      <c r="G2232">
        <f>IF(B2232,MOD(SIN(Seed*0.5917+C2232*39.3468+D2232*11.135)*24634.6345,1),"")</f>
        <v/>
      </c>
      <c r="H2232">
        <f>IF(B2232,SQRT(-2*LN(F2232))*COS(2*PI()*G2232),"")</f>
        <v/>
      </c>
      <c r="I2232">
        <f>IF(B2232,IF(D2232=0,H2232,Rho*I2231+SQRT(1-Rho^2)*H2232),"")</f>
        <v/>
      </c>
      <c r="J2232">
        <f>IF(B2232,IF(Dist="Normal",DistA+DistB*I2232,DistA+(DistB-DistA)*NORMSDIST(I2232)),"")</f>
        <v/>
      </c>
      <c r="K2232">
        <f>IF(B2232,INDEX(MineScale,C2232),"")</f>
        <v/>
      </c>
      <c r="L2232">
        <f>IF(B2232,INDEX(Dow,1,WEEKDAY(E2232,2)),"")</f>
        <v/>
      </c>
      <c r="M2232">
        <f>IF(B2232,(1+Trend)^D2232,"")</f>
        <v/>
      </c>
      <c r="N2232">
        <f>IF(B2232,EXP(SUMPRODUCT(LN(1+(EvEff-1)*INDEX(Affected,0,C2232)*EXP(-((E2232-EvCenter)^2)/(2*EvSigma^2))))),"")</f>
        <v/>
      </c>
      <c r="O2232">
        <f>IF(B2232,ROUND(MAX(0,J2232*K2232*L2232*M2232*N2232),2),"")</f>
        <v/>
      </c>
    </row>
    <row r="2233">
      <c r="A2233" t="n">
        <v>2232</v>
      </c>
      <c r="B2233">
        <f>A2233&lt;=MineCount*Days</f>
        <v/>
      </c>
      <c r="C2233">
        <f>IF(B2233,INT((A2233-1)/Days)+1,"")</f>
        <v/>
      </c>
      <c r="D2233">
        <f>IF(B2233,MOD(A2233-1,Days),"")</f>
        <v/>
      </c>
      <c r="E2233" s="16">
        <f>IF(B2233,StartDate+D2233,"")</f>
        <v/>
      </c>
      <c r="F2233">
        <f>IF(B2233,MAX(MOD(SIN(Seed*0.1373+C2233*12.9898+D2233*78.233)*43758.5453,1),1E-9),"")</f>
        <v/>
      </c>
      <c r="G2233">
        <f>IF(B2233,MOD(SIN(Seed*0.5917+C2233*39.3468+D2233*11.135)*24634.6345,1),"")</f>
        <v/>
      </c>
      <c r="H2233">
        <f>IF(B2233,SQRT(-2*LN(F2233))*COS(2*PI()*G2233),"")</f>
        <v/>
      </c>
      <c r="I2233">
        <f>IF(B2233,IF(D2233=0,H2233,Rho*I2232+SQRT(1-Rho^2)*H2233),"")</f>
        <v/>
      </c>
      <c r="J2233">
        <f>IF(B2233,IF(Dist="Normal",DistA+DistB*I2233,DistA+(DistB-DistA)*NORMSDIST(I2233)),"")</f>
        <v/>
      </c>
      <c r="K2233">
        <f>IF(B2233,INDEX(MineScale,C2233),"")</f>
        <v/>
      </c>
      <c r="L2233">
        <f>IF(B2233,INDEX(Dow,1,WEEKDAY(E2233,2)),"")</f>
        <v/>
      </c>
      <c r="M2233">
        <f>IF(B2233,(1+Trend)^D2233,"")</f>
        <v/>
      </c>
      <c r="N2233">
        <f>IF(B2233,EXP(SUMPRODUCT(LN(1+(EvEff-1)*INDEX(Affected,0,C2233)*EXP(-((E2233-EvCenter)^2)/(2*EvSigma^2))))),"")</f>
        <v/>
      </c>
      <c r="O2233">
        <f>IF(B2233,ROUND(MAX(0,J2233*K2233*L2233*M2233*N2233),2),"")</f>
        <v/>
      </c>
    </row>
    <row r="2234">
      <c r="A2234" t="n">
        <v>2233</v>
      </c>
      <c r="B2234">
        <f>A2234&lt;=MineCount*Days</f>
        <v/>
      </c>
      <c r="C2234">
        <f>IF(B2234,INT((A2234-1)/Days)+1,"")</f>
        <v/>
      </c>
      <c r="D2234">
        <f>IF(B2234,MOD(A2234-1,Days),"")</f>
        <v/>
      </c>
      <c r="E2234" s="16">
        <f>IF(B2234,StartDate+D2234,"")</f>
        <v/>
      </c>
      <c r="F2234">
        <f>IF(B2234,MAX(MOD(SIN(Seed*0.1373+C2234*12.9898+D2234*78.233)*43758.5453,1),1E-9),"")</f>
        <v/>
      </c>
      <c r="G2234">
        <f>IF(B2234,MOD(SIN(Seed*0.5917+C2234*39.3468+D2234*11.135)*24634.6345,1),"")</f>
        <v/>
      </c>
      <c r="H2234">
        <f>IF(B2234,SQRT(-2*LN(F2234))*COS(2*PI()*G2234),"")</f>
        <v/>
      </c>
      <c r="I2234">
        <f>IF(B2234,IF(D2234=0,H2234,Rho*I2233+SQRT(1-Rho^2)*H2234),"")</f>
        <v/>
      </c>
      <c r="J2234">
        <f>IF(B2234,IF(Dist="Normal",DistA+DistB*I2234,DistA+(DistB-DistA)*NORMSDIST(I2234)),"")</f>
        <v/>
      </c>
      <c r="K2234">
        <f>IF(B2234,INDEX(MineScale,C2234),"")</f>
        <v/>
      </c>
      <c r="L2234">
        <f>IF(B2234,INDEX(Dow,1,WEEKDAY(E2234,2)),"")</f>
        <v/>
      </c>
      <c r="M2234">
        <f>IF(B2234,(1+Trend)^D2234,"")</f>
        <v/>
      </c>
      <c r="N2234">
        <f>IF(B2234,EXP(SUMPRODUCT(LN(1+(EvEff-1)*INDEX(Affected,0,C2234)*EXP(-((E2234-EvCenter)^2)/(2*EvSigma^2))))),"")</f>
        <v/>
      </c>
      <c r="O2234">
        <f>IF(B2234,ROUND(MAX(0,J2234*K2234*L2234*M2234*N2234),2),"")</f>
        <v/>
      </c>
    </row>
    <row r="2235">
      <c r="A2235" t="n">
        <v>2234</v>
      </c>
      <c r="B2235">
        <f>A2235&lt;=MineCount*Days</f>
        <v/>
      </c>
      <c r="C2235">
        <f>IF(B2235,INT((A2235-1)/Days)+1,"")</f>
        <v/>
      </c>
      <c r="D2235">
        <f>IF(B2235,MOD(A2235-1,Days),"")</f>
        <v/>
      </c>
      <c r="E2235" s="16">
        <f>IF(B2235,StartDate+D2235,"")</f>
        <v/>
      </c>
      <c r="F2235">
        <f>IF(B2235,MAX(MOD(SIN(Seed*0.1373+C2235*12.9898+D2235*78.233)*43758.5453,1),1E-9),"")</f>
        <v/>
      </c>
      <c r="G2235">
        <f>IF(B2235,MOD(SIN(Seed*0.5917+C2235*39.3468+D2235*11.135)*24634.6345,1),"")</f>
        <v/>
      </c>
      <c r="H2235">
        <f>IF(B2235,SQRT(-2*LN(F2235))*COS(2*PI()*G2235),"")</f>
        <v/>
      </c>
      <c r="I2235">
        <f>IF(B2235,IF(D2235=0,H2235,Rho*I2234+SQRT(1-Rho^2)*H2235),"")</f>
        <v/>
      </c>
      <c r="J2235">
        <f>IF(B2235,IF(Dist="Normal",DistA+DistB*I2235,DistA+(DistB-DistA)*NORMSDIST(I2235)),"")</f>
        <v/>
      </c>
      <c r="K2235">
        <f>IF(B2235,INDEX(MineScale,C2235),"")</f>
        <v/>
      </c>
      <c r="L2235">
        <f>IF(B2235,INDEX(Dow,1,WEEKDAY(E2235,2)),"")</f>
        <v/>
      </c>
      <c r="M2235">
        <f>IF(B2235,(1+Trend)^D2235,"")</f>
        <v/>
      </c>
      <c r="N2235">
        <f>IF(B2235,EXP(SUMPRODUCT(LN(1+(EvEff-1)*INDEX(Affected,0,C2235)*EXP(-((E2235-EvCenter)^2)/(2*EvSigma^2))))),"")</f>
        <v/>
      </c>
      <c r="O2235">
        <f>IF(B2235,ROUND(MAX(0,J2235*K2235*L2235*M2235*N2235),2),"")</f>
        <v/>
      </c>
    </row>
    <row r="2236">
      <c r="A2236" t="n">
        <v>2235</v>
      </c>
      <c r="B2236">
        <f>A2236&lt;=MineCount*Days</f>
        <v/>
      </c>
      <c r="C2236">
        <f>IF(B2236,INT((A2236-1)/Days)+1,"")</f>
        <v/>
      </c>
      <c r="D2236">
        <f>IF(B2236,MOD(A2236-1,Days),"")</f>
        <v/>
      </c>
      <c r="E2236" s="16">
        <f>IF(B2236,StartDate+D2236,"")</f>
        <v/>
      </c>
      <c r="F2236">
        <f>IF(B2236,MAX(MOD(SIN(Seed*0.1373+C2236*12.9898+D2236*78.233)*43758.5453,1),1E-9),"")</f>
        <v/>
      </c>
      <c r="G2236">
        <f>IF(B2236,MOD(SIN(Seed*0.5917+C2236*39.3468+D2236*11.135)*24634.6345,1),"")</f>
        <v/>
      </c>
      <c r="H2236">
        <f>IF(B2236,SQRT(-2*LN(F2236))*COS(2*PI()*G2236),"")</f>
        <v/>
      </c>
      <c r="I2236">
        <f>IF(B2236,IF(D2236=0,H2236,Rho*I2235+SQRT(1-Rho^2)*H2236),"")</f>
        <v/>
      </c>
      <c r="J2236">
        <f>IF(B2236,IF(Dist="Normal",DistA+DistB*I2236,DistA+(DistB-DistA)*NORMSDIST(I2236)),"")</f>
        <v/>
      </c>
      <c r="K2236">
        <f>IF(B2236,INDEX(MineScale,C2236),"")</f>
        <v/>
      </c>
      <c r="L2236">
        <f>IF(B2236,INDEX(Dow,1,WEEKDAY(E2236,2)),"")</f>
        <v/>
      </c>
      <c r="M2236">
        <f>IF(B2236,(1+Trend)^D2236,"")</f>
        <v/>
      </c>
      <c r="N2236">
        <f>IF(B2236,EXP(SUMPRODUCT(LN(1+(EvEff-1)*INDEX(Affected,0,C2236)*EXP(-((E2236-EvCenter)^2)/(2*EvSigma^2))))),"")</f>
        <v/>
      </c>
      <c r="O2236">
        <f>IF(B2236,ROUND(MAX(0,J2236*K2236*L2236*M2236*N2236),2),"")</f>
        <v/>
      </c>
    </row>
    <row r="2237">
      <c r="A2237" t="n">
        <v>2236</v>
      </c>
      <c r="B2237">
        <f>A2237&lt;=MineCount*Days</f>
        <v/>
      </c>
      <c r="C2237">
        <f>IF(B2237,INT((A2237-1)/Days)+1,"")</f>
        <v/>
      </c>
      <c r="D2237">
        <f>IF(B2237,MOD(A2237-1,Days),"")</f>
        <v/>
      </c>
      <c r="E2237" s="16">
        <f>IF(B2237,StartDate+D2237,"")</f>
        <v/>
      </c>
      <c r="F2237">
        <f>IF(B2237,MAX(MOD(SIN(Seed*0.1373+C2237*12.9898+D2237*78.233)*43758.5453,1),1E-9),"")</f>
        <v/>
      </c>
      <c r="G2237">
        <f>IF(B2237,MOD(SIN(Seed*0.5917+C2237*39.3468+D2237*11.135)*24634.6345,1),"")</f>
        <v/>
      </c>
      <c r="H2237">
        <f>IF(B2237,SQRT(-2*LN(F2237))*COS(2*PI()*G2237),"")</f>
        <v/>
      </c>
      <c r="I2237">
        <f>IF(B2237,IF(D2237=0,H2237,Rho*I2236+SQRT(1-Rho^2)*H2237),"")</f>
        <v/>
      </c>
      <c r="J2237">
        <f>IF(B2237,IF(Dist="Normal",DistA+DistB*I2237,DistA+(DistB-DistA)*NORMSDIST(I2237)),"")</f>
        <v/>
      </c>
      <c r="K2237">
        <f>IF(B2237,INDEX(MineScale,C2237),"")</f>
        <v/>
      </c>
      <c r="L2237">
        <f>IF(B2237,INDEX(Dow,1,WEEKDAY(E2237,2)),"")</f>
        <v/>
      </c>
      <c r="M2237">
        <f>IF(B2237,(1+Trend)^D2237,"")</f>
        <v/>
      </c>
      <c r="N2237">
        <f>IF(B2237,EXP(SUMPRODUCT(LN(1+(EvEff-1)*INDEX(Affected,0,C2237)*EXP(-((E2237-EvCenter)^2)/(2*EvSigma^2))))),"")</f>
        <v/>
      </c>
      <c r="O2237">
        <f>IF(B2237,ROUND(MAX(0,J2237*K2237*L2237*M2237*N2237),2),"")</f>
        <v/>
      </c>
    </row>
    <row r="2238">
      <c r="A2238" t="n">
        <v>2237</v>
      </c>
      <c r="B2238">
        <f>A2238&lt;=MineCount*Days</f>
        <v/>
      </c>
      <c r="C2238">
        <f>IF(B2238,INT((A2238-1)/Days)+1,"")</f>
        <v/>
      </c>
      <c r="D2238">
        <f>IF(B2238,MOD(A2238-1,Days),"")</f>
        <v/>
      </c>
      <c r="E2238" s="16">
        <f>IF(B2238,StartDate+D2238,"")</f>
        <v/>
      </c>
      <c r="F2238">
        <f>IF(B2238,MAX(MOD(SIN(Seed*0.1373+C2238*12.9898+D2238*78.233)*43758.5453,1),1E-9),"")</f>
        <v/>
      </c>
      <c r="G2238">
        <f>IF(B2238,MOD(SIN(Seed*0.5917+C2238*39.3468+D2238*11.135)*24634.6345,1),"")</f>
        <v/>
      </c>
      <c r="H2238">
        <f>IF(B2238,SQRT(-2*LN(F2238))*COS(2*PI()*G2238),"")</f>
        <v/>
      </c>
      <c r="I2238">
        <f>IF(B2238,IF(D2238=0,H2238,Rho*I2237+SQRT(1-Rho^2)*H2238),"")</f>
        <v/>
      </c>
      <c r="J2238">
        <f>IF(B2238,IF(Dist="Normal",DistA+DistB*I2238,DistA+(DistB-DistA)*NORMSDIST(I2238)),"")</f>
        <v/>
      </c>
      <c r="K2238">
        <f>IF(B2238,INDEX(MineScale,C2238),"")</f>
        <v/>
      </c>
      <c r="L2238">
        <f>IF(B2238,INDEX(Dow,1,WEEKDAY(E2238,2)),"")</f>
        <v/>
      </c>
      <c r="M2238">
        <f>IF(B2238,(1+Trend)^D2238,"")</f>
        <v/>
      </c>
      <c r="N2238">
        <f>IF(B2238,EXP(SUMPRODUCT(LN(1+(EvEff-1)*INDEX(Affected,0,C2238)*EXP(-((E2238-EvCenter)^2)/(2*EvSigma^2))))),"")</f>
        <v/>
      </c>
      <c r="O2238">
        <f>IF(B2238,ROUND(MAX(0,J2238*K2238*L2238*M2238*N2238),2),"")</f>
        <v/>
      </c>
    </row>
    <row r="2239">
      <c r="A2239" t="n">
        <v>2238</v>
      </c>
      <c r="B2239">
        <f>A2239&lt;=MineCount*Days</f>
        <v/>
      </c>
      <c r="C2239">
        <f>IF(B2239,INT((A2239-1)/Days)+1,"")</f>
        <v/>
      </c>
      <c r="D2239">
        <f>IF(B2239,MOD(A2239-1,Days),"")</f>
        <v/>
      </c>
      <c r="E2239" s="16">
        <f>IF(B2239,StartDate+D2239,"")</f>
        <v/>
      </c>
      <c r="F2239">
        <f>IF(B2239,MAX(MOD(SIN(Seed*0.1373+C2239*12.9898+D2239*78.233)*43758.5453,1),1E-9),"")</f>
        <v/>
      </c>
      <c r="G2239">
        <f>IF(B2239,MOD(SIN(Seed*0.5917+C2239*39.3468+D2239*11.135)*24634.6345,1),"")</f>
        <v/>
      </c>
      <c r="H2239">
        <f>IF(B2239,SQRT(-2*LN(F2239))*COS(2*PI()*G2239),"")</f>
        <v/>
      </c>
      <c r="I2239">
        <f>IF(B2239,IF(D2239=0,H2239,Rho*I2238+SQRT(1-Rho^2)*H2239),"")</f>
        <v/>
      </c>
      <c r="J2239">
        <f>IF(B2239,IF(Dist="Normal",DistA+DistB*I2239,DistA+(DistB-DistA)*NORMSDIST(I2239)),"")</f>
        <v/>
      </c>
      <c r="K2239">
        <f>IF(B2239,INDEX(MineScale,C2239),"")</f>
        <v/>
      </c>
      <c r="L2239">
        <f>IF(B2239,INDEX(Dow,1,WEEKDAY(E2239,2)),"")</f>
        <v/>
      </c>
      <c r="M2239">
        <f>IF(B2239,(1+Trend)^D2239,"")</f>
        <v/>
      </c>
      <c r="N2239">
        <f>IF(B2239,EXP(SUMPRODUCT(LN(1+(EvEff-1)*INDEX(Affected,0,C2239)*EXP(-((E2239-EvCenter)^2)/(2*EvSigma^2))))),"")</f>
        <v/>
      </c>
      <c r="O2239">
        <f>IF(B2239,ROUND(MAX(0,J2239*K2239*L2239*M2239*N2239),2),"")</f>
        <v/>
      </c>
    </row>
    <row r="2240">
      <c r="A2240" t="n">
        <v>2239</v>
      </c>
      <c r="B2240">
        <f>A2240&lt;=MineCount*Days</f>
        <v/>
      </c>
      <c r="C2240">
        <f>IF(B2240,INT((A2240-1)/Days)+1,"")</f>
        <v/>
      </c>
      <c r="D2240">
        <f>IF(B2240,MOD(A2240-1,Days),"")</f>
        <v/>
      </c>
      <c r="E2240" s="16">
        <f>IF(B2240,StartDate+D2240,"")</f>
        <v/>
      </c>
      <c r="F2240">
        <f>IF(B2240,MAX(MOD(SIN(Seed*0.1373+C2240*12.9898+D2240*78.233)*43758.5453,1),1E-9),"")</f>
        <v/>
      </c>
      <c r="G2240">
        <f>IF(B2240,MOD(SIN(Seed*0.5917+C2240*39.3468+D2240*11.135)*24634.6345,1),"")</f>
        <v/>
      </c>
      <c r="H2240">
        <f>IF(B2240,SQRT(-2*LN(F2240))*COS(2*PI()*G2240),"")</f>
        <v/>
      </c>
      <c r="I2240">
        <f>IF(B2240,IF(D2240=0,H2240,Rho*I2239+SQRT(1-Rho^2)*H2240),"")</f>
        <v/>
      </c>
      <c r="J2240">
        <f>IF(B2240,IF(Dist="Normal",DistA+DistB*I2240,DistA+(DistB-DistA)*NORMSDIST(I2240)),"")</f>
        <v/>
      </c>
      <c r="K2240">
        <f>IF(B2240,INDEX(MineScale,C2240),"")</f>
        <v/>
      </c>
      <c r="L2240">
        <f>IF(B2240,INDEX(Dow,1,WEEKDAY(E2240,2)),"")</f>
        <v/>
      </c>
      <c r="M2240">
        <f>IF(B2240,(1+Trend)^D2240,"")</f>
        <v/>
      </c>
      <c r="N2240">
        <f>IF(B2240,EXP(SUMPRODUCT(LN(1+(EvEff-1)*INDEX(Affected,0,C2240)*EXP(-((E2240-EvCenter)^2)/(2*EvSigma^2))))),"")</f>
        <v/>
      </c>
      <c r="O2240">
        <f>IF(B2240,ROUND(MAX(0,J2240*K2240*L2240*M2240*N2240),2),"")</f>
        <v/>
      </c>
    </row>
    <row r="2241">
      <c r="A2241" t="n">
        <v>2240</v>
      </c>
      <c r="B2241">
        <f>A2241&lt;=MineCount*Days</f>
        <v/>
      </c>
      <c r="C2241">
        <f>IF(B2241,INT((A2241-1)/Days)+1,"")</f>
        <v/>
      </c>
      <c r="D2241">
        <f>IF(B2241,MOD(A2241-1,Days),"")</f>
        <v/>
      </c>
      <c r="E2241" s="16">
        <f>IF(B2241,StartDate+D2241,"")</f>
        <v/>
      </c>
      <c r="F2241">
        <f>IF(B2241,MAX(MOD(SIN(Seed*0.1373+C2241*12.9898+D2241*78.233)*43758.5453,1),1E-9),"")</f>
        <v/>
      </c>
      <c r="G2241">
        <f>IF(B2241,MOD(SIN(Seed*0.5917+C2241*39.3468+D2241*11.135)*24634.6345,1),"")</f>
        <v/>
      </c>
      <c r="H2241">
        <f>IF(B2241,SQRT(-2*LN(F2241))*COS(2*PI()*G2241),"")</f>
        <v/>
      </c>
      <c r="I2241">
        <f>IF(B2241,IF(D2241=0,H2241,Rho*I2240+SQRT(1-Rho^2)*H2241),"")</f>
        <v/>
      </c>
      <c r="J2241">
        <f>IF(B2241,IF(Dist="Normal",DistA+DistB*I2241,DistA+(DistB-DistA)*NORMSDIST(I2241)),"")</f>
        <v/>
      </c>
      <c r="K2241">
        <f>IF(B2241,INDEX(MineScale,C2241),"")</f>
        <v/>
      </c>
      <c r="L2241">
        <f>IF(B2241,INDEX(Dow,1,WEEKDAY(E2241,2)),"")</f>
        <v/>
      </c>
      <c r="M2241">
        <f>IF(B2241,(1+Trend)^D2241,"")</f>
        <v/>
      </c>
      <c r="N2241">
        <f>IF(B2241,EXP(SUMPRODUCT(LN(1+(EvEff-1)*INDEX(Affected,0,C2241)*EXP(-((E2241-EvCenter)^2)/(2*EvSigma^2))))),"")</f>
        <v/>
      </c>
      <c r="O2241">
        <f>IF(B2241,ROUND(MAX(0,J2241*K2241*L2241*M2241*N2241),2),"")</f>
        <v/>
      </c>
    </row>
    <row r="2242">
      <c r="A2242" t="n">
        <v>2241</v>
      </c>
      <c r="B2242">
        <f>A2242&lt;=MineCount*Days</f>
        <v/>
      </c>
      <c r="C2242">
        <f>IF(B2242,INT((A2242-1)/Days)+1,"")</f>
        <v/>
      </c>
      <c r="D2242">
        <f>IF(B2242,MOD(A2242-1,Days),"")</f>
        <v/>
      </c>
      <c r="E2242" s="16">
        <f>IF(B2242,StartDate+D2242,"")</f>
        <v/>
      </c>
      <c r="F2242">
        <f>IF(B2242,MAX(MOD(SIN(Seed*0.1373+C2242*12.9898+D2242*78.233)*43758.5453,1),1E-9),"")</f>
        <v/>
      </c>
      <c r="G2242">
        <f>IF(B2242,MOD(SIN(Seed*0.5917+C2242*39.3468+D2242*11.135)*24634.6345,1),"")</f>
        <v/>
      </c>
      <c r="H2242">
        <f>IF(B2242,SQRT(-2*LN(F2242))*COS(2*PI()*G2242),"")</f>
        <v/>
      </c>
      <c r="I2242">
        <f>IF(B2242,IF(D2242=0,H2242,Rho*I2241+SQRT(1-Rho^2)*H2242),"")</f>
        <v/>
      </c>
      <c r="J2242">
        <f>IF(B2242,IF(Dist="Normal",DistA+DistB*I2242,DistA+(DistB-DistA)*NORMSDIST(I2242)),"")</f>
        <v/>
      </c>
      <c r="K2242">
        <f>IF(B2242,INDEX(MineScale,C2242),"")</f>
        <v/>
      </c>
      <c r="L2242">
        <f>IF(B2242,INDEX(Dow,1,WEEKDAY(E2242,2)),"")</f>
        <v/>
      </c>
      <c r="M2242">
        <f>IF(B2242,(1+Trend)^D2242,"")</f>
        <v/>
      </c>
      <c r="N2242">
        <f>IF(B2242,EXP(SUMPRODUCT(LN(1+(EvEff-1)*INDEX(Affected,0,C2242)*EXP(-((E2242-EvCenter)^2)/(2*EvSigma^2))))),"")</f>
        <v/>
      </c>
      <c r="O2242">
        <f>IF(B2242,ROUND(MAX(0,J2242*K2242*L2242*M2242*N2242),2),"")</f>
        <v/>
      </c>
    </row>
    <row r="2243">
      <c r="A2243" t="n">
        <v>2242</v>
      </c>
      <c r="B2243">
        <f>A2243&lt;=MineCount*Days</f>
        <v/>
      </c>
      <c r="C2243">
        <f>IF(B2243,INT((A2243-1)/Days)+1,"")</f>
        <v/>
      </c>
      <c r="D2243">
        <f>IF(B2243,MOD(A2243-1,Days),"")</f>
        <v/>
      </c>
      <c r="E2243" s="16">
        <f>IF(B2243,StartDate+D2243,"")</f>
        <v/>
      </c>
      <c r="F2243">
        <f>IF(B2243,MAX(MOD(SIN(Seed*0.1373+C2243*12.9898+D2243*78.233)*43758.5453,1),1E-9),"")</f>
        <v/>
      </c>
      <c r="G2243">
        <f>IF(B2243,MOD(SIN(Seed*0.5917+C2243*39.3468+D2243*11.135)*24634.6345,1),"")</f>
        <v/>
      </c>
      <c r="H2243">
        <f>IF(B2243,SQRT(-2*LN(F2243))*COS(2*PI()*G2243),"")</f>
        <v/>
      </c>
      <c r="I2243">
        <f>IF(B2243,IF(D2243=0,H2243,Rho*I2242+SQRT(1-Rho^2)*H2243),"")</f>
        <v/>
      </c>
      <c r="J2243">
        <f>IF(B2243,IF(Dist="Normal",DistA+DistB*I2243,DistA+(DistB-DistA)*NORMSDIST(I2243)),"")</f>
        <v/>
      </c>
      <c r="K2243">
        <f>IF(B2243,INDEX(MineScale,C2243),"")</f>
        <v/>
      </c>
      <c r="L2243">
        <f>IF(B2243,INDEX(Dow,1,WEEKDAY(E2243,2)),"")</f>
        <v/>
      </c>
      <c r="M2243">
        <f>IF(B2243,(1+Trend)^D2243,"")</f>
        <v/>
      </c>
      <c r="N2243">
        <f>IF(B2243,EXP(SUMPRODUCT(LN(1+(EvEff-1)*INDEX(Affected,0,C2243)*EXP(-((E2243-EvCenter)^2)/(2*EvSigma^2))))),"")</f>
        <v/>
      </c>
      <c r="O2243">
        <f>IF(B2243,ROUND(MAX(0,J2243*K2243*L2243*M2243*N2243),2),"")</f>
        <v/>
      </c>
    </row>
    <row r="2244">
      <c r="A2244" t="n">
        <v>2243</v>
      </c>
      <c r="B2244">
        <f>A2244&lt;=MineCount*Days</f>
        <v/>
      </c>
      <c r="C2244">
        <f>IF(B2244,INT((A2244-1)/Days)+1,"")</f>
        <v/>
      </c>
      <c r="D2244">
        <f>IF(B2244,MOD(A2244-1,Days),"")</f>
        <v/>
      </c>
      <c r="E2244" s="16">
        <f>IF(B2244,StartDate+D2244,"")</f>
        <v/>
      </c>
      <c r="F2244">
        <f>IF(B2244,MAX(MOD(SIN(Seed*0.1373+C2244*12.9898+D2244*78.233)*43758.5453,1),1E-9),"")</f>
        <v/>
      </c>
      <c r="G2244">
        <f>IF(B2244,MOD(SIN(Seed*0.5917+C2244*39.3468+D2244*11.135)*24634.6345,1),"")</f>
        <v/>
      </c>
      <c r="H2244">
        <f>IF(B2244,SQRT(-2*LN(F2244))*COS(2*PI()*G2244),"")</f>
        <v/>
      </c>
      <c r="I2244">
        <f>IF(B2244,IF(D2244=0,H2244,Rho*I2243+SQRT(1-Rho^2)*H2244),"")</f>
        <v/>
      </c>
      <c r="J2244">
        <f>IF(B2244,IF(Dist="Normal",DistA+DistB*I2244,DistA+(DistB-DistA)*NORMSDIST(I2244)),"")</f>
        <v/>
      </c>
      <c r="K2244">
        <f>IF(B2244,INDEX(MineScale,C2244),"")</f>
        <v/>
      </c>
      <c r="L2244">
        <f>IF(B2244,INDEX(Dow,1,WEEKDAY(E2244,2)),"")</f>
        <v/>
      </c>
      <c r="M2244">
        <f>IF(B2244,(1+Trend)^D2244,"")</f>
        <v/>
      </c>
      <c r="N2244">
        <f>IF(B2244,EXP(SUMPRODUCT(LN(1+(EvEff-1)*INDEX(Affected,0,C2244)*EXP(-((E2244-EvCenter)^2)/(2*EvSigma^2))))),"")</f>
        <v/>
      </c>
      <c r="O2244">
        <f>IF(B2244,ROUND(MAX(0,J2244*K2244*L2244*M2244*N2244),2),"")</f>
        <v/>
      </c>
    </row>
    <row r="2245">
      <c r="A2245" t="n">
        <v>2244</v>
      </c>
      <c r="B2245">
        <f>A2245&lt;=MineCount*Days</f>
        <v/>
      </c>
      <c r="C2245">
        <f>IF(B2245,INT((A2245-1)/Days)+1,"")</f>
        <v/>
      </c>
      <c r="D2245">
        <f>IF(B2245,MOD(A2245-1,Days),"")</f>
        <v/>
      </c>
      <c r="E2245" s="16">
        <f>IF(B2245,StartDate+D2245,"")</f>
        <v/>
      </c>
      <c r="F2245">
        <f>IF(B2245,MAX(MOD(SIN(Seed*0.1373+C2245*12.9898+D2245*78.233)*43758.5453,1),1E-9),"")</f>
        <v/>
      </c>
      <c r="G2245">
        <f>IF(B2245,MOD(SIN(Seed*0.5917+C2245*39.3468+D2245*11.135)*24634.6345,1),"")</f>
        <v/>
      </c>
      <c r="H2245">
        <f>IF(B2245,SQRT(-2*LN(F2245))*COS(2*PI()*G2245),"")</f>
        <v/>
      </c>
      <c r="I2245">
        <f>IF(B2245,IF(D2245=0,H2245,Rho*I2244+SQRT(1-Rho^2)*H2245),"")</f>
        <v/>
      </c>
      <c r="J2245">
        <f>IF(B2245,IF(Dist="Normal",DistA+DistB*I2245,DistA+(DistB-DistA)*NORMSDIST(I2245)),"")</f>
        <v/>
      </c>
      <c r="K2245">
        <f>IF(B2245,INDEX(MineScale,C2245),"")</f>
        <v/>
      </c>
      <c r="L2245">
        <f>IF(B2245,INDEX(Dow,1,WEEKDAY(E2245,2)),"")</f>
        <v/>
      </c>
      <c r="M2245">
        <f>IF(B2245,(1+Trend)^D2245,"")</f>
        <v/>
      </c>
      <c r="N2245">
        <f>IF(B2245,EXP(SUMPRODUCT(LN(1+(EvEff-1)*INDEX(Affected,0,C2245)*EXP(-((E2245-EvCenter)^2)/(2*EvSigma^2))))),"")</f>
        <v/>
      </c>
      <c r="O2245">
        <f>IF(B2245,ROUND(MAX(0,J2245*K2245*L2245*M2245*N2245),2),"")</f>
        <v/>
      </c>
    </row>
    <row r="2246">
      <c r="A2246" t="n">
        <v>2245</v>
      </c>
      <c r="B2246">
        <f>A2246&lt;=MineCount*Days</f>
        <v/>
      </c>
      <c r="C2246">
        <f>IF(B2246,INT((A2246-1)/Days)+1,"")</f>
        <v/>
      </c>
      <c r="D2246">
        <f>IF(B2246,MOD(A2246-1,Days),"")</f>
        <v/>
      </c>
      <c r="E2246" s="16">
        <f>IF(B2246,StartDate+D2246,"")</f>
        <v/>
      </c>
      <c r="F2246">
        <f>IF(B2246,MAX(MOD(SIN(Seed*0.1373+C2246*12.9898+D2246*78.233)*43758.5453,1),1E-9),"")</f>
        <v/>
      </c>
      <c r="G2246">
        <f>IF(B2246,MOD(SIN(Seed*0.5917+C2246*39.3468+D2246*11.135)*24634.6345,1),"")</f>
        <v/>
      </c>
      <c r="H2246">
        <f>IF(B2246,SQRT(-2*LN(F2246))*COS(2*PI()*G2246),"")</f>
        <v/>
      </c>
      <c r="I2246">
        <f>IF(B2246,IF(D2246=0,H2246,Rho*I2245+SQRT(1-Rho^2)*H2246),"")</f>
        <v/>
      </c>
      <c r="J2246">
        <f>IF(B2246,IF(Dist="Normal",DistA+DistB*I2246,DistA+(DistB-DistA)*NORMSDIST(I2246)),"")</f>
        <v/>
      </c>
      <c r="K2246">
        <f>IF(B2246,INDEX(MineScale,C2246),"")</f>
        <v/>
      </c>
      <c r="L2246">
        <f>IF(B2246,INDEX(Dow,1,WEEKDAY(E2246,2)),"")</f>
        <v/>
      </c>
      <c r="M2246">
        <f>IF(B2246,(1+Trend)^D2246,"")</f>
        <v/>
      </c>
      <c r="N2246">
        <f>IF(B2246,EXP(SUMPRODUCT(LN(1+(EvEff-1)*INDEX(Affected,0,C2246)*EXP(-((E2246-EvCenter)^2)/(2*EvSigma^2))))),"")</f>
        <v/>
      </c>
      <c r="O2246">
        <f>IF(B2246,ROUND(MAX(0,J2246*K2246*L2246*M2246*N2246),2),"")</f>
        <v/>
      </c>
    </row>
    <row r="2247">
      <c r="A2247" t="n">
        <v>2246</v>
      </c>
      <c r="B2247">
        <f>A2247&lt;=MineCount*Days</f>
        <v/>
      </c>
      <c r="C2247">
        <f>IF(B2247,INT((A2247-1)/Days)+1,"")</f>
        <v/>
      </c>
      <c r="D2247">
        <f>IF(B2247,MOD(A2247-1,Days),"")</f>
        <v/>
      </c>
      <c r="E2247" s="16">
        <f>IF(B2247,StartDate+D2247,"")</f>
        <v/>
      </c>
      <c r="F2247">
        <f>IF(B2247,MAX(MOD(SIN(Seed*0.1373+C2247*12.9898+D2247*78.233)*43758.5453,1),1E-9),"")</f>
        <v/>
      </c>
      <c r="G2247">
        <f>IF(B2247,MOD(SIN(Seed*0.5917+C2247*39.3468+D2247*11.135)*24634.6345,1),"")</f>
        <v/>
      </c>
      <c r="H2247">
        <f>IF(B2247,SQRT(-2*LN(F2247))*COS(2*PI()*G2247),"")</f>
        <v/>
      </c>
      <c r="I2247">
        <f>IF(B2247,IF(D2247=0,H2247,Rho*I2246+SQRT(1-Rho^2)*H2247),"")</f>
        <v/>
      </c>
      <c r="J2247">
        <f>IF(B2247,IF(Dist="Normal",DistA+DistB*I2247,DistA+(DistB-DistA)*NORMSDIST(I2247)),"")</f>
        <v/>
      </c>
      <c r="K2247">
        <f>IF(B2247,INDEX(MineScale,C2247),"")</f>
        <v/>
      </c>
      <c r="L2247">
        <f>IF(B2247,INDEX(Dow,1,WEEKDAY(E2247,2)),"")</f>
        <v/>
      </c>
      <c r="M2247">
        <f>IF(B2247,(1+Trend)^D2247,"")</f>
        <v/>
      </c>
      <c r="N2247">
        <f>IF(B2247,EXP(SUMPRODUCT(LN(1+(EvEff-1)*INDEX(Affected,0,C2247)*EXP(-((E2247-EvCenter)^2)/(2*EvSigma^2))))),"")</f>
        <v/>
      </c>
      <c r="O2247">
        <f>IF(B2247,ROUND(MAX(0,J2247*K2247*L2247*M2247*N2247),2),"")</f>
        <v/>
      </c>
    </row>
    <row r="2248">
      <c r="A2248" t="n">
        <v>2247</v>
      </c>
      <c r="B2248">
        <f>A2248&lt;=MineCount*Days</f>
        <v/>
      </c>
      <c r="C2248">
        <f>IF(B2248,INT((A2248-1)/Days)+1,"")</f>
        <v/>
      </c>
      <c r="D2248">
        <f>IF(B2248,MOD(A2248-1,Days),"")</f>
        <v/>
      </c>
      <c r="E2248" s="16">
        <f>IF(B2248,StartDate+D2248,"")</f>
        <v/>
      </c>
      <c r="F2248">
        <f>IF(B2248,MAX(MOD(SIN(Seed*0.1373+C2248*12.9898+D2248*78.233)*43758.5453,1),1E-9),"")</f>
        <v/>
      </c>
      <c r="G2248">
        <f>IF(B2248,MOD(SIN(Seed*0.5917+C2248*39.3468+D2248*11.135)*24634.6345,1),"")</f>
        <v/>
      </c>
      <c r="H2248">
        <f>IF(B2248,SQRT(-2*LN(F2248))*COS(2*PI()*G2248),"")</f>
        <v/>
      </c>
      <c r="I2248">
        <f>IF(B2248,IF(D2248=0,H2248,Rho*I2247+SQRT(1-Rho^2)*H2248),"")</f>
        <v/>
      </c>
      <c r="J2248">
        <f>IF(B2248,IF(Dist="Normal",DistA+DistB*I2248,DistA+(DistB-DistA)*NORMSDIST(I2248)),"")</f>
        <v/>
      </c>
      <c r="K2248">
        <f>IF(B2248,INDEX(MineScale,C2248),"")</f>
        <v/>
      </c>
      <c r="L2248">
        <f>IF(B2248,INDEX(Dow,1,WEEKDAY(E2248,2)),"")</f>
        <v/>
      </c>
      <c r="M2248">
        <f>IF(B2248,(1+Trend)^D2248,"")</f>
        <v/>
      </c>
      <c r="N2248">
        <f>IF(B2248,EXP(SUMPRODUCT(LN(1+(EvEff-1)*INDEX(Affected,0,C2248)*EXP(-((E2248-EvCenter)^2)/(2*EvSigma^2))))),"")</f>
        <v/>
      </c>
      <c r="O2248">
        <f>IF(B2248,ROUND(MAX(0,J2248*K2248*L2248*M2248*N2248),2),"")</f>
        <v/>
      </c>
    </row>
    <row r="2249">
      <c r="A2249" t="n">
        <v>2248</v>
      </c>
      <c r="B2249">
        <f>A2249&lt;=MineCount*Days</f>
        <v/>
      </c>
      <c r="C2249">
        <f>IF(B2249,INT((A2249-1)/Days)+1,"")</f>
        <v/>
      </c>
      <c r="D2249">
        <f>IF(B2249,MOD(A2249-1,Days),"")</f>
        <v/>
      </c>
      <c r="E2249" s="16">
        <f>IF(B2249,StartDate+D2249,"")</f>
        <v/>
      </c>
      <c r="F2249">
        <f>IF(B2249,MAX(MOD(SIN(Seed*0.1373+C2249*12.9898+D2249*78.233)*43758.5453,1),1E-9),"")</f>
        <v/>
      </c>
      <c r="G2249">
        <f>IF(B2249,MOD(SIN(Seed*0.5917+C2249*39.3468+D2249*11.135)*24634.6345,1),"")</f>
        <v/>
      </c>
      <c r="H2249">
        <f>IF(B2249,SQRT(-2*LN(F2249))*COS(2*PI()*G2249),"")</f>
        <v/>
      </c>
      <c r="I2249">
        <f>IF(B2249,IF(D2249=0,H2249,Rho*I2248+SQRT(1-Rho^2)*H2249),"")</f>
        <v/>
      </c>
      <c r="J2249">
        <f>IF(B2249,IF(Dist="Normal",DistA+DistB*I2249,DistA+(DistB-DistA)*NORMSDIST(I2249)),"")</f>
        <v/>
      </c>
      <c r="K2249">
        <f>IF(B2249,INDEX(MineScale,C2249),"")</f>
        <v/>
      </c>
      <c r="L2249">
        <f>IF(B2249,INDEX(Dow,1,WEEKDAY(E2249,2)),"")</f>
        <v/>
      </c>
      <c r="M2249">
        <f>IF(B2249,(1+Trend)^D2249,"")</f>
        <v/>
      </c>
      <c r="N2249">
        <f>IF(B2249,EXP(SUMPRODUCT(LN(1+(EvEff-1)*INDEX(Affected,0,C2249)*EXP(-((E2249-EvCenter)^2)/(2*EvSigma^2))))),"")</f>
        <v/>
      </c>
      <c r="O2249">
        <f>IF(B2249,ROUND(MAX(0,J2249*K2249*L2249*M2249*N2249),2),"")</f>
        <v/>
      </c>
    </row>
    <row r="2250">
      <c r="A2250" t="n">
        <v>2249</v>
      </c>
      <c r="B2250">
        <f>A2250&lt;=MineCount*Days</f>
        <v/>
      </c>
      <c r="C2250">
        <f>IF(B2250,INT((A2250-1)/Days)+1,"")</f>
        <v/>
      </c>
      <c r="D2250">
        <f>IF(B2250,MOD(A2250-1,Days),"")</f>
        <v/>
      </c>
      <c r="E2250" s="16">
        <f>IF(B2250,StartDate+D2250,"")</f>
        <v/>
      </c>
      <c r="F2250">
        <f>IF(B2250,MAX(MOD(SIN(Seed*0.1373+C2250*12.9898+D2250*78.233)*43758.5453,1),1E-9),"")</f>
        <v/>
      </c>
      <c r="G2250">
        <f>IF(B2250,MOD(SIN(Seed*0.5917+C2250*39.3468+D2250*11.135)*24634.6345,1),"")</f>
        <v/>
      </c>
      <c r="H2250">
        <f>IF(B2250,SQRT(-2*LN(F2250))*COS(2*PI()*G2250),"")</f>
        <v/>
      </c>
      <c r="I2250">
        <f>IF(B2250,IF(D2250=0,H2250,Rho*I2249+SQRT(1-Rho^2)*H2250),"")</f>
        <v/>
      </c>
      <c r="J2250">
        <f>IF(B2250,IF(Dist="Normal",DistA+DistB*I2250,DistA+(DistB-DistA)*NORMSDIST(I2250)),"")</f>
        <v/>
      </c>
      <c r="K2250">
        <f>IF(B2250,INDEX(MineScale,C2250),"")</f>
        <v/>
      </c>
      <c r="L2250">
        <f>IF(B2250,INDEX(Dow,1,WEEKDAY(E2250,2)),"")</f>
        <v/>
      </c>
      <c r="M2250">
        <f>IF(B2250,(1+Trend)^D2250,"")</f>
        <v/>
      </c>
      <c r="N2250">
        <f>IF(B2250,EXP(SUMPRODUCT(LN(1+(EvEff-1)*INDEX(Affected,0,C2250)*EXP(-((E2250-EvCenter)^2)/(2*EvSigma^2))))),"")</f>
        <v/>
      </c>
      <c r="O2250">
        <f>IF(B2250,ROUND(MAX(0,J2250*K2250*L2250*M2250*N2250),2),"")</f>
        <v/>
      </c>
    </row>
    <row r="2251">
      <c r="A2251" t="n">
        <v>2250</v>
      </c>
      <c r="B2251">
        <f>A2251&lt;=MineCount*Days</f>
        <v/>
      </c>
      <c r="C2251">
        <f>IF(B2251,INT((A2251-1)/Days)+1,"")</f>
        <v/>
      </c>
      <c r="D2251">
        <f>IF(B2251,MOD(A2251-1,Days),"")</f>
        <v/>
      </c>
      <c r="E2251" s="16">
        <f>IF(B2251,StartDate+D2251,"")</f>
        <v/>
      </c>
      <c r="F2251">
        <f>IF(B2251,MAX(MOD(SIN(Seed*0.1373+C2251*12.9898+D2251*78.233)*43758.5453,1),1E-9),"")</f>
        <v/>
      </c>
      <c r="G2251">
        <f>IF(B2251,MOD(SIN(Seed*0.5917+C2251*39.3468+D2251*11.135)*24634.6345,1),"")</f>
        <v/>
      </c>
      <c r="H2251">
        <f>IF(B2251,SQRT(-2*LN(F2251))*COS(2*PI()*G2251),"")</f>
        <v/>
      </c>
      <c r="I2251">
        <f>IF(B2251,IF(D2251=0,H2251,Rho*I2250+SQRT(1-Rho^2)*H2251),"")</f>
        <v/>
      </c>
      <c r="J2251">
        <f>IF(B2251,IF(Dist="Normal",DistA+DistB*I2251,DistA+(DistB-DistA)*NORMSDIST(I2251)),"")</f>
        <v/>
      </c>
      <c r="K2251">
        <f>IF(B2251,INDEX(MineScale,C2251),"")</f>
        <v/>
      </c>
      <c r="L2251">
        <f>IF(B2251,INDEX(Dow,1,WEEKDAY(E2251,2)),"")</f>
        <v/>
      </c>
      <c r="M2251">
        <f>IF(B2251,(1+Trend)^D2251,"")</f>
        <v/>
      </c>
      <c r="N2251">
        <f>IF(B2251,EXP(SUMPRODUCT(LN(1+(EvEff-1)*INDEX(Affected,0,C2251)*EXP(-((E2251-EvCenter)^2)/(2*EvSigma^2))))),"")</f>
        <v/>
      </c>
      <c r="O2251">
        <f>IF(B2251,ROUND(MAX(0,J2251*K2251*L2251*M2251*N2251),2),"")</f>
        <v/>
      </c>
    </row>
    <row r="2252">
      <c r="A2252" t="n">
        <v>2251</v>
      </c>
      <c r="B2252">
        <f>A2252&lt;=MineCount*Days</f>
        <v/>
      </c>
      <c r="C2252">
        <f>IF(B2252,INT((A2252-1)/Days)+1,"")</f>
        <v/>
      </c>
      <c r="D2252">
        <f>IF(B2252,MOD(A2252-1,Days),"")</f>
        <v/>
      </c>
      <c r="E2252" s="16">
        <f>IF(B2252,StartDate+D2252,"")</f>
        <v/>
      </c>
      <c r="F2252">
        <f>IF(B2252,MAX(MOD(SIN(Seed*0.1373+C2252*12.9898+D2252*78.233)*43758.5453,1),1E-9),"")</f>
        <v/>
      </c>
      <c r="G2252">
        <f>IF(B2252,MOD(SIN(Seed*0.5917+C2252*39.3468+D2252*11.135)*24634.6345,1),"")</f>
        <v/>
      </c>
      <c r="H2252">
        <f>IF(B2252,SQRT(-2*LN(F2252))*COS(2*PI()*G2252),"")</f>
        <v/>
      </c>
      <c r="I2252">
        <f>IF(B2252,IF(D2252=0,H2252,Rho*I2251+SQRT(1-Rho^2)*H2252),"")</f>
        <v/>
      </c>
      <c r="J2252">
        <f>IF(B2252,IF(Dist="Normal",DistA+DistB*I2252,DistA+(DistB-DistA)*NORMSDIST(I2252)),"")</f>
        <v/>
      </c>
      <c r="K2252">
        <f>IF(B2252,INDEX(MineScale,C2252),"")</f>
        <v/>
      </c>
      <c r="L2252">
        <f>IF(B2252,INDEX(Dow,1,WEEKDAY(E2252,2)),"")</f>
        <v/>
      </c>
      <c r="M2252">
        <f>IF(B2252,(1+Trend)^D2252,"")</f>
        <v/>
      </c>
      <c r="N2252">
        <f>IF(B2252,EXP(SUMPRODUCT(LN(1+(EvEff-1)*INDEX(Affected,0,C2252)*EXP(-((E2252-EvCenter)^2)/(2*EvSigma^2))))),"")</f>
        <v/>
      </c>
      <c r="O2252">
        <f>IF(B2252,ROUND(MAX(0,J2252*K2252*L2252*M2252*N2252),2),"")</f>
        <v/>
      </c>
    </row>
    <row r="2253">
      <c r="A2253" t="n">
        <v>2252</v>
      </c>
      <c r="B2253">
        <f>A2253&lt;=MineCount*Days</f>
        <v/>
      </c>
      <c r="C2253">
        <f>IF(B2253,INT((A2253-1)/Days)+1,"")</f>
        <v/>
      </c>
      <c r="D2253">
        <f>IF(B2253,MOD(A2253-1,Days),"")</f>
        <v/>
      </c>
      <c r="E2253" s="16">
        <f>IF(B2253,StartDate+D2253,"")</f>
        <v/>
      </c>
      <c r="F2253">
        <f>IF(B2253,MAX(MOD(SIN(Seed*0.1373+C2253*12.9898+D2253*78.233)*43758.5453,1),1E-9),"")</f>
        <v/>
      </c>
      <c r="G2253">
        <f>IF(B2253,MOD(SIN(Seed*0.5917+C2253*39.3468+D2253*11.135)*24634.6345,1),"")</f>
        <v/>
      </c>
      <c r="H2253">
        <f>IF(B2253,SQRT(-2*LN(F2253))*COS(2*PI()*G2253),"")</f>
        <v/>
      </c>
      <c r="I2253">
        <f>IF(B2253,IF(D2253=0,H2253,Rho*I2252+SQRT(1-Rho^2)*H2253),"")</f>
        <v/>
      </c>
      <c r="J2253">
        <f>IF(B2253,IF(Dist="Normal",DistA+DistB*I2253,DistA+(DistB-DistA)*NORMSDIST(I2253)),"")</f>
        <v/>
      </c>
      <c r="K2253">
        <f>IF(B2253,INDEX(MineScale,C2253),"")</f>
        <v/>
      </c>
      <c r="L2253">
        <f>IF(B2253,INDEX(Dow,1,WEEKDAY(E2253,2)),"")</f>
        <v/>
      </c>
      <c r="M2253">
        <f>IF(B2253,(1+Trend)^D2253,"")</f>
        <v/>
      </c>
      <c r="N2253">
        <f>IF(B2253,EXP(SUMPRODUCT(LN(1+(EvEff-1)*INDEX(Affected,0,C2253)*EXP(-((E2253-EvCenter)^2)/(2*EvSigma^2))))),"")</f>
        <v/>
      </c>
      <c r="O2253">
        <f>IF(B2253,ROUND(MAX(0,J2253*K2253*L2253*M2253*N2253),2),"")</f>
        <v/>
      </c>
    </row>
    <row r="2254">
      <c r="A2254" t="n">
        <v>2253</v>
      </c>
      <c r="B2254">
        <f>A2254&lt;=MineCount*Days</f>
        <v/>
      </c>
      <c r="C2254">
        <f>IF(B2254,INT((A2254-1)/Days)+1,"")</f>
        <v/>
      </c>
      <c r="D2254">
        <f>IF(B2254,MOD(A2254-1,Days),"")</f>
        <v/>
      </c>
      <c r="E2254" s="16">
        <f>IF(B2254,StartDate+D2254,"")</f>
        <v/>
      </c>
      <c r="F2254">
        <f>IF(B2254,MAX(MOD(SIN(Seed*0.1373+C2254*12.9898+D2254*78.233)*43758.5453,1),1E-9),"")</f>
        <v/>
      </c>
      <c r="G2254">
        <f>IF(B2254,MOD(SIN(Seed*0.5917+C2254*39.3468+D2254*11.135)*24634.6345,1),"")</f>
        <v/>
      </c>
      <c r="H2254">
        <f>IF(B2254,SQRT(-2*LN(F2254))*COS(2*PI()*G2254),"")</f>
        <v/>
      </c>
      <c r="I2254">
        <f>IF(B2254,IF(D2254=0,H2254,Rho*I2253+SQRT(1-Rho^2)*H2254),"")</f>
        <v/>
      </c>
      <c r="J2254">
        <f>IF(B2254,IF(Dist="Normal",DistA+DistB*I2254,DistA+(DistB-DistA)*NORMSDIST(I2254)),"")</f>
        <v/>
      </c>
      <c r="K2254">
        <f>IF(B2254,INDEX(MineScale,C2254),"")</f>
        <v/>
      </c>
      <c r="L2254">
        <f>IF(B2254,INDEX(Dow,1,WEEKDAY(E2254,2)),"")</f>
        <v/>
      </c>
      <c r="M2254">
        <f>IF(B2254,(1+Trend)^D2254,"")</f>
        <v/>
      </c>
      <c r="N2254">
        <f>IF(B2254,EXP(SUMPRODUCT(LN(1+(EvEff-1)*INDEX(Affected,0,C2254)*EXP(-((E2254-EvCenter)^2)/(2*EvSigma^2))))),"")</f>
        <v/>
      </c>
      <c r="O2254">
        <f>IF(B2254,ROUND(MAX(0,J2254*K2254*L2254*M2254*N2254),2),"")</f>
        <v/>
      </c>
    </row>
    <row r="2255">
      <c r="A2255" t="n">
        <v>2254</v>
      </c>
      <c r="B2255">
        <f>A2255&lt;=MineCount*Days</f>
        <v/>
      </c>
      <c r="C2255">
        <f>IF(B2255,INT((A2255-1)/Days)+1,"")</f>
        <v/>
      </c>
      <c r="D2255">
        <f>IF(B2255,MOD(A2255-1,Days),"")</f>
        <v/>
      </c>
      <c r="E2255" s="16">
        <f>IF(B2255,StartDate+D2255,"")</f>
        <v/>
      </c>
      <c r="F2255">
        <f>IF(B2255,MAX(MOD(SIN(Seed*0.1373+C2255*12.9898+D2255*78.233)*43758.5453,1),1E-9),"")</f>
        <v/>
      </c>
      <c r="G2255">
        <f>IF(B2255,MOD(SIN(Seed*0.5917+C2255*39.3468+D2255*11.135)*24634.6345,1),"")</f>
        <v/>
      </c>
      <c r="H2255">
        <f>IF(B2255,SQRT(-2*LN(F2255))*COS(2*PI()*G2255),"")</f>
        <v/>
      </c>
      <c r="I2255">
        <f>IF(B2255,IF(D2255=0,H2255,Rho*I2254+SQRT(1-Rho^2)*H2255),"")</f>
        <v/>
      </c>
      <c r="J2255">
        <f>IF(B2255,IF(Dist="Normal",DistA+DistB*I2255,DistA+(DistB-DistA)*NORMSDIST(I2255)),"")</f>
        <v/>
      </c>
      <c r="K2255">
        <f>IF(B2255,INDEX(MineScale,C2255),"")</f>
        <v/>
      </c>
      <c r="L2255">
        <f>IF(B2255,INDEX(Dow,1,WEEKDAY(E2255,2)),"")</f>
        <v/>
      </c>
      <c r="M2255">
        <f>IF(B2255,(1+Trend)^D2255,"")</f>
        <v/>
      </c>
      <c r="N2255">
        <f>IF(B2255,EXP(SUMPRODUCT(LN(1+(EvEff-1)*INDEX(Affected,0,C2255)*EXP(-((E2255-EvCenter)^2)/(2*EvSigma^2))))),"")</f>
        <v/>
      </c>
      <c r="O2255">
        <f>IF(B2255,ROUND(MAX(0,J2255*K2255*L2255*M2255*N2255),2),"")</f>
        <v/>
      </c>
    </row>
    <row r="2256">
      <c r="A2256" t="n">
        <v>2255</v>
      </c>
      <c r="B2256">
        <f>A2256&lt;=MineCount*Days</f>
        <v/>
      </c>
      <c r="C2256">
        <f>IF(B2256,INT((A2256-1)/Days)+1,"")</f>
        <v/>
      </c>
      <c r="D2256">
        <f>IF(B2256,MOD(A2256-1,Days),"")</f>
        <v/>
      </c>
      <c r="E2256" s="16">
        <f>IF(B2256,StartDate+D2256,"")</f>
        <v/>
      </c>
      <c r="F2256">
        <f>IF(B2256,MAX(MOD(SIN(Seed*0.1373+C2256*12.9898+D2256*78.233)*43758.5453,1),1E-9),"")</f>
        <v/>
      </c>
      <c r="G2256">
        <f>IF(B2256,MOD(SIN(Seed*0.5917+C2256*39.3468+D2256*11.135)*24634.6345,1),"")</f>
        <v/>
      </c>
      <c r="H2256">
        <f>IF(B2256,SQRT(-2*LN(F2256))*COS(2*PI()*G2256),"")</f>
        <v/>
      </c>
      <c r="I2256">
        <f>IF(B2256,IF(D2256=0,H2256,Rho*I2255+SQRT(1-Rho^2)*H2256),"")</f>
        <v/>
      </c>
      <c r="J2256">
        <f>IF(B2256,IF(Dist="Normal",DistA+DistB*I2256,DistA+(DistB-DistA)*NORMSDIST(I2256)),"")</f>
        <v/>
      </c>
      <c r="K2256">
        <f>IF(B2256,INDEX(MineScale,C2256),"")</f>
        <v/>
      </c>
      <c r="L2256">
        <f>IF(B2256,INDEX(Dow,1,WEEKDAY(E2256,2)),"")</f>
        <v/>
      </c>
      <c r="M2256">
        <f>IF(B2256,(1+Trend)^D2256,"")</f>
        <v/>
      </c>
      <c r="N2256">
        <f>IF(B2256,EXP(SUMPRODUCT(LN(1+(EvEff-1)*INDEX(Affected,0,C2256)*EXP(-((E2256-EvCenter)^2)/(2*EvSigma^2))))),"")</f>
        <v/>
      </c>
      <c r="O2256">
        <f>IF(B2256,ROUND(MAX(0,J2256*K2256*L2256*M2256*N2256),2),"")</f>
        <v/>
      </c>
    </row>
    <row r="2257">
      <c r="A2257" t="n">
        <v>2256</v>
      </c>
      <c r="B2257">
        <f>A2257&lt;=MineCount*Days</f>
        <v/>
      </c>
      <c r="C2257">
        <f>IF(B2257,INT((A2257-1)/Days)+1,"")</f>
        <v/>
      </c>
      <c r="D2257">
        <f>IF(B2257,MOD(A2257-1,Days),"")</f>
        <v/>
      </c>
      <c r="E2257" s="16">
        <f>IF(B2257,StartDate+D2257,"")</f>
        <v/>
      </c>
      <c r="F2257">
        <f>IF(B2257,MAX(MOD(SIN(Seed*0.1373+C2257*12.9898+D2257*78.233)*43758.5453,1),1E-9),"")</f>
        <v/>
      </c>
      <c r="G2257">
        <f>IF(B2257,MOD(SIN(Seed*0.5917+C2257*39.3468+D2257*11.135)*24634.6345,1),"")</f>
        <v/>
      </c>
      <c r="H2257">
        <f>IF(B2257,SQRT(-2*LN(F2257))*COS(2*PI()*G2257),"")</f>
        <v/>
      </c>
      <c r="I2257">
        <f>IF(B2257,IF(D2257=0,H2257,Rho*I2256+SQRT(1-Rho^2)*H2257),"")</f>
        <v/>
      </c>
      <c r="J2257">
        <f>IF(B2257,IF(Dist="Normal",DistA+DistB*I2257,DistA+(DistB-DistA)*NORMSDIST(I2257)),"")</f>
        <v/>
      </c>
      <c r="K2257">
        <f>IF(B2257,INDEX(MineScale,C2257),"")</f>
        <v/>
      </c>
      <c r="L2257">
        <f>IF(B2257,INDEX(Dow,1,WEEKDAY(E2257,2)),"")</f>
        <v/>
      </c>
      <c r="M2257">
        <f>IF(B2257,(1+Trend)^D2257,"")</f>
        <v/>
      </c>
      <c r="N2257">
        <f>IF(B2257,EXP(SUMPRODUCT(LN(1+(EvEff-1)*INDEX(Affected,0,C2257)*EXP(-((E2257-EvCenter)^2)/(2*EvSigma^2))))),"")</f>
        <v/>
      </c>
      <c r="O2257">
        <f>IF(B2257,ROUND(MAX(0,J2257*K2257*L2257*M2257*N2257),2),"")</f>
        <v/>
      </c>
    </row>
    <row r="2258">
      <c r="A2258" t="n">
        <v>2257</v>
      </c>
      <c r="B2258">
        <f>A2258&lt;=MineCount*Days</f>
        <v/>
      </c>
      <c r="C2258">
        <f>IF(B2258,INT((A2258-1)/Days)+1,"")</f>
        <v/>
      </c>
      <c r="D2258">
        <f>IF(B2258,MOD(A2258-1,Days),"")</f>
        <v/>
      </c>
      <c r="E2258" s="16">
        <f>IF(B2258,StartDate+D2258,"")</f>
        <v/>
      </c>
      <c r="F2258">
        <f>IF(B2258,MAX(MOD(SIN(Seed*0.1373+C2258*12.9898+D2258*78.233)*43758.5453,1),1E-9),"")</f>
        <v/>
      </c>
      <c r="G2258">
        <f>IF(B2258,MOD(SIN(Seed*0.5917+C2258*39.3468+D2258*11.135)*24634.6345,1),"")</f>
        <v/>
      </c>
      <c r="H2258">
        <f>IF(B2258,SQRT(-2*LN(F2258))*COS(2*PI()*G2258),"")</f>
        <v/>
      </c>
      <c r="I2258">
        <f>IF(B2258,IF(D2258=0,H2258,Rho*I2257+SQRT(1-Rho^2)*H2258),"")</f>
        <v/>
      </c>
      <c r="J2258">
        <f>IF(B2258,IF(Dist="Normal",DistA+DistB*I2258,DistA+(DistB-DistA)*NORMSDIST(I2258)),"")</f>
        <v/>
      </c>
      <c r="K2258">
        <f>IF(B2258,INDEX(MineScale,C2258),"")</f>
        <v/>
      </c>
      <c r="L2258">
        <f>IF(B2258,INDEX(Dow,1,WEEKDAY(E2258,2)),"")</f>
        <v/>
      </c>
      <c r="M2258">
        <f>IF(B2258,(1+Trend)^D2258,"")</f>
        <v/>
      </c>
      <c r="N2258">
        <f>IF(B2258,EXP(SUMPRODUCT(LN(1+(EvEff-1)*INDEX(Affected,0,C2258)*EXP(-((E2258-EvCenter)^2)/(2*EvSigma^2))))),"")</f>
        <v/>
      </c>
      <c r="O2258">
        <f>IF(B2258,ROUND(MAX(0,J2258*K2258*L2258*M2258*N2258),2),"")</f>
        <v/>
      </c>
    </row>
    <row r="2259">
      <c r="A2259" t="n">
        <v>2258</v>
      </c>
      <c r="B2259">
        <f>A2259&lt;=MineCount*Days</f>
        <v/>
      </c>
      <c r="C2259">
        <f>IF(B2259,INT((A2259-1)/Days)+1,"")</f>
        <v/>
      </c>
      <c r="D2259">
        <f>IF(B2259,MOD(A2259-1,Days),"")</f>
        <v/>
      </c>
      <c r="E2259" s="16">
        <f>IF(B2259,StartDate+D2259,"")</f>
        <v/>
      </c>
      <c r="F2259">
        <f>IF(B2259,MAX(MOD(SIN(Seed*0.1373+C2259*12.9898+D2259*78.233)*43758.5453,1),1E-9),"")</f>
        <v/>
      </c>
      <c r="G2259">
        <f>IF(B2259,MOD(SIN(Seed*0.5917+C2259*39.3468+D2259*11.135)*24634.6345,1),"")</f>
        <v/>
      </c>
      <c r="H2259">
        <f>IF(B2259,SQRT(-2*LN(F2259))*COS(2*PI()*G2259),"")</f>
        <v/>
      </c>
      <c r="I2259">
        <f>IF(B2259,IF(D2259=0,H2259,Rho*I2258+SQRT(1-Rho^2)*H2259),"")</f>
        <v/>
      </c>
      <c r="J2259">
        <f>IF(B2259,IF(Dist="Normal",DistA+DistB*I2259,DistA+(DistB-DistA)*NORMSDIST(I2259)),"")</f>
        <v/>
      </c>
      <c r="K2259">
        <f>IF(B2259,INDEX(MineScale,C2259),"")</f>
        <v/>
      </c>
      <c r="L2259">
        <f>IF(B2259,INDEX(Dow,1,WEEKDAY(E2259,2)),"")</f>
        <v/>
      </c>
      <c r="M2259">
        <f>IF(B2259,(1+Trend)^D2259,"")</f>
        <v/>
      </c>
      <c r="N2259">
        <f>IF(B2259,EXP(SUMPRODUCT(LN(1+(EvEff-1)*INDEX(Affected,0,C2259)*EXP(-((E2259-EvCenter)^2)/(2*EvSigma^2))))),"")</f>
        <v/>
      </c>
      <c r="O2259">
        <f>IF(B2259,ROUND(MAX(0,J2259*K2259*L2259*M2259*N2259),2),"")</f>
        <v/>
      </c>
    </row>
    <row r="2260">
      <c r="A2260" t="n">
        <v>2259</v>
      </c>
      <c r="B2260">
        <f>A2260&lt;=MineCount*Days</f>
        <v/>
      </c>
      <c r="C2260">
        <f>IF(B2260,INT((A2260-1)/Days)+1,"")</f>
        <v/>
      </c>
      <c r="D2260">
        <f>IF(B2260,MOD(A2260-1,Days),"")</f>
        <v/>
      </c>
      <c r="E2260" s="16">
        <f>IF(B2260,StartDate+D2260,"")</f>
        <v/>
      </c>
      <c r="F2260">
        <f>IF(B2260,MAX(MOD(SIN(Seed*0.1373+C2260*12.9898+D2260*78.233)*43758.5453,1),1E-9),"")</f>
        <v/>
      </c>
      <c r="G2260">
        <f>IF(B2260,MOD(SIN(Seed*0.5917+C2260*39.3468+D2260*11.135)*24634.6345,1),"")</f>
        <v/>
      </c>
      <c r="H2260">
        <f>IF(B2260,SQRT(-2*LN(F2260))*COS(2*PI()*G2260),"")</f>
        <v/>
      </c>
      <c r="I2260">
        <f>IF(B2260,IF(D2260=0,H2260,Rho*I2259+SQRT(1-Rho^2)*H2260),"")</f>
        <v/>
      </c>
      <c r="J2260">
        <f>IF(B2260,IF(Dist="Normal",DistA+DistB*I2260,DistA+(DistB-DistA)*NORMSDIST(I2260)),"")</f>
        <v/>
      </c>
      <c r="K2260">
        <f>IF(B2260,INDEX(MineScale,C2260),"")</f>
        <v/>
      </c>
      <c r="L2260">
        <f>IF(B2260,INDEX(Dow,1,WEEKDAY(E2260,2)),"")</f>
        <v/>
      </c>
      <c r="M2260">
        <f>IF(B2260,(1+Trend)^D2260,"")</f>
        <v/>
      </c>
      <c r="N2260">
        <f>IF(B2260,EXP(SUMPRODUCT(LN(1+(EvEff-1)*INDEX(Affected,0,C2260)*EXP(-((E2260-EvCenter)^2)/(2*EvSigma^2))))),"")</f>
        <v/>
      </c>
      <c r="O2260">
        <f>IF(B2260,ROUND(MAX(0,J2260*K2260*L2260*M2260*N2260),2),"")</f>
        <v/>
      </c>
    </row>
    <row r="2261">
      <c r="A2261" t="n">
        <v>2260</v>
      </c>
      <c r="B2261">
        <f>A2261&lt;=MineCount*Days</f>
        <v/>
      </c>
      <c r="C2261">
        <f>IF(B2261,INT((A2261-1)/Days)+1,"")</f>
        <v/>
      </c>
      <c r="D2261">
        <f>IF(B2261,MOD(A2261-1,Days),"")</f>
        <v/>
      </c>
      <c r="E2261" s="16">
        <f>IF(B2261,StartDate+D2261,"")</f>
        <v/>
      </c>
      <c r="F2261">
        <f>IF(B2261,MAX(MOD(SIN(Seed*0.1373+C2261*12.9898+D2261*78.233)*43758.5453,1),1E-9),"")</f>
        <v/>
      </c>
      <c r="G2261">
        <f>IF(B2261,MOD(SIN(Seed*0.5917+C2261*39.3468+D2261*11.135)*24634.6345,1),"")</f>
        <v/>
      </c>
      <c r="H2261">
        <f>IF(B2261,SQRT(-2*LN(F2261))*COS(2*PI()*G2261),"")</f>
        <v/>
      </c>
      <c r="I2261">
        <f>IF(B2261,IF(D2261=0,H2261,Rho*I2260+SQRT(1-Rho^2)*H2261),"")</f>
        <v/>
      </c>
      <c r="J2261">
        <f>IF(B2261,IF(Dist="Normal",DistA+DistB*I2261,DistA+(DistB-DistA)*NORMSDIST(I2261)),"")</f>
        <v/>
      </c>
      <c r="K2261">
        <f>IF(B2261,INDEX(MineScale,C2261),"")</f>
        <v/>
      </c>
      <c r="L2261">
        <f>IF(B2261,INDEX(Dow,1,WEEKDAY(E2261,2)),"")</f>
        <v/>
      </c>
      <c r="M2261">
        <f>IF(B2261,(1+Trend)^D2261,"")</f>
        <v/>
      </c>
      <c r="N2261">
        <f>IF(B2261,EXP(SUMPRODUCT(LN(1+(EvEff-1)*INDEX(Affected,0,C2261)*EXP(-((E2261-EvCenter)^2)/(2*EvSigma^2))))),"")</f>
        <v/>
      </c>
      <c r="O2261">
        <f>IF(B2261,ROUND(MAX(0,J2261*K2261*L2261*M2261*N2261),2),"")</f>
        <v/>
      </c>
    </row>
    <row r="2262">
      <c r="A2262" t="n">
        <v>2261</v>
      </c>
      <c r="B2262">
        <f>A2262&lt;=MineCount*Days</f>
        <v/>
      </c>
      <c r="C2262">
        <f>IF(B2262,INT((A2262-1)/Days)+1,"")</f>
        <v/>
      </c>
      <c r="D2262">
        <f>IF(B2262,MOD(A2262-1,Days),"")</f>
        <v/>
      </c>
      <c r="E2262" s="16">
        <f>IF(B2262,StartDate+D2262,"")</f>
        <v/>
      </c>
      <c r="F2262">
        <f>IF(B2262,MAX(MOD(SIN(Seed*0.1373+C2262*12.9898+D2262*78.233)*43758.5453,1),1E-9),"")</f>
        <v/>
      </c>
      <c r="G2262">
        <f>IF(B2262,MOD(SIN(Seed*0.5917+C2262*39.3468+D2262*11.135)*24634.6345,1),"")</f>
        <v/>
      </c>
      <c r="H2262">
        <f>IF(B2262,SQRT(-2*LN(F2262))*COS(2*PI()*G2262),"")</f>
        <v/>
      </c>
      <c r="I2262">
        <f>IF(B2262,IF(D2262=0,H2262,Rho*I2261+SQRT(1-Rho^2)*H2262),"")</f>
        <v/>
      </c>
      <c r="J2262">
        <f>IF(B2262,IF(Dist="Normal",DistA+DistB*I2262,DistA+(DistB-DistA)*NORMSDIST(I2262)),"")</f>
        <v/>
      </c>
      <c r="K2262">
        <f>IF(B2262,INDEX(MineScale,C2262),"")</f>
        <v/>
      </c>
      <c r="L2262">
        <f>IF(B2262,INDEX(Dow,1,WEEKDAY(E2262,2)),"")</f>
        <v/>
      </c>
      <c r="M2262">
        <f>IF(B2262,(1+Trend)^D2262,"")</f>
        <v/>
      </c>
      <c r="N2262">
        <f>IF(B2262,EXP(SUMPRODUCT(LN(1+(EvEff-1)*INDEX(Affected,0,C2262)*EXP(-((E2262-EvCenter)^2)/(2*EvSigma^2))))),"")</f>
        <v/>
      </c>
      <c r="O2262">
        <f>IF(B2262,ROUND(MAX(0,J2262*K2262*L2262*M2262*N2262),2),"")</f>
        <v/>
      </c>
    </row>
    <row r="2263">
      <c r="A2263" t="n">
        <v>2262</v>
      </c>
      <c r="B2263">
        <f>A2263&lt;=MineCount*Days</f>
        <v/>
      </c>
      <c r="C2263">
        <f>IF(B2263,INT((A2263-1)/Days)+1,"")</f>
        <v/>
      </c>
      <c r="D2263">
        <f>IF(B2263,MOD(A2263-1,Days),"")</f>
        <v/>
      </c>
      <c r="E2263" s="16">
        <f>IF(B2263,StartDate+D2263,"")</f>
        <v/>
      </c>
      <c r="F2263">
        <f>IF(B2263,MAX(MOD(SIN(Seed*0.1373+C2263*12.9898+D2263*78.233)*43758.5453,1),1E-9),"")</f>
        <v/>
      </c>
      <c r="G2263">
        <f>IF(B2263,MOD(SIN(Seed*0.5917+C2263*39.3468+D2263*11.135)*24634.6345,1),"")</f>
        <v/>
      </c>
      <c r="H2263">
        <f>IF(B2263,SQRT(-2*LN(F2263))*COS(2*PI()*G2263),"")</f>
        <v/>
      </c>
      <c r="I2263">
        <f>IF(B2263,IF(D2263=0,H2263,Rho*I2262+SQRT(1-Rho^2)*H2263),"")</f>
        <v/>
      </c>
      <c r="J2263">
        <f>IF(B2263,IF(Dist="Normal",DistA+DistB*I2263,DistA+(DistB-DistA)*NORMSDIST(I2263)),"")</f>
        <v/>
      </c>
      <c r="K2263">
        <f>IF(B2263,INDEX(MineScale,C2263),"")</f>
        <v/>
      </c>
      <c r="L2263">
        <f>IF(B2263,INDEX(Dow,1,WEEKDAY(E2263,2)),"")</f>
        <v/>
      </c>
      <c r="M2263">
        <f>IF(B2263,(1+Trend)^D2263,"")</f>
        <v/>
      </c>
      <c r="N2263">
        <f>IF(B2263,EXP(SUMPRODUCT(LN(1+(EvEff-1)*INDEX(Affected,0,C2263)*EXP(-((E2263-EvCenter)^2)/(2*EvSigma^2))))),"")</f>
        <v/>
      </c>
      <c r="O2263">
        <f>IF(B2263,ROUND(MAX(0,J2263*K2263*L2263*M2263*N2263),2),"")</f>
        <v/>
      </c>
    </row>
    <row r="2264">
      <c r="A2264" t="n">
        <v>2263</v>
      </c>
      <c r="B2264">
        <f>A2264&lt;=MineCount*Days</f>
        <v/>
      </c>
      <c r="C2264">
        <f>IF(B2264,INT((A2264-1)/Days)+1,"")</f>
        <v/>
      </c>
      <c r="D2264">
        <f>IF(B2264,MOD(A2264-1,Days),"")</f>
        <v/>
      </c>
      <c r="E2264" s="16">
        <f>IF(B2264,StartDate+D2264,"")</f>
        <v/>
      </c>
      <c r="F2264">
        <f>IF(B2264,MAX(MOD(SIN(Seed*0.1373+C2264*12.9898+D2264*78.233)*43758.5453,1),1E-9),"")</f>
        <v/>
      </c>
      <c r="G2264">
        <f>IF(B2264,MOD(SIN(Seed*0.5917+C2264*39.3468+D2264*11.135)*24634.6345,1),"")</f>
        <v/>
      </c>
      <c r="H2264">
        <f>IF(B2264,SQRT(-2*LN(F2264))*COS(2*PI()*G2264),"")</f>
        <v/>
      </c>
      <c r="I2264">
        <f>IF(B2264,IF(D2264=0,H2264,Rho*I2263+SQRT(1-Rho^2)*H2264),"")</f>
        <v/>
      </c>
      <c r="J2264">
        <f>IF(B2264,IF(Dist="Normal",DistA+DistB*I2264,DistA+(DistB-DistA)*NORMSDIST(I2264)),"")</f>
        <v/>
      </c>
      <c r="K2264">
        <f>IF(B2264,INDEX(MineScale,C2264),"")</f>
        <v/>
      </c>
      <c r="L2264">
        <f>IF(B2264,INDEX(Dow,1,WEEKDAY(E2264,2)),"")</f>
        <v/>
      </c>
      <c r="M2264">
        <f>IF(B2264,(1+Trend)^D2264,"")</f>
        <v/>
      </c>
      <c r="N2264">
        <f>IF(B2264,EXP(SUMPRODUCT(LN(1+(EvEff-1)*INDEX(Affected,0,C2264)*EXP(-((E2264-EvCenter)^2)/(2*EvSigma^2))))),"")</f>
        <v/>
      </c>
      <c r="O2264">
        <f>IF(B2264,ROUND(MAX(0,J2264*K2264*L2264*M2264*N2264),2),"")</f>
        <v/>
      </c>
    </row>
    <row r="2265">
      <c r="A2265" t="n">
        <v>2264</v>
      </c>
      <c r="B2265">
        <f>A2265&lt;=MineCount*Days</f>
        <v/>
      </c>
      <c r="C2265">
        <f>IF(B2265,INT((A2265-1)/Days)+1,"")</f>
        <v/>
      </c>
      <c r="D2265">
        <f>IF(B2265,MOD(A2265-1,Days),"")</f>
        <v/>
      </c>
      <c r="E2265" s="16">
        <f>IF(B2265,StartDate+D2265,"")</f>
        <v/>
      </c>
      <c r="F2265">
        <f>IF(B2265,MAX(MOD(SIN(Seed*0.1373+C2265*12.9898+D2265*78.233)*43758.5453,1),1E-9),"")</f>
        <v/>
      </c>
      <c r="G2265">
        <f>IF(B2265,MOD(SIN(Seed*0.5917+C2265*39.3468+D2265*11.135)*24634.6345,1),"")</f>
        <v/>
      </c>
      <c r="H2265">
        <f>IF(B2265,SQRT(-2*LN(F2265))*COS(2*PI()*G2265),"")</f>
        <v/>
      </c>
      <c r="I2265">
        <f>IF(B2265,IF(D2265=0,H2265,Rho*I2264+SQRT(1-Rho^2)*H2265),"")</f>
        <v/>
      </c>
      <c r="J2265">
        <f>IF(B2265,IF(Dist="Normal",DistA+DistB*I2265,DistA+(DistB-DistA)*NORMSDIST(I2265)),"")</f>
        <v/>
      </c>
      <c r="K2265">
        <f>IF(B2265,INDEX(MineScale,C2265),"")</f>
        <v/>
      </c>
      <c r="L2265">
        <f>IF(B2265,INDEX(Dow,1,WEEKDAY(E2265,2)),"")</f>
        <v/>
      </c>
      <c r="M2265">
        <f>IF(B2265,(1+Trend)^D2265,"")</f>
        <v/>
      </c>
      <c r="N2265">
        <f>IF(B2265,EXP(SUMPRODUCT(LN(1+(EvEff-1)*INDEX(Affected,0,C2265)*EXP(-((E2265-EvCenter)^2)/(2*EvSigma^2))))),"")</f>
        <v/>
      </c>
      <c r="O2265">
        <f>IF(B2265,ROUND(MAX(0,J2265*K2265*L2265*M2265*N2265),2),"")</f>
        <v/>
      </c>
    </row>
    <row r="2266">
      <c r="A2266" t="n">
        <v>2265</v>
      </c>
      <c r="B2266">
        <f>A2266&lt;=MineCount*Days</f>
        <v/>
      </c>
      <c r="C2266">
        <f>IF(B2266,INT((A2266-1)/Days)+1,"")</f>
        <v/>
      </c>
      <c r="D2266">
        <f>IF(B2266,MOD(A2266-1,Days),"")</f>
        <v/>
      </c>
      <c r="E2266" s="16">
        <f>IF(B2266,StartDate+D2266,"")</f>
        <v/>
      </c>
      <c r="F2266">
        <f>IF(B2266,MAX(MOD(SIN(Seed*0.1373+C2266*12.9898+D2266*78.233)*43758.5453,1),1E-9),"")</f>
        <v/>
      </c>
      <c r="G2266">
        <f>IF(B2266,MOD(SIN(Seed*0.5917+C2266*39.3468+D2266*11.135)*24634.6345,1),"")</f>
        <v/>
      </c>
      <c r="H2266">
        <f>IF(B2266,SQRT(-2*LN(F2266))*COS(2*PI()*G2266),"")</f>
        <v/>
      </c>
      <c r="I2266">
        <f>IF(B2266,IF(D2266=0,H2266,Rho*I2265+SQRT(1-Rho^2)*H2266),"")</f>
        <v/>
      </c>
      <c r="J2266">
        <f>IF(B2266,IF(Dist="Normal",DistA+DistB*I2266,DistA+(DistB-DistA)*NORMSDIST(I2266)),"")</f>
        <v/>
      </c>
      <c r="K2266">
        <f>IF(B2266,INDEX(MineScale,C2266),"")</f>
        <v/>
      </c>
      <c r="L2266">
        <f>IF(B2266,INDEX(Dow,1,WEEKDAY(E2266,2)),"")</f>
        <v/>
      </c>
      <c r="M2266">
        <f>IF(B2266,(1+Trend)^D2266,"")</f>
        <v/>
      </c>
      <c r="N2266">
        <f>IF(B2266,EXP(SUMPRODUCT(LN(1+(EvEff-1)*INDEX(Affected,0,C2266)*EXP(-((E2266-EvCenter)^2)/(2*EvSigma^2))))),"")</f>
        <v/>
      </c>
      <c r="O2266">
        <f>IF(B2266,ROUND(MAX(0,J2266*K2266*L2266*M2266*N2266),2),"")</f>
        <v/>
      </c>
    </row>
    <row r="2267">
      <c r="A2267" t="n">
        <v>2266</v>
      </c>
      <c r="B2267">
        <f>A2267&lt;=MineCount*Days</f>
        <v/>
      </c>
      <c r="C2267">
        <f>IF(B2267,INT((A2267-1)/Days)+1,"")</f>
        <v/>
      </c>
      <c r="D2267">
        <f>IF(B2267,MOD(A2267-1,Days),"")</f>
        <v/>
      </c>
      <c r="E2267" s="16">
        <f>IF(B2267,StartDate+D2267,"")</f>
        <v/>
      </c>
      <c r="F2267">
        <f>IF(B2267,MAX(MOD(SIN(Seed*0.1373+C2267*12.9898+D2267*78.233)*43758.5453,1),1E-9),"")</f>
        <v/>
      </c>
      <c r="G2267">
        <f>IF(B2267,MOD(SIN(Seed*0.5917+C2267*39.3468+D2267*11.135)*24634.6345,1),"")</f>
        <v/>
      </c>
      <c r="H2267">
        <f>IF(B2267,SQRT(-2*LN(F2267))*COS(2*PI()*G2267),"")</f>
        <v/>
      </c>
      <c r="I2267">
        <f>IF(B2267,IF(D2267=0,H2267,Rho*I2266+SQRT(1-Rho^2)*H2267),"")</f>
        <v/>
      </c>
      <c r="J2267">
        <f>IF(B2267,IF(Dist="Normal",DistA+DistB*I2267,DistA+(DistB-DistA)*NORMSDIST(I2267)),"")</f>
        <v/>
      </c>
      <c r="K2267">
        <f>IF(B2267,INDEX(MineScale,C2267),"")</f>
        <v/>
      </c>
      <c r="L2267">
        <f>IF(B2267,INDEX(Dow,1,WEEKDAY(E2267,2)),"")</f>
        <v/>
      </c>
      <c r="M2267">
        <f>IF(B2267,(1+Trend)^D2267,"")</f>
        <v/>
      </c>
      <c r="N2267">
        <f>IF(B2267,EXP(SUMPRODUCT(LN(1+(EvEff-1)*INDEX(Affected,0,C2267)*EXP(-((E2267-EvCenter)^2)/(2*EvSigma^2))))),"")</f>
        <v/>
      </c>
      <c r="O2267">
        <f>IF(B2267,ROUND(MAX(0,J2267*K2267*L2267*M2267*N2267),2),"")</f>
        <v/>
      </c>
    </row>
    <row r="2268">
      <c r="A2268" t="n">
        <v>2267</v>
      </c>
      <c r="B2268">
        <f>A2268&lt;=MineCount*Days</f>
        <v/>
      </c>
      <c r="C2268">
        <f>IF(B2268,INT((A2268-1)/Days)+1,"")</f>
        <v/>
      </c>
      <c r="D2268">
        <f>IF(B2268,MOD(A2268-1,Days),"")</f>
        <v/>
      </c>
      <c r="E2268" s="16">
        <f>IF(B2268,StartDate+D2268,"")</f>
        <v/>
      </c>
      <c r="F2268">
        <f>IF(B2268,MAX(MOD(SIN(Seed*0.1373+C2268*12.9898+D2268*78.233)*43758.5453,1),1E-9),"")</f>
        <v/>
      </c>
      <c r="G2268">
        <f>IF(B2268,MOD(SIN(Seed*0.5917+C2268*39.3468+D2268*11.135)*24634.6345,1),"")</f>
        <v/>
      </c>
      <c r="H2268">
        <f>IF(B2268,SQRT(-2*LN(F2268))*COS(2*PI()*G2268),"")</f>
        <v/>
      </c>
      <c r="I2268">
        <f>IF(B2268,IF(D2268=0,H2268,Rho*I2267+SQRT(1-Rho^2)*H2268),"")</f>
        <v/>
      </c>
      <c r="J2268">
        <f>IF(B2268,IF(Dist="Normal",DistA+DistB*I2268,DistA+(DistB-DistA)*NORMSDIST(I2268)),"")</f>
        <v/>
      </c>
      <c r="K2268">
        <f>IF(B2268,INDEX(MineScale,C2268),"")</f>
        <v/>
      </c>
      <c r="L2268">
        <f>IF(B2268,INDEX(Dow,1,WEEKDAY(E2268,2)),"")</f>
        <v/>
      </c>
      <c r="M2268">
        <f>IF(B2268,(1+Trend)^D2268,"")</f>
        <v/>
      </c>
      <c r="N2268">
        <f>IF(B2268,EXP(SUMPRODUCT(LN(1+(EvEff-1)*INDEX(Affected,0,C2268)*EXP(-((E2268-EvCenter)^2)/(2*EvSigma^2))))),"")</f>
        <v/>
      </c>
      <c r="O2268">
        <f>IF(B2268,ROUND(MAX(0,J2268*K2268*L2268*M2268*N2268),2),"")</f>
        <v/>
      </c>
    </row>
    <row r="2269">
      <c r="A2269" t="n">
        <v>2268</v>
      </c>
      <c r="B2269">
        <f>A2269&lt;=MineCount*Days</f>
        <v/>
      </c>
      <c r="C2269">
        <f>IF(B2269,INT((A2269-1)/Days)+1,"")</f>
        <v/>
      </c>
      <c r="D2269">
        <f>IF(B2269,MOD(A2269-1,Days),"")</f>
        <v/>
      </c>
      <c r="E2269" s="16">
        <f>IF(B2269,StartDate+D2269,"")</f>
        <v/>
      </c>
      <c r="F2269">
        <f>IF(B2269,MAX(MOD(SIN(Seed*0.1373+C2269*12.9898+D2269*78.233)*43758.5453,1),1E-9),"")</f>
        <v/>
      </c>
      <c r="G2269">
        <f>IF(B2269,MOD(SIN(Seed*0.5917+C2269*39.3468+D2269*11.135)*24634.6345,1),"")</f>
        <v/>
      </c>
      <c r="H2269">
        <f>IF(B2269,SQRT(-2*LN(F2269))*COS(2*PI()*G2269),"")</f>
        <v/>
      </c>
      <c r="I2269">
        <f>IF(B2269,IF(D2269=0,H2269,Rho*I2268+SQRT(1-Rho^2)*H2269),"")</f>
        <v/>
      </c>
      <c r="J2269">
        <f>IF(B2269,IF(Dist="Normal",DistA+DistB*I2269,DistA+(DistB-DistA)*NORMSDIST(I2269)),"")</f>
        <v/>
      </c>
      <c r="K2269">
        <f>IF(B2269,INDEX(MineScale,C2269),"")</f>
        <v/>
      </c>
      <c r="L2269">
        <f>IF(B2269,INDEX(Dow,1,WEEKDAY(E2269,2)),"")</f>
        <v/>
      </c>
      <c r="M2269">
        <f>IF(B2269,(1+Trend)^D2269,"")</f>
        <v/>
      </c>
      <c r="N2269">
        <f>IF(B2269,EXP(SUMPRODUCT(LN(1+(EvEff-1)*INDEX(Affected,0,C2269)*EXP(-((E2269-EvCenter)^2)/(2*EvSigma^2))))),"")</f>
        <v/>
      </c>
      <c r="O2269">
        <f>IF(B2269,ROUND(MAX(0,J2269*K2269*L2269*M2269*N2269),2),"")</f>
        <v/>
      </c>
    </row>
    <row r="2270">
      <c r="A2270" t="n">
        <v>2269</v>
      </c>
      <c r="B2270">
        <f>A2270&lt;=MineCount*Days</f>
        <v/>
      </c>
      <c r="C2270">
        <f>IF(B2270,INT((A2270-1)/Days)+1,"")</f>
        <v/>
      </c>
      <c r="D2270">
        <f>IF(B2270,MOD(A2270-1,Days),"")</f>
        <v/>
      </c>
      <c r="E2270" s="16">
        <f>IF(B2270,StartDate+D2270,"")</f>
        <v/>
      </c>
      <c r="F2270">
        <f>IF(B2270,MAX(MOD(SIN(Seed*0.1373+C2270*12.9898+D2270*78.233)*43758.5453,1),1E-9),"")</f>
        <v/>
      </c>
      <c r="G2270">
        <f>IF(B2270,MOD(SIN(Seed*0.5917+C2270*39.3468+D2270*11.135)*24634.6345,1),"")</f>
        <v/>
      </c>
      <c r="H2270">
        <f>IF(B2270,SQRT(-2*LN(F2270))*COS(2*PI()*G2270),"")</f>
        <v/>
      </c>
      <c r="I2270">
        <f>IF(B2270,IF(D2270=0,H2270,Rho*I2269+SQRT(1-Rho^2)*H2270),"")</f>
        <v/>
      </c>
      <c r="J2270">
        <f>IF(B2270,IF(Dist="Normal",DistA+DistB*I2270,DistA+(DistB-DistA)*NORMSDIST(I2270)),"")</f>
        <v/>
      </c>
      <c r="K2270">
        <f>IF(B2270,INDEX(MineScale,C2270),"")</f>
        <v/>
      </c>
      <c r="L2270">
        <f>IF(B2270,INDEX(Dow,1,WEEKDAY(E2270,2)),"")</f>
        <v/>
      </c>
      <c r="M2270">
        <f>IF(B2270,(1+Trend)^D2270,"")</f>
        <v/>
      </c>
      <c r="N2270">
        <f>IF(B2270,EXP(SUMPRODUCT(LN(1+(EvEff-1)*INDEX(Affected,0,C2270)*EXP(-((E2270-EvCenter)^2)/(2*EvSigma^2))))),"")</f>
        <v/>
      </c>
      <c r="O2270">
        <f>IF(B2270,ROUND(MAX(0,J2270*K2270*L2270*M2270*N2270),2),"")</f>
        <v/>
      </c>
    </row>
    <row r="2271">
      <c r="A2271" t="n">
        <v>2270</v>
      </c>
      <c r="B2271">
        <f>A2271&lt;=MineCount*Days</f>
        <v/>
      </c>
      <c r="C2271">
        <f>IF(B2271,INT((A2271-1)/Days)+1,"")</f>
        <v/>
      </c>
      <c r="D2271">
        <f>IF(B2271,MOD(A2271-1,Days),"")</f>
        <v/>
      </c>
      <c r="E2271" s="16">
        <f>IF(B2271,StartDate+D2271,"")</f>
        <v/>
      </c>
      <c r="F2271">
        <f>IF(B2271,MAX(MOD(SIN(Seed*0.1373+C2271*12.9898+D2271*78.233)*43758.5453,1),1E-9),"")</f>
        <v/>
      </c>
      <c r="G2271">
        <f>IF(B2271,MOD(SIN(Seed*0.5917+C2271*39.3468+D2271*11.135)*24634.6345,1),"")</f>
        <v/>
      </c>
      <c r="H2271">
        <f>IF(B2271,SQRT(-2*LN(F2271))*COS(2*PI()*G2271),"")</f>
        <v/>
      </c>
      <c r="I2271">
        <f>IF(B2271,IF(D2271=0,H2271,Rho*I2270+SQRT(1-Rho^2)*H2271),"")</f>
        <v/>
      </c>
      <c r="J2271">
        <f>IF(B2271,IF(Dist="Normal",DistA+DistB*I2271,DistA+(DistB-DistA)*NORMSDIST(I2271)),"")</f>
        <v/>
      </c>
      <c r="K2271">
        <f>IF(B2271,INDEX(MineScale,C2271),"")</f>
        <v/>
      </c>
      <c r="L2271">
        <f>IF(B2271,INDEX(Dow,1,WEEKDAY(E2271,2)),"")</f>
        <v/>
      </c>
      <c r="M2271">
        <f>IF(B2271,(1+Trend)^D2271,"")</f>
        <v/>
      </c>
      <c r="N2271">
        <f>IF(B2271,EXP(SUMPRODUCT(LN(1+(EvEff-1)*INDEX(Affected,0,C2271)*EXP(-((E2271-EvCenter)^2)/(2*EvSigma^2))))),"")</f>
        <v/>
      </c>
      <c r="O2271">
        <f>IF(B2271,ROUND(MAX(0,J2271*K2271*L2271*M2271*N2271),2),"")</f>
        <v/>
      </c>
    </row>
    <row r="2272">
      <c r="A2272" t="n">
        <v>2271</v>
      </c>
      <c r="B2272">
        <f>A2272&lt;=MineCount*Days</f>
        <v/>
      </c>
      <c r="C2272">
        <f>IF(B2272,INT((A2272-1)/Days)+1,"")</f>
        <v/>
      </c>
      <c r="D2272">
        <f>IF(B2272,MOD(A2272-1,Days),"")</f>
        <v/>
      </c>
      <c r="E2272" s="16">
        <f>IF(B2272,StartDate+D2272,"")</f>
        <v/>
      </c>
      <c r="F2272">
        <f>IF(B2272,MAX(MOD(SIN(Seed*0.1373+C2272*12.9898+D2272*78.233)*43758.5453,1),1E-9),"")</f>
        <v/>
      </c>
      <c r="G2272">
        <f>IF(B2272,MOD(SIN(Seed*0.5917+C2272*39.3468+D2272*11.135)*24634.6345,1),"")</f>
        <v/>
      </c>
      <c r="H2272">
        <f>IF(B2272,SQRT(-2*LN(F2272))*COS(2*PI()*G2272),"")</f>
        <v/>
      </c>
      <c r="I2272">
        <f>IF(B2272,IF(D2272=0,H2272,Rho*I2271+SQRT(1-Rho^2)*H2272),"")</f>
        <v/>
      </c>
      <c r="J2272">
        <f>IF(B2272,IF(Dist="Normal",DistA+DistB*I2272,DistA+(DistB-DistA)*NORMSDIST(I2272)),"")</f>
        <v/>
      </c>
      <c r="K2272">
        <f>IF(B2272,INDEX(MineScale,C2272),"")</f>
        <v/>
      </c>
      <c r="L2272">
        <f>IF(B2272,INDEX(Dow,1,WEEKDAY(E2272,2)),"")</f>
        <v/>
      </c>
      <c r="M2272">
        <f>IF(B2272,(1+Trend)^D2272,"")</f>
        <v/>
      </c>
      <c r="N2272">
        <f>IF(B2272,EXP(SUMPRODUCT(LN(1+(EvEff-1)*INDEX(Affected,0,C2272)*EXP(-((E2272-EvCenter)^2)/(2*EvSigma^2))))),"")</f>
        <v/>
      </c>
      <c r="O2272">
        <f>IF(B2272,ROUND(MAX(0,J2272*K2272*L2272*M2272*N2272),2),"")</f>
        <v/>
      </c>
    </row>
    <row r="2273">
      <c r="A2273" t="n">
        <v>2272</v>
      </c>
      <c r="B2273">
        <f>A2273&lt;=MineCount*Days</f>
        <v/>
      </c>
      <c r="C2273">
        <f>IF(B2273,INT((A2273-1)/Days)+1,"")</f>
        <v/>
      </c>
      <c r="D2273">
        <f>IF(B2273,MOD(A2273-1,Days),"")</f>
        <v/>
      </c>
      <c r="E2273" s="16">
        <f>IF(B2273,StartDate+D2273,"")</f>
        <v/>
      </c>
      <c r="F2273">
        <f>IF(B2273,MAX(MOD(SIN(Seed*0.1373+C2273*12.9898+D2273*78.233)*43758.5453,1),1E-9),"")</f>
        <v/>
      </c>
      <c r="G2273">
        <f>IF(B2273,MOD(SIN(Seed*0.5917+C2273*39.3468+D2273*11.135)*24634.6345,1),"")</f>
        <v/>
      </c>
      <c r="H2273">
        <f>IF(B2273,SQRT(-2*LN(F2273))*COS(2*PI()*G2273),"")</f>
        <v/>
      </c>
      <c r="I2273">
        <f>IF(B2273,IF(D2273=0,H2273,Rho*I2272+SQRT(1-Rho^2)*H2273),"")</f>
        <v/>
      </c>
      <c r="J2273">
        <f>IF(B2273,IF(Dist="Normal",DistA+DistB*I2273,DistA+(DistB-DistA)*NORMSDIST(I2273)),"")</f>
        <v/>
      </c>
      <c r="K2273">
        <f>IF(B2273,INDEX(MineScale,C2273),"")</f>
        <v/>
      </c>
      <c r="L2273">
        <f>IF(B2273,INDEX(Dow,1,WEEKDAY(E2273,2)),"")</f>
        <v/>
      </c>
      <c r="M2273">
        <f>IF(B2273,(1+Trend)^D2273,"")</f>
        <v/>
      </c>
      <c r="N2273">
        <f>IF(B2273,EXP(SUMPRODUCT(LN(1+(EvEff-1)*INDEX(Affected,0,C2273)*EXP(-((E2273-EvCenter)^2)/(2*EvSigma^2))))),"")</f>
        <v/>
      </c>
      <c r="O2273">
        <f>IF(B2273,ROUND(MAX(0,J2273*K2273*L2273*M2273*N2273),2),"")</f>
        <v/>
      </c>
    </row>
    <row r="2274">
      <c r="A2274" t="n">
        <v>2273</v>
      </c>
      <c r="B2274">
        <f>A2274&lt;=MineCount*Days</f>
        <v/>
      </c>
      <c r="C2274">
        <f>IF(B2274,INT((A2274-1)/Days)+1,"")</f>
        <v/>
      </c>
      <c r="D2274">
        <f>IF(B2274,MOD(A2274-1,Days),"")</f>
        <v/>
      </c>
      <c r="E2274" s="16">
        <f>IF(B2274,StartDate+D2274,"")</f>
        <v/>
      </c>
      <c r="F2274">
        <f>IF(B2274,MAX(MOD(SIN(Seed*0.1373+C2274*12.9898+D2274*78.233)*43758.5453,1),1E-9),"")</f>
        <v/>
      </c>
      <c r="G2274">
        <f>IF(B2274,MOD(SIN(Seed*0.5917+C2274*39.3468+D2274*11.135)*24634.6345,1),"")</f>
        <v/>
      </c>
      <c r="H2274">
        <f>IF(B2274,SQRT(-2*LN(F2274))*COS(2*PI()*G2274),"")</f>
        <v/>
      </c>
      <c r="I2274">
        <f>IF(B2274,IF(D2274=0,H2274,Rho*I2273+SQRT(1-Rho^2)*H2274),"")</f>
        <v/>
      </c>
      <c r="J2274">
        <f>IF(B2274,IF(Dist="Normal",DistA+DistB*I2274,DistA+(DistB-DistA)*NORMSDIST(I2274)),"")</f>
        <v/>
      </c>
      <c r="K2274">
        <f>IF(B2274,INDEX(MineScale,C2274),"")</f>
        <v/>
      </c>
      <c r="L2274">
        <f>IF(B2274,INDEX(Dow,1,WEEKDAY(E2274,2)),"")</f>
        <v/>
      </c>
      <c r="M2274">
        <f>IF(B2274,(1+Trend)^D2274,"")</f>
        <v/>
      </c>
      <c r="N2274">
        <f>IF(B2274,EXP(SUMPRODUCT(LN(1+(EvEff-1)*INDEX(Affected,0,C2274)*EXP(-((E2274-EvCenter)^2)/(2*EvSigma^2))))),"")</f>
        <v/>
      </c>
      <c r="O2274">
        <f>IF(B2274,ROUND(MAX(0,J2274*K2274*L2274*M2274*N2274),2),"")</f>
        <v/>
      </c>
    </row>
    <row r="2275">
      <c r="A2275" t="n">
        <v>2274</v>
      </c>
      <c r="B2275">
        <f>A2275&lt;=MineCount*Days</f>
        <v/>
      </c>
      <c r="C2275">
        <f>IF(B2275,INT((A2275-1)/Days)+1,"")</f>
        <v/>
      </c>
      <c r="D2275">
        <f>IF(B2275,MOD(A2275-1,Days),"")</f>
        <v/>
      </c>
      <c r="E2275" s="16">
        <f>IF(B2275,StartDate+D2275,"")</f>
        <v/>
      </c>
      <c r="F2275">
        <f>IF(B2275,MAX(MOD(SIN(Seed*0.1373+C2275*12.9898+D2275*78.233)*43758.5453,1),1E-9),"")</f>
        <v/>
      </c>
      <c r="G2275">
        <f>IF(B2275,MOD(SIN(Seed*0.5917+C2275*39.3468+D2275*11.135)*24634.6345,1),"")</f>
        <v/>
      </c>
      <c r="H2275">
        <f>IF(B2275,SQRT(-2*LN(F2275))*COS(2*PI()*G2275),"")</f>
        <v/>
      </c>
      <c r="I2275">
        <f>IF(B2275,IF(D2275=0,H2275,Rho*I2274+SQRT(1-Rho^2)*H2275),"")</f>
        <v/>
      </c>
      <c r="J2275">
        <f>IF(B2275,IF(Dist="Normal",DistA+DistB*I2275,DistA+(DistB-DistA)*NORMSDIST(I2275)),"")</f>
        <v/>
      </c>
      <c r="K2275">
        <f>IF(B2275,INDEX(MineScale,C2275),"")</f>
        <v/>
      </c>
      <c r="L2275">
        <f>IF(B2275,INDEX(Dow,1,WEEKDAY(E2275,2)),"")</f>
        <v/>
      </c>
      <c r="M2275">
        <f>IF(B2275,(1+Trend)^D2275,"")</f>
        <v/>
      </c>
      <c r="N2275">
        <f>IF(B2275,EXP(SUMPRODUCT(LN(1+(EvEff-1)*INDEX(Affected,0,C2275)*EXP(-((E2275-EvCenter)^2)/(2*EvSigma^2))))),"")</f>
        <v/>
      </c>
      <c r="O2275">
        <f>IF(B2275,ROUND(MAX(0,J2275*K2275*L2275*M2275*N2275),2),"")</f>
        <v/>
      </c>
    </row>
    <row r="2276">
      <c r="A2276" t="n">
        <v>2275</v>
      </c>
      <c r="B2276">
        <f>A2276&lt;=MineCount*Days</f>
        <v/>
      </c>
      <c r="C2276">
        <f>IF(B2276,INT((A2276-1)/Days)+1,"")</f>
        <v/>
      </c>
      <c r="D2276">
        <f>IF(B2276,MOD(A2276-1,Days),"")</f>
        <v/>
      </c>
      <c r="E2276" s="16">
        <f>IF(B2276,StartDate+D2276,"")</f>
        <v/>
      </c>
      <c r="F2276">
        <f>IF(B2276,MAX(MOD(SIN(Seed*0.1373+C2276*12.9898+D2276*78.233)*43758.5453,1),1E-9),"")</f>
        <v/>
      </c>
      <c r="G2276">
        <f>IF(B2276,MOD(SIN(Seed*0.5917+C2276*39.3468+D2276*11.135)*24634.6345,1),"")</f>
        <v/>
      </c>
      <c r="H2276">
        <f>IF(B2276,SQRT(-2*LN(F2276))*COS(2*PI()*G2276),"")</f>
        <v/>
      </c>
      <c r="I2276">
        <f>IF(B2276,IF(D2276=0,H2276,Rho*I2275+SQRT(1-Rho^2)*H2276),"")</f>
        <v/>
      </c>
      <c r="J2276">
        <f>IF(B2276,IF(Dist="Normal",DistA+DistB*I2276,DistA+(DistB-DistA)*NORMSDIST(I2276)),"")</f>
        <v/>
      </c>
      <c r="K2276">
        <f>IF(B2276,INDEX(MineScale,C2276),"")</f>
        <v/>
      </c>
      <c r="L2276">
        <f>IF(B2276,INDEX(Dow,1,WEEKDAY(E2276,2)),"")</f>
        <v/>
      </c>
      <c r="M2276">
        <f>IF(B2276,(1+Trend)^D2276,"")</f>
        <v/>
      </c>
      <c r="N2276">
        <f>IF(B2276,EXP(SUMPRODUCT(LN(1+(EvEff-1)*INDEX(Affected,0,C2276)*EXP(-((E2276-EvCenter)^2)/(2*EvSigma^2))))),"")</f>
        <v/>
      </c>
      <c r="O2276">
        <f>IF(B2276,ROUND(MAX(0,J2276*K2276*L2276*M2276*N2276),2),"")</f>
        <v/>
      </c>
    </row>
    <row r="2277">
      <c r="A2277" t="n">
        <v>2276</v>
      </c>
      <c r="B2277">
        <f>A2277&lt;=MineCount*Days</f>
        <v/>
      </c>
      <c r="C2277">
        <f>IF(B2277,INT((A2277-1)/Days)+1,"")</f>
        <v/>
      </c>
      <c r="D2277">
        <f>IF(B2277,MOD(A2277-1,Days),"")</f>
        <v/>
      </c>
      <c r="E2277" s="16">
        <f>IF(B2277,StartDate+D2277,"")</f>
        <v/>
      </c>
      <c r="F2277">
        <f>IF(B2277,MAX(MOD(SIN(Seed*0.1373+C2277*12.9898+D2277*78.233)*43758.5453,1),1E-9),"")</f>
        <v/>
      </c>
      <c r="G2277">
        <f>IF(B2277,MOD(SIN(Seed*0.5917+C2277*39.3468+D2277*11.135)*24634.6345,1),"")</f>
        <v/>
      </c>
      <c r="H2277">
        <f>IF(B2277,SQRT(-2*LN(F2277))*COS(2*PI()*G2277),"")</f>
        <v/>
      </c>
      <c r="I2277">
        <f>IF(B2277,IF(D2277=0,H2277,Rho*I2276+SQRT(1-Rho^2)*H2277),"")</f>
        <v/>
      </c>
      <c r="J2277">
        <f>IF(B2277,IF(Dist="Normal",DistA+DistB*I2277,DistA+(DistB-DistA)*NORMSDIST(I2277)),"")</f>
        <v/>
      </c>
      <c r="K2277">
        <f>IF(B2277,INDEX(MineScale,C2277),"")</f>
        <v/>
      </c>
      <c r="L2277">
        <f>IF(B2277,INDEX(Dow,1,WEEKDAY(E2277,2)),"")</f>
        <v/>
      </c>
      <c r="M2277">
        <f>IF(B2277,(1+Trend)^D2277,"")</f>
        <v/>
      </c>
      <c r="N2277">
        <f>IF(B2277,EXP(SUMPRODUCT(LN(1+(EvEff-1)*INDEX(Affected,0,C2277)*EXP(-((E2277-EvCenter)^2)/(2*EvSigma^2))))),"")</f>
        <v/>
      </c>
      <c r="O2277">
        <f>IF(B2277,ROUND(MAX(0,J2277*K2277*L2277*M2277*N2277),2),"")</f>
        <v/>
      </c>
    </row>
    <row r="2278">
      <c r="A2278" t="n">
        <v>2277</v>
      </c>
      <c r="B2278">
        <f>A2278&lt;=MineCount*Days</f>
        <v/>
      </c>
      <c r="C2278">
        <f>IF(B2278,INT((A2278-1)/Days)+1,"")</f>
        <v/>
      </c>
      <c r="D2278">
        <f>IF(B2278,MOD(A2278-1,Days),"")</f>
        <v/>
      </c>
      <c r="E2278" s="16">
        <f>IF(B2278,StartDate+D2278,"")</f>
        <v/>
      </c>
      <c r="F2278">
        <f>IF(B2278,MAX(MOD(SIN(Seed*0.1373+C2278*12.9898+D2278*78.233)*43758.5453,1),1E-9),"")</f>
        <v/>
      </c>
      <c r="G2278">
        <f>IF(B2278,MOD(SIN(Seed*0.5917+C2278*39.3468+D2278*11.135)*24634.6345,1),"")</f>
        <v/>
      </c>
      <c r="H2278">
        <f>IF(B2278,SQRT(-2*LN(F2278))*COS(2*PI()*G2278),"")</f>
        <v/>
      </c>
      <c r="I2278">
        <f>IF(B2278,IF(D2278=0,H2278,Rho*I2277+SQRT(1-Rho^2)*H2278),"")</f>
        <v/>
      </c>
      <c r="J2278">
        <f>IF(B2278,IF(Dist="Normal",DistA+DistB*I2278,DistA+(DistB-DistA)*NORMSDIST(I2278)),"")</f>
        <v/>
      </c>
      <c r="K2278">
        <f>IF(B2278,INDEX(MineScale,C2278),"")</f>
        <v/>
      </c>
      <c r="L2278">
        <f>IF(B2278,INDEX(Dow,1,WEEKDAY(E2278,2)),"")</f>
        <v/>
      </c>
      <c r="M2278">
        <f>IF(B2278,(1+Trend)^D2278,"")</f>
        <v/>
      </c>
      <c r="N2278">
        <f>IF(B2278,EXP(SUMPRODUCT(LN(1+(EvEff-1)*INDEX(Affected,0,C2278)*EXP(-((E2278-EvCenter)^2)/(2*EvSigma^2))))),"")</f>
        <v/>
      </c>
      <c r="O2278">
        <f>IF(B2278,ROUND(MAX(0,J2278*K2278*L2278*M2278*N2278),2),"")</f>
        <v/>
      </c>
    </row>
    <row r="2279">
      <c r="A2279" t="n">
        <v>2278</v>
      </c>
      <c r="B2279">
        <f>A2279&lt;=MineCount*Days</f>
        <v/>
      </c>
      <c r="C2279">
        <f>IF(B2279,INT((A2279-1)/Days)+1,"")</f>
        <v/>
      </c>
      <c r="D2279">
        <f>IF(B2279,MOD(A2279-1,Days),"")</f>
        <v/>
      </c>
      <c r="E2279" s="16">
        <f>IF(B2279,StartDate+D2279,"")</f>
        <v/>
      </c>
      <c r="F2279">
        <f>IF(B2279,MAX(MOD(SIN(Seed*0.1373+C2279*12.9898+D2279*78.233)*43758.5453,1),1E-9),"")</f>
        <v/>
      </c>
      <c r="G2279">
        <f>IF(B2279,MOD(SIN(Seed*0.5917+C2279*39.3468+D2279*11.135)*24634.6345,1),"")</f>
        <v/>
      </c>
      <c r="H2279">
        <f>IF(B2279,SQRT(-2*LN(F2279))*COS(2*PI()*G2279),"")</f>
        <v/>
      </c>
      <c r="I2279">
        <f>IF(B2279,IF(D2279=0,H2279,Rho*I2278+SQRT(1-Rho^2)*H2279),"")</f>
        <v/>
      </c>
      <c r="J2279">
        <f>IF(B2279,IF(Dist="Normal",DistA+DistB*I2279,DistA+(DistB-DistA)*NORMSDIST(I2279)),"")</f>
        <v/>
      </c>
      <c r="K2279">
        <f>IF(B2279,INDEX(MineScale,C2279),"")</f>
        <v/>
      </c>
      <c r="L2279">
        <f>IF(B2279,INDEX(Dow,1,WEEKDAY(E2279,2)),"")</f>
        <v/>
      </c>
      <c r="M2279">
        <f>IF(B2279,(1+Trend)^D2279,"")</f>
        <v/>
      </c>
      <c r="N2279">
        <f>IF(B2279,EXP(SUMPRODUCT(LN(1+(EvEff-1)*INDEX(Affected,0,C2279)*EXP(-((E2279-EvCenter)^2)/(2*EvSigma^2))))),"")</f>
        <v/>
      </c>
      <c r="O2279">
        <f>IF(B2279,ROUND(MAX(0,J2279*K2279*L2279*M2279*N2279),2),"")</f>
        <v/>
      </c>
    </row>
    <row r="2280">
      <c r="A2280" t="n">
        <v>2279</v>
      </c>
      <c r="B2280">
        <f>A2280&lt;=MineCount*Days</f>
        <v/>
      </c>
      <c r="C2280">
        <f>IF(B2280,INT((A2280-1)/Days)+1,"")</f>
        <v/>
      </c>
      <c r="D2280">
        <f>IF(B2280,MOD(A2280-1,Days),"")</f>
        <v/>
      </c>
      <c r="E2280" s="16">
        <f>IF(B2280,StartDate+D2280,"")</f>
        <v/>
      </c>
      <c r="F2280">
        <f>IF(B2280,MAX(MOD(SIN(Seed*0.1373+C2280*12.9898+D2280*78.233)*43758.5453,1),1E-9),"")</f>
        <v/>
      </c>
      <c r="G2280">
        <f>IF(B2280,MOD(SIN(Seed*0.5917+C2280*39.3468+D2280*11.135)*24634.6345,1),"")</f>
        <v/>
      </c>
      <c r="H2280">
        <f>IF(B2280,SQRT(-2*LN(F2280))*COS(2*PI()*G2280),"")</f>
        <v/>
      </c>
      <c r="I2280">
        <f>IF(B2280,IF(D2280=0,H2280,Rho*I2279+SQRT(1-Rho^2)*H2280),"")</f>
        <v/>
      </c>
      <c r="J2280">
        <f>IF(B2280,IF(Dist="Normal",DistA+DistB*I2280,DistA+(DistB-DistA)*NORMSDIST(I2280)),"")</f>
        <v/>
      </c>
      <c r="K2280">
        <f>IF(B2280,INDEX(MineScale,C2280),"")</f>
        <v/>
      </c>
      <c r="L2280">
        <f>IF(B2280,INDEX(Dow,1,WEEKDAY(E2280,2)),"")</f>
        <v/>
      </c>
      <c r="M2280">
        <f>IF(B2280,(1+Trend)^D2280,"")</f>
        <v/>
      </c>
      <c r="N2280">
        <f>IF(B2280,EXP(SUMPRODUCT(LN(1+(EvEff-1)*INDEX(Affected,0,C2280)*EXP(-((E2280-EvCenter)^2)/(2*EvSigma^2))))),"")</f>
        <v/>
      </c>
      <c r="O2280">
        <f>IF(B2280,ROUND(MAX(0,J2280*K2280*L2280*M2280*N2280),2),"")</f>
        <v/>
      </c>
    </row>
    <row r="2281">
      <c r="A2281" t="n">
        <v>2280</v>
      </c>
      <c r="B2281">
        <f>A2281&lt;=MineCount*Days</f>
        <v/>
      </c>
      <c r="C2281">
        <f>IF(B2281,INT((A2281-1)/Days)+1,"")</f>
        <v/>
      </c>
      <c r="D2281">
        <f>IF(B2281,MOD(A2281-1,Days),"")</f>
        <v/>
      </c>
      <c r="E2281" s="16">
        <f>IF(B2281,StartDate+D2281,"")</f>
        <v/>
      </c>
      <c r="F2281">
        <f>IF(B2281,MAX(MOD(SIN(Seed*0.1373+C2281*12.9898+D2281*78.233)*43758.5453,1),1E-9),"")</f>
        <v/>
      </c>
      <c r="G2281">
        <f>IF(B2281,MOD(SIN(Seed*0.5917+C2281*39.3468+D2281*11.135)*24634.6345,1),"")</f>
        <v/>
      </c>
      <c r="H2281">
        <f>IF(B2281,SQRT(-2*LN(F2281))*COS(2*PI()*G2281),"")</f>
        <v/>
      </c>
      <c r="I2281">
        <f>IF(B2281,IF(D2281=0,H2281,Rho*I2280+SQRT(1-Rho^2)*H2281),"")</f>
        <v/>
      </c>
      <c r="J2281">
        <f>IF(B2281,IF(Dist="Normal",DistA+DistB*I2281,DistA+(DistB-DistA)*NORMSDIST(I2281)),"")</f>
        <v/>
      </c>
      <c r="K2281">
        <f>IF(B2281,INDEX(MineScale,C2281),"")</f>
        <v/>
      </c>
      <c r="L2281">
        <f>IF(B2281,INDEX(Dow,1,WEEKDAY(E2281,2)),"")</f>
        <v/>
      </c>
      <c r="M2281">
        <f>IF(B2281,(1+Trend)^D2281,"")</f>
        <v/>
      </c>
      <c r="N2281">
        <f>IF(B2281,EXP(SUMPRODUCT(LN(1+(EvEff-1)*INDEX(Affected,0,C2281)*EXP(-((E2281-EvCenter)^2)/(2*EvSigma^2))))),"")</f>
        <v/>
      </c>
      <c r="O2281">
        <f>IF(B2281,ROUND(MAX(0,J2281*K2281*L2281*M2281*N2281),2),"")</f>
        <v/>
      </c>
    </row>
    <row r="2282">
      <c r="A2282" t="n">
        <v>2281</v>
      </c>
      <c r="B2282">
        <f>A2282&lt;=MineCount*Days</f>
        <v/>
      </c>
      <c r="C2282">
        <f>IF(B2282,INT((A2282-1)/Days)+1,"")</f>
        <v/>
      </c>
      <c r="D2282">
        <f>IF(B2282,MOD(A2282-1,Days),"")</f>
        <v/>
      </c>
      <c r="E2282" s="16">
        <f>IF(B2282,StartDate+D2282,"")</f>
        <v/>
      </c>
      <c r="F2282">
        <f>IF(B2282,MAX(MOD(SIN(Seed*0.1373+C2282*12.9898+D2282*78.233)*43758.5453,1),1E-9),"")</f>
        <v/>
      </c>
      <c r="G2282">
        <f>IF(B2282,MOD(SIN(Seed*0.5917+C2282*39.3468+D2282*11.135)*24634.6345,1),"")</f>
        <v/>
      </c>
      <c r="H2282">
        <f>IF(B2282,SQRT(-2*LN(F2282))*COS(2*PI()*G2282),"")</f>
        <v/>
      </c>
      <c r="I2282">
        <f>IF(B2282,IF(D2282=0,H2282,Rho*I2281+SQRT(1-Rho^2)*H2282),"")</f>
        <v/>
      </c>
      <c r="J2282">
        <f>IF(B2282,IF(Dist="Normal",DistA+DistB*I2282,DistA+(DistB-DistA)*NORMSDIST(I2282)),"")</f>
        <v/>
      </c>
      <c r="K2282">
        <f>IF(B2282,INDEX(MineScale,C2282),"")</f>
        <v/>
      </c>
      <c r="L2282">
        <f>IF(B2282,INDEX(Dow,1,WEEKDAY(E2282,2)),"")</f>
        <v/>
      </c>
      <c r="M2282">
        <f>IF(B2282,(1+Trend)^D2282,"")</f>
        <v/>
      </c>
      <c r="N2282">
        <f>IF(B2282,EXP(SUMPRODUCT(LN(1+(EvEff-1)*INDEX(Affected,0,C2282)*EXP(-((E2282-EvCenter)^2)/(2*EvSigma^2))))),"")</f>
        <v/>
      </c>
      <c r="O2282">
        <f>IF(B2282,ROUND(MAX(0,J2282*K2282*L2282*M2282*N2282),2),"")</f>
        <v/>
      </c>
    </row>
    <row r="2283">
      <c r="A2283" t="n">
        <v>2282</v>
      </c>
      <c r="B2283">
        <f>A2283&lt;=MineCount*Days</f>
        <v/>
      </c>
      <c r="C2283">
        <f>IF(B2283,INT((A2283-1)/Days)+1,"")</f>
        <v/>
      </c>
      <c r="D2283">
        <f>IF(B2283,MOD(A2283-1,Days),"")</f>
        <v/>
      </c>
      <c r="E2283" s="16">
        <f>IF(B2283,StartDate+D2283,"")</f>
        <v/>
      </c>
      <c r="F2283">
        <f>IF(B2283,MAX(MOD(SIN(Seed*0.1373+C2283*12.9898+D2283*78.233)*43758.5453,1),1E-9),"")</f>
        <v/>
      </c>
      <c r="G2283">
        <f>IF(B2283,MOD(SIN(Seed*0.5917+C2283*39.3468+D2283*11.135)*24634.6345,1),"")</f>
        <v/>
      </c>
      <c r="H2283">
        <f>IF(B2283,SQRT(-2*LN(F2283))*COS(2*PI()*G2283),"")</f>
        <v/>
      </c>
      <c r="I2283">
        <f>IF(B2283,IF(D2283=0,H2283,Rho*I2282+SQRT(1-Rho^2)*H2283),"")</f>
        <v/>
      </c>
      <c r="J2283">
        <f>IF(B2283,IF(Dist="Normal",DistA+DistB*I2283,DistA+(DistB-DistA)*NORMSDIST(I2283)),"")</f>
        <v/>
      </c>
      <c r="K2283">
        <f>IF(B2283,INDEX(MineScale,C2283),"")</f>
        <v/>
      </c>
      <c r="L2283">
        <f>IF(B2283,INDEX(Dow,1,WEEKDAY(E2283,2)),"")</f>
        <v/>
      </c>
      <c r="M2283">
        <f>IF(B2283,(1+Trend)^D2283,"")</f>
        <v/>
      </c>
      <c r="N2283">
        <f>IF(B2283,EXP(SUMPRODUCT(LN(1+(EvEff-1)*INDEX(Affected,0,C2283)*EXP(-((E2283-EvCenter)^2)/(2*EvSigma^2))))),"")</f>
        <v/>
      </c>
      <c r="O2283">
        <f>IF(B2283,ROUND(MAX(0,J2283*K2283*L2283*M2283*N2283),2),"")</f>
        <v/>
      </c>
    </row>
    <row r="2284">
      <c r="A2284" t="n">
        <v>2283</v>
      </c>
      <c r="B2284">
        <f>A2284&lt;=MineCount*Days</f>
        <v/>
      </c>
      <c r="C2284">
        <f>IF(B2284,INT((A2284-1)/Days)+1,"")</f>
        <v/>
      </c>
      <c r="D2284">
        <f>IF(B2284,MOD(A2284-1,Days),"")</f>
        <v/>
      </c>
      <c r="E2284" s="16">
        <f>IF(B2284,StartDate+D2284,"")</f>
        <v/>
      </c>
      <c r="F2284">
        <f>IF(B2284,MAX(MOD(SIN(Seed*0.1373+C2284*12.9898+D2284*78.233)*43758.5453,1),1E-9),"")</f>
        <v/>
      </c>
      <c r="G2284">
        <f>IF(B2284,MOD(SIN(Seed*0.5917+C2284*39.3468+D2284*11.135)*24634.6345,1),"")</f>
        <v/>
      </c>
      <c r="H2284">
        <f>IF(B2284,SQRT(-2*LN(F2284))*COS(2*PI()*G2284),"")</f>
        <v/>
      </c>
      <c r="I2284">
        <f>IF(B2284,IF(D2284=0,H2284,Rho*I2283+SQRT(1-Rho^2)*H2284),"")</f>
        <v/>
      </c>
      <c r="J2284">
        <f>IF(B2284,IF(Dist="Normal",DistA+DistB*I2284,DistA+(DistB-DistA)*NORMSDIST(I2284)),"")</f>
        <v/>
      </c>
      <c r="K2284">
        <f>IF(B2284,INDEX(MineScale,C2284),"")</f>
        <v/>
      </c>
      <c r="L2284">
        <f>IF(B2284,INDEX(Dow,1,WEEKDAY(E2284,2)),"")</f>
        <v/>
      </c>
      <c r="M2284">
        <f>IF(B2284,(1+Trend)^D2284,"")</f>
        <v/>
      </c>
      <c r="N2284">
        <f>IF(B2284,EXP(SUMPRODUCT(LN(1+(EvEff-1)*INDEX(Affected,0,C2284)*EXP(-((E2284-EvCenter)^2)/(2*EvSigma^2))))),"")</f>
        <v/>
      </c>
      <c r="O2284">
        <f>IF(B2284,ROUND(MAX(0,J2284*K2284*L2284*M2284*N2284),2),"")</f>
        <v/>
      </c>
    </row>
    <row r="2285">
      <c r="A2285" t="n">
        <v>2284</v>
      </c>
      <c r="B2285">
        <f>A2285&lt;=MineCount*Days</f>
        <v/>
      </c>
      <c r="C2285">
        <f>IF(B2285,INT((A2285-1)/Days)+1,"")</f>
        <v/>
      </c>
      <c r="D2285">
        <f>IF(B2285,MOD(A2285-1,Days),"")</f>
        <v/>
      </c>
      <c r="E2285" s="16">
        <f>IF(B2285,StartDate+D2285,"")</f>
        <v/>
      </c>
      <c r="F2285">
        <f>IF(B2285,MAX(MOD(SIN(Seed*0.1373+C2285*12.9898+D2285*78.233)*43758.5453,1),1E-9),"")</f>
        <v/>
      </c>
      <c r="G2285">
        <f>IF(B2285,MOD(SIN(Seed*0.5917+C2285*39.3468+D2285*11.135)*24634.6345,1),"")</f>
        <v/>
      </c>
      <c r="H2285">
        <f>IF(B2285,SQRT(-2*LN(F2285))*COS(2*PI()*G2285),"")</f>
        <v/>
      </c>
      <c r="I2285">
        <f>IF(B2285,IF(D2285=0,H2285,Rho*I2284+SQRT(1-Rho^2)*H2285),"")</f>
        <v/>
      </c>
      <c r="J2285">
        <f>IF(B2285,IF(Dist="Normal",DistA+DistB*I2285,DistA+(DistB-DistA)*NORMSDIST(I2285)),"")</f>
        <v/>
      </c>
      <c r="K2285">
        <f>IF(B2285,INDEX(MineScale,C2285),"")</f>
        <v/>
      </c>
      <c r="L2285">
        <f>IF(B2285,INDEX(Dow,1,WEEKDAY(E2285,2)),"")</f>
        <v/>
      </c>
      <c r="M2285">
        <f>IF(B2285,(1+Trend)^D2285,"")</f>
        <v/>
      </c>
      <c r="N2285">
        <f>IF(B2285,EXP(SUMPRODUCT(LN(1+(EvEff-1)*INDEX(Affected,0,C2285)*EXP(-((E2285-EvCenter)^2)/(2*EvSigma^2))))),"")</f>
        <v/>
      </c>
      <c r="O2285">
        <f>IF(B2285,ROUND(MAX(0,J2285*K2285*L2285*M2285*N2285),2),"")</f>
        <v/>
      </c>
    </row>
    <row r="2286">
      <c r="A2286" t="n">
        <v>2285</v>
      </c>
      <c r="B2286">
        <f>A2286&lt;=MineCount*Days</f>
        <v/>
      </c>
      <c r="C2286">
        <f>IF(B2286,INT((A2286-1)/Days)+1,"")</f>
        <v/>
      </c>
      <c r="D2286">
        <f>IF(B2286,MOD(A2286-1,Days),"")</f>
        <v/>
      </c>
      <c r="E2286" s="16">
        <f>IF(B2286,StartDate+D2286,"")</f>
        <v/>
      </c>
      <c r="F2286">
        <f>IF(B2286,MAX(MOD(SIN(Seed*0.1373+C2286*12.9898+D2286*78.233)*43758.5453,1),1E-9),"")</f>
        <v/>
      </c>
      <c r="G2286">
        <f>IF(B2286,MOD(SIN(Seed*0.5917+C2286*39.3468+D2286*11.135)*24634.6345,1),"")</f>
        <v/>
      </c>
      <c r="H2286">
        <f>IF(B2286,SQRT(-2*LN(F2286))*COS(2*PI()*G2286),"")</f>
        <v/>
      </c>
      <c r="I2286">
        <f>IF(B2286,IF(D2286=0,H2286,Rho*I2285+SQRT(1-Rho^2)*H2286),"")</f>
        <v/>
      </c>
      <c r="J2286">
        <f>IF(B2286,IF(Dist="Normal",DistA+DistB*I2286,DistA+(DistB-DistA)*NORMSDIST(I2286)),"")</f>
        <v/>
      </c>
      <c r="K2286">
        <f>IF(B2286,INDEX(MineScale,C2286),"")</f>
        <v/>
      </c>
      <c r="L2286">
        <f>IF(B2286,INDEX(Dow,1,WEEKDAY(E2286,2)),"")</f>
        <v/>
      </c>
      <c r="M2286">
        <f>IF(B2286,(1+Trend)^D2286,"")</f>
        <v/>
      </c>
      <c r="N2286">
        <f>IF(B2286,EXP(SUMPRODUCT(LN(1+(EvEff-1)*INDEX(Affected,0,C2286)*EXP(-((E2286-EvCenter)^2)/(2*EvSigma^2))))),"")</f>
        <v/>
      </c>
      <c r="O2286">
        <f>IF(B2286,ROUND(MAX(0,J2286*K2286*L2286*M2286*N2286),2),"")</f>
        <v/>
      </c>
    </row>
    <row r="2287">
      <c r="A2287" t="n">
        <v>2286</v>
      </c>
      <c r="B2287">
        <f>A2287&lt;=MineCount*Days</f>
        <v/>
      </c>
      <c r="C2287">
        <f>IF(B2287,INT((A2287-1)/Days)+1,"")</f>
        <v/>
      </c>
      <c r="D2287">
        <f>IF(B2287,MOD(A2287-1,Days),"")</f>
        <v/>
      </c>
      <c r="E2287" s="16">
        <f>IF(B2287,StartDate+D2287,"")</f>
        <v/>
      </c>
      <c r="F2287">
        <f>IF(B2287,MAX(MOD(SIN(Seed*0.1373+C2287*12.9898+D2287*78.233)*43758.5453,1),1E-9),"")</f>
        <v/>
      </c>
      <c r="G2287">
        <f>IF(B2287,MOD(SIN(Seed*0.5917+C2287*39.3468+D2287*11.135)*24634.6345,1),"")</f>
        <v/>
      </c>
      <c r="H2287">
        <f>IF(B2287,SQRT(-2*LN(F2287))*COS(2*PI()*G2287),"")</f>
        <v/>
      </c>
      <c r="I2287">
        <f>IF(B2287,IF(D2287=0,H2287,Rho*I2286+SQRT(1-Rho^2)*H2287),"")</f>
        <v/>
      </c>
      <c r="J2287">
        <f>IF(B2287,IF(Dist="Normal",DistA+DistB*I2287,DistA+(DistB-DistA)*NORMSDIST(I2287)),"")</f>
        <v/>
      </c>
      <c r="K2287">
        <f>IF(B2287,INDEX(MineScale,C2287),"")</f>
        <v/>
      </c>
      <c r="L2287">
        <f>IF(B2287,INDEX(Dow,1,WEEKDAY(E2287,2)),"")</f>
        <v/>
      </c>
      <c r="M2287">
        <f>IF(B2287,(1+Trend)^D2287,"")</f>
        <v/>
      </c>
      <c r="N2287">
        <f>IF(B2287,EXP(SUMPRODUCT(LN(1+(EvEff-1)*INDEX(Affected,0,C2287)*EXP(-((E2287-EvCenter)^2)/(2*EvSigma^2))))),"")</f>
        <v/>
      </c>
      <c r="O2287">
        <f>IF(B2287,ROUND(MAX(0,J2287*K2287*L2287*M2287*N2287),2),"")</f>
        <v/>
      </c>
    </row>
    <row r="2288">
      <c r="A2288" t="n">
        <v>2287</v>
      </c>
      <c r="B2288">
        <f>A2288&lt;=MineCount*Days</f>
        <v/>
      </c>
      <c r="C2288">
        <f>IF(B2288,INT((A2288-1)/Days)+1,"")</f>
        <v/>
      </c>
      <c r="D2288">
        <f>IF(B2288,MOD(A2288-1,Days),"")</f>
        <v/>
      </c>
      <c r="E2288" s="16">
        <f>IF(B2288,StartDate+D2288,"")</f>
        <v/>
      </c>
      <c r="F2288">
        <f>IF(B2288,MAX(MOD(SIN(Seed*0.1373+C2288*12.9898+D2288*78.233)*43758.5453,1),1E-9),"")</f>
        <v/>
      </c>
      <c r="G2288">
        <f>IF(B2288,MOD(SIN(Seed*0.5917+C2288*39.3468+D2288*11.135)*24634.6345,1),"")</f>
        <v/>
      </c>
      <c r="H2288">
        <f>IF(B2288,SQRT(-2*LN(F2288))*COS(2*PI()*G2288),"")</f>
        <v/>
      </c>
      <c r="I2288">
        <f>IF(B2288,IF(D2288=0,H2288,Rho*I2287+SQRT(1-Rho^2)*H2288),"")</f>
        <v/>
      </c>
      <c r="J2288">
        <f>IF(B2288,IF(Dist="Normal",DistA+DistB*I2288,DistA+(DistB-DistA)*NORMSDIST(I2288)),"")</f>
        <v/>
      </c>
      <c r="K2288">
        <f>IF(B2288,INDEX(MineScale,C2288),"")</f>
        <v/>
      </c>
      <c r="L2288">
        <f>IF(B2288,INDEX(Dow,1,WEEKDAY(E2288,2)),"")</f>
        <v/>
      </c>
      <c r="M2288">
        <f>IF(B2288,(1+Trend)^D2288,"")</f>
        <v/>
      </c>
      <c r="N2288">
        <f>IF(B2288,EXP(SUMPRODUCT(LN(1+(EvEff-1)*INDEX(Affected,0,C2288)*EXP(-((E2288-EvCenter)^2)/(2*EvSigma^2))))),"")</f>
        <v/>
      </c>
      <c r="O2288">
        <f>IF(B2288,ROUND(MAX(0,J2288*K2288*L2288*M2288*N2288),2),"")</f>
        <v/>
      </c>
    </row>
    <row r="2289">
      <c r="A2289" t="n">
        <v>2288</v>
      </c>
      <c r="B2289">
        <f>A2289&lt;=MineCount*Days</f>
        <v/>
      </c>
      <c r="C2289">
        <f>IF(B2289,INT((A2289-1)/Days)+1,"")</f>
        <v/>
      </c>
      <c r="D2289">
        <f>IF(B2289,MOD(A2289-1,Days),"")</f>
        <v/>
      </c>
      <c r="E2289" s="16">
        <f>IF(B2289,StartDate+D2289,"")</f>
        <v/>
      </c>
      <c r="F2289">
        <f>IF(B2289,MAX(MOD(SIN(Seed*0.1373+C2289*12.9898+D2289*78.233)*43758.5453,1),1E-9),"")</f>
        <v/>
      </c>
      <c r="G2289">
        <f>IF(B2289,MOD(SIN(Seed*0.5917+C2289*39.3468+D2289*11.135)*24634.6345,1),"")</f>
        <v/>
      </c>
      <c r="H2289">
        <f>IF(B2289,SQRT(-2*LN(F2289))*COS(2*PI()*G2289),"")</f>
        <v/>
      </c>
      <c r="I2289">
        <f>IF(B2289,IF(D2289=0,H2289,Rho*I2288+SQRT(1-Rho^2)*H2289),"")</f>
        <v/>
      </c>
      <c r="J2289">
        <f>IF(B2289,IF(Dist="Normal",DistA+DistB*I2289,DistA+(DistB-DistA)*NORMSDIST(I2289)),"")</f>
        <v/>
      </c>
      <c r="K2289">
        <f>IF(B2289,INDEX(MineScale,C2289),"")</f>
        <v/>
      </c>
      <c r="L2289">
        <f>IF(B2289,INDEX(Dow,1,WEEKDAY(E2289,2)),"")</f>
        <v/>
      </c>
      <c r="M2289">
        <f>IF(B2289,(1+Trend)^D2289,"")</f>
        <v/>
      </c>
      <c r="N2289">
        <f>IF(B2289,EXP(SUMPRODUCT(LN(1+(EvEff-1)*INDEX(Affected,0,C2289)*EXP(-((E2289-EvCenter)^2)/(2*EvSigma^2))))),"")</f>
        <v/>
      </c>
      <c r="O2289">
        <f>IF(B2289,ROUND(MAX(0,J2289*K2289*L2289*M2289*N2289),2),"")</f>
        <v/>
      </c>
    </row>
    <row r="2290">
      <c r="A2290" t="n">
        <v>2289</v>
      </c>
      <c r="B2290">
        <f>A2290&lt;=MineCount*Days</f>
        <v/>
      </c>
      <c r="C2290">
        <f>IF(B2290,INT((A2290-1)/Days)+1,"")</f>
        <v/>
      </c>
      <c r="D2290">
        <f>IF(B2290,MOD(A2290-1,Days),"")</f>
        <v/>
      </c>
      <c r="E2290" s="16">
        <f>IF(B2290,StartDate+D2290,"")</f>
        <v/>
      </c>
      <c r="F2290">
        <f>IF(B2290,MAX(MOD(SIN(Seed*0.1373+C2290*12.9898+D2290*78.233)*43758.5453,1),1E-9),"")</f>
        <v/>
      </c>
      <c r="G2290">
        <f>IF(B2290,MOD(SIN(Seed*0.5917+C2290*39.3468+D2290*11.135)*24634.6345,1),"")</f>
        <v/>
      </c>
      <c r="H2290">
        <f>IF(B2290,SQRT(-2*LN(F2290))*COS(2*PI()*G2290),"")</f>
        <v/>
      </c>
      <c r="I2290">
        <f>IF(B2290,IF(D2290=0,H2290,Rho*I2289+SQRT(1-Rho^2)*H2290),"")</f>
        <v/>
      </c>
      <c r="J2290">
        <f>IF(B2290,IF(Dist="Normal",DistA+DistB*I2290,DistA+(DistB-DistA)*NORMSDIST(I2290)),"")</f>
        <v/>
      </c>
      <c r="K2290">
        <f>IF(B2290,INDEX(MineScale,C2290),"")</f>
        <v/>
      </c>
      <c r="L2290">
        <f>IF(B2290,INDEX(Dow,1,WEEKDAY(E2290,2)),"")</f>
        <v/>
      </c>
      <c r="M2290">
        <f>IF(B2290,(1+Trend)^D2290,"")</f>
        <v/>
      </c>
      <c r="N2290">
        <f>IF(B2290,EXP(SUMPRODUCT(LN(1+(EvEff-1)*INDEX(Affected,0,C2290)*EXP(-((E2290-EvCenter)^2)/(2*EvSigma^2))))),"")</f>
        <v/>
      </c>
      <c r="O2290">
        <f>IF(B2290,ROUND(MAX(0,J2290*K2290*L2290*M2290*N2290),2),"")</f>
        <v/>
      </c>
    </row>
    <row r="2291">
      <c r="A2291" t="n">
        <v>2290</v>
      </c>
      <c r="B2291">
        <f>A2291&lt;=MineCount*Days</f>
        <v/>
      </c>
      <c r="C2291">
        <f>IF(B2291,INT((A2291-1)/Days)+1,"")</f>
        <v/>
      </c>
      <c r="D2291">
        <f>IF(B2291,MOD(A2291-1,Days),"")</f>
        <v/>
      </c>
      <c r="E2291" s="16">
        <f>IF(B2291,StartDate+D2291,"")</f>
        <v/>
      </c>
      <c r="F2291">
        <f>IF(B2291,MAX(MOD(SIN(Seed*0.1373+C2291*12.9898+D2291*78.233)*43758.5453,1),1E-9),"")</f>
        <v/>
      </c>
      <c r="G2291">
        <f>IF(B2291,MOD(SIN(Seed*0.5917+C2291*39.3468+D2291*11.135)*24634.6345,1),"")</f>
        <v/>
      </c>
      <c r="H2291">
        <f>IF(B2291,SQRT(-2*LN(F2291))*COS(2*PI()*G2291),"")</f>
        <v/>
      </c>
      <c r="I2291">
        <f>IF(B2291,IF(D2291=0,H2291,Rho*I2290+SQRT(1-Rho^2)*H2291),"")</f>
        <v/>
      </c>
      <c r="J2291">
        <f>IF(B2291,IF(Dist="Normal",DistA+DistB*I2291,DistA+(DistB-DistA)*NORMSDIST(I2291)),"")</f>
        <v/>
      </c>
      <c r="K2291">
        <f>IF(B2291,INDEX(MineScale,C2291),"")</f>
        <v/>
      </c>
      <c r="L2291">
        <f>IF(B2291,INDEX(Dow,1,WEEKDAY(E2291,2)),"")</f>
        <v/>
      </c>
      <c r="M2291">
        <f>IF(B2291,(1+Trend)^D2291,"")</f>
        <v/>
      </c>
      <c r="N2291">
        <f>IF(B2291,EXP(SUMPRODUCT(LN(1+(EvEff-1)*INDEX(Affected,0,C2291)*EXP(-((E2291-EvCenter)^2)/(2*EvSigma^2))))),"")</f>
        <v/>
      </c>
      <c r="O2291">
        <f>IF(B2291,ROUND(MAX(0,J2291*K2291*L2291*M2291*N2291),2),"")</f>
        <v/>
      </c>
    </row>
    <row r="2292">
      <c r="A2292" t="n">
        <v>2291</v>
      </c>
      <c r="B2292">
        <f>A2292&lt;=MineCount*Days</f>
        <v/>
      </c>
      <c r="C2292">
        <f>IF(B2292,INT((A2292-1)/Days)+1,"")</f>
        <v/>
      </c>
      <c r="D2292">
        <f>IF(B2292,MOD(A2292-1,Days),"")</f>
        <v/>
      </c>
      <c r="E2292" s="16">
        <f>IF(B2292,StartDate+D2292,"")</f>
        <v/>
      </c>
      <c r="F2292">
        <f>IF(B2292,MAX(MOD(SIN(Seed*0.1373+C2292*12.9898+D2292*78.233)*43758.5453,1),1E-9),"")</f>
        <v/>
      </c>
      <c r="G2292">
        <f>IF(B2292,MOD(SIN(Seed*0.5917+C2292*39.3468+D2292*11.135)*24634.6345,1),"")</f>
        <v/>
      </c>
      <c r="H2292">
        <f>IF(B2292,SQRT(-2*LN(F2292))*COS(2*PI()*G2292),"")</f>
        <v/>
      </c>
      <c r="I2292">
        <f>IF(B2292,IF(D2292=0,H2292,Rho*I2291+SQRT(1-Rho^2)*H2292),"")</f>
        <v/>
      </c>
      <c r="J2292">
        <f>IF(B2292,IF(Dist="Normal",DistA+DistB*I2292,DistA+(DistB-DistA)*NORMSDIST(I2292)),"")</f>
        <v/>
      </c>
      <c r="K2292">
        <f>IF(B2292,INDEX(MineScale,C2292),"")</f>
        <v/>
      </c>
      <c r="L2292">
        <f>IF(B2292,INDEX(Dow,1,WEEKDAY(E2292,2)),"")</f>
        <v/>
      </c>
      <c r="M2292">
        <f>IF(B2292,(1+Trend)^D2292,"")</f>
        <v/>
      </c>
      <c r="N2292">
        <f>IF(B2292,EXP(SUMPRODUCT(LN(1+(EvEff-1)*INDEX(Affected,0,C2292)*EXP(-((E2292-EvCenter)^2)/(2*EvSigma^2))))),"")</f>
        <v/>
      </c>
      <c r="O2292">
        <f>IF(B2292,ROUND(MAX(0,J2292*K2292*L2292*M2292*N2292),2),"")</f>
        <v/>
      </c>
    </row>
    <row r="2293">
      <c r="A2293" t="n">
        <v>2292</v>
      </c>
      <c r="B2293">
        <f>A2293&lt;=MineCount*Days</f>
        <v/>
      </c>
      <c r="C2293">
        <f>IF(B2293,INT((A2293-1)/Days)+1,"")</f>
        <v/>
      </c>
      <c r="D2293">
        <f>IF(B2293,MOD(A2293-1,Days),"")</f>
        <v/>
      </c>
      <c r="E2293" s="16">
        <f>IF(B2293,StartDate+D2293,"")</f>
        <v/>
      </c>
      <c r="F2293">
        <f>IF(B2293,MAX(MOD(SIN(Seed*0.1373+C2293*12.9898+D2293*78.233)*43758.5453,1),1E-9),"")</f>
        <v/>
      </c>
      <c r="G2293">
        <f>IF(B2293,MOD(SIN(Seed*0.5917+C2293*39.3468+D2293*11.135)*24634.6345,1),"")</f>
        <v/>
      </c>
      <c r="H2293">
        <f>IF(B2293,SQRT(-2*LN(F2293))*COS(2*PI()*G2293),"")</f>
        <v/>
      </c>
      <c r="I2293">
        <f>IF(B2293,IF(D2293=0,H2293,Rho*I2292+SQRT(1-Rho^2)*H2293),"")</f>
        <v/>
      </c>
      <c r="J2293">
        <f>IF(B2293,IF(Dist="Normal",DistA+DistB*I2293,DistA+(DistB-DistA)*NORMSDIST(I2293)),"")</f>
        <v/>
      </c>
      <c r="K2293">
        <f>IF(B2293,INDEX(MineScale,C2293),"")</f>
        <v/>
      </c>
      <c r="L2293">
        <f>IF(B2293,INDEX(Dow,1,WEEKDAY(E2293,2)),"")</f>
        <v/>
      </c>
      <c r="M2293">
        <f>IF(B2293,(1+Trend)^D2293,"")</f>
        <v/>
      </c>
      <c r="N2293">
        <f>IF(B2293,EXP(SUMPRODUCT(LN(1+(EvEff-1)*INDEX(Affected,0,C2293)*EXP(-((E2293-EvCenter)^2)/(2*EvSigma^2))))),"")</f>
        <v/>
      </c>
      <c r="O2293">
        <f>IF(B2293,ROUND(MAX(0,J2293*K2293*L2293*M2293*N2293),2),"")</f>
        <v/>
      </c>
    </row>
    <row r="2294">
      <c r="A2294" t="n">
        <v>2293</v>
      </c>
      <c r="B2294">
        <f>A2294&lt;=MineCount*Days</f>
        <v/>
      </c>
      <c r="C2294">
        <f>IF(B2294,INT((A2294-1)/Days)+1,"")</f>
        <v/>
      </c>
      <c r="D2294">
        <f>IF(B2294,MOD(A2294-1,Days),"")</f>
        <v/>
      </c>
      <c r="E2294" s="16">
        <f>IF(B2294,StartDate+D2294,"")</f>
        <v/>
      </c>
      <c r="F2294">
        <f>IF(B2294,MAX(MOD(SIN(Seed*0.1373+C2294*12.9898+D2294*78.233)*43758.5453,1),1E-9),"")</f>
        <v/>
      </c>
      <c r="G2294">
        <f>IF(B2294,MOD(SIN(Seed*0.5917+C2294*39.3468+D2294*11.135)*24634.6345,1),"")</f>
        <v/>
      </c>
      <c r="H2294">
        <f>IF(B2294,SQRT(-2*LN(F2294))*COS(2*PI()*G2294),"")</f>
        <v/>
      </c>
      <c r="I2294">
        <f>IF(B2294,IF(D2294=0,H2294,Rho*I2293+SQRT(1-Rho^2)*H2294),"")</f>
        <v/>
      </c>
      <c r="J2294">
        <f>IF(B2294,IF(Dist="Normal",DistA+DistB*I2294,DistA+(DistB-DistA)*NORMSDIST(I2294)),"")</f>
        <v/>
      </c>
      <c r="K2294">
        <f>IF(B2294,INDEX(MineScale,C2294),"")</f>
        <v/>
      </c>
      <c r="L2294">
        <f>IF(B2294,INDEX(Dow,1,WEEKDAY(E2294,2)),"")</f>
        <v/>
      </c>
      <c r="M2294">
        <f>IF(B2294,(1+Trend)^D2294,"")</f>
        <v/>
      </c>
      <c r="N2294">
        <f>IF(B2294,EXP(SUMPRODUCT(LN(1+(EvEff-1)*INDEX(Affected,0,C2294)*EXP(-((E2294-EvCenter)^2)/(2*EvSigma^2))))),"")</f>
        <v/>
      </c>
      <c r="O2294">
        <f>IF(B2294,ROUND(MAX(0,J2294*K2294*L2294*M2294*N2294),2),"")</f>
        <v/>
      </c>
    </row>
    <row r="2295">
      <c r="A2295" t="n">
        <v>2294</v>
      </c>
      <c r="B2295">
        <f>A2295&lt;=MineCount*Days</f>
        <v/>
      </c>
      <c r="C2295">
        <f>IF(B2295,INT((A2295-1)/Days)+1,"")</f>
        <v/>
      </c>
      <c r="D2295">
        <f>IF(B2295,MOD(A2295-1,Days),"")</f>
        <v/>
      </c>
      <c r="E2295" s="16">
        <f>IF(B2295,StartDate+D2295,"")</f>
        <v/>
      </c>
      <c r="F2295">
        <f>IF(B2295,MAX(MOD(SIN(Seed*0.1373+C2295*12.9898+D2295*78.233)*43758.5453,1),1E-9),"")</f>
        <v/>
      </c>
      <c r="G2295">
        <f>IF(B2295,MOD(SIN(Seed*0.5917+C2295*39.3468+D2295*11.135)*24634.6345,1),"")</f>
        <v/>
      </c>
      <c r="H2295">
        <f>IF(B2295,SQRT(-2*LN(F2295))*COS(2*PI()*G2295),"")</f>
        <v/>
      </c>
      <c r="I2295">
        <f>IF(B2295,IF(D2295=0,H2295,Rho*I2294+SQRT(1-Rho^2)*H2295),"")</f>
        <v/>
      </c>
      <c r="J2295">
        <f>IF(B2295,IF(Dist="Normal",DistA+DistB*I2295,DistA+(DistB-DistA)*NORMSDIST(I2295)),"")</f>
        <v/>
      </c>
      <c r="K2295">
        <f>IF(B2295,INDEX(MineScale,C2295),"")</f>
        <v/>
      </c>
      <c r="L2295">
        <f>IF(B2295,INDEX(Dow,1,WEEKDAY(E2295,2)),"")</f>
        <v/>
      </c>
      <c r="M2295">
        <f>IF(B2295,(1+Trend)^D2295,"")</f>
        <v/>
      </c>
      <c r="N2295">
        <f>IF(B2295,EXP(SUMPRODUCT(LN(1+(EvEff-1)*INDEX(Affected,0,C2295)*EXP(-((E2295-EvCenter)^2)/(2*EvSigma^2))))),"")</f>
        <v/>
      </c>
      <c r="O2295">
        <f>IF(B2295,ROUND(MAX(0,J2295*K2295*L2295*M2295*N2295),2),"")</f>
        <v/>
      </c>
    </row>
    <row r="2296">
      <c r="A2296" t="n">
        <v>2295</v>
      </c>
      <c r="B2296">
        <f>A2296&lt;=MineCount*Days</f>
        <v/>
      </c>
      <c r="C2296">
        <f>IF(B2296,INT((A2296-1)/Days)+1,"")</f>
        <v/>
      </c>
      <c r="D2296">
        <f>IF(B2296,MOD(A2296-1,Days),"")</f>
        <v/>
      </c>
      <c r="E2296" s="16">
        <f>IF(B2296,StartDate+D2296,"")</f>
        <v/>
      </c>
      <c r="F2296">
        <f>IF(B2296,MAX(MOD(SIN(Seed*0.1373+C2296*12.9898+D2296*78.233)*43758.5453,1),1E-9),"")</f>
        <v/>
      </c>
      <c r="G2296">
        <f>IF(B2296,MOD(SIN(Seed*0.5917+C2296*39.3468+D2296*11.135)*24634.6345,1),"")</f>
        <v/>
      </c>
      <c r="H2296">
        <f>IF(B2296,SQRT(-2*LN(F2296))*COS(2*PI()*G2296),"")</f>
        <v/>
      </c>
      <c r="I2296">
        <f>IF(B2296,IF(D2296=0,H2296,Rho*I2295+SQRT(1-Rho^2)*H2296),"")</f>
        <v/>
      </c>
      <c r="J2296">
        <f>IF(B2296,IF(Dist="Normal",DistA+DistB*I2296,DistA+(DistB-DistA)*NORMSDIST(I2296)),"")</f>
        <v/>
      </c>
      <c r="K2296">
        <f>IF(B2296,INDEX(MineScale,C2296),"")</f>
        <v/>
      </c>
      <c r="L2296">
        <f>IF(B2296,INDEX(Dow,1,WEEKDAY(E2296,2)),"")</f>
        <v/>
      </c>
      <c r="M2296">
        <f>IF(B2296,(1+Trend)^D2296,"")</f>
        <v/>
      </c>
      <c r="N2296">
        <f>IF(B2296,EXP(SUMPRODUCT(LN(1+(EvEff-1)*INDEX(Affected,0,C2296)*EXP(-((E2296-EvCenter)^2)/(2*EvSigma^2))))),"")</f>
        <v/>
      </c>
      <c r="O2296">
        <f>IF(B2296,ROUND(MAX(0,J2296*K2296*L2296*M2296*N2296),2),"")</f>
        <v/>
      </c>
    </row>
    <row r="2297">
      <c r="A2297" t="n">
        <v>2296</v>
      </c>
      <c r="B2297">
        <f>A2297&lt;=MineCount*Days</f>
        <v/>
      </c>
      <c r="C2297">
        <f>IF(B2297,INT((A2297-1)/Days)+1,"")</f>
        <v/>
      </c>
      <c r="D2297">
        <f>IF(B2297,MOD(A2297-1,Days),"")</f>
        <v/>
      </c>
      <c r="E2297" s="16">
        <f>IF(B2297,StartDate+D2297,"")</f>
        <v/>
      </c>
      <c r="F2297">
        <f>IF(B2297,MAX(MOD(SIN(Seed*0.1373+C2297*12.9898+D2297*78.233)*43758.5453,1),1E-9),"")</f>
        <v/>
      </c>
      <c r="G2297">
        <f>IF(B2297,MOD(SIN(Seed*0.5917+C2297*39.3468+D2297*11.135)*24634.6345,1),"")</f>
        <v/>
      </c>
      <c r="H2297">
        <f>IF(B2297,SQRT(-2*LN(F2297))*COS(2*PI()*G2297),"")</f>
        <v/>
      </c>
      <c r="I2297">
        <f>IF(B2297,IF(D2297=0,H2297,Rho*I2296+SQRT(1-Rho^2)*H2297),"")</f>
        <v/>
      </c>
      <c r="J2297">
        <f>IF(B2297,IF(Dist="Normal",DistA+DistB*I2297,DistA+(DistB-DistA)*NORMSDIST(I2297)),"")</f>
        <v/>
      </c>
      <c r="K2297">
        <f>IF(B2297,INDEX(MineScale,C2297),"")</f>
        <v/>
      </c>
      <c r="L2297">
        <f>IF(B2297,INDEX(Dow,1,WEEKDAY(E2297,2)),"")</f>
        <v/>
      </c>
      <c r="M2297">
        <f>IF(B2297,(1+Trend)^D2297,"")</f>
        <v/>
      </c>
      <c r="N2297">
        <f>IF(B2297,EXP(SUMPRODUCT(LN(1+(EvEff-1)*INDEX(Affected,0,C2297)*EXP(-((E2297-EvCenter)^2)/(2*EvSigma^2))))),"")</f>
        <v/>
      </c>
      <c r="O2297">
        <f>IF(B2297,ROUND(MAX(0,J2297*K2297*L2297*M2297*N2297),2),"")</f>
        <v/>
      </c>
    </row>
    <row r="2298">
      <c r="A2298" t="n">
        <v>2297</v>
      </c>
      <c r="B2298">
        <f>A2298&lt;=MineCount*Days</f>
        <v/>
      </c>
      <c r="C2298">
        <f>IF(B2298,INT((A2298-1)/Days)+1,"")</f>
        <v/>
      </c>
      <c r="D2298">
        <f>IF(B2298,MOD(A2298-1,Days),"")</f>
        <v/>
      </c>
      <c r="E2298" s="16">
        <f>IF(B2298,StartDate+D2298,"")</f>
        <v/>
      </c>
      <c r="F2298">
        <f>IF(B2298,MAX(MOD(SIN(Seed*0.1373+C2298*12.9898+D2298*78.233)*43758.5453,1),1E-9),"")</f>
        <v/>
      </c>
      <c r="G2298">
        <f>IF(B2298,MOD(SIN(Seed*0.5917+C2298*39.3468+D2298*11.135)*24634.6345,1),"")</f>
        <v/>
      </c>
      <c r="H2298">
        <f>IF(B2298,SQRT(-2*LN(F2298))*COS(2*PI()*G2298),"")</f>
        <v/>
      </c>
      <c r="I2298">
        <f>IF(B2298,IF(D2298=0,H2298,Rho*I2297+SQRT(1-Rho^2)*H2298),"")</f>
        <v/>
      </c>
      <c r="J2298">
        <f>IF(B2298,IF(Dist="Normal",DistA+DistB*I2298,DistA+(DistB-DistA)*NORMSDIST(I2298)),"")</f>
        <v/>
      </c>
      <c r="K2298">
        <f>IF(B2298,INDEX(MineScale,C2298),"")</f>
        <v/>
      </c>
      <c r="L2298">
        <f>IF(B2298,INDEX(Dow,1,WEEKDAY(E2298,2)),"")</f>
        <v/>
      </c>
      <c r="M2298">
        <f>IF(B2298,(1+Trend)^D2298,"")</f>
        <v/>
      </c>
      <c r="N2298">
        <f>IF(B2298,EXP(SUMPRODUCT(LN(1+(EvEff-1)*INDEX(Affected,0,C2298)*EXP(-((E2298-EvCenter)^2)/(2*EvSigma^2))))),"")</f>
        <v/>
      </c>
      <c r="O2298">
        <f>IF(B2298,ROUND(MAX(0,J2298*K2298*L2298*M2298*N2298),2),"")</f>
        <v/>
      </c>
    </row>
    <row r="2299">
      <c r="A2299" t="n">
        <v>2298</v>
      </c>
      <c r="B2299">
        <f>A2299&lt;=MineCount*Days</f>
        <v/>
      </c>
      <c r="C2299">
        <f>IF(B2299,INT((A2299-1)/Days)+1,"")</f>
        <v/>
      </c>
      <c r="D2299">
        <f>IF(B2299,MOD(A2299-1,Days),"")</f>
        <v/>
      </c>
      <c r="E2299" s="16">
        <f>IF(B2299,StartDate+D2299,"")</f>
        <v/>
      </c>
      <c r="F2299">
        <f>IF(B2299,MAX(MOD(SIN(Seed*0.1373+C2299*12.9898+D2299*78.233)*43758.5453,1),1E-9),"")</f>
        <v/>
      </c>
      <c r="G2299">
        <f>IF(B2299,MOD(SIN(Seed*0.5917+C2299*39.3468+D2299*11.135)*24634.6345,1),"")</f>
        <v/>
      </c>
      <c r="H2299">
        <f>IF(B2299,SQRT(-2*LN(F2299))*COS(2*PI()*G2299),"")</f>
        <v/>
      </c>
      <c r="I2299">
        <f>IF(B2299,IF(D2299=0,H2299,Rho*I2298+SQRT(1-Rho^2)*H2299),"")</f>
        <v/>
      </c>
      <c r="J2299">
        <f>IF(B2299,IF(Dist="Normal",DistA+DistB*I2299,DistA+(DistB-DistA)*NORMSDIST(I2299)),"")</f>
        <v/>
      </c>
      <c r="K2299">
        <f>IF(B2299,INDEX(MineScale,C2299),"")</f>
        <v/>
      </c>
      <c r="L2299">
        <f>IF(B2299,INDEX(Dow,1,WEEKDAY(E2299,2)),"")</f>
        <v/>
      </c>
      <c r="M2299">
        <f>IF(B2299,(1+Trend)^D2299,"")</f>
        <v/>
      </c>
      <c r="N2299">
        <f>IF(B2299,EXP(SUMPRODUCT(LN(1+(EvEff-1)*INDEX(Affected,0,C2299)*EXP(-((E2299-EvCenter)^2)/(2*EvSigma^2))))),"")</f>
        <v/>
      </c>
      <c r="O2299">
        <f>IF(B2299,ROUND(MAX(0,J2299*K2299*L2299*M2299*N2299),2),"")</f>
        <v/>
      </c>
    </row>
    <row r="2300">
      <c r="A2300" t="n">
        <v>2299</v>
      </c>
      <c r="B2300">
        <f>A2300&lt;=MineCount*Days</f>
        <v/>
      </c>
      <c r="C2300">
        <f>IF(B2300,INT((A2300-1)/Days)+1,"")</f>
        <v/>
      </c>
      <c r="D2300">
        <f>IF(B2300,MOD(A2300-1,Days),"")</f>
        <v/>
      </c>
      <c r="E2300" s="16">
        <f>IF(B2300,StartDate+D2300,"")</f>
        <v/>
      </c>
      <c r="F2300">
        <f>IF(B2300,MAX(MOD(SIN(Seed*0.1373+C2300*12.9898+D2300*78.233)*43758.5453,1),1E-9),"")</f>
        <v/>
      </c>
      <c r="G2300">
        <f>IF(B2300,MOD(SIN(Seed*0.5917+C2300*39.3468+D2300*11.135)*24634.6345,1),"")</f>
        <v/>
      </c>
      <c r="H2300">
        <f>IF(B2300,SQRT(-2*LN(F2300))*COS(2*PI()*G2300),"")</f>
        <v/>
      </c>
      <c r="I2300">
        <f>IF(B2300,IF(D2300=0,H2300,Rho*I2299+SQRT(1-Rho^2)*H2300),"")</f>
        <v/>
      </c>
      <c r="J2300">
        <f>IF(B2300,IF(Dist="Normal",DistA+DistB*I2300,DistA+(DistB-DistA)*NORMSDIST(I2300)),"")</f>
        <v/>
      </c>
      <c r="K2300">
        <f>IF(B2300,INDEX(MineScale,C2300),"")</f>
        <v/>
      </c>
      <c r="L2300">
        <f>IF(B2300,INDEX(Dow,1,WEEKDAY(E2300,2)),"")</f>
        <v/>
      </c>
      <c r="M2300">
        <f>IF(B2300,(1+Trend)^D2300,"")</f>
        <v/>
      </c>
      <c r="N2300">
        <f>IF(B2300,EXP(SUMPRODUCT(LN(1+(EvEff-1)*INDEX(Affected,0,C2300)*EXP(-((E2300-EvCenter)^2)/(2*EvSigma^2))))),"")</f>
        <v/>
      </c>
      <c r="O2300">
        <f>IF(B2300,ROUND(MAX(0,J2300*K2300*L2300*M2300*N2300),2),"")</f>
        <v/>
      </c>
    </row>
    <row r="2301">
      <c r="A2301" t="n">
        <v>2300</v>
      </c>
      <c r="B2301">
        <f>A2301&lt;=MineCount*Days</f>
        <v/>
      </c>
      <c r="C2301">
        <f>IF(B2301,INT((A2301-1)/Days)+1,"")</f>
        <v/>
      </c>
      <c r="D2301">
        <f>IF(B2301,MOD(A2301-1,Days),"")</f>
        <v/>
      </c>
      <c r="E2301" s="16">
        <f>IF(B2301,StartDate+D2301,"")</f>
        <v/>
      </c>
      <c r="F2301">
        <f>IF(B2301,MAX(MOD(SIN(Seed*0.1373+C2301*12.9898+D2301*78.233)*43758.5453,1),1E-9),"")</f>
        <v/>
      </c>
      <c r="G2301">
        <f>IF(B2301,MOD(SIN(Seed*0.5917+C2301*39.3468+D2301*11.135)*24634.6345,1),"")</f>
        <v/>
      </c>
      <c r="H2301">
        <f>IF(B2301,SQRT(-2*LN(F2301))*COS(2*PI()*G2301),"")</f>
        <v/>
      </c>
      <c r="I2301">
        <f>IF(B2301,IF(D2301=0,H2301,Rho*I2300+SQRT(1-Rho^2)*H2301),"")</f>
        <v/>
      </c>
      <c r="J2301">
        <f>IF(B2301,IF(Dist="Normal",DistA+DistB*I2301,DistA+(DistB-DistA)*NORMSDIST(I2301)),"")</f>
        <v/>
      </c>
      <c r="K2301">
        <f>IF(B2301,INDEX(MineScale,C2301),"")</f>
        <v/>
      </c>
      <c r="L2301">
        <f>IF(B2301,INDEX(Dow,1,WEEKDAY(E2301,2)),"")</f>
        <v/>
      </c>
      <c r="M2301">
        <f>IF(B2301,(1+Trend)^D2301,"")</f>
        <v/>
      </c>
      <c r="N2301">
        <f>IF(B2301,EXP(SUMPRODUCT(LN(1+(EvEff-1)*INDEX(Affected,0,C2301)*EXP(-((E2301-EvCenter)^2)/(2*EvSigma^2))))),"")</f>
        <v/>
      </c>
      <c r="O2301">
        <f>IF(B2301,ROUND(MAX(0,J2301*K2301*L2301*M2301*N2301),2),"")</f>
        <v/>
      </c>
    </row>
    <row r="2302">
      <c r="A2302" t="n">
        <v>2301</v>
      </c>
      <c r="B2302">
        <f>A2302&lt;=MineCount*Days</f>
        <v/>
      </c>
      <c r="C2302">
        <f>IF(B2302,INT((A2302-1)/Days)+1,"")</f>
        <v/>
      </c>
      <c r="D2302">
        <f>IF(B2302,MOD(A2302-1,Days),"")</f>
        <v/>
      </c>
      <c r="E2302" s="16">
        <f>IF(B2302,StartDate+D2302,"")</f>
        <v/>
      </c>
      <c r="F2302">
        <f>IF(B2302,MAX(MOD(SIN(Seed*0.1373+C2302*12.9898+D2302*78.233)*43758.5453,1),1E-9),"")</f>
        <v/>
      </c>
      <c r="G2302">
        <f>IF(B2302,MOD(SIN(Seed*0.5917+C2302*39.3468+D2302*11.135)*24634.6345,1),"")</f>
        <v/>
      </c>
      <c r="H2302">
        <f>IF(B2302,SQRT(-2*LN(F2302))*COS(2*PI()*G2302),"")</f>
        <v/>
      </c>
      <c r="I2302">
        <f>IF(B2302,IF(D2302=0,H2302,Rho*I2301+SQRT(1-Rho^2)*H2302),"")</f>
        <v/>
      </c>
      <c r="J2302">
        <f>IF(B2302,IF(Dist="Normal",DistA+DistB*I2302,DistA+(DistB-DistA)*NORMSDIST(I2302)),"")</f>
        <v/>
      </c>
      <c r="K2302">
        <f>IF(B2302,INDEX(MineScale,C2302),"")</f>
        <v/>
      </c>
      <c r="L2302">
        <f>IF(B2302,INDEX(Dow,1,WEEKDAY(E2302,2)),"")</f>
        <v/>
      </c>
      <c r="M2302">
        <f>IF(B2302,(1+Trend)^D2302,"")</f>
        <v/>
      </c>
      <c r="N2302">
        <f>IF(B2302,EXP(SUMPRODUCT(LN(1+(EvEff-1)*INDEX(Affected,0,C2302)*EXP(-((E2302-EvCenter)^2)/(2*EvSigma^2))))),"")</f>
        <v/>
      </c>
      <c r="O2302">
        <f>IF(B2302,ROUND(MAX(0,J2302*K2302*L2302*M2302*N2302),2),"")</f>
        <v/>
      </c>
    </row>
    <row r="2303">
      <c r="A2303" t="n">
        <v>2302</v>
      </c>
      <c r="B2303">
        <f>A2303&lt;=MineCount*Days</f>
        <v/>
      </c>
      <c r="C2303">
        <f>IF(B2303,INT((A2303-1)/Days)+1,"")</f>
        <v/>
      </c>
      <c r="D2303">
        <f>IF(B2303,MOD(A2303-1,Days),"")</f>
        <v/>
      </c>
      <c r="E2303" s="16">
        <f>IF(B2303,StartDate+D2303,"")</f>
        <v/>
      </c>
      <c r="F2303">
        <f>IF(B2303,MAX(MOD(SIN(Seed*0.1373+C2303*12.9898+D2303*78.233)*43758.5453,1),1E-9),"")</f>
        <v/>
      </c>
      <c r="G2303">
        <f>IF(B2303,MOD(SIN(Seed*0.5917+C2303*39.3468+D2303*11.135)*24634.6345,1),"")</f>
        <v/>
      </c>
      <c r="H2303">
        <f>IF(B2303,SQRT(-2*LN(F2303))*COS(2*PI()*G2303),"")</f>
        <v/>
      </c>
      <c r="I2303">
        <f>IF(B2303,IF(D2303=0,H2303,Rho*I2302+SQRT(1-Rho^2)*H2303),"")</f>
        <v/>
      </c>
      <c r="J2303">
        <f>IF(B2303,IF(Dist="Normal",DistA+DistB*I2303,DistA+(DistB-DistA)*NORMSDIST(I2303)),"")</f>
        <v/>
      </c>
      <c r="K2303">
        <f>IF(B2303,INDEX(MineScale,C2303),"")</f>
        <v/>
      </c>
      <c r="L2303">
        <f>IF(B2303,INDEX(Dow,1,WEEKDAY(E2303,2)),"")</f>
        <v/>
      </c>
      <c r="M2303">
        <f>IF(B2303,(1+Trend)^D2303,"")</f>
        <v/>
      </c>
      <c r="N2303">
        <f>IF(B2303,EXP(SUMPRODUCT(LN(1+(EvEff-1)*INDEX(Affected,0,C2303)*EXP(-((E2303-EvCenter)^2)/(2*EvSigma^2))))),"")</f>
        <v/>
      </c>
      <c r="O2303">
        <f>IF(B2303,ROUND(MAX(0,J2303*K2303*L2303*M2303*N2303),2),"")</f>
        <v/>
      </c>
    </row>
    <row r="2304">
      <c r="A2304" t="n">
        <v>2303</v>
      </c>
      <c r="B2304">
        <f>A2304&lt;=MineCount*Days</f>
        <v/>
      </c>
      <c r="C2304">
        <f>IF(B2304,INT((A2304-1)/Days)+1,"")</f>
        <v/>
      </c>
      <c r="D2304">
        <f>IF(B2304,MOD(A2304-1,Days),"")</f>
        <v/>
      </c>
      <c r="E2304" s="16">
        <f>IF(B2304,StartDate+D2304,"")</f>
        <v/>
      </c>
      <c r="F2304">
        <f>IF(B2304,MAX(MOD(SIN(Seed*0.1373+C2304*12.9898+D2304*78.233)*43758.5453,1),1E-9),"")</f>
        <v/>
      </c>
      <c r="G2304">
        <f>IF(B2304,MOD(SIN(Seed*0.5917+C2304*39.3468+D2304*11.135)*24634.6345,1),"")</f>
        <v/>
      </c>
      <c r="H2304">
        <f>IF(B2304,SQRT(-2*LN(F2304))*COS(2*PI()*G2304),"")</f>
        <v/>
      </c>
      <c r="I2304">
        <f>IF(B2304,IF(D2304=0,H2304,Rho*I2303+SQRT(1-Rho^2)*H2304),"")</f>
        <v/>
      </c>
      <c r="J2304">
        <f>IF(B2304,IF(Dist="Normal",DistA+DistB*I2304,DistA+(DistB-DistA)*NORMSDIST(I2304)),"")</f>
        <v/>
      </c>
      <c r="K2304">
        <f>IF(B2304,INDEX(MineScale,C2304),"")</f>
        <v/>
      </c>
      <c r="L2304">
        <f>IF(B2304,INDEX(Dow,1,WEEKDAY(E2304,2)),"")</f>
        <v/>
      </c>
      <c r="M2304">
        <f>IF(B2304,(1+Trend)^D2304,"")</f>
        <v/>
      </c>
      <c r="N2304">
        <f>IF(B2304,EXP(SUMPRODUCT(LN(1+(EvEff-1)*INDEX(Affected,0,C2304)*EXP(-((E2304-EvCenter)^2)/(2*EvSigma^2))))),"")</f>
        <v/>
      </c>
      <c r="O2304">
        <f>IF(B2304,ROUND(MAX(0,J2304*K2304*L2304*M2304*N2304),2),"")</f>
        <v/>
      </c>
    </row>
    <row r="2305">
      <c r="A2305" t="n">
        <v>2304</v>
      </c>
      <c r="B2305">
        <f>A2305&lt;=MineCount*Days</f>
        <v/>
      </c>
      <c r="C2305">
        <f>IF(B2305,INT((A2305-1)/Days)+1,"")</f>
        <v/>
      </c>
      <c r="D2305">
        <f>IF(B2305,MOD(A2305-1,Days),"")</f>
        <v/>
      </c>
      <c r="E2305" s="16">
        <f>IF(B2305,StartDate+D2305,"")</f>
        <v/>
      </c>
      <c r="F2305">
        <f>IF(B2305,MAX(MOD(SIN(Seed*0.1373+C2305*12.9898+D2305*78.233)*43758.5453,1),1E-9),"")</f>
        <v/>
      </c>
      <c r="G2305">
        <f>IF(B2305,MOD(SIN(Seed*0.5917+C2305*39.3468+D2305*11.135)*24634.6345,1),"")</f>
        <v/>
      </c>
      <c r="H2305">
        <f>IF(B2305,SQRT(-2*LN(F2305))*COS(2*PI()*G2305),"")</f>
        <v/>
      </c>
      <c r="I2305">
        <f>IF(B2305,IF(D2305=0,H2305,Rho*I2304+SQRT(1-Rho^2)*H2305),"")</f>
        <v/>
      </c>
      <c r="J2305">
        <f>IF(B2305,IF(Dist="Normal",DistA+DistB*I2305,DistA+(DistB-DistA)*NORMSDIST(I2305)),"")</f>
        <v/>
      </c>
      <c r="K2305">
        <f>IF(B2305,INDEX(MineScale,C2305),"")</f>
        <v/>
      </c>
      <c r="L2305">
        <f>IF(B2305,INDEX(Dow,1,WEEKDAY(E2305,2)),"")</f>
        <v/>
      </c>
      <c r="M2305">
        <f>IF(B2305,(1+Trend)^D2305,"")</f>
        <v/>
      </c>
      <c r="N2305">
        <f>IF(B2305,EXP(SUMPRODUCT(LN(1+(EvEff-1)*INDEX(Affected,0,C2305)*EXP(-((E2305-EvCenter)^2)/(2*EvSigma^2))))),"")</f>
        <v/>
      </c>
      <c r="O2305">
        <f>IF(B2305,ROUND(MAX(0,J2305*K2305*L2305*M2305*N2305),2),"")</f>
        <v/>
      </c>
    </row>
    <row r="2306">
      <c r="A2306" t="n">
        <v>2305</v>
      </c>
      <c r="B2306">
        <f>A2306&lt;=MineCount*Days</f>
        <v/>
      </c>
      <c r="C2306">
        <f>IF(B2306,INT((A2306-1)/Days)+1,"")</f>
        <v/>
      </c>
      <c r="D2306">
        <f>IF(B2306,MOD(A2306-1,Days),"")</f>
        <v/>
      </c>
      <c r="E2306" s="16">
        <f>IF(B2306,StartDate+D2306,"")</f>
        <v/>
      </c>
      <c r="F2306">
        <f>IF(B2306,MAX(MOD(SIN(Seed*0.1373+C2306*12.9898+D2306*78.233)*43758.5453,1),1E-9),"")</f>
        <v/>
      </c>
      <c r="G2306">
        <f>IF(B2306,MOD(SIN(Seed*0.5917+C2306*39.3468+D2306*11.135)*24634.6345,1),"")</f>
        <v/>
      </c>
      <c r="H2306">
        <f>IF(B2306,SQRT(-2*LN(F2306))*COS(2*PI()*G2306),"")</f>
        <v/>
      </c>
      <c r="I2306">
        <f>IF(B2306,IF(D2306=0,H2306,Rho*I2305+SQRT(1-Rho^2)*H2306),"")</f>
        <v/>
      </c>
      <c r="J2306">
        <f>IF(B2306,IF(Dist="Normal",DistA+DistB*I2306,DistA+(DistB-DistA)*NORMSDIST(I2306)),"")</f>
        <v/>
      </c>
      <c r="K2306">
        <f>IF(B2306,INDEX(MineScale,C2306),"")</f>
        <v/>
      </c>
      <c r="L2306">
        <f>IF(B2306,INDEX(Dow,1,WEEKDAY(E2306,2)),"")</f>
        <v/>
      </c>
      <c r="M2306">
        <f>IF(B2306,(1+Trend)^D2306,"")</f>
        <v/>
      </c>
      <c r="N2306">
        <f>IF(B2306,EXP(SUMPRODUCT(LN(1+(EvEff-1)*INDEX(Affected,0,C2306)*EXP(-((E2306-EvCenter)^2)/(2*EvSigma^2))))),"")</f>
        <v/>
      </c>
      <c r="O2306">
        <f>IF(B2306,ROUND(MAX(0,J2306*K2306*L2306*M2306*N2306),2),"")</f>
        <v/>
      </c>
    </row>
    <row r="2307">
      <c r="A2307" t="n">
        <v>2306</v>
      </c>
      <c r="B2307">
        <f>A2307&lt;=MineCount*Days</f>
        <v/>
      </c>
      <c r="C2307">
        <f>IF(B2307,INT((A2307-1)/Days)+1,"")</f>
        <v/>
      </c>
      <c r="D2307">
        <f>IF(B2307,MOD(A2307-1,Days),"")</f>
        <v/>
      </c>
      <c r="E2307" s="16">
        <f>IF(B2307,StartDate+D2307,"")</f>
        <v/>
      </c>
      <c r="F2307">
        <f>IF(B2307,MAX(MOD(SIN(Seed*0.1373+C2307*12.9898+D2307*78.233)*43758.5453,1),1E-9),"")</f>
        <v/>
      </c>
      <c r="G2307">
        <f>IF(B2307,MOD(SIN(Seed*0.5917+C2307*39.3468+D2307*11.135)*24634.6345,1),"")</f>
        <v/>
      </c>
      <c r="H2307">
        <f>IF(B2307,SQRT(-2*LN(F2307))*COS(2*PI()*G2307),"")</f>
        <v/>
      </c>
      <c r="I2307">
        <f>IF(B2307,IF(D2307=0,H2307,Rho*I2306+SQRT(1-Rho^2)*H2307),"")</f>
        <v/>
      </c>
      <c r="J2307">
        <f>IF(B2307,IF(Dist="Normal",DistA+DistB*I2307,DistA+(DistB-DistA)*NORMSDIST(I2307)),"")</f>
        <v/>
      </c>
      <c r="K2307">
        <f>IF(B2307,INDEX(MineScale,C2307),"")</f>
        <v/>
      </c>
      <c r="L2307">
        <f>IF(B2307,INDEX(Dow,1,WEEKDAY(E2307,2)),"")</f>
        <v/>
      </c>
      <c r="M2307">
        <f>IF(B2307,(1+Trend)^D2307,"")</f>
        <v/>
      </c>
      <c r="N2307">
        <f>IF(B2307,EXP(SUMPRODUCT(LN(1+(EvEff-1)*INDEX(Affected,0,C2307)*EXP(-((E2307-EvCenter)^2)/(2*EvSigma^2))))),"")</f>
        <v/>
      </c>
      <c r="O2307">
        <f>IF(B2307,ROUND(MAX(0,J2307*K2307*L2307*M2307*N2307),2),"")</f>
        <v/>
      </c>
    </row>
    <row r="2308">
      <c r="A2308" t="n">
        <v>2307</v>
      </c>
      <c r="B2308">
        <f>A2308&lt;=MineCount*Days</f>
        <v/>
      </c>
      <c r="C2308">
        <f>IF(B2308,INT((A2308-1)/Days)+1,"")</f>
        <v/>
      </c>
      <c r="D2308">
        <f>IF(B2308,MOD(A2308-1,Days),"")</f>
        <v/>
      </c>
      <c r="E2308" s="16">
        <f>IF(B2308,StartDate+D2308,"")</f>
        <v/>
      </c>
      <c r="F2308">
        <f>IF(B2308,MAX(MOD(SIN(Seed*0.1373+C2308*12.9898+D2308*78.233)*43758.5453,1),1E-9),"")</f>
        <v/>
      </c>
      <c r="G2308">
        <f>IF(B2308,MOD(SIN(Seed*0.5917+C2308*39.3468+D2308*11.135)*24634.6345,1),"")</f>
        <v/>
      </c>
      <c r="H2308">
        <f>IF(B2308,SQRT(-2*LN(F2308))*COS(2*PI()*G2308),"")</f>
        <v/>
      </c>
      <c r="I2308">
        <f>IF(B2308,IF(D2308=0,H2308,Rho*I2307+SQRT(1-Rho^2)*H2308),"")</f>
        <v/>
      </c>
      <c r="J2308">
        <f>IF(B2308,IF(Dist="Normal",DistA+DistB*I2308,DistA+(DistB-DistA)*NORMSDIST(I2308)),"")</f>
        <v/>
      </c>
      <c r="K2308">
        <f>IF(B2308,INDEX(MineScale,C2308),"")</f>
        <v/>
      </c>
      <c r="L2308">
        <f>IF(B2308,INDEX(Dow,1,WEEKDAY(E2308,2)),"")</f>
        <v/>
      </c>
      <c r="M2308">
        <f>IF(B2308,(1+Trend)^D2308,"")</f>
        <v/>
      </c>
      <c r="N2308">
        <f>IF(B2308,EXP(SUMPRODUCT(LN(1+(EvEff-1)*INDEX(Affected,0,C2308)*EXP(-((E2308-EvCenter)^2)/(2*EvSigma^2))))),"")</f>
        <v/>
      </c>
      <c r="O2308">
        <f>IF(B2308,ROUND(MAX(0,J2308*K2308*L2308*M2308*N2308),2),"")</f>
        <v/>
      </c>
    </row>
    <row r="2309">
      <c r="A2309" t="n">
        <v>2308</v>
      </c>
      <c r="B2309">
        <f>A2309&lt;=MineCount*Days</f>
        <v/>
      </c>
      <c r="C2309">
        <f>IF(B2309,INT((A2309-1)/Days)+1,"")</f>
        <v/>
      </c>
      <c r="D2309">
        <f>IF(B2309,MOD(A2309-1,Days),"")</f>
        <v/>
      </c>
      <c r="E2309" s="16">
        <f>IF(B2309,StartDate+D2309,"")</f>
        <v/>
      </c>
      <c r="F2309">
        <f>IF(B2309,MAX(MOD(SIN(Seed*0.1373+C2309*12.9898+D2309*78.233)*43758.5453,1),1E-9),"")</f>
        <v/>
      </c>
      <c r="G2309">
        <f>IF(B2309,MOD(SIN(Seed*0.5917+C2309*39.3468+D2309*11.135)*24634.6345,1),"")</f>
        <v/>
      </c>
      <c r="H2309">
        <f>IF(B2309,SQRT(-2*LN(F2309))*COS(2*PI()*G2309),"")</f>
        <v/>
      </c>
      <c r="I2309">
        <f>IF(B2309,IF(D2309=0,H2309,Rho*I2308+SQRT(1-Rho^2)*H2309),"")</f>
        <v/>
      </c>
      <c r="J2309">
        <f>IF(B2309,IF(Dist="Normal",DistA+DistB*I2309,DistA+(DistB-DistA)*NORMSDIST(I2309)),"")</f>
        <v/>
      </c>
      <c r="K2309">
        <f>IF(B2309,INDEX(MineScale,C2309),"")</f>
        <v/>
      </c>
      <c r="L2309">
        <f>IF(B2309,INDEX(Dow,1,WEEKDAY(E2309,2)),"")</f>
        <v/>
      </c>
      <c r="M2309">
        <f>IF(B2309,(1+Trend)^D2309,"")</f>
        <v/>
      </c>
      <c r="N2309">
        <f>IF(B2309,EXP(SUMPRODUCT(LN(1+(EvEff-1)*INDEX(Affected,0,C2309)*EXP(-((E2309-EvCenter)^2)/(2*EvSigma^2))))),"")</f>
        <v/>
      </c>
      <c r="O2309">
        <f>IF(B2309,ROUND(MAX(0,J2309*K2309*L2309*M2309*N2309),2),"")</f>
        <v/>
      </c>
    </row>
    <row r="2310">
      <c r="A2310" t="n">
        <v>2309</v>
      </c>
      <c r="B2310">
        <f>A2310&lt;=MineCount*Days</f>
        <v/>
      </c>
      <c r="C2310">
        <f>IF(B2310,INT((A2310-1)/Days)+1,"")</f>
        <v/>
      </c>
      <c r="D2310">
        <f>IF(B2310,MOD(A2310-1,Days),"")</f>
        <v/>
      </c>
      <c r="E2310" s="16">
        <f>IF(B2310,StartDate+D2310,"")</f>
        <v/>
      </c>
      <c r="F2310">
        <f>IF(B2310,MAX(MOD(SIN(Seed*0.1373+C2310*12.9898+D2310*78.233)*43758.5453,1),1E-9),"")</f>
        <v/>
      </c>
      <c r="G2310">
        <f>IF(B2310,MOD(SIN(Seed*0.5917+C2310*39.3468+D2310*11.135)*24634.6345,1),"")</f>
        <v/>
      </c>
      <c r="H2310">
        <f>IF(B2310,SQRT(-2*LN(F2310))*COS(2*PI()*G2310),"")</f>
        <v/>
      </c>
      <c r="I2310">
        <f>IF(B2310,IF(D2310=0,H2310,Rho*I2309+SQRT(1-Rho^2)*H2310),"")</f>
        <v/>
      </c>
      <c r="J2310">
        <f>IF(B2310,IF(Dist="Normal",DistA+DistB*I2310,DistA+(DistB-DistA)*NORMSDIST(I2310)),"")</f>
        <v/>
      </c>
      <c r="K2310">
        <f>IF(B2310,INDEX(MineScale,C2310),"")</f>
        <v/>
      </c>
      <c r="L2310">
        <f>IF(B2310,INDEX(Dow,1,WEEKDAY(E2310,2)),"")</f>
        <v/>
      </c>
      <c r="M2310">
        <f>IF(B2310,(1+Trend)^D2310,"")</f>
        <v/>
      </c>
      <c r="N2310">
        <f>IF(B2310,EXP(SUMPRODUCT(LN(1+(EvEff-1)*INDEX(Affected,0,C2310)*EXP(-((E2310-EvCenter)^2)/(2*EvSigma^2))))),"")</f>
        <v/>
      </c>
      <c r="O2310">
        <f>IF(B2310,ROUND(MAX(0,J2310*K2310*L2310*M2310*N2310),2),"")</f>
        <v/>
      </c>
    </row>
    <row r="2311">
      <c r="A2311" t="n">
        <v>2310</v>
      </c>
      <c r="B2311">
        <f>A2311&lt;=MineCount*Days</f>
        <v/>
      </c>
      <c r="C2311">
        <f>IF(B2311,INT((A2311-1)/Days)+1,"")</f>
        <v/>
      </c>
      <c r="D2311">
        <f>IF(B2311,MOD(A2311-1,Days),"")</f>
        <v/>
      </c>
      <c r="E2311" s="16">
        <f>IF(B2311,StartDate+D2311,"")</f>
        <v/>
      </c>
      <c r="F2311">
        <f>IF(B2311,MAX(MOD(SIN(Seed*0.1373+C2311*12.9898+D2311*78.233)*43758.5453,1),1E-9),"")</f>
        <v/>
      </c>
      <c r="G2311">
        <f>IF(B2311,MOD(SIN(Seed*0.5917+C2311*39.3468+D2311*11.135)*24634.6345,1),"")</f>
        <v/>
      </c>
      <c r="H2311">
        <f>IF(B2311,SQRT(-2*LN(F2311))*COS(2*PI()*G2311),"")</f>
        <v/>
      </c>
      <c r="I2311">
        <f>IF(B2311,IF(D2311=0,H2311,Rho*I2310+SQRT(1-Rho^2)*H2311),"")</f>
        <v/>
      </c>
      <c r="J2311">
        <f>IF(B2311,IF(Dist="Normal",DistA+DistB*I2311,DistA+(DistB-DistA)*NORMSDIST(I2311)),"")</f>
        <v/>
      </c>
      <c r="K2311">
        <f>IF(B2311,INDEX(MineScale,C2311),"")</f>
        <v/>
      </c>
      <c r="L2311">
        <f>IF(B2311,INDEX(Dow,1,WEEKDAY(E2311,2)),"")</f>
        <v/>
      </c>
      <c r="M2311">
        <f>IF(B2311,(1+Trend)^D2311,"")</f>
        <v/>
      </c>
      <c r="N2311">
        <f>IF(B2311,EXP(SUMPRODUCT(LN(1+(EvEff-1)*INDEX(Affected,0,C2311)*EXP(-((E2311-EvCenter)^2)/(2*EvSigma^2))))),"")</f>
        <v/>
      </c>
      <c r="O2311">
        <f>IF(B2311,ROUND(MAX(0,J2311*K2311*L2311*M2311*N2311),2),"")</f>
        <v/>
      </c>
    </row>
    <row r="2312">
      <c r="A2312" t="n">
        <v>2311</v>
      </c>
      <c r="B2312">
        <f>A2312&lt;=MineCount*Days</f>
        <v/>
      </c>
      <c r="C2312">
        <f>IF(B2312,INT((A2312-1)/Days)+1,"")</f>
        <v/>
      </c>
      <c r="D2312">
        <f>IF(B2312,MOD(A2312-1,Days),"")</f>
        <v/>
      </c>
      <c r="E2312" s="16">
        <f>IF(B2312,StartDate+D2312,"")</f>
        <v/>
      </c>
      <c r="F2312">
        <f>IF(B2312,MAX(MOD(SIN(Seed*0.1373+C2312*12.9898+D2312*78.233)*43758.5453,1),1E-9),"")</f>
        <v/>
      </c>
      <c r="G2312">
        <f>IF(B2312,MOD(SIN(Seed*0.5917+C2312*39.3468+D2312*11.135)*24634.6345,1),"")</f>
        <v/>
      </c>
      <c r="H2312">
        <f>IF(B2312,SQRT(-2*LN(F2312))*COS(2*PI()*G2312),"")</f>
        <v/>
      </c>
      <c r="I2312">
        <f>IF(B2312,IF(D2312=0,H2312,Rho*I2311+SQRT(1-Rho^2)*H2312),"")</f>
        <v/>
      </c>
      <c r="J2312">
        <f>IF(B2312,IF(Dist="Normal",DistA+DistB*I2312,DistA+(DistB-DistA)*NORMSDIST(I2312)),"")</f>
        <v/>
      </c>
      <c r="K2312">
        <f>IF(B2312,INDEX(MineScale,C2312),"")</f>
        <v/>
      </c>
      <c r="L2312">
        <f>IF(B2312,INDEX(Dow,1,WEEKDAY(E2312,2)),"")</f>
        <v/>
      </c>
      <c r="M2312">
        <f>IF(B2312,(1+Trend)^D2312,"")</f>
        <v/>
      </c>
      <c r="N2312">
        <f>IF(B2312,EXP(SUMPRODUCT(LN(1+(EvEff-1)*INDEX(Affected,0,C2312)*EXP(-((E2312-EvCenter)^2)/(2*EvSigma^2))))),"")</f>
        <v/>
      </c>
      <c r="O2312">
        <f>IF(B2312,ROUND(MAX(0,J2312*K2312*L2312*M2312*N2312),2),"")</f>
        <v/>
      </c>
    </row>
    <row r="2313">
      <c r="A2313" t="n">
        <v>2312</v>
      </c>
      <c r="B2313">
        <f>A2313&lt;=MineCount*Days</f>
        <v/>
      </c>
      <c r="C2313">
        <f>IF(B2313,INT((A2313-1)/Days)+1,"")</f>
        <v/>
      </c>
      <c r="D2313">
        <f>IF(B2313,MOD(A2313-1,Days),"")</f>
        <v/>
      </c>
      <c r="E2313" s="16">
        <f>IF(B2313,StartDate+D2313,"")</f>
        <v/>
      </c>
      <c r="F2313">
        <f>IF(B2313,MAX(MOD(SIN(Seed*0.1373+C2313*12.9898+D2313*78.233)*43758.5453,1),1E-9),"")</f>
        <v/>
      </c>
      <c r="G2313">
        <f>IF(B2313,MOD(SIN(Seed*0.5917+C2313*39.3468+D2313*11.135)*24634.6345,1),"")</f>
        <v/>
      </c>
      <c r="H2313">
        <f>IF(B2313,SQRT(-2*LN(F2313))*COS(2*PI()*G2313),"")</f>
        <v/>
      </c>
      <c r="I2313">
        <f>IF(B2313,IF(D2313=0,H2313,Rho*I2312+SQRT(1-Rho^2)*H2313),"")</f>
        <v/>
      </c>
      <c r="J2313">
        <f>IF(B2313,IF(Dist="Normal",DistA+DistB*I2313,DistA+(DistB-DistA)*NORMSDIST(I2313)),"")</f>
        <v/>
      </c>
      <c r="K2313">
        <f>IF(B2313,INDEX(MineScale,C2313),"")</f>
        <v/>
      </c>
      <c r="L2313">
        <f>IF(B2313,INDEX(Dow,1,WEEKDAY(E2313,2)),"")</f>
        <v/>
      </c>
      <c r="M2313">
        <f>IF(B2313,(1+Trend)^D2313,"")</f>
        <v/>
      </c>
      <c r="N2313">
        <f>IF(B2313,EXP(SUMPRODUCT(LN(1+(EvEff-1)*INDEX(Affected,0,C2313)*EXP(-((E2313-EvCenter)^2)/(2*EvSigma^2))))),"")</f>
        <v/>
      </c>
      <c r="O2313">
        <f>IF(B2313,ROUND(MAX(0,J2313*K2313*L2313*M2313*N2313),2),"")</f>
        <v/>
      </c>
    </row>
    <row r="2314">
      <c r="A2314" t="n">
        <v>2313</v>
      </c>
      <c r="B2314">
        <f>A2314&lt;=MineCount*Days</f>
        <v/>
      </c>
      <c r="C2314">
        <f>IF(B2314,INT((A2314-1)/Days)+1,"")</f>
        <v/>
      </c>
      <c r="D2314">
        <f>IF(B2314,MOD(A2314-1,Days),"")</f>
        <v/>
      </c>
      <c r="E2314" s="16">
        <f>IF(B2314,StartDate+D2314,"")</f>
        <v/>
      </c>
      <c r="F2314">
        <f>IF(B2314,MAX(MOD(SIN(Seed*0.1373+C2314*12.9898+D2314*78.233)*43758.5453,1),1E-9),"")</f>
        <v/>
      </c>
      <c r="G2314">
        <f>IF(B2314,MOD(SIN(Seed*0.5917+C2314*39.3468+D2314*11.135)*24634.6345,1),"")</f>
        <v/>
      </c>
      <c r="H2314">
        <f>IF(B2314,SQRT(-2*LN(F2314))*COS(2*PI()*G2314),"")</f>
        <v/>
      </c>
      <c r="I2314">
        <f>IF(B2314,IF(D2314=0,H2314,Rho*I2313+SQRT(1-Rho^2)*H2314),"")</f>
        <v/>
      </c>
      <c r="J2314">
        <f>IF(B2314,IF(Dist="Normal",DistA+DistB*I2314,DistA+(DistB-DistA)*NORMSDIST(I2314)),"")</f>
        <v/>
      </c>
      <c r="K2314">
        <f>IF(B2314,INDEX(MineScale,C2314),"")</f>
        <v/>
      </c>
      <c r="L2314">
        <f>IF(B2314,INDEX(Dow,1,WEEKDAY(E2314,2)),"")</f>
        <v/>
      </c>
      <c r="M2314">
        <f>IF(B2314,(1+Trend)^D2314,"")</f>
        <v/>
      </c>
      <c r="N2314">
        <f>IF(B2314,EXP(SUMPRODUCT(LN(1+(EvEff-1)*INDEX(Affected,0,C2314)*EXP(-((E2314-EvCenter)^2)/(2*EvSigma^2))))),"")</f>
        <v/>
      </c>
      <c r="O2314">
        <f>IF(B2314,ROUND(MAX(0,J2314*K2314*L2314*M2314*N2314),2),"")</f>
        <v/>
      </c>
    </row>
    <row r="2315">
      <c r="A2315" t="n">
        <v>2314</v>
      </c>
      <c r="B2315">
        <f>A2315&lt;=MineCount*Days</f>
        <v/>
      </c>
      <c r="C2315">
        <f>IF(B2315,INT((A2315-1)/Days)+1,"")</f>
        <v/>
      </c>
      <c r="D2315">
        <f>IF(B2315,MOD(A2315-1,Days),"")</f>
        <v/>
      </c>
      <c r="E2315" s="16">
        <f>IF(B2315,StartDate+D2315,"")</f>
        <v/>
      </c>
      <c r="F2315">
        <f>IF(B2315,MAX(MOD(SIN(Seed*0.1373+C2315*12.9898+D2315*78.233)*43758.5453,1),1E-9),"")</f>
        <v/>
      </c>
      <c r="G2315">
        <f>IF(B2315,MOD(SIN(Seed*0.5917+C2315*39.3468+D2315*11.135)*24634.6345,1),"")</f>
        <v/>
      </c>
      <c r="H2315">
        <f>IF(B2315,SQRT(-2*LN(F2315))*COS(2*PI()*G2315),"")</f>
        <v/>
      </c>
      <c r="I2315">
        <f>IF(B2315,IF(D2315=0,H2315,Rho*I2314+SQRT(1-Rho^2)*H2315),"")</f>
        <v/>
      </c>
      <c r="J2315">
        <f>IF(B2315,IF(Dist="Normal",DistA+DistB*I2315,DistA+(DistB-DistA)*NORMSDIST(I2315)),"")</f>
        <v/>
      </c>
      <c r="K2315">
        <f>IF(B2315,INDEX(MineScale,C2315),"")</f>
        <v/>
      </c>
      <c r="L2315">
        <f>IF(B2315,INDEX(Dow,1,WEEKDAY(E2315,2)),"")</f>
        <v/>
      </c>
      <c r="M2315">
        <f>IF(B2315,(1+Trend)^D2315,"")</f>
        <v/>
      </c>
      <c r="N2315">
        <f>IF(B2315,EXP(SUMPRODUCT(LN(1+(EvEff-1)*INDEX(Affected,0,C2315)*EXP(-((E2315-EvCenter)^2)/(2*EvSigma^2))))),"")</f>
        <v/>
      </c>
      <c r="O2315">
        <f>IF(B2315,ROUND(MAX(0,J2315*K2315*L2315*M2315*N2315),2),"")</f>
        <v/>
      </c>
    </row>
    <row r="2316">
      <c r="A2316" t="n">
        <v>2315</v>
      </c>
      <c r="B2316">
        <f>A2316&lt;=MineCount*Days</f>
        <v/>
      </c>
      <c r="C2316">
        <f>IF(B2316,INT((A2316-1)/Days)+1,"")</f>
        <v/>
      </c>
      <c r="D2316">
        <f>IF(B2316,MOD(A2316-1,Days),"")</f>
        <v/>
      </c>
      <c r="E2316" s="16">
        <f>IF(B2316,StartDate+D2316,"")</f>
        <v/>
      </c>
      <c r="F2316">
        <f>IF(B2316,MAX(MOD(SIN(Seed*0.1373+C2316*12.9898+D2316*78.233)*43758.5453,1),1E-9),"")</f>
        <v/>
      </c>
      <c r="G2316">
        <f>IF(B2316,MOD(SIN(Seed*0.5917+C2316*39.3468+D2316*11.135)*24634.6345,1),"")</f>
        <v/>
      </c>
      <c r="H2316">
        <f>IF(B2316,SQRT(-2*LN(F2316))*COS(2*PI()*G2316),"")</f>
        <v/>
      </c>
      <c r="I2316">
        <f>IF(B2316,IF(D2316=0,H2316,Rho*I2315+SQRT(1-Rho^2)*H2316),"")</f>
        <v/>
      </c>
      <c r="J2316">
        <f>IF(B2316,IF(Dist="Normal",DistA+DistB*I2316,DistA+(DistB-DistA)*NORMSDIST(I2316)),"")</f>
        <v/>
      </c>
      <c r="K2316">
        <f>IF(B2316,INDEX(MineScale,C2316),"")</f>
        <v/>
      </c>
      <c r="L2316">
        <f>IF(B2316,INDEX(Dow,1,WEEKDAY(E2316,2)),"")</f>
        <v/>
      </c>
      <c r="M2316">
        <f>IF(B2316,(1+Trend)^D2316,"")</f>
        <v/>
      </c>
      <c r="N2316">
        <f>IF(B2316,EXP(SUMPRODUCT(LN(1+(EvEff-1)*INDEX(Affected,0,C2316)*EXP(-((E2316-EvCenter)^2)/(2*EvSigma^2))))),"")</f>
        <v/>
      </c>
      <c r="O2316">
        <f>IF(B2316,ROUND(MAX(0,J2316*K2316*L2316*M2316*N2316),2),"")</f>
        <v/>
      </c>
    </row>
    <row r="2317">
      <c r="A2317" t="n">
        <v>2316</v>
      </c>
      <c r="B2317">
        <f>A2317&lt;=MineCount*Days</f>
        <v/>
      </c>
      <c r="C2317">
        <f>IF(B2317,INT((A2317-1)/Days)+1,"")</f>
        <v/>
      </c>
      <c r="D2317">
        <f>IF(B2317,MOD(A2317-1,Days),"")</f>
        <v/>
      </c>
      <c r="E2317" s="16">
        <f>IF(B2317,StartDate+D2317,"")</f>
        <v/>
      </c>
      <c r="F2317">
        <f>IF(B2317,MAX(MOD(SIN(Seed*0.1373+C2317*12.9898+D2317*78.233)*43758.5453,1),1E-9),"")</f>
        <v/>
      </c>
      <c r="G2317">
        <f>IF(B2317,MOD(SIN(Seed*0.5917+C2317*39.3468+D2317*11.135)*24634.6345,1),"")</f>
        <v/>
      </c>
      <c r="H2317">
        <f>IF(B2317,SQRT(-2*LN(F2317))*COS(2*PI()*G2317),"")</f>
        <v/>
      </c>
      <c r="I2317">
        <f>IF(B2317,IF(D2317=0,H2317,Rho*I2316+SQRT(1-Rho^2)*H2317),"")</f>
        <v/>
      </c>
      <c r="J2317">
        <f>IF(B2317,IF(Dist="Normal",DistA+DistB*I2317,DistA+(DistB-DistA)*NORMSDIST(I2317)),"")</f>
        <v/>
      </c>
      <c r="K2317">
        <f>IF(B2317,INDEX(MineScale,C2317),"")</f>
        <v/>
      </c>
      <c r="L2317">
        <f>IF(B2317,INDEX(Dow,1,WEEKDAY(E2317,2)),"")</f>
        <v/>
      </c>
      <c r="M2317">
        <f>IF(B2317,(1+Trend)^D2317,"")</f>
        <v/>
      </c>
      <c r="N2317">
        <f>IF(B2317,EXP(SUMPRODUCT(LN(1+(EvEff-1)*INDEX(Affected,0,C2317)*EXP(-((E2317-EvCenter)^2)/(2*EvSigma^2))))),"")</f>
        <v/>
      </c>
      <c r="O2317">
        <f>IF(B2317,ROUND(MAX(0,J2317*K2317*L2317*M2317*N2317),2),"")</f>
        <v/>
      </c>
    </row>
    <row r="2318">
      <c r="A2318" t="n">
        <v>2317</v>
      </c>
      <c r="B2318">
        <f>A2318&lt;=MineCount*Days</f>
        <v/>
      </c>
      <c r="C2318">
        <f>IF(B2318,INT((A2318-1)/Days)+1,"")</f>
        <v/>
      </c>
      <c r="D2318">
        <f>IF(B2318,MOD(A2318-1,Days),"")</f>
        <v/>
      </c>
      <c r="E2318" s="16">
        <f>IF(B2318,StartDate+D2318,"")</f>
        <v/>
      </c>
      <c r="F2318">
        <f>IF(B2318,MAX(MOD(SIN(Seed*0.1373+C2318*12.9898+D2318*78.233)*43758.5453,1),1E-9),"")</f>
        <v/>
      </c>
      <c r="G2318">
        <f>IF(B2318,MOD(SIN(Seed*0.5917+C2318*39.3468+D2318*11.135)*24634.6345,1),"")</f>
        <v/>
      </c>
      <c r="H2318">
        <f>IF(B2318,SQRT(-2*LN(F2318))*COS(2*PI()*G2318),"")</f>
        <v/>
      </c>
      <c r="I2318">
        <f>IF(B2318,IF(D2318=0,H2318,Rho*I2317+SQRT(1-Rho^2)*H2318),"")</f>
        <v/>
      </c>
      <c r="J2318">
        <f>IF(B2318,IF(Dist="Normal",DistA+DistB*I2318,DistA+(DistB-DistA)*NORMSDIST(I2318)),"")</f>
        <v/>
      </c>
      <c r="K2318">
        <f>IF(B2318,INDEX(MineScale,C2318),"")</f>
        <v/>
      </c>
      <c r="L2318">
        <f>IF(B2318,INDEX(Dow,1,WEEKDAY(E2318,2)),"")</f>
        <v/>
      </c>
      <c r="M2318">
        <f>IF(B2318,(1+Trend)^D2318,"")</f>
        <v/>
      </c>
      <c r="N2318">
        <f>IF(B2318,EXP(SUMPRODUCT(LN(1+(EvEff-1)*INDEX(Affected,0,C2318)*EXP(-((E2318-EvCenter)^2)/(2*EvSigma^2))))),"")</f>
        <v/>
      </c>
      <c r="O2318">
        <f>IF(B2318,ROUND(MAX(0,J2318*K2318*L2318*M2318*N2318),2),"")</f>
        <v/>
      </c>
    </row>
    <row r="2319">
      <c r="A2319" t="n">
        <v>2318</v>
      </c>
      <c r="B2319">
        <f>A2319&lt;=MineCount*Days</f>
        <v/>
      </c>
      <c r="C2319">
        <f>IF(B2319,INT((A2319-1)/Days)+1,"")</f>
        <v/>
      </c>
      <c r="D2319">
        <f>IF(B2319,MOD(A2319-1,Days),"")</f>
        <v/>
      </c>
      <c r="E2319" s="16">
        <f>IF(B2319,StartDate+D2319,"")</f>
        <v/>
      </c>
      <c r="F2319">
        <f>IF(B2319,MAX(MOD(SIN(Seed*0.1373+C2319*12.9898+D2319*78.233)*43758.5453,1),1E-9),"")</f>
        <v/>
      </c>
      <c r="G2319">
        <f>IF(B2319,MOD(SIN(Seed*0.5917+C2319*39.3468+D2319*11.135)*24634.6345,1),"")</f>
        <v/>
      </c>
      <c r="H2319">
        <f>IF(B2319,SQRT(-2*LN(F2319))*COS(2*PI()*G2319),"")</f>
        <v/>
      </c>
      <c r="I2319">
        <f>IF(B2319,IF(D2319=0,H2319,Rho*I2318+SQRT(1-Rho^2)*H2319),"")</f>
        <v/>
      </c>
      <c r="J2319">
        <f>IF(B2319,IF(Dist="Normal",DistA+DistB*I2319,DistA+(DistB-DistA)*NORMSDIST(I2319)),"")</f>
        <v/>
      </c>
      <c r="K2319">
        <f>IF(B2319,INDEX(MineScale,C2319),"")</f>
        <v/>
      </c>
      <c r="L2319">
        <f>IF(B2319,INDEX(Dow,1,WEEKDAY(E2319,2)),"")</f>
        <v/>
      </c>
      <c r="M2319">
        <f>IF(B2319,(1+Trend)^D2319,"")</f>
        <v/>
      </c>
      <c r="N2319">
        <f>IF(B2319,EXP(SUMPRODUCT(LN(1+(EvEff-1)*INDEX(Affected,0,C2319)*EXP(-((E2319-EvCenter)^2)/(2*EvSigma^2))))),"")</f>
        <v/>
      </c>
      <c r="O2319">
        <f>IF(B2319,ROUND(MAX(0,J2319*K2319*L2319*M2319*N2319),2),"")</f>
        <v/>
      </c>
    </row>
    <row r="2320">
      <c r="A2320" t="n">
        <v>2319</v>
      </c>
      <c r="B2320">
        <f>A2320&lt;=MineCount*Days</f>
        <v/>
      </c>
      <c r="C2320">
        <f>IF(B2320,INT((A2320-1)/Days)+1,"")</f>
        <v/>
      </c>
      <c r="D2320">
        <f>IF(B2320,MOD(A2320-1,Days),"")</f>
        <v/>
      </c>
      <c r="E2320" s="16">
        <f>IF(B2320,StartDate+D2320,"")</f>
        <v/>
      </c>
      <c r="F2320">
        <f>IF(B2320,MAX(MOD(SIN(Seed*0.1373+C2320*12.9898+D2320*78.233)*43758.5453,1),1E-9),"")</f>
        <v/>
      </c>
      <c r="G2320">
        <f>IF(B2320,MOD(SIN(Seed*0.5917+C2320*39.3468+D2320*11.135)*24634.6345,1),"")</f>
        <v/>
      </c>
      <c r="H2320">
        <f>IF(B2320,SQRT(-2*LN(F2320))*COS(2*PI()*G2320),"")</f>
        <v/>
      </c>
      <c r="I2320">
        <f>IF(B2320,IF(D2320=0,H2320,Rho*I2319+SQRT(1-Rho^2)*H2320),"")</f>
        <v/>
      </c>
      <c r="J2320">
        <f>IF(B2320,IF(Dist="Normal",DistA+DistB*I2320,DistA+(DistB-DistA)*NORMSDIST(I2320)),"")</f>
        <v/>
      </c>
      <c r="K2320">
        <f>IF(B2320,INDEX(MineScale,C2320),"")</f>
        <v/>
      </c>
      <c r="L2320">
        <f>IF(B2320,INDEX(Dow,1,WEEKDAY(E2320,2)),"")</f>
        <v/>
      </c>
      <c r="M2320">
        <f>IF(B2320,(1+Trend)^D2320,"")</f>
        <v/>
      </c>
      <c r="N2320">
        <f>IF(B2320,EXP(SUMPRODUCT(LN(1+(EvEff-1)*INDEX(Affected,0,C2320)*EXP(-((E2320-EvCenter)^2)/(2*EvSigma^2))))),"")</f>
        <v/>
      </c>
      <c r="O2320">
        <f>IF(B2320,ROUND(MAX(0,J2320*K2320*L2320*M2320*N2320),2),"")</f>
        <v/>
      </c>
    </row>
    <row r="2321">
      <c r="A2321" t="n">
        <v>2320</v>
      </c>
      <c r="B2321">
        <f>A2321&lt;=MineCount*Days</f>
        <v/>
      </c>
      <c r="C2321">
        <f>IF(B2321,INT((A2321-1)/Days)+1,"")</f>
        <v/>
      </c>
      <c r="D2321">
        <f>IF(B2321,MOD(A2321-1,Days),"")</f>
        <v/>
      </c>
      <c r="E2321" s="16">
        <f>IF(B2321,StartDate+D2321,"")</f>
        <v/>
      </c>
      <c r="F2321">
        <f>IF(B2321,MAX(MOD(SIN(Seed*0.1373+C2321*12.9898+D2321*78.233)*43758.5453,1),1E-9),"")</f>
        <v/>
      </c>
      <c r="G2321">
        <f>IF(B2321,MOD(SIN(Seed*0.5917+C2321*39.3468+D2321*11.135)*24634.6345,1),"")</f>
        <v/>
      </c>
      <c r="H2321">
        <f>IF(B2321,SQRT(-2*LN(F2321))*COS(2*PI()*G2321),"")</f>
        <v/>
      </c>
      <c r="I2321">
        <f>IF(B2321,IF(D2321=0,H2321,Rho*I2320+SQRT(1-Rho^2)*H2321),"")</f>
        <v/>
      </c>
      <c r="J2321">
        <f>IF(B2321,IF(Dist="Normal",DistA+DistB*I2321,DistA+(DistB-DistA)*NORMSDIST(I2321)),"")</f>
        <v/>
      </c>
      <c r="K2321">
        <f>IF(B2321,INDEX(MineScale,C2321),"")</f>
        <v/>
      </c>
      <c r="L2321">
        <f>IF(B2321,INDEX(Dow,1,WEEKDAY(E2321,2)),"")</f>
        <v/>
      </c>
      <c r="M2321">
        <f>IF(B2321,(1+Trend)^D2321,"")</f>
        <v/>
      </c>
      <c r="N2321">
        <f>IF(B2321,EXP(SUMPRODUCT(LN(1+(EvEff-1)*INDEX(Affected,0,C2321)*EXP(-((E2321-EvCenter)^2)/(2*EvSigma^2))))),"")</f>
        <v/>
      </c>
      <c r="O2321">
        <f>IF(B2321,ROUND(MAX(0,J2321*K2321*L2321*M2321*N2321),2),"")</f>
        <v/>
      </c>
    </row>
    <row r="2322">
      <c r="A2322" t="n">
        <v>2321</v>
      </c>
      <c r="B2322">
        <f>A2322&lt;=MineCount*Days</f>
        <v/>
      </c>
      <c r="C2322">
        <f>IF(B2322,INT((A2322-1)/Days)+1,"")</f>
        <v/>
      </c>
      <c r="D2322">
        <f>IF(B2322,MOD(A2322-1,Days),"")</f>
        <v/>
      </c>
      <c r="E2322" s="16">
        <f>IF(B2322,StartDate+D2322,"")</f>
        <v/>
      </c>
      <c r="F2322">
        <f>IF(B2322,MAX(MOD(SIN(Seed*0.1373+C2322*12.9898+D2322*78.233)*43758.5453,1),1E-9),"")</f>
        <v/>
      </c>
      <c r="G2322">
        <f>IF(B2322,MOD(SIN(Seed*0.5917+C2322*39.3468+D2322*11.135)*24634.6345,1),"")</f>
        <v/>
      </c>
      <c r="H2322">
        <f>IF(B2322,SQRT(-2*LN(F2322))*COS(2*PI()*G2322),"")</f>
        <v/>
      </c>
      <c r="I2322">
        <f>IF(B2322,IF(D2322=0,H2322,Rho*I2321+SQRT(1-Rho^2)*H2322),"")</f>
        <v/>
      </c>
      <c r="J2322">
        <f>IF(B2322,IF(Dist="Normal",DistA+DistB*I2322,DistA+(DistB-DistA)*NORMSDIST(I2322)),"")</f>
        <v/>
      </c>
      <c r="K2322">
        <f>IF(B2322,INDEX(MineScale,C2322),"")</f>
        <v/>
      </c>
      <c r="L2322">
        <f>IF(B2322,INDEX(Dow,1,WEEKDAY(E2322,2)),"")</f>
        <v/>
      </c>
      <c r="M2322">
        <f>IF(B2322,(1+Trend)^D2322,"")</f>
        <v/>
      </c>
      <c r="N2322">
        <f>IF(B2322,EXP(SUMPRODUCT(LN(1+(EvEff-1)*INDEX(Affected,0,C2322)*EXP(-((E2322-EvCenter)^2)/(2*EvSigma^2))))),"")</f>
        <v/>
      </c>
      <c r="O2322">
        <f>IF(B2322,ROUND(MAX(0,J2322*K2322*L2322*M2322*N2322),2),"")</f>
        <v/>
      </c>
    </row>
    <row r="2323">
      <c r="A2323" t="n">
        <v>2322</v>
      </c>
      <c r="B2323">
        <f>A2323&lt;=MineCount*Days</f>
        <v/>
      </c>
      <c r="C2323">
        <f>IF(B2323,INT((A2323-1)/Days)+1,"")</f>
        <v/>
      </c>
      <c r="D2323">
        <f>IF(B2323,MOD(A2323-1,Days),"")</f>
        <v/>
      </c>
      <c r="E2323" s="16">
        <f>IF(B2323,StartDate+D2323,"")</f>
        <v/>
      </c>
      <c r="F2323">
        <f>IF(B2323,MAX(MOD(SIN(Seed*0.1373+C2323*12.9898+D2323*78.233)*43758.5453,1),1E-9),"")</f>
        <v/>
      </c>
      <c r="G2323">
        <f>IF(B2323,MOD(SIN(Seed*0.5917+C2323*39.3468+D2323*11.135)*24634.6345,1),"")</f>
        <v/>
      </c>
      <c r="H2323">
        <f>IF(B2323,SQRT(-2*LN(F2323))*COS(2*PI()*G2323),"")</f>
        <v/>
      </c>
      <c r="I2323">
        <f>IF(B2323,IF(D2323=0,H2323,Rho*I2322+SQRT(1-Rho^2)*H2323),"")</f>
        <v/>
      </c>
      <c r="J2323">
        <f>IF(B2323,IF(Dist="Normal",DistA+DistB*I2323,DistA+(DistB-DistA)*NORMSDIST(I2323)),"")</f>
        <v/>
      </c>
      <c r="K2323">
        <f>IF(B2323,INDEX(MineScale,C2323),"")</f>
        <v/>
      </c>
      <c r="L2323">
        <f>IF(B2323,INDEX(Dow,1,WEEKDAY(E2323,2)),"")</f>
        <v/>
      </c>
      <c r="M2323">
        <f>IF(B2323,(1+Trend)^D2323,"")</f>
        <v/>
      </c>
      <c r="N2323">
        <f>IF(B2323,EXP(SUMPRODUCT(LN(1+(EvEff-1)*INDEX(Affected,0,C2323)*EXP(-((E2323-EvCenter)^2)/(2*EvSigma^2))))),"")</f>
        <v/>
      </c>
      <c r="O2323">
        <f>IF(B2323,ROUND(MAX(0,J2323*K2323*L2323*M2323*N2323),2),"")</f>
        <v/>
      </c>
    </row>
    <row r="2324">
      <c r="A2324" t="n">
        <v>2323</v>
      </c>
      <c r="B2324">
        <f>A2324&lt;=MineCount*Days</f>
        <v/>
      </c>
      <c r="C2324">
        <f>IF(B2324,INT((A2324-1)/Days)+1,"")</f>
        <v/>
      </c>
      <c r="D2324">
        <f>IF(B2324,MOD(A2324-1,Days),"")</f>
        <v/>
      </c>
      <c r="E2324" s="16">
        <f>IF(B2324,StartDate+D2324,"")</f>
        <v/>
      </c>
      <c r="F2324">
        <f>IF(B2324,MAX(MOD(SIN(Seed*0.1373+C2324*12.9898+D2324*78.233)*43758.5453,1),1E-9),"")</f>
        <v/>
      </c>
      <c r="G2324">
        <f>IF(B2324,MOD(SIN(Seed*0.5917+C2324*39.3468+D2324*11.135)*24634.6345,1),"")</f>
        <v/>
      </c>
      <c r="H2324">
        <f>IF(B2324,SQRT(-2*LN(F2324))*COS(2*PI()*G2324),"")</f>
        <v/>
      </c>
      <c r="I2324">
        <f>IF(B2324,IF(D2324=0,H2324,Rho*I2323+SQRT(1-Rho^2)*H2324),"")</f>
        <v/>
      </c>
      <c r="J2324">
        <f>IF(B2324,IF(Dist="Normal",DistA+DistB*I2324,DistA+(DistB-DistA)*NORMSDIST(I2324)),"")</f>
        <v/>
      </c>
      <c r="K2324">
        <f>IF(B2324,INDEX(MineScale,C2324),"")</f>
        <v/>
      </c>
      <c r="L2324">
        <f>IF(B2324,INDEX(Dow,1,WEEKDAY(E2324,2)),"")</f>
        <v/>
      </c>
      <c r="M2324">
        <f>IF(B2324,(1+Trend)^D2324,"")</f>
        <v/>
      </c>
      <c r="N2324">
        <f>IF(B2324,EXP(SUMPRODUCT(LN(1+(EvEff-1)*INDEX(Affected,0,C2324)*EXP(-((E2324-EvCenter)^2)/(2*EvSigma^2))))),"")</f>
        <v/>
      </c>
      <c r="O2324">
        <f>IF(B2324,ROUND(MAX(0,J2324*K2324*L2324*M2324*N2324),2),"")</f>
        <v/>
      </c>
    </row>
    <row r="2325">
      <c r="A2325" t="n">
        <v>2324</v>
      </c>
      <c r="B2325">
        <f>A2325&lt;=MineCount*Days</f>
        <v/>
      </c>
      <c r="C2325">
        <f>IF(B2325,INT((A2325-1)/Days)+1,"")</f>
        <v/>
      </c>
      <c r="D2325">
        <f>IF(B2325,MOD(A2325-1,Days),"")</f>
        <v/>
      </c>
      <c r="E2325" s="16">
        <f>IF(B2325,StartDate+D2325,"")</f>
        <v/>
      </c>
      <c r="F2325">
        <f>IF(B2325,MAX(MOD(SIN(Seed*0.1373+C2325*12.9898+D2325*78.233)*43758.5453,1),1E-9),"")</f>
        <v/>
      </c>
      <c r="G2325">
        <f>IF(B2325,MOD(SIN(Seed*0.5917+C2325*39.3468+D2325*11.135)*24634.6345,1),"")</f>
        <v/>
      </c>
      <c r="H2325">
        <f>IF(B2325,SQRT(-2*LN(F2325))*COS(2*PI()*G2325),"")</f>
        <v/>
      </c>
      <c r="I2325">
        <f>IF(B2325,IF(D2325=0,H2325,Rho*I2324+SQRT(1-Rho^2)*H2325),"")</f>
        <v/>
      </c>
      <c r="J2325">
        <f>IF(B2325,IF(Dist="Normal",DistA+DistB*I2325,DistA+(DistB-DistA)*NORMSDIST(I2325)),"")</f>
        <v/>
      </c>
      <c r="K2325">
        <f>IF(B2325,INDEX(MineScale,C2325),"")</f>
        <v/>
      </c>
      <c r="L2325">
        <f>IF(B2325,INDEX(Dow,1,WEEKDAY(E2325,2)),"")</f>
        <v/>
      </c>
      <c r="M2325">
        <f>IF(B2325,(1+Trend)^D2325,"")</f>
        <v/>
      </c>
      <c r="N2325">
        <f>IF(B2325,EXP(SUMPRODUCT(LN(1+(EvEff-1)*INDEX(Affected,0,C2325)*EXP(-((E2325-EvCenter)^2)/(2*EvSigma^2))))),"")</f>
        <v/>
      </c>
      <c r="O2325">
        <f>IF(B2325,ROUND(MAX(0,J2325*K2325*L2325*M2325*N2325),2),"")</f>
        <v/>
      </c>
    </row>
    <row r="2326">
      <c r="A2326" t="n">
        <v>2325</v>
      </c>
      <c r="B2326">
        <f>A2326&lt;=MineCount*Days</f>
        <v/>
      </c>
      <c r="C2326">
        <f>IF(B2326,INT((A2326-1)/Days)+1,"")</f>
        <v/>
      </c>
      <c r="D2326">
        <f>IF(B2326,MOD(A2326-1,Days),"")</f>
        <v/>
      </c>
      <c r="E2326" s="16">
        <f>IF(B2326,StartDate+D2326,"")</f>
        <v/>
      </c>
      <c r="F2326">
        <f>IF(B2326,MAX(MOD(SIN(Seed*0.1373+C2326*12.9898+D2326*78.233)*43758.5453,1),1E-9),"")</f>
        <v/>
      </c>
      <c r="G2326">
        <f>IF(B2326,MOD(SIN(Seed*0.5917+C2326*39.3468+D2326*11.135)*24634.6345,1),"")</f>
        <v/>
      </c>
      <c r="H2326">
        <f>IF(B2326,SQRT(-2*LN(F2326))*COS(2*PI()*G2326),"")</f>
        <v/>
      </c>
      <c r="I2326">
        <f>IF(B2326,IF(D2326=0,H2326,Rho*I2325+SQRT(1-Rho^2)*H2326),"")</f>
        <v/>
      </c>
      <c r="J2326">
        <f>IF(B2326,IF(Dist="Normal",DistA+DistB*I2326,DistA+(DistB-DistA)*NORMSDIST(I2326)),"")</f>
        <v/>
      </c>
      <c r="K2326">
        <f>IF(B2326,INDEX(MineScale,C2326),"")</f>
        <v/>
      </c>
      <c r="L2326">
        <f>IF(B2326,INDEX(Dow,1,WEEKDAY(E2326,2)),"")</f>
        <v/>
      </c>
      <c r="M2326">
        <f>IF(B2326,(1+Trend)^D2326,"")</f>
        <v/>
      </c>
      <c r="N2326">
        <f>IF(B2326,EXP(SUMPRODUCT(LN(1+(EvEff-1)*INDEX(Affected,0,C2326)*EXP(-((E2326-EvCenter)^2)/(2*EvSigma^2))))),"")</f>
        <v/>
      </c>
      <c r="O2326">
        <f>IF(B2326,ROUND(MAX(0,J2326*K2326*L2326*M2326*N2326),2),"")</f>
        <v/>
      </c>
    </row>
    <row r="2327">
      <c r="A2327" t="n">
        <v>2326</v>
      </c>
      <c r="B2327">
        <f>A2327&lt;=MineCount*Days</f>
        <v/>
      </c>
      <c r="C2327">
        <f>IF(B2327,INT((A2327-1)/Days)+1,"")</f>
        <v/>
      </c>
      <c r="D2327">
        <f>IF(B2327,MOD(A2327-1,Days),"")</f>
        <v/>
      </c>
      <c r="E2327" s="16">
        <f>IF(B2327,StartDate+D2327,"")</f>
        <v/>
      </c>
      <c r="F2327">
        <f>IF(B2327,MAX(MOD(SIN(Seed*0.1373+C2327*12.9898+D2327*78.233)*43758.5453,1),1E-9),"")</f>
        <v/>
      </c>
      <c r="G2327">
        <f>IF(B2327,MOD(SIN(Seed*0.5917+C2327*39.3468+D2327*11.135)*24634.6345,1),"")</f>
        <v/>
      </c>
      <c r="H2327">
        <f>IF(B2327,SQRT(-2*LN(F2327))*COS(2*PI()*G2327),"")</f>
        <v/>
      </c>
      <c r="I2327">
        <f>IF(B2327,IF(D2327=0,H2327,Rho*I2326+SQRT(1-Rho^2)*H2327),"")</f>
        <v/>
      </c>
      <c r="J2327">
        <f>IF(B2327,IF(Dist="Normal",DistA+DistB*I2327,DistA+(DistB-DistA)*NORMSDIST(I2327)),"")</f>
        <v/>
      </c>
      <c r="K2327">
        <f>IF(B2327,INDEX(MineScale,C2327),"")</f>
        <v/>
      </c>
      <c r="L2327">
        <f>IF(B2327,INDEX(Dow,1,WEEKDAY(E2327,2)),"")</f>
        <v/>
      </c>
      <c r="M2327">
        <f>IF(B2327,(1+Trend)^D2327,"")</f>
        <v/>
      </c>
      <c r="N2327">
        <f>IF(B2327,EXP(SUMPRODUCT(LN(1+(EvEff-1)*INDEX(Affected,0,C2327)*EXP(-((E2327-EvCenter)^2)/(2*EvSigma^2))))),"")</f>
        <v/>
      </c>
      <c r="O2327">
        <f>IF(B2327,ROUND(MAX(0,J2327*K2327*L2327*M2327*N2327),2),"")</f>
        <v/>
      </c>
    </row>
    <row r="2328">
      <c r="A2328" t="n">
        <v>2327</v>
      </c>
      <c r="B2328">
        <f>A2328&lt;=MineCount*Days</f>
        <v/>
      </c>
      <c r="C2328">
        <f>IF(B2328,INT((A2328-1)/Days)+1,"")</f>
        <v/>
      </c>
      <c r="D2328">
        <f>IF(B2328,MOD(A2328-1,Days),"")</f>
        <v/>
      </c>
      <c r="E2328" s="16">
        <f>IF(B2328,StartDate+D2328,"")</f>
        <v/>
      </c>
      <c r="F2328">
        <f>IF(B2328,MAX(MOD(SIN(Seed*0.1373+C2328*12.9898+D2328*78.233)*43758.5453,1),1E-9),"")</f>
        <v/>
      </c>
      <c r="G2328">
        <f>IF(B2328,MOD(SIN(Seed*0.5917+C2328*39.3468+D2328*11.135)*24634.6345,1),"")</f>
        <v/>
      </c>
      <c r="H2328">
        <f>IF(B2328,SQRT(-2*LN(F2328))*COS(2*PI()*G2328),"")</f>
        <v/>
      </c>
      <c r="I2328">
        <f>IF(B2328,IF(D2328=0,H2328,Rho*I2327+SQRT(1-Rho^2)*H2328),"")</f>
        <v/>
      </c>
      <c r="J2328">
        <f>IF(B2328,IF(Dist="Normal",DistA+DistB*I2328,DistA+(DistB-DistA)*NORMSDIST(I2328)),"")</f>
        <v/>
      </c>
      <c r="K2328">
        <f>IF(B2328,INDEX(MineScale,C2328),"")</f>
        <v/>
      </c>
      <c r="L2328">
        <f>IF(B2328,INDEX(Dow,1,WEEKDAY(E2328,2)),"")</f>
        <v/>
      </c>
      <c r="M2328">
        <f>IF(B2328,(1+Trend)^D2328,"")</f>
        <v/>
      </c>
      <c r="N2328">
        <f>IF(B2328,EXP(SUMPRODUCT(LN(1+(EvEff-1)*INDEX(Affected,0,C2328)*EXP(-((E2328-EvCenter)^2)/(2*EvSigma^2))))),"")</f>
        <v/>
      </c>
      <c r="O2328">
        <f>IF(B2328,ROUND(MAX(0,J2328*K2328*L2328*M2328*N2328),2),"")</f>
        <v/>
      </c>
    </row>
    <row r="2329">
      <c r="A2329" t="n">
        <v>2328</v>
      </c>
      <c r="B2329">
        <f>A2329&lt;=MineCount*Days</f>
        <v/>
      </c>
      <c r="C2329">
        <f>IF(B2329,INT((A2329-1)/Days)+1,"")</f>
        <v/>
      </c>
      <c r="D2329">
        <f>IF(B2329,MOD(A2329-1,Days),"")</f>
        <v/>
      </c>
      <c r="E2329" s="16">
        <f>IF(B2329,StartDate+D2329,"")</f>
        <v/>
      </c>
      <c r="F2329">
        <f>IF(B2329,MAX(MOD(SIN(Seed*0.1373+C2329*12.9898+D2329*78.233)*43758.5453,1),1E-9),"")</f>
        <v/>
      </c>
      <c r="G2329">
        <f>IF(B2329,MOD(SIN(Seed*0.5917+C2329*39.3468+D2329*11.135)*24634.6345,1),"")</f>
        <v/>
      </c>
      <c r="H2329">
        <f>IF(B2329,SQRT(-2*LN(F2329))*COS(2*PI()*G2329),"")</f>
        <v/>
      </c>
      <c r="I2329">
        <f>IF(B2329,IF(D2329=0,H2329,Rho*I2328+SQRT(1-Rho^2)*H2329),"")</f>
        <v/>
      </c>
      <c r="J2329">
        <f>IF(B2329,IF(Dist="Normal",DistA+DistB*I2329,DistA+(DistB-DistA)*NORMSDIST(I2329)),"")</f>
        <v/>
      </c>
      <c r="K2329">
        <f>IF(B2329,INDEX(MineScale,C2329),"")</f>
        <v/>
      </c>
      <c r="L2329">
        <f>IF(B2329,INDEX(Dow,1,WEEKDAY(E2329,2)),"")</f>
        <v/>
      </c>
      <c r="M2329">
        <f>IF(B2329,(1+Trend)^D2329,"")</f>
        <v/>
      </c>
      <c r="N2329">
        <f>IF(B2329,EXP(SUMPRODUCT(LN(1+(EvEff-1)*INDEX(Affected,0,C2329)*EXP(-((E2329-EvCenter)^2)/(2*EvSigma^2))))),"")</f>
        <v/>
      </c>
      <c r="O2329">
        <f>IF(B2329,ROUND(MAX(0,J2329*K2329*L2329*M2329*N2329),2),"")</f>
        <v/>
      </c>
    </row>
    <row r="2330">
      <c r="A2330" t="n">
        <v>2329</v>
      </c>
      <c r="B2330">
        <f>A2330&lt;=MineCount*Days</f>
        <v/>
      </c>
      <c r="C2330">
        <f>IF(B2330,INT((A2330-1)/Days)+1,"")</f>
        <v/>
      </c>
      <c r="D2330">
        <f>IF(B2330,MOD(A2330-1,Days),"")</f>
        <v/>
      </c>
      <c r="E2330" s="16">
        <f>IF(B2330,StartDate+D2330,"")</f>
        <v/>
      </c>
      <c r="F2330">
        <f>IF(B2330,MAX(MOD(SIN(Seed*0.1373+C2330*12.9898+D2330*78.233)*43758.5453,1),1E-9),"")</f>
        <v/>
      </c>
      <c r="G2330">
        <f>IF(B2330,MOD(SIN(Seed*0.5917+C2330*39.3468+D2330*11.135)*24634.6345,1),"")</f>
        <v/>
      </c>
      <c r="H2330">
        <f>IF(B2330,SQRT(-2*LN(F2330))*COS(2*PI()*G2330),"")</f>
        <v/>
      </c>
      <c r="I2330">
        <f>IF(B2330,IF(D2330=0,H2330,Rho*I2329+SQRT(1-Rho^2)*H2330),"")</f>
        <v/>
      </c>
      <c r="J2330">
        <f>IF(B2330,IF(Dist="Normal",DistA+DistB*I2330,DistA+(DistB-DistA)*NORMSDIST(I2330)),"")</f>
        <v/>
      </c>
      <c r="K2330">
        <f>IF(B2330,INDEX(MineScale,C2330),"")</f>
        <v/>
      </c>
      <c r="L2330">
        <f>IF(B2330,INDEX(Dow,1,WEEKDAY(E2330,2)),"")</f>
        <v/>
      </c>
      <c r="M2330">
        <f>IF(B2330,(1+Trend)^D2330,"")</f>
        <v/>
      </c>
      <c r="N2330">
        <f>IF(B2330,EXP(SUMPRODUCT(LN(1+(EvEff-1)*INDEX(Affected,0,C2330)*EXP(-((E2330-EvCenter)^2)/(2*EvSigma^2))))),"")</f>
        <v/>
      </c>
      <c r="O2330">
        <f>IF(B2330,ROUND(MAX(0,J2330*K2330*L2330*M2330*N2330),2),"")</f>
        <v/>
      </c>
    </row>
    <row r="2331">
      <c r="A2331" t="n">
        <v>2330</v>
      </c>
      <c r="B2331">
        <f>A2331&lt;=MineCount*Days</f>
        <v/>
      </c>
      <c r="C2331">
        <f>IF(B2331,INT((A2331-1)/Days)+1,"")</f>
        <v/>
      </c>
      <c r="D2331">
        <f>IF(B2331,MOD(A2331-1,Days),"")</f>
        <v/>
      </c>
      <c r="E2331" s="16">
        <f>IF(B2331,StartDate+D2331,"")</f>
        <v/>
      </c>
      <c r="F2331">
        <f>IF(B2331,MAX(MOD(SIN(Seed*0.1373+C2331*12.9898+D2331*78.233)*43758.5453,1),1E-9),"")</f>
        <v/>
      </c>
      <c r="G2331">
        <f>IF(B2331,MOD(SIN(Seed*0.5917+C2331*39.3468+D2331*11.135)*24634.6345,1),"")</f>
        <v/>
      </c>
      <c r="H2331">
        <f>IF(B2331,SQRT(-2*LN(F2331))*COS(2*PI()*G2331),"")</f>
        <v/>
      </c>
      <c r="I2331">
        <f>IF(B2331,IF(D2331=0,H2331,Rho*I2330+SQRT(1-Rho^2)*H2331),"")</f>
        <v/>
      </c>
      <c r="J2331">
        <f>IF(B2331,IF(Dist="Normal",DistA+DistB*I2331,DistA+(DistB-DistA)*NORMSDIST(I2331)),"")</f>
        <v/>
      </c>
      <c r="K2331">
        <f>IF(B2331,INDEX(MineScale,C2331),"")</f>
        <v/>
      </c>
      <c r="L2331">
        <f>IF(B2331,INDEX(Dow,1,WEEKDAY(E2331,2)),"")</f>
        <v/>
      </c>
      <c r="M2331">
        <f>IF(B2331,(1+Trend)^D2331,"")</f>
        <v/>
      </c>
      <c r="N2331">
        <f>IF(B2331,EXP(SUMPRODUCT(LN(1+(EvEff-1)*INDEX(Affected,0,C2331)*EXP(-((E2331-EvCenter)^2)/(2*EvSigma^2))))),"")</f>
        <v/>
      </c>
      <c r="O2331">
        <f>IF(B2331,ROUND(MAX(0,J2331*K2331*L2331*M2331*N2331),2),"")</f>
        <v/>
      </c>
    </row>
    <row r="2332">
      <c r="A2332" t="n">
        <v>2331</v>
      </c>
      <c r="B2332">
        <f>A2332&lt;=MineCount*Days</f>
        <v/>
      </c>
      <c r="C2332">
        <f>IF(B2332,INT((A2332-1)/Days)+1,"")</f>
        <v/>
      </c>
      <c r="D2332">
        <f>IF(B2332,MOD(A2332-1,Days),"")</f>
        <v/>
      </c>
      <c r="E2332" s="16">
        <f>IF(B2332,StartDate+D2332,"")</f>
        <v/>
      </c>
      <c r="F2332">
        <f>IF(B2332,MAX(MOD(SIN(Seed*0.1373+C2332*12.9898+D2332*78.233)*43758.5453,1),1E-9),"")</f>
        <v/>
      </c>
      <c r="G2332">
        <f>IF(B2332,MOD(SIN(Seed*0.5917+C2332*39.3468+D2332*11.135)*24634.6345,1),"")</f>
        <v/>
      </c>
      <c r="H2332">
        <f>IF(B2332,SQRT(-2*LN(F2332))*COS(2*PI()*G2332),"")</f>
        <v/>
      </c>
      <c r="I2332">
        <f>IF(B2332,IF(D2332=0,H2332,Rho*I2331+SQRT(1-Rho^2)*H2332),"")</f>
        <v/>
      </c>
      <c r="J2332">
        <f>IF(B2332,IF(Dist="Normal",DistA+DistB*I2332,DistA+(DistB-DistA)*NORMSDIST(I2332)),"")</f>
        <v/>
      </c>
      <c r="K2332">
        <f>IF(B2332,INDEX(MineScale,C2332),"")</f>
        <v/>
      </c>
      <c r="L2332">
        <f>IF(B2332,INDEX(Dow,1,WEEKDAY(E2332,2)),"")</f>
        <v/>
      </c>
      <c r="M2332">
        <f>IF(B2332,(1+Trend)^D2332,"")</f>
        <v/>
      </c>
      <c r="N2332">
        <f>IF(B2332,EXP(SUMPRODUCT(LN(1+(EvEff-1)*INDEX(Affected,0,C2332)*EXP(-((E2332-EvCenter)^2)/(2*EvSigma^2))))),"")</f>
        <v/>
      </c>
      <c r="O2332">
        <f>IF(B2332,ROUND(MAX(0,J2332*K2332*L2332*M2332*N2332),2),"")</f>
        <v/>
      </c>
    </row>
    <row r="2333">
      <c r="A2333" t="n">
        <v>2332</v>
      </c>
      <c r="B2333">
        <f>A2333&lt;=MineCount*Days</f>
        <v/>
      </c>
      <c r="C2333">
        <f>IF(B2333,INT((A2333-1)/Days)+1,"")</f>
        <v/>
      </c>
      <c r="D2333">
        <f>IF(B2333,MOD(A2333-1,Days),"")</f>
        <v/>
      </c>
      <c r="E2333" s="16">
        <f>IF(B2333,StartDate+D2333,"")</f>
        <v/>
      </c>
      <c r="F2333">
        <f>IF(B2333,MAX(MOD(SIN(Seed*0.1373+C2333*12.9898+D2333*78.233)*43758.5453,1),1E-9),"")</f>
        <v/>
      </c>
      <c r="G2333">
        <f>IF(B2333,MOD(SIN(Seed*0.5917+C2333*39.3468+D2333*11.135)*24634.6345,1),"")</f>
        <v/>
      </c>
      <c r="H2333">
        <f>IF(B2333,SQRT(-2*LN(F2333))*COS(2*PI()*G2333),"")</f>
        <v/>
      </c>
      <c r="I2333">
        <f>IF(B2333,IF(D2333=0,H2333,Rho*I2332+SQRT(1-Rho^2)*H2333),"")</f>
        <v/>
      </c>
      <c r="J2333">
        <f>IF(B2333,IF(Dist="Normal",DistA+DistB*I2333,DistA+(DistB-DistA)*NORMSDIST(I2333)),"")</f>
        <v/>
      </c>
      <c r="K2333">
        <f>IF(B2333,INDEX(MineScale,C2333),"")</f>
        <v/>
      </c>
      <c r="L2333">
        <f>IF(B2333,INDEX(Dow,1,WEEKDAY(E2333,2)),"")</f>
        <v/>
      </c>
      <c r="M2333">
        <f>IF(B2333,(1+Trend)^D2333,"")</f>
        <v/>
      </c>
      <c r="N2333">
        <f>IF(B2333,EXP(SUMPRODUCT(LN(1+(EvEff-1)*INDEX(Affected,0,C2333)*EXP(-((E2333-EvCenter)^2)/(2*EvSigma^2))))),"")</f>
        <v/>
      </c>
      <c r="O2333">
        <f>IF(B2333,ROUND(MAX(0,J2333*K2333*L2333*M2333*N2333),2),"")</f>
        <v/>
      </c>
    </row>
    <row r="2334">
      <c r="A2334" t="n">
        <v>2333</v>
      </c>
      <c r="B2334">
        <f>A2334&lt;=MineCount*Days</f>
        <v/>
      </c>
      <c r="C2334">
        <f>IF(B2334,INT((A2334-1)/Days)+1,"")</f>
        <v/>
      </c>
      <c r="D2334">
        <f>IF(B2334,MOD(A2334-1,Days),"")</f>
        <v/>
      </c>
      <c r="E2334" s="16">
        <f>IF(B2334,StartDate+D2334,"")</f>
        <v/>
      </c>
      <c r="F2334">
        <f>IF(B2334,MAX(MOD(SIN(Seed*0.1373+C2334*12.9898+D2334*78.233)*43758.5453,1),1E-9),"")</f>
        <v/>
      </c>
      <c r="G2334">
        <f>IF(B2334,MOD(SIN(Seed*0.5917+C2334*39.3468+D2334*11.135)*24634.6345,1),"")</f>
        <v/>
      </c>
      <c r="H2334">
        <f>IF(B2334,SQRT(-2*LN(F2334))*COS(2*PI()*G2334),"")</f>
        <v/>
      </c>
      <c r="I2334">
        <f>IF(B2334,IF(D2334=0,H2334,Rho*I2333+SQRT(1-Rho^2)*H2334),"")</f>
        <v/>
      </c>
      <c r="J2334">
        <f>IF(B2334,IF(Dist="Normal",DistA+DistB*I2334,DistA+(DistB-DistA)*NORMSDIST(I2334)),"")</f>
        <v/>
      </c>
      <c r="K2334">
        <f>IF(B2334,INDEX(MineScale,C2334),"")</f>
        <v/>
      </c>
      <c r="L2334">
        <f>IF(B2334,INDEX(Dow,1,WEEKDAY(E2334,2)),"")</f>
        <v/>
      </c>
      <c r="M2334">
        <f>IF(B2334,(1+Trend)^D2334,"")</f>
        <v/>
      </c>
      <c r="N2334">
        <f>IF(B2334,EXP(SUMPRODUCT(LN(1+(EvEff-1)*INDEX(Affected,0,C2334)*EXP(-((E2334-EvCenter)^2)/(2*EvSigma^2))))),"")</f>
        <v/>
      </c>
      <c r="O2334">
        <f>IF(B2334,ROUND(MAX(0,J2334*K2334*L2334*M2334*N2334),2),"")</f>
        <v/>
      </c>
    </row>
    <row r="2335">
      <c r="A2335" t="n">
        <v>2334</v>
      </c>
      <c r="B2335">
        <f>A2335&lt;=MineCount*Days</f>
        <v/>
      </c>
      <c r="C2335">
        <f>IF(B2335,INT((A2335-1)/Days)+1,"")</f>
        <v/>
      </c>
      <c r="D2335">
        <f>IF(B2335,MOD(A2335-1,Days),"")</f>
        <v/>
      </c>
      <c r="E2335" s="16">
        <f>IF(B2335,StartDate+D2335,"")</f>
        <v/>
      </c>
      <c r="F2335">
        <f>IF(B2335,MAX(MOD(SIN(Seed*0.1373+C2335*12.9898+D2335*78.233)*43758.5453,1),1E-9),"")</f>
        <v/>
      </c>
      <c r="G2335">
        <f>IF(B2335,MOD(SIN(Seed*0.5917+C2335*39.3468+D2335*11.135)*24634.6345,1),"")</f>
        <v/>
      </c>
      <c r="H2335">
        <f>IF(B2335,SQRT(-2*LN(F2335))*COS(2*PI()*G2335),"")</f>
        <v/>
      </c>
      <c r="I2335">
        <f>IF(B2335,IF(D2335=0,H2335,Rho*I2334+SQRT(1-Rho^2)*H2335),"")</f>
        <v/>
      </c>
      <c r="J2335">
        <f>IF(B2335,IF(Dist="Normal",DistA+DistB*I2335,DistA+(DistB-DistA)*NORMSDIST(I2335)),"")</f>
        <v/>
      </c>
      <c r="K2335">
        <f>IF(B2335,INDEX(MineScale,C2335),"")</f>
        <v/>
      </c>
      <c r="L2335">
        <f>IF(B2335,INDEX(Dow,1,WEEKDAY(E2335,2)),"")</f>
        <v/>
      </c>
      <c r="M2335">
        <f>IF(B2335,(1+Trend)^D2335,"")</f>
        <v/>
      </c>
      <c r="N2335">
        <f>IF(B2335,EXP(SUMPRODUCT(LN(1+(EvEff-1)*INDEX(Affected,0,C2335)*EXP(-((E2335-EvCenter)^2)/(2*EvSigma^2))))),"")</f>
        <v/>
      </c>
      <c r="O2335">
        <f>IF(B2335,ROUND(MAX(0,J2335*K2335*L2335*M2335*N2335),2),"")</f>
        <v/>
      </c>
    </row>
    <row r="2336">
      <c r="A2336" t="n">
        <v>2335</v>
      </c>
      <c r="B2336">
        <f>A2336&lt;=MineCount*Days</f>
        <v/>
      </c>
      <c r="C2336">
        <f>IF(B2336,INT((A2336-1)/Days)+1,"")</f>
        <v/>
      </c>
      <c r="D2336">
        <f>IF(B2336,MOD(A2336-1,Days),"")</f>
        <v/>
      </c>
      <c r="E2336" s="16">
        <f>IF(B2336,StartDate+D2336,"")</f>
        <v/>
      </c>
      <c r="F2336">
        <f>IF(B2336,MAX(MOD(SIN(Seed*0.1373+C2336*12.9898+D2336*78.233)*43758.5453,1),1E-9),"")</f>
        <v/>
      </c>
      <c r="G2336">
        <f>IF(B2336,MOD(SIN(Seed*0.5917+C2336*39.3468+D2336*11.135)*24634.6345,1),"")</f>
        <v/>
      </c>
      <c r="H2336">
        <f>IF(B2336,SQRT(-2*LN(F2336))*COS(2*PI()*G2336),"")</f>
        <v/>
      </c>
      <c r="I2336">
        <f>IF(B2336,IF(D2336=0,H2336,Rho*I2335+SQRT(1-Rho^2)*H2336),"")</f>
        <v/>
      </c>
      <c r="J2336">
        <f>IF(B2336,IF(Dist="Normal",DistA+DistB*I2336,DistA+(DistB-DistA)*NORMSDIST(I2336)),"")</f>
        <v/>
      </c>
      <c r="K2336">
        <f>IF(B2336,INDEX(MineScale,C2336),"")</f>
        <v/>
      </c>
      <c r="L2336">
        <f>IF(B2336,INDEX(Dow,1,WEEKDAY(E2336,2)),"")</f>
        <v/>
      </c>
      <c r="M2336">
        <f>IF(B2336,(1+Trend)^D2336,"")</f>
        <v/>
      </c>
      <c r="N2336">
        <f>IF(B2336,EXP(SUMPRODUCT(LN(1+(EvEff-1)*INDEX(Affected,0,C2336)*EXP(-((E2336-EvCenter)^2)/(2*EvSigma^2))))),"")</f>
        <v/>
      </c>
      <c r="O2336">
        <f>IF(B2336,ROUND(MAX(0,J2336*K2336*L2336*M2336*N2336),2),"")</f>
        <v/>
      </c>
    </row>
    <row r="2337">
      <c r="A2337" t="n">
        <v>2336</v>
      </c>
      <c r="B2337">
        <f>A2337&lt;=MineCount*Days</f>
        <v/>
      </c>
      <c r="C2337">
        <f>IF(B2337,INT((A2337-1)/Days)+1,"")</f>
        <v/>
      </c>
      <c r="D2337">
        <f>IF(B2337,MOD(A2337-1,Days),"")</f>
        <v/>
      </c>
      <c r="E2337" s="16">
        <f>IF(B2337,StartDate+D2337,"")</f>
        <v/>
      </c>
      <c r="F2337">
        <f>IF(B2337,MAX(MOD(SIN(Seed*0.1373+C2337*12.9898+D2337*78.233)*43758.5453,1),1E-9),"")</f>
        <v/>
      </c>
      <c r="G2337">
        <f>IF(B2337,MOD(SIN(Seed*0.5917+C2337*39.3468+D2337*11.135)*24634.6345,1),"")</f>
        <v/>
      </c>
      <c r="H2337">
        <f>IF(B2337,SQRT(-2*LN(F2337))*COS(2*PI()*G2337),"")</f>
        <v/>
      </c>
      <c r="I2337">
        <f>IF(B2337,IF(D2337=0,H2337,Rho*I2336+SQRT(1-Rho^2)*H2337),"")</f>
        <v/>
      </c>
      <c r="J2337">
        <f>IF(B2337,IF(Dist="Normal",DistA+DistB*I2337,DistA+(DistB-DistA)*NORMSDIST(I2337)),"")</f>
        <v/>
      </c>
      <c r="K2337">
        <f>IF(B2337,INDEX(MineScale,C2337),"")</f>
        <v/>
      </c>
      <c r="L2337">
        <f>IF(B2337,INDEX(Dow,1,WEEKDAY(E2337,2)),"")</f>
        <v/>
      </c>
      <c r="M2337">
        <f>IF(B2337,(1+Trend)^D2337,"")</f>
        <v/>
      </c>
      <c r="N2337">
        <f>IF(B2337,EXP(SUMPRODUCT(LN(1+(EvEff-1)*INDEX(Affected,0,C2337)*EXP(-((E2337-EvCenter)^2)/(2*EvSigma^2))))),"")</f>
        <v/>
      </c>
      <c r="O2337">
        <f>IF(B2337,ROUND(MAX(0,J2337*K2337*L2337*M2337*N2337),2),"")</f>
        <v/>
      </c>
    </row>
    <row r="2338">
      <c r="A2338" t="n">
        <v>2337</v>
      </c>
      <c r="B2338">
        <f>A2338&lt;=MineCount*Days</f>
        <v/>
      </c>
      <c r="C2338">
        <f>IF(B2338,INT((A2338-1)/Days)+1,"")</f>
        <v/>
      </c>
      <c r="D2338">
        <f>IF(B2338,MOD(A2338-1,Days),"")</f>
        <v/>
      </c>
      <c r="E2338" s="16">
        <f>IF(B2338,StartDate+D2338,"")</f>
        <v/>
      </c>
      <c r="F2338">
        <f>IF(B2338,MAX(MOD(SIN(Seed*0.1373+C2338*12.9898+D2338*78.233)*43758.5453,1),1E-9),"")</f>
        <v/>
      </c>
      <c r="G2338">
        <f>IF(B2338,MOD(SIN(Seed*0.5917+C2338*39.3468+D2338*11.135)*24634.6345,1),"")</f>
        <v/>
      </c>
      <c r="H2338">
        <f>IF(B2338,SQRT(-2*LN(F2338))*COS(2*PI()*G2338),"")</f>
        <v/>
      </c>
      <c r="I2338">
        <f>IF(B2338,IF(D2338=0,H2338,Rho*I2337+SQRT(1-Rho^2)*H2338),"")</f>
        <v/>
      </c>
      <c r="J2338">
        <f>IF(B2338,IF(Dist="Normal",DistA+DistB*I2338,DistA+(DistB-DistA)*NORMSDIST(I2338)),"")</f>
        <v/>
      </c>
      <c r="K2338">
        <f>IF(B2338,INDEX(MineScale,C2338),"")</f>
        <v/>
      </c>
      <c r="L2338">
        <f>IF(B2338,INDEX(Dow,1,WEEKDAY(E2338,2)),"")</f>
        <v/>
      </c>
      <c r="M2338">
        <f>IF(B2338,(1+Trend)^D2338,"")</f>
        <v/>
      </c>
      <c r="N2338">
        <f>IF(B2338,EXP(SUMPRODUCT(LN(1+(EvEff-1)*INDEX(Affected,0,C2338)*EXP(-((E2338-EvCenter)^2)/(2*EvSigma^2))))),"")</f>
        <v/>
      </c>
      <c r="O2338">
        <f>IF(B2338,ROUND(MAX(0,J2338*K2338*L2338*M2338*N2338),2),"")</f>
        <v/>
      </c>
    </row>
    <row r="2339">
      <c r="A2339" t="n">
        <v>2338</v>
      </c>
      <c r="B2339">
        <f>A2339&lt;=MineCount*Days</f>
        <v/>
      </c>
      <c r="C2339">
        <f>IF(B2339,INT((A2339-1)/Days)+1,"")</f>
        <v/>
      </c>
      <c r="D2339">
        <f>IF(B2339,MOD(A2339-1,Days),"")</f>
        <v/>
      </c>
      <c r="E2339" s="16">
        <f>IF(B2339,StartDate+D2339,"")</f>
        <v/>
      </c>
      <c r="F2339">
        <f>IF(B2339,MAX(MOD(SIN(Seed*0.1373+C2339*12.9898+D2339*78.233)*43758.5453,1),1E-9),"")</f>
        <v/>
      </c>
      <c r="G2339">
        <f>IF(B2339,MOD(SIN(Seed*0.5917+C2339*39.3468+D2339*11.135)*24634.6345,1),"")</f>
        <v/>
      </c>
      <c r="H2339">
        <f>IF(B2339,SQRT(-2*LN(F2339))*COS(2*PI()*G2339),"")</f>
        <v/>
      </c>
      <c r="I2339">
        <f>IF(B2339,IF(D2339=0,H2339,Rho*I2338+SQRT(1-Rho^2)*H2339),"")</f>
        <v/>
      </c>
      <c r="J2339">
        <f>IF(B2339,IF(Dist="Normal",DistA+DistB*I2339,DistA+(DistB-DistA)*NORMSDIST(I2339)),"")</f>
        <v/>
      </c>
      <c r="K2339">
        <f>IF(B2339,INDEX(MineScale,C2339),"")</f>
        <v/>
      </c>
      <c r="L2339">
        <f>IF(B2339,INDEX(Dow,1,WEEKDAY(E2339,2)),"")</f>
        <v/>
      </c>
      <c r="M2339">
        <f>IF(B2339,(1+Trend)^D2339,"")</f>
        <v/>
      </c>
      <c r="N2339">
        <f>IF(B2339,EXP(SUMPRODUCT(LN(1+(EvEff-1)*INDEX(Affected,0,C2339)*EXP(-((E2339-EvCenter)^2)/(2*EvSigma^2))))),"")</f>
        <v/>
      </c>
      <c r="O2339">
        <f>IF(B2339,ROUND(MAX(0,J2339*K2339*L2339*M2339*N2339),2),"")</f>
        <v/>
      </c>
    </row>
    <row r="2340">
      <c r="A2340" t="n">
        <v>2339</v>
      </c>
      <c r="B2340">
        <f>A2340&lt;=MineCount*Days</f>
        <v/>
      </c>
      <c r="C2340">
        <f>IF(B2340,INT((A2340-1)/Days)+1,"")</f>
        <v/>
      </c>
      <c r="D2340">
        <f>IF(B2340,MOD(A2340-1,Days),"")</f>
        <v/>
      </c>
      <c r="E2340" s="16">
        <f>IF(B2340,StartDate+D2340,"")</f>
        <v/>
      </c>
      <c r="F2340">
        <f>IF(B2340,MAX(MOD(SIN(Seed*0.1373+C2340*12.9898+D2340*78.233)*43758.5453,1),1E-9),"")</f>
        <v/>
      </c>
      <c r="G2340">
        <f>IF(B2340,MOD(SIN(Seed*0.5917+C2340*39.3468+D2340*11.135)*24634.6345,1),"")</f>
        <v/>
      </c>
      <c r="H2340">
        <f>IF(B2340,SQRT(-2*LN(F2340))*COS(2*PI()*G2340),"")</f>
        <v/>
      </c>
      <c r="I2340">
        <f>IF(B2340,IF(D2340=0,H2340,Rho*I2339+SQRT(1-Rho^2)*H2340),"")</f>
        <v/>
      </c>
      <c r="J2340">
        <f>IF(B2340,IF(Dist="Normal",DistA+DistB*I2340,DistA+(DistB-DistA)*NORMSDIST(I2340)),"")</f>
        <v/>
      </c>
      <c r="K2340">
        <f>IF(B2340,INDEX(MineScale,C2340),"")</f>
        <v/>
      </c>
      <c r="L2340">
        <f>IF(B2340,INDEX(Dow,1,WEEKDAY(E2340,2)),"")</f>
        <v/>
      </c>
      <c r="M2340">
        <f>IF(B2340,(1+Trend)^D2340,"")</f>
        <v/>
      </c>
      <c r="N2340">
        <f>IF(B2340,EXP(SUMPRODUCT(LN(1+(EvEff-1)*INDEX(Affected,0,C2340)*EXP(-((E2340-EvCenter)^2)/(2*EvSigma^2))))),"")</f>
        <v/>
      </c>
      <c r="O2340">
        <f>IF(B2340,ROUND(MAX(0,J2340*K2340*L2340*M2340*N2340),2),"")</f>
        <v/>
      </c>
    </row>
    <row r="2341">
      <c r="A2341" t="n">
        <v>2340</v>
      </c>
      <c r="B2341">
        <f>A2341&lt;=MineCount*Days</f>
        <v/>
      </c>
      <c r="C2341">
        <f>IF(B2341,INT((A2341-1)/Days)+1,"")</f>
        <v/>
      </c>
      <c r="D2341">
        <f>IF(B2341,MOD(A2341-1,Days),"")</f>
        <v/>
      </c>
      <c r="E2341" s="16">
        <f>IF(B2341,StartDate+D2341,"")</f>
        <v/>
      </c>
      <c r="F2341">
        <f>IF(B2341,MAX(MOD(SIN(Seed*0.1373+C2341*12.9898+D2341*78.233)*43758.5453,1),1E-9),"")</f>
        <v/>
      </c>
      <c r="G2341">
        <f>IF(B2341,MOD(SIN(Seed*0.5917+C2341*39.3468+D2341*11.135)*24634.6345,1),"")</f>
        <v/>
      </c>
      <c r="H2341">
        <f>IF(B2341,SQRT(-2*LN(F2341))*COS(2*PI()*G2341),"")</f>
        <v/>
      </c>
      <c r="I2341">
        <f>IF(B2341,IF(D2341=0,H2341,Rho*I2340+SQRT(1-Rho^2)*H2341),"")</f>
        <v/>
      </c>
      <c r="J2341">
        <f>IF(B2341,IF(Dist="Normal",DistA+DistB*I2341,DistA+(DistB-DistA)*NORMSDIST(I2341)),"")</f>
        <v/>
      </c>
      <c r="K2341">
        <f>IF(B2341,INDEX(MineScale,C2341),"")</f>
        <v/>
      </c>
      <c r="L2341">
        <f>IF(B2341,INDEX(Dow,1,WEEKDAY(E2341,2)),"")</f>
        <v/>
      </c>
      <c r="M2341">
        <f>IF(B2341,(1+Trend)^D2341,"")</f>
        <v/>
      </c>
      <c r="N2341">
        <f>IF(B2341,EXP(SUMPRODUCT(LN(1+(EvEff-1)*INDEX(Affected,0,C2341)*EXP(-((E2341-EvCenter)^2)/(2*EvSigma^2))))),"")</f>
        <v/>
      </c>
      <c r="O2341">
        <f>IF(B2341,ROUND(MAX(0,J2341*K2341*L2341*M2341*N2341),2),"")</f>
        <v/>
      </c>
    </row>
    <row r="2342">
      <c r="A2342" t="n">
        <v>2341</v>
      </c>
      <c r="B2342">
        <f>A2342&lt;=MineCount*Days</f>
        <v/>
      </c>
      <c r="C2342">
        <f>IF(B2342,INT((A2342-1)/Days)+1,"")</f>
        <v/>
      </c>
      <c r="D2342">
        <f>IF(B2342,MOD(A2342-1,Days),"")</f>
        <v/>
      </c>
      <c r="E2342" s="16">
        <f>IF(B2342,StartDate+D2342,"")</f>
        <v/>
      </c>
      <c r="F2342">
        <f>IF(B2342,MAX(MOD(SIN(Seed*0.1373+C2342*12.9898+D2342*78.233)*43758.5453,1),1E-9),"")</f>
        <v/>
      </c>
      <c r="G2342">
        <f>IF(B2342,MOD(SIN(Seed*0.5917+C2342*39.3468+D2342*11.135)*24634.6345,1),"")</f>
        <v/>
      </c>
      <c r="H2342">
        <f>IF(B2342,SQRT(-2*LN(F2342))*COS(2*PI()*G2342),"")</f>
        <v/>
      </c>
      <c r="I2342">
        <f>IF(B2342,IF(D2342=0,H2342,Rho*I2341+SQRT(1-Rho^2)*H2342),"")</f>
        <v/>
      </c>
      <c r="J2342">
        <f>IF(B2342,IF(Dist="Normal",DistA+DistB*I2342,DistA+(DistB-DistA)*NORMSDIST(I2342)),"")</f>
        <v/>
      </c>
      <c r="K2342">
        <f>IF(B2342,INDEX(MineScale,C2342),"")</f>
        <v/>
      </c>
      <c r="L2342">
        <f>IF(B2342,INDEX(Dow,1,WEEKDAY(E2342,2)),"")</f>
        <v/>
      </c>
      <c r="M2342">
        <f>IF(B2342,(1+Trend)^D2342,"")</f>
        <v/>
      </c>
      <c r="N2342">
        <f>IF(B2342,EXP(SUMPRODUCT(LN(1+(EvEff-1)*INDEX(Affected,0,C2342)*EXP(-((E2342-EvCenter)^2)/(2*EvSigma^2))))),"")</f>
        <v/>
      </c>
      <c r="O2342">
        <f>IF(B2342,ROUND(MAX(0,J2342*K2342*L2342*M2342*N2342),2),"")</f>
        <v/>
      </c>
    </row>
    <row r="2343">
      <c r="A2343" t="n">
        <v>2342</v>
      </c>
      <c r="B2343">
        <f>A2343&lt;=MineCount*Days</f>
        <v/>
      </c>
      <c r="C2343">
        <f>IF(B2343,INT((A2343-1)/Days)+1,"")</f>
        <v/>
      </c>
      <c r="D2343">
        <f>IF(B2343,MOD(A2343-1,Days),"")</f>
        <v/>
      </c>
      <c r="E2343" s="16">
        <f>IF(B2343,StartDate+D2343,"")</f>
        <v/>
      </c>
      <c r="F2343">
        <f>IF(B2343,MAX(MOD(SIN(Seed*0.1373+C2343*12.9898+D2343*78.233)*43758.5453,1),1E-9),"")</f>
        <v/>
      </c>
      <c r="G2343">
        <f>IF(B2343,MOD(SIN(Seed*0.5917+C2343*39.3468+D2343*11.135)*24634.6345,1),"")</f>
        <v/>
      </c>
      <c r="H2343">
        <f>IF(B2343,SQRT(-2*LN(F2343))*COS(2*PI()*G2343),"")</f>
        <v/>
      </c>
      <c r="I2343">
        <f>IF(B2343,IF(D2343=0,H2343,Rho*I2342+SQRT(1-Rho^2)*H2343),"")</f>
        <v/>
      </c>
      <c r="J2343">
        <f>IF(B2343,IF(Dist="Normal",DistA+DistB*I2343,DistA+(DistB-DistA)*NORMSDIST(I2343)),"")</f>
        <v/>
      </c>
      <c r="K2343">
        <f>IF(B2343,INDEX(MineScale,C2343),"")</f>
        <v/>
      </c>
      <c r="L2343">
        <f>IF(B2343,INDEX(Dow,1,WEEKDAY(E2343,2)),"")</f>
        <v/>
      </c>
      <c r="M2343">
        <f>IF(B2343,(1+Trend)^D2343,"")</f>
        <v/>
      </c>
      <c r="N2343">
        <f>IF(B2343,EXP(SUMPRODUCT(LN(1+(EvEff-1)*INDEX(Affected,0,C2343)*EXP(-((E2343-EvCenter)^2)/(2*EvSigma^2))))),"")</f>
        <v/>
      </c>
      <c r="O2343">
        <f>IF(B2343,ROUND(MAX(0,J2343*K2343*L2343*M2343*N2343),2),"")</f>
        <v/>
      </c>
    </row>
    <row r="2344">
      <c r="A2344" t="n">
        <v>2343</v>
      </c>
      <c r="B2344">
        <f>A2344&lt;=MineCount*Days</f>
        <v/>
      </c>
      <c r="C2344">
        <f>IF(B2344,INT((A2344-1)/Days)+1,"")</f>
        <v/>
      </c>
      <c r="D2344">
        <f>IF(B2344,MOD(A2344-1,Days),"")</f>
        <v/>
      </c>
      <c r="E2344" s="16">
        <f>IF(B2344,StartDate+D2344,"")</f>
        <v/>
      </c>
      <c r="F2344">
        <f>IF(B2344,MAX(MOD(SIN(Seed*0.1373+C2344*12.9898+D2344*78.233)*43758.5453,1),1E-9),"")</f>
        <v/>
      </c>
      <c r="G2344">
        <f>IF(B2344,MOD(SIN(Seed*0.5917+C2344*39.3468+D2344*11.135)*24634.6345,1),"")</f>
        <v/>
      </c>
      <c r="H2344">
        <f>IF(B2344,SQRT(-2*LN(F2344))*COS(2*PI()*G2344),"")</f>
        <v/>
      </c>
      <c r="I2344">
        <f>IF(B2344,IF(D2344=0,H2344,Rho*I2343+SQRT(1-Rho^2)*H2344),"")</f>
        <v/>
      </c>
      <c r="J2344">
        <f>IF(B2344,IF(Dist="Normal",DistA+DistB*I2344,DistA+(DistB-DistA)*NORMSDIST(I2344)),"")</f>
        <v/>
      </c>
      <c r="K2344">
        <f>IF(B2344,INDEX(MineScale,C2344),"")</f>
        <v/>
      </c>
      <c r="L2344">
        <f>IF(B2344,INDEX(Dow,1,WEEKDAY(E2344,2)),"")</f>
        <v/>
      </c>
      <c r="M2344">
        <f>IF(B2344,(1+Trend)^D2344,"")</f>
        <v/>
      </c>
      <c r="N2344">
        <f>IF(B2344,EXP(SUMPRODUCT(LN(1+(EvEff-1)*INDEX(Affected,0,C2344)*EXP(-((E2344-EvCenter)^2)/(2*EvSigma^2))))),"")</f>
        <v/>
      </c>
      <c r="O2344">
        <f>IF(B2344,ROUND(MAX(0,J2344*K2344*L2344*M2344*N2344),2),"")</f>
        <v/>
      </c>
    </row>
    <row r="2345">
      <c r="A2345" t="n">
        <v>2344</v>
      </c>
      <c r="B2345">
        <f>A2345&lt;=MineCount*Days</f>
        <v/>
      </c>
      <c r="C2345">
        <f>IF(B2345,INT((A2345-1)/Days)+1,"")</f>
        <v/>
      </c>
      <c r="D2345">
        <f>IF(B2345,MOD(A2345-1,Days),"")</f>
        <v/>
      </c>
      <c r="E2345" s="16">
        <f>IF(B2345,StartDate+D2345,"")</f>
        <v/>
      </c>
      <c r="F2345">
        <f>IF(B2345,MAX(MOD(SIN(Seed*0.1373+C2345*12.9898+D2345*78.233)*43758.5453,1),1E-9),"")</f>
        <v/>
      </c>
      <c r="G2345">
        <f>IF(B2345,MOD(SIN(Seed*0.5917+C2345*39.3468+D2345*11.135)*24634.6345,1),"")</f>
        <v/>
      </c>
      <c r="H2345">
        <f>IF(B2345,SQRT(-2*LN(F2345))*COS(2*PI()*G2345),"")</f>
        <v/>
      </c>
      <c r="I2345">
        <f>IF(B2345,IF(D2345=0,H2345,Rho*I2344+SQRT(1-Rho^2)*H2345),"")</f>
        <v/>
      </c>
      <c r="J2345">
        <f>IF(B2345,IF(Dist="Normal",DistA+DistB*I2345,DistA+(DistB-DistA)*NORMSDIST(I2345)),"")</f>
        <v/>
      </c>
      <c r="K2345">
        <f>IF(B2345,INDEX(MineScale,C2345),"")</f>
        <v/>
      </c>
      <c r="L2345">
        <f>IF(B2345,INDEX(Dow,1,WEEKDAY(E2345,2)),"")</f>
        <v/>
      </c>
      <c r="M2345">
        <f>IF(B2345,(1+Trend)^D2345,"")</f>
        <v/>
      </c>
      <c r="N2345">
        <f>IF(B2345,EXP(SUMPRODUCT(LN(1+(EvEff-1)*INDEX(Affected,0,C2345)*EXP(-((E2345-EvCenter)^2)/(2*EvSigma^2))))),"")</f>
        <v/>
      </c>
      <c r="O2345">
        <f>IF(B2345,ROUND(MAX(0,J2345*K2345*L2345*M2345*N2345),2),"")</f>
        <v/>
      </c>
    </row>
    <row r="2346">
      <c r="A2346" t="n">
        <v>2345</v>
      </c>
      <c r="B2346">
        <f>A2346&lt;=MineCount*Days</f>
        <v/>
      </c>
      <c r="C2346">
        <f>IF(B2346,INT((A2346-1)/Days)+1,"")</f>
        <v/>
      </c>
      <c r="D2346">
        <f>IF(B2346,MOD(A2346-1,Days),"")</f>
        <v/>
      </c>
      <c r="E2346" s="16">
        <f>IF(B2346,StartDate+D2346,"")</f>
        <v/>
      </c>
      <c r="F2346">
        <f>IF(B2346,MAX(MOD(SIN(Seed*0.1373+C2346*12.9898+D2346*78.233)*43758.5453,1),1E-9),"")</f>
        <v/>
      </c>
      <c r="G2346">
        <f>IF(B2346,MOD(SIN(Seed*0.5917+C2346*39.3468+D2346*11.135)*24634.6345,1),"")</f>
        <v/>
      </c>
      <c r="H2346">
        <f>IF(B2346,SQRT(-2*LN(F2346))*COS(2*PI()*G2346),"")</f>
        <v/>
      </c>
      <c r="I2346">
        <f>IF(B2346,IF(D2346=0,H2346,Rho*I2345+SQRT(1-Rho^2)*H2346),"")</f>
        <v/>
      </c>
      <c r="J2346">
        <f>IF(B2346,IF(Dist="Normal",DistA+DistB*I2346,DistA+(DistB-DistA)*NORMSDIST(I2346)),"")</f>
        <v/>
      </c>
      <c r="K2346">
        <f>IF(B2346,INDEX(MineScale,C2346),"")</f>
        <v/>
      </c>
      <c r="L2346">
        <f>IF(B2346,INDEX(Dow,1,WEEKDAY(E2346,2)),"")</f>
        <v/>
      </c>
      <c r="M2346">
        <f>IF(B2346,(1+Trend)^D2346,"")</f>
        <v/>
      </c>
      <c r="N2346">
        <f>IF(B2346,EXP(SUMPRODUCT(LN(1+(EvEff-1)*INDEX(Affected,0,C2346)*EXP(-((E2346-EvCenter)^2)/(2*EvSigma^2))))),"")</f>
        <v/>
      </c>
      <c r="O2346">
        <f>IF(B2346,ROUND(MAX(0,J2346*K2346*L2346*M2346*N2346),2),"")</f>
        <v/>
      </c>
    </row>
    <row r="2347">
      <c r="A2347" t="n">
        <v>2346</v>
      </c>
      <c r="B2347">
        <f>A2347&lt;=MineCount*Days</f>
        <v/>
      </c>
      <c r="C2347">
        <f>IF(B2347,INT((A2347-1)/Days)+1,"")</f>
        <v/>
      </c>
      <c r="D2347">
        <f>IF(B2347,MOD(A2347-1,Days),"")</f>
        <v/>
      </c>
      <c r="E2347" s="16">
        <f>IF(B2347,StartDate+D2347,"")</f>
        <v/>
      </c>
      <c r="F2347">
        <f>IF(B2347,MAX(MOD(SIN(Seed*0.1373+C2347*12.9898+D2347*78.233)*43758.5453,1),1E-9),"")</f>
        <v/>
      </c>
      <c r="G2347">
        <f>IF(B2347,MOD(SIN(Seed*0.5917+C2347*39.3468+D2347*11.135)*24634.6345,1),"")</f>
        <v/>
      </c>
      <c r="H2347">
        <f>IF(B2347,SQRT(-2*LN(F2347))*COS(2*PI()*G2347),"")</f>
        <v/>
      </c>
      <c r="I2347">
        <f>IF(B2347,IF(D2347=0,H2347,Rho*I2346+SQRT(1-Rho^2)*H2347),"")</f>
        <v/>
      </c>
      <c r="J2347">
        <f>IF(B2347,IF(Dist="Normal",DistA+DistB*I2347,DistA+(DistB-DistA)*NORMSDIST(I2347)),"")</f>
        <v/>
      </c>
      <c r="K2347">
        <f>IF(B2347,INDEX(MineScale,C2347),"")</f>
        <v/>
      </c>
      <c r="L2347">
        <f>IF(B2347,INDEX(Dow,1,WEEKDAY(E2347,2)),"")</f>
        <v/>
      </c>
      <c r="M2347">
        <f>IF(B2347,(1+Trend)^D2347,"")</f>
        <v/>
      </c>
      <c r="N2347">
        <f>IF(B2347,EXP(SUMPRODUCT(LN(1+(EvEff-1)*INDEX(Affected,0,C2347)*EXP(-((E2347-EvCenter)^2)/(2*EvSigma^2))))),"")</f>
        <v/>
      </c>
      <c r="O2347">
        <f>IF(B2347,ROUND(MAX(0,J2347*K2347*L2347*M2347*N2347),2),"")</f>
        <v/>
      </c>
    </row>
    <row r="2348">
      <c r="A2348" t="n">
        <v>2347</v>
      </c>
      <c r="B2348">
        <f>A2348&lt;=MineCount*Days</f>
        <v/>
      </c>
      <c r="C2348">
        <f>IF(B2348,INT((A2348-1)/Days)+1,"")</f>
        <v/>
      </c>
      <c r="D2348">
        <f>IF(B2348,MOD(A2348-1,Days),"")</f>
        <v/>
      </c>
      <c r="E2348" s="16">
        <f>IF(B2348,StartDate+D2348,"")</f>
        <v/>
      </c>
      <c r="F2348">
        <f>IF(B2348,MAX(MOD(SIN(Seed*0.1373+C2348*12.9898+D2348*78.233)*43758.5453,1),1E-9),"")</f>
        <v/>
      </c>
      <c r="G2348">
        <f>IF(B2348,MOD(SIN(Seed*0.5917+C2348*39.3468+D2348*11.135)*24634.6345,1),"")</f>
        <v/>
      </c>
      <c r="H2348">
        <f>IF(B2348,SQRT(-2*LN(F2348))*COS(2*PI()*G2348),"")</f>
        <v/>
      </c>
      <c r="I2348">
        <f>IF(B2348,IF(D2348=0,H2348,Rho*I2347+SQRT(1-Rho^2)*H2348),"")</f>
        <v/>
      </c>
      <c r="J2348">
        <f>IF(B2348,IF(Dist="Normal",DistA+DistB*I2348,DistA+(DistB-DistA)*NORMSDIST(I2348)),"")</f>
        <v/>
      </c>
      <c r="K2348">
        <f>IF(B2348,INDEX(MineScale,C2348),"")</f>
        <v/>
      </c>
      <c r="L2348">
        <f>IF(B2348,INDEX(Dow,1,WEEKDAY(E2348,2)),"")</f>
        <v/>
      </c>
      <c r="M2348">
        <f>IF(B2348,(1+Trend)^D2348,"")</f>
        <v/>
      </c>
      <c r="N2348">
        <f>IF(B2348,EXP(SUMPRODUCT(LN(1+(EvEff-1)*INDEX(Affected,0,C2348)*EXP(-((E2348-EvCenter)^2)/(2*EvSigma^2))))),"")</f>
        <v/>
      </c>
      <c r="O2348">
        <f>IF(B2348,ROUND(MAX(0,J2348*K2348*L2348*M2348*N2348),2),"")</f>
        <v/>
      </c>
    </row>
    <row r="2349">
      <c r="A2349" t="n">
        <v>2348</v>
      </c>
      <c r="B2349">
        <f>A2349&lt;=MineCount*Days</f>
        <v/>
      </c>
      <c r="C2349">
        <f>IF(B2349,INT((A2349-1)/Days)+1,"")</f>
        <v/>
      </c>
      <c r="D2349">
        <f>IF(B2349,MOD(A2349-1,Days),"")</f>
        <v/>
      </c>
      <c r="E2349" s="16">
        <f>IF(B2349,StartDate+D2349,"")</f>
        <v/>
      </c>
      <c r="F2349">
        <f>IF(B2349,MAX(MOD(SIN(Seed*0.1373+C2349*12.9898+D2349*78.233)*43758.5453,1),1E-9),"")</f>
        <v/>
      </c>
      <c r="G2349">
        <f>IF(B2349,MOD(SIN(Seed*0.5917+C2349*39.3468+D2349*11.135)*24634.6345,1),"")</f>
        <v/>
      </c>
      <c r="H2349">
        <f>IF(B2349,SQRT(-2*LN(F2349))*COS(2*PI()*G2349),"")</f>
        <v/>
      </c>
      <c r="I2349">
        <f>IF(B2349,IF(D2349=0,H2349,Rho*I2348+SQRT(1-Rho^2)*H2349),"")</f>
        <v/>
      </c>
      <c r="J2349">
        <f>IF(B2349,IF(Dist="Normal",DistA+DistB*I2349,DistA+(DistB-DistA)*NORMSDIST(I2349)),"")</f>
        <v/>
      </c>
      <c r="K2349">
        <f>IF(B2349,INDEX(MineScale,C2349),"")</f>
        <v/>
      </c>
      <c r="L2349">
        <f>IF(B2349,INDEX(Dow,1,WEEKDAY(E2349,2)),"")</f>
        <v/>
      </c>
      <c r="M2349">
        <f>IF(B2349,(1+Trend)^D2349,"")</f>
        <v/>
      </c>
      <c r="N2349">
        <f>IF(B2349,EXP(SUMPRODUCT(LN(1+(EvEff-1)*INDEX(Affected,0,C2349)*EXP(-((E2349-EvCenter)^2)/(2*EvSigma^2))))),"")</f>
        <v/>
      </c>
      <c r="O2349">
        <f>IF(B2349,ROUND(MAX(0,J2349*K2349*L2349*M2349*N2349),2),"")</f>
        <v/>
      </c>
    </row>
    <row r="2350">
      <c r="A2350" t="n">
        <v>2349</v>
      </c>
      <c r="B2350">
        <f>A2350&lt;=MineCount*Days</f>
        <v/>
      </c>
      <c r="C2350">
        <f>IF(B2350,INT((A2350-1)/Days)+1,"")</f>
        <v/>
      </c>
      <c r="D2350">
        <f>IF(B2350,MOD(A2350-1,Days),"")</f>
        <v/>
      </c>
      <c r="E2350" s="16">
        <f>IF(B2350,StartDate+D2350,"")</f>
        <v/>
      </c>
      <c r="F2350">
        <f>IF(B2350,MAX(MOD(SIN(Seed*0.1373+C2350*12.9898+D2350*78.233)*43758.5453,1),1E-9),"")</f>
        <v/>
      </c>
      <c r="G2350">
        <f>IF(B2350,MOD(SIN(Seed*0.5917+C2350*39.3468+D2350*11.135)*24634.6345,1),"")</f>
        <v/>
      </c>
      <c r="H2350">
        <f>IF(B2350,SQRT(-2*LN(F2350))*COS(2*PI()*G2350),"")</f>
        <v/>
      </c>
      <c r="I2350">
        <f>IF(B2350,IF(D2350=0,H2350,Rho*I2349+SQRT(1-Rho^2)*H2350),"")</f>
        <v/>
      </c>
      <c r="J2350">
        <f>IF(B2350,IF(Dist="Normal",DistA+DistB*I2350,DistA+(DistB-DistA)*NORMSDIST(I2350)),"")</f>
        <v/>
      </c>
      <c r="K2350">
        <f>IF(B2350,INDEX(MineScale,C2350),"")</f>
        <v/>
      </c>
      <c r="L2350">
        <f>IF(B2350,INDEX(Dow,1,WEEKDAY(E2350,2)),"")</f>
        <v/>
      </c>
      <c r="M2350">
        <f>IF(B2350,(1+Trend)^D2350,"")</f>
        <v/>
      </c>
      <c r="N2350">
        <f>IF(B2350,EXP(SUMPRODUCT(LN(1+(EvEff-1)*INDEX(Affected,0,C2350)*EXP(-((E2350-EvCenter)^2)/(2*EvSigma^2))))),"")</f>
        <v/>
      </c>
      <c r="O2350">
        <f>IF(B2350,ROUND(MAX(0,J2350*K2350*L2350*M2350*N2350),2),"")</f>
        <v/>
      </c>
    </row>
    <row r="2351">
      <c r="A2351" t="n">
        <v>2350</v>
      </c>
      <c r="B2351">
        <f>A2351&lt;=MineCount*Days</f>
        <v/>
      </c>
      <c r="C2351">
        <f>IF(B2351,INT((A2351-1)/Days)+1,"")</f>
        <v/>
      </c>
      <c r="D2351">
        <f>IF(B2351,MOD(A2351-1,Days),"")</f>
        <v/>
      </c>
      <c r="E2351" s="16">
        <f>IF(B2351,StartDate+D2351,"")</f>
        <v/>
      </c>
      <c r="F2351">
        <f>IF(B2351,MAX(MOD(SIN(Seed*0.1373+C2351*12.9898+D2351*78.233)*43758.5453,1),1E-9),"")</f>
        <v/>
      </c>
      <c r="G2351">
        <f>IF(B2351,MOD(SIN(Seed*0.5917+C2351*39.3468+D2351*11.135)*24634.6345,1),"")</f>
        <v/>
      </c>
      <c r="H2351">
        <f>IF(B2351,SQRT(-2*LN(F2351))*COS(2*PI()*G2351),"")</f>
        <v/>
      </c>
      <c r="I2351">
        <f>IF(B2351,IF(D2351=0,H2351,Rho*I2350+SQRT(1-Rho^2)*H2351),"")</f>
        <v/>
      </c>
      <c r="J2351">
        <f>IF(B2351,IF(Dist="Normal",DistA+DistB*I2351,DistA+(DistB-DistA)*NORMSDIST(I2351)),"")</f>
        <v/>
      </c>
      <c r="K2351">
        <f>IF(B2351,INDEX(MineScale,C2351),"")</f>
        <v/>
      </c>
      <c r="L2351">
        <f>IF(B2351,INDEX(Dow,1,WEEKDAY(E2351,2)),"")</f>
        <v/>
      </c>
      <c r="M2351">
        <f>IF(B2351,(1+Trend)^D2351,"")</f>
        <v/>
      </c>
      <c r="N2351">
        <f>IF(B2351,EXP(SUMPRODUCT(LN(1+(EvEff-1)*INDEX(Affected,0,C2351)*EXP(-((E2351-EvCenter)^2)/(2*EvSigma^2))))),"")</f>
        <v/>
      </c>
      <c r="O2351">
        <f>IF(B2351,ROUND(MAX(0,J2351*K2351*L2351*M2351*N2351),2),"")</f>
        <v/>
      </c>
    </row>
    <row r="2352">
      <c r="A2352" t="n">
        <v>2351</v>
      </c>
      <c r="B2352">
        <f>A2352&lt;=MineCount*Days</f>
        <v/>
      </c>
      <c r="C2352">
        <f>IF(B2352,INT((A2352-1)/Days)+1,"")</f>
        <v/>
      </c>
      <c r="D2352">
        <f>IF(B2352,MOD(A2352-1,Days),"")</f>
        <v/>
      </c>
      <c r="E2352" s="16">
        <f>IF(B2352,StartDate+D2352,"")</f>
        <v/>
      </c>
      <c r="F2352">
        <f>IF(B2352,MAX(MOD(SIN(Seed*0.1373+C2352*12.9898+D2352*78.233)*43758.5453,1),1E-9),"")</f>
        <v/>
      </c>
      <c r="G2352">
        <f>IF(B2352,MOD(SIN(Seed*0.5917+C2352*39.3468+D2352*11.135)*24634.6345,1),"")</f>
        <v/>
      </c>
      <c r="H2352">
        <f>IF(B2352,SQRT(-2*LN(F2352))*COS(2*PI()*G2352),"")</f>
        <v/>
      </c>
      <c r="I2352">
        <f>IF(B2352,IF(D2352=0,H2352,Rho*I2351+SQRT(1-Rho^2)*H2352),"")</f>
        <v/>
      </c>
      <c r="J2352">
        <f>IF(B2352,IF(Dist="Normal",DistA+DistB*I2352,DistA+(DistB-DistA)*NORMSDIST(I2352)),"")</f>
        <v/>
      </c>
      <c r="K2352">
        <f>IF(B2352,INDEX(MineScale,C2352),"")</f>
        <v/>
      </c>
      <c r="L2352">
        <f>IF(B2352,INDEX(Dow,1,WEEKDAY(E2352,2)),"")</f>
        <v/>
      </c>
      <c r="M2352">
        <f>IF(B2352,(1+Trend)^D2352,"")</f>
        <v/>
      </c>
      <c r="N2352">
        <f>IF(B2352,EXP(SUMPRODUCT(LN(1+(EvEff-1)*INDEX(Affected,0,C2352)*EXP(-((E2352-EvCenter)^2)/(2*EvSigma^2))))),"")</f>
        <v/>
      </c>
      <c r="O2352">
        <f>IF(B2352,ROUND(MAX(0,J2352*K2352*L2352*M2352*N2352),2),"")</f>
        <v/>
      </c>
    </row>
    <row r="2353">
      <c r="A2353" t="n">
        <v>2352</v>
      </c>
      <c r="B2353">
        <f>A2353&lt;=MineCount*Days</f>
        <v/>
      </c>
      <c r="C2353">
        <f>IF(B2353,INT((A2353-1)/Days)+1,"")</f>
        <v/>
      </c>
      <c r="D2353">
        <f>IF(B2353,MOD(A2353-1,Days),"")</f>
        <v/>
      </c>
      <c r="E2353" s="16">
        <f>IF(B2353,StartDate+D2353,"")</f>
        <v/>
      </c>
      <c r="F2353">
        <f>IF(B2353,MAX(MOD(SIN(Seed*0.1373+C2353*12.9898+D2353*78.233)*43758.5453,1),1E-9),"")</f>
        <v/>
      </c>
      <c r="G2353">
        <f>IF(B2353,MOD(SIN(Seed*0.5917+C2353*39.3468+D2353*11.135)*24634.6345,1),"")</f>
        <v/>
      </c>
      <c r="H2353">
        <f>IF(B2353,SQRT(-2*LN(F2353))*COS(2*PI()*G2353),"")</f>
        <v/>
      </c>
      <c r="I2353">
        <f>IF(B2353,IF(D2353=0,H2353,Rho*I2352+SQRT(1-Rho^2)*H2353),"")</f>
        <v/>
      </c>
      <c r="J2353">
        <f>IF(B2353,IF(Dist="Normal",DistA+DistB*I2353,DistA+(DistB-DistA)*NORMSDIST(I2353)),"")</f>
        <v/>
      </c>
      <c r="K2353">
        <f>IF(B2353,INDEX(MineScale,C2353),"")</f>
        <v/>
      </c>
      <c r="L2353">
        <f>IF(B2353,INDEX(Dow,1,WEEKDAY(E2353,2)),"")</f>
        <v/>
      </c>
      <c r="M2353">
        <f>IF(B2353,(1+Trend)^D2353,"")</f>
        <v/>
      </c>
      <c r="N2353">
        <f>IF(B2353,EXP(SUMPRODUCT(LN(1+(EvEff-1)*INDEX(Affected,0,C2353)*EXP(-((E2353-EvCenter)^2)/(2*EvSigma^2))))),"")</f>
        <v/>
      </c>
      <c r="O2353">
        <f>IF(B2353,ROUND(MAX(0,J2353*K2353*L2353*M2353*N2353),2),"")</f>
        <v/>
      </c>
    </row>
    <row r="2354">
      <c r="A2354" t="n">
        <v>2353</v>
      </c>
      <c r="B2354">
        <f>A2354&lt;=MineCount*Days</f>
        <v/>
      </c>
      <c r="C2354">
        <f>IF(B2354,INT((A2354-1)/Days)+1,"")</f>
        <v/>
      </c>
      <c r="D2354">
        <f>IF(B2354,MOD(A2354-1,Days),"")</f>
        <v/>
      </c>
      <c r="E2354" s="16">
        <f>IF(B2354,StartDate+D2354,"")</f>
        <v/>
      </c>
      <c r="F2354">
        <f>IF(B2354,MAX(MOD(SIN(Seed*0.1373+C2354*12.9898+D2354*78.233)*43758.5453,1),1E-9),"")</f>
        <v/>
      </c>
      <c r="G2354">
        <f>IF(B2354,MOD(SIN(Seed*0.5917+C2354*39.3468+D2354*11.135)*24634.6345,1),"")</f>
        <v/>
      </c>
      <c r="H2354">
        <f>IF(B2354,SQRT(-2*LN(F2354))*COS(2*PI()*G2354),"")</f>
        <v/>
      </c>
      <c r="I2354">
        <f>IF(B2354,IF(D2354=0,H2354,Rho*I2353+SQRT(1-Rho^2)*H2354),"")</f>
        <v/>
      </c>
      <c r="J2354">
        <f>IF(B2354,IF(Dist="Normal",DistA+DistB*I2354,DistA+(DistB-DistA)*NORMSDIST(I2354)),"")</f>
        <v/>
      </c>
      <c r="K2354">
        <f>IF(B2354,INDEX(MineScale,C2354),"")</f>
        <v/>
      </c>
      <c r="L2354">
        <f>IF(B2354,INDEX(Dow,1,WEEKDAY(E2354,2)),"")</f>
        <v/>
      </c>
      <c r="M2354">
        <f>IF(B2354,(1+Trend)^D2354,"")</f>
        <v/>
      </c>
      <c r="N2354">
        <f>IF(B2354,EXP(SUMPRODUCT(LN(1+(EvEff-1)*INDEX(Affected,0,C2354)*EXP(-((E2354-EvCenter)^2)/(2*EvSigma^2))))),"")</f>
        <v/>
      </c>
      <c r="O2354">
        <f>IF(B2354,ROUND(MAX(0,J2354*K2354*L2354*M2354*N2354),2),"")</f>
        <v/>
      </c>
    </row>
    <row r="2355">
      <c r="A2355" t="n">
        <v>2354</v>
      </c>
      <c r="B2355">
        <f>A2355&lt;=MineCount*Days</f>
        <v/>
      </c>
      <c r="C2355">
        <f>IF(B2355,INT((A2355-1)/Days)+1,"")</f>
        <v/>
      </c>
      <c r="D2355">
        <f>IF(B2355,MOD(A2355-1,Days),"")</f>
        <v/>
      </c>
      <c r="E2355" s="16">
        <f>IF(B2355,StartDate+D2355,"")</f>
        <v/>
      </c>
      <c r="F2355">
        <f>IF(B2355,MAX(MOD(SIN(Seed*0.1373+C2355*12.9898+D2355*78.233)*43758.5453,1),1E-9),"")</f>
        <v/>
      </c>
      <c r="G2355">
        <f>IF(B2355,MOD(SIN(Seed*0.5917+C2355*39.3468+D2355*11.135)*24634.6345,1),"")</f>
        <v/>
      </c>
      <c r="H2355">
        <f>IF(B2355,SQRT(-2*LN(F2355))*COS(2*PI()*G2355),"")</f>
        <v/>
      </c>
      <c r="I2355">
        <f>IF(B2355,IF(D2355=0,H2355,Rho*I2354+SQRT(1-Rho^2)*H2355),"")</f>
        <v/>
      </c>
      <c r="J2355">
        <f>IF(B2355,IF(Dist="Normal",DistA+DistB*I2355,DistA+(DistB-DistA)*NORMSDIST(I2355)),"")</f>
        <v/>
      </c>
      <c r="K2355">
        <f>IF(B2355,INDEX(MineScale,C2355),"")</f>
        <v/>
      </c>
      <c r="L2355">
        <f>IF(B2355,INDEX(Dow,1,WEEKDAY(E2355,2)),"")</f>
        <v/>
      </c>
      <c r="M2355">
        <f>IF(B2355,(1+Trend)^D2355,"")</f>
        <v/>
      </c>
      <c r="N2355">
        <f>IF(B2355,EXP(SUMPRODUCT(LN(1+(EvEff-1)*INDEX(Affected,0,C2355)*EXP(-((E2355-EvCenter)^2)/(2*EvSigma^2))))),"")</f>
        <v/>
      </c>
      <c r="O2355">
        <f>IF(B2355,ROUND(MAX(0,J2355*K2355*L2355*M2355*N2355),2),"")</f>
        <v/>
      </c>
    </row>
    <row r="2356">
      <c r="A2356" t="n">
        <v>2355</v>
      </c>
      <c r="B2356">
        <f>A2356&lt;=MineCount*Days</f>
        <v/>
      </c>
      <c r="C2356">
        <f>IF(B2356,INT((A2356-1)/Days)+1,"")</f>
        <v/>
      </c>
      <c r="D2356">
        <f>IF(B2356,MOD(A2356-1,Days),"")</f>
        <v/>
      </c>
      <c r="E2356" s="16">
        <f>IF(B2356,StartDate+D2356,"")</f>
        <v/>
      </c>
      <c r="F2356">
        <f>IF(B2356,MAX(MOD(SIN(Seed*0.1373+C2356*12.9898+D2356*78.233)*43758.5453,1),1E-9),"")</f>
        <v/>
      </c>
      <c r="G2356">
        <f>IF(B2356,MOD(SIN(Seed*0.5917+C2356*39.3468+D2356*11.135)*24634.6345,1),"")</f>
        <v/>
      </c>
      <c r="H2356">
        <f>IF(B2356,SQRT(-2*LN(F2356))*COS(2*PI()*G2356),"")</f>
        <v/>
      </c>
      <c r="I2356">
        <f>IF(B2356,IF(D2356=0,H2356,Rho*I2355+SQRT(1-Rho^2)*H2356),"")</f>
        <v/>
      </c>
      <c r="J2356">
        <f>IF(B2356,IF(Dist="Normal",DistA+DistB*I2356,DistA+(DistB-DistA)*NORMSDIST(I2356)),"")</f>
        <v/>
      </c>
      <c r="K2356">
        <f>IF(B2356,INDEX(MineScale,C2356),"")</f>
        <v/>
      </c>
      <c r="L2356">
        <f>IF(B2356,INDEX(Dow,1,WEEKDAY(E2356,2)),"")</f>
        <v/>
      </c>
      <c r="M2356">
        <f>IF(B2356,(1+Trend)^D2356,"")</f>
        <v/>
      </c>
      <c r="N2356">
        <f>IF(B2356,EXP(SUMPRODUCT(LN(1+(EvEff-1)*INDEX(Affected,0,C2356)*EXP(-((E2356-EvCenter)^2)/(2*EvSigma^2))))),"")</f>
        <v/>
      </c>
      <c r="O2356">
        <f>IF(B2356,ROUND(MAX(0,J2356*K2356*L2356*M2356*N2356),2),"")</f>
        <v/>
      </c>
    </row>
    <row r="2357">
      <c r="A2357" t="n">
        <v>2356</v>
      </c>
      <c r="B2357">
        <f>A2357&lt;=MineCount*Days</f>
        <v/>
      </c>
      <c r="C2357">
        <f>IF(B2357,INT((A2357-1)/Days)+1,"")</f>
        <v/>
      </c>
      <c r="D2357">
        <f>IF(B2357,MOD(A2357-1,Days),"")</f>
        <v/>
      </c>
      <c r="E2357" s="16">
        <f>IF(B2357,StartDate+D2357,"")</f>
        <v/>
      </c>
      <c r="F2357">
        <f>IF(B2357,MAX(MOD(SIN(Seed*0.1373+C2357*12.9898+D2357*78.233)*43758.5453,1),1E-9),"")</f>
        <v/>
      </c>
      <c r="G2357">
        <f>IF(B2357,MOD(SIN(Seed*0.5917+C2357*39.3468+D2357*11.135)*24634.6345,1),"")</f>
        <v/>
      </c>
      <c r="H2357">
        <f>IF(B2357,SQRT(-2*LN(F2357))*COS(2*PI()*G2357),"")</f>
        <v/>
      </c>
      <c r="I2357">
        <f>IF(B2357,IF(D2357=0,H2357,Rho*I2356+SQRT(1-Rho^2)*H2357),"")</f>
        <v/>
      </c>
      <c r="J2357">
        <f>IF(B2357,IF(Dist="Normal",DistA+DistB*I2357,DistA+(DistB-DistA)*NORMSDIST(I2357)),"")</f>
        <v/>
      </c>
      <c r="K2357">
        <f>IF(B2357,INDEX(MineScale,C2357),"")</f>
        <v/>
      </c>
      <c r="L2357">
        <f>IF(B2357,INDEX(Dow,1,WEEKDAY(E2357,2)),"")</f>
        <v/>
      </c>
      <c r="M2357">
        <f>IF(B2357,(1+Trend)^D2357,"")</f>
        <v/>
      </c>
      <c r="N2357">
        <f>IF(B2357,EXP(SUMPRODUCT(LN(1+(EvEff-1)*INDEX(Affected,0,C2357)*EXP(-((E2357-EvCenter)^2)/(2*EvSigma^2))))),"")</f>
        <v/>
      </c>
      <c r="O2357">
        <f>IF(B2357,ROUND(MAX(0,J2357*K2357*L2357*M2357*N2357),2),"")</f>
        <v/>
      </c>
    </row>
    <row r="2358">
      <c r="A2358" t="n">
        <v>2357</v>
      </c>
      <c r="B2358">
        <f>A2358&lt;=MineCount*Days</f>
        <v/>
      </c>
      <c r="C2358">
        <f>IF(B2358,INT((A2358-1)/Days)+1,"")</f>
        <v/>
      </c>
      <c r="D2358">
        <f>IF(B2358,MOD(A2358-1,Days),"")</f>
        <v/>
      </c>
      <c r="E2358" s="16">
        <f>IF(B2358,StartDate+D2358,"")</f>
        <v/>
      </c>
      <c r="F2358">
        <f>IF(B2358,MAX(MOD(SIN(Seed*0.1373+C2358*12.9898+D2358*78.233)*43758.5453,1),1E-9),"")</f>
        <v/>
      </c>
      <c r="G2358">
        <f>IF(B2358,MOD(SIN(Seed*0.5917+C2358*39.3468+D2358*11.135)*24634.6345,1),"")</f>
        <v/>
      </c>
      <c r="H2358">
        <f>IF(B2358,SQRT(-2*LN(F2358))*COS(2*PI()*G2358),"")</f>
        <v/>
      </c>
      <c r="I2358">
        <f>IF(B2358,IF(D2358=0,H2358,Rho*I2357+SQRT(1-Rho^2)*H2358),"")</f>
        <v/>
      </c>
      <c r="J2358">
        <f>IF(B2358,IF(Dist="Normal",DistA+DistB*I2358,DistA+(DistB-DistA)*NORMSDIST(I2358)),"")</f>
        <v/>
      </c>
      <c r="K2358">
        <f>IF(B2358,INDEX(MineScale,C2358),"")</f>
        <v/>
      </c>
      <c r="L2358">
        <f>IF(B2358,INDEX(Dow,1,WEEKDAY(E2358,2)),"")</f>
        <v/>
      </c>
      <c r="M2358">
        <f>IF(B2358,(1+Trend)^D2358,"")</f>
        <v/>
      </c>
      <c r="N2358">
        <f>IF(B2358,EXP(SUMPRODUCT(LN(1+(EvEff-1)*INDEX(Affected,0,C2358)*EXP(-((E2358-EvCenter)^2)/(2*EvSigma^2))))),"")</f>
        <v/>
      </c>
      <c r="O2358">
        <f>IF(B2358,ROUND(MAX(0,J2358*K2358*L2358*M2358*N2358),2),"")</f>
        <v/>
      </c>
    </row>
    <row r="2359">
      <c r="A2359" t="n">
        <v>2358</v>
      </c>
      <c r="B2359">
        <f>A2359&lt;=MineCount*Days</f>
        <v/>
      </c>
      <c r="C2359">
        <f>IF(B2359,INT((A2359-1)/Days)+1,"")</f>
        <v/>
      </c>
      <c r="D2359">
        <f>IF(B2359,MOD(A2359-1,Days),"")</f>
        <v/>
      </c>
      <c r="E2359" s="16">
        <f>IF(B2359,StartDate+D2359,"")</f>
        <v/>
      </c>
      <c r="F2359">
        <f>IF(B2359,MAX(MOD(SIN(Seed*0.1373+C2359*12.9898+D2359*78.233)*43758.5453,1),1E-9),"")</f>
        <v/>
      </c>
      <c r="G2359">
        <f>IF(B2359,MOD(SIN(Seed*0.5917+C2359*39.3468+D2359*11.135)*24634.6345,1),"")</f>
        <v/>
      </c>
      <c r="H2359">
        <f>IF(B2359,SQRT(-2*LN(F2359))*COS(2*PI()*G2359),"")</f>
        <v/>
      </c>
      <c r="I2359">
        <f>IF(B2359,IF(D2359=0,H2359,Rho*I2358+SQRT(1-Rho^2)*H2359),"")</f>
        <v/>
      </c>
      <c r="J2359">
        <f>IF(B2359,IF(Dist="Normal",DistA+DistB*I2359,DistA+(DistB-DistA)*NORMSDIST(I2359)),"")</f>
        <v/>
      </c>
      <c r="K2359">
        <f>IF(B2359,INDEX(MineScale,C2359),"")</f>
        <v/>
      </c>
      <c r="L2359">
        <f>IF(B2359,INDEX(Dow,1,WEEKDAY(E2359,2)),"")</f>
        <v/>
      </c>
      <c r="M2359">
        <f>IF(B2359,(1+Trend)^D2359,"")</f>
        <v/>
      </c>
      <c r="N2359">
        <f>IF(B2359,EXP(SUMPRODUCT(LN(1+(EvEff-1)*INDEX(Affected,0,C2359)*EXP(-((E2359-EvCenter)^2)/(2*EvSigma^2))))),"")</f>
        <v/>
      </c>
      <c r="O2359">
        <f>IF(B2359,ROUND(MAX(0,J2359*K2359*L2359*M2359*N2359),2),"")</f>
        <v/>
      </c>
    </row>
    <row r="2360">
      <c r="A2360" t="n">
        <v>2359</v>
      </c>
      <c r="B2360">
        <f>A2360&lt;=MineCount*Days</f>
        <v/>
      </c>
      <c r="C2360">
        <f>IF(B2360,INT((A2360-1)/Days)+1,"")</f>
        <v/>
      </c>
      <c r="D2360">
        <f>IF(B2360,MOD(A2360-1,Days),"")</f>
        <v/>
      </c>
      <c r="E2360" s="16">
        <f>IF(B2360,StartDate+D2360,"")</f>
        <v/>
      </c>
      <c r="F2360">
        <f>IF(B2360,MAX(MOD(SIN(Seed*0.1373+C2360*12.9898+D2360*78.233)*43758.5453,1),1E-9),"")</f>
        <v/>
      </c>
      <c r="G2360">
        <f>IF(B2360,MOD(SIN(Seed*0.5917+C2360*39.3468+D2360*11.135)*24634.6345,1),"")</f>
        <v/>
      </c>
      <c r="H2360">
        <f>IF(B2360,SQRT(-2*LN(F2360))*COS(2*PI()*G2360),"")</f>
        <v/>
      </c>
      <c r="I2360">
        <f>IF(B2360,IF(D2360=0,H2360,Rho*I2359+SQRT(1-Rho^2)*H2360),"")</f>
        <v/>
      </c>
      <c r="J2360">
        <f>IF(B2360,IF(Dist="Normal",DistA+DistB*I2360,DistA+(DistB-DistA)*NORMSDIST(I2360)),"")</f>
        <v/>
      </c>
      <c r="K2360">
        <f>IF(B2360,INDEX(MineScale,C2360),"")</f>
        <v/>
      </c>
      <c r="L2360">
        <f>IF(B2360,INDEX(Dow,1,WEEKDAY(E2360,2)),"")</f>
        <v/>
      </c>
      <c r="M2360">
        <f>IF(B2360,(1+Trend)^D2360,"")</f>
        <v/>
      </c>
      <c r="N2360">
        <f>IF(B2360,EXP(SUMPRODUCT(LN(1+(EvEff-1)*INDEX(Affected,0,C2360)*EXP(-((E2360-EvCenter)^2)/(2*EvSigma^2))))),"")</f>
        <v/>
      </c>
      <c r="O2360">
        <f>IF(B2360,ROUND(MAX(0,J2360*K2360*L2360*M2360*N2360),2),"")</f>
        <v/>
      </c>
    </row>
    <row r="2361">
      <c r="A2361" t="n">
        <v>2360</v>
      </c>
      <c r="B2361">
        <f>A2361&lt;=MineCount*Days</f>
        <v/>
      </c>
      <c r="C2361">
        <f>IF(B2361,INT((A2361-1)/Days)+1,"")</f>
        <v/>
      </c>
      <c r="D2361">
        <f>IF(B2361,MOD(A2361-1,Days),"")</f>
        <v/>
      </c>
      <c r="E2361" s="16">
        <f>IF(B2361,StartDate+D2361,"")</f>
        <v/>
      </c>
      <c r="F2361">
        <f>IF(B2361,MAX(MOD(SIN(Seed*0.1373+C2361*12.9898+D2361*78.233)*43758.5453,1),1E-9),"")</f>
        <v/>
      </c>
      <c r="G2361">
        <f>IF(B2361,MOD(SIN(Seed*0.5917+C2361*39.3468+D2361*11.135)*24634.6345,1),"")</f>
        <v/>
      </c>
      <c r="H2361">
        <f>IF(B2361,SQRT(-2*LN(F2361))*COS(2*PI()*G2361),"")</f>
        <v/>
      </c>
      <c r="I2361">
        <f>IF(B2361,IF(D2361=0,H2361,Rho*I2360+SQRT(1-Rho^2)*H2361),"")</f>
        <v/>
      </c>
      <c r="J2361">
        <f>IF(B2361,IF(Dist="Normal",DistA+DistB*I2361,DistA+(DistB-DistA)*NORMSDIST(I2361)),"")</f>
        <v/>
      </c>
      <c r="K2361">
        <f>IF(B2361,INDEX(MineScale,C2361),"")</f>
        <v/>
      </c>
      <c r="L2361">
        <f>IF(B2361,INDEX(Dow,1,WEEKDAY(E2361,2)),"")</f>
        <v/>
      </c>
      <c r="M2361">
        <f>IF(B2361,(1+Trend)^D2361,"")</f>
        <v/>
      </c>
      <c r="N2361">
        <f>IF(B2361,EXP(SUMPRODUCT(LN(1+(EvEff-1)*INDEX(Affected,0,C2361)*EXP(-((E2361-EvCenter)^2)/(2*EvSigma^2))))),"")</f>
        <v/>
      </c>
      <c r="O2361">
        <f>IF(B2361,ROUND(MAX(0,J2361*K2361*L2361*M2361*N2361),2),"")</f>
        <v/>
      </c>
    </row>
    <row r="2362">
      <c r="A2362" t="n">
        <v>2361</v>
      </c>
      <c r="B2362">
        <f>A2362&lt;=MineCount*Days</f>
        <v/>
      </c>
      <c r="C2362">
        <f>IF(B2362,INT((A2362-1)/Days)+1,"")</f>
        <v/>
      </c>
      <c r="D2362">
        <f>IF(B2362,MOD(A2362-1,Days),"")</f>
        <v/>
      </c>
      <c r="E2362" s="16">
        <f>IF(B2362,StartDate+D2362,"")</f>
        <v/>
      </c>
      <c r="F2362">
        <f>IF(B2362,MAX(MOD(SIN(Seed*0.1373+C2362*12.9898+D2362*78.233)*43758.5453,1),1E-9),"")</f>
        <v/>
      </c>
      <c r="G2362">
        <f>IF(B2362,MOD(SIN(Seed*0.5917+C2362*39.3468+D2362*11.135)*24634.6345,1),"")</f>
        <v/>
      </c>
      <c r="H2362">
        <f>IF(B2362,SQRT(-2*LN(F2362))*COS(2*PI()*G2362),"")</f>
        <v/>
      </c>
      <c r="I2362">
        <f>IF(B2362,IF(D2362=0,H2362,Rho*I2361+SQRT(1-Rho^2)*H2362),"")</f>
        <v/>
      </c>
      <c r="J2362">
        <f>IF(B2362,IF(Dist="Normal",DistA+DistB*I2362,DistA+(DistB-DistA)*NORMSDIST(I2362)),"")</f>
        <v/>
      </c>
      <c r="K2362">
        <f>IF(B2362,INDEX(MineScale,C2362),"")</f>
        <v/>
      </c>
      <c r="L2362">
        <f>IF(B2362,INDEX(Dow,1,WEEKDAY(E2362,2)),"")</f>
        <v/>
      </c>
      <c r="M2362">
        <f>IF(B2362,(1+Trend)^D2362,"")</f>
        <v/>
      </c>
      <c r="N2362">
        <f>IF(B2362,EXP(SUMPRODUCT(LN(1+(EvEff-1)*INDEX(Affected,0,C2362)*EXP(-((E2362-EvCenter)^2)/(2*EvSigma^2))))),"")</f>
        <v/>
      </c>
      <c r="O2362">
        <f>IF(B2362,ROUND(MAX(0,J2362*K2362*L2362*M2362*N2362),2),"")</f>
        <v/>
      </c>
    </row>
    <row r="2363">
      <c r="A2363" t="n">
        <v>2362</v>
      </c>
      <c r="B2363">
        <f>A2363&lt;=MineCount*Days</f>
        <v/>
      </c>
      <c r="C2363">
        <f>IF(B2363,INT((A2363-1)/Days)+1,"")</f>
        <v/>
      </c>
      <c r="D2363">
        <f>IF(B2363,MOD(A2363-1,Days),"")</f>
        <v/>
      </c>
      <c r="E2363" s="16">
        <f>IF(B2363,StartDate+D2363,"")</f>
        <v/>
      </c>
      <c r="F2363">
        <f>IF(B2363,MAX(MOD(SIN(Seed*0.1373+C2363*12.9898+D2363*78.233)*43758.5453,1),1E-9),"")</f>
        <v/>
      </c>
      <c r="G2363">
        <f>IF(B2363,MOD(SIN(Seed*0.5917+C2363*39.3468+D2363*11.135)*24634.6345,1),"")</f>
        <v/>
      </c>
      <c r="H2363">
        <f>IF(B2363,SQRT(-2*LN(F2363))*COS(2*PI()*G2363),"")</f>
        <v/>
      </c>
      <c r="I2363">
        <f>IF(B2363,IF(D2363=0,H2363,Rho*I2362+SQRT(1-Rho^2)*H2363),"")</f>
        <v/>
      </c>
      <c r="J2363">
        <f>IF(B2363,IF(Dist="Normal",DistA+DistB*I2363,DistA+(DistB-DistA)*NORMSDIST(I2363)),"")</f>
        <v/>
      </c>
      <c r="K2363">
        <f>IF(B2363,INDEX(MineScale,C2363),"")</f>
        <v/>
      </c>
      <c r="L2363">
        <f>IF(B2363,INDEX(Dow,1,WEEKDAY(E2363,2)),"")</f>
        <v/>
      </c>
      <c r="M2363">
        <f>IF(B2363,(1+Trend)^D2363,"")</f>
        <v/>
      </c>
      <c r="N2363">
        <f>IF(B2363,EXP(SUMPRODUCT(LN(1+(EvEff-1)*INDEX(Affected,0,C2363)*EXP(-((E2363-EvCenter)^2)/(2*EvSigma^2))))),"")</f>
        <v/>
      </c>
      <c r="O2363">
        <f>IF(B2363,ROUND(MAX(0,J2363*K2363*L2363*M2363*N2363),2),"")</f>
        <v/>
      </c>
    </row>
    <row r="2364">
      <c r="A2364" t="n">
        <v>2363</v>
      </c>
      <c r="B2364">
        <f>A2364&lt;=MineCount*Days</f>
        <v/>
      </c>
      <c r="C2364">
        <f>IF(B2364,INT((A2364-1)/Days)+1,"")</f>
        <v/>
      </c>
      <c r="D2364">
        <f>IF(B2364,MOD(A2364-1,Days),"")</f>
        <v/>
      </c>
      <c r="E2364" s="16">
        <f>IF(B2364,StartDate+D2364,"")</f>
        <v/>
      </c>
      <c r="F2364">
        <f>IF(B2364,MAX(MOD(SIN(Seed*0.1373+C2364*12.9898+D2364*78.233)*43758.5453,1),1E-9),"")</f>
        <v/>
      </c>
      <c r="G2364">
        <f>IF(B2364,MOD(SIN(Seed*0.5917+C2364*39.3468+D2364*11.135)*24634.6345,1),"")</f>
        <v/>
      </c>
      <c r="H2364">
        <f>IF(B2364,SQRT(-2*LN(F2364))*COS(2*PI()*G2364),"")</f>
        <v/>
      </c>
      <c r="I2364">
        <f>IF(B2364,IF(D2364=0,H2364,Rho*I2363+SQRT(1-Rho^2)*H2364),"")</f>
        <v/>
      </c>
      <c r="J2364">
        <f>IF(B2364,IF(Dist="Normal",DistA+DistB*I2364,DistA+(DistB-DistA)*NORMSDIST(I2364)),"")</f>
        <v/>
      </c>
      <c r="K2364">
        <f>IF(B2364,INDEX(MineScale,C2364),"")</f>
        <v/>
      </c>
      <c r="L2364">
        <f>IF(B2364,INDEX(Dow,1,WEEKDAY(E2364,2)),"")</f>
        <v/>
      </c>
      <c r="M2364">
        <f>IF(B2364,(1+Trend)^D2364,"")</f>
        <v/>
      </c>
      <c r="N2364">
        <f>IF(B2364,EXP(SUMPRODUCT(LN(1+(EvEff-1)*INDEX(Affected,0,C2364)*EXP(-((E2364-EvCenter)^2)/(2*EvSigma^2))))),"")</f>
        <v/>
      </c>
      <c r="O2364">
        <f>IF(B2364,ROUND(MAX(0,J2364*K2364*L2364*M2364*N2364),2),"")</f>
        <v/>
      </c>
    </row>
    <row r="2365">
      <c r="A2365" t="n">
        <v>2364</v>
      </c>
      <c r="B2365">
        <f>A2365&lt;=MineCount*Days</f>
        <v/>
      </c>
      <c r="C2365">
        <f>IF(B2365,INT((A2365-1)/Days)+1,"")</f>
        <v/>
      </c>
      <c r="D2365">
        <f>IF(B2365,MOD(A2365-1,Days),"")</f>
        <v/>
      </c>
      <c r="E2365" s="16">
        <f>IF(B2365,StartDate+D2365,"")</f>
        <v/>
      </c>
      <c r="F2365">
        <f>IF(B2365,MAX(MOD(SIN(Seed*0.1373+C2365*12.9898+D2365*78.233)*43758.5453,1),1E-9),"")</f>
        <v/>
      </c>
      <c r="G2365">
        <f>IF(B2365,MOD(SIN(Seed*0.5917+C2365*39.3468+D2365*11.135)*24634.6345,1),"")</f>
        <v/>
      </c>
      <c r="H2365">
        <f>IF(B2365,SQRT(-2*LN(F2365))*COS(2*PI()*G2365),"")</f>
        <v/>
      </c>
      <c r="I2365">
        <f>IF(B2365,IF(D2365=0,H2365,Rho*I2364+SQRT(1-Rho^2)*H2365),"")</f>
        <v/>
      </c>
      <c r="J2365">
        <f>IF(B2365,IF(Dist="Normal",DistA+DistB*I2365,DistA+(DistB-DistA)*NORMSDIST(I2365)),"")</f>
        <v/>
      </c>
      <c r="K2365">
        <f>IF(B2365,INDEX(MineScale,C2365),"")</f>
        <v/>
      </c>
      <c r="L2365">
        <f>IF(B2365,INDEX(Dow,1,WEEKDAY(E2365,2)),"")</f>
        <v/>
      </c>
      <c r="M2365">
        <f>IF(B2365,(1+Trend)^D2365,"")</f>
        <v/>
      </c>
      <c r="N2365">
        <f>IF(B2365,EXP(SUMPRODUCT(LN(1+(EvEff-1)*INDEX(Affected,0,C2365)*EXP(-((E2365-EvCenter)^2)/(2*EvSigma^2))))),"")</f>
        <v/>
      </c>
      <c r="O2365">
        <f>IF(B2365,ROUND(MAX(0,J2365*K2365*L2365*M2365*N2365),2),"")</f>
        <v/>
      </c>
    </row>
    <row r="2366">
      <c r="A2366" t="n">
        <v>2365</v>
      </c>
      <c r="B2366">
        <f>A2366&lt;=MineCount*Days</f>
        <v/>
      </c>
      <c r="C2366">
        <f>IF(B2366,INT((A2366-1)/Days)+1,"")</f>
        <v/>
      </c>
      <c r="D2366">
        <f>IF(B2366,MOD(A2366-1,Days),"")</f>
        <v/>
      </c>
      <c r="E2366" s="16">
        <f>IF(B2366,StartDate+D2366,"")</f>
        <v/>
      </c>
      <c r="F2366">
        <f>IF(B2366,MAX(MOD(SIN(Seed*0.1373+C2366*12.9898+D2366*78.233)*43758.5453,1),1E-9),"")</f>
        <v/>
      </c>
      <c r="G2366">
        <f>IF(B2366,MOD(SIN(Seed*0.5917+C2366*39.3468+D2366*11.135)*24634.6345,1),"")</f>
        <v/>
      </c>
      <c r="H2366">
        <f>IF(B2366,SQRT(-2*LN(F2366))*COS(2*PI()*G2366),"")</f>
        <v/>
      </c>
      <c r="I2366">
        <f>IF(B2366,IF(D2366=0,H2366,Rho*I2365+SQRT(1-Rho^2)*H2366),"")</f>
        <v/>
      </c>
      <c r="J2366">
        <f>IF(B2366,IF(Dist="Normal",DistA+DistB*I2366,DistA+(DistB-DistA)*NORMSDIST(I2366)),"")</f>
        <v/>
      </c>
      <c r="K2366">
        <f>IF(B2366,INDEX(MineScale,C2366),"")</f>
        <v/>
      </c>
      <c r="L2366">
        <f>IF(B2366,INDEX(Dow,1,WEEKDAY(E2366,2)),"")</f>
        <v/>
      </c>
      <c r="M2366">
        <f>IF(B2366,(1+Trend)^D2366,"")</f>
        <v/>
      </c>
      <c r="N2366">
        <f>IF(B2366,EXP(SUMPRODUCT(LN(1+(EvEff-1)*INDEX(Affected,0,C2366)*EXP(-((E2366-EvCenter)^2)/(2*EvSigma^2))))),"")</f>
        <v/>
      </c>
      <c r="O2366">
        <f>IF(B2366,ROUND(MAX(0,J2366*K2366*L2366*M2366*N2366),2),"")</f>
        <v/>
      </c>
    </row>
    <row r="2367">
      <c r="A2367" t="n">
        <v>2366</v>
      </c>
      <c r="B2367">
        <f>A2367&lt;=MineCount*Days</f>
        <v/>
      </c>
      <c r="C2367">
        <f>IF(B2367,INT((A2367-1)/Days)+1,"")</f>
        <v/>
      </c>
      <c r="D2367">
        <f>IF(B2367,MOD(A2367-1,Days),"")</f>
        <v/>
      </c>
      <c r="E2367" s="16">
        <f>IF(B2367,StartDate+D2367,"")</f>
        <v/>
      </c>
      <c r="F2367">
        <f>IF(B2367,MAX(MOD(SIN(Seed*0.1373+C2367*12.9898+D2367*78.233)*43758.5453,1),1E-9),"")</f>
        <v/>
      </c>
      <c r="G2367">
        <f>IF(B2367,MOD(SIN(Seed*0.5917+C2367*39.3468+D2367*11.135)*24634.6345,1),"")</f>
        <v/>
      </c>
      <c r="H2367">
        <f>IF(B2367,SQRT(-2*LN(F2367))*COS(2*PI()*G2367),"")</f>
        <v/>
      </c>
      <c r="I2367">
        <f>IF(B2367,IF(D2367=0,H2367,Rho*I2366+SQRT(1-Rho^2)*H2367),"")</f>
        <v/>
      </c>
      <c r="J2367">
        <f>IF(B2367,IF(Dist="Normal",DistA+DistB*I2367,DistA+(DistB-DistA)*NORMSDIST(I2367)),"")</f>
        <v/>
      </c>
      <c r="K2367">
        <f>IF(B2367,INDEX(MineScale,C2367),"")</f>
        <v/>
      </c>
      <c r="L2367">
        <f>IF(B2367,INDEX(Dow,1,WEEKDAY(E2367,2)),"")</f>
        <v/>
      </c>
      <c r="M2367">
        <f>IF(B2367,(1+Trend)^D2367,"")</f>
        <v/>
      </c>
      <c r="N2367">
        <f>IF(B2367,EXP(SUMPRODUCT(LN(1+(EvEff-1)*INDEX(Affected,0,C2367)*EXP(-((E2367-EvCenter)^2)/(2*EvSigma^2))))),"")</f>
        <v/>
      </c>
      <c r="O2367">
        <f>IF(B2367,ROUND(MAX(0,J2367*K2367*L2367*M2367*N2367),2),"")</f>
        <v/>
      </c>
    </row>
    <row r="2368">
      <c r="A2368" t="n">
        <v>2367</v>
      </c>
      <c r="B2368">
        <f>A2368&lt;=MineCount*Days</f>
        <v/>
      </c>
      <c r="C2368">
        <f>IF(B2368,INT((A2368-1)/Days)+1,"")</f>
        <v/>
      </c>
      <c r="D2368">
        <f>IF(B2368,MOD(A2368-1,Days),"")</f>
        <v/>
      </c>
      <c r="E2368" s="16">
        <f>IF(B2368,StartDate+D2368,"")</f>
        <v/>
      </c>
      <c r="F2368">
        <f>IF(B2368,MAX(MOD(SIN(Seed*0.1373+C2368*12.9898+D2368*78.233)*43758.5453,1),1E-9),"")</f>
        <v/>
      </c>
      <c r="G2368">
        <f>IF(B2368,MOD(SIN(Seed*0.5917+C2368*39.3468+D2368*11.135)*24634.6345,1),"")</f>
        <v/>
      </c>
      <c r="H2368">
        <f>IF(B2368,SQRT(-2*LN(F2368))*COS(2*PI()*G2368),"")</f>
        <v/>
      </c>
      <c r="I2368">
        <f>IF(B2368,IF(D2368=0,H2368,Rho*I2367+SQRT(1-Rho^2)*H2368),"")</f>
        <v/>
      </c>
      <c r="J2368">
        <f>IF(B2368,IF(Dist="Normal",DistA+DistB*I2368,DistA+(DistB-DistA)*NORMSDIST(I2368)),"")</f>
        <v/>
      </c>
      <c r="K2368">
        <f>IF(B2368,INDEX(MineScale,C2368),"")</f>
        <v/>
      </c>
      <c r="L2368">
        <f>IF(B2368,INDEX(Dow,1,WEEKDAY(E2368,2)),"")</f>
        <v/>
      </c>
      <c r="M2368">
        <f>IF(B2368,(1+Trend)^D2368,"")</f>
        <v/>
      </c>
      <c r="N2368">
        <f>IF(B2368,EXP(SUMPRODUCT(LN(1+(EvEff-1)*INDEX(Affected,0,C2368)*EXP(-((E2368-EvCenter)^2)/(2*EvSigma^2))))),"")</f>
        <v/>
      </c>
      <c r="O2368">
        <f>IF(B2368,ROUND(MAX(0,J2368*K2368*L2368*M2368*N2368),2),"")</f>
        <v/>
      </c>
    </row>
    <row r="2369">
      <c r="A2369" t="n">
        <v>2368</v>
      </c>
      <c r="B2369">
        <f>A2369&lt;=MineCount*Days</f>
        <v/>
      </c>
      <c r="C2369">
        <f>IF(B2369,INT((A2369-1)/Days)+1,"")</f>
        <v/>
      </c>
      <c r="D2369">
        <f>IF(B2369,MOD(A2369-1,Days),"")</f>
        <v/>
      </c>
      <c r="E2369" s="16">
        <f>IF(B2369,StartDate+D2369,"")</f>
        <v/>
      </c>
      <c r="F2369">
        <f>IF(B2369,MAX(MOD(SIN(Seed*0.1373+C2369*12.9898+D2369*78.233)*43758.5453,1),1E-9),"")</f>
        <v/>
      </c>
      <c r="G2369">
        <f>IF(B2369,MOD(SIN(Seed*0.5917+C2369*39.3468+D2369*11.135)*24634.6345,1),"")</f>
        <v/>
      </c>
      <c r="H2369">
        <f>IF(B2369,SQRT(-2*LN(F2369))*COS(2*PI()*G2369),"")</f>
        <v/>
      </c>
      <c r="I2369">
        <f>IF(B2369,IF(D2369=0,H2369,Rho*I2368+SQRT(1-Rho^2)*H2369),"")</f>
        <v/>
      </c>
      <c r="J2369">
        <f>IF(B2369,IF(Dist="Normal",DistA+DistB*I2369,DistA+(DistB-DistA)*NORMSDIST(I2369)),"")</f>
        <v/>
      </c>
      <c r="K2369">
        <f>IF(B2369,INDEX(MineScale,C2369),"")</f>
        <v/>
      </c>
      <c r="L2369">
        <f>IF(B2369,INDEX(Dow,1,WEEKDAY(E2369,2)),"")</f>
        <v/>
      </c>
      <c r="M2369">
        <f>IF(B2369,(1+Trend)^D2369,"")</f>
        <v/>
      </c>
      <c r="N2369">
        <f>IF(B2369,EXP(SUMPRODUCT(LN(1+(EvEff-1)*INDEX(Affected,0,C2369)*EXP(-((E2369-EvCenter)^2)/(2*EvSigma^2))))),"")</f>
        <v/>
      </c>
      <c r="O2369">
        <f>IF(B2369,ROUND(MAX(0,J2369*K2369*L2369*M2369*N2369),2),"")</f>
        <v/>
      </c>
    </row>
    <row r="2370">
      <c r="A2370" t="n">
        <v>2369</v>
      </c>
      <c r="B2370">
        <f>A2370&lt;=MineCount*Days</f>
        <v/>
      </c>
      <c r="C2370">
        <f>IF(B2370,INT((A2370-1)/Days)+1,"")</f>
        <v/>
      </c>
      <c r="D2370">
        <f>IF(B2370,MOD(A2370-1,Days),"")</f>
        <v/>
      </c>
      <c r="E2370" s="16">
        <f>IF(B2370,StartDate+D2370,"")</f>
        <v/>
      </c>
      <c r="F2370">
        <f>IF(B2370,MAX(MOD(SIN(Seed*0.1373+C2370*12.9898+D2370*78.233)*43758.5453,1),1E-9),"")</f>
        <v/>
      </c>
      <c r="G2370">
        <f>IF(B2370,MOD(SIN(Seed*0.5917+C2370*39.3468+D2370*11.135)*24634.6345,1),"")</f>
        <v/>
      </c>
      <c r="H2370">
        <f>IF(B2370,SQRT(-2*LN(F2370))*COS(2*PI()*G2370),"")</f>
        <v/>
      </c>
      <c r="I2370">
        <f>IF(B2370,IF(D2370=0,H2370,Rho*I2369+SQRT(1-Rho^2)*H2370),"")</f>
        <v/>
      </c>
      <c r="J2370">
        <f>IF(B2370,IF(Dist="Normal",DistA+DistB*I2370,DistA+(DistB-DistA)*NORMSDIST(I2370)),"")</f>
        <v/>
      </c>
      <c r="K2370">
        <f>IF(B2370,INDEX(MineScale,C2370),"")</f>
        <v/>
      </c>
      <c r="L2370">
        <f>IF(B2370,INDEX(Dow,1,WEEKDAY(E2370,2)),"")</f>
        <v/>
      </c>
      <c r="M2370">
        <f>IF(B2370,(1+Trend)^D2370,"")</f>
        <v/>
      </c>
      <c r="N2370">
        <f>IF(B2370,EXP(SUMPRODUCT(LN(1+(EvEff-1)*INDEX(Affected,0,C2370)*EXP(-((E2370-EvCenter)^2)/(2*EvSigma^2))))),"")</f>
        <v/>
      </c>
      <c r="O2370">
        <f>IF(B2370,ROUND(MAX(0,J2370*K2370*L2370*M2370*N2370),2),"")</f>
        <v/>
      </c>
    </row>
    <row r="2371">
      <c r="A2371" t="n">
        <v>2370</v>
      </c>
      <c r="B2371">
        <f>A2371&lt;=MineCount*Days</f>
        <v/>
      </c>
      <c r="C2371">
        <f>IF(B2371,INT((A2371-1)/Days)+1,"")</f>
        <v/>
      </c>
      <c r="D2371">
        <f>IF(B2371,MOD(A2371-1,Days),"")</f>
        <v/>
      </c>
      <c r="E2371" s="16">
        <f>IF(B2371,StartDate+D2371,"")</f>
        <v/>
      </c>
      <c r="F2371">
        <f>IF(B2371,MAX(MOD(SIN(Seed*0.1373+C2371*12.9898+D2371*78.233)*43758.5453,1),1E-9),"")</f>
        <v/>
      </c>
      <c r="G2371">
        <f>IF(B2371,MOD(SIN(Seed*0.5917+C2371*39.3468+D2371*11.135)*24634.6345,1),"")</f>
        <v/>
      </c>
      <c r="H2371">
        <f>IF(B2371,SQRT(-2*LN(F2371))*COS(2*PI()*G2371),"")</f>
        <v/>
      </c>
      <c r="I2371">
        <f>IF(B2371,IF(D2371=0,H2371,Rho*I2370+SQRT(1-Rho^2)*H2371),"")</f>
        <v/>
      </c>
      <c r="J2371">
        <f>IF(B2371,IF(Dist="Normal",DistA+DistB*I2371,DistA+(DistB-DistA)*NORMSDIST(I2371)),"")</f>
        <v/>
      </c>
      <c r="K2371">
        <f>IF(B2371,INDEX(MineScale,C2371),"")</f>
        <v/>
      </c>
      <c r="L2371">
        <f>IF(B2371,INDEX(Dow,1,WEEKDAY(E2371,2)),"")</f>
        <v/>
      </c>
      <c r="M2371">
        <f>IF(B2371,(1+Trend)^D2371,"")</f>
        <v/>
      </c>
      <c r="N2371">
        <f>IF(B2371,EXP(SUMPRODUCT(LN(1+(EvEff-1)*INDEX(Affected,0,C2371)*EXP(-((E2371-EvCenter)^2)/(2*EvSigma^2))))),"")</f>
        <v/>
      </c>
      <c r="O2371">
        <f>IF(B2371,ROUND(MAX(0,J2371*K2371*L2371*M2371*N2371),2),"")</f>
        <v/>
      </c>
    </row>
    <row r="2372">
      <c r="A2372" t="n">
        <v>2371</v>
      </c>
      <c r="B2372">
        <f>A2372&lt;=MineCount*Days</f>
        <v/>
      </c>
      <c r="C2372">
        <f>IF(B2372,INT((A2372-1)/Days)+1,"")</f>
        <v/>
      </c>
      <c r="D2372">
        <f>IF(B2372,MOD(A2372-1,Days),"")</f>
        <v/>
      </c>
      <c r="E2372" s="16">
        <f>IF(B2372,StartDate+D2372,"")</f>
        <v/>
      </c>
      <c r="F2372">
        <f>IF(B2372,MAX(MOD(SIN(Seed*0.1373+C2372*12.9898+D2372*78.233)*43758.5453,1),1E-9),"")</f>
        <v/>
      </c>
      <c r="G2372">
        <f>IF(B2372,MOD(SIN(Seed*0.5917+C2372*39.3468+D2372*11.135)*24634.6345,1),"")</f>
        <v/>
      </c>
      <c r="H2372">
        <f>IF(B2372,SQRT(-2*LN(F2372))*COS(2*PI()*G2372),"")</f>
        <v/>
      </c>
      <c r="I2372">
        <f>IF(B2372,IF(D2372=0,H2372,Rho*I2371+SQRT(1-Rho^2)*H2372),"")</f>
        <v/>
      </c>
      <c r="J2372">
        <f>IF(B2372,IF(Dist="Normal",DistA+DistB*I2372,DistA+(DistB-DistA)*NORMSDIST(I2372)),"")</f>
        <v/>
      </c>
      <c r="K2372">
        <f>IF(B2372,INDEX(MineScale,C2372),"")</f>
        <v/>
      </c>
      <c r="L2372">
        <f>IF(B2372,INDEX(Dow,1,WEEKDAY(E2372,2)),"")</f>
        <v/>
      </c>
      <c r="M2372">
        <f>IF(B2372,(1+Trend)^D2372,"")</f>
        <v/>
      </c>
      <c r="N2372">
        <f>IF(B2372,EXP(SUMPRODUCT(LN(1+(EvEff-1)*INDEX(Affected,0,C2372)*EXP(-((E2372-EvCenter)^2)/(2*EvSigma^2))))),"")</f>
        <v/>
      </c>
      <c r="O2372">
        <f>IF(B2372,ROUND(MAX(0,J2372*K2372*L2372*M2372*N2372),2),"")</f>
        <v/>
      </c>
    </row>
    <row r="2373">
      <c r="A2373" t="n">
        <v>2372</v>
      </c>
      <c r="B2373">
        <f>A2373&lt;=MineCount*Days</f>
        <v/>
      </c>
      <c r="C2373">
        <f>IF(B2373,INT((A2373-1)/Days)+1,"")</f>
        <v/>
      </c>
      <c r="D2373">
        <f>IF(B2373,MOD(A2373-1,Days),"")</f>
        <v/>
      </c>
      <c r="E2373" s="16">
        <f>IF(B2373,StartDate+D2373,"")</f>
        <v/>
      </c>
      <c r="F2373">
        <f>IF(B2373,MAX(MOD(SIN(Seed*0.1373+C2373*12.9898+D2373*78.233)*43758.5453,1),1E-9),"")</f>
        <v/>
      </c>
      <c r="G2373">
        <f>IF(B2373,MOD(SIN(Seed*0.5917+C2373*39.3468+D2373*11.135)*24634.6345,1),"")</f>
        <v/>
      </c>
      <c r="H2373">
        <f>IF(B2373,SQRT(-2*LN(F2373))*COS(2*PI()*G2373),"")</f>
        <v/>
      </c>
      <c r="I2373">
        <f>IF(B2373,IF(D2373=0,H2373,Rho*I2372+SQRT(1-Rho^2)*H2373),"")</f>
        <v/>
      </c>
      <c r="J2373">
        <f>IF(B2373,IF(Dist="Normal",DistA+DistB*I2373,DistA+(DistB-DistA)*NORMSDIST(I2373)),"")</f>
        <v/>
      </c>
      <c r="K2373">
        <f>IF(B2373,INDEX(MineScale,C2373),"")</f>
        <v/>
      </c>
      <c r="L2373">
        <f>IF(B2373,INDEX(Dow,1,WEEKDAY(E2373,2)),"")</f>
        <v/>
      </c>
      <c r="M2373">
        <f>IF(B2373,(1+Trend)^D2373,"")</f>
        <v/>
      </c>
      <c r="N2373">
        <f>IF(B2373,EXP(SUMPRODUCT(LN(1+(EvEff-1)*INDEX(Affected,0,C2373)*EXP(-((E2373-EvCenter)^2)/(2*EvSigma^2))))),"")</f>
        <v/>
      </c>
      <c r="O2373">
        <f>IF(B2373,ROUND(MAX(0,J2373*K2373*L2373*M2373*N2373),2),"")</f>
        <v/>
      </c>
    </row>
    <row r="2374">
      <c r="A2374" t="n">
        <v>2373</v>
      </c>
      <c r="B2374">
        <f>A2374&lt;=MineCount*Days</f>
        <v/>
      </c>
      <c r="C2374">
        <f>IF(B2374,INT((A2374-1)/Days)+1,"")</f>
        <v/>
      </c>
      <c r="D2374">
        <f>IF(B2374,MOD(A2374-1,Days),"")</f>
        <v/>
      </c>
      <c r="E2374" s="16">
        <f>IF(B2374,StartDate+D2374,"")</f>
        <v/>
      </c>
      <c r="F2374">
        <f>IF(B2374,MAX(MOD(SIN(Seed*0.1373+C2374*12.9898+D2374*78.233)*43758.5453,1),1E-9),"")</f>
        <v/>
      </c>
      <c r="G2374">
        <f>IF(B2374,MOD(SIN(Seed*0.5917+C2374*39.3468+D2374*11.135)*24634.6345,1),"")</f>
        <v/>
      </c>
      <c r="H2374">
        <f>IF(B2374,SQRT(-2*LN(F2374))*COS(2*PI()*G2374),"")</f>
        <v/>
      </c>
      <c r="I2374">
        <f>IF(B2374,IF(D2374=0,H2374,Rho*I2373+SQRT(1-Rho^2)*H2374),"")</f>
        <v/>
      </c>
      <c r="J2374">
        <f>IF(B2374,IF(Dist="Normal",DistA+DistB*I2374,DistA+(DistB-DistA)*NORMSDIST(I2374)),"")</f>
        <v/>
      </c>
      <c r="K2374">
        <f>IF(B2374,INDEX(MineScale,C2374),"")</f>
        <v/>
      </c>
      <c r="L2374">
        <f>IF(B2374,INDEX(Dow,1,WEEKDAY(E2374,2)),"")</f>
        <v/>
      </c>
      <c r="M2374">
        <f>IF(B2374,(1+Trend)^D2374,"")</f>
        <v/>
      </c>
      <c r="N2374">
        <f>IF(B2374,EXP(SUMPRODUCT(LN(1+(EvEff-1)*INDEX(Affected,0,C2374)*EXP(-((E2374-EvCenter)^2)/(2*EvSigma^2))))),"")</f>
        <v/>
      </c>
      <c r="O2374">
        <f>IF(B2374,ROUND(MAX(0,J2374*K2374*L2374*M2374*N2374),2),"")</f>
        <v/>
      </c>
    </row>
    <row r="2375">
      <c r="A2375" t="n">
        <v>2374</v>
      </c>
      <c r="B2375">
        <f>A2375&lt;=MineCount*Days</f>
        <v/>
      </c>
      <c r="C2375">
        <f>IF(B2375,INT((A2375-1)/Days)+1,"")</f>
        <v/>
      </c>
      <c r="D2375">
        <f>IF(B2375,MOD(A2375-1,Days),"")</f>
        <v/>
      </c>
      <c r="E2375" s="16">
        <f>IF(B2375,StartDate+D2375,"")</f>
        <v/>
      </c>
      <c r="F2375">
        <f>IF(B2375,MAX(MOD(SIN(Seed*0.1373+C2375*12.9898+D2375*78.233)*43758.5453,1),1E-9),"")</f>
        <v/>
      </c>
      <c r="G2375">
        <f>IF(B2375,MOD(SIN(Seed*0.5917+C2375*39.3468+D2375*11.135)*24634.6345,1),"")</f>
        <v/>
      </c>
      <c r="H2375">
        <f>IF(B2375,SQRT(-2*LN(F2375))*COS(2*PI()*G2375),"")</f>
        <v/>
      </c>
      <c r="I2375">
        <f>IF(B2375,IF(D2375=0,H2375,Rho*I2374+SQRT(1-Rho^2)*H2375),"")</f>
        <v/>
      </c>
      <c r="J2375">
        <f>IF(B2375,IF(Dist="Normal",DistA+DistB*I2375,DistA+(DistB-DistA)*NORMSDIST(I2375)),"")</f>
        <v/>
      </c>
      <c r="K2375">
        <f>IF(B2375,INDEX(MineScale,C2375),"")</f>
        <v/>
      </c>
      <c r="L2375">
        <f>IF(B2375,INDEX(Dow,1,WEEKDAY(E2375,2)),"")</f>
        <v/>
      </c>
      <c r="M2375">
        <f>IF(B2375,(1+Trend)^D2375,"")</f>
        <v/>
      </c>
      <c r="N2375">
        <f>IF(B2375,EXP(SUMPRODUCT(LN(1+(EvEff-1)*INDEX(Affected,0,C2375)*EXP(-((E2375-EvCenter)^2)/(2*EvSigma^2))))),"")</f>
        <v/>
      </c>
      <c r="O2375">
        <f>IF(B2375,ROUND(MAX(0,J2375*K2375*L2375*M2375*N2375),2),"")</f>
        <v/>
      </c>
    </row>
    <row r="2376">
      <c r="A2376" t="n">
        <v>2375</v>
      </c>
      <c r="B2376">
        <f>A2376&lt;=MineCount*Days</f>
        <v/>
      </c>
      <c r="C2376">
        <f>IF(B2376,INT((A2376-1)/Days)+1,"")</f>
        <v/>
      </c>
      <c r="D2376">
        <f>IF(B2376,MOD(A2376-1,Days),"")</f>
        <v/>
      </c>
      <c r="E2376" s="16">
        <f>IF(B2376,StartDate+D2376,"")</f>
        <v/>
      </c>
      <c r="F2376">
        <f>IF(B2376,MAX(MOD(SIN(Seed*0.1373+C2376*12.9898+D2376*78.233)*43758.5453,1),1E-9),"")</f>
        <v/>
      </c>
      <c r="G2376">
        <f>IF(B2376,MOD(SIN(Seed*0.5917+C2376*39.3468+D2376*11.135)*24634.6345,1),"")</f>
        <v/>
      </c>
      <c r="H2376">
        <f>IF(B2376,SQRT(-2*LN(F2376))*COS(2*PI()*G2376),"")</f>
        <v/>
      </c>
      <c r="I2376">
        <f>IF(B2376,IF(D2376=0,H2376,Rho*I2375+SQRT(1-Rho^2)*H2376),"")</f>
        <v/>
      </c>
      <c r="J2376">
        <f>IF(B2376,IF(Dist="Normal",DistA+DistB*I2376,DistA+(DistB-DistA)*NORMSDIST(I2376)),"")</f>
        <v/>
      </c>
      <c r="K2376">
        <f>IF(B2376,INDEX(MineScale,C2376),"")</f>
        <v/>
      </c>
      <c r="L2376">
        <f>IF(B2376,INDEX(Dow,1,WEEKDAY(E2376,2)),"")</f>
        <v/>
      </c>
      <c r="M2376">
        <f>IF(B2376,(1+Trend)^D2376,"")</f>
        <v/>
      </c>
      <c r="N2376">
        <f>IF(B2376,EXP(SUMPRODUCT(LN(1+(EvEff-1)*INDEX(Affected,0,C2376)*EXP(-((E2376-EvCenter)^2)/(2*EvSigma^2))))),"")</f>
        <v/>
      </c>
      <c r="O2376">
        <f>IF(B2376,ROUND(MAX(0,J2376*K2376*L2376*M2376*N2376),2),"")</f>
        <v/>
      </c>
    </row>
    <row r="2377">
      <c r="A2377" t="n">
        <v>2376</v>
      </c>
      <c r="B2377">
        <f>A2377&lt;=MineCount*Days</f>
        <v/>
      </c>
      <c r="C2377">
        <f>IF(B2377,INT((A2377-1)/Days)+1,"")</f>
        <v/>
      </c>
      <c r="D2377">
        <f>IF(B2377,MOD(A2377-1,Days),"")</f>
        <v/>
      </c>
      <c r="E2377" s="16">
        <f>IF(B2377,StartDate+D2377,"")</f>
        <v/>
      </c>
      <c r="F2377">
        <f>IF(B2377,MAX(MOD(SIN(Seed*0.1373+C2377*12.9898+D2377*78.233)*43758.5453,1),1E-9),"")</f>
        <v/>
      </c>
      <c r="G2377">
        <f>IF(B2377,MOD(SIN(Seed*0.5917+C2377*39.3468+D2377*11.135)*24634.6345,1),"")</f>
        <v/>
      </c>
      <c r="H2377">
        <f>IF(B2377,SQRT(-2*LN(F2377))*COS(2*PI()*G2377),"")</f>
        <v/>
      </c>
      <c r="I2377">
        <f>IF(B2377,IF(D2377=0,H2377,Rho*I2376+SQRT(1-Rho^2)*H2377),"")</f>
        <v/>
      </c>
      <c r="J2377">
        <f>IF(B2377,IF(Dist="Normal",DistA+DistB*I2377,DistA+(DistB-DistA)*NORMSDIST(I2377)),"")</f>
        <v/>
      </c>
      <c r="K2377">
        <f>IF(B2377,INDEX(MineScale,C2377),"")</f>
        <v/>
      </c>
      <c r="L2377">
        <f>IF(B2377,INDEX(Dow,1,WEEKDAY(E2377,2)),"")</f>
        <v/>
      </c>
      <c r="M2377">
        <f>IF(B2377,(1+Trend)^D2377,"")</f>
        <v/>
      </c>
      <c r="N2377">
        <f>IF(B2377,EXP(SUMPRODUCT(LN(1+(EvEff-1)*INDEX(Affected,0,C2377)*EXP(-((E2377-EvCenter)^2)/(2*EvSigma^2))))),"")</f>
        <v/>
      </c>
      <c r="O2377">
        <f>IF(B2377,ROUND(MAX(0,J2377*K2377*L2377*M2377*N2377),2),"")</f>
        <v/>
      </c>
    </row>
    <row r="2378">
      <c r="A2378" t="n">
        <v>2377</v>
      </c>
      <c r="B2378">
        <f>A2378&lt;=MineCount*Days</f>
        <v/>
      </c>
      <c r="C2378">
        <f>IF(B2378,INT((A2378-1)/Days)+1,"")</f>
        <v/>
      </c>
      <c r="D2378">
        <f>IF(B2378,MOD(A2378-1,Days),"")</f>
        <v/>
      </c>
      <c r="E2378" s="16">
        <f>IF(B2378,StartDate+D2378,"")</f>
        <v/>
      </c>
      <c r="F2378">
        <f>IF(B2378,MAX(MOD(SIN(Seed*0.1373+C2378*12.9898+D2378*78.233)*43758.5453,1),1E-9),"")</f>
        <v/>
      </c>
      <c r="G2378">
        <f>IF(B2378,MOD(SIN(Seed*0.5917+C2378*39.3468+D2378*11.135)*24634.6345,1),"")</f>
        <v/>
      </c>
      <c r="H2378">
        <f>IF(B2378,SQRT(-2*LN(F2378))*COS(2*PI()*G2378),"")</f>
        <v/>
      </c>
      <c r="I2378">
        <f>IF(B2378,IF(D2378=0,H2378,Rho*I2377+SQRT(1-Rho^2)*H2378),"")</f>
        <v/>
      </c>
      <c r="J2378">
        <f>IF(B2378,IF(Dist="Normal",DistA+DistB*I2378,DistA+(DistB-DistA)*NORMSDIST(I2378)),"")</f>
        <v/>
      </c>
      <c r="K2378">
        <f>IF(B2378,INDEX(MineScale,C2378),"")</f>
        <v/>
      </c>
      <c r="L2378">
        <f>IF(B2378,INDEX(Dow,1,WEEKDAY(E2378,2)),"")</f>
        <v/>
      </c>
      <c r="M2378">
        <f>IF(B2378,(1+Trend)^D2378,"")</f>
        <v/>
      </c>
      <c r="N2378">
        <f>IF(B2378,EXP(SUMPRODUCT(LN(1+(EvEff-1)*INDEX(Affected,0,C2378)*EXP(-((E2378-EvCenter)^2)/(2*EvSigma^2))))),"")</f>
        <v/>
      </c>
      <c r="O2378">
        <f>IF(B2378,ROUND(MAX(0,J2378*K2378*L2378*M2378*N2378),2),"")</f>
        <v/>
      </c>
    </row>
    <row r="2379">
      <c r="A2379" t="n">
        <v>2378</v>
      </c>
      <c r="B2379">
        <f>A2379&lt;=MineCount*Days</f>
        <v/>
      </c>
      <c r="C2379">
        <f>IF(B2379,INT((A2379-1)/Days)+1,"")</f>
        <v/>
      </c>
      <c r="D2379">
        <f>IF(B2379,MOD(A2379-1,Days),"")</f>
        <v/>
      </c>
      <c r="E2379" s="16">
        <f>IF(B2379,StartDate+D2379,"")</f>
        <v/>
      </c>
      <c r="F2379">
        <f>IF(B2379,MAX(MOD(SIN(Seed*0.1373+C2379*12.9898+D2379*78.233)*43758.5453,1),1E-9),"")</f>
        <v/>
      </c>
      <c r="G2379">
        <f>IF(B2379,MOD(SIN(Seed*0.5917+C2379*39.3468+D2379*11.135)*24634.6345,1),"")</f>
        <v/>
      </c>
      <c r="H2379">
        <f>IF(B2379,SQRT(-2*LN(F2379))*COS(2*PI()*G2379),"")</f>
        <v/>
      </c>
      <c r="I2379">
        <f>IF(B2379,IF(D2379=0,H2379,Rho*I2378+SQRT(1-Rho^2)*H2379),"")</f>
        <v/>
      </c>
      <c r="J2379">
        <f>IF(B2379,IF(Dist="Normal",DistA+DistB*I2379,DistA+(DistB-DistA)*NORMSDIST(I2379)),"")</f>
        <v/>
      </c>
      <c r="K2379">
        <f>IF(B2379,INDEX(MineScale,C2379),"")</f>
        <v/>
      </c>
      <c r="L2379">
        <f>IF(B2379,INDEX(Dow,1,WEEKDAY(E2379,2)),"")</f>
        <v/>
      </c>
      <c r="M2379">
        <f>IF(B2379,(1+Trend)^D2379,"")</f>
        <v/>
      </c>
      <c r="N2379">
        <f>IF(B2379,EXP(SUMPRODUCT(LN(1+(EvEff-1)*INDEX(Affected,0,C2379)*EXP(-((E2379-EvCenter)^2)/(2*EvSigma^2))))),"")</f>
        <v/>
      </c>
      <c r="O2379">
        <f>IF(B2379,ROUND(MAX(0,J2379*K2379*L2379*M2379*N2379),2),"")</f>
        <v/>
      </c>
    </row>
    <row r="2380">
      <c r="A2380" t="n">
        <v>2379</v>
      </c>
      <c r="B2380">
        <f>A2380&lt;=MineCount*Days</f>
        <v/>
      </c>
      <c r="C2380">
        <f>IF(B2380,INT((A2380-1)/Days)+1,"")</f>
        <v/>
      </c>
      <c r="D2380">
        <f>IF(B2380,MOD(A2380-1,Days),"")</f>
        <v/>
      </c>
      <c r="E2380" s="16">
        <f>IF(B2380,StartDate+D2380,"")</f>
        <v/>
      </c>
      <c r="F2380">
        <f>IF(B2380,MAX(MOD(SIN(Seed*0.1373+C2380*12.9898+D2380*78.233)*43758.5453,1),1E-9),"")</f>
        <v/>
      </c>
      <c r="G2380">
        <f>IF(B2380,MOD(SIN(Seed*0.5917+C2380*39.3468+D2380*11.135)*24634.6345,1),"")</f>
        <v/>
      </c>
      <c r="H2380">
        <f>IF(B2380,SQRT(-2*LN(F2380))*COS(2*PI()*G2380),"")</f>
        <v/>
      </c>
      <c r="I2380">
        <f>IF(B2380,IF(D2380=0,H2380,Rho*I2379+SQRT(1-Rho^2)*H2380),"")</f>
        <v/>
      </c>
      <c r="J2380">
        <f>IF(B2380,IF(Dist="Normal",DistA+DistB*I2380,DistA+(DistB-DistA)*NORMSDIST(I2380)),"")</f>
        <v/>
      </c>
      <c r="K2380">
        <f>IF(B2380,INDEX(MineScale,C2380),"")</f>
        <v/>
      </c>
      <c r="L2380">
        <f>IF(B2380,INDEX(Dow,1,WEEKDAY(E2380,2)),"")</f>
        <v/>
      </c>
      <c r="M2380">
        <f>IF(B2380,(1+Trend)^D2380,"")</f>
        <v/>
      </c>
      <c r="N2380">
        <f>IF(B2380,EXP(SUMPRODUCT(LN(1+(EvEff-1)*INDEX(Affected,0,C2380)*EXP(-((E2380-EvCenter)^2)/(2*EvSigma^2))))),"")</f>
        <v/>
      </c>
      <c r="O2380">
        <f>IF(B2380,ROUND(MAX(0,J2380*K2380*L2380*M2380*N2380),2),"")</f>
        <v/>
      </c>
    </row>
    <row r="2381">
      <c r="A2381" t="n">
        <v>2380</v>
      </c>
      <c r="B2381">
        <f>A2381&lt;=MineCount*Days</f>
        <v/>
      </c>
      <c r="C2381">
        <f>IF(B2381,INT((A2381-1)/Days)+1,"")</f>
        <v/>
      </c>
      <c r="D2381">
        <f>IF(B2381,MOD(A2381-1,Days),"")</f>
        <v/>
      </c>
      <c r="E2381" s="16">
        <f>IF(B2381,StartDate+D2381,"")</f>
        <v/>
      </c>
      <c r="F2381">
        <f>IF(B2381,MAX(MOD(SIN(Seed*0.1373+C2381*12.9898+D2381*78.233)*43758.5453,1),1E-9),"")</f>
        <v/>
      </c>
      <c r="G2381">
        <f>IF(B2381,MOD(SIN(Seed*0.5917+C2381*39.3468+D2381*11.135)*24634.6345,1),"")</f>
        <v/>
      </c>
      <c r="H2381">
        <f>IF(B2381,SQRT(-2*LN(F2381))*COS(2*PI()*G2381),"")</f>
        <v/>
      </c>
      <c r="I2381">
        <f>IF(B2381,IF(D2381=0,H2381,Rho*I2380+SQRT(1-Rho^2)*H2381),"")</f>
        <v/>
      </c>
      <c r="J2381">
        <f>IF(B2381,IF(Dist="Normal",DistA+DistB*I2381,DistA+(DistB-DistA)*NORMSDIST(I2381)),"")</f>
        <v/>
      </c>
      <c r="K2381">
        <f>IF(B2381,INDEX(MineScale,C2381),"")</f>
        <v/>
      </c>
      <c r="L2381">
        <f>IF(B2381,INDEX(Dow,1,WEEKDAY(E2381,2)),"")</f>
        <v/>
      </c>
      <c r="M2381">
        <f>IF(B2381,(1+Trend)^D2381,"")</f>
        <v/>
      </c>
      <c r="N2381">
        <f>IF(B2381,EXP(SUMPRODUCT(LN(1+(EvEff-1)*INDEX(Affected,0,C2381)*EXP(-((E2381-EvCenter)^2)/(2*EvSigma^2))))),"")</f>
        <v/>
      </c>
      <c r="O2381">
        <f>IF(B2381,ROUND(MAX(0,J2381*K2381*L2381*M2381*N2381),2),"")</f>
        <v/>
      </c>
    </row>
    <row r="2382">
      <c r="A2382" t="n">
        <v>2381</v>
      </c>
      <c r="B2382">
        <f>A2382&lt;=MineCount*Days</f>
        <v/>
      </c>
      <c r="C2382">
        <f>IF(B2382,INT((A2382-1)/Days)+1,"")</f>
        <v/>
      </c>
      <c r="D2382">
        <f>IF(B2382,MOD(A2382-1,Days),"")</f>
        <v/>
      </c>
      <c r="E2382" s="16">
        <f>IF(B2382,StartDate+D2382,"")</f>
        <v/>
      </c>
      <c r="F2382">
        <f>IF(B2382,MAX(MOD(SIN(Seed*0.1373+C2382*12.9898+D2382*78.233)*43758.5453,1),1E-9),"")</f>
        <v/>
      </c>
      <c r="G2382">
        <f>IF(B2382,MOD(SIN(Seed*0.5917+C2382*39.3468+D2382*11.135)*24634.6345,1),"")</f>
        <v/>
      </c>
      <c r="H2382">
        <f>IF(B2382,SQRT(-2*LN(F2382))*COS(2*PI()*G2382),"")</f>
        <v/>
      </c>
      <c r="I2382">
        <f>IF(B2382,IF(D2382=0,H2382,Rho*I2381+SQRT(1-Rho^2)*H2382),"")</f>
        <v/>
      </c>
      <c r="J2382">
        <f>IF(B2382,IF(Dist="Normal",DistA+DistB*I2382,DistA+(DistB-DistA)*NORMSDIST(I2382)),"")</f>
        <v/>
      </c>
      <c r="K2382">
        <f>IF(B2382,INDEX(MineScale,C2382),"")</f>
        <v/>
      </c>
      <c r="L2382">
        <f>IF(B2382,INDEX(Dow,1,WEEKDAY(E2382,2)),"")</f>
        <v/>
      </c>
      <c r="M2382">
        <f>IF(B2382,(1+Trend)^D2382,"")</f>
        <v/>
      </c>
      <c r="N2382">
        <f>IF(B2382,EXP(SUMPRODUCT(LN(1+(EvEff-1)*INDEX(Affected,0,C2382)*EXP(-((E2382-EvCenter)^2)/(2*EvSigma^2))))),"")</f>
        <v/>
      </c>
      <c r="O2382">
        <f>IF(B2382,ROUND(MAX(0,J2382*K2382*L2382*M2382*N2382),2),"")</f>
        <v/>
      </c>
    </row>
    <row r="2383">
      <c r="A2383" t="n">
        <v>2382</v>
      </c>
      <c r="B2383">
        <f>A2383&lt;=MineCount*Days</f>
        <v/>
      </c>
      <c r="C2383">
        <f>IF(B2383,INT((A2383-1)/Days)+1,"")</f>
        <v/>
      </c>
      <c r="D2383">
        <f>IF(B2383,MOD(A2383-1,Days),"")</f>
        <v/>
      </c>
      <c r="E2383" s="16">
        <f>IF(B2383,StartDate+D2383,"")</f>
        <v/>
      </c>
      <c r="F2383">
        <f>IF(B2383,MAX(MOD(SIN(Seed*0.1373+C2383*12.9898+D2383*78.233)*43758.5453,1),1E-9),"")</f>
        <v/>
      </c>
      <c r="G2383">
        <f>IF(B2383,MOD(SIN(Seed*0.5917+C2383*39.3468+D2383*11.135)*24634.6345,1),"")</f>
        <v/>
      </c>
      <c r="H2383">
        <f>IF(B2383,SQRT(-2*LN(F2383))*COS(2*PI()*G2383),"")</f>
        <v/>
      </c>
      <c r="I2383">
        <f>IF(B2383,IF(D2383=0,H2383,Rho*I2382+SQRT(1-Rho^2)*H2383),"")</f>
        <v/>
      </c>
      <c r="J2383">
        <f>IF(B2383,IF(Dist="Normal",DistA+DistB*I2383,DistA+(DistB-DistA)*NORMSDIST(I2383)),"")</f>
        <v/>
      </c>
      <c r="K2383">
        <f>IF(B2383,INDEX(MineScale,C2383),"")</f>
        <v/>
      </c>
      <c r="L2383">
        <f>IF(B2383,INDEX(Dow,1,WEEKDAY(E2383,2)),"")</f>
        <v/>
      </c>
      <c r="M2383">
        <f>IF(B2383,(1+Trend)^D2383,"")</f>
        <v/>
      </c>
      <c r="N2383">
        <f>IF(B2383,EXP(SUMPRODUCT(LN(1+(EvEff-1)*INDEX(Affected,0,C2383)*EXP(-((E2383-EvCenter)^2)/(2*EvSigma^2))))),"")</f>
        <v/>
      </c>
      <c r="O2383">
        <f>IF(B2383,ROUND(MAX(0,J2383*K2383*L2383*M2383*N2383),2),"")</f>
        <v/>
      </c>
    </row>
    <row r="2384">
      <c r="A2384" t="n">
        <v>2383</v>
      </c>
      <c r="B2384">
        <f>A2384&lt;=MineCount*Days</f>
        <v/>
      </c>
      <c r="C2384">
        <f>IF(B2384,INT((A2384-1)/Days)+1,"")</f>
        <v/>
      </c>
      <c r="D2384">
        <f>IF(B2384,MOD(A2384-1,Days),"")</f>
        <v/>
      </c>
      <c r="E2384" s="16">
        <f>IF(B2384,StartDate+D2384,"")</f>
        <v/>
      </c>
      <c r="F2384">
        <f>IF(B2384,MAX(MOD(SIN(Seed*0.1373+C2384*12.9898+D2384*78.233)*43758.5453,1),1E-9),"")</f>
        <v/>
      </c>
      <c r="G2384">
        <f>IF(B2384,MOD(SIN(Seed*0.5917+C2384*39.3468+D2384*11.135)*24634.6345,1),"")</f>
        <v/>
      </c>
      <c r="H2384">
        <f>IF(B2384,SQRT(-2*LN(F2384))*COS(2*PI()*G2384),"")</f>
        <v/>
      </c>
      <c r="I2384">
        <f>IF(B2384,IF(D2384=0,H2384,Rho*I2383+SQRT(1-Rho^2)*H2384),"")</f>
        <v/>
      </c>
      <c r="J2384">
        <f>IF(B2384,IF(Dist="Normal",DistA+DistB*I2384,DistA+(DistB-DistA)*NORMSDIST(I2384)),"")</f>
        <v/>
      </c>
      <c r="K2384">
        <f>IF(B2384,INDEX(MineScale,C2384),"")</f>
        <v/>
      </c>
      <c r="L2384">
        <f>IF(B2384,INDEX(Dow,1,WEEKDAY(E2384,2)),"")</f>
        <v/>
      </c>
      <c r="M2384">
        <f>IF(B2384,(1+Trend)^D2384,"")</f>
        <v/>
      </c>
      <c r="N2384">
        <f>IF(B2384,EXP(SUMPRODUCT(LN(1+(EvEff-1)*INDEX(Affected,0,C2384)*EXP(-((E2384-EvCenter)^2)/(2*EvSigma^2))))),"")</f>
        <v/>
      </c>
      <c r="O2384">
        <f>IF(B2384,ROUND(MAX(0,J2384*K2384*L2384*M2384*N2384),2),"")</f>
        <v/>
      </c>
    </row>
    <row r="2385">
      <c r="A2385" t="n">
        <v>2384</v>
      </c>
      <c r="B2385">
        <f>A2385&lt;=MineCount*Days</f>
        <v/>
      </c>
      <c r="C2385">
        <f>IF(B2385,INT((A2385-1)/Days)+1,"")</f>
        <v/>
      </c>
      <c r="D2385">
        <f>IF(B2385,MOD(A2385-1,Days),"")</f>
        <v/>
      </c>
      <c r="E2385" s="16">
        <f>IF(B2385,StartDate+D2385,"")</f>
        <v/>
      </c>
      <c r="F2385">
        <f>IF(B2385,MAX(MOD(SIN(Seed*0.1373+C2385*12.9898+D2385*78.233)*43758.5453,1),1E-9),"")</f>
        <v/>
      </c>
      <c r="G2385">
        <f>IF(B2385,MOD(SIN(Seed*0.5917+C2385*39.3468+D2385*11.135)*24634.6345,1),"")</f>
        <v/>
      </c>
      <c r="H2385">
        <f>IF(B2385,SQRT(-2*LN(F2385))*COS(2*PI()*G2385),"")</f>
        <v/>
      </c>
      <c r="I2385">
        <f>IF(B2385,IF(D2385=0,H2385,Rho*I2384+SQRT(1-Rho^2)*H2385),"")</f>
        <v/>
      </c>
      <c r="J2385">
        <f>IF(B2385,IF(Dist="Normal",DistA+DistB*I2385,DistA+(DistB-DistA)*NORMSDIST(I2385)),"")</f>
        <v/>
      </c>
      <c r="K2385">
        <f>IF(B2385,INDEX(MineScale,C2385),"")</f>
        <v/>
      </c>
      <c r="L2385">
        <f>IF(B2385,INDEX(Dow,1,WEEKDAY(E2385,2)),"")</f>
        <v/>
      </c>
      <c r="M2385">
        <f>IF(B2385,(1+Trend)^D2385,"")</f>
        <v/>
      </c>
      <c r="N2385">
        <f>IF(B2385,EXP(SUMPRODUCT(LN(1+(EvEff-1)*INDEX(Affected,0,C2385)*EXP(-((E2385-EvCenter)^2)/(2*EvSigma^2))))),"")</f>
        <v/>
      </c>
      <c r="O2385">
        <f>IF(B2385,ROUND(MAX(0,J2385*K2385*L2385*M2385*N2385),2),"")</f>
        <v/>
      </c>
    </row>
    <row r="2386">
      <c r="A2386" t="n">
        <v>2385</v>
      </c>
      <c r="B2386">
        <f>A2386&lt;=MineCount*Days</f>
        <v/>
      </c>
      <c r="C2386">
        <f>IF(B2386,INT((A2386-1)/Days)+1,"")</f>
        <v/>
      </c>
      <c r="D2386">
        <f>IF(B2386,MOD(A2386-1,Days),"")</f>
        <v/>
      </c>
      <c r="E2386" s="16">
        <f>IF(B2386,StartDate+D2386,"")</f>
        <v/>
      </c>
      <c r="F2386">
        <f>IF(B2386,MAX(MOD(SIN(Seed*0.1373+C2386*12.9898+D2386*78.233)*43758.5453,1),1E-9),"")</f>
        <v/>
      </c>
      <c r="G2386">
        <f>IF(B2386,MOD(SIN(Seed*0.5917+C2386*39.3468+D2386*11.135)*24634.6345,1),"")</f>
        <v/>
      </c>
      <c r="H2386">
        <f>IF(B2386,SQRT(-2*LN(F2386))*COS(2*PI()*G2386),"")</f>
        <v/>
      </c>
      <c r="I2386">
        <f>IF(B2386,IF(D2386=0,H2386,Rho*I2385+SQRT(1-Rho^2)*H2386),"")</f>
        <v/>
      </c>
      <c r="J2386">
        <f>IF(B2386,IF(Dist="Normal",DistA+DistB*I2386,DistA+(DistB-DistA)*NORMSDIST(I2386)),"")</f>
        <v/>
      </c>
      <c r="K2386">
        <f>IF(B2386,INDEX(MineScale,C2386),"")</f>
        <v/>
      </c>
      <c r="L2386">
        <f>IF(B2386,INDEX(Dow,1,WEEKDAY(E2386,2)),"")</f>
        <v/>
      </c>
      <c r="M2386">
        <f>IF(B2386,(1+Trend)^D2386,"")</f>
        <v/>
      </c>
      <c r="N2386">
        <f>IF(B2386,EXP(SUMPRODUCT(LN(1+(EvEff-1)*INDEX(Affected,0,C2386)*EXP(-((E2386-EvCenter)^2)/(2*EvSigma^2))))),"")</f>
        <v/>
      </c>
      <c r="O2386">
        <f>IF(B2386,ROUND(MAX(0,J2386*K2386*L2386*M2386*N2386),2),"")</f>
        <v/>
      </c>
    </row>
    <row r="2387">
      <c r="A2387" t="n">
        <v>2386</v>
      </c>
      <c r="B2387">
        <f>A2387&lt;=MineCount*Days</f>
        <v/>
      </c>
      <c r="C2387">
        <f>IF(B2387,INT((A2387-1)/Days)+1,"")</f>
        <v/>
      </c>
      <c r="D2387">
        <f>IF(B2387,MOD(A2387-1,Days),"")</f>
        <v/>
      </c>
      <c r="E2387" s="16">
        <f>IF(B2387,StartDate+D2387,"")</f>
        <v/>
      </c>
      <c r="F2387">
        <f>IF(B2387,MAX(MOD(SIN(Seed*0.1373+C2387*12.9898+D2387*78.233)*43758.5453,1),1E-9),"")</f>
        <v/>
      </c>
      <c r="G2387">
        <f>IF(B2387,MOD(SIN(Seed*0.5917+C2387*39.3468+D2387*11.135)*24634.6345,1),"")</f>
        <v/>
      </c>
      <c r="H2387">
        <f>IF(B2387,SQRT(-2*LN(F2387))*COS(2*PI()*G2387),"")</f>
        <v/>
      </c>
      <c r="I2387">
        <f>IF(B2387,IF(D2387=0,H2387,Rho*I2386+SQRT(1-Rho^2)*H2387),"")</f>
        <v/>
      </c>
      <c r="J2387">
        <f>IF(B2387,IF(Dist="Normal",DistA+DistB*I2387,DistA+(DistB-DistA)*NORMSDIST(I2387)),"")</f>
        <v/>
      </c>
      <c r="K2387">
        <f>IF(B2387,INDEX(MineScale,C2387),"")</f>
        <v/>
      </c>
      <c r="L2387">
        <f>IF(B2387,INDEX(Dow,1,WEEKDAY(E2387,2)),"")</f>
        <v/>
      </c>
      <c r="M2387">
        <f>IF(B2387,(1+Trend)^D2387,"")</f>
        <v/>
      </c>
      <c r="N2387">
        <f>IF(B2387,EXP(SUMPRODUCT(LN(1+(EvEff-1)*INDEX(Affected,0,C2387)*EXP(-((E2387-EvCenter)^2)/(2*EvSigma^2))))),"")</f>
        <v/>
      </c>
      <c r="O2387">
        <f>IF(B2387,ROUND(MAX(0,J2387*K2387*L2387*M2387*N2387),2),"")</f>
        <v/>
      </c>
    </row>
    <row r="2388">
      <c r="A2388" t="n">
        <v>2387</v>
      </c>
      <c r="B2388">
        <f>A2388&lt;=MineCount*Days</f>
        <v/>
      </c>
      <c r="C2388">
        <f>IF(B2388,INT((A2388-1)/Days)+1,"")</f>
        <v/>
      </c>
      <c r="D2388">
        <f>IF(B2388,MOD(A2388-1,Days),"")</f>
        <v/>
      </c>
      <c r="E2388" s="16">
        <f>IF(B2388,StartDate+D2388,"")</f>
        <v/>
      </c>
      <c r="F2388">
        <f>IF(B2388,MAX(MOD(SIN(Seed*0.1373+C2388*12.9898+D2388*78.233)*43758.5453,1),1E-9),"")</f>
        <v/>
      </c>
      <c r="G2388">
        <f>IF(B2388,MOD(SIN(Seed*0.5917+C2388*39.3468+D2388*11.135)*24634.6345,1),"")</f>
        <v/>
      </c>
      <c r="H2388">
        <f>IF(B2388,SQRT(-2*LN(F2388))*COS(2*PI()*G2388),"")</f>
        <v/>
      </c>
      <c r="I2388">
        <f>IF(B2388,IF(D2388=0,H2388,Rho*I2387+SQRT(1-Rho^2)*H2388),"")</f>
        <v/>
      </c>
      <c r="J2388">
        <f>IF(B2388,IF(Dist="Normal",DistA+DistB*I2388,DistA+(DistB-DistA)*NORMSDIST(I2388)),"")</f>
        <v/>
      </c>
      <c r="K2388">
        <f>IF(B2388,INDEX(MineScale,C2388),"")</f>
        <v/>
      </c>
      <c r="L2388">
        <f>IF(B2388,INDEX(Dow,1,WEEKDAY(E2388,2)),"")</f>
        <v/>
      </c>
      <c r="M2388">
        <f>IF(B2388,(1+Trend)^D2388,"")</f>
        <v/>
      </c>
      <c r="N2388">
        <f>IF(B2388,EXP(SUMPRODUCT(LN(1+(EvEff-1)*INDEX(Affected,0,C2388)*EXP(-((E2388-EvCenter)^2)/(2*EvSigma^2))))),"")</f>
        <v/>
      </c>
      <c r="O2388">
        <f>IF(B2388,ROUND(MAX(0,J2388*K2388*L2388*M2388*N2388),2),"")</f>
        <v/>
      </c>
    </row>
    <row r="2389">
      <c r="A2389" t="n">
        <v>2388</v>
      </c>
      <c r="B2389">
        <f>A2389&lt;=MineCount*Days</f>
        <v/>
      </c>
      <c r="C2389">
        <f>IF(B2389,INT((A2389-1)/Days)+1,"")</f>
        <v/>
      </c>
      <c r="D2389">
        <f>IF(B2389,MOD(A2389-1,Days),"")</f>
        <v/>
      </c>
      <c r="E2389" s="16">
        <f>IF(B2389,StartDate+D2389,"")</f>
        <v/>
      </c>
      <c r="F2389">
        <f>IF(B2389,MAX(MOD(SIN(Seed*0.1373+C2389*12.9898+D2389*78.233)*43758.5453,1),1E-9),"")</f>
        <v/>
      </c>
      <c r="G2389">
        <f>IF(B2389,MOD(SIN(Seed*0.5917+C2389*39.3468+D2389*11.135)*24634.6345,1),"")</f>
        <v/>
      </c>
      <c r="H2389">
        <f>IF(B2389,SQRT(-2*LN(F2389))*COS(2*PI()*G2389),"")</f>
        <v/>
      </c>
      <c r="I2389">
        <f>IF(B2389,IF(D2389=0,H2389,Rho*I2388+SQRT(1-Rho^2)*H2389),"")</f>
        <v/>
      </c>
      <c r="J2389">
        <f>IF(B2389,IF(Dist="Normal",DistA+DistB*I2389,DistA+(DistB-DistA)*NORMSDIST(I2389)),"")</f>
        <v/>
      </c>
      <c r="K2389">
        <f>IF(B2389,INDEX(MineScale,C2389),"")</f>
        <v/>
      </c>
      <c r="L2389">
        <f>IF(B2389,INDEX(Dow,1,WEEKDAY(E2389,2)),"")</f>
        <v/>
      </c>
      <c r="M2389">
        <f>IF(B2389,(1+Trend)^D2389,"")</f>
        <v/>
      </c>
      <c r="N2389">
        <f>IF(B2389,EXP(SUMPRODUCT(LN(1+(EvEff-1)*INDEX(Affected,0,C2389)*EXP(-((E2389-EvCenter)^2)/(2*EvSigma^2))))),"")</f>
        <v/>
      </c>
      <c r="O2389">
        <f>IF(B2389,ROUND(MAX(0,J2389*K2389*L2389*M2389*N2389),2),"")</f>
        <v/>
      </c>
    </row>
    <row r="2390">
      <c r="A2390" t="n">
        <v>2389</v>
      </c>
      <c r="B2390">
        <f>A2390&lt;=MineCount*Days</f>
        <v/>
      </c>
      <c r="C2390">
        <f>IF(B2390,INT((A2390-1)/Days)+1,"")</f>
        <v/>
      </c>
      <c r="D2390">
        <f>IF(B2390,MOD(A2390-1,Days),"")</f>
        <v/>
      </c>
      <c r="E2390" s="16">
        <f>IF(B2390,StartDate+D2390,"")</f>
        <v/>
      </c>
      <c r="F2390">
        <f>IF(B2390,MAX(MOD(SIN(Seed*0.1373+C2390*12.9898+D2390*78.233)*43758.5453,1),1E-9),"")</f>
        <v/>
      </c>
      <c r="G2390">
        <f>IF(B2390,MOD(SIN(Seed*0.5917+C2390*39.3468+D2390*11.135)*24634.6345,1),"")</f>
        <v/>
      </c>
      <c r="H2390">
        <f>IF(B2390,SQRT(-2*LN(F2390))*COS(2*PI()*G2390),"")</f>
        <v/>
      </c>
      <c r="I2390">
        <f>IF(B2390,IF(D2390=0,H2390,Rho*I2389+SQRT(1-Rho^2)*H2390),"")</f>
        <v/>
      </c>
      <c r="J2390">
        <f>IF(B2390,IF(Dist="Normal",DistA+DistB*I2390,DistA+(DistB-DistA)*NORMSDIST(I2390)),"")</f>
        <v/>
      </c>
      <c r="K2390">
        <f>IF(B2390,INDEX(MineScale,C2390),"")</f>
        <v/>
      </c>
      <c r="L2390">
        <f>IF(B2390,INDEX(Dow,1,WEEKDAY(E2390,2)),"")</f>
        <v/>
      </c>
      <c r="M2390">
        <f>IF(B2390,(1+Trend)^D2390,"")</f>
        <v/>
      </c>
      <c r="N2390">
        <f>IF(B2390,EXP(SUMPRODUCT(LN(1+(EvEff-1)*INDEX(Affected,0,C2390)*EXP(-((E2390-EvCenter)^2)/(2*EvSigma^2))))),"")</f>
        <v/>
      </c>
      <c r="O2390">
        <f>IF(B2390,ROUND(MAX(0,J2390*K2390*L2390*M2390*N2390),2),"")</f>
        <v/>
      </c>
    </row>
    <row r="2391">
      <c r="A2391" t="n">
        <v>2390</v>
      </c>
      <c r="B2391">
        <f>A2391&lt;=MineCount*Days</f>
        <v/>
      </c>
      <c r="C2391">
        <f>IF(B2391,INT((A2391-1)/Days)+1,"")</f>
        <v/>
      </c>
      <c r="D2391">
        <f>IF(B2391,MOD(A2391-1,Days),"")</f>
        <v/>
      </c>
      <c r="E2391" s="16">
        <f>IF(B2391,StartDate+D2391,"")</f>
        <v/>
      </c>
      <c r="F2391">
        <f>IF(B2391,MAX(MOD(SIN(Seed*0.1373+C2391*12.9898+D2391*78.233)*43758.5453,1),1E-9),"")</f>
        <v/>
      </c>
      <c r="G2391">
        <f>IF(B2391,MOD(SIN(Seed*0.5917+C2391*39.3468+D2391*11.135)*24634.6345,1),"")</f>
        <v/>
      </c>
      <c r="H2391">
        <f>IF(B2391,SQRT(-2*LN(F2391))*COS(2*PI()*G2391),"")</f>
        <v/>
      </c>
      <c r="I2391">
        <f>IF(B2391,IF(D2391=0,H2391,Rho*I2390+SQRT(1-Rho^2)*H2391),"")</f>
        <v/>
      </c>
      <c r="J2391">
        <f>IF(B2391,IF(Dist="Normal",DistA+DistB*I2391,DistA+(DistB-DistA)*NORMSDIST(I2391)),"")</f>
        <v/>
      </c>
      <c r="K2391">
        <f>IF(B2391,INDEX(MineScale,C2391),"")</f>
        <v/>
      </c>
      <c r="L2391">
        <f>IF(B2391,INDEX(Dow,1,WEEKDAY(E2391,2)),"")</f>
        <v/>
      </c>
      <c r="M2391">
        <f>IF(B2391,(1+Trend)^D2391,"")</f>
        <v/>
      </c>
      <c r="N2391">
        <f>IF(B2391,EXP(SUMPRODUCT(LN(1+(EvEff-1)*INDEX(Affected,0,C2391)*EXP(-((E2391-EvCenter)^2)/(2*EvSigma^2))))),"")</f>
        <v/>
      </c>
      <c r="O2391">
        <f>IF(B2391,ROUND(MAX(0,J2391*K2391*L2391*M2391*N2391),2),"")</f>
        <v/>
      </c>
    </row>
    <row r="2392">
      <c r="A2392" t="n">
        <v>2391</v>
      </c>
      <c r="B2392">
        <f>A2392&lt;=MineCount*Days</f>
        <v/>
      </c>
      <c r="C2392">
        <f>IF(B2392,INT((A2392-1)/Days)+1,"")</f>
        <v/>
      </c>
      <c r="D2392">
        <f>IF(B2392,MOD(A2392-1,Days),"")</f>
        <v/>
      </c>
      <c r="E2392" s="16">
        <f>IF(B2392,StartDate+D2392,"")</f>
        <v/>
      </c>
      <c r="F2392">
        <f>IF(B2392,MAX(MOD(SIN(Seed*0.1373+C2392*12.9898+D2392*78.233)*43758.5453,1),1E-9),"")</f>
        <v/>
      </c>
      <c r="G2392">
        <f>IF(B2392,MOD(SIN(Seed*0.5917+C2392*39.3468+D2392*11.135)*24634.6345,1),"")</f>
        <v/>
      </c>
      <c r="H2392">
        <f>IF(B2392,SQRT(-2*LN(F2392))*COS(2*PI()*G2392),"")</f>
        <v/>
      </c>
      <c r="I2392">
        <f>IF(B2392,IF(D2392=0,H2392,Rho*I2391+SQRT(1-Rho^2)*H2392),"")</f>
        <v/>
      </c>
      <c r="J2392">
        <f>IF(B2392,IF(Dist="Normal",DistA+DistB*I2392,DistA+(DistB-DistA)*NORMSDIST(I2392)),"")</f>
        <v/>
      </c>
      <c r="K2392">
        <f>IF(B2392,INDEX(MineScale,C2392),"")</f>
        <v/>
      </c>
      <c r="L2392">
        <f>IF(B2392,INDEX(Dow,1,WEEKDAY(E2392,2)),"")</f>
        <v/>
      </c>
      <c r="M2392">
        <f>IF(B2392,(1+Trend)^D2392,"")</f>
        <v/>
      </c>
      <c r="N2392">
        <f>IF(B2392,EXP(SUMPRODUCT(LN(1+(EvEff-1)*INDEX(Affected,0,C2392)*EXP(-((E2392-EvCenter)^2)/(2*EvSigma^2))))),"")</f>
        <v/>
      </c>
      <c r="O2392">
        <f>IF(B2392,ROUND(MAX(0,J2392*K2392*L2392*M2392*N2392),2),"")</f>
        <v/>
      </c>
    </row>
    <row r="2393">
      <c r="A2393" t="n">
        <v>2392</v>
      </c>
      <c r="B2393">
        <f>A2393&lt;=MineCount*Days</f>
        <v/>
      </c>
      <c r="C2393">
        <f>IF(B2393,INT((A2393-1)/Days)+1,"")</f>
        <v/>
      </c>
      <c r="D2393">
        <f>IF(B2393,MOD(A2393-1,Days),"")</f>
        <v/>
      </c>
      <c r="E2393" s="16">
        <f>IF(B2393,StartDate+D2393,"")</f>
        <v/>
      </c>
      <c r="F2393">
        <f>IF(B2393,MAX(MOD(SIN(Seed*0.1373+C2393*12.9898+D2393*78.233)*43758.5453,1),1E-9),"")</f>
        <v/>
      </c>
      <c r="G2393">
        <f>IF(B2393,MOD(SIN(Seed*0.5917+C2393*39.3468+D2393*11.135)*24634.6345,1),"")</f>
        <v/>
      </c>
      <c r="H2393">
        <f>IF(B2393,SQRT(-2*LN(F2393))*COS(2*PI()*G2393),"")</f>
        <v/>
      </c>
      <c r="I2393">
        <f>IF(B2393,IF(D2393=0,H2393,Rho*I2392+SQRT(1-Rho^2)*H2393),"")</f>
        <v/>
      </c>
      <c r="J2393">
        <f>IF(B2393,IF(Dist="Normal",DistA+DistB*I2393,DistA+(DistB-DistA)*NORMSDIST(I2393)),"")</f>
        <v/>
      </c>
      <c r="K2393">
        <f>IF(B2393,INDEX(MineScale,C2393),"")</f>
        <v/>
      </c>
      <c r="L2393">
        <f>IF(B2393,INDEX(Dow,1,WEEKDAY(E2393,2)),"")</f>
        <v/>
      </c>
      <c r="M2393">
        <f>IF(B2393,(1+Trend)^D2393,"")</f>
        <v/>
      </c>
      <c r="N2393">
        <f>IF(B2393,EXP(SUMPRODUCT(LN(1+(EvEff-1)*INDEX(Affected,0,C2393)*EXP(-((E2393-EvCenter)^2)/(2*EvSigma^2))))),"")</f>
        <v/>
      </c>
      <c r="O2393">
        <f>IF(B2393,ROUND(MAX(0,J2393*K2393*L2393*M2393*N2393),2),"")</f>
        <v/>
      </c>
    </row>
    <row r="2394">
      <c r="A2394" t="n">
        <v>2393</v>
      </c>
      <c r="B2394">
        <f>A2394&lt;=MineCount*Days</f>
        <v/>
      </c>
      <c r="C2394">
        <f>IF(B2394,INT((A2394-1)/Days)+1,"")</f>
        <v/>
      </c>
      <c r="D2394">
        <f>IF(B2394,MOD(A2394-1,Days),"")</f>
        <v/>
      </c>
      <c r="E2394" s="16">
        <f>IF(B2394,StartDate+D2394,"")</f>
        <v/>
      </c>
      <c r="F2394">
        <f>IF(B2394,MAX(MOD(SIN(Seed*0.1373+C2394*12.9898+D2394*78.233)*43758.5453,1),1E-9),"")</f>
        <v/>
      </c>
      <c r="G2394">
        <f>IF(B2394,MOD(SIN(Seed*0.5917+C2394*39.3468+D2394*11.135)*24634.6345,1),"")</f>
        <v/>
      </c>
      <c r="H2394">
        <f>IF(B2394,SQRT(-2*LN(F2394))*COS(2*PI()*G2394),"")</f>
        <v/>
      </c>
      <c r="I2394">
        <f>IF(B2394,IF(D2394=0,H2394,Rho*I2393+SQRT(1-Rho^2)*H2394),"")</f>
        <v/>
      </c>
      <c r="J2394">
        <f>IF(B2394,IF(Dist="Normal",DistA+DistB*I2394,DistA+(DistB-DistA)*NORMSDIST(I2394)),"")</f>
        <v/>
      </c>
      <c r="K2394">
        <f>IF(B2394,INDEX(MineScale,C2394),"")</f>
        <v/>
      </c>
      <c r="L2394">
        <f>IF(B2394,INDEX(Dow,1,WEEKDAY(E2394,2)),"")</f>
        <v/>
      </c>
      <c r="M2394">
        <f>IF(B2394,(1+Trend)^D2394,"")</f>
        <v/>
      </c>
      <c r="N2394">
        <f>IF(B2394,EXP(SUMPRODUCT(LN(1+(EvEff-1)*INDEX(Affected,0,C2394)*EXP(-((E2394-EvCenter)^2)/(2*EvSigma^2))))),"")</f>
        <v/>
      </c>
      <c r="O2394">
        <f>IF(B2394,ROUND(MAX(0,J2394*K2394*L2394*M2394*N2394),2),"")</f>
        <v/>
      </c>
    </row>
    <row r="2395">
      <c r="A2395" t="n">
        <v>2394</v>
      </c>
      <c r="B2395">
        <f>A2395&lt;=MineCount*Days</f>
        <v/>
      </c>
      <c r="C2395">
        <f>IF(B2395,INT((A2395-1)/Days)+1,"")</f>
        <v/>
      </c>
      <c r="D2395">
        <f>IF(B2395,MOD(A2395-1,Days),"")</f>
        <v/>
      </c>
      <c r="E2395" s="16">
        <f>IF(B2395,StartDate+D2395,"")</f>
        <v/>
      </c>
      <c r="F2395">
        <f>IF(B2395,MAX(MOD(SIN(Seed*0.1373+C2395*12.9898+D2395*78.233)*43758.5453,1),1E-9),"")</f>
        <v/>
      </c>
      <c r="G2395">
        <f>IF(B2395,MOD(SIN(Seed*0.5917+C2395*39.3468+D2395*11.135)*24634.6345,1),"")</f>
        <v/>
      </c>
      <c r="H2395">
        <f>IF(B2395,SQRT(-2*LN(F2395))*COS(2*PI()*G2395),"")</f>
        <v/>
      </c>
      <c r="I2395">
        <f>IF(B2395,IF(D2395=0,H2395,Rho*I2394+SQRT(1-Rho^2)*H2395),"")</f>
        <v/>
      </c>
      <c r="J2395">
        <f>IF(B2395,IF(Dist="Normal",DistA+DistB*I2395,DistA+(DistB-DistA)*NORMSDIST(I2395)),"")</f>
        <v/>
      </c>
      <c r="K2395">
        <f>IF(B2395,INDEX(MineScale,C2395),"")</f>
        <v/>
      </c>
      <c r="L2395">
        <f>IF(B2395,INDEX(Dow,1,WEEKDAY(E2395,2)),"")</f>
        <v/>
      </c>
      <c r="M2395">
        <f>IF(B2395,(1+Trend)^D2395,"")</f>
        <v/>
      </c>
      <c r="N2395">
        <f>IF(B2395,EXP(SUMPRODUCT(LN(1+(EvEff-1)*INDEX(Affected,0,C2395)*EXP(-((E2395-EvCenter)^2)/(2*EvSigma^2))))),"")</f>
        <v/>
      </c>
      <c r="O2395">
        <f>IF(B2395,ROUND(MAX(0,J2395*K2395*L2395*M2395*N2395),2),"")</f>
        <v/>
      </c>
    </row>
    <row r="2396">
      <c r="A2396" t="n">
        <v>2395</v>
      </c>
      <c r="B2396">
        <f>A2396&lt;=MineCount*Days</f>
        <v/>
      </c>
      <c r="C2396">
        <f>IF(B2396,INT((A2396-1)/Days)+1,"")</f>
        <v/>
      </c>
      <c r="D2396">
        <f>IF(B2396,MOD(A2396-1,Days),"")</f>
        <v/>
      </c>
      <c r="E2396" s="16">
        <f>IF(B2396,StartDate+D2396,"")</f>
        <v/>
      </c>
      <c r="F2396">
        <f>IF(B2396,MAX(MOD(SIN(Seed*0.1373+C2396*12.9898+D2396*78.233)*43758.5453,1),1E-9),"")</f>
        <v/>
      </c>
      <c r="G2396">
        <f>IF(B2396,MOD(SIN(Seed*0.5917+C2396*39.3468+D2396*11.135)*24634.6345,1),"")</f>
        <v/>
      </c>
      <c r="H2396">
        <f>IF(B2396,SQRT(-2*LN(F2396))*COS(2*PI()*G2396),"")</f>
        <v/>
      </c>
      <c r="I2396">
        <f>IF(B2396,IF(D2396=0,H2396,Rho*I2395+SQRT(1-Rho^2)*H2396),"")</f>
        <v/>
      </c>
      <c r="J2396">
        <f>IF(B2396,IF(Dist="Normal",DistA+DistB*I2396,DistA+(DistB-DistA)*NORMSDIST(I2396)),"")</f>
        <v/>
      </c>
      <c r="K2396">
        <f>IF(B2396,INDEX(MineScale,C2396),"")</f>
        <v/>
      </c>
      <c r="L2396">
        <f>IF(B2396,INDEX(Dow,1,WEEKDAY(E2396,2)),"")</f>
        <v/>
      </c>
      <c r="M2396">
        <f>IF(B2396,(1+Trend)^D2396,"")</f>
        <v/>
      </c>
      <c r="N2396">
        <f>IF(B2396,EXP(SUMPRODUCT(LN(1+(EvEff-1)*INDEX(Affected,0,C2396)*EXP(-((E2396-EvCenter)^2)/(2*EvSigma^2))))),"")</f>
        <v/>
      </c>
      <c r="O2396">
        <f>IF(B2396,ROUND(MAX(0,J2396*K2396*L2396*M2396*N2396),2),"")</f>
        <v/>
      </c>
    </row>
    <row r="2397">
      <c r="A2397" t="n">
        <v>2396</v>
      </c>
      <c r="B2397">
        <f>A2397&lt;=MineCount*Days</f>
        <v/>
      </c>
      <c r="C2397">
        <f>IF(B2397,INT((A2397-1)/Days)+1,"")</f>
        <v/>
      </c>
      <c r="D2397">
        <f>IF(B2397,MOD(A2397-1,Days),"")</f>
        <v/>
      </c>
      <c r="E2397" s="16">
        <f>IF(B2397,StartDate+D2397,"")</f>
        <v/>
      </c>
      <c r="F2397">
        <f>IF(B2397,MAX(MOD(SIN(Seed*0.1373+C2397*12.9898+D2397*78.233)*43758.5453,1),1E-9),"")</f>
        <v/>
      </c>
      <c r="G2397">
        <f>IF(B2397,MOD(SIN(Seed*0.5917+C2397*39.3468+D2397*11.135)*24634.6345,1),"")</f>
        <v/>
      </c>
      <c r="H2397">
        <f>IF(B2397,SQRT(-2*LN(F2397))*COS(2*PI()*G2397),"")</f>
        <v/>
      </c>
      <c r="I2397">
        <f>IF(B2397,IF(D2397=0,H2397,Rho*I2396+SQRT(1-Rho^2)*H2397),"")</f>
        <v/>
      </c>
      <c r="J2397">
        <f>IF(B2397,IF(Dist="Normal",DistA+DistB*I2397,DistA+(DistB-DistA)*NORMSDIST(I2397)),"")</f>
        <v/>
      </c>
      <c r="K2397">
        <f>IF(B2397,INDEX(MineScale,C2397),"")</f>
        <v/>
      </c>
      <c r="L2397">
        <f>IF(B2397,INDEX(Dow,1,WEEKDAY(E2397,2)),"")</f>
        <v/>
      </c>
      <c r="M2397">
        <f>IF(B2397,(1+Trend)^D2397,"")</f>
        <v/>
      </c>
      <c r="N2397">
        <f>IF(B2397,EXP(SUMPRODUCT(LN(1+(EvEff-1)*INDEX(Affected,0,C2397)*EXP(-((E2397-EvCenter)^2)/(2*EvSigma^2))))),"")</f>
        <v/>
      </c>
      <c r="O2397">
        <f>IF(B2397,ROUND(MAX(0,J2397*K2397*L2397*M2397*N2397),2),"")</f>
        <v/>
      </c>
    </row>
    <row r="2398">
      <c r="A2398" t="n">
        <v>2397</v>
      </c>
      <c r="B2398">
        <f>A2398&lt;=MineCount*Days</f>
        <v/>
      </c>
      <c r="C2398">
        <f>IF(B2398,INT((A2398-1)/Days)+1,"")</f>
        <v/>
      </c>
      <c r="D2398">
        <f>IF(B2398,MOD(A2398-1,Days),"")</f>
        <v/>
      </c>
      <c r="E2398" s="16">
        <f>IF(B2398,StartDate+D2398,"")</f>
        <v/>
      </c>
      <c r="F2398">
        <f>IF(B2398,MAX(MOD(SIN(Seed*0.1373+C2398*12.9898+D2398*78.233)*43758.5453,1),1E-9),"")</f>
        <v/>
      </c>
      <c r="G2398">
        <f>IF(B2398,MOD(SIN(Seed*0.5917+C2398*39.3468+D2398*11.135)*24634.6345,1),"")</f>
        <v/>
      </c>
      <c r="H2398">
        <f>IF(B2398,SQRT(-2*LN(F2398))*COS(2*PI()*G2398),"")</f>
        <v/>
      </c>
      <c r="I2398">
        <f>IF(B2398,IF(D2398=0,H2398,Rho*I2397+SQRT(1-Rho^2)*H2398),"")</f>
        <v/>
      </c>
      <c r="J2398">
        <f>IF(B2398,IF(Dist="Normal",DistA+DistB*I2398,DistA+(DistB-DistA)*NORMSDIST(I2398)),"")</f>
        <v/>
      </c>
      <c r="K2398">
        <f>IF(B2398,INDEX(MineScale,C2398),"")</f>
        <v/>
      </c>
      <c r="L2398">
        <f>IF(B2398,INDEX(Dow,1,WEEKDAY(E2398,2)),"")</f>
        <v/>
      </c>
      <c r="M2398">
        <f>IF(B2398,(1+Trend)^D2398,"")</f>
        <v/>
      </c>
      <c r="N2398">
        <f>IF(B2398,EXP(SUMPRODUCT(LN(1+(EvEff-1)*INDEX(Affected,0,C2398)*EXP(-((E2398-EvCenter)^2)/(2*EvSigma^2))))),"")</f>
        <v/>
      </c>
      <c r="O2398">
        <f>IF(B2398,ROUND(MAX(0,J2398*K2398*L2398*M2398*N2398),2),"")</f>
        <v/>
      </c>
    </row>
    <row r="2399">
      <c r="A2399" t="n">
        <v>2398</v>
      </c>
      <c r="B2399">
        <f>A2399&lt;=MineCount*Days</f>
        <v/>
      </c>
      <c r="C2399">
        <f>IF(B2399,INT((A2399-1)/Days)+1,"")</f>
        <v/>
      </c>
      <c r="D2399">
        <f>IF(B2399,MOD(A2399-1,Days),"")</f>
        <v/>
      </c>
      <c r="E2399" s="16">
        <f>IF(B2399,StartDate+D2399,"")</f>
        <v/>
      </c>
      <c r="F2399">
        <f>IF(B2399,MAX(MOD(SIN(Seed*0.1373+C2399*12.9898+D2399*78.233)*43758.5453,1),1E-9),"")</f>
        <v/>
      </c>
      <c r="G2399">
        <f>IF(B2399,MOD(SIN(Seed*0.5917+C2399*39.3468+D2399*11.135)*24634.6345,1),"")</f>
        <v/>
      </c>
      <c r="H2399">
        <f>IF(B2399,SQRT(-2*LN(F2399))*COS(2*PI()*G2399),"")</f>
        <v/>
      </c>
      <c r="I2399">
        <f>IF(B2399,IF(D2399=0,H2399,Rho*I2398+SQRT(1-Rho^2)*H2399),"")</f>
        <v/>
      </c>
      <c r="J2399">
        <f>IF(B2399,IF(Dist="Normal",DistA+DistB*I2399,DistA+(DistB-DistA)*NORMSDIST(I2399)),"")</f>
        <v/>
      </c>
      <c r="K2399">
        <f>IF(B2399,INDEX(MineScale,C2399),"")</f>
        <v/>
      </c>
      <c r="L2399">
        <f>IF(B2399,INDEX(Dow,1,WEEKDAY(E2399,2)),"")</f>
        <v/>
      </c>
      <c r="M2399">
        <f>IF(B2399,(1+Trend)^D2399,"")</f>
        <v/>
      </c>
      <c r="N2399">
        <f>IF(B2399,EXP(SUMPRODUCT(LN(1+(EvEff-1)*INDEX(Affected,0,C2399)*EXP(-((E2399-EvCenter)^2)/(2*EvSigma^2))))),"")</f>
        <v/>
      </c>
      <c r="O2399">
        <f>IF(B2399,ROUND(MAX(0,J2399*K2399*L2399*M2399*N2399),2),"")</f>
        <v/>
      </c>
    </row>
    <row r="2400">
      <c r="A2400" t="n">
        <v>2399</v>
      </c>
      <c r="B2400">
        <f>A2400&lt;=MineCount*Days</f>
        <v/>
      </c>
      <c r="C2400">
        <f>IF(B2400,INT((A2400-1)/Days)+1,"")</f>
        <v/>
      </c>
      <c r="D2400">
        <f>IF(B2400,MOD(A2400-1,Days),"")</f>
        <v/>
      </c>
      <c r="E2400" s="16">
        <f>IF(B2400,StartDate+D2400,"")</f>
        <v/>
      </c>
      <c r="F2400">
        <f>IF(B2400,MAX(MOD(SIN(Seed*0.1373+C2400*12.9898+D2400*78.233)*43758.5453,1),1E-9),"")</f>
        <v/>
      </c>
      <c r="G2400">
        <f>IF(B2400,MOD(SIN(Seed*0.5917+C2400*39.3468+D2400*11.135)*24634.6345,1),"")</f>
        <v/>
      </c>
      <c r="H2400">
        <f>IF(B2400,SQRT(-2*LN(F2400))*COS(2*PI()*G2400),"")</f>
        <v/>
      </c>
      <c r="I2400">
        <f>IF(B2400,IF(D2400=0,H2400,Rho*I2399+SQRT(1-Rho^2)*H2400),"")</f>
        <v/>
      </c>
      <c r="J2400">
        <f>IF(B2400,IF(Dist="Normal",DistA+DistB*I2400,DistA+(DistB-DistA)*NORMSDIST(I2400)),"")</f>
        <v/>
      </c>
      <c r="K2400">
        <f>IF(B2400,INDEX(MineScale,C2400),"")</f>
        <v/>
      </c>
      <c r="L2400">
        <f>IF(B2400,INDEX(Dow,1,WEEKDAY(E2400,2)),"")</f>
        <v/>
      </c>
      <c r="M2400">
        <f>IF(B2400,(1+Trend)^D2400,"")</f>
        <v/>
      </c>
      <c r="N2400">
        <f>IF(B2400,EXP(SUMPRODUCT(LN(1+(EvEff-1)*INDEX(Affected,0,C2400)*EXP(-((E2400-EvCenter)^2)/(2*EvSigma^2))))),"")</f>
        <v/>
      </c>
      <c r="O2400">
        <f>IF(B2400,ROUND(MAX(0,J2400*K2400*L2400*M2400*N2400),2),"")</f>
        <v/>
      </c>
    </row>
    <row r="2401">
      <c r="A2401" t="n">
        <v>2400</v>
      </c>
      <c r="B2401">
        <f>A2401&lt;=MineCount*Days</f>
        <v/>
      </c>
      <c r="C2401">
        <f>IF(B2401,INT((A2401-1)/Days)+1,"")</f>
        <v/>
      </c>
      <c r="D2401">
        <f>IF(B2401,MOD(A2401-1,Days),"")</f>
        <v/>
      </c>
      <c r="E2401" s="16">
        <f>IF(B2401,StartDate+D2401,"")</f>
        <v/>
      </c>
      <c r="F2401">
        <f>IF(B2401,MAX(MOD(SIN(Seed*0.1373+C2401*12.9898+D2401*78.233)*43758.5453,1),1E-9),"")</f>
        <v/>
      </c>
      <c r="G2401">
        <f>IF(B2401,MOD(SIN(Seed*0.5917+C2401*39.3468+D2401*11.135)*24634.6345,1),"")</f>
        <v/>
      </c>
      <c r="H2401">
        <f>IF(B2401,SQRT(-2*LN(F2401))*COS(2*PI()*G2401),"")</f>
        <v/>
      </c>
      <c r="I2401">
        <f>IF(B2401,IF(D2401=0,H2401,Rho*I2400+SQRT(1-Rho^2)*H2401),"")</f>
        <v/>
      </c>
      <c r="J2401">
        <f>IF(B2401,IF(Dist="Normal",DistA+DistB*I2401,DistA+(DistB-DistA)*NORMSDIST(I2401)),"")</f>
        <v/>
      </c>
      <c r="K2401">
        <f>IF(B2401,INDEX(MineScale,C2401),"")</f>
        <v/>
      </c>
      <c r="L2401">
        <f>IF(B2401,INDEX(Dow,1,WEEKDAY(E2401,2)),"")</f>
        <v/>
      </c>
      <c r="M2401">
        <f>IF(B2401,(1+Trend)^D2401,"")</f>
        <v/>
      </c>
      <c r="N2401">
        <f>IF(B2401,EXP(SUMPRODUCT(LN(1+(EvEff-1)*INDEX(Affected,0,C2401)*EXP(-((E2401-EvCenter)^2)/(2*EvSigma^2))))),"")</f>
        <v/>
      </c>
      <c r="O2401">
        <f>IF(B2401,ROUND(MAX(0,J2401*K2401*L2401*M2401*N2401),2),"")</f>
        <v/>
      </c>
    </row>
    <row r="2402">
      <c r="A2402" t="n">
        <v>2401</v>
      </c>
      <c r="B2402">
        <f>A2402&lt;=MineCount*Days</f>
        <v/>
      </c>
      <c r="C2402">
        <f>IF(B2402,INT((A2402-1)/Days)+1,"")</f>
        <v/>
      </c>
      <c r="D2402">
        <f>IF(B2402,MOD(A2402-1,Days),"")</f>
        <v/>
      </c>
      <c r="E2402" s="16">
        <f>IF(B2402,StartDate+D2402,"")</f>
        <v/>
      </c>
      <c r="F2402">
        <f>IF(B2402,MAX(MOD(SIN(Seed*0.1373+C2402*12.9898+D2402*78.233)*43758.5453,1),1E-9),"")</f>
        <v/>
      </c>
      <c r="G2402">
        <f>IF(B2402,MOD(SIN(Seed*0.5917+C2402*39.3468+D2402*11.135)*24634.6345,1),"")</f>
        <v/>
      </c>
      <c r="H2402">
        <f>IF(B2402,SQRT(-2*LN(F2402))*COS(2*PI()*G2402),"")</f>
        <v/>
      </c>
      <c r="I2402">
        <f>IF(B2402,IF(D2402=0,H2402,Rho*I2401+SQRT(1-Rho^2)*H2402),"")</f>
        <v/>
      </c>
      <c r="J2402">
        <f>IF(B2402,IF(Dist="Normal",DistA+DistB*I2402,DistA+(DistB-DistA)*NORMSDIST(I2402)),"")</f>
        <v/>
      </c>
      <c r="K2402">
        <f>IF(B2402,INDEX(MineScale,C2402),"")</f>
        <v/>
      </c>
      <c r="L2402">
        <f>IF(B2402,INDEX(Dow,1,WEEKDAY(E2402,2)),"")</f>
        <v/>
      </c>
      <c r="M2402">
        <f>IF(B2402,(1+Trend)^D2402,"")</f>
        <v/>
      </c>
      <c r="N2402">
        <f>IF(B2402,EXP(SUMPRODUCT(LN(1+(EvEff-1)*INDEX(Affected,0,C2402)*EXP(-((E2402-EvCenter)^2)/(2*EvSigma^2))))),"")</f>
        <v/>
      </c>
      <c r="O2402">
        <f>IF(B2402,ROUND(MAX(0,J2402*K2402*L2402*M2402*N2402),2),"")</f>
        <v/>
      </c>
    </row>
    <row r="2403">
      <c r="A2403" t="n">
        <v>2402</v>
      </c>
      <c r="B2403">
        <f>A2403&lt;=MineCount*Days</f>
        <v/>
      </c>
      <c r="C2403">
        <f>IF(B2403,INT((A2403-1)/Days)+1,"")</f>
        <v/>
      </c>
      <c r="D2403">
        <f>IF(B2403,MOD(A2403-1,Days),"")</f>
        <v/>
      </c>
      <c r="E2403" s="16">
        <f>IF(B2403,StartDate+D2403,"")</f>
        <v/>
      </c>
      <c r="F2403">
        <f>IF(B2403,MAX(MOD(SIN(Seed*0.1373+C2403*12.9898+D2403*78.233)*43758.5453,1),1E-9),"")</f>
        <v/>
      </c>
      <c r="G2403">
        <f>IF(B2403,MOD(SIN(Seed*0.5917+C2403*39.3468+D2403*11.135)*24634.6345,1),"")</f>
        <v/>
      </c>
      <c r="H2403">
        <f>IF(B2403,SQRT(-2*LN(F2403))*COS(2*PI()*G2403),"")</f>
        <v/>
      </c>
      <c r="I2403">
        <f>IF(B2403,IF(D2403=0,H2403,Rho*I2402+SQRT(1-Rho^2)*H2403),"")</f>
        <v/>
      </c>
      <c r="J2403">
        <f>IF(B2403,IF(Dist="Normal",DistA+DistB*I2403,DistA+(DistB-DistA)*NORMSDIST(I2403)),"")</f>
        <v/>
      </c>
      <c r="K2403">
        <f>IF(B2403,INDEX(MineScale,C2403),"")</f>
        <v/>
      </c>
      <c r="L2403">
        <f>IF(B2403,INDEX(Dow,1,WEEKDAY(E2403,2)),"")</f>
        <v/>
      </c>
      <c r="M2403">
        <f>IF(B2403,(1+Trend)^D2403,"")</f>
        <v/>
      </c>
      <c r="N2403">
        <f>IF(B2403,EXP(SUMPRODUCT(LN(1+(EvEff-1)*INDEX(Affected,0,C2403)*EXP(-((E2403-EvCenter)^2)/(2*EvSigma^2))))),"")</f>
        <v/>
      </c>
      <c r="O2403">
        <f>IF(B2403,ROUND(MAX(0,J2403*K2403*L2403*M2403*N2403),2),"")</f>
        <v/>
      </c>
    </row>
    <row r="2404">
      <c r="A2404" t="n">
        <v>2403</v>
      </c>
      <c r="B2404">
        <f>A2404&lt;=MineCount*Days</f>
        <v/>
      </c>
      <c r="C2404">
        <f>IF(B2404,INT((A2404-1)/Days)+1,"")</f>
        <v/>
      </c>
      <c r="D2404">
        <f>IF(B2404,MOD(A2404-1,Days),"")</f>
        <v/>
      </c>
      <c r="E2404" s="16">
        <f>IF(B2404,StartDate+D2404,"")</f>
        <v/>
      </c>
      <c r="F2404">
        <f>IF(B2404,MAX(MOD(SIN(Seed*0.1373+C2404*12.9898+D2404*78.233)*43758.5453,1),1E-9),"")</f>
        <v/>
      </c>
      <c r="G2404">
        <f>IF(B2404,MOD(SIN(Seed*0.5917+C2404*39.3468+D2404*11.135)*24634.6345,1),"")</f>
        <v/>
      </c>
      <c r="H2404">
        <f>IF(B2404,SQRT(-2*LN(F2404))*COS(2*PI()*G2404),"")</f>
        <v/>
      </c>
      <c r="I2404">
        <f>IF(B2404,IF(D2404=0,H2404,Rho*I2403+SQRT(1-Rho^2)*H2404),"")</f>
        <v/>
      </c>
      <c r="J2404">
        <f>IF(B2404,IF(Dist="Normal",DistA+DistB*I2404,DistA+(DistB-DistA)*NORMSDIST(I2404)),"")</f>
        <v/>
      </c>
      <c r="K2404">
        <f>IF(B2404,INDEX(MineScale,C2404),"")</f>
        <v/>
      </c>
      <c r="L2404">
        <f>IF(B2404,INDEX(Dow,1,WEEKDAY(E2404,2)),"")</f>
        <v/>
      </c>
      <c r="M2404">
        <f>IF(B2404,(1+Trend)^D2404,"")</f>
        <v/>
      </c>
      <c r="N2404">
        <f>IF(B2404,EXP(SUMPRODUCT(LN(1+(EvEff-1)*INDEX(Affected,0,C2404)*EXP(-((E2404-EvCenter)^2)/(2*EvSigma^2))))),"")</f>
        <v/>
      </c>
      <c r="O2404">
        <f>IF(B2404,ROUND(MAX(0,J2404*K2404*L2404*M2404*N2404),2),"")</f>
        <v/>
      </c>
    </row>
    <row r="2405">
      <c r="A2405" t="n">
        <v>2404</v>
      </c>
      <c r="B2405">
        <f>A2405&lt;=MineCount*Days</f>
        <v/>
      </c>
      <c r="C2405">
        <f>IF(B2405,INT((A2405-1)/Days)+1,"")</f>
        <v/>
      </c>
      <c r="D2405">
        <f>IF(B2405,MOD(A2405-1,Days),"")</f>
        <v/>
      </c>
      <c r="E2405" s="16">
        <f>IF(B2405,StartDate+D2405,"")</f>
        <v/>
      </c>
      <c r="F2405">
        <f>IF(B2405,MAX(MOD(SIN(Seed*0.1373+C2405*12.9898+D2405*78.233)*43758.5453,1),1E-9),"")</f>
        <v/>
      </c>
      <c r="G2405">
        <f>IF(B2405,MOD(SIN(Seed*0.5917+C2405*39.3468+D2405*11.135)*24634.6345,1),"")</f>
        <v/>
      </c>
      <c r="H2405">
        <f>IF(B2405,SQRT(-2*LN(F2405))*COS(2*PI()*G2405),"")</f>
        <v/>
      </c>
      <c r="I2405">
        <f>IF(B2405,IF(D2405=0,H2405,Rho*I2404+SQRT(1-Rho^2)*H2405),"")</f>
        <v/>
      </c>
      <c r="J2405">
        <f>IF(B2405,IF(Dist="Normal",DistA+DistB*I2405,DistA+(DistB-DistA)*NORMSDIST(I2405)),"")</f>
        <v/>
      </c>
      <c r="K2405">
        <f>IF(B2405,INDEX(MineScale,C2405),"")</f>
        <v/>
      </c>
      <c r="L2405">
        <f>IF(B2405,INDEX(Dow,1,WEEKDAY(E2405,2)),"")</f>
        <v/>
      </c>
      <c r="M2405">
        <f>IF(B2405,(1+Trend)^D2405,"")</f>
        <v/>
      </c>
      <c r="N2405">
        <f>IF(B2405,EXP(SUMPRODUCT(LN(1+(EvEff-1)*INDEX(Affected,0,C2405)*EXP(-((E2405-EvCenter)^2)/(2*EvSigma^2))))),"")</f>
        <v/>
      </c>
      <c r="O2405">
        <f>IF(B2405,ROUND(MAX(0,J2405*K2405*L2405*M2405*N2405),2),"")</f>
        <v/>
      </c>
    </row>
    <row r="2406">
      <c r="A2406" t="n">
        <v>2405</v>
      </c>
      <c r="B2406">
        <f>A2406&lt;=MineCount*Days</f>
        <v/>
      </c>
      <c r="C2406">
        <f>IF(B2406,INT((A2406-1)/Days)+1,"")</f>
        <v/>
      </c>
      <c r="D2406">
        <f>IF(B2406,MOD(A2406-1,Days),"")</f>
        <v/>
      </c>
      <c r="E2406" s="16">
        <f>IF(B2406,StartDate+D2406,"")</f>
        <v/>
      </c>
      <c r="F2406">
        <f>IF(B2406,MAX(MOD(SIN(Seed*0.1373+C2406*12.9898+D2406*78.233)*43758.5453,1),1E-9),"")</f>
        <v/>
      </c>
      <c r="G2406">
        <f>IF(B2406,MOD(SIN(Seed*0.5917+C2406*39.3468+D2406*11.135)*24634.6345,1),"")</f>
        <v/>
      </c>
      <c r="H2406">
        <f>IF(B2406,SQRT(-2*LN(F2406))*COS(2*PI()*G2406),"")</f>
        <v/>
      </c>
      <c r="I2406">
        <f>IF(B2406,IF(D2406=0,H2406,Rho*I2405+SQRT(1-Rho^2)*H2406),"")</f>
        <v/>
      </c>
      <c r="J2406">
        <f>IF(B2406,IF(Dist="Normal",DistA+DistB*I2406,DistA+(DistB-DistA)*NORMSDIST(I2406)),"")</f>
        <v/>
      </c>
      <c r="K2406">
        <f>IF(B2406,INDEX(MineScale,C2406),"")</f>
        <v/>
      </c>
      <c r="L2406">
        <f>IF(B2406,INDEX(Dow,1,WEEKDAY(E2406,2)),"")</f>
        <v/>
      </c>
      <c r="M2406">
        <f>IF(B2406,(1+Trend)^D2406,"")</f>
        <v/>
      </c>
      <c r="N2406">
        <f>IF(B2406,EXP(SUMPRODUCT(LN(1+(EvEff-1)*INDEX(Affected,0,C2406)*EXP(-((E2406-EvCenter)^2)/(2*EvSigma^2))))),"")</f>
        <v/>
      </c>
      <c r="O2406">
        <f>IF(B2406,ROUND(MAX(0,J2406*K2406*L2406*M2406*N2406),2),"")</f>
        <v/>
      </c>
    </row>
    <row r="2407">
      <c r="A2407" t="n">
        <v>2406</v>
      </c>
      <c r="B2407">
        <f>A2407&lt;=MineCount*Days</f>
        <v/>
      </c>
      <c r="C2407">
        <f>IF(B2407,INT((A2407-1)/Days)+1,"")</f>
        <v/>
      </c>
      <c r="D2407">
        <f>IF(B2407,MOD(A2407-1,Days),"")</f>
        <v/>
      </c>
      <c r="E2407" s="16">
        <f>IF(B2407,StartDate+D2407,"")</f>
        <v/>
      </c>
      <c r="F2407">
        <f>IF(B2407,MAX(MOD(SIN(Seed*0.1373+C2407*12.9898+D2407*78.233)*43758.5453,1),1E-9),"")</f>
        <v/>
      </c>
      <c r="G2407">
        <f>IF(B2407,MOD(SIN(Seed*0.5917+C2407*39.3468+D2407*11.135)*24634.6345,1),"")</f>
        <v/>
      </c>
      <c r="H2407">
        <f>IF(B2407,SQRT(-2*LN(F2407))*COS(2*PI()*G2407),"")</f>
        <v/>
      </c>
      <c r="I2407">
        <f>IF(B2407,IF(D2407=0,H2407,Rho*I2406+SQRT(1-Rho^2)*H2407),"")</f>
        <v/>
      </c>
      <c r="J2407">
        <f>IF(B2407,IF(Dist="Normal",DistA+DistB*I2407,DistA+(DistB-DistA)*NORMSDIST(I2407)),"")</f>
        <v/>
      </c>
      <c r="K2407">
        <f>IF(B2407,INDEX(MineScale,C2407),"")</f>
        <v/>
      </c>
      <c r="L2407">
        <f>IF(B2407,INDEX(Dow,1,WEEKDAY(E2407,2)),"")</f>
        <v/>
      </c>
      <c r="M2407">
        <f>IF(B2407,(1+Trend)^D2407,"")</f>
        <v/>
      </c>
      <c r="N2407">
        <f>IF(B2407,EXP(SUMPRODUCT(LN(1+(EvEff-1)*INDEX(Affected,0,C2407)*EXP(-((E2407-EvCenter)^2)/(2*EvSigma^2))))),"")</f>
        <v/>
      </c>
      <c r="O2407">
        <f>IF(B2407,ROUND(MAX(0,J2407*K2407*L2407*M2407*N2407),2),"")</f>
        <v/>
      </c>
    </row>
    <row r="2408">
      <c r="A2408" t="n">
        <v>2407</v>
      </c>
      <c r="B2408">
        <f>A2408&lt;=MineCount*Days</f>
        <v/>
      </c>
      <c r="C2408">
        <f>IF(B2408,INT((A2408-1)/Days)+1,"")</f>
        <v/>
      </c>
      <c r="D2408">
        <f>IF(B2408,MOD(A2408-1,Days),"")</f>
        <v/>
      </c>
      <c r="E2408" s="16">
        <f>IF(B2408,StartDate+D2408,"")</f>
        <v/>
      </c>
      <c r="F2408">
        <f>IF(B2408,MAX(MOD(SIN(Seed*0.1373+C2408*12.9898+D2408*78.233)*43758.5453,1),1E-9),"")</f>
        <v/>
      </c>
      <c r="G2408">
        <f>IF(B2408,MOD(SIN(Seed*0.5917+C2408*39.3468+D2408*11.135)*24634.6345,1),"")</f>
        <v/>
      </c>
      <c r="H2408">
        <f>IF(B2408,SQRT(-2*LN(F2408))*COS(2*PI()*G2408),"")</f>
        <v/>
      </c>
      <c r="I2408">
        <f>IF(B2408,IF(D2408=0,H2408,Rho*I2407+SQRT(1-Rho^2)*H2408),"")</f>
        <v/>
      </c>
      <c r="J2408">
        <f>IF(B2408,IF(Dist="Normal",DistA+DistB*I2408,DistA+(DistB-DistA)*NORMSDIST(I2408)),"")</f>
        <v/>
      </c>
      <c r="K2408">
        <f>IF(B2408,INDEX(MineScale,C2408),"")</f>
        <v/>
      </c>
      <c r="L2408">
        <f>IF(B2408,INDEX(Dow,1,WEEKDAY(E2408,2)),"")</f>
        <v/>
      </c>
      <c r="M2408">
        <f>IF(B2408,(1+Trend)^D2408,"")</f>
        <v/>
      </c>
      <c r="N2408">
        <f>IF(B2408,EXP(SUMPRODUCT(LN(1+(EvEff-1)*INDEX(Affected,0,C2408)*EXP(-((E2408-EvCenter)^2)/(2*EvSigma^2))))),"")</f>
        <v/>
      </c>
      <c r="O2408">
        <f>IF(B2408,ROUND(MAX(0,J2408*K2408*L2408*M2408*N2408),2),"")</f>
        <v/>
      </c>
    </row>
    <row r="2409">
      <c r="A2409" t="n">
        <v>2408</v>
      </c>
      <c r="B2409">
        <f>A2409&lt;=MineCount*Days</f>
        <v/>
      </c>
      <c r="C2409">
        <f>IF(B2409,INT((A2409-1)/Days)+1,"")</f>
        <v/>
      </c>
      <c r="D2409">
        <f>IF(B2409,MOD(A2409-1,Days),"")</f>
        <v/>
      </c>
      <c r="E2409" s="16">
        <f>IF(B2409,StartDate+D2409,"")</f>
        <v/>
      </c>
      <c r="F2409">
        <f>IF(B2409,MAX(MOD(SIN(Seed*0.1373+C2409*12.9898+D2409*78.233)*43758.5453,1),1E-9),"")</f>
        <v/>
      </c>
      <c r="G2409">
        <f>IF(B2409,MOD(SIN(Seed*0.5917+C2409*39.3468+D2409*11.135)*24634.6345,1),"")</f>
        <v/>
      </c>
      <c r="H2409">
        <f>IF(B2409,SQRT(-2*LN(F2409))*COS(2*PI()*G2409),"")</f>
        <v/>
      </c>
      <c r="I2409">
        <f>IF(B2409,IF(D2409=0,H2409,Rho*I2408+SQRT(1-Rho^2)*H2409),"")</f>
        <v/>
      </c>
      <c r="J2409">
        <f>IF(B2409,IF(Dist="Normal",DistA+DistB*I2409,DistA+(DistB-DistA)*NORMSDIST(I2409)),"")</f>
        <v/>
      </c>
      <c r="K2409">
        <f>IF(B2409,INDEX(MineScale,C2409),"")</f>
        <v/>
      </c>
      <c r="L2409">
        <f>IF(B2409,INDEX(Dow,1,WEEKDAY(E2409,2)),"")</f>
        <v/>
      </c>
      <c r="M2409">
        <f>IF(B2409,(1+Trend)^D2409,"")</f>
        <v/>
      </c>
      <c r="N2409">
        <f>IF(B2409,EXP(SUMPRODUCT(LN(1+(EvEff-1)*INDEX(Affected,0,C2409)*EXP(-((E2409-EvCenter)^2)/(2*EvSigma^2))))),"")</f>
        <v/>
      </c>
      <c r="O2409">
        <f>IF(B2409,ROUND(MAX(0,J2409*K2409*L2409*M2409*N2409),2),"")</f>
        <v/>
      </c>
    </row>
    <row r="2410">
      <c r="A2410" t="n">
        <v>2409</v>
      </c>
      <c r="B2410">
        <f>A2410&lt;=MineCount*Days</f>
        <v/>
      </c>
      <c r="C2410">
        <f>IF(B2410,INT((A2410-1)/Days)+1,"")</f>
        <v/>
      </c>
      <c r="D2410">
        <f>IF(B2410,MOD(A2410-1,Days),"")</f>
        <v/>
      </c>
      <c r="E2410" s="16">
        <f>IF(B2410,StartDate+D2410,"")</f>
        <v/>
      </c>
      <c r="F2410">
        <f>IF(B2410,MAX(MOD(SIN(Seed*0.1373+C2410*12.9898+D2410*78.233)*43758.5453,1),1E-9),"")</f>
        <v/>
      </c>
      <c r="G2410">
        <f>IF(B2410,MOD(SIN(Seed*0.5917+C2410*39.3468+D2410*11.135)*24634.6345,1),"")</f>
        <v/>
      </c>
      <c r="H2410">
        <f>IF(B2410,SQRT(-2*LN(F2410))*COS(2*PI()*G2410),"")</f>
        <v/>
      </c>
      <c r="I2410">
        <f>IF(B2410,IF(D2410=0,H2410,Rho*I2409+SQRT(1-Rho^2)*H2410),"")</f>
        <v/>
      </c>
      <c r="J2410">
        <f>IF(B2410,IF(Dist="Normal",DistA+DistB*I2410,DistA+(DistB-DistA)*NORMSDIST(I2410)),"")</f>
        <v/>
      </c>
      <c r="K2410">
        <f>IF(B2410,INDEX(MineScale,C2410),"")</f>
        <v/>
      </c>
      <c r="L2410">
        <f>IF(B2410,INDEX(Dow,1,WEEKDAY(E2410,2)),"")</f>
        <v/>
      </c>
      <c r="M2410">
        <f>IF(B2410,(1+Trend)^D2410,"")</f>
        <v/>
      </c>
      <c r="N2410">
        <f>IF(B2410,EXP(SUMPRODUCT(LN(1+(EvEff-1)*INDEX(Affected,0,C2410)*EXP(-((E2410-EvCenter)^2)/(2*EvSigma^2))))),"")</f>
        <v/>
      </c>
      <c r="O2410">
        <f>IF(B2410,ROUND(MAX(0,J2410*K2410*L2410*M2410*N2410),2),"")</f>
        <v/>
      </c>
    </row>
    <row r="2411">
      <c r="A2411" t="n">
        <v>2410</v>
      </c>
      <c r="B2411">
        <f>A2411&lt;=MineCount*Days</f>
        <v/>
      </c>
      <c r="C2411">
        <f>IF(B2411,INT((A2411-1)/Days)+1,"")</f>
        <v/>
      </c>
      <c r="D2411">
        <f>IF(B2411,MOD(A2411-1,Days),"")</f>
        <v/>
      </c>
      <c r="E2411" s="16">
        <f>IF(B2411,StartDate+D2411,"")</f>
        <v/>
      </c>
      <c r="F2411">
        <f>IF(B2411,MAX(MOD(SIN(Seed*0.1373+C2411*12.9898+D2411*78.233)*43758.5453,1),1E-9),"")</f>
        <v/>
      </c>
      <c r="G2411">
        <f>IF(B2411,MOD(SIN(Seed*0.5917+C2411*39.3468+D2411*11.135)*24634.6345,1),"")</f>
        <v/>
      </c>
      <c r="H2411">
        <f>IF(B2411,SQRT(-2*LN(F2411))*COS(2*PI()*G2411),"")</f>
        <v/>
      </c>
      <c r="I2411">
        <f>IF(B2411,IF(D2411=0,H2411,Rho*I2410+SQRT(1-Rho^2)*H2411),"")</f>
        <v/>
      </c>
      <c r="J2411">
        <f>IF(B2411,IF(Dist="Normal",DistA+DistB*I2411,DistA+(DistB-DistA)*NORMSDIST(I2411)),"")</f>
        <v/>
      </c>
      <c r="K2411">
        <f>IF(B2411,INDEX(MineScale,C2411),"")</f>
        <v/>
      </c>
      <c r="L2411">
        <f>IF(B2411,INDEX(Dow,1,WEEKDAY(E2411,2)),"")</f>
        <v/>
      </c>
      <c r="M2411">
        <f>IF(B2411,(1+Trend)^D2411,"")</f>
        <v/>
      </c>
      <c r="N2411">
        <f>IF(B2411,EXP(SUMPRODUCT(LN(1+(EvEff-1)*INDEX(Affected,0,C2411)*EXP(-((E2411-EvCenter)^2)/(2*EvSigma^2))))),"")</f>
        <v/>
      </c>
      <c r="O2411">
        <f>IF(B2411,ROUND(MAX(0,J2411*K2411*L2411*M2411*N2411),2),"")</f>
        <v/>
      </c>
    </row>
    <row r="2412">
      <c r="A2412" t="n">
        <v>2411</v>
      </c>
      <c r="B2412">
        <f>A2412&lt;=MineCount*Days</f>
        <v/>
      </c>
      <c r="C2412">
        <f>IF(B2412,INT((A2412-1)/Days)+1,"")</f>
        <v/>
      </c>
      <c r="D2412">
        <f>IF(B2412,MOD(A2412-1,Days),"")</f>
        <v/>
      </c>
      <c r="E2412" s="16">
        <f>IF(B2412,StartDate+D2412,"")</f>
        <v/>
      </c>
      <c r="F2412">
        <f>IF(B2412,MAX(MOD(SIN(Seed*0.1373+C2412*12.9898+D2412*78.233)*43758.5453,1),1E-9),"")</f>
        <v/>
      </c>
      <c r="G2412">
        <f>IF(B2412,MOD(SIN(Seed*0.5917+C2412*39.3468+D2412*11.135)*24634.6345,1),"")</f>
        <v/>
      </c>
      <c r="H2412">
        <f>IF(B2412,SQRT(-2*LN(F2412))*COS(2*PI()*G2412),"")</f>
        <v/>
      </c>
      <c r="I2412">
        <f>IF(B2412,IF(D2412=0,H2412,Rho*I2411+SQRT(1-Rho^2)*H2412),"")</f>
        <v/>
      </c>
      <c r="J2412">
        <f>IF(B2412,IF(Dist="Normal",DistA+DistB*I2412,DistA+(DistB-DistA)*NORMSDIST(I2412)),"")</f>
        <v/>
      </c>
      <c r="K2412">
        <f>IF(B2412,INDEX(MineScale,C2412),"")</f>
        <v/>
      </c>
      <c r="L2412">
        <f>IF(B2412,INDEX(Dow,1,WEEKDAY(E2412,2)),"")</f>
        <v/>
      </c>
      <c r="M2412">
        <f>IF(B2412,(1+Trend)^D2412,"")</f>
        <v/>
      </c>
      <c r="N2412">
        <f>IF(B2412,EXP(SUMPRODUCT(LN(1+(EvEff-1)*INDEX(Affected,0,C2412)*EXP(-((E2412-EvCenter)^2)/(2*EvSigma^2))))),"")</f>
        <v/>
      </c>
      <c r="O2412">
        <f>IF(B2412,ROUND(MAX(0,J2412*K2412*L2412*M2412*N2412),2),"")</f>
        <v/>
      </c>
    </row>
    <row r="2413">
      <c r="A2413" t="n">
        <v>2412</v>
      </c>
      <c r="B2413">
        <f>A2413&lt;=MineCount*Days</f>
        <v/>
      </c>
      <c r="C2413">
        <f>IF(B2413,INT((A2413-1)/Days)+1,"")</f>
        <v/>
      </c>
      <c r="D2413">
        <f>IF(B2413,MOD(A2413-1,Days),"")</f>
        <v/>
      </c>
      <c r="E2413" s="16">
        <f>IF(B2413,StartDate+D2413,"")</f>
        <v/>
      </c>
      <c r="F2413">
        <f>IF(B2413,MAX(MOD(SIN(Seed*0.1373+C2413*12.9898+D2413*78.233)*43758.5453,1),1E-9),"")</f>
        <v/>
      </c>
      <c r="G2413">
        <f>IF(B2413,MOD(SIN(Seed*0.5917+C2413*39.3468+D2413*11.135)*24634.6345,1),"")</f>
        <v/>
      </c>
      <c r="H2413">
        <f>IF(B2413,SQRT(-2*LN(F2413))*COS(2*PI()*G2413),"")</f>
        <v/>
      </c>
      <c r="I2413">
        <f>IF(B2413,IF(D2413=0,H2413,Rho*I2412+SQRT(1-Rho^2)*H2413),"")</f>
        <v/>
      </c>
      <c r="J2413">
        <f>IF(B2413,IF(Dist="Normal",DistA+DistB*I2413,DistA+(DistB-DistA)*NORMSDIST(I2413)),"")</f>
        <v/>
      </c>
      <c r="K2413">
        <f>IF(B2413,INDEX(MineScale,C2413),"")</f>
        <v/>
      </c>
      <c r="L2413">
        <f>IF(B2413,INDEX(Dow,1,WEEKDAY(E2413,2)),"")</f>
        <v/>
      </c>
      <c r="M2413">
        <f>IF(B2413,(1+Trend)^D2413,"")</f>
        <v/>
      </c>
      <c r="N2413">
        <f>IF(B2413,EXP(SUMPRODUCT(LN(1+(EvEff-1)*INDEX(Affected,0,C2413)*EXP(-((E2413-EvCenter)^2)/(2*EvSigma^2))))),"")</f>
        <v/>
      </c>
      <c r="O2413">
        <f>IF(B2413,ROUND(MAX(0,J2413*K2413*L2413*M2413*N2413),2),"")</f>
        <v/>
      </c>
    </row>
    <row r="2414">
      <c r="A2414" t="n">
        <v>2413</v>
      </c>
      <c r="B2414">
        <f>A2414&lt;=MineCount*Days</f>
        <v/>
      </c>
      <c r="C2414">
        <f>IF(B2414,INT((A2414-1)/Days)+1,"")</f>
        <v/>
      </c>
      <c r="D2414">
        <f>IF(B2414,MOD(A2414-1,Days),"")</f>
        <v/>
      </c>
      <c r="E2414" s="16">
        <f>IF(B2414,StartDate+D2414,"")</f>
        <v/>
      </c>
      <c r="F2414">
        <f>IF(B2414,MAX(MOD(SIN(Seed*0.1373+C2414*12.9898+D2414*78.233)*43758.5453,1),1E-9),"")</f>
        <v/>
      </c>
      <c r="G2414">
        <f>IF(B2414,MOD(SIN(Seed*0.5917+C2414*39.3468+D2414*11.135)*24634.6345,1),"")</f>
        <v/>
      </c>
      <c r="H2414">
        <f>IF(B2414,SQRT(-2*LN(F2414))*COS(2*PI()*G2414),"")</f>
        <v/>
      </c>
      <c r="I2414">
        <f>IF(B2414,IF(D2414=0,H2414,Rho*I2413+SQRT(1-Rho^2)*H2414),"")</f>
        <v/>
      </c>
      <c r="J2414">
        <f>IF(B2414,IF(Dist="Normal",DistA+DistB*I2414,DistA+(DistB-DistA)*NORMSDIST(I2414)),"")</f>
        <v/>
      </c>
      <c r="K2414">
        <f>IF(B2414,INDEX(MineScale,C2414),"")</f>
        <v/>
      </c>
      <c r="L2414">
        <f>IF(B2414,INDEX(Dow,1,WEEKDAY(E2414,2)),"")</f>
        <v/>
      </c>
      <c r="M2414">
        <f>IF(B2414,(1+Trend)^D2414,"")</f>
        <v/>
      </c>
      <c r="N2414">
        <f>IF(B2414,EXP(SUMPRODUCT(LN(1+(EvEff-1)*INDEX(Affected,0,C2414)*EXP(-((E2414-EvCenter)^2)/(2*EvSigma^2))))),"")</f>
        <v/>
      </c>
      <c r="O2414">
        <f>IF(B2414,ROUND(MAX(0,J2414*K2414*L2414*M2414*N2414),2),"")</f>
        <v/>
      </c>
    </row>
    <row r="2415">
      <c r="A2415" t="n">
        <v>2414</v>
      </c>
      <c r="B2415">
        <f>A2415&lt;=MineCount*Days</f>
        <v/>
      </c>
      <c r="C2415">
        <f>IF(B2415,INT((A2415-1)/Days)+1,"")</f>
        <v/>
      </c>
      <c r="D2415">
        <f>IF(B2415,MOD(A2415-1,Days),"")</f>
        <v/>
      </c>
      <c r="E2415" s="16">
        <f>IF(B2415,StartDate+D2415,"")</f>
        <v/>
      </c>
      <c r="F2415">
        <f>IF(B2415,MAX(MOD(SIN(Seed*0.1373+C2415*12.9898+D2415*78.233)*43758.5453,1),1E-9),"")</f>
        <v/>
      </c>
      <c r="G2415">
        <f>IF(B2415,MOD(SIN(Seed*0.5917+C2415*39.3468+D2415*11.135)*24634.6345,1),"")</f>
        <v/>
      </c>
      <c r="H2415">
        <f>IF(B2415,SQRT(-2*LN(F2415))*COS(2*PI()*G2415),"")</f>
        <v/>
      </c>
      <c r="I2415">
        <f>IF(B2415,IF(D2415=0,H2415,Rho*I2414+SQRT(1-Rho^2)*H2415),"")</f>
        <v/>
      </c>
      <c r="J2415">
        <f>IF(B2415,IF(Dist="Normal",DistA+DistB*I2415,DistA+(DistB-DistA)*NORMSDIST(I2415)),"")</f>
        <v/>
      </c>
      <c r="K2415">
        <f>IF(B2415,INDEX(MineScale,C2415),"")</f>
        <v/>
      </c>
      <c r="L2415">
        <f>IF(B2415,INDEX(Dow,1,WEEKDAY(E2415,2)),"")</f>
        <v/>
      </c>
      <c r="M2415">
        <f>IF(B2415,(1+Trend)^D2415,"")</f>
        <v/>
      </c>
      <c r="N2415">
        <f>IF(B2415,EXP(SUMPRODUCT(LN(1+(EvEff-1)*INDEX(Affected,0,C2415)*EXP(-((E2415-EvCenter)^2)/(2*EvSigma^2))))),"")</f>
        <v/>
      </c>
      <c r="O2415">
        <f>IF(B2415,ROUND(MAX(0,J2415*K2415*L2415*M2415*N2415),2),"")</f>
        <v/>
      </c>
    </row>
    <row r="2416">
      <c r="A2416" t="n">
        <v>2415</v>
      </c>
      <c r="B2416">
        <f>A2416&lt;=MineCount*Days</f>
        <v/>
      </c>
      <c r="C2416">
        <f>IF(B2416,INT((A2416-1)/Days)+1,"")</f>
        <v/>
      </c>
      <c r="D2416">
        <f>IF(B2416,MOD(A2416-1,Days),"")</f>
        <v/>
      </c>
      <c r="E2416" s="16">
        <f>IF(B2416,StartDate+D2416,"")</f>
        <v/>
      </c>
      <c r="F2416">
        <f>IF(B2416,MAX(MOD(SIN(Seed*0.1373+C2416*12.9898+D2416*78.233)*43758.5453,1),1E-9),"")</f>
        <v/>
      </c>
      <c r="G2416">
        <f>IF(B2416,MOD(SIN(Seed*0.5917+C2416*39.3468+D2416*11.135)*24634.6345,1),"")</f>
        <v/>
      </c>
      <c r="H2416">
        <f>IF(B2416,SQRT(-2*LN(F2416))*COS(2*PI()*G2416),"")</f>
        <v/>
      </c>
      <c r="I2416">
        <f>IF(B2416,IF(D2416=0,H2416,Rho*I2415+SQRT(1-Rho^2)*H2416),"")</f>
        <v/>
      </c>
      <c r="J2416">
        <f>IF(B2416,IF(Dist="Normal",DistA+DistB*I2416,DistA+(DistB-DistA)*NORMSDIST(I2416)),"")</f>
        <v/>
      </c>
      <c r="K2416">
        <f>IF(B2416,INDEX(MineScale,C2416),"")</f>
        <v/>
      </c>
      <c r="L2416">
        <f>IF(B2416,INDEX(Dow,1,WEEKDAY(E2416,2)),"")</f>
        <v/>
      </c>
      <c r="M2416">
        <f>IF(B2416,(1+Trend)^D2416,"")</f>
        <v/>
      </c>
      <c r="N2416">
        <f>IF(B2416,EXP(SUMPRODUCT(LN(1+(EvEff-1)*INDEX(Affected,0,C2416)*EXP(-((E2416-EvCenter)^2)/(2*EvSigma^2))))),"")</f>
        <v/>
      </c>
      <c r="O2416">
        <f>IF(B2416,ROUND(MAX(0,J2416*K2416*L2416*M2416*N2416),2),"")</f>
        <v/>
      </c>
    </row>
    <row r="2417">
      <c r="A2417" t="n">
        <v>2416</v>
      </c>
      <c r="B2417">
        <f>A2417&lt;=MineCount*Days</f>
        <v/>
      </c>
      <c r="C2417">
        <f>IF(B2417,INT((A2417-1)/Days)+1,"")</f>
        <v/>
      </c>
      <c r="D2417">
        <f>IF(B2417,MOD(A2417-1,Days),"")</f>
        <v/>
      </c>
      <c r="E2417" s="16">
        <f>IF(B2417,StartDate+D2417,"")</f>
        <v/>
      </c>
      <c r="F2417">
        <f>IF(B2417,MAX(MOD(SIN(Seed*0.1373+C2417*12.9898+D2417*78.233)*43758.5453,1),1E-9),"")</f>
        <v/>
      </c>
      <c r="G2417">
        <f>IF(B2417,MOD(SIN(Seed*0.5917+C2417*39.3468+D2417*11.135)*24634.6345,1),"")</f>
        <v/>
      </c>
      <c r="H2417">
        <f>IF(B2417,SQRT(-2*LN(F2417))*COS(2*PI()*G2417),"")</f>
        <v/>
      </c>
      <c r="I2417">
        <f>IF(B2417,IF(D2417=0,H2417,Rho*I2416+SQRT(1-Rho^2)*H2417),"")</f>
        <v/>
      </c>
      <c r="J2417">
        <f>IF(B2417,IF(Dist="Normal",DistA+DistB*I2417,DistA+(DistB-DistA)*NORMSDIST(I2417)),"")</f>
        <v/>
      </c>
      <c r="K2417">
        <f>IF(B2417,INDEX(MineScale,C2417),"")</f>
        <v/>
      </c>
      <c r="L2417">
        <f>IF(B2417,INDEX(Dow,1,WEEKDAY(E2417,2)),"")</f>
        <v/>
      </c>
      <c r="M2417">
        <f>IF(B2417,(1+Trend)^D2417,"")</f>
        <v/>
      </c>
      <c r="N2417">
        <f>IF(B2417,EXP(SUMPRODUCT(LN(1+(EvEff-1)*INDEX(Affected,0,C2417)*EXP(-((E2417-EvCenter)^2)/(2*EvSigma^2))))),"")</f>
        <v/>
      </c>
      <c r="O2417">
        <f>IF(B2417,ROUND(MAX(0,J2417*K2417*L2417*M2417*N2417),2),"")</f>
        <v/>
      </c>
    </row>
    <row r="2418">
      <c r="A2418" t="n">
        <v>2417</v>
      </c>
      <c r="B2418">
        <f>A2418&lt;=MineCount*Days</f>
        <v/>
      </c>
      <c r="C2418">
        <f>IF(B2418,INT((A2418-1)/Days)+1,"")</f>
        <v/>
      </c>
      <c r="D2418">
        <f>IF(B2418,MOD(A2418-1,Days),"")</f>
        <v/>
      </c>
      <c r="E2418" s="16">
        <f>IF(B2418,StartDate+D2418,"")</f>
        <v/>
      </c>
      <c r="F2418">
        <f>IF(B2418,MAX(MOD(SIN(Seed*0.1373+C2418*12.9898+D2418*78.233)*43758.5453,1),1E-9),"")</f>
        <v/>
      </c>
      <c r="G2418">
        <f>IF(B2418,MOD(SIN(Seed*0.5917+C2418*39.3468+D2418*11.135)*24634.6345,1),"")</f>
        <v/>
      </c>
      <c r="H2418">
        <f>IF(B2418,SQRT(-2*LN(F2418))*COS(2*PI()*G2418),"")</f>
        <v/>
      </c>
      <c r="I2418">
        <f>IF(B2418,IF(D2418=0,H2418,Rho*I2417+SQRT(1-Rho^2)*H2418),"")</f>
        <v/>
      </c>
      <c r="J2418">
        <f>IF(B2418,IF(Dist="Normal",DistA+DistB*I2418,DistA+(DistB-DistA)*NORMSDIST(I2418)),"")</f>
        <v/>
      </c>
      <c r="K2418">
        <f>IF(B2418,INDEX(MineScale,C2418),"")</f>
        <v/>
      </c>
      <c r="L2418">
        <f>IF(B2418,INDEX(Dow,1,WEEKDAY(E2418,2)),"")</f>
        <v/>
      </c>
      <c r="M2418">
        <f>IF(B2418,(1+Trend)^D2418,"")</f>
        <v/>
      </c>
      <c r="N2418">
        <f>IF(B2418,EXP(SUMPRODUCT(LN(1+(EvEff-1)*INDEX(Affected,0,C2418)*EXP(-((E2418-EvCenter)^2)/(2*EvSigma^2))))),"")</f>
        <v/>
      </c>
      <c r="O2418">
        <f>IF(B2418,ROUND(MAX(0,J2418*K2418*L2418*M2418*N2418),2),"")</f>
        <v/>
      </c>
    </row>
    <row r="2419">
      <c r="A2419" t="n">
        <v>2418</v>
      </c>
      <c r="B2419">
        <f>A2419&lt;=MineCount*Days</f>
        <v/>
      </c>
      <c r="C2419">
        <f>IF(B2419,INT((A2419-1)/Days)+1,"")</f>
        <v/>
      </c>
      <c r="D2419">
        <f>IF(B2419,MOD(A2419-1,Days),"")</f>
        <v/>
      </c>
      <c r="E2419" s="16">
        <f>IF(B2419,StartDate+D2419,"")</f>
        <v/>
      </c>
      <c r="F2419">
        <f>IF(B2419,MAX(MOD(SIN(Seed*0.1373+C2419*12.9898+D2419*78.233)*43758.5453,1),1E-9),"")</f>
        <v/>
      </c>
      <c r="G2419">
        <f>IF(B2419,MOD(SIN(Seed*0.5917+C2419*39.3468+D2419*11.135)*24634.6345,1),"")</f>
        <v/>
      </c>
      <c r="H2419">
        <f>IF(B2419,SQRT(-2*LN(F2419))*COS(2*PI()*G2419),"")</f>
        <v/>
      </c>
      <c r="I2419">
        <f>IF(B2419,IF(D2419=0,H2419,Rho*I2418+SQRT(1-Rho^2)*H2419),"")</f>
        <v/>
      </c>
      <c r="J2419">
        <f>IF(B2419,IF(Dist="Normal",DistA+DistB*I2419,DistA+(DistB-DistA)*NORMSDIST(I2419)),"")</f>
        <v/>
      </c>
      <c r="K2419">
        <f>IF(B2419,INDEX(MineScale,C2419),"")</f>
        <v/>
      </c>
      <c r="L2419">
        <f>IF(B2419,INDEX(Dow,1,WEEKDAY(E2419,2)),"")</f>
        <v/>
      </c>
      <c r="M2419">
        <f>IF(B2419,(1+Trend)^D2419,"")</f>
        <v/>
      </c>
      <c r="N2419">
        <f>IF(B2419,EXP(SUMPRODUCT(LN(1+(EvEff-1)*INDEX(Affected,0,C2419)*EXP(-((E2419-EvCenter)^2)/(2*EvSigma^2))))),"")</f>
        <v/>
      </c>
      <c r="O2419">
        <f>IF(B2419,ROUND(MAX(0,J2419*K2419*L2419*M2419*N2419),2),"")</f>
        <v/>
      </c>
    </row>
    <row r="2420">
      <c r="A2420" t="n">
        <v>2419</v>
      </c>
      <c r="B2420">
        <f>A2420&lt;=MineCount*Days</f>
        <v/>
      </c>
      <c r="C2420">
        <f>IF(B2420,INT((A2420-1)/Days)+1,"")</f>
        <v/>
      </c>
      <c r="D2420">
        <f>IF(B2420,MOD(A2420-1,Days),"")</f>
        <v/>
      </c>
      <c r="E2420" s="16">
        <f>IF(B2420,StartDate+D2420,"")</f>
        <v/>
      </c>
      <c r="F2420">
        <f>IF(B2420,MAX(MOD(SIN(Seed*0.1373+C2420*12.9898+D2420*78.233)*43758.5453,1),1E-9),"")</f>
        <v/>
      </c>
      <c r="G2420">
        <f>IF(B2420,MOD(SIN(Seed*0.5917+C2420*39.3468+D2420*11.135)*24634.6345,1),"")</f>
        <v/>
      </c>
      <c r="H2420">
        <f>IF(B2420,SQRT(-2*LN(F2420))*COS(2*PI()*G2420),"")</f>
        <v/>
      </c>
      <c r="I2420">
        <f>IF(B2420,IF(D2420=0,H2420,Rho*I2419+SQRT(1-Rho^2)*H2420),"")</f>
        <v/>
      </c>
      <c r="J2420">
        <f>IF(B2420,IF(Dist="Normal",DistA+DistB*I2420,DistA+(DistB-DistA)*NORMSDIST(I2420)),"")</f>
        <v/>
      </c>
      <c r="K2420">
        <f>IF(B2420,INDEX(MineScale,C2420),"")</f>
        <v/>
      </c>
      <c r="L2420">
        <f>IF(B2420,INDEX(Dow,1,WEEKDAY(E2420,2)),"")</f>
        <v/>
      </c>
      <c r="M2420">
        <f>IF(B2420,(1+Trend)^D2420,"")</f>
        <v/>
      </c>
      <c r="N2420">
        <f>IF(B2420,EXP(SUMPRODUCT(LN(1+(EvEff-1)*INDEX(Affected,0,C2420)*EXP(-((E2420-EvCenter)^2)/(2*EvSigma^2))))),"")</f>
        <v/>
      </c>
      <c r="O2420">
        <f>IF(B2420,ROUND(MAX(0,J2420*K2420*L2420*M2420*N2420),2),"")</f>
        <v/>
      </c>
    </row>
    <row r="2421">
      <c r="A2421" t="n">
        <v>2420</v>
      </c>
      <c r="B2421">
        <f>A2421&lt;=MineCount*Days</f>
        <v/>
      </c>
      <c r="C2421">
        <f>IF(B2421,INT((A2421-1)/Days)+1,"")</f>
        <v/>
      </c>
      <c r="D2421">
        <f>IF(B2421,MOD(A2421-1,Days),"")</f>
        <v/>
      </c>
      <c r="E2421" s="16">
        <f>IF(B2421,StartDate+D2421,"")</f>
        <v/>
      </c>
      <c r="F2421">
        <f>IF(B2421,MAX(MOD(SIN(Seed*0.1373+C2421*12.9898+D2421*78.233)*43758.5453,1),1E-9),"")</f>
        <v/>
      </c>
      <c r="G2421">
        <f>IF(B2421,MOD(SIN(Seed*0.5917+C2421*39.3468+D2421*11.135)*24634.6345,1),"")</f>
        <v/>
      </c>
      <c r="H2421">
        <f>IF(B2421,SQRT(-2*LN(F2421))*COS(2*PI()*G2421),"")</f>
        <v/>
      </c>
      <c r="I2421">
        <f>IF(B2421,IF(D2421=0,H2421,Rho*I2420+SQRT(1-Rho^2)*H2421),"")</f>
        <v/>
      </c>
      <c r="J2421">
        <f>IF(B2421,IF(Dist="Normal",DistA+DistB*I2421,DistA+(DistB-DistA)*NORMSDIST(I2421)),"")</f>
        <v/>
      </c>
      <c r="K2421">
        <f>IF(B2421,INDEX(MineScale,C2421),"")</f>
        <v/>
      </c>
      <c r="L2421">
        <f>IF(B2421,INDEX(Dow,1,WEEKDAY(E2421,2)),"")</f>
        <v/>
      </c>
      <c r="M2421">
        <f>IF(B2421,(1+Trend)^D2421,"")</f>
        <v/>
      </c>
      <c r="N2421">
        <f>IF(B2421,EXP(SUMPRODUCT(LN(1+(EvEff-1)*INDEX(Affected,0,C2421)*EXP(-((E2421-EvCenter)^2)/(2*EvSigma^2))))),"")</f>
        <v/>
      </c>
      <c r="O2421">
        <f>IF(B2421,ROUND(MAX(0,J2421*K2421*L2421*M2421*N2421),2),"")</f>
        <v/>
      </c>
    </row>
    <row r="2422">
      <c r="A2422" t="n">
        <v>2421</v>
      </c>
      <c r="B2422">
        <f>A2422&lt;=MineCount*Days</f>
        <v/>
      </c>
      <c r="C2422">
        <f>IF(B2422,INT((A2422-1)/Days)+1,"")</f>
        <v/>
      </c>
      <c r="D2422">
        <f>IF(B2422,MOD(A2422-1,Days),"")</f>
        <v/>
      </c>
      <c r="E2422" s="16">
        <f>IF(B2422,StartDate+D2422,"")</f>
        <v/>
      </c>
      <c r="F2422">
        <f>IF(B2422,MAX(MOD(SIN(Seed*0.1373+C2422*12.9898+D2422*78.233)*43758.5453,1),1E-9),"")</f>
        <v/>
      </c>
      <c r="G2422">
        <f>IF(B2422,MOD(SIN(Seed*0.5917+C2422*39.3468+D2422*11.135)*24634.6345,1),"")</f>
        <v/>
      </c>
      <c r="H2422">
        <f>IF(B2422,SQRT(-2*LN(F2422))*COS(2*PI()*G2422),"")</f>
        <v/>
      </c>
      <c r="I2422">
        <f>IF(B2422,IF(D2422=0,H2422,Rho*I2421+SQRT(1-Rho^2)*H2422),"")</f>
        <v/>
      </c>
      <c r="J2422">
        <f>IF(B2422,IF(Dist="Normal",DistA+DistB*I2422,DistA+(DistB-DistA)*NORMSDIST(I2422)),"")</f>
        <v/>
      </c>
      <c r="K2422">
        <f>IF(B2422,INDEX(MineScale,C2422),"")</f>
        <v/>
      </c>
      <c r="L2422">
        <f>IF(B2422,INDEX(Dow,1,WEEKDAY(E2422,2)),"")</f>
        <v/>
      </c>
      <c r="M2422">
        <f>IF(B2422,(1+Trend)^D2422,"")</f>
        <v/>
      </c>
      <c r="N2422">
        <f>IF(B2422,EXP(SUMPRODUCT(LN(1+(EvEff-1)*INDEX(Affected,0,C2422)*EXP(-((E2422-EvCenter)^2)/(2*EvSigma^2))))),"")</f>
        <v/>
      </c>
      <c r="O2422">
        <f>IF(B2422,ROUND(MAX(0,J2422*K2422*L2422*M2422*N2422),2),"")</f>
        <v/>
      </c>
    </row>
    <row r="2423">
      <c r="A2423" t="n">
        <v>2422</v>
      </c>
      <c r="B2423">
        <f>A2423&lt;=MineCount*Days</f>
        <v/>
      </c>
      <c r="C2423">
        <f>IF(B2423,INT((A2423-1)/Days)+1,"")</f>
        <v/>
      </c>
      <c r="D2423">
        <f>IF(B2423,MOD(A2423-1,Days),"")</f>
        <v/>
      </c>
      <c r="E2423" s="16">
        <f>IF(B2423,StartDate+D2423,"")</f>
        <v/>
      </c>
      <c r="F2423">
        <f>IF(B2423,MAX(MOD(SIN(Seed*0.1373+C2423*12.9898+D2423*78.233)*43758.5453,1),1E-9),"")</f>
        <v/>
      </c>
      <c r="G2423">
        <f>IF(B2423,MOD(SIN(Seed*0.5917+C2423*39.3468+D2423*11.135)*24634.6345,1),"")</f>
        <v/>
      </c>
      <c r="H2423">
        <f>IF(B2423,SQRT(-2*LN(F2423))*COS(2*PI()*G2423),"")</f>
        <v/>
      </c>
      <c r="I2423">
        <f>IF(B2423,IF(D2423=0,H2423,Rho*I2422+SQRT(1-Rho^2)*H2423),"")</f>
        <v/>
      </c>
      <c r="J2423">
        <f>IF(B2423,IF(Dist="Normal",DistA+DistB*I2423,DistA+(DistB-DistA)*NORMSDIST(I2423)),"")</f>
        <v/>
      </c>
      <c r="K2423">
        <f>IF(B2423,INDEX(MineScale,C2423),"")</f>
        <v/>
      </c>
      <c r="L2423">
        <f>IF(B2423,INDEX(Dow,1,WEEKDAY(E2423,2)),"")</f>
        <v/>
      </c>
      <c r="M2423">
        <f>IF(B2423,(1+Trend)^D2423,"")</f>
        <v/>
      </c>
      <c r="N2423">
        <f>IF(B2423,EXP(SUMPRODUCT(LN(1+(EvEff-1)*INDEX(Affected,0,C2423)*EXP(-((E2423-EvCenter)^2)/(2*EvSigma^2))))),"")</f>
        <v/>
      </c>
      <c r="O2423">
        <f>IF(B2423,ROUND(MAX(0,J2423*K2423*L2423*M2423*N2423),2),"")</f>
        <v/>
      </c>
    </row>
    <row r="2424">
      <c r="A2424" t="n">
        <v>2423</v>
      </c>
      <c r="B2424">
        <f>A2424&lt;=MineCount*Days</f>
        <v/>
      </c>
      <c r="C2424">
        <f>IF(B2424,INT((A2424-1)/Days)+1,"")</f>
        <v/>
      </c>
      <c r="D2424">
        <f>IF(B2424,MOD(A2424-1,Days),"")</f>
        <v/>
      </c>
      <c r="E2424" s="16">
        <f>IF(B2424,StartDate+D2424,"")</f>
        <v/>
      </c>
      <c r="F2424">
        <f>IF(B2424,MAX(MOD(SIN(Seed*0.1373+C2424*12.9898+D2424*78.233)*43758.5453,1),1E-9),"")</f>
        <v/>
      </c>
      <c r="G2424">
        <f>IF(B2424,MOD(SIN(Seed*0.5917+C2424*39.3468+D2424*11.135)*24634.6345,1),"")</f>
        <v/>
      </c>
      <c r="H2424">
        <f>IF(B2424,SQRT(-2*LN(F2424))*COS(2*PI()*G2424),"")</f>
        <v/>
      </c>
      <c r="I2424">
        <f>IF(B2424,IF(D2424=0,H2424,Rho*I2423+SQRT(1-Rho^2)*H2424),"")</f>
        <v/>
      </c>
      <c r="J2424">
        <f>IF(B2424,IF(Dist="Normal",DistA+DistB*I2424,DistA+(DistB-DistA)*NORMSDIST(I2424)),"")</f>
        <v/>
      </c>
      <c r="K2424">
        <f>IF(B2424,INDEX(MineScale,C2424),"")</f>
        <v/>
      </c>
      <c r="L2424">
        <f>IF(B2424,INDEX(Dow,1,WEEKDAY(E2424,2)),"")</f>
        <v/>
      </c>
      <c r="M2424">
        <f>IF(B2424,(1+Trend)^D2424,"")</f>
        <v/>
      </c>
      <c r="N2424">
        <f>IF(B2424,EXP(SUMPRODUCT(LN(1+(EvEff-1)*INDEX(Affected,0,C2424)*EXP(-((E2424-EvCenter)^2)/(2*EvSigma^2))))),"")</f>
        <v/>
      </c>
      <c r="O2424">
        <f>IF(B2424,ROUND(MAX(0,J2424*K2424*L2424*M2424*N2424),2),"")</f>
        <v/>
      </c>
    </row>
    <row r="2425">
      <c r="A2425" t="n">
        <v>2424</v>
      </c>
      <c r="B2425">
        <f>A2425&lt;=MineCount*Days</f>
        <v/>
      </c>
      <c r="C2425">
        <f>IF(B2425,INT((A2425-1)/Days)+1,"")</f>
        <v/>
      </c>
      <c r="D2425">
        <f>IF(B2425,MOD(A2425-1,Days),"")</f>
        <v/>
      </c>
      <c r="E2425" s="16">
        <f>IF(B2425,StartDate+D2425,"")</f>
        <v/>
      </c>
      <c r="F2425">
        <f>IF(B2425,MAX(MOD(SIN(Seed*0.1373+C2425*12.9898+D2425*78.233)*43758.5453,1),1E-9),"")</f>
        <v/>
      </c>
      <c r="G2425">
        <f>IF(B2425,MOD(SIN(Seed*0.5917+C2425*39.3468+D2425*11.135)*24634.6345,1),"")</f>
        <v/>
      </c>
      <c r="H2425">
        <f>IF(B2425,SQRT(-2*LN(F2425))*COS(2*PI()*G2425),"")</f>
        <v/>
      </c>
      <c r="I2425">
        <f>IF(B2425,IF(D2425=0,H2425,Rho*I2424+SQRT(1-Rho^2)*H2425),"")</f>
        <v/>
      </c>
      <c r="J2425">
        <f>IF(B2425,IF(Dist="Normal",DistA+DistB*I2425,DistA+(DistB-DistA)*NORMSDIST(I2425)),"")</f>
        <v/>
      </c>
      <c r="K2425">
        <f>IF(B2425,INDEX(MineScale,C2425),"")</f>
        <v/>
      </c>
      <c r="L2425">
        <f>IF(B2425,INDEX(Dow,1,WEEKDAY(E2425,2)),"")</f>
        <v/>
      </c>
      <c r="M2425">
        <f>IF(B2425,(1+Trend)^D2425,"")</f>
        <v/>
      </c>
      <c r="N2425">
        <f>IF(B2425,EXP(SUMPRODUCT(LN(1+(EvEff-1)*INDEX(Affected,0,C2425)*EXP(-((E2425-EvCenter)^2)/(2*EvSigma^2))))),"")</f>
        <v/>
      </c>
      <c r="O2425">
        <f>IF(B2425,ROUND(MAX(0,J2425*K2425*L2425*M2425*N2425),2),"")</f>
        <v/>
      </c>
    </row>
    <row r="2426">
      <c r="A2426" t="n">
        <v>2425</v>
      </c>
      <c r="B2426">
        <f>A2426&lt;=MineCount*Days</f>
        <v/>
      </c>
      <c r="C2426">
        <f>IF(B2426,INT((A2426-1)/Days)+1,"")</f>
        <v/>
      </c>
      <c r="D2426">
        <f>IF(B2426,MOD(A2426-1,Days),"")</f>
        <v/>
      </c>
      <c r="E2426" s="16">
        <f>IF(B2426,StartDate+D2426,"")</f>
        <v/>
      </c>
      <c r="F2426">
        <f>IF(B2426,MAX(MOD(SIN(Seed*0.1373+C2426*12.9898+D2426*78.233)*43758.5453,1),1E-9),"")</f>
        <v/>
      </c>
      <c r="G2426">
        <f>IF(B2426,MOD(SIN(Seed*0.5917+C2426*39.3468+D2426*11.135)*24634.6345,1),"")</f>
        <v/>
      </c>
      <c r="H2426">
        <f>IF(B2426,SQRT(-2*LN(F2426))*COS(2*PI()*G2426),"")</f>
        <v/>
      </c>
      <c r="I2426">
        <f>IF(B2426,IF(D2426=0,H2426,Rho*I2425+SQRT(1-Rho^2)*H2426),"")</f>
        <v/>
      </c>
      <c r="J2426">
        <f>IF(B2426,IF(Dist="Normal",DistA+DistB*I2426,DistA+(DistB-DistA)*NORMSDIST(I2426)),"")</f>
        <v/>
      </c>
      <c r="K2426">
        <f>IF(B2426,INDEX(MineScale,C2426),"")</f>
        <v/>
      </c>
      <c r="L2426">
        <f>IF(B2426,INDEX(Dow,1,WEEKDAY(E2426,2)),"")</f>
        <v/>
      </c>
      <c r="M2426">
        <f>IF(B2426,(1+Trend)^D2426,"")</f>
        <v/>
      </c>
      <c r="N2426">
        <f>IF(B2426,EXP(SUMPRODUCT(LN(1+(EvEff-1)*INDEX(Affected,0,C2426)*EXP(-((E2426-EvCenter)^2)/(2*EvSigma^2))))),"")</f>
        <v/>
      </c>
      <c r="O2426">
        <f>IF(B2426,ROUND(MAX(0,J2426*K2426*L2426*M2426*N2426),2),"")</f>
        <v/>
      </c>
    </row>
    <row r="2427">
      <c r="A2427" t="n">
        <v>2426</v>
      </c>
      <c r="B2427">
        <f>A2427&lt;=MineCount*Days</f>
        <v/>
      </c>
      <c r="C2427">
        <f>IF(B2427,INT((A2427-1)/Days)+1,"")</f>
        <v/>
      </c>
      <c r="D2427">
        <f>IF(B2427,MOD(A2427-1,Days),"")</f>
        <v/>
      </c>
      <c r="E2427" s="16">
        <f>IF(B2427,StartDate+D2427,"")</f>
        <v/>
      </c>
      <c r="F2427">
        <f>IF(B2427,MAX(MOD(SIN(Seed*0.1373+C2427*12.9898+D2427*78.233)*43758.5453,1),1E-9),"")</f>
        <v/>
      </c>
      <c r="G2427">
        <f>IF(B2427,MOD(SIN(Seed*0.5917+C2427*39.3468+D2427*11.135)*24634.6345,1),"")</f>
        <v/>
      </c>
      <c r="H2427">
        <f>IF(B2427,SQRT(-2*LN(F2427))*COS(2*PI()*G2427),"")</f>
        <v/>
      </c>
      <c r="I2427">
        <f>IF(B2427,IF(D2427=0,H2427,Rho*I2426+SQRT(1-Rho^2)*H2427),"")</f>
        <v/>
      </c>
      <c r="J2427">
        <f>IF(B2427,IF(Dist="Normal",DistA+DistB*I2427,DistA+(DistB-DistA)*NORMSDIST(I2427)),"")</f>
        <v/>
      </c>
      <c r="K2427">
        <f>IF(B2427,INDEX(MineScale,C2427),"")</f>
        <v/>
      </c>
      <c r="L2427">
        <f>IF(B2427,INDEX(Dow,1,WEEKDAY(E2427,2)),"")</f>
        <v/>
      </c>
      <c r="M2427">
        <f>IF(B2427,(1+Trend)^D2427,"")</f>
        <v/>
      </c>
      <c r="N2427">
        <f>IF(B2427,EXP(SUMPRODUCT(LN(1+(EvEff-1)*INDEX(Affected,0,C2427)*EXP(-((E2427-EvCenter)^2)/(2*EvSigma^2))))),"")</f>
        <v/>
      </c>
      <c r="O2427">
        <f>IF(B2427,ROUND(MAX(0,J2427*K2427*L2427*M2427*N2427),2),"")</f>
        <v/>
      </c>
    </row>
    <row r="2428">
      <c r="A2428" t="n">
        <v>2427</v>
      </c>
      <c r="B2428">
        <f>A2428&lt;=MineCount*Days</f>
        <v/>
      </c>
      <c r="C2428">
        <f>IF(B2428,INT((A2428-1)/Days)+1,"")</f>
        <v/>
      </c>
      <c r="D2428">
        <f>IF(B2428,MOD(A2428-1,Days),"")</f>
        <v/>
      </c>
      <c r="E2428" s="16">
        <f>IF(B2428,StartDate+D2428,"")</f>
        <v/>
      </c>
      <c r="F2428">
        <f>IF(B2428,MAX(MOD(SIN(Seed*0.1373+C2428*12.9898+D2428*78.233)*43758.5453,1),1E-9),"")</f>
        <v/>
      </c>
      <c r="G2428">
        <f>IF(B2428,MOD(SIN(Seed*0.5917+C2428*39.3468+D2428*11.135)*24634.6345,1),"")</f>
        <v/>
      </c>
      <c r="H2428">
        <f>IF(B2428,SQRT(-2*LN(F2428))*COS(2*PI()*G2428),"")</f>
        <v/>
      </c>
      <c r="I2428">
        <f>IF(B2428,IF(D2428=0,H2428,Rho*I2427+SQRT(1-Rho^2)*H2428),"")</f>
        <v/>
      </c>
      <c r="J2428">
        <f>IF(B2428,IF(Dist="Normal",DistA+DistB*I2428,DistA+(DistB-DistA)*NORMSDIST(I2428)),"")</f>
        <v/>
      </c>
      <c r="K2428">
        <f>IF(B2428,INDEX(MineScale,C2428),"")</f>
        <v/>
      </c>
      <c r="L2428">
        <f>IF(B2428,INDEX(Dow,1,WEEKDAY(E2428,2)),"")</f>
        <v/>
      </c>
      <c r="M2428">
        <f>IF(B2428,(1+Trend)^D2428,"")</f>
        <v/>
      </c>
      <c r="N2428">
        <f>IF(B2428,EXP(SUMPRODUCT(LN(1+(EvEff-1)*INDEX(Affected,0,C2428)*EXP(-((E2428-EvCenter)^2)/(2*EvSigma^2))))),"")</f>
        <v/>
      </c>
      <c r="O2428">
        <f>IF(B2428,ROUND(MAX(0,J2428*K2428*L2428*M2428*N2428),2),"")</f>
        <v/>
      </c>
    </row>
    <row r="2429">
      <c r="A2429" t="n">
        <v>2428</v>
      </c>
      <c r="B2429">
        <f>A2429&lt;=MineCount*Days</f>
        <v/>
      </c>
      <c r="C2429">
        <f>IF(B2429,INT((A2429-1)/Days)+1,"")</f>
        <v/>
      </c>
      <c r="D2429">
        <f>IF(B2429,MOD(A2429-1,Days),"")</f>
        <v/>
      </c>
      <c r="E2429" s="16">
        <f>IF(B2429,StartDate+D2429,"")</f>
        <v/>
      </c>
      <c r="F2429">
        <f>IF(B2429,MAX(MOD(SIN(Seed*0.1373+C2429*12.9898+D2429*78.233)*43758.5453,1),1E-9),"")</f>
        <v/>
      </c>
      <c r="G2429">
        <f>IF(B2429,MOD(SIN(Seed*0.5917+C2429*39.3468+D2429*11.135)*24634.6345,1),"")</f>
        <v/>
      </c>
      <c r="H2429">
        <f>IF(B2429,SQRT(-2*LN(F2429))*COS(2*PI()*G2429),"")</f>
        <v/>
      </c>
      <c r="I2429">
        <f>IF(B2429,IF(D2429=0,H2429,Rho*I2428+SQRT(1-Rho^2)*H2429),"")</f>
        <v/>
      </c>
      <c r="J2429">
        <f>IF(B2429,IF(Dist="Normal",DistA+DistB*I2429,DistA+(DistB-DistA)*NORMSDIST(I2429)),"")</f>
        <v/>
      </c>
      <c r="K2429">
        <f>IF(B2429,INDEX(MineScale,C2429),"")</f>
        <v/>
      </c>
      <c r="L2429">
        <f>IF(B2429,INDEX(Dow,1,WEEKDAY(E2429,2)),"")</f>
        <v/>
      </c>
      <c r="M2429">
        <f>IF(B2429,(1+Trend)^D2429,"")</f>
        <v/>
      </c>
      <c r="N2429">
        <f>IF(B2429,EXP(SUMPRODUCT(LN(1+(EvEff-1)*INDEX(Affected,0,C2429)*EXP(-((E2429-EvCenter)^2)/(2*EvSigma^2))))),"")</f>
        <v/>
      </c>
      <c r="O2429">
        <f>IF(B2429,ROUND(MAX(0,J2429*K2429*L2429*M2429*N2429),2),"")</f>
        <v/>
      </c>
    </row>
    <row r="2430">
      <c r="A2430" t="n">
        <v>2429</v>
      </c>
      <c r="B2430">
        <f>A2430&lt;=MineCount*Days</f>
        <v/>
      </c>
      <c r="C2430">
        <f>IF(B2430,INT((A2430-1)/Days)+1,"")</f>
        <v/>
      </c>
      <c r="D2430">
        <f>IF(B2430,MOD(A2430-1,Days),"")</f>
        <v/>
      </c>
      <c r="E2430" s="16">
        <f>IF(B2430,StartDate+D2430,"")</f>
        <v/>
      </c>
      <c r="F2430">
        <f>IF(B2430,MAX(MOD(SIN(Seed*0.1373+C2430*12.9898+D2430*78.233)*43758.5453,1),1E-9),"")</f>
        <v/>
      </c>
      <c r="G2430">
        <f>IF(B2430,MOD(SIN(Seed*0.5917+C2430*39.3468+D2430*11.135)*24634.6345,1),"")</f>
        <v/>
      </c>
      <c r="H2430">
        <f>IF(B2430,SQRT(-2*LN(F2430))*COS(2*PI()*G2430),"")</f>
        <v/>
      </c>
      <c r="I2430">
        <f>IF(B2430,IF(D2430=0,H2430,Rho*I2429+SQRT(1-Rho^2)*H2430),"")</f>
        <v/>
      </c>
      <c r="J2430">
        <f>IF(B2430,IF(Dist="Normal",DistA+DistB*I2430,DistA+(DistB-DistA)*NORMSDIST(I2430)),"")</f>
        <v/>
      </c>
      <c r="K2430">
        <f>IF(B2430,INDEX(MineScale,C2430),"")</f>
        <v/>
      </c>
      <c r="L2430">
        <f>IF(B2430,INDEX(Dow,1,WEEKDAY(E2430,2)),"")</f>
        <v/>
      </c>
      <c r="M2430">
        <f>IF(B2430,(1+Trend)^D2430,"")</f>
        <v/>
      </c>
      <c r="N2430">
        <f>IF(B2430,EXP(SUMPRODUCT(LN(1+(EvEff-1)*INDEX(Affected,0,C2430)*EXP(-((E2430-EvCenter)^2)/(2*EvSigma^2))))),"")</f>
        <v/>
      </c>
      <c r="O2430">
        <f>IF(B2430,ROUND(MAX(0,J2430*K2430*L2430*M2430*N2430),2),"")</f>
        <v/>
      </c>
    </row>
    <row r="2431">
      <c r="A2431" t="n">
        <v>2430</v>
      </c>
      <c r="B2431">
        <f>A2431&lt;=MineCount*Days</f>
        <v/>
      </c>
      <c r="C2431">
        <f>IF(B2431,INT((A2431-1)/Days)+1,"")</f>
        <v/>
      </c>
      <c r="D2431">
        <f>IF(B2431,MOD(A2431-1,Days),"")</f>
        <v/>
      </c>
      <c r="E2431" s="16">
        <f>IF(B2431,StartDate+D2431,"")</f>
        <v/>
      </c>
      <c r="F2431">
        <f>IF(B2431,MAX(MOD(SIN(Seed*0.1373+C2431*12.9898+D2431*78.233)*43758.5453,1),1E-9),"")</f>
        <v/>
      </c>
      <c r="G2431">
        <f>IF(B2431,MOD(SIN(Seed*0.5917+C2431*39.3468+D2431*11.135)*24634.6345,1),"")</f>
        <v/>
      </c>
      <c r="H2431">
        <f>IF(B2431,SQRT(-2*LN(F2431))*COS(2*PI()*G2431),"")</f>
        <v/>
      </c>
      <c r="I2431">
        <f>IF(B2431,IF(D2431=0,H2431,Rho*I2430+SQRT(1-Rho^2)*H2431),"")</f>
        <v/>
      </c>
      <c r="J2431">
        <f>IF(B2431,IF(Dist="Normal",DistA+DistB*I2431,DistA+(DistB-DistA)*NORMSDIST(I2431)),"")</f>
        <v/>
      </c>
      <c r="K2431">
        <f>IF(B2431,INDEX(MineScale,C2431),"")</f>
        <v/>
      </c>
      <c r="L2431">
        <f>IF(B2431,INDEX(Dow,1,WEEKDAY(E2431,2)),"")</f>
        <v/>
      </c>
      <c r="M2431">
        <f>IF(B2431,(1+Trend)^D2431,"")</f>
        <v/>
      </c>
      <c r="N2431">
        <f>IF(B2431,EXP(SUMPRODUCT(LN(1+(EvEff-1)*INDEX(Affected,0,C2431)*EXP(-((E2431-EvCenter)^2)/(2*EvSigma^2))))),"")</f>
        <v/>
      </c>
      <c r="O2431">
        <f>IF(B2431,ROUND(MAX(0,J2431*K2431*L2431*M2431*N2431),2),"")</f>
        <v/>
      </c>
    </row>
    <row r="2432">
      <c r="A2432" t="n">
        <v>2431</v>
      </c>
      <c r="B2432">
        <f>A2432&lt;=MineCount*Days</f>
        <v/>
      </c>
      <c r="C2432">
        <f>IF(B2432,INT((A2432-1)/Days)+1,"")</f>
        <v/>
      </c>
      <c r="D2432">
        <f>IF(B2432,MOD(A2432-1,Days),"")</f>
        <v/>
      </c>
      <c r="E2432" s="16">
        <f>IF(B2432,StartDate+D2432,"")</f>
        <v/>
      </c>
      <c r="F2432">
        <f>IF(B2432,MAX(MOD(SIN(Seed*0.1373+C2432*12.9898+D2432*78.233)*43758.5453,1),1E-9),"")</f>
        <v/>
      </c>
      <c r="G2432">
        <f>IF(B2432,MOD(SIN(Seed*0.5917+C2432*39.3468+D2432*11.135)*24634.6345,1),"")</f>
        <v/>
      </c>
      <c r="H2432">
        <f>IF(B2432,SQRT(-2*LN(F2432))*COS(2*PI()*G2432),"")</f>
        <v/>
      </c>
      <c r="I2432">
        <f>IF(B2432,IF(D2432=0,H2432,Rho*I2431+SQRT(1-Rho^2)*H2432),"")</f>
        <v/>
      </c>
      <c r="J2432">
        <f>IF(B2432,IF(Dist="Normal",DistA+DistB*I2432,DistA+(DistB-DistA)*NORMSDIST(I2432)),"")</f>
        <v/>
      </c>
      <c r="K2432">
        <f>IF(B2432,INDEX(MineScale,C2432),"")</f>
        <v/>
      </c>
      <c r="L2432">
        <f>IF(B2432,INDEX(Dow,1,WEEKDAY(E2432,2)),"")</f>
        <v/>
      </c>
      <c r="M2432">
        <f>IF(B2432,(1+Trend)^D2432,"")</f>
        <v/>
      </c>
      <c r="N2432">
        <f>IF(B2432,EXP(SUMPRODUCT(LN(1+(EvEff-1)*INDEX(Affected,0,C2432)*EXP(-((E2432-EvCenter)^2)/(2*EvSigma^2))))),"")</f>
        <v/>
      </c>
      <c r="O2432">
        <f>IF(B2432,ROUND(MAX(0,J2432*K2432*L2432*M2432*N2432),2),"")</f>
        <v/>
      </c>
    </row>
    <row r="2433">
      <c r="A2433" t="n">
        <v>2432</v>
      </c>
      <c r="B2433">
        <f>A2433&lt;=MineCount*Days</f>
        <v/>
      </c>
      <c r="C2433">
        <f>IF(B2433,INT((A2433-1)/Days)+1,"")</f>
        <v/>
      </c>
      <c r="D2433">
        <f>IF(B2433,MOD(A2433-1,Days),"")</f>
        <v/>
      </c>
      <c r="E2433" s="16">
        <f>IF(B2433,StartDate+D2433,"")</f>
        <v/>
      </c>
      <c r="F2433">
        <f>IF(B2433,MAX(MOD(SIN(Seed*0.1373+C2433*12.9898+D2433*78.233)*43758.5453,1),1E-9),"")</f>
        <v/>
      </c>
      <c r="G2433">
        <f>IF(B2433,MOD(SIN(Seed*0.5917+C2433*39.3468+D2433*11.135)*24634.6345,1),"")</f>
        <v/>
      </c>
      <c r="H2433">
        <f>IF(B2433,SQRT(-2*LN(F2433))*COS(2*PI()*G2433),"")</f>
        <v/>
      </c>
      <c r="I2433">
        <f>IF(B2433,IF(D2433=0,H2433,Rho*I2432+SQRT(1-Rho^2)*H2433),"")</f>
        <v/>
      </c>
      <c r="J2433">
        <f>IF(B2433,IF(Dist="Normal",DistA+DistB*I2433,DistA+(DistB-DistA)*NORMSDIST(I2433)),"")</f>
        <v/>
      </c>
      <c r="K2433">
        <f>IF(B2433,INDEX(MineScale,C2433),"")</f>
        <v/>
      </c>
      <c r="L2433">
        <f>IF(B2433,INDEX(Dow,1,WEEKDAY(E2433,2)),"")</f>
        <v/>
      </c>
      <c r="M2433">
        <f>IF(B2433,(1+Trend)^D2433,"")</f>
        <v/>
      </c>
      <c r="N2433">
        <f>IF(B2433,EXP(SUMPRODUCT(LN(1+(EvEff-1)*INDEX(Affected,0,C2433)*EXP(-((E2433-EvCenter)^2)/(2*EvSigma^2))))),"")</f>
        <v/>
      </c>
      <c r="O2433">
        <f>IF(B2433,ROUND(MAX(0,J2433*K2433*L2433*M2433*N2433),2),"")</f>
        <v/>
      </c>
    </row>
    <row r="2434">
      <c r="A2434" t="n">
        <v>2433</v>
      </c>
      <c r="B2434">
        <f>A2434&lt;=MineCount*Days</f>
        <v/>
      </c>
      <c r="C2434">
        <f>IF(B2434,INT((A2434-1)/Days)+1,"")</f>
        <v/>
      </c>
      <c r="D2434">
        <f>IF(B2434,MOD(A2434-1,Days),"")</f>
        <v/>
      </c>
      <c r="E2434" s="16">
        <f>IF(B2434,StartDate+D2434,"")</f>
        <v/>
      </c>
      <c r="F2434">
        <f>IF(B2434,MAX(MOD(SIN(Seed*0.1373+C2434*12.9898+D2434*78.233)*43758.5453,1),1E-9),"")</f>
        <v/>
      </c>
      <c r="G2434">
        <f>IF(B2434,MOD(SIN(Seed*0.5917+C2434*39.3468+D2434*11.135)*24634.6345,1),"")</f>
        <v/>
      </c>
      <c r="H2434">
        <f>IF(B2434,SQRT(-2*LN(F2434))*COS(2*PI()*G2434),"")</f>
        <v/>
      </c>
      <c r="I2434">
        <f>IF(B2434,IF(D2434=0,H2434,Rho*I2433+SQRT(1-Rho^2)*H2434),"")</f>
        <v/>
      </c>
      <c r="J2434">
        <f>IF(B2434,IF(Dist="Normal",DistA+DistB*I2434,DistA+(DistB-DistA)*NORMSDIST(I2434)),"")</f>
        <v/>
      </c>
      <c r="K2434">
        <f>IF(B2434,INDEX(MineScale,C2434),"")</f>
        <v/>
      </c>
      <c r="L2434">
        <f>IF(B2434,INDEX(Dow,1,WEEKDAY(E2434,2)),"")</f>
        <v/>
      </c>
      <c r="M2434">
        <f>IF(B2434,(1+Trend)^D2434,"")</f>
        <v/>
      </c>
      <c r="N2434">
        <f>IF(B2434,EXP(SUMPRODUCT(LN(1+(EvEff-1)*INDEX(Affected,0,C2434)*EXP(-((E2434-EvCenter)^2)/(2*EvSigma^2))))),"")</f>
        <v/>
      </c>
      <c r="O2434">
        <f>IF(B2434,ROUND(MAX(0,J2434*K2434*L2434*M2434*N2434),2),"")</f>
        <v/>
      </c>
    </row>
    <row r="2435">
      <c r="A2435" t="n">
        <v>2434</v>
      </c>
      <c r="B2435">
        <f>A2435&lt;=MineCount*Days</f>
        <v/>
      </c>
      <c r="C2435">
        <f>IF(B2435,INT((A2435-1)/Days)+1,"")</f>
        <v/>
      </c>
      <c r="D2435">
        <f>IF(B2435,MOD(A2435-1,Days),"")</f>
        <v/>
      </c>
      <c r="E2435" s="16">
        <f>IF(B2435,StartDate+D2435,"")</f>
        <v/>
      </c>
      <c r="F2435">
        <f>IF(B2435,MAX(MOD(SIN(Seed*0.1373+C2435*12.9898+D2435*78.233)*43758.5453,1),1E-9),"")</f>
        <v/>
      </c>
      <c r="G2435">
        <f>IF(B2435,MOD(SIN(Seed*0.5917+C2435*39.3468+D2435*11.135)*24634.6345,1),"")</f>
        <v/>
      </c>
      <c r="H2435">
        <f>IF(B2435,SQRT(-2*LN(F2435))*COS(2*PI()*G2435),"")</f>
        <v/>
      </c>
      <c r="I2435">
        <f>IF(B2435,IF(D2435=0,H2435,Rho*I2434+SQRT(1-Rho^2)*H2435),"")</f>
        <v/>
      </c>
      <c r="J2435">
        <f>IF(B2435,IF(Dist="Normal",DistA+DistB*I2435,DistA+(DistB-DistA)*NORMSDIST(I2435)),"")</f>
        <v/>
      </c>
      <c r="K2435">
        <f>IF(B2435,INDEX(MineScale,C2435),"")</f>
        <v/>
      </c>
      <c r="L2435">
        <f>IF(B2435,INDEX(Dow,1,WEEKDAY(E2435,2)),"")</f>
        <v/>
      </c>
      <c r="M2435">
        <f>IF(B2435,(1+Trend)^D2435,"")</f>
        <v/>
      </c>
      <c r="N2435">
        <f>IF(B2435,EXP(SUMPRODUCT(LN(1+(EvEff-1)*INDEX(Affected,0,C2435)*EXP(-((E2435-EvCenter)^2)/(2*EvSigma^2))))),"")</f>
        <v/>
      </c>
      <c r="O2435">
        <f>IF(B2435,ROUND(MAX(0,J2435*K2435*L2435*M2435*N2435),2),"")</f>
        <v/>
      </c>
    </row>
    <row r="2436">
      <c r="A2436" t="n">
        <v>2435</v>
      </c>
      <c r="B2436">
        <f>A2436&lt;=MineCount*Days</f>
        <v/>
      </c>
      <c r="C2436">
        <f>IF(B2436,INT((A2436-1)/Days)+1,"")</f>
        <v/>
      </c>
      <c r="D2436">
        <f>IF(B2436,MOD(A2436-1,Days),"")</f>
        <v/>
      </c>
      <c r="E2436" s="16">
        <f>IF(B2436,StartDate+D2436,"")</f>
        <v/>
      </c>
      <c r="F2436">
        <f>IF(B2436,MAX(MOD(SIN(Seed*0.1373+C2436*12.9898+D2436*78.233)*43758.5453,1),1E-9),"")</f>
        <v/>
      </c>
      <c r="G2436">
        <f>IF(B2436,MOD(SIN(Seed*0.5917+C2436*39.3468+D2436*11.135)*24634.6345,1),"")</f>
        <v/>
      </c>
      <c r="H2436">
        <f>IF(B2436,SQRT(-2*LN(F2436))*COS(2*PI()*G2436),"")</f>
        <v/>
      </c>
      <c r="I2436">
        <f>IF(B2436,IF(D2436=0,H2436,Rho*I2435+SQRT(1-Rho^2)*H2436),"")</f>
        <v/>
      </c>
      <c r="J2436">
        <f>IF(B2436,IF(Dist="Normal",DistA+DistB*I2436,DistA+(DistB-DistA)*NORMSDIST(I2436)),"")</f>
        <v/>
      </c>
      <c r="K2436">
        <f>IF(B2436,INDEX(MineScale,C2436),"")</f>
        <v/>
      </c>
      <c r="L2436">
        <f>IF(B2436,INDEX(Dow,1,WEEKDAY(E2436,2)),"")</f>
        <v/>
      </c>
      <c r="M2436">
        <f>IF(B2436,(1+Trend)^D2436,"")</f>
        <v/>
      </c>
      <c r="N2436">
        <f>IF(B2436,EXP(SUMPRODUCT(LN(1+(EvEff-1)*INDEX(Affected,0,C2436)*EXP(-((E2436-EvCenter)^2)/(2*EvSigma^2))))),"")</f>
        <v/>
      </c>
      <c r="O2436">
        <f>IF(B2436,ROUND(MAX(0,J2436*K2436*L2436*M2436*N2436),2),"")</f>
        <v/>
      </c>
    </row>
    <row r="2437">
      <c r="A2437" t="n">
        <v>2436</v>
      </c>
      <c r="B2437">
        <f>A2437&lt;=MineCount*Days</f>
        <v/>
      </c>
      <c r="C2437">
        <f>IF(B2437,INT((A2437-1)/Days)+1,"")</f>
        <v/>
      </c>
      <c r="D2437">
        <f>IF(B2437,MOD(A2437-1,Days),"")</f>
        <v/>
      </c>
      <c r="E2437" s="16">
        <f>IF(B2437,StartDate+D2437,"")</f>
        <v/>
      </c>
      <c r="F2437">
        <f>IF(B2437,MAX(MOD(SIN(Seed*0.1373+C2437*12.9898+D2437*78.233)*43758.5453,1),1E-9),"")</f>
        <v/>
      </c>
      <c r="G2437">
        <f>IF(B2437,MOD(SIN(Seed*0.5917+C2437*39.3468+D2437*11.135)*24634.6345,1),"")</f>
        <v/>
      </c>
      <c r="H2437">
        <f>IF(B2437,SQRT(-2*LN(F2437))*COS(2*PI()*G2437),"")</f>
        <v/>
      </c>
      <c r="I2437">
        <f>IF(B2437,IF(D2437=0,H2437,Rho*I2436+SQRT(1-Rho^2)*H2437),"")</f>
        <v/>
      </c>
      <c r="J2437">
        <f>IF(B2437,IF(Dist="Normal",DistA+DistB*I2437,DistA+(DistB-DistA)*NORMSDIST(I2437)),"")</f>
        <v/>
      </c>
      <c r="K2437">
        <f>IF(B2437,INDEX(MineScale,C2437),"")</f>
        <v/>
      </c>
      <c r="L2437">
        <f>IF(B2437,INDEX(Dow,1,WEEKDAY(E2437,2)),"")</f>
        <v/>
      </c>
      <c r="M2437">
        <f>IF(B2437,(1+Trend)^D2437,"")</f>
        <v/>
      </c>
      <c r="N2437">
        <f>IF(B2437,EXP(SUMPRODUCT(LN(1+(EvEff-1)*INDEX(Affected,0,C2437)*EXP(-((E2437-EvCenter)^2)/(2*EvSigma^2))))),"")</f>
        <v/>
      </c>
      <c r="O2437">
        <f>IF(B2437,ROUND(MAX(0,J2437*K2437*L2437*M2437*N2437),2),"")</f>
        <v/>
      </c>
    </row>
    <row r="2438">
      <c r="A2438" t="n">
        <v>2437</v>
      </c>
      <c r="B2438">
        <f>A2438&lt;=MineCount*Days</f>
        <v/>
      </c>
      <c r="C2438">
        <f>IF(B2438,INT((A2438-1)/Days)+1,"")</f>
        <v/>
      </c>
      <c r="D2438">
        <f>IF(B2438,MOD(A2438-1,Days),"")</f>
        <v/>
      </c>
      <c r="E2438" s="16">
        <f>IF(B2438,StartDate+D2438,"")</f>
        <v/>
      </c>
      <c r="F2438">
        <f>IF(B2438,MAX(MOD(SIN(Seed*0.1373+C2438*12.9898+D2438*78.233)*43758.5453,1),1E-9),"")</f>
        <v/>
      </c>
      <c r="G2438">
        <f>IF(B2438,MOD(SIN(Seed*0.5917+C2438*39.3468+D2438*11.135)*24634.6345,1),"")</f>
        <v/>
      </c>
      <c r="H2438">
        <f>IF(B2438,SQRT(-2*LN(F2438))*COS(2*PI()*G2438),"")</f>
        <v/>
      </c>
      <c r="I2438">
        <f>IF(B2438,IF(D2438=0,H2438,Rho*I2437+SQRT(1-Rho^2)*H2438),"")</f>
        <v/>
      </c>
      <c r="J2438">
        <f>IF(B2438,IF(Dist="Normal",DistA+DistB*I2438,DistA+(DistB-DistA)*NORMSDIST(I2438)),"")</f>
        <v/>
      </c>
      <c r="K2438">
        <f>IF(B2438,INDEX(MineScale,C2438),"")</f>
        <v/>
      </c>
      <c r="L2438">
        <f>IF(B2438,INDEX(Dow,1,WEEKDAY(E2438,2)),"")</f>
        <v/>
      </c>
      <c r="M2438">
        <f>IF(B2438,(1+Trend)^D2438,"")</f>
        <v/>
      </c>
      <c r="N2438">
        <f>IF(B2438,EXP(SUMPRODUCT(LN(1+(EvEff-1)*INDEX(Affected,0,C2438)*EXP(-((E2438-EvCenter)^2)/(2*EvSigma^2))))),"")</f>
        <v/>
      </c>
      <c r="O2438">
        <f>IF(B2438,ROUND(MAX(0,J2438*K2438*L2438*M2438*N2438),2),"")</f>
        <v/>
      </c>
    </row>
    <row r="2439">
      <c r="A2439" t="n">
        <v>2438</v>
      </c>
      <c r="B2439">
        <f>A2439&lt;=MineCount*Days</f>
        <v/>
      </c>
      <c r="C2439">
        <f>IF(B2439,INT((A2439-1)/Days)+1,"")</f>
        <v/>
      </c>
      <c r="D2439">
        <f>IF(B2439,MOD(A2439-1,Days),"")</f>
        <v/>
      </c>
      <c r="E2439" s="16">
        <f>IF(B2439,StartDate+D2439,"")</f>
        <v/>
      </c>
      <c r="F2439">
        <f>IF(B2439,MAX(MOD(SIN(Seed*0.1373+C2439*12.9898+D2439*78.233)*43758.5453,1),1E-9),"")</f>
        <v/>
      </c>
      <c r="G2439">
        <f>IF(B2439,MOD(SIN(Seed*0.5917+C2439*39.3468+D2439*11.135)*24634.6345,1),"")</f>
        <v/>
      </c>
      <c r="H2439">
        <f>IF(B2439,SQRT(-2*LN(F2439))*COS(2*PI()*G2439),"")</f>
        <v/>
      </c>
      <c r="I2439">
        <f>IF(B2439,IF(D2439=0,H2439,Rho*I2438+SQRT(1-Rho^2)*H2439),"")</f>
        <v/>
      </c>
      <c r="J2439">
        <f>IF(B2439,IF(Dist="Normal",DistA+DistB*I2439,DistA+(DistB-DistA)*NORMSDIST(I2439)),"")</f>
        <v/>
      </c>
      <c r="K2439">
        <f>IF(B2439,INDEX(MineScale,C2439),"")</f>
        <v/>
      </c>
      <c r="L2439">
        <f>IF(B2439,INDEX(Dow,1,WEEKDAY(E2439,2)),"")</f>
        <v/>
      </c>
      <c r="M2439">
        <f>IF(B2439,(1+Trend)^D2439,"")</f>
        <v/>
      </c>
      <c r="N2439">
        <f>IF(B2439,EXP(SUMPRODUCT(LN(1+(EvEff-1)*INDEX(Affected,0,C2439)*EXP(-((E2439-EvCenter)^2)/(2*EvSigma^2))))),"")</f>
        <v/>
      </c>
      <c r="O2439">
        <f>IF(B2439,ROUND(MAX(0,J2439*K2439*L2439*M2439*N2439),2),"")</f>
        <v/>
      </c>
    </row>
    <row r="2440">
      <c r="A2440" t="n">
        <v>2439</v>
      </c>
      <c r="B2440">
        <f>A2440&lt;=MineCount*Days</f>
        <v/>
      </c>
      <c r="C2440">
        <f>IF(B2440,INT((A2440-1)/Days)+1,"")</f>
        <v/>
      </c>
      <c r="D2440">
        <f>IF(B2440,MOD(A2440-1,Days),"")</f>
        <v/>
      </c>
      <c r="E2440" s="16">
        <f>IF(B2440,StartDate+D2440,"")</f>
        <v/>
      </c>
      <c r="F2440">
        <f>IF(B2440,MAX(MOD(SIN(Seed*0.1373+C2440*12.9898+D2440*78.233)*43758.5453,1),1E-9),"")</f>
        <v/>
      </c>
      <c r="G2440">
        <f>IF(B2440,MOD(SIN(Seed*0.5917+C2440*39.3468+D2440*11.135)*24634.6345,1),"")</f>
        <v/>
      </c>
      <c r="H2440">
        <f>IF(B2440,SQRT(-2*LN(F2440))*COS(2*PI()*G2440),"")</f>
        <v/>
      </c>
      <c r="I2440">
        <f>IF(B2440,IF(D2440=0,H2440,Rho*I2439+SQRT(1-Rho^2)*H2440),"")</f>
        <v/>
      </c>
      <c r="J2440">
        <f>IF(B2440,IF(Dist="Normal",DistA+DistB*I2440,DistA+(DistB-DistA)*NORMSDIST(I2440)),"")</f>
        <v/>
      </c>
      <c r="K2440">
        <f>IF(B2440,INDEX(MineScale,C2440),"")</f>
        <v/>
      </c>
      <c r="L2440">
        <f>IF(B2440,INDEX(Dow,1,WEEKDAY(E2440,2)),"")</f>
        <v/>
      </c>
      <c r="M2440">
        <f>IF(B2440,(1+Trend)^D2440,"")</f>
        <v/>
      </c>
      <c r="N2440">
        <f>IF(B2440,EXP(SUMPRODUCT(LN(1+(EvEff-1)*INDEX(Affected,0,C2440)*EXP(-((E2440-EvCenter)^2)/(2*EvSigma^2))))),"")</f>
        <v/>
      </c>
      <c r="O2440">
        <f>IF(B2440,ROUND(MAX(0,J2440*K2440*L2440*M2440*N2440),2),"")</f>
        <v/>
      </c>
    </row>
    <row r="2441">
      <c r="A2441" t="n">
        <v>2440</v>
      </c>
      <c r="B2441">
        <f>A2441&lt;=MineCount*Days</f>
        <v/>
      </c>
      <c r="C2441">
        <f>IF(B2441,INT((A2441-1)/Days)+1,"")</f>
        <v/>
      </c>
      <c r="D2441">
        <f>IF(B2441,MOD(A2441-1,Days),"")</f>
        <v/>
      </c>
      <c r="E2441" s="16">
        <f>IF(B2441,StartDate+D2441,"")</f>
        <v/>
      </c>
      <c r="F2441">
        <f>IF(B2441,MAX(MOD(SIN(Seed*0.1373+C2441*12.9898+D2441*78.233)*43758.5453,1),1E-9),"")</f>
        <v/>
      </c>
      <c r="G2441">
        <f>IF(B2441,MOD(SIN(Seed*0.5917+C2441*39.3468+D2441*11.135)*24634.6345,1),"")</f>
        <v/>
      </c>
      <c r="H2441">
        <f>IF(B2441,SQRT(-2*LN(F2441))*COS(2*PI()*G2441),"")</f>
        <v/>
      </c>
      <c r="I2441">
        <f>IF(B2441,IF(D2441=0,H2441,Rho*I2440+SQRT(1-Rho^2)*H2441),"")</f>
        <v/>
      </c>
      <c r="J2441">
        <f>IF(B2441,IF(Dist="Normal",DistA+DistB*I2441,DistA+(DistB-DistA)*NORMSDIST(I2441)),"")</f>
        <v/>
      </c>
      <c r="K2441">
        <f>IF(B2441,INDEX(MineScale,C2441),"")</f>
        <v/>
      </c>
      <c r="L2441">
        <f>IF(B2441,INDEX(Dow,1,WEEKDAY(E2441,2)),"")</f>
        <v/>
      </c>
      <c r="M2441">
        <f>IF(B2441,(1+Trend)^D2441,"")</f>
        <v/>
      </c>
      <c r="N2441">
        <f>IF(B2441,EXP(SUMPRODUCT(LN(1+(EvEff-1)*INDEX(Affected,0,C2441)*EXP(-((E2441-EvCenter)^2)/(2*EvSigma^2))))),"")</f>
        <v/>
      </c>
      <c r="O2441">
        <f>IF(B2441,ROUND(MAX(0,J2441*K2441*L2441*M2441*N2441),2),"")</f>
        <v/>
      </c>
    </row>
    <row r="2442">
      <c r="A2442" t="n">
        <v>2441</v>
      </c>
      <c r="B2442">
        <f>A2442&lt;=MineCount*Days</f>
        <v/>
      </c>
      <c r="C2442">
        <f>IF(B2442,INT((A2442-1)/Days)+1,"")</f>
        <v/>
      </c>
      <c r="D2442">
        <f>IF(B2442,MOD(A2442-1,Days),"")</f>
        <v/>
      </c>
      <c r="E2442" s="16">
        <f>IF(B2442,StartDate+D2442,"")</f>
        <v/>
      </c>
      <c r="F2442">
        <f>IF(B2442,MAX(MOD(SIN(Seed*0.1373+C2442*12.9898+D2442*78.233)*43758.5453,1),1E-9),"")</f>
        <v/>
      </c>
      <c r="G2442">
        <f>IF(B2442,MOD(SIN(Seed*0.5917+C2442*39.3468+D2442*11.135)*24634.6345,1),"")</f>
        <v/>
      </c>
      <c r="H2442">
        <f>IF(B2442,SQRT(-2*LN(F2442))*COS(2*PI()*G2442),"")</f>
        <v/>
      </c>
      <c r="I2442">
        <f>IF(B2442,IF(D2442=0,H2442,Rho*I2441+SQRT(1-Rho^2)*H2442),"")</f>
        <v/>
      </c>
      <c r="J2442">
        <f>IF(B2442,IF(Dist="Normal",DistA+DistB*I2442,DistA+(DistB-DistA)*NORMSDIST(I2442)),"")</f>
        <v/>
      </c>
      <c r="K2442">
        <f>IF(B2442,INDEX(MineScale,C2442),"")</f>
        <v/>
      </c>
      <c r="L2442">
        <f>IF(B2442,INDEX(Dow,1,WEEKDAY(E2442,2)),"")</f>
        <v/>
      </c>
      <c r="M2442">
        <f>IF(B2442,(1+Trend)^D2442,"")</f>
        <v/>
      </c>
      <c r="N2442">
        <f>IF(B2442,EXP(SUMPRODUCT(LN(1+(EvEff-1)*INDEX(Affected,0,C2442)*EXP(-((E2442-EvCenter)^2)/(2*EvSigma^2))))),"")</f>
        <v/>
      </c>
      <c r="O2442">
        <f>IF(B2442,ROUND(MAX(0,J2442*K2442*L2442*M2442*N2442),2),"")</f>
        <v/>
      </c>
    </row>
    <row r="2443">
      <c r="A2443" t="n">
        <v>2442</v>
      </c>
      <c r="B2443">
        <f>A2443&lt;=MineCount*Days</f>
        <v/>
      </c>
      <c r="C2443">
        <f>IF(B2443,INT((A2443-1)/Days)+1,"")</f>
        <v/>
      </c>
      <c r="D2443">
        <f>IF(B2443,MOD(A2443-1,Days),"")</f>
        <v/>
      </c>
      <c r="E2443" s="16">
        <f>IF(B2443,StartDate+D2443,"")</f>
        <v/>
      </c>
      <c r="F2443">
        <f>IF(B2443,MAX(MOD(SIN(Seed*0.1373+C2443*12.9898+D2443*78.233)*43758.5453,1),1E-9),"")</f>
        <v/>
      </c>
      <c r="G2443">
        <f>IF(B2443,MOD(SIN(Seed*0.5917+C2443*39.3468+D2443*11.135)*24634.6345,1),"")</f>
        <v/>
      </c>
      <c r="H2443">
        <f>IF(B2443,SQRT(-2*LN(F2443))*COS(2*PI()*G2443),"")</f>
        <v/>
      </c>
      <c r="I2443">
        <f>IF(B2443,IF(D2443=0,H2443,Rho*I2442+SQRT(1-Rho^2)*H2443),"")</f>
        <v/>
      </c>
      <c r="J2443">
        <f>IF(B2443,IF(Dist="Normal",DistA+DistB*I2443,DistA+(DistB-DistA)*NORMSDIST(I2443)),"")</f>
        <v/>
      </c>
      <c r="K2443">
        <f>IF(B2443,INDEX(MineScale,C2443),"")</f>
        <v/>
      </c>
      <c r="L2443">
        <f>IF(B2443,INDEX(Dow,1,WEEKDAY(E2443,2)),"")</f>
        <v/>
      </c>
      <c r="M2443">
        <f>IF(B2443,(1+Trend)^D2443,"")</f>
        <v/>
      </c>
      <c r="N2443">
        <f>IF(B2443,EXP(SUMPRODUCT(LN(1+(EvEff-1)*INDEX(Affected,0,C2443)*EXP(-((E2443-EvCenter)^2)/(2*EvSigma^2))))),"")</f>
        <v/>
      </c>
      <c r="O2443">
        <f>IF(B2443,ROUND(MAX(0,J2443*K2443*L2443*M2443*N2443),2),"")</f>
        <v/>
      </c>
    </row>
    <row r="2444">
      <c r="A2444" t="n">
        <v>2443</v>
      </c>
      <c r="B2444">
        <f>A2444&lt;=MineCount*Days</f>
        <v/>
      </c>
      <c r="C2444">
        <f>IF(B2444,INT((A2444-1)/Days)+1,"")</f>
        <v/>
      </c>
      <c r="D2444">
        <f>IF(B2444,MOD(A2444-1,Days),"")</f>
        <v/>
      </c>
      <c r="E2444" s="16">
        <f>IF(B2444,StartDate+D2444,"")</f>
        <v/>
      </c>
      <c r="F2444">
        <f>IF(B2444,MAX(MOD(SIN(Seed*0.1373+C2444*12.9898+D2444*78.233)*43758.5453,1),1E-9),"")</f>
        <v/>
      </c>
      <c r="G2444">
        <f>IF(B2444,MOD(SIN(Seed*0.5917+C2444*39.3468+D2444*11.135)*24634.6345,1),"")</f>
        <v/>
      </c>
      <c r="H2444">
        <f>IF(B2444,SQRT(-2*LN(F2444))*COS(2*PI()*G2444),"")</f>
        <v/>
      </c>
      <c r="I2444">
        <f>IF(B2444,IF(D2444=0,H2444,Rho*I2443+SQRT(1-Rho^2)*H2444),"")</f>
        <v/>
      </c>
      <c r="J2444">
        <f>IF(B2444,IF(Dist="Normal",DistA+DistB*I2444,DistA+(DistB-DistA)*NORMSDIST(I2444)),"")</f>
        <v/>
      </c>
      <c r="K2444">
        <f>IF(B2444,INDEX(MineScale,C2444),"")</f>
        <v/>
      </c>
      <c r="L2444">
        <f>IF(B2444,INDEX(Dow,1,WEEKDAY(E2444,2)),"")</f>
        <v/>
      </c>
      <c r="M2444">
        <f>IF(B2444,(1+Trend)^D2444,"")</f>
        <v/>
      </c>
      <c r="N2444">
        <f>IF(B2444,EXP(SUMPRODUCT(LN(1+(EvEff-1)*INDEX(Affected,0,C2444)*EXP(-((E2444-EvCenter)^2)/(2*EvSigma^2))))),"")</f>
        <v/>
      </c>
      <c r="O2444">
        <f>IF(B2444,ROUND(MAX(0,J2444*K2444*L2444*M2444*N2444),2),"")</f>
        <v/>
      </c>
    </row>
    <row r="2445">
      <c r="A2445" t="n">
        <v>2444</v>
      </c>
      <c r="B2445">
        <f>A2445&lt;=MineCount*Days</f>
        <v/>
      </c>
      <c r="C2445">
        <f>IF(B2445,INT((A2445-1)/Days)+1,"")</f>
        <v/>
      </c>
      <c r="D2445">
        <f>IF(B2445,MOD(A2445-1,Days),"")</f>
        <v/>
      </c>
      <c r="E2445" s="16">
        <f>IF(B2445,StartDate+D2445,"")</f>
        <v/>
      </c>
      <c r="F2445">
        <f>IF(B2445,MAX(MOD(SIN(Seed*0.1373+C2445*12.9898+D2445*78.233)*43758.5453,1),1E-9),"")</f>
        <v/>
      </c>
      <c r="G2445">
        <f>IF(B2445,MOD(SIN(Seed*0.5917+C2445*39.3468+D2445*11.135)*24634.6345,1),"")</f>
        <v/>
      </c>
      <c r="H2445">
        <f>IF(B2445,SQRT(-2*LN(F2445))*COS(2*PI()*G2445),"")</f>
        <v/>
      </c>
      <c r="I2445">
        <f>IF(B2445,IF(D2445=0,H2445,Rho*I2444+SQRT(1-Rho^2)*H2445),"")</f>
        <v/>
      </c>
      <c r="J2445">
        <f>IF(B2445,IF(Dist="Normal",DistA+DistB*I2445,DistA+(DistB-DistA)*NORMSDIST(I2445)),"")</f>
        <v/>
      </c>
      <c r="K2445">
        <f>IF(B2445,INDEX(MineScale,C2445),"")</f>
        <v/>
      </c>
      <c r="L2445">
        <f>IF(B2445,INDEX(Dow,1,WEEKDAY(E2445,2)),"")</f>
        <v/>
      </c>
      <c r="M2445">
        <f>IF(B2445,(1+Trend)^D2445,"")</f>
        <v/>
      </c>
      <c r="N2445">
        <f>IF(B2445,EXP(SUMPRODUCT(LN(1+(EvEff-1)*INDEX(Affected,0,C2445)*EXP(-((E2445-EvCenter)^2)/(2*EvSigma^2))))),"")</f>
        <v/>
      </c>
      <c r="O2445">
        <f>IF(B2445,ROUND(MAX(0,J2445*K2445*L2445*M2445*N2445),2),"")</f>
        <v/>
      </c>
    </row>
    <row r="2446">
      <c r="A2446" t="n">
        <v>2445</v>
      </c>
      <c r="B2446">
        <f>A2446&lt;=MineCount*Days</f>
        <v/>
      </c>
      <c r="C2446">
        <f>IF(B2446,INT((A2446-1)/Days)+1,"")</f>
        <v/>
      </c>
      <c r="D2446">
        <f>IF(B2446,MOD(A2446-1,Days),"")</f>
        <v/>
      </c>
      <c r="E2446" s="16">
        <f>IF(B2446,StartDate+D2446,"")</f>
        <v/>
      </c>
      <c r="F2446">
        <f>IF(B2446,MAX(MOD(SIN(Seed*0.1373+C2446*12.9898+D2446*78.233)*43758.5453,1),1E-9),"")</f>
        <v/>
      </c>
      <c r="G2446">
        <f>IF(B2446,MOD(SIN(Seed*0.5917+C2446*39.3468+D2446*11.135)*24634.6345,1),"")</f>
        <v/>
      </c>
      <c r="H2446">
        <f>IF(B2446,SQRT(-2*LN(F2446))*COS(2*PI()*G2446),"")</f>
        <v/>
      </c>
      <c r="I2446">
        <f>IF(B2446,IF(D2446=0,H2446,Rho*I2445+SQRT(1-Rho^2)*H2446),"")</f>
        <v/>
      </c>
      <c r="J2446">
        <f>IF(B2446,IF(Dist="Normal",DistA+DistB*I2446,DistA+(DistB-DistA)*NORMSDIST(I2446)),"")</f>
        <v/>
      </c>
      <c r="K2446">
        <f>IF(B2446,INDEX(MineScale,C2446),"")</f>
        <v/>
      </c>
      <c r="L2446">
        <f>IF(B2446,INDEX(Dow,1,WEEKDAY(E2446,2)),"")</f>
        <v/>
      </c>
      <c r="M2446">
        <f>IF(B2446,(1+Trend)^D2446,"")</f>
        <v/>
      </c>
      <c r="N2446">
        <f>IF(B2446,EXP(SUMPRODUCT(LN(1+(EvEff-1)*INDEX(Affected,0,C2446)*EXP(-((E2446-EvCenter)^2)/(2*EvSigma^2))))),"")</f>
        <v/>
      </c>
      <c r="O2446">
        <f>IF(B2446,ROUND(MAX(0,J2446*K2446*L2446*M2446*N2446),2),"")</f>
        <v/>
      </c>
    </row>
    <row r="2447">
      <c r="A2447" t="n">
        <v>2446</v>
      </c>
      <c r="B2447">
        <f>A2447&lt;=MineCount*Days</f>
        <v/>
      </c>
      <c r="C2447">
        <f>IF(B2447,INT((A2447-1)/Days)+1,"")</f>
        <v/>
      </c>
      <c r="D2447">
        <f>IF(B2447,MOD(A2447-1,Days),"")</f>
        <v/>
      </c>
      <c r="E2447" s="16">
        <f>IF(B2447,StartDate+D2447,"")</f>
        <v/>
      </c>
      <c r="F2447">
        <f>IF(B2447,MAX(MOD(SIN(Seed*0.1373+C2447*12.9898+D2447*78.233)*43758.5453,1),1E-9),"")</f>
        <v/>
      </c>
      <c r="G2447">
        <f>IF(B2447,MOD(SIN(Seed*0.5917+C2447*39.3468+D2447*11.135)*24634.6345,1),"")</f>
        <v/>
      </c>
      <c r="H2447">
        <f>IF(B2447,SQRT(-2*LN(F2447))*COS(2*PI()*G2447),"")</f>
        <v/>
      </c>
      <c r="I2447">
        <f>IF(B2447,IF(D2447=0,H2447,Rho*I2446+SQRT(1-Rho^2)*H2447),"")</f>
        <v/>
      </c>
      <c r="J2447">
        <f>IF(B2447,IF(Dist="Normal",DistA+DistB*I2447,DistA+(DistB-DistA)*NORMSDIST(I2447)),"")</f>
        <v/>
      </c>
      <c r="K2447">
        <f>IF(B2447,INDEX(MineScale,C2447),"")</f>
        <v/>
      </c>
      <c r="L2447">
        <f>IF(B2447,INDEX(Dow,1,WEEKDAY(E2447,2)),"")</f>
        <v/>
      </c>
      <c r="M2447">
        <f>IF(B2447,(1+Trend)^D2447,"")</f>
        <v/>
      </c>
      <c r="N2447">
        <f>IF(B2447,EXP(SUMPRODUCT(LN(1+(EvEff-1)*INDEX(Affected,0,C2447)*EXP(-((E2447-EvCenter)^2)/(2*EvSigma^2))))),"")</f>
        <v/>
      </c>
      <c r="O2447">
        <f>IF(B2447,ROUND(MAX(0,J2447*K2447*L2447*M2447*N2447),2),"")</f>
        <v/>
      </c>
    </row>
    <row r="2448">
      <c r="A2448" t="n">
        <v>2447</v>
      </c>
      <c r="B2448">
        <f>A2448&lt;=MineCount*Days</f>
        <v/>
      </c>
      <c r="C2448">
        <f>IF(B2448,INT((A2448-1)/Days)+1,"")</f>
        <v/>
      </c>
      <c r="D2448">
        <f>IF(B2448,MOD(A2448-1,Days),"")</f>
        <v/>
      </c>
      <c r="E2448" s="16">
        <f>IF(B2448,StartDate+D2448,"")</f>
        <v/>
      </c>
      <c r="F2448">
        <f>IF(B2448,MAX(MOD(SIN(Seed*0.1373+C2448*12.9898+D2448*78.233)*43758.5453,1),1E-9),"")</f>
        <v/>
      </c>
      <c r="G2448">
        <f>IF(B2448,MOD(SIN(Seed*0.5917+C2448*39.3468+D2448*11.135)*24634.6345,1),"")</f>
        <v/>
      </c>
      <c r="H2448">
        <f>IF(B2448,SQRT(-2*LN(F2448))*COS(2*PI()*G2448),"")</f>
        <v/>
      </c>
      <c r="I2448">
        <f>IF(B2448,IF(D2448=0,H2448,Rho*I2447+SQRT(1-Rho^2)*H2448),"")</f>
        <v/>
      </c>
      <c r="J2448">
        <f>IF(B2448,IF(Dist="Normal",DistA+DistB*I2448,DistA+(DistB-DistA)*NORMSDIST(I2448)),"")</f>
        <v/>
      </c>
      <c r="K2448">
        <f>IF(B2448,INDEX(MineScale,C2448),"")</f>
        <v/>
      </c>
      <c r="L2448">
        <f>IF(B2448,INDEX(Dow,1,WEEKDAY(E2448,2)),"")</f>
        <v/>
      </c>
      <c r="M2448">
        <f>IF(B2448,(1+Trend)^D2448,"")</f>
        <v/>
      </c>
      <c r="N2448">
        <f>IF(B2448,EXP(SUMPRODUCT(LN(1+(EvEff-1)*INDEX(Affected,0,C2448)*EXP(-((E2448-EvCenter)^2)/(2*EvSigma^2))))),"")</f>
        <v/>
      </c>
      <c r="O2448">
        <f>IF(B2448,ROUND(MAX(0,J2448*K2448*L2448*M2448*N2448),2),"")</f>
        <v/>
      </c>
    </row>
    <row r="2449">
      <c r="A2449" t="n">
        <v>2448</v>
      </c>
      <c r="B2449">
        <f>A2449&lt;=MineCount*Days</f>
        <v/>
      </c>
      <c r="C2449">
        <f>IF(B2449,INT((A2449-1)/Days)+1,"")</f>
        <v/>
      </c>
      <c r="D2449">
        <f>IF(B2449,MOD(A2449-1,Days),"")</f>
        <v/>
      </c>
      <c r="E2449" s="16">
        <f>IF(B2449,StartDate+D2449,"")</f>
        <v/>
      </c>
      <c r="F2449">
        <f>IF(B2449,MAX(MOD(SIN(Seed*0.1373+C2449*12.9898+D2449*78.233)*43758.5453,1),1E-9),"")</f>
        <v/>
      </c>
      <c r="G2449">
        <f>IF(B2449,MOD(SIN(Seed*0.5917+C2449*39.3468+D2449*11.135)*24634.6345,1),"")</f>
        <v/>
      </c>
      <c r="H2449">
        <f>IF(B2449,SQRT(-2*LN(F2449))*COS(2*PI()*G2449),"")</f>
        <v/>
      </c>
      <c r="I2449">
        <f>IF(B2449,IF(D2449=0,H2449,Rho*I2448+SQRT(1-Rho^2)*H2449),"")</f>
        <v/>
      </c>
      <c r="J2449">
        <f>IF(B2449,IF(Dist="Normal",DistA+DistB*I2449,DistA+(DistB-DistA)*NORMSDIST(I2449)),"")</f>
        <v/>
      </c>
      <c r="K2449">
        <f>IF(B2449,INDEX(MineScale,C2449),"")</f>
        <v/>
      </c>
      <c r="L2449">
        <f>IF(B2449,INDEX(Dow,1,WEEKDAY(E2449,2)),"")</f>
        <v/>
      </c>
      <c r="M2449">
        <f>IF(B2449,(1+Trend)^D2449,"")</f>
        <v/>
      </c>
      <c r="N2449">
        <f>IF(B2449,EXP(SUMPRODUCT(LN(1+(EvEff-1)*INDEX(Affected,0,C2449)*EXP(-((E2449-EvCenter)^2)/(2*EvSigma^2))))),"")</f>
        <v/>
      </c>
      <c r="O2449">
        <f>IF(B2449,ROUND(MAX(0,J2449*K2449*L2449*M2449*N2449),2),"")</f>
        <v/>
      </c>
    </row>
    <row r="2450">
      <c r="A2450" t="n">
        <v>2449</v>
      </c>
      <c r="B2450">
        <f>A2450&lt;=MineCount*Days</f>
        <v/>
      </c>
      <c r="C2450">
        <f>IF(B2450,INT((A2450-1)/Days)+1,"")</f>
        <v/>
      </c>
      <c r="D2450">
        <f>IF(B2450,MOD(A2450-1,Days),"")</f>
        <v/>
      </c>
      <c r="E2450" s="16">
        <f>IF(B2450,StartDate+D2450,"")</f>
        <v/>
      </c>
      <c r="F2450">
        <f>IF(B2450,MAX(MOD(SIN(Seed*0.1373+C2450*12.9898+D2450*78.233)*43758.5453,1),1E-9),"")</f>
        <v/>
      </c>
      <c r="G2450">
        <f>IF(B2450,MOD(SIN(Seed*0.5917+C2450*39.3468+D2450*11.135)*24634.6345,1),"")</f>
        <v/>
      </c>
      <c r="H2450">
        <f>IF(B2450,SQRT(-2*LN(F2450))*COS(2*PI()*G2450),"")</f>
        <v/>
      </c>
      <c r="I2450">
        <f>IF(B2450,IF(D2450=0,H2450,Rho*I2449+SQRT(1-Rho^2)*H2450),"")</f>
        <v/>
      </c>
      <c r="J2450">
        <f>IF(B2450,IF(Dist="Normal",DistA+DistB*I2450,DistA+(DistB-DistA)*NORMSDIST(I2450)),"")</f>
        <v/>
      </c>
      <c r="K2450">
        <f>IF(B2450,INDEX(MineScale,C2450),"")</f>
        <v/>
      </c>
      <c r="L2450">
        <f>IF(B2450,INDEX(Dow,1,WEEKDAY(E2450,2)),"")</f>
        <v/>
      </c>
      <c r="M2450">
        <f>IF(B2450,(1+Trend)^D2450,"")</f>
        <v/>
      </c>
      <c r="N2450">
        <f>IF(B2450,EXP(SUMPRODUCT(LN(1+(EvEff-1)*INDEX(Affected,0,C2450)*EXP(-((E2450-EvCenter)^2)/(2*EvSigma^2))))),"")</f>
        <v/>
      </c>
      <c r="O2450">
        <f>IF(B2450,ROUND(MAX(0,J2450*K2450*L2450*M2450*N2450),2),"")</f>
        <v/>
      </c>
    </row>
    <row r="2451">
      <c r="A2451" t="n">
        <v>2450</v>
      </c>
      <c r="B2451">
        <f>A2451&lt;=MineCount*Days</f>
        <v/>
      </c>
      <c r="C2451">
        <f>IF(B2451,INT((A2451-1)/Days)+1,"")</f>
        <v/>
      </c>
      <c r="D2451">
        <f>IF(B2451,MOD(A2451-1,Days),"")</f>
        <v/>
      </c>
      <c r="E2451" s="16">
        <f>IF(B2451,StartDate+D2451,"")</f>
        <v/>
      </c>
      <c r="F2451">
        <f>IF(B2451,MAX(MOD(SIN(Seed*0.1373+C2451*12.9898+D2451*78.233)*43758.5453,1),1E-9),"")</f>
        <v/>
      </c>
      <c r="G2451">
        <f>IF(B2451,MOD(SIN(Seed*0.5917+C2451*39.3468+D2451*11.135)*24634.6345,1),"")</f>
        <v/>
      </c>
      <c r="H2451">
        <f>IF(B2451,SQRT(-2*LN(F2451))*COS(2*PI()*G2451),"")</f>
        <v/>
      </c>
      <c r="I2451">
        <f>IF(B2451,IF(D2451=0,H2451,Rho*I2450+SQRT(1-Rho^2)*H2451),"")</f>
        <v/>
      </c>
      <c r="J2451">
        <f>IF(B2451,IF(Dist="Normal",DistA+DistB*I2451,DistA+(DistB-DistA)*NORMSDIST(I2451)),"")</f>
        <v/>
      </c>
      <c r="K2451">
        <f>IF(B2451,INDEX(MineScale,C2451),"")</f>
        <v/>
      </c>
      <c r="L2451">
        <f>IF(B2451,INDEX(Dow,1,WEEKDAY(E2451,2)),"")</f>
        <v/>
      </c>
      <c r="M2451">
        <f>IF(B2451,(1+Trend)^D2451,"")</f>
        <v/>
      </c>
      <c r="N2451">
        <f>IF(B2451,EXP(SUMPRODUCT(LN(1+(EvEff-1)*INDEX(Affected,0,C2451)*EXP(-((E2451-EvCenter)^2)/(2*EvSigma^2))))),"")</f>
        <v/>
      </c>
      <c r="O2451">
        <f>IF(B2451,ROUND(MAX(0,J2451*K2451*L2451*M2451*N2451),2),"")</f>
        <v/>
      </c>
    </row>
    <row r="2452">
      <c r="A2452" t="n">
        <v>2451</v>
      </c>
      <c r="B2452">
        <f>A2452&lt;=MineCount*Days</f>
        <v/>
      </c>
      <c r="C2452">
        <f>IF(B2452,INT((A2452-1)/Days)+1,"")</f>
        <v/>
      </c>
      <c r="D2452">
        <f>IF(B2452,MOD(A2452-1,Days),"")</f>
        <v/>
      </c>
      <c r="E2452" s="16">
        <f>IF(B2452,StartDate+D2452,"")</f>
        <v/>
      </c>
      <c r="F2452">
        <f>IF(B2452,MAX(MOD(SIN(Seed*0.1373+C2452*12.9898+D2452*78.233)*43758.5453,1),1E-9),"")</f>
        <v/>
      </c>
      <c r="G2452">
        <f>IF(B2452,MOD(SIN(Seed*0.5917+C2452*39.3468+D2452*11.135)*24634.6345,1),"")</f>
        <v/>
      </c>
      <c r="H2452">
        <f>IF(B2452,SQRT(-2*LN(F2452))*COS(2*PI()*G2452),"")</f>
        <v/>
      </c>
      <c r="I2452">
        <f>IF(B2452,IF(D2452=0,H2452,Rho*I2451+SQRT(1-Rho^2)*H2452),"")</f>
        <v/>
      </c>
      <c r="J2452">
        <f>IF(B2452,IF(Dist="Normal",DistA+DistB*I2452,DistA+(DistB-DistA)*NORMSDIST(I2452)),"")</f>
        <v/>
      </c>
      <c r="K2452">
        <f>IF(B2452,INDEX(MineScale,C2452),"")</f>
        <v/>
      </c>
      <c r="L2452">
        <f>IF(B2452,INDEX(Dow,1,WEEKDAY(E2452,2)),"")</f>
        <v/>
      </c>
      <c r="M2452">
        <f>IF(B2452,(1+Trend)^D2452,"")</f>
        <v/>
      </c>
      <c r="N2452">
        <f>IF(B2452,EXP(SUMPRODUCT(LN(1+(EvEff-1)*INDEX(Affected,0,C2452)*EXP(-((E2452-EvCenter)^2)/(2*EvSigma^2))))),"")</f>
        <v/>
      </c>
      <c r="O2452">
        <f>IF(B2452,ROUND(MAX(0,J2452*K2452*L2452*M2452*N2452),2),"")</f>
        <v/>
      </c>
    </row>
    <row r="2453">
      <c r="A2453" t="n">
        <v>2452</v>
      </c>
      <c r="B2453">
        <f>A2453&lt;=MineCount*Days</f>
        <v/>
      </c>
      <c r="C2453">
        <f>IF(B2453,INT((A2453-1)/Days)+1,"")</f>
        <v/>
      </c>
      <c r="D2453">
        <f>IF(B2453,MOD(A2453-1,Days),"")</f>
        <v/>
      </c>
      <c r="E2453" s="16">
        <f>IF(B2453,StartDate+D2453,"")</f>
        <v/>
      </c>
      <c r="F2453">
        <f>IF(B2453,MAX(MOD(SIN(Seed*0.1373+C2453*12.9898+D2453*78.233)*43758.5453,1),1E-9),"")</f>
        <v/>
      </c>
      <c r="G2453">
        <f>IF(B2453,MOD(SIN(Seed*0.5917+C2453*39.3468+D2453*11.135)*24634.6345,1),"")</f>
        <v/>
      </c>
      <c r="H2453">
        <f>IF(B2453,SQRT(-2*LN(F2453))*COS(2*PI()*G2453),"")</f>
        <v/>
      </c>
      <c r="I2453">
        <f>IF(B2453,IF(D2453=0,H2453,Rho*I2452+SQRT(1-Rho^2)*H2453),"")</f>
        <v/>
      </c>
      <c r="J2453">
        <f>IF(B2453,IF(Dist="Normal",DistA+DistB*I2453,DistA+(DistB-DistA)*NORMSDIST(I2453)),"")</f>
        <v/>
      </c>
      <c r="K2453">
        <f>IF(B2453,INDEX(MineScale,C2453),"")</f>
        <v/>
      </c>
      <c r="L2453">
        <f>IF(B2453,INDEX(Dow,1,WEEKDAY(E2453,2)),"")</f>
        <v/>
      </c>
      <c r="M2453">
        <f>IF(B2453,(1+Trend)^D2453,"")</f>
        <v/>
      </c>
      <c r="N2453">
        <f>IF(B2453,EXP(SUMPRODUCT(LN(1+(EvEff-1)*INDEX(Affected,0,C2453)*EXP(-((E2453-EvCenter)^2)/(2*EvSigma^2))))),"")</f>
        <v/>
      </c>
      <c r="O2453">
        <f>IF(B2453,ROUND(MAX(0,J2453*K2453*L2453*M2453*N2453),2),"")</f>
        <v/>
      </c>
    </row>
    <row r="2454">
      <c r="A2454" t="n">
        <v>2453</v>
      </c>
      <c r="B2454">
        <f>A2454&lt;=MineCount*Days</f>
        <v/>
      </c>
      <c r="C2454">
        <f>IF(B2454,INT((A2454-1)/Days)+1,"")</f>
        <v/>
      </c>
      <c r="D2454">
        <f>IF(B2454,MOD(A2454-1,Days),"")</f>
        <v/>
      </c>
      <c r="E2454" s="16">
        <f>IF(B2454,StartDate+D2454,"")</f>
        <v/>
      </c>
      <c r="F2454">
        <f>IF(B2454,MAX(MOD(SIN(Seed*0.1373+C2454*12.9898+D2454*78.233)*43758.5453,1),1E-9),"")</f>
        <v/>
      </c>
      <c r="G2454">
        <f>IF(B2454,MOD(SIN(Seed*0.5917+C2454*39.3468+D2454*11.135)*24634.6345,1),"")</f>
        <v/>
      </c>
      <c r="H2454">
        <f>IF(B2454,SQRT(-2*LN(F2454))*COS(2*PI()*G2454),"")</f>
        <v/>
      </c>
      <c r="I2454">
        <f>IF(B2454,IF(D2454=0,H2454,Rho*I2453+SQRT(1-Rho^2)*H2454),"")</f>
        <v/>
      </c>
      <c r="J2454">
        <f>IF(B2454,IF(Dist="Normal",DistA+DistB*I2454,DistA+(DistB-DistA)*NORMSDIST(I2454)),"")</f>
        <v/>
      </c>
      <c r="K2454">
        <f>IF(B2454,INDEX(MineScale,C2454),"")</f>
        <v/>
      </c>
      <c r="L2454">
        <f>IF(B2454,INDEX(Dow,1,WEEKDAY(E2454,2)),"")</f>
        <v/>
      </c>
      <c r="M2454">
        <f>IF(B2454,(1+Trend)^D2454,"")</f>
        <v/>
      </c>
      <c r="N2454">
        <f>IF(B2454,EXP(SUMPRODUCT(LN(1+(EvEff-1)*INDEX(Affected,0,C2454)*EXP(-((E2454-EvCenter)^2)/(2*EvSigma^2))))),"")</f>
        <v/>
      </c>
      <c r="O2454">
        <f>IF(B2454,ROUND(MAX(0,J2454*K2454*L2454*M2454*N2454),2),"")</f>
        <v/>
      </c>
    </row>
    <row r="2455">
      <c r="A2455" t="n">
        <v>2454</v>
      </c>
      <c r="B2455">
        <f>A2455&lt;=MineCount*Days</f>
        <v/>
      </c>
      <c r="C2455">
        <f>IF(B2455,INT((A2455-1)/Days)+1,"")</f>
        <v/>
      </c>
      <c r="D2455">
        <f>IF(B2455,MOD(A2455-1,Days),"")</f>
        <v/>
      </c>
      <c r="E2455" s="16">
        <f>IF(B2455,StartDate+D2455,"")</f>
        <v/>
      </c>
      <c r="F2455">
        <f>IF(B2455,MAX(MOD(SIN(Seed*0.1373+C2455*12.9898+D2455*78.233)*43758.5453,1),1E-9),"")</f>
        <v/>
      </c>
      <c r="G2455">
        <f>IF(B2455,MOD(SIN(Seed*0.5917+C2455*39.3468+D2455*11.135)*24634.6345,1),"")</f>
        <v/>
      </c>
      <c r="H2455">
        <f>IF(B2455,SQRT(-2*LN(F2455))*COS(2*PI()*G2455),"")</f>
        <v/>
      </c>
      <c r="I2455">
        <f>IF(B2455,IF(D2455=0,H2455,Rho*I2454+SQRT(1-Rho^2)*H2455),"")</f>
        <v/>
      </c>
      <c r="J2455">
        <f>IF(B2455,IF(Dist="Normal",DistA+DistB*I2455,DistA+(DistB-DistA)*NORMSDIST(I2455)),"")</f>
        <v/>
      </c>
      <c r="K2455">
        <f>IF(B2455,INDEX(MineScale,C2455),"")</f>
        <v/>
      </c>
      <c r="L2455">
        <f>IF(B2455,INDEX(Dow,1,WEEKDAY(E2455,2)),"")</f>
        <v/>
      </c>
      <c r="M2455">
        <f>IF(B2455,(1+Trend)^D2455,"")</f>
        <v/>
      </c>
      <c r="N2455">
        <f>IF(B2455,EXP(SUMPRODUCT(LN(1+(EvEff-1)*INDEX(Affected,0,C2455)*EXP(-((E2455-EvCenter)^2)/(2*EvSigma^2))))),"")</f>
        <v/>
      </c>
      <c r="O2455">
        <f>IF(B2455,ROUND(MAX(0,J2455*K2455*L2455*M2455*N2455),2),"")</f>
        <v/>
      </c>
    </row>
    <row r="2456">
      <c r="A2456" t="n">
        <v>2455</v>
      </c>
      <c r="B2456">
        <f>A2456&lt;=MineCount*Days</f>
        <v/>
      </c>
      <c r="C2456">
        <f>IF(B2456,INT((A2456-1)/Days)+1,"")</f>
        <v/>
      </c>
      <c r="D2456">
        <f>IF(B2456,MOD(A2456-1,Days),"")</f>
        <v/>
      </c>
      <c r="E2456" s="16">
        <f>IF(B2456,StartDate+D2456,"")</f>
        <v/>
      </c>
      <c r="F2456">
        <f>IF(B2456,MAX(MOD(SIN(Seed*0.1373+C2456*12.9898+D2456*78.233)*43758.5453,1),1E-9),"")</f>
        <v/>
      </c>
      <c r="G2456">
        <f>IF(B2456,MOD(SIN(Seed*0.5917+C2456*39.3468+D2456*11.135)*24634.6345,1),"")</f>
        <v/>
      </c>
      <c r="H2456">
        <f>IF(B2456,SQRT(-2*LN(F2456))*COS(2*PI()*G2456),"")</f>
        <v/>
      </c>
      <c r="I2456">
        <f>IF(B2456,IF(D2456=0,H2456,Rho*I2455+SQRT(1-Rho^2)*H2456),"")</f>
        <v/>
      </c>
      <c r="J2456">
        <f>IF(B2456,IF(Dist="Normal",DistA+DistB*I2456,DistA+(DistB-DistA)*NORMSDIST(I2456)),"")</f>
        <v/>
      </c>
      <c r="K2456">
        <f>IF(B2456,INDEX(MineScale,C2456),"")</f>
        <v/>
      </c>
      <c r="L2456">
        <f>IF(B2456,INDEX(Dow,1,WEEKDAY(E2456,2)),"")</f>
        <v/>
      </c>
      <c r="M2456">
        <f>IF(B2456,(1+Trend)^D2456,"")</f>
        <v/>
      </c>
      <c r="N2456">
        <f>IF(B2456,EXP(SUMPRODUCT(LN(1+(EvEff-1)*INDEX(Affected,0,C2456)*EXP(-((E2456-EvCenter)^2)/(2*EvSigma^2))))),"")</f>
        <v/>
      </c>
      <c r="O2456">
        <f>IF(B2456,ROUND(MAX(0,J2456*K2456*L2456*M2456*N2456),2),"")</f>
        <v/>
      </c>
    </row>
    <row r="2457">
      <c r="A2457" t="n">
        <v>2456</v>
      </c>
      <c r="B2457">
        <f>A2457&lt;=MineCount*Days</f>
        <v/>
      </c>
      <c r="C2457">
        <f>IF(B2457,INT((A2457-1)/Days)+1,"")</f>
        <v/>
      </c>
      <c r="D2457">
        <f>IF(B2457,MOD(A2457-1,Days),"")</f>
        <v/>
      </c>
      <c r="E2457" s="16">
        <f>IF(B2457,StartDate+D2457,"")</f>
        <v/>
      </c>
      <c r="F2457">
        <f>IF(B2457,MAX(MOD(SIN(Seed*0.1373+C2457*12.9898+D2457*78.233)*43758.5453,1),1E-9),"")</f>
        <v/>
      </c>
      <c r="G2457">
        <f>IF(B2457,MOD(SIN(Seed*0.5917+C2457*39.3468+D2457*11.135)*24634.6345,1),"")</f>
        <v/>
      </c>
      <c r="H2457">
        <f>IF(B2457,SQRT(-2*LN(F2457))*COS(2*PI()*G2457),"")</f>
        <v/>
      </c>
      <c r="I2457">
        <f>IF(B2457,IF(D2457=0,H2457,Rho*I2456+SQRT(1-Rho^2)*H2457),"")</f>
        <v/>
      </c>
      <c r="J2457">
        <f>IF(B2457,IF(Dist="Normal",DistA+DistB*I2457,DistA+(DistB-DistA)*NORMSDIST(I2457)),"")</f>
        <v/>
      </c>
      <c r="K2457">
        <f>IF(B2457,INDEX(MineScale,C2457),"")</f>
        <v/>
      </c>
      <c r="L2457">
        <f>IF(B2457,INDEX(Dow,1,WEEKDAY(E2457,2)),"")</f>
        <v/>
      </c>
      <c r="M2457">
        <f>IF(B2457,(1+Trend)^D2457,"")</f>
        <v/>
      </c>
      <c r="N2457">
        <f>IF(B2457,EXP(SUMPRODUCT(LN(1+(EvEff-1)*INDEX(Affected,0,C2457)*EXP(-((E2457-EvCenter)^2)/(2*EvSigma^2))))),"")</f>
        <v/>
      </c>
      <c r="O2457">
        <f>IF(B2457,ROUND(MAX(0,J2457*K2457*L2457*M2457*N2457),2),"")</f>
        <v/>
      </c>
    </row>
    <row r="2458">
      <c r="A2458" t="n">
        <v>2457</v>
      </c>
      <c r="B2458">
        <f>A2458&lt;=MineCount*Days</f>
        <v/>
      </c>
      <c r="C2458">
        <f>IF(B2458,INT((A2458-1)/Days)+1,"")</f>
        <v/>
      </c>
      <c r="D2458">
        <f>IF(B2458,MOD(A2458-1,Days),"")</f>
        <v/>
      </c>
      <c r="E2458" s="16">
        <f>IF(B2458,StartDate+D2458,"")</f>
        <v/>
      </c>
      <c r="F2458">
        <f>IF(B2458,MAX(MOD(SIN(Seed*0.1373+C2458*12.9898+D2458*78.233)*43758.5453,1),1E-9),"")</f>
        <v/>
      </c>
      <c r="G2458">
        <f>IF(B2458,MOD(SIN(Seed*0.5917+C2458*39.3468+D2458*11.135)*24634.6345,1),"")</f>
        <v/>
      </c>
      <c r="H2458">
        <f>IF(B2458,SQRT(-2*LN(F2458))*COS(2*PI()*G2458),"")</f>
        <v/>
      </c>
      <c r="I2458">
        <f>IF(B2458,IF(D2458=0,H2458,Rho*I2457+SQRT(1-Rho^2)*H2458),"")</f>
        <v/>
      </c>
      <c r="J2458">
        <f>IF(B2458,IF(Dist="Normal",DistA+DistB*I2458,DistA+(DistB-DistA)*NORMSDIST(I2458)),"")</f>
        <v/>
      </c>
      <c r="K2458">
        <f>IF(B2458,INDEX(MineScale,C2458),"")</f>
        <v/>
      </c>
      <c r="L2458">
        <f>IF(B2458,INDEX(Dow,1,WEEKDAY(E2458,2)),"")</f>
        <v/>
      </c>
      <c r="M2458">
        <f>IF(B2458,(1+Trend)^D2458,"")</f>
        <v/>
      </c>
      <c r="N2458">
        <f>IF(B2458,EXP(SUMPRODUCT(LN(1+(EvEff-1)*INDEX(Affected,0,C2458)*EXP(-((E2458-EvCenter)^2)/(2*EvSigma^2))))),"")</f>
        <v/>
      </c>
      <c r="O2458">
        <f>IF(B2458,ROUND(MAX(0,J2458*K2458*L2458*M2458*N2458),2),"")</f>
        <v/>
      </c>
    </row>
    <row r="2459">
      <c r="A2459" t="n">
        <v>2458</v>
      </c>
      <c r="B2459">
        <f>A2459&lt;=MineCount*Days</f>
        <v/>
      </c>
      <c r="C2459">
        <f>IF(B2459,INT((A2459-1)/Days)+1,"")</f>
        <v/>
      </c>
      <c r="D2459">
        <f>IF(B2459,MOD(A2459-1,Days),"")</f>
        <v/>
      </c>
      <c r="E2459" s="16">
        <f>IF(B2459,StartDate+D2459,"")</f>
        <v/>
      </c>
      <c r="F2459">
        <f>IF(B2459,MAX(MOD(SIN(Seed*0.1373+C2459*12.9898+D2459*78.233)*43758.5453,1),1E-9),"")</f>
        <v/>
      </c>
      <c r="G2459">
        <f>IF(B2459,MOD(SIN(Seed*0.5917+C2459*39.3468+D2459*11.135)*24634.6345,1),"")</f>
        <v/>
      </c>
      <c r="H2459">
        <f>IF(B2459,SQRT(-2*LN(F2459))*COS(2*PI()*G2459),"")</f>
        <v/>
      </c>
      <c r="I2459">
        <f>IF(B2459,IF(D2459=0,H2459,Rho*I2458+SQRT(1-Rho^2)*H2459),"")</f>
        <v/>
      </c>
      <c r="J2459">
        <f>IF(B2459,IF(Dist="Normal",DistA+DistB*I2459,DistA+(DistB-DistA)*NORMSDIST(I2459)),"")</f>
        <v/>
      </c>
      <c r="K2459">
        <f>IF(B2459,INDEX(MineScale,C2459),"")</f>
        <v/>
      </c>
      <c r="L2459">
        <f>IF(B2459,INDEX(Dow,1,WEEKDAY(E2459,2)),"")</f>
        <v/>
      </c>
      <c r="M2459">
        <f>IF(B2459,(1+Trend)^D2459,"")</f>
        <v/>
      </c>
      <c r="N2459">
        <f>IF(B2459,EXP(SUMPRODUCT(LN(1+(EvEff-1)*INDEX(Affected,0,C2459)*EXP(-((E2459-EvCenter)^2)/(2*EvSigma^2))))),"")</f>
        <v/>
      </c>
      <c r="O2459">
        <f>IF(B2459,ROUND(MAX(0,J2459*K2459*L2459*M2459*N2459),2),"")</f>
        <v/>
      </c>
    </row>
    <row r="2460">
      <c r="A2460" t="n">
        <v>2459</v>
      </c>
      <c r="B2460">
        <f>A2460&lt;=MineCount*Days</f>
        <v/>
      </c>
      <c r="C2460">
        <f>IF(B2460,INT((A2460-1)/Days)+1,"")</f>
        <v/>
      </c>
      <c r="D2460">
        <f>IF(B2460,MOD(A2460-1,Days),"")</f>
        <v/>
      </c>
      <c r="E2460" s="16">
        <f>IF(B2460,StartDate+D2460,"")</f>
        <v/>
      </c>
      <c r="F2460">
        <f>IF(B2460,MAX(MOD(SIN(Seed*0.1373+C2460*12.9898+D2460*78.233)*43758.5453,1),1E-9),"")</f>
        <v/>
      </c>
      <c r="G2460">
        <f>IF(B2460,MOD(SIN(Seed*0.5917+C2460*39.3468+D2460*11.135)*24634.6345,1),"")</f>
        <v/>
      </c>
      <c r="H2460">
        <f>IF(B2460,SQRT(-2*LN(F2460))*COS(2*PI()*G2460),"")</f>
        <v/>
      </c>
      <c r="I2460">
        <f>IF(B2460,IF(D2460=0,H2460,Rho*I2459+SQRT(1-Rho^2)*H2460),"")</f>
        <v/>
      </c>
      <c r="J2460">
        <f>IF(B2460,IF(Dist="Normal",DistA+DistB*I2460,DistA+(DistB-DistA)*NORMSDIST(I2460)),"")</f>
        <v/>
      </c>
      <c r="K2460">
        <f>IF(B2460,INDEX(MineScale,C2460),"")</f>
        <v/>
      </c>
      <c r="L2460">
        <f>IF(B2460,INDEX(Dow,1,WEEKDAY(E2460,2)),"")</f>
        <v/>
      </c>
      <c r="M2460">
        <f>IF(B2460,(1+Trend)^D2460,"")</f>
        <v/>
      </c>
      <c r="N2460">
        <f>IF(B2460,EXP(SUMPRODUCT(LN(1+(EvEff-1)*INDEX(Affected,0,C2460)*EXP(-((E2460-EvCenter)^2)/(2*EvSigma^2))))),"")</f>
        <v/>
      </c>
      <c r="O2460">
        <f>IF(B2460,ROUND(MAX(0,J2460*K2460*L2460*M2460*N2460),2),"")</f>
        <v/>
      </c>
    </row>
    <row r="2461">
      <c r="A2461" t="n">
        <v>2460</v>
      </c>
      <c r="B2461">
        <f>A2461&lt;=MineCount*Days</f>
        <v/>
      </c>
      <c r="C2461">
        <f>IF(B2461,INT((A2461-1)/Days)+1,"")</f>
        <v/>
      </c>
      <c r="D2461">
        <f>IF(B2461,MOD(A2461-1,Days),"")</f>
        <v/>
      </c>
      <c r="E2461" s="16">
        <f>IF(B2461,StartDate+D2461,"")</f>
        <v/>
      </c>
      <c r="F2461">
        <f>IF(B2461,MAX(MOD(SIN(Seed*0.1373+C2461*12.9898+D2461*78.233)*43758.5453,1),1E-9),"")</f>
        <v/>
      </c>
      <c r="G2461">
        <f>IF(B2461,MOD(SIN(Seed*0.5917+C2461*39.3468+D2461*11.135)*24634.6345,1),"")</f>
        <v/>
      </c>
      <c r="H2461">
        <f>IF(B2461,SQRT(-2*LN(F2461))*COS(2*PI()*G2461),"")</f>
        <v/>
      </c>
      <c r="I2461">
        <f>IF(B2461,IF(D2461=0,H2461,Rho*I2460+SQRT(1-Rho^2)*H2461),"")</f>
        <v/>
      </c>
      <c r="J2461">
        <f>IF(B2461,IF(Dist="Normal",DistA+DistB*I2461,DistA+(DistB-DistA)*NORMSDIST(I2461)),"")</f>
        <v/>
      </c>
      <c r="K2461">
        <f>IF(B2461,INDEX(MineScale,C2461),"")</f>
        <v/>
      </c>
      <c r="L2461">
        <f>IF(B2461,INDEX(Dow,1,WEEKDAY(E2461,2)),"")</f>
        <v/>
      </c>
      <c r="M2461">
        <f>IF(B2461,(1+Trend)^D2461,"")</f>
        <v/>
      </c>
      <c r="N2461">
        <f>IF(B2461,EXP(SUMPRODUCT(LN(1+(EvEff-1)*INDEX(Affected,0,C2461)*EXP(-((E2461-EvCenter)^2)/(2*EvSigma^2))))),"")</f>
        <v/>
      </c>
      <c r="O2461">
        <f>IF(B2461,ROUND(MAX(0,J2461*K2461*L2461*M2461*N2461),2),"")</f>
        <v/>
      </c>
    </row>
    <row r="2462">
      <c r="A2462" t="n">
        <v>2461</v>
      </c>
      <c r="B2462">
        <f>A2462&lt;=MineCount*Days</f>
        <v/>
      </c>
      <c r="C2462">
        <f>IF(B2462,INT((A2462-1)/Days)+1,"")</f>
        <v/>
      </c>
      <c r="D2462">
        <f>IF(B2462,MOD(A2462-1,Days),"")</f>
        <v/>
      </c>
      <c r="E2462" s="16">
        <f>IF(B2462,StartDate+D2462,"")</f>
        <v/>
      </c>
      <c r="F2462">
        <f>IF(B2462,MAX(MOD(SIN(Seed*0.1373+C2462*12.9898+D2462*78.233)*43758.5453,1),1E-9),"")</f>
        <v/>
      </c>
      <c r="G2462">
        <f>IF(B2462,MOD(SIN(Seed*0.5917+C2462*39.3468+D2462*11.135)*24634.6345,1),"")</f>
        <v/>
      </c>
      <c r="H2462">
        <f>IF(B2462,SQRT(-2*LN(F2462))*COS(2*PI()*G2462),"")</f>
        <v/>
      </c>
      <c r="I2462">
        <f>IF(B2462,IF(D2462=0,H2462,Rho*I2461+SQRT(1-Rho^2)*H2462),"")</f>
        <v/>
      </c>
      <c r="J2462">
        <f>IF(B2462,IF(Dist="Normal",DistA+DistB*I2462,DistA+(DistB-DistA)*NORMSDIST(I2462)),"")</f>
        <v/>
      </c>
      <c r="K2462">
        <f>IF(B2462,INDEX(MineScale,C2462),"")</f>
        <v/>
      </c>
      <c r="L2462">
        <f>IF(B2462,INDEX(Dow,1,WEEKDAY(E2462,2)),"")</f>
        <v/>
      </c>
      <c r="M2462">
        <f>IF(B2462,(1+Trend)^D2462,"")</f>
        <v/>
      </c>
      <c r="N2462">
        <f>IF(B2462,EXP(SUMPRODUCT(LN(1+(EvEff-1)*INDEX(Affected,0,C2462)*EXP(-((E2462-EvCenter)^2)/(2*EvSigma^2))))),"")</f>
        <v/>
      </c>
      <c r="O2462">
        <f>IF(B2462,ROUND(MAX(0,J2462*K2462*L2462*M2462*N2462),2),"")</f>
        <v/>
      </c>
    </row>
    <row r="2463">
      <c r="A2463" t="n">
        <v>2462</v>
      </c>
      <c r="B2463">
        <f>A2463&lt;=MineCount*Days</f>
        <v/>
      </c>
      <c r="C2463">
        <f>IF(B2463,INT((A2463-1)/Days)+1,"")</f>
        <v/>
      </c>
      <c r="D2463">
        <f>IF(B2463,MOD(A2463-1,Days),"")</f>
        <v/>
      </c>
      <c r="E2463" s="16">
        <f>IF(B2463,StartDate+D2463,"")</f>
        <v/>
      </c>
      <c r="F2463">
        <f>IF(B2463,MAX(MOD(SIN(Seed*0.1373+C2463*12.9898+D2463*78.233)*43758.5453,1),1E-9),"")</f>
        <v/>
      </c>
      <c r="G2463">
        <f>IF(B2463,MOD(SIN(Seed*0.5917+C2463*39.3468+D2463*11.135)*24634.6345,1),"")</f>
        <v/>
      </c>
      <c r="H2463">
        <f>IF(B2463,SQRT(-2*LN(F2463))*COS(2*PI()*G2463),"")</f>
        <v/>
      </c>
      <c r="I2463">
        <f>IF(B2463,IF(D2463=0,H2463,Rho*I2462+SQRT(1-Rho^2)*H2463),"")</f>
        <v/>
      </c>
      <c r="J2463">
        <f>IF(B2463,IF(Dist="Normal",DistA+DistB*I2463,DistA+(DistB-DistA)*NORMSDIST(I2463)),"")</f>
        <v/>
      </c>
      <c r="K2463">
        <f>IF(B2463,INDEX(MineScale,C2463),"")</f>
        <v/>
      </c>
      <c r="L2463">
        <f>IF(B2463,INDEX(Dow,1,WEEKDAY(E2463,2)),"")</f>
        <v/>
      </c>
      <c r="M2463">
        <f>IF(B2463,(1+Trend)^D2463,"")</f>
        <v/>
      </c>
      <c r="N2463">
        <f>IF(B2463,EXP(SUMPRODUCT(LN(1+(EvEff-1)*INDEX(Affected,0,C2463)*EXP(-((E2463-EvCenter)^2)/(2*EvSigma^2))))),"")</f>
        <v/>
      </c>
      <c r="O2463">
        <f>IF(B2463,ROUND(MAX(0,J2463*K2463*L2463*M2463*N2463),2),"")</f>
        <v/>
      </c>
    </row>
    <row r="2464">
      <c r="A2464" t="n">
        <v>2463</v>
      </c>
      <c r="B2464">
        <f>A2464&lt;=MineCount*Days</f>
        <v/>
      </c>
      <c r="C2464">
        <f>IF(B2464,INT((A2464-1)/Days)+1,"")</f>
        <v/>
      </c>
      <c r="D2464">
        <f>IF(B2464,MOD(A2464-1,Days),"")</f>
        <v/>
      </c>
      <c r="E2464" s="16">
        <f>IF(B2464,StartDate+D2464,"")</f>
        <v/>
      </c>
      <c r="F2464">
        <f>IF(B2464,MAX(MOD(SIN(Seed*0.1373+C2464*12.9898+D2464*78.233)*43758.5453,1),1E-9),"")</f>
        <v/>
      </c>
      <c r="G2464">
        <f>IF(B2464,MOD(SIN(Seed*0.5917+C2464*39.3468+D2464*11.135)*24634.6345,1),"")</f>
        <v/>
      </c>
      <c r="H2464">
        <f>IF(B2464,SQRT(-2*LN(F2464))*COS(2*PI()*G2464),"")</f>
        <v/>
      </c>
      <c r="I2464">
        <f>IF(B2464,IF(D2464=0,H2464,Rho*I2463+SQRT(1-Rho^2)*H2464),"")</f>
        <v/>
      </c>
      <c r="J2464">
        <f>IF(B2464,IF(Dist="Normal",DistA+DistB*I2464,DistA+(DistB-DistA)*NORMSDIST(I2464)),"")</f>
        <v/>
      </c>
      <c r="K2464">
        <f>IF(B2464,INDEX(MineScale,C2464),"")</f>
        <v/>
      </c>
      <c r="L2464">
        <f>IF(B2464,INDEX(Dow,1,WEEKDAY(E2464,2)),"")</f>
        <v/>
      </c>
      <c r="M2464">
        <f>IF(B2464,(1+Trend)^D2464,"")</f>
        <v/>
      </c>
      <c r="N2464">
        <f>IF(B2464,EXP(SUMPRODUCT(LN(1+(EvEff-1)*INDEX(Affected,0,C2464)*EXP(-((E2464-EvCenter)^2)/(2*EvSigma^2))))),"")</f>
        <v/>
      </c>
      <c r="O2464">
        <f>IF(B2464,ROUND(MAX(0,J2464*K2464*L2464*M2464*N2464),2),"")</f>
        <v/>
      </c>
    </row>
    <row r="2465">
      <c r="A2465" t="n">
        <v>2464</v>
      </c>
      <c r="B2465">
        <f>A2465&lt;=MineCount*Days</f>
        <v/>
      </c>
      <c r="C2465">
        <f>IF(B2465,INT((A2465-1)/Days)+1,"")</f>
        <v/>
      </c>
      <c r="D2465">
        <f>IF(B2465,MOD(A2465-1,Days),"")</f>
        <v/>
      </c>
      <c r="E2465" s="16">
        <f>IF(B2465,StartDate+D2465,"")</f>
        <v/>
      </c>
      <c r="F2465">
        <f>IF(B2465,MAX(MOD(SIN(Seed*0.1373+C2465*12.9898+D2465*78.233)*43758.5453,1),1E-9),"")</f>
        <v/>
      </c>
      <c r="G2465">
        <f>IF(B2465,MOD(SIN(Seed*0.5917+C2465*39.3468+D2465*11.135)*24634.6345,1),"")</f>
        <v/>
      </c>
      <c r="H2465">
        <f>IF(B2465,SQRT(-2*LN(F2465))*COS(2*PI()*G2465),"")</f>
        <v/>
      </c>
      <c r="I2465">
        <f>IF(B2465,IF(D2465=0,H2465,Rho*I2464+SQRT(1-Rho^2)*H2465),"")</f>
        <v/>
      </c>
      <c r="J2465">
        <f>IF(B2465,IF(Dist="Normal",DistA+DistB*I2465,DistA+(DistB-DistA)*NORMSDIST(I2465)),"")</f>
        <v/>
      </c>
      <c r="K2465">
        <f>IF(B2465,INDEX(MineScale,C2465),"")</f>
        <v/>
      </c>
      <c r="L2465">
        <f>IF(B2465,INDEX(Dow,1,WEEKDAY(E2465,2)),"")</f>
        <v/>
      </c>
      <c r="M2465">
        <f>IF(B2465,(1+Trend)^D2465,"")</f>
        <v/>
      </c>
      <c r="N2465">
        <f>IF(B2465,EXP(SUMPRODUCT(LN(1+(EvEff-1)*INDEX(Affected,0,C2465)*EXP(-((E2465-EvCenter)^2)/(2*EvSigma^2))))),"")</f>
        <v/>
      </c>
      <c r="O2465">
        <f>IF(B2465,ROUND(MAX(0,J2465*K2465*L2465*M2465*N2465),2),"")</f>
        <v/>
      </c>
    </row>
    <row r="2466">
      <c r="A2466" t="n">
        <v>2465</v>
      </c>
      <c r="B2466">
        <f>A2466&lt;=MineCount*Days</f>
        <v/>
      </c>
      <c r="C2466">
        <f>IF(B2466,INT((A2466-1)/Days)+1,"")</f>
        <v/>
      </c>
      <c r="D2466">
        <f>IF(B2466,MOD(A2466-1,Days),"")</f>
        <v/>
      </c>
      <c r="E2466" s="16">
        <f>IF(B2466,StartDate+D2466,"")</f>
        <v/>
      </c>
      <c r="F2466">
        <f>IF(B2466,MAX(MOD(SIN(Seed*0.1373+C2466*12.9898+D2466*78.233)*43758.5453,1),1E-9),"")</f>
        <v/>
      </c>
      <c r="G2466">
        <f>IF(B2466,MOD(SIN(Seed*0.5917+C2466*39.3468+D2466*11.135)*24634.6345,1),"")</f>
        <v/>
      </c>
      <c r="H2466">
        <f>IF(B2466,SQRT(-2*LN(F2466))*COS(2*PI()*G2466),"")</f>
        <v/>
      </c>
      <c r="I2466">
        <f>IF(B2466,IF(D2466=0,H2466,Rho*I2465+SQRT(1-Rho^2)*H2466),"")</f>
        <v/>
      </c>
      <c r="J2466">
        <f>IF(B2466,IF(Dist="Normal",DistA+DistB*I2466,DistA+(DistB-DistA)*NORMSDIST(I2466)),"")</f>
        <v/>
      </c>
      <c r="K2466">
        <f>IF(B2466,INDEX(MineScale,C2466),"")</f>
        <v/>
      </c>
      <c r="L2466">
        <f>IF(B2466,INDEX(Dow,1,WEEKDAY(E2466,2)),"")</f>
        <v/>
      </c>
      <c r="M2466">
        <f>IF(B2466,(1+Trend)^D2466,"")</f>
        <v/>
      </c>
      <c r="N2466">
        <f>IF(B2466,EXP(SUMPRODUCT(LN(1+(EvEff-1)*INDEX(Affected,0,C2466)*EXP(-((E2466-EvCenter)^2)/(2*EvSigma^2))))),"")</f>
        <v/>
      </c>
      <c r="O2466">
        <f>IF(B2466,ROUND(MAX(0,J2466*K2466*L2466*M2466*N2466),2),"")</f>
        <v/>
      </c>
    </row>
    <row r="2467">
      <c r="A2467" t="n">
        <v>2466</v>
      </c>
      <c r="B2467">
        <f>A2467&lt;=MineCount*Days</f>
        <v/>
      </c>
      <c r="C2467">
        <f>IF(B2467,INT((A2467-1)/Days)+1,"")</f>
        <v/>
      </c>
      <c r="D2467">
        <f>IF(B2467,MOD(A2467-1,Days),"")</f>
        <v/>
      </c>
      <c r="E2467" s="16">
        <f>IF(B2467,StartDate+D2467,"")</f>
        <v/>
      </c>
      <c r="F2467">
        <f>IF(B2467,MAX(MOD(SIN(Seed*0.1373+C2467*12.9898+D2467*78.233)*43758.5453,1),1E-9),"")</f>
        <v/>
      </c>
      <c r="G2467">
        <f>IF(B2467,MOD(SIN(Seed*0.5917+C2467*39.3468+D2467*11.135)*24634.6345,1),"")</f>
        <v/>
      </c>
      <c r="H2467">
        <f>IF(B2467,SQRT(-2*LN(F2467))*COS(2*PI()*G2467),"")</f>
        <v/>
      </c>
      <c r="I2467">
        <f>IF(B2467,IF(D2467=0,H2467,Rho*I2466+SQRT(1-Rho^2)*H2467),"")</f>
        <v/>
      </c>
      <c r="J2467">
        <f>IF(B2467,IF(Dist="Normal",DistA+DistB*I2467,DistA+(DistB-DistA)*NORMSDIST(I2467)),"")</f>
        <v/>
      </c>
      <c r="K2467">
        <f>IF(B2467,INDEX(MineScale,C2467),"")</f>
        <v/>
      </c>
      <c r="L2467">
        <f>IF(B2467,INDEX(Dow,1,WEEKDAY(E2467,2)),"")</f>
        <v/>
      </c>
      <c r="M2467">
        <f>IF(B2467,(1+Trend)^D2467,"")</f>
        <v/>
      </c>
      <c r="N2467">
        <f>IF(B2467,EXP(SUMPRODUCT(LN(1+(EvEff-1)*INDEX(Affected,0,C2467)*EXP(-((E2467-EvCenter)^2)/(2*EvSigma^2))))),"")</f>
        <v/>
      </c>
      <c r="O2467">
        <f>IF(B2467,ROUND(MAX(0,J2467*K2467*L2467*M2467*N2467),2),"")</f>
        <v/>
      </c>
    </row>
    <row r="2468">
      <c r="A2468" t="n">
        <v>2467</v>
      </c>
      <c r="B2468">
        <f>A2468&lt;=MineCount*Days</f>
        <v/>
      </c>
      <c r="C2468">
        <f>IF(B2468,INT((A2468-1)/Days)+1,"")</f>
        <v/>
      </c>
      <c r="D2468">
        <f>IF(B2468,MOD(A2468-1,Days),"")</f>
        <v/>
      </c>
      <c r="E2468" s="16">
        <f>IF(B2468,StartDate+D2468,"")</f>
        <v/>
      </c>
      <c r="F2468">
        <f>IF(B2468,MAX(MOD(SIN(Seed*0.1373+C2468*12.9898+D2468*78.233)*43758.5453,1),1E-9),"")</f>
        <v/>
      </c>
      <c r="G2468">
        <f>IF(B2468,MOD(SIN(Seed*0.5917+C2468*39.3468+D2468*11.135)*24634.6345,1),"")</f>
        <v/>
      </c>
      <c r="H2468">
        <f>IF(B2468,SQRT(-2*LN(F2468))*COS(2*PI()*G2468),"")</f>
        <v/>
      </c>
      <c r="I2468">
        <f>IF(B2468,IF(D2468=0,H2468,Rho*I2467+SQRT(1-Rho^2)*H2468),"")</f>
        <v/>
      </c>
      <c r="J2468">
        <f>IF(B2468,IF(Dist="Normal",DistA+DistB*I2468,DistA+(DistB-DistA)*NORMSDIST(I2468)),"")</f>
        <v/>
      </c>
      <c r="K2468">
        <f>IF(B2468,INDEX(MineScale,C2468),"")</f>
        <v/>
      </c>
      <c r="L2468">
        <f>IF(B2468,INDEX(Dow,1,WEEKDAY(E2468,2)),"")</f>
        <v/>
      </c>
      <c r="M2468">
        <f>IF(B2468,(1+Trend)^D2468,"")</f>
        <v/>
      </c>
      <c r="N2468">
        <f>IF(B2468,EXP(SUMPRODUCT(LN(1+(EvEff-1)*INDEX(Affected,0,C2468)*EXP(-((E2468-EvCenter)^2)/(2*EvSigma^2))))),"")</f>
        <v/>
      </c>
      <c r="O2468">
        <f>IF(B2468,ROUND(MAX(0,J2468*K2468*L2468*M2468*N2468),2),"")</f>
        <v/>
      </c>
    </row>
    <row r="2469">
      <c r="A2469" t="n">
        <v>2468</v>
      </c>
      <c r="B2469">
        <f>A2469&lt;=MineCount*Days</f>
        <v/>
      </c>
      <c r="C2469">
        <f>IF(B2469,INT((A2469-1)/Days)+1,"")</f>
        <v/>
      </c>
      <c r="D2469">
        <f>IF(B2469,MOD(A2469-1,Days),"")</f>
        <v/>
      </c>
      <c r="E2469" s="16">
        <f>IF(B2469,StartDate+D2469,"")</f>
        <v/>
      </c>
      <c r="F2469">
        <f>IF(B2469,MAX(MOD(SIN(Seed*0.1373+C2469*12.9898+D2469*78.233)*43758.5453,1),1E-9),"")</f>
        <v/>
      </c>
      <c r="G2469">
        <f>IF(B2469,MOD(SIN(Seed*0.5917+C2469*39.3468+D2469*11.135)*24634.6345,1),"")</f>
        <v/>
      </c>
      <c r="H2469">
        <f>IF(B2469,SQRT(-2*LN(F2469))*COS(2*PI()*G2469),"")</f>
        <v/>
      </c>
      <c r="I2469">
        <f>IF(B2469,IF(D2469=0,H2469,Rho*I2468+SQRT(1-Rho^2)*H2469),"")</f>
        <v/>
      </c>
      <c r="J2469">
        <f>IF(B2469,IF(Dist="Normal",DistA+DistB*I2469,DistA+(DistB-DistA)*NORMSDIST(I2469)),"")</f>
        <v/>
      </c>
      <c r="K2469">
        <f>IF(B2469,INDEX(MineScale,C2469),"")</f>
        <v/>
      </c>
      <c r="L2469">
        <f>IF(B2469,INDEX(Dow,1,WEEKDAY(E2469,2)),"")</f>
        <v/>
      </c>
      <c r="M2469">
        <f>IF(B2469,(1+Trend)^D2469,"")</f>
        <v/>
      </c>
      <c r="N2469">
        <f>IF(B2469,EXP(SUMPRODUCT(LN(1+(EvEff-1)*INDEX(Affected,0,C2469)*EXP(-((E2469-EvCenter)^2)/(2*EvSigma^2))))),"")</f>
        <v/>
      </c>
      <c r="O2469">
        <f>IF(B2469,ROUND(MAX(0,J2469*K2469*L2469*M2469*N2469),2),"")</f>
        <v/>
      </c>
    </row>
    <row r="2470">
      <c r="A2470" t="n">
        <v>2469</v>
      </c>
      <c r="B2470">
        <f>A2470&lt;=MineCount*Days</f>
        <v/>
      </c>
      <c r="C2470">
        <f>IF(B2470,INT((A2470-1)/Days)+1,"")</f>
        <v/>
      </c>
      <c r="D2470">
        <f>IF(B2470,MOD(A2470-1,Days),"")</f>
        <v/>
      </c>
      <c r="E2470" s="16">
        <f>IF(B2470,StartDate+D2470,"")</f>
        <v/>
      </c>
      <c r="F2470">
        <f>IF(B2470,MAX(MOD(SIN(Seed*0.1373+C2470*12.9898+D2470*78.233)*43758.5453,1),1E-9),"")</f>
        <v/>
      </c>
      <c r="G2470">
        <f>IF(B2470,MOD(SIN(Seed*0.5917+C2470*39.3468+D2470*11.135)*24634.6345,1),"")</f>
        <v/>
      </c>
      <c r="H2470">
        <f>IF(B2470,SQRT(-2*LN(F2470))*COS(2*PI()*G2470),"")</f>
        <v/>
      </c>
      <c r="I2470">
        <f>IF(B2470,IF(D2470=0,H2470,Rho*I2469+SQRT(1-Rho^2)*H2470),"")</f>
        <v/>
      </c>
      <c r="J2470">
        <f>IF(B2470,IF(Dist="Normal",DistA+DistB*I2470,DistA+(DistB-DistA)*NORMSDIST(I2470)),"")</f>
        <v/>
      </c>
      <c r="K2470">
        <f>IF(B2470,INDEX(MineScale,C2470),"")</f>
        <v/>
      </c>
      <c r="L2470">
        <f>IF(B2470,INDEX(Dow,1,WEEKDAY(E2470,2)),"")</f>
        <v/>
      </c>
      <c r="M2470">
        <f>IF(B2470,(1+Trend)^D2470,"")</f>
        <v/>
      </c>
      <c r="N2470">
        <f>IF(B2470,EXP(SUMPRODUCT(LN(1+(EvEff-1)*INDEX(Affected,0,C2470)*EXP(-((E2470-EvCenter)^2)/(2*EvSigma^2))))),"")</f>
        <v/>
      </c>
      <c r="O2470">
        <f>IF(B2470,ROUND(MAX(0,J2470*K2470*L2470*M2470*N2470),2),"")</f>
        <v/>
      </c>
    </row>
    <row r="2471">
      <c r="A2471" t="n">
        <v>2470</v>
      </c>
      <c r="B2471">
        <f>A2471&lt;=MineCount*Days</f>
        <v/>
      </c>
      <c r="C2471">
        <f>IF(B2471,INT((A2471-1)/Days)+1,"")</f>
        <v/>
      </c>
      <c r="D2471">
        <f>IF(B2471,MOD(A2471-1,Days),"")</f>
        <v/>
      </c>
      <c r="E2471" s="16">
        <f>IF(B2471,StartDate+D2471,"")</f>
        <v/>
      </c>
      <c r="F2471">
        <f>IF(B2471,MAX(MOD(SIN(Seed*0.1373+C2471*12.9898+D2471*78.233)*43758.5453,1),1E-9),"")</f>
        <v/>
      </c>
      <c r="G2471">
        <f>IF(B2471,MOD(SIN(Seed*0.5917+C2471*39.3468+D2471*11.135)*24634.6345,1),"")</f>
        <v/>
      </c>
      <c r="H2471">
        <f>IF(B2471,SQRT(-2*LN(F2471))*COS(2*PI()*G2471),"")</f>
        <v/>
      </c>
      <c r="I2471">
        <f>IF(B2471,IF(D2471=0,H2471,Rho*I2470+SQRT(1-Rho^2)*H2471),"")</f>
        <v/>
      </c>
      <c r="J2471">
        <f>IF(B2471,IF(Dist="Normal",DistA+DistB*I2471,DistA+(DistB-DistA)*NORMSDIST(I2471)),"")</f>
        <v/>
      </c>
      <c r="K2471">
        <f>IF(B2471,INDEX(MineScale,C2471),"")</f>
        <v/>
      </c>
      <c r="L2471">
        <f>IF(B2471,INDEX(Dow,1,WEEKDAY(E2471,2)),"")</f>
        <v/>
      </c>
      <c r="M2471">
        <f>IF(B2471,(1+Trend)^D2471,"")</f>
        <v/>
      </c>
      <c r="N2471">
        <f>IF(B2471,EXP(SUMPRODUCT(LN(1+(EvEff-1)*INDEX(Affected,0,C2471)*EXP(-((E2471-EvCenter)^2)/(2*EvSigma^2))))),"")</f>
        <v/>
      </c>
      <c r="O2471">
        <f>IF(B2471,ROUND(MAX(0,J2471*K2471*L2471*M2471*N2471),2),"")</f>
        <v/>
      </c>
    </row>
    <row r="2472">
      <c r="A2472" t="n">
        <v>2471</v>
      </c>
      <c r="B2472">
        <f>A2472&lt;=MineCount*Days</f>
        <v/>
      </c>
      <c r="C2472">
        <f>IF(B2472,INT((A2472-1)/Days)+1,"")</f>
        <v/>
      </c>
      <c r="D2472">
        <f>IF(B2472,MOD(A2472-1,Days),"")</f>
        <v/>
      </c>
      <c r="E2472" s="16">
        <f>IF(B2472,StartDate+D2472,"")</f>
        <v/>
      </c>
      <c r="F2472">
        <f>IF(B2472,MAX(MOD(SIN(Seed*0.1373+C2472*12.9898+D2472*78.233)*43758.5453,1),1E-9),"")</f>
        <v/>
      </c>
      <c r="G2472">
        <f>IF(B2472,MOD(SIN(Seed*0.5917+C2472*39.3468+D2472*11.135)*24634.6345,1),"")</f>
        <v/>
      </c>
      <c r="H2472">
        <f>IF(B2472,SQRT(-2*LN(F2472))*COS(2*PI()*G2472),"")</f>
        <v/>
      </c>
      <c r="I2472">
        <f>IF(B2472,IF(D2472=0,H2472,Rho*I2471+SQRT(1-Rho^2)*H2472),"")</f>
        <v/>
      </c>
      <c r="J2472">
        <f>IF(B2472,IF(Dist="Normal",DistA+DistB*I2472,DistA+(DistB-DistA)*NORMSDIST(I2472)),"")</f>
        <v/>
      </c>
      <c r="K2472">
        <f>IF(B2472,INDEX(MineScale,C2472),"")</f>
        <v/>
      </c>
      <c r="L2472">
        <f>IF(B2472,INDEX(Dow,1,WEEKDAY(E2472,2)),"")</f>
        <v/>
      </c>
      <c r="M2472">
        <f>IF(B2472,(1+Trend)^D2472,"")</f>
        <v/>
      </c>
      <c r="N2472">
        <f>IF(B2472,EXP(SUMPRODUCT(LN(1+(EvEff-1)*INDEX(Affected,0,C2472)*EXP(-((E2472-EvCenter)^2)/(2*EvSigma^2))))),"")</f>
        <v/>
      </c>
      <c r="O2472">
        <f>IF(B2472,ROUND(MAX(0,J2472*K2472*L2472*M2472*N2472),2),"")</f>
        <v/>
      </c>
    </row>
    <row r="2473">
      <c r="A2473" t="n">
        <v>2472</v>
      </c>
      <c r="B2473">
        <f>A2473&lt;=MineCount*Days</f>
        <v/>
      </c>
      <c r="C2473">
        <f>IF(B2473,INT((A2473-1)/Days)+1,"")</f>
        <v/>
      </c>
      <c r="D2473">
        <f>IF(B2473,MOD(A2473-1,Days),"")</f>
        <v/>
      </c>
      <c r="E2473" s="16">
        <f>IF(B2473,StartDate+D2473,"")</f>
        <v/>
      </c>
      <c r="F2473">
        <f>IF(B2473,MAX(MOD(SIN(Seed*0.1373+C2473*12.9898+D2473*78.233)*43758.5453,1),1E-9),"")</f>
        <v/>
      </c>
      <c r="G2473">
        <f>IF(B2473,MOD(SIN(Seed*0.5917+C2473*39.3468+D2473*11.135)*24634.6345,1),"")</f>
        <v/>
      </c>
      <c r="H2473">
        <f>IF(B2473,SQRT(-2*LN(F2473))*COS(2*PI()*G2473),"")</f>
        <v/>
      </c>
      <c r="I2473">
        <f>IF(B2473,IF(D2473=0,H2473,Rho*I2472+SQRT(1-Rho^2)*H2473),"")</f>
        <v/>
      </c>
      <c r="J2473">
        <f>IF(B2473,IF(Dist="Normal",DistA+DistB*I2473,DistA+(DistB-DistA)*NORMSDIST(I2473)),"")</f>
        <v/>
      </c>
      <c r="K2473">
        <f>IF(B2473,INDEX(MineScale,C2473),"")</f>
        <v/>
      </c>
      <c r="L2473">
        <f>IF(B2473,INDEX(Dow,1,WEEKDAY(E2473,2)),"")</f>
        <v/>
      </c>
      <c r="M2473">
        <f>IF(B2473,(1+Trend)^D2473,"")</f>
        <v/>
      </c>
      <c r="N2473">
        <f>IF(B2473,EXP(SUMPRODUCT(LN(1+(EvEff-1)*INDEX(Affected,0,C2473)*EXP(-((E2473-EvCenter)^2)/(2*EvSigma^2))))),"")</f>
        <v/>
      </c>
      <c r="O2473">
        <f>IF(B2473,ROUND(MAX(0,J2473*K2473*L2473*M2473*N2473),2),"")</f>
        <v/>
      </c>
    </row>
    <row r="2474">
      <c r="A2474" t="n">
        <v>2473</v>
      </c>
      <c r="B2474">
        <f>A2474&lt;=MineCount*Days</f>
        <v/>
      </c>
      <c r="C2474">
        <f>IF(B2474,INT((A2474-1)/Days)+1,"")</f>
        <v/>
      </c>
      <c r="D2474">
        <f>IF(B2474,MOD(A2474-1,Days),"")</f>
        <v/>
      </c>
      <c r="E2474" s="16">
        <f>IF(B2474,StartDate+D2474,"")</f>
        <v/>
      </c>
      <c r="F2474">
        <f>IF(B2474,MAX(MOD(SIN(Seed*0.1373+C2474*12.9898+D2474*78.233)*43758.5453,1),1E-9),"")</f>
        <v/>
      </c>
      <c r="G2474">
        <f>IF(B2474,MOD(SIN(Seed*0.5917+C2474*39.3468+D2474*11.135)*24634.6345,1),"")</f>
        <v/>
      </c>
      <c r="H2474">
        <f>IF(B2474,SQRT(-2*LN(F2474))*COS(2*PI()*G2474),"")</f>
        <v/>
      </c>
      <c r="I2474">
        <f>IF(B2474,IF(D2474=0,H2474,Rho*I2473+SQRT(1-Rho^2)*H2474),"")</f>
        <v/>
      </c>
      <c r="J2474">
        <f>IF(B2474,IF(Dist="Normal",DistA+DistB*I2474,DistA+(DistB-DistA)*NORMSDIST(I2474)),"")</f>
        <v/>
      </c>
      <c r="K2474">
        <f>IF(B2474,INDEX(MineScale,C2474),"")</f>
        <v/>
      </c>
      <c r="L2474">
        <f>IF(B2474,INDEX(Dow,1,WEEKDAY(E2474,2)),"")</f>
        <v/>
      </c>
      <c r="M2474">
        <f>IF(B2474,(1+Trend)^D2474,"")</f>
        <v/>
      </c>
      <c r="N2474">
        <f>IF(B2474,EXP(SUMPRODUCT(LN(1+(EvEff-1)*INDEX(Affected,0,C2474)*EXP(-((E2474-EvCenter)^2)/(2*EvSigma^2))))),"")</f>
        <v/>
      </c>
      <c r="O2474">
        <f>IF(B2474,ROUND(MAX(0,J2474*K2474*L2474*M2474*N2474),2),"")</f>
        <v/>
      </c>
    </row>
    <row r="2475">
      <c r="A2475" t="n">
        <v>2474</v>
      </c>
      <c r="B2475">
        <f>A2475&lt;=MineCount*Days</f>
        <v/>
      </c>
      <c r="C2475">
        <f>IF(B2475,INT((A2475-1)/Days)+1,"")</f>
        <v/>
      </c>
      <c r="D2475">
        <f>IF(B2475,MOD(A2475-1,Days),"")</f>
        <v/>
      </c>
      <c r="E2475" s="16">
        <f>IF(B2475,StartDate+D2475,"")</f>
        <v/>
      </c>
      <c r="F2475">
        <f>IF(B2475,MAX(MOD(SIN(Seed*0.1373+C2475*12.9898+D2475*78.233)*43758.5453,1),1E-9),"")</f>
        <v/>
      </c>
      <c r="G2475">
        <f>IF(B2475,MOD(SIN(Seed*0.5917+C2475*39.3468+D2475*11.135)*24634.6345,1),"")</f>
        <v/>
      </c>
      <c r="H2475">
        <f>IF(B2475,SQRT(-2*LN(F2475))*COS(2*PI()*G2475),"")</f>
        <v/>
      </c>
      <c r="I2475">
        <f>IF(B2475,IF(D2475=0,H2475,Rho*I2474+SQRT(1-Rho^2)*H2475),"")</f>
        <v/>
      </c>
      <c r="J2475">
        <f>IF(B2475,IF(Dist="Normal",DistA+DistB*I2475,DistA+(DistB-DistA)*NORMSDIST(I2475)),"")</f>
        <v/>
      </c>
      <c r="K2475">
        <f>IF(B2475,INDEX(MineScale,C2475),"")</f>
        <v/>
      </c>
      <c r="L2475">
        <f>IF(B2475,INDEX(Dow,1,WEEKDAY(E2475,2)),"")</f>
        <v/>
      </c>
      <c r="M2475">
        <f>IF(B2475,(1+Trend)^D2475,"")</f>
        <v/>
      </c>
      <c r="N2475">
        <f>IF(B2475,EXP(SUMPRODUCT(LN(1+(EvEff-1)*INDEX(Affected,0,C2475)*EXP(-((E2475-EvCenter)^2)/(2*EvSigma^2))))),"")</f>
        <v/>
      </c>
      <c r="O2475">
        <f>IF(B2475,ROUND(MAX(0,J2475*K2475*L2475*M2475*N2475),2),"")</f>
        <v/>
      </c>
    </row>
    <row r="2476">
      <c r="A2476" t="n">
        <v>2475</v>
      </c>
      <c r="B2476">
        <f>A2476&lt;=MineCount*Days</f>
        <v/>
      </c>
      <c r="C2476">
        <f>IF(B2476,INT((A2476-1)/Days)+1,"")</f>
        <v/>
      </c>
      <c r="D2476">
        <f>IF(B2476,MOD(A2476-1,Days),"")</f>
        <v/>
      </c>
      <c r="E2476" s="16">
        <f>IF(B2476,StartDate+D2476,"")</f>
        <v/>
      </c>
      <c r="F2476">
        <f>IF(B2476,MAX(MOD(SIN(Seed*0.1373+C2476*12.9898+D2476*78.233)*43758.5453,1),1E-9),"")</f>
        <v/>
      </c>
      <c r="G2476">
        <f>IF(B2476,MOD(SIN(Seed*0.5917+C2476*39.3468+D2476*11.135)*24634.6345,1),"")</f>
        <v/>
      </c>
      <c r="H2476">
        <f>IF(B2476,SQRT(-2*LN(F2476))*COS(2*PI()*G2476),"")</f>
        <v/>
      </c>
      <c r="I2476">
        <f>IF(B2476,IF(D2476=0,H2476,Rho*I2475+SQRT(1-Rho^2)*H2476),"")</f>
        <v/>
      </c>
      <c r="J2476">
        <f>IF(B2476,IF(Dist="Normal",DistA+DistB*I2476,DistA+(DistB-DistA)*NORMSDIST(I2476)),"")</f>
        <v/>
      </c>
      <c r="K2476">
        <f>IF(B2476,INDEX(MineScale,C2476),"")</f>
        <v/>
      </c>
      <c r="L2476">
        <f>IF(B2476,INDEX(Dow,1,WEEKDAY(E2476,2)),"")</f>
        <v/>
      </c>
      <c r="M2476">
        <f>IF(B2476,(1+Trend)^D2476,"")</f>
        <v/>
      </c>
      <c r="N2476">
        <f>IF(B2476,EXP(SUMPRODUCT(LN(1+(EvEff-1)*INDEX(Affected,0,C2476)*EXP(-((E2476-EvCenter)^2)/(2*EvSigma^2))))),"")</f>
        <v/>
      </c>
      <c r="O2476">
        <f>IF(B2476,ROUND(MAX(0,J2476*K2476*L2476*M2476*N2476),2),"")</f>
        <v/>
      </c>
    </row>
    <row r="2477">
      <c r="A2477" t="n">
        <v>2476</v>
      </c>
      <c r="B2477">
        <f>A2477&lt;=MineCount*Days</f>
        <v/>
      </c>
      <c r="C2477">
        <f>IF(B2477,INT((A2477-1)/Days)+1,"")</f>
        <v/>
      </c>
      <c r="D2477">
        <f>IF(B2477,MOD(A2477-1,Days),"")</f>
        <v/>
      </c>
      <c r="E2477" s="16">
        <f>IF(B2477,StartDate+D2477,"")</f>
        <v/>
      </c>
      <c r="F2477">
        <f>IF(B2477,MAX(MOD(SIN(Seed*0.1373+C2477*12.9898+D2477*78.233)*43758.5453,1),1E-9),"")</f>
        <v/>
      </c>
      <c r="G2477">
        <f>IF(B2477,MOD(SIN(Seed*0.5917+C2477*39.3468+D2477*11.135)*24634.6345,1),"")</f>
        <v/>
      </c>
      <c r="H2477">
        <f>IF(B2477,SQRT(-2*LN(F2477))*COS(2*PI()*G2477),"")</f>
        <v/>
      </c>
      <c r="I2477">
        <f>IF(B2477,IF(D2477=0,H2477,Rho*I2476+SQRT(1-Rho^2)*H2477),"")</f>
        <v/>
      </c>
      <c r="J2477">
        <f>IF(B2477,IF(Dist="Normal",DistA+DistB*I2477,DistA+(DistB-DistA)*NORMSDIST(I2477)),"")</f>
        <v/>
      </c>
      <c r="K2477">
        <f>IF(B2477,INDEX(MineScale,C2477),"")</f>
        <v/>
      </c>
      <c r="L2477">
        <f>IF(B2477,INDEX(Dow,1,WEEKDAY(E2477,2)),"")</f>
        <v/>
      </c>
      <c r="M2477">
        <f>IF(B2477,(1+Trend)^D2477,"")</f>
        <v/>
      </c>
      <c r="N2477">
        <f>IF(B2477,EXP(SUMPRODUCT(LN(1+(EvEff-1)*INDEX(Affected,0,C2477)*EXP(-((E2477-EvCenter)^2)/(2*EvSigma^2))))),"")</f>
        <v/>
      </c>
      <c r="O2477">
        <f>IF(B2477,ROUND(MAX(0,J2477*K2477*L2477*M2477*N2477),2),"")</f>
        <v/>
      </c>
    </row>
    <row r="2478">
      <c r="A2478" t="n">
        <v>2477</v>
      </c>
      <c r="B2478">
        <f>A2478&lt;=MineCount*Days</f>
        <v/>
      </c>
      <c r="C2478">
        <f>IF(B2478,INT((A2478-1)/Days)+1,"")</f>
        <v/>
      </c>
      <c r="D2478">
        <f>IF(B2478,MOD(A2478-1,Days),"")</f>
        <v/>
      </c>
      <c r="E2478" s="16">
        <f>IF(B2478,StartDate+D2478,"")</f>
        <v/>
      </c>
      <c r="F2478">
        <f>IF(B2478,MAX(MOD(SIN(Seed*0.1373+C2478*12.9898+D2478*78.233)*43758.5453,1),1E-9),"")</f>
        <v/>
      </c>
      <c r="G2478">
        <f>IF(B2478,MOD(SIN(Seed*0.5917+C2478*39.3468+D2478*11.135)*24634.6345,1),"")</f>
        <v/>
      </c>
      <c r="H2478">
        <f>IF(B2478,SQRT(-2*LN(F2478))*COS(2*PI()*G2478),"")</f>
        <v/>
      </c>
      <c r="I2478">
        <f>IF(B2478,IF(D2478=0,H2478,Rho*I2477+SQRT(1-Rho^2)*H2478),"")</f>
        <v/>
      </c>
      <c r="J2478">
        <f>IF(B2478,IF(Dist="Normal",DistA+DistB*I2478,DistA+(DistB-DistA)*NORMSDIST(I2478)),"")</f>
        <v/>
      </c>
      <c r="K2478">
        <f>IF(B2478,INDEX(MineScale,C2478),"")</f>
        <v/>
      </c>
      <c r="L2478">
        <f>IF(B2478,INDEX(Dow,1,WEEKDAY(E2478,2)),"")</f>
        <v/>
      </c>
      <c r="M2478">
        <f>IF(B2478,(1+Trend)^D2478,"")</f>
        <v/>
      </c>
      <c r="N2478">
        <f>IF(B2478,EXP(SUMPRODUCT(LN(1+(EvEff-1)*INDEX(Affected,0,C2478)*EXP(-((E2478-EvCenter)^2)/(2*EvSigma^2))))),"")</f>
        <v/>
      </c>
      <c r="O2478">
        <f>IF(B2478,ROUND(MAX(0,J2478*K2478*L2478*M2478*N2478),2),"")</f>
        <v/>
      </c>
    </row>
    <row r="2479">
      <c r="A2479" t="n">
        <v>2478</v>
      </c>
      <c r="B2479">
        <f>A2479&lt;=MineCount*Days</f>
        <v/>
      </c>
      <c r="C2479">
        <f>IF(B2479,INT((A2479-1)/Days)+1,"")</f>
        <v/>
      </c>
      <c r="D2479">
        <f>IF(B2479,MOD(A2479-1,Days),"")</f>
        <v/>
      </c>
      <c r="E2479" s="16">
        <f>IF(B2479,StartDate+D2479,"")</f>
        <v/>
      </c>
      <c r="F2479">
        <f>IF(B2479,MAX(MOD(SIN(Seed*0.1373+C2479*12.9898+D2479*78.233)*43758.5453,1),1E-9),"")</f>
        <v/>
      </c>
      <c r="G2479">
        <f>IF(B2479,MOD(SIN(Seed*0.5917+C2479*39.3468+D2479*11.135)*24634.6345,1),"")</f>
        <v/>
      </c>
      <c r="H2479">
        <f>IF(B2479,SQRT(-2*LN(F2479))*COS(2*PI()*G2479),"")</f>
        <v/>
      </c>
      <c r="I2479">
        <f>IF(B2479,IF(D2479=0,H2479,Rho*I2478+SQRT(1-Rho^2)*H2479),"")</f>
        <v/>
      </c>
      <c r="J2479">
        <f>IF(B2479,IF(Dist="Normal",DistA+DistB*I2479,DistA+(DistB-DistA)*NORMSDIST(I2479)),"")</f>
        <v/>
      </c>
      <c r="K2479">
        <f>IF(B2479,INDEX(MineScale,C2479),"")</f>
        <v/>
      </c>
      <c r="L2479">
        <f>IF(B2479,INDEX(Dow,1,WEEKDAY(E2479,2)),"")</f>
        <v/>
      </c>
      <c r="M2479">
        <f>IF(B2479,(1+Trend)^D2479,"")</f>
        <v/>
      </c>
      <c r="N2479">
        <f>IF(B2479,EXP(SUMPRODUCT(LN(1+(EvEff-1)*INDEX(Affected,0,C2479)*EXP(-((E2479-EvCenter)^2)/(2*EvSigma^2))))),"")</f>
        <v/>
      </c>
      <c r="O2479">
        <f>IF(B2479,ROUND(MAX(0,J2479*K2479*L2479*M2479*N2479),2),"")</f>
        <v/>
      </c>
    </row>
    <row r="2480">
      <c r="A2480" t="n">
        <v>2479</v>
      </c>
      <c r="B2480">
        <f>A2480&lt;=MineCount*Days</f>
        <v/>
      </c>
      <c r="C2480">
        <f>IF(B2480,INT((A2480-1)/Days)+1,"")</f>
        <v/>
      </c>
      <c r="D2480">
        <f>IF(B2480,MOD(A2480-1,Days),"")</f>
        <v/>
      </c>
      <c r="E2480" s="16">
        <f>IF(B2480,StartDate+D2480,"")</f>
        <v/>
      </c>
      <c r="F2480">
        <f>IF(B2480,MAX(MOD(SIN(Seed*0.1373+C2480*12.9898+D2480*78.233)*43758.5453,1),1E-9),"")</f>
        <v/>
      </c>
      <c r="G2480">
        <f>IF(B2480,MOD(SIN(Seed*0.5917+C2480*39.3468+D2480*11.135)*24634.6345,1),"")</f>
        <v/>
      </c>
      <c r="H2480">
        <f>IF(B2480,SQRT(-2*LN(F2480))*COS(2*PI()*G2480),"")</f>
        <v/>
      </c>
      <c r="I2480">
        <f>IF(B2480,IF(D2480=0,H2480,Rho*I2479+SQRT(1-Rho^2)*H2480),"")</f>
        <v/>
      </c>
      <c r="J2480">
        <f>IF(B2480,IF(Dist="Normal",DistA+DistB*I2480,DistA+(DistB-DistA)*NORMSDIST(I2480)),"")</f>
        <v/>
      </c>
      <c r="K2480">
        <f>IF(B2480,INDEX(MineScale,C2480),"")</f>
        <v/>
      </c>
      <c r="L2480">
        <f>IF(B2480,INDEX(Dow,1,WEEKDAY(E2480,2)),"")</f>
        <v/>
      </c>
      <c r="M2480">
        <f>IF(B2480,(1+Trend)^D2480,"")</f>
        <v/>
      </c>
      <c r="N2480">
        <f>IF(B2480,EXP(SUMPRODUCT(LN(1+(EvEff-1)*INDEX(Affected,0,C2480)*EXP(-((E2480-EvCenter)^2)/(2*EvSigma^2))))),"")</f>
        <v/>
      </c>
      <c r="O2480">
        <f>IF(B2480,ROUND(MAX(0,J2480*K2480*L2480*M2480*N2480),2),"")</f>
        <v/>
      </c>
    </row>
    <row r="2481">
      <c r="A2481" t="n">
        <v>2480</v>
      </c>
      <c r="B2481">
        <f>A2481&lt;=MineCount*Days</f>
        <v/>
      </c>
      <c r="C2481">
        <f>IF(B2481,INT((A2481-1)/Days)+1,"")</f>
        <v/>
      </c>
      <c r="D2481">
        <f>IF(B2481,MOD(A2481-1,Days),"")</f>
        <v/>
      </c>
      <c r="E2481" s="16">
        <f>IF(B2481,StartDate+D2481,"")</f>
        <v/>
      </c>
      <c r="F2481">
        <f>IF(B2481,MAX(MOD(SIN(Seed*0.1373+C2481*12.9898+D2481*78.233)*43758.5453,1),1E-9),"")</f>
        <v/>
      </c>
      <c r="G2481">
        <f>IF(B2481,MOD(SIN(Seed*0.5917+C2481*39.3468+D2481*11.135)*24634.6345,1),"")</f>
        <v/>
      </c>
      <c r="H2481">
        <f>IF(B2481,SQRT(-2*LN(F2481))*COS(2*PI()*G2481),"")</f>
        <v/>
      </c>
      <c r="I2481">
        <f>IF(B2481,IF(D2481=0,H2481,Rho*I2480+SQRT(1-Rho^2)*H2481),"")</f>
        <v/>
      </c>
      <c r="J2481">
        <f>IF(B2481,IF(Dist="Normal",DistA+DistB*I2481,DistA+(DistB-DistA)*NORMSDIST(I2481)),"")</f>
        <v/>
      </c>
      <c r="K2481">
        <f>IF(B2481,INDEX(MineScale,C2481),"")</f>
        <v/>
      </c>
      <c r="L2481">
        <f>IF(B2481,INDEX(Dow,1,WEEKDAY(E2481,2)),"")</f>
        <v/>
      </c>
      <c r="M2481">
        <f>IF(B2481,(1+Trend)^D2481,"")</f>
        <v/>
      </c>
      <c r="N2481">
        <f>IF(B2481,EXP(SUMPRODUCT(LN(1+(EvEff-1)*INDEX(Affected,0,C2481)*EXP(-((E2481-EvCenter)^2)/(2*EvSigma^2))))),"")</f>
        <v/>
      </c>
      <c r="O2481">
        <f>IF(B2481,ROUND(MAX(0,J2481*K2481*L2481*M2481*N2481),2),"")</f>
        <v/>
      </c>
    </row>
    <row r="2482">
      <c r="A2482" t="n">
        <v>2481</v>
      </c>
      <c r="B2482">
        <f>A2482&lt;=MineCount*Days</f>
        <v/>
      </c>
      <c r="C2482">
        <f>IF(B2482,INT((A2482-1)/Days)+1,"")</f>
        <v/>
      </c>
      <c r="D2482">
        <f>IF(B2482,MOD(A2482-1,Days),"")</f>
        <v/>
      </c>
      <c r="E2482" s="16">
        <f>IF(B2482,StartDate+D2482,"")</f>
        <v/>
      </c>
      <c r="F2482">
        <f>IF(B2482,MAX(MOD(SIN(Seed*0.1373+C2482*12.9898+D2482*78.233)*43758.5453,1),1E-9),"")</f>
        <v/>
      </c>
      <c r="G2482">
        <f>IF(B2482,MOD(SIN(Seed*0.5917+C2482*39.3468+D2482*11.135)*24634.6345,1),"")</f>
        <v/>
      </c>
      <c r="H2482">
        <f>IF(B2482,SQRT(-2*LN(F2482))*COS(2*PI()*G2482),"")</f>
        <v/>
      </c>
      <c r="I2482">
        <f>IF(B2482,IF(D2482=0,H2482,Rho*I2481+SQRT(1-Rho^2)*H2482),"")</f>
        <v/>
      </c>
      <c r="J2482">
        <f>IF(B2482,IF(Dist="Normal",DistA+DistB*I2482,DistA+(DistB-DistA)*NORMSDIST(I2482)),"")</f>
        <v/>
      </c>
      <c r="K2482">
        <f>IF(B2482,INDEX(MineScale,C2482),"")</f>
        <v/>
      </c>
      <c r="L2482">
        <f>IF(B2482,INDEX(Dow,1,WEEKDAY(E2482,2)),"")</f>
        <v/>
      </c>
      <c r="M2482">
        <f>IF(B2482,(1+Trend)^D2482,"")</f>
        <v/>
      </c>
      <c r="N2482">
        <f>IF(B2482,EXP(SUMPRODUCT(LN(1+(EvEff-1)*INDEX(Affected,0,C2482)*EXP(-((E2482-EvCenter)^2)/(2*EvSigma^2))))),"")</f>
        <v/>
      </c>
      <c r="O2482">
        <f>IF(B2482,ROUND(MAX(0,J2482*K2482*L2482*M2482*N2482),2),"")</f>
        <v/>
      </c>
    </row>
    <row r="2483">
      <c r="A2483" t="n">
        <v>2482</v>
      </c>
      <c r="B2483">
        <f>A2483&lt;=MineCount*Days</f>
        <v/>
      </c>
      <c r="C2483">
        <f>IF(B2483,INT((A2483-1)/Days)+1,"")</f>
        <v/>
      </c>
      <c r="D2483">
        <f>IF(B2483,MOD(A2483-1,Days),"")</f>
        <v/>
      </c>
      <c r="E2483" s="16">
        <f>IF(B2483,StartDate+D2483,"")</f>
        <v/>
      </c>
      <c r="F2483">
        <f>IF(B2483,MAX(MOD(SIN(Seed*0.1373+C2483*12.9898+D2483*78.233)*43758.5453,1),1E-9),"")</f>
        <v/>
      </c>
      <c r="G2483">
        <f>IF(B2483,MOD(SIN(Seed*0.5917+C2483*39.3468+D2483*11.135)*24634.6345,1),"")</f>
        <v/>
      </c>
      <c r="H2483">
        <f>IF(B2483,SQRT(-2*LN(F2483))*COS(2*PI()*G2483),"")</f>
        <v/>
      </c>
      <c r="I2483">
        <f>IF(B2483,IF(D2483=0,H2483,Rho*I2482+SQRT(1-Rho^2)*H2483),"")</f>
        <v/>
      </c>
      <c r="J2483">
        <f>IF(B2483,IF(Dist="Normal",DistA+DistB*I2483,DistA+(DistB-DistA)*NORMSDIST(I2483)),"")</f>
        <v/>
      </c>
      <c r="K2483">
        <f>IF(B2483,INDEX(MineScale,C2483),"")</f>
        <v/>
      </c>
      <c r="L2483">
        <f>IF(B2483,INDEX(Dow,1,WEEKDAY(E2483,2)),"")</f>
        <v/>
      </c>
      <c r="M2483">
        <f>IF(B2483,(1+Trend)^D2483,"")</f>
        <v/>
      </c>
      <c r="N2483">
        <f>IF(B2483,EXP(SUMPRODUCT(LN(1+(EvEff-1)*INDEX(Affected,0,C2483)*EXP(-((E2483-EvCenter)^2)/(2*EvSigma^2))))),"")</f>
        <v/>
      </c>
      <c r="O2483">
        <f>IF(B2483,ROUND(MAX(0,J2483*K2483*L2483*M2483*N2483),2),"")</f>
        <v/>
      </c>
    </row>
    <row r="2484">
      <c r="A2484" t="n">
        <v>2483</v>
      </c>
      <c r="B2484">
        <f>A2484&lt;=MineCount*Days</f>
        <v/>
      </c>
      <c r="C2484">
        <f>IF(B2484,INT((A2484-1)/Days)+1,"")</f>
        <v/>
      </c>
      <c r="D2484">
        <f>IF(B2484,MOD(A2484-1,Days),"")</f>
        <v/>
      </c>
      <c r="E2484" s="16">
        <f>IF(B2484,StartDate+D2484,"")</f>
        <v/>
      </c>
      <c r="F2484">
        <f>IF(B2484,MAX(MOD(SIN(Seed*0.1373+C2484*12.9898+D2484*78.233)*43758.5453,1),1E-9),"")</f>
        <v/>
      </c>
      <c r="G2484">
        <f>IF(B2484,MOD(SIN(Seed*0.5917+C2484*39.3468+D2484*11.135)*24634.6345,1),"")</f>
        <v/>
      </c>
      <c r="H2484">
        <f>IF(B2484,SQRT(-2*LN(F2484))*COS(2*PI()*G2484),"")</f>
        <v/>
      </c>
      <c r="I2484">
        <f>IF(B2484,IF(D2484=0,H2484,Rho*I2483+SQRT(1-Rho^2)*H2484),"")</f>
        <v/>
      </c>
      <c r="J2484">
        <f>IF(B2484,IF(Dist="Normal",DistA+DistB*I2484,DistA+(DistB-DistA)*NORMSDIST(I2484)),"")</f>
        <v/>
      </c>
      <c r="K2484">
        <f>IF(B2484,INDEX(MineScale,C2484),"")</f>
        <v/>
      </c>
      <c r="L2484">
        <f>IF(B2484,INDEX(Dow,1,WEEKDAY(E2484,2)),"")</f>
        <v/>
      </c>
      <c r="M2484">
        <f>IF(B2484,(1+Trend)^D2484,"")</f>
        <v/>
      </c>
      <c r="N2484">
        <f>IF(B2484,EXP(SUMPRODUCT(LN(1+(EvEff-1)*INDEX(Affected,0,C2484)*EXP(-((E2484-EvCenter)^2)/(2*EvSigma^2))))),"")</f>
        <v/>
      </c>
      <c r="O2484">
        <f>IF(B2484,ROUND(MAX(0,J2484*K2484*L2484*M2484*N2484),2),"")</f>
        <v/>
      </c>
    </row>
    <row r="2485">
      <c r="A2485" t="n">
        <v>2484</v>
      </c>
      <c r="B2485">
        <f>A2485&lt;=MineCount*Days</f>
        <v/>
      </c>
      <c r="C2485">
        <f>IF(B2485,INT((A2485-1)/Days)+1,"")</f>
        <v/>
      </c>
      <c r="D2485">
        <f>IF(B2485,MOD(A2485-1,Days),"")</f>
        <v/>
      </c>
      <c r="E2485" s="16">
        <f>IF(B2485,StartDate+D2485,"")</f>
        <v/>
      </c>
      <c r="F2485">
        <f>IF(B2485,MAX(MOD(SIN(Seed*0.1373+C2485*12.9898+D2485*78.233)*43758.5453,1),1E-9),"")</f>
        <v/>
      </c>
      <c r="G2485">
        <f>IF(B2485,MOD(SIN(Seed*0.5917+C2485*39.3468+D2485*11.135)*24634.6345,1),"")</f>
        <v/>
      </c>
      <c r="H2485">
        <f>IF(B2485,SQRT(-2*LN(F2485))*COS(2*PI()*G2485),"")</f>
        <v/>
      </c>
      <c r="I2485">
        <f>IF(B2485,IF(D2485=0,H2485,Rho*I2484+SQRT(1-Rho^2)*H2485),"")</f>
        <v/>
      </c>
      <c r="J2485">
        <f>IF(B2485,IF(Dist="Normal",DistA+DistB*I2485,DistA+(DistB-DistA)*NORMSDIST(I2485)),"")</f>
        <v/>
      </c>
      <c r="K2485">
        <f>IF(B2485,INDEX(MineScale,C2485),"")</f>
        <v/>
      </c>
      <c r="L2485">
        <f>IF(B2485,INDEX(Dow,1,WEEKDAY(E2485,2)),"")</f>
        <v/>
      </c>
      <c r="M2485">
        <f>IF(B2485,(1+Trend)^D2485,"")</f>
        <v/>
      </c>
      <c r="N2485">
        <f>IF(B2485,EXP(SUMPRODUCT(LN(1+(EvEff-1)*INDEX(Affected,0,C2485)*EXP(-((E2485-EvCenter)^2)/(2*EvSigma^2))))),"")</f>
        <v/>
      </c>
      <c r="O2485">
        <f>IF(B2485,ROUND(MAX(0,J2485*K2485*L2485*M2485*N2485),2),"")</f>
        <v/>
      </c>
    </row>
    <row r="2486">
      <c r="A2486" t="n">
        <v>2485</v>
      </c>
      <c r="B2486">
        <f>A2486&lt;=MineCount*Days</f>
        <v/>
      </c>
      <c r="C2486">
        <f>IF(B2486,INT((A2486-1)/Days)+1,"")</f>
        <v/>
      </c>
      <c r="D2486">
        <f>IF(B2486,MOD(A2486-1,Days),"")</f>
        <v/>
      </c>
      <c r="E2486" s="16">
        <f>IF(B2486,StartDate+D2486,"")</f>
        <v/>
      </c>
      <c r="F2486">
        <f>IF(B2486,MAX(MOD(SIN(Seed*0.1373+C2486*12.9898+D2486*78.233)*43758.5453,1),1E-9),"")</f>
        <v/>
      </c>
      <c r="G2486">
        <f>IF(B2486,MOD(SIN(Seed*0.5917+C2486*39.3468+D2486*11.135)*24634.6345,1),"")</f>
        <v/>
      </c>
      <c r="H2486">
        <f>IF(B2486,SQRT(-2*LN(F2486))*COS(2*PI()*G2486),"")</f>
        <v/>
      </c>
      <c r="I2486">
        <f>IF(B2486,IF(D2486=0,H2486,Rho*I2485+SQRT(1-Rho^2)*H2486),"")</f>
        <v/>
      </c>
      <c r="J2486">
        <f>IF(B2486,IF(Dist="Normal",DistA+DistB*I2486,DistA+(DistB-DistA)*NORMSDIST(I2486)),"")</f>
        <v/>
      </c>
      <c r="K2486">
        <f>IF(B2486,INDEX(MineScale,C2486),"")</f>
        <v/>
      </c>
      <c r="L2486">
        <f>IF(B2486,INDEX(Dow,1,WEEKDAY(E2486,2)),"")</f>
        <v/>
      </c>
      <c r="M2486">
        <f>IF(B2486,(1+Trend)^D2486,"")</f>
        <v/>
      </c>
      <c r="N2486">
        <f>IF(B2486,EXP(SUMPRODUCT(LN(1+(EvEff-1)*INDEX(Affected,0,C2486)*EXP(-((E2486-EvCenter)^2)/(2*EvSigma^2))))),"")</f>
        <v/>
      </c>
      <c r="O2486">
        <f>IF(B2486,ROUND(MAX(0,J2486*K2486*L2486*M2486*N2486),2),"")</f>
        <v/>
      </c>
    </row>
    <row r="2487">
      <c r="A2487" t="n">
        <v>2486</v>
      </c>
      <c r="B2487">
        <f>A2487&lt;=MineCount*Days</f>
        <v/>
      </c>
      <c r="C2487">
        <f>IF(B2487,INT((A2487-1)/Days)+1,"")</f>
        <v/>
      </c>
      <c r="D2487">
        <f>IF(B2487,MOD(A2487-1,Days),"")</f>
        <v/>
      </c>
      <c r="E2487" s="16">
        <f>IF(B2487,StartDate+D2487,"")</f>
        <v/>
      </c>
      <c r="F2487">
        <f>IF(B2487,MAX(MOD(SIN(Seed*0.1373+C2487*12.9898+D2487*78.233)*43758.5453,1),1E-9),"")</f>
        <v/>
      </c>
      <c r="G2487">
        <f>IF(B2487,MOD(SIN(Seed*0.5917+C2487*39.3468+D2487*11.135)*24634.6345,1),"")</f>
        <v/>
      </c>
      <c r="H2487">
        <f>IF(B2487,SQRT(-2*LN(F2487))*COS(2*PI()*G2487),"")</f>
        <v/>
      </c>
      <c r="I2487">
        <f>IF(B2487,IF(D2487=0,H2487,Rho*I2486+SQRT(1-Rho^2)*H2487),"")</f>
        <v/>
      </c>
      <c r="J2487">
        <f>IF(B2487,IF(Dist="Normal",DistA+DistB*I2487,DistA+(DistB-DistA)*NORMSDIST(I2487)),"")</f>
        <v/>
      </c>
      <c r="K2487">
        <f>IF(B2487,INDEX(MineScale,C2487),"")</f>
        <v/>
      </c>
      <c r="L2487">
        <f>IF(B2487,INDEX(Dow,1,WEEKDAY(E2487,2)),"")</f>
        <v/>
      </c>
      <c r="M2487">
        <f>IF(B2487,(1+Trend)^D2487,"")</f>
        <v/>
      </c>
      <c r="N2487">
        <f>IF(B2487,EXP(SUMPRODUCT(LN(1+(EvEff-1)*INDEX(Affected,0,C2487)*EXP(-((E2487-EvCenter)^2)/(2*EvSigma^2))))),"")</f>
        <v/>
      </c>
      <c r="O2487">
        <f>IF(B2487,ROUND(MAX(0,J2487*K2487*L2487*M2487*N2487),2),"")</f>
        <v/>
      </c>
    </row>
    <row r="2488">
      <c r="A2488" t="n">
        <v>2487</v>
      </c>
      <c r="B2488">
        <f>A2488&lt;=MineCount*Days</f>
        <v/>
      </c>
      <c r="C2488">
        <f>IF(B2488,INT((A2488-1)/Days)+1,"")</f>
        <v/>
      </c>
      <c r="D2488">
        <f>IF(B2488,MOD(A2488-1,Days),"")</f>
        <v/>
      </c>
      <c r="E2488" s="16">
        <f>IF(B2488,StartDate+D2488,"")</f>
        <v/>
      </c>
      <c r="F2488">
        <f>IF(B2488,MAX(MOD(SIN(Seed*0.1373+C2488*12.9898+D2488*78.233)*43758.5453,1),1E-9),"")</f>
        <v/>
      </c>
      <c r="G2488">
        <f>IF(B2488,MOD(SIN(Seed*0.5917+C2488*39.3468+D2488*11.135)*24634.6345,1),"")</f>
        <v/>
      </c>
      <c r="H2488">
        <f>IF(B2488,SQRT(-2*LN(F2488))*COS(2*PI()*G2488),"")</f>
        <v/>
      </c>
      <c r="I2488">
        <f>IF(B2488,IF(D2488=0,H2488,Rho*I2487+SQRT(1-Rho^2)*H2488),"")</f>
        <v/>
      </c>
      <c r="J2488">
        <f>IF(B2488,IF(Dist="Normal",DistA+DistB*I2488,DistA+(DistB-DistA)*NORMSDIST(I2488)),"")</f>
        <v/>
      </c>
      <c r="K2488">
        <f>IF(B2488,INDEX(MineScale,C2488),"")</f>
        <v/>
      </c>
      <c r="L2488">
        <f>IF(B2488,INDEX(Dow,1,WEEKDAY(E2488,2)),"")</f>
        <v/>
      </c>
      <c r="M2488">
        <f>IF(B2488,(1+Trend)^D2488,"")</f>
        <v/>
      </c>
      <c r="N2488">
        <f>IF(B2488,EXP(SUMPRODUCT(LN(1+(EvEff-1)*INDEX(Affected,0,C2488)*EXP(-((E2488-EvCenter)^2)/(2*EvSigma^2))))),"")</f>
        <v/>
      </c>
      <c r="O2488">
        <f>IF(B2488,ROUND(MAX(0,J2488*K2488*L2488*M2488*N2488),2),"")</f>
        <v/>
      </c>
    </row>
    <row r="2489">
      <c r="A2489" t="n">
        <v>2488</v>
      </c>
      <c r="B2489">
        <f>A2489&lt;=MineCount*Days</f>
        <v/>
      </c>
      <c r="C2489">
        <f>IF(B2489,INT((A2489-1)/Days)+1,"")</f>
        <v/>
      </c>
      <c r="D2489">
        <f>IF(B2489,MOD(A2489-1,Days),"")</f>
        <v/>
      </c>
      <c r="E2489" s="16">
        <f>IF(B2489,StartDate+D2489,"")</f>
        <v/>
      </c>
      <c r="F2489">
        <f>IF(B2489,MAX(MOD(SIN(Seed*0.1373+C2489*12.9898+D2489*78.233)*43758.5453,1),1E-9),"")</f>
        <v/>
      </c>
      <c r="G2489">
        <f>IF(B2489,MOD(SIN(Seed*0.5917+C2489*39.3468+D2489*11.135)*24634.6345,1),"")</f>
        <v/>
      </c>
      <c r="H2489">
        <f>IF(B2489,SQRT(-2*LN(F2489))*COS(2*PI()*G2489),"")</f>
        <v/>
      </c>
      <c r="I2489">
        <f>IF(B2489,IF(D2489=0,H2489,Rho*I2488+SQRT(1-Rho^2)*H2489),"")</f>
        <v/>
      </c>
      <c r="J2489">
        <f>IF(B2489,IF(Dist="Normal",DistA+DistB*I2489,DistA+(DistB-DistA)*NORMSDIST(I2489)),"")</f>
        <v/>
      </c>
      <c r="K2489">
        <f>IF(B2489,INDEX(MineScale,C2489),"")</f>
        <v/>
      </c>
      <c r="L2489">
        <f>IF(B2489,INDEX(Dow,1,WEEKDAY(E2489,2)),"")</f>
        <v/>
      </c>
      <c r="M2489">
        <f>IF(B2489,(1+Trend)^D2489,"")</f>
        <v/>
      </c>
      <c r="N2489">
        <f>IF(B2489,EXP(SUMPRODUCT(LN(1+(EvEff-1)*INDEX(Affected,0,C2489)*EXP(-((E2489-EvCenter)^2)/(2*EvSigma^2))))),"")</f>
        <v/>
      </c>
      <c r="O2489">
        <f>IF(B2489,ROUND(MAX(0,J2489*K2489*L2489*M2489*N2489),2),"")</f>
        <v/>
      </c>
    </row>
    <row r="2490">
      <c r="A2490" t="n">
        <v>2489</v>
      </c>
      <c r="B2490">
        <f>A2490&lt;=MineCount*Days</f>
        <v/>
      </c>
      <c r="C2490">
        <f>IF(B2490,INT((A2490-1)/Days)+1,"")</f>
        <v/>
      </c>
      <c r="D2490">
        <f>IF(B2490,MOD(A2490-1,Days),"")</f>
        <v/>
      </c>
      <c r="E2490" s="16">
        <f>IF(B2490,StartDate+D2490,"")</f>
        <v/>
      </c>
      <c r="F2490">
        <f>IF(B2490,MAX(MOD(SIN(Seed*0.1373+C2490*12.9898+D2490*78.233)*43758.5453,1),1E-9),"")</f>
        <v/>
      </c>
      <c r="G2490">
        <f>IF(B2490,MOD(SIN(Seed*0.5917+C2490*39.3468+D2490*11.135)*24634.6345,1),"")</f>
        <v/>
      </c>
      <c r="H2490">
        <f>IF(B2490,SQRT(-2*LN(F2490))*COS(2*PI()*G2490),"")</f>
        <v/>
      </c>
      <c r="I2490">
        <f>IF(B2490,IF(D2490=0,H2490,Rho*I2489+SQRT(1-Rho^2)*H2490),"")</f>
        <v/>
      </c>
      <c r="J2490">
        <f>IF(B2490,IF(Dist="Normal",DistA+DistB*I2490,DistA+(DistB-DistA)*NORMSDIST(I2490)),"")</f>
        <v/>
      </c>
      <c r="K2490">
        <f>IF(B2490,INDEX(MineScale,C2490),"")</f>
        <v/>
      </c>
      <c r="L2490">
        <f>IF(B2490,INDEX(Dow,1,WEEKDAY(E2490,2)),"")</f>
        <v/>
      </c>
      <c r="M2490">
        <f>IF(B2490,(1+Trend)^D2490,"")</f>
        <v/>
      </c>
      <c r="N2490">
        <f>IF(B2490,EXP(SUMPRODUCT(LN(1+(EvEff-1)*INDEX(Affected,0,C2490)*EXP(-((E2490-EvCenter)^2)/(2*EvSigma^2))))),"")</f>
        <v/>
      </c>
      <c r="O2490">
        <f>IF(B2490,ROUND(MAX(0,J2490*K2490*L2490*M2490*N2490),2),"")</f>
        <v/>
      </c>
    </row>
    <row r="2491">
      <c r="A2491" t="n">
        <v>2490</v>
      </c>
      <c r="B2491">
        <f>A2491&lt;=MineCount*Days</f>
        <v/>
      </c>
      <c r="C2491">
        <f>IF(B2491,INT((A2491-1)/Days)+1,"")</f>
        <v/>
      </c>
      <c r="D2491">
        <f>IF(B2491,MOD(A2491-1,Days),"")</f>
        <v/>
      </c>
      <c r="E2491" s="16">
        <f>IF(B2491,StartDate+D2491,"")</f>
        <v/>
      </c>
      <c r="F2491">
        <f>IF(B2491,MAX(MOD(SIN(Seed*0.1373+C2491*12.9898+D2491*78.233)*43758.5453,1),1E-9),"")</f>
        <v/>
      </c>
      <c r="G2491">
        <f>IF(B2491,MOD(SIN(Seed*0.5917+C2491*39.3468+D2491*11.135)*24634.6345,1),"")</f>
        <v/>
      </c>
      <c r="H2491">
        <f>IF(B2491,SQRT(-2*LN(F2491))*COS(2*PI()*G2491),"")</f>
        <v/>
      </c>
      <c r="I2491">
        <f>IF(B2491,IF(D2491=0,H2491,Rho*I2490+SQRT(1-Rho^2)*H2491),"")</f>
        <v/>
      </c>
      <c r="J2491">
        <f>IF(B2491,IF(Dist="Normal",DistA+DistB*I2491,DistA+(DistB-DistA)*NORMSDIST(I2491)),"")</f>
        <v/>
      </c>
      <c r="K2491">
        <f>IF(B2491,INDEX(MineScale,C2491),"")</f>
        <v/>
      </c>
      <c r="L2491">
        <f>IF(B2491,INDEX(Dow,1,WEEKDAY(E2491,2)),"")</f>
        <v/>
      </c>
      <c r="M2491">
        <f>IF(B2491,(1+Trend)^D2491,"")</f>
        <v/>
      </c>
      <c r="N2491">
        <f>IF(B2491,EXP(SUMPRODUCT(LN(1+(EvEff-1)*INDEX(Affected,0,C2491)*EXP(-((E2491-EvCenter)^2)/(2*EvSigma^2))))),"")</f>
        <v/>
      </c>
      <c r="O2491">
        <f>IF(B2491,ROUND(MAX(0,J2491*K2491*L2491*M2491*N2491),2),"")</f>
        <v/>
      </c>
    </row>
    <row r="2492">
      <c r="A2492" t="n">
        <v>2491</v>
      </c>
      <c r="B2492">
        <f>A2492&lt;=MineCount*Days</f>
        <v/>
      </c>
      <c r="C2492">
        <f>IF(B2492,INT((A2492-1)/Days)+1,"")</f>
        <v/>
      </c>
      <c r="D2492">
        <f>IF(B2492,MOD(A2492-1,Days),"")</f>
        <v/>
      </c>
      <c r="E2492" s="16">
        <f>IF(B2492,StartDate+D2492,"")</f>
        <v/>
      </c>
      <c r="F2492">
        <f>IF(B2492,MAX(MOD(SIN(Seed*0.1373+C2492*12.9898+D2492*78.233)*43758.5453,1),1E-9),"")</f>
        <v/>
      </c>
      <c r="G2492">
        <f>IF(B2492,MOD(SIN(Seed*0.5917+C2492*39.3468+D2492*11.135)*24634.6345,1),"")</f>
        <v/>
      </c>
      <c r="H2492">
        <f>IF(B2492,SQRT(-2*LN(F2492))*COS(2*PI()*G2492),"")</f>
        <v/>
      </c>
      <c r="I2492">
        <f>IF(B2492,IF(D2492=0,H2492,Rho*I2491+SQRT(1-Rho^2)*H2492),"")</f>
        <v/>
      </c>
      <c r="J2492">
        <f>IF(B2492,IF(Dist="Normal",DistA+DistB*I2492,DistA+(DistB-DistA)*NORMSDIST(I2492)),"")</f>
        <v/>
      </c>
      <c r="K2492">
        <f>IF(B2492,INDEX(MineScale,C2492),"")</f>
        <v/>
      </c>
      <c r="L2492">
        <f>IF(B2492,INDEX(Dow,1,WEEKDAY(E2492,2)),"")</f>
        <v/>
      </c>
      <c r="M2492">
        <f>IF(B2492,(1+Trend)^D2492,"")</f>
        <v/>
      </c>
      <c r="N2492">
        <f>IF(B2492,EXP(SUMPRODUCT(LN(1+(EvEff-1)*INDEX(Affected,0,C2492)*EXP(-((E2492-EvCenter)^2)/(2*EvSigma^2))))),"")</f>
        <v/>
      </c>
      <c r="O2492">
        <f>IF(B2492,ROUND(MAX(0,J2492*K2492*L2492*M2492*N2492),2),"")</f>
        <v/>
      </c>
    </row>
    <row r="2493">
      <c r="A2493" t="n">
        <v>2492</v>
      </c>
      <c r="B2493">
        <f>A2493&lt;=MineCount*Days</f>
        <v/>
      </c>
      <c r="C2493">
        <f>IF(B2493,INT((A2493-1)/Days)+1,"")</f>
        <v/>
      </c>
      <c r="D2493">
        <f>IF(B2493,MOD(A2493-1,Days),"")</f>
        <v/>
      </c>
      <c r="E2493" s="16">
        <f>IF(B2493,StartDate+D2493,"")</f>
        <v/>
      </c>
      <c r="F2493">
        <f>IF(B2493,MAX(MOD(SIN(Seed*0.1373+C2493*12.9898+D2493*78.233)*43758.5453,1),1E-9),"")</f>
        <v/>
      </c>
      <c r="G2493">
        <f>IF(B2493,MOD(SIN(Seed*0.5917+C2493*39.3468+D2493*11.135)*24634.6345,1),"")</f>
        <v/>
      </c>
      <c r="H2493">
        <f>IF(B2493,SQRT(-2*LN(F2493))*COS(2*PI()*G2493),"")</f>
        <v/>
      </c>
      <c r="I2493">
        <f>IF(B2493,IF(D2493=0,H2493,Rho*I2492+SQRT(1-Rho^2)*H2493),"")</f>
        <v/>
      </c>
      <c r="J2493">
        <f>IF(B2493,IF(Dist="Normal",DistA+DistB*I2493,DistA+(DistB-DistA)*NORMSDIST(I2493)),"")</f>
        <v/>
      </c>
      <c r="K2493">
        <f>IF(B2493,INDEX(MineScale,C2493),"")</f>
        <v/>
      </c>
      <c r="L2493">
        <f>IF(B2493,INDEX(Dow,1,WEEKDAY(E2493,2)),"")</f>
        <v/>
      </c>
      <c r="M2493">
        <f>IF(B2493,(1+Trend)^D2493,"")</f>
        <v/>
      </c>
      <c r="N2493">
        <f>IF(B2493,EXP(SUMPRODUCT(LN(1+(EvEff-1)*INDEX(Affected,0,C2493)*EXP(-((E2493-EvCenter)^2)/(2*EvSigma^2))))),"")</f>
        <v/>
      </c>
      <c r="O2493">
        <f>IF(B2493,ROUND(MAX(0,J2493*K2493*L2493*M2493*N2493),2),"")</f>
        <v/>
      </c>
    </row>
    <row r="2494">
      <c r="A2494" t="n">
        <v>2493</v>
      </c>
      <c r="B2494">
        <f>A2494&lt;=MineCount*Days</f>
        <v/>
      </c>
      <c r="C2494">
        <f>IF(B2494,INT((A2494-1)/Days)+1,"")</f>
        <v/>
      </c>
      <c r="D2494">
        <f>IF(B2494,MOD(A2494-1,Days),"")</f>
        <v/>
      </c>
      <c r="E2494" s="16">
        <f>IF(B2494,StartDate+D2494,"")</f>
        <v/>
      </c>
      <c r="F2494">
        <f>IF(B2494,MAX(MOD(SIN(Seed*0.1373+C2494*12.9898+D2494*78.233)*43758.5453,1),1E-9),"")</f>
        <v/>
      </c>
      <c r="G2494">
        <f>IF(B2494,MOD(SIN(Seed*0.5917+C2494*39.3468+D2494*11.135)*24634.6345,1),"")</f>
        <v/>
      </c>
      <c r="H2494">
        <f>IF(B2494,SQRT(-2*LN(F2494))*COS(2*PI()*G2494),"")</f>
        <v/>
      </c>
      <c r="I2494">
        <f>IF(B2494,IF(D2494=0,H2494,Rho*I2493+SQRT(1-Rho^2)*H2494),"")</f>
        <v/>
      </c>
      <c r="J2494">
        <f>IF(B2494,IF(Dist="Normal",DistA+DistB*I2494,DistA+(DistB-DistA)*NORMSDIST(I2494)),"")</f>
        <v/>
      </c>
      <c r="K2494">
        <f>IF(B2494,INDEX(MineScale,C2494),"")</f>
        <v/>
      </c>
      <c r="L2494">
        <f>IF(B2494,INDEX(Dow,1,WEEKDAY(E2494,2)),"")</f>
        <v/>
      </c>
      <c r="M2494">
        <f>IF(B2494,(1+Trend)^D2494,"")</f>
        <v/>
      </c>
      <c r="N2494">
        <f>IF(B2494,EXP(SUMPRODUCT(LN(1+(EvEff-1)*INDEX(Affected,0,C2494)*EXP(-((E2494-EvCenter)^2)/(2*EvSigma^2))))),"")</f>
        <v/>
      </c>
      <c r="O2494">
        <f>IF(B2494,ROUND(MAX(0,J2494*K2494*L2494*M2494*N2494),2),"")</f>
        <v/>
      </c>
    </row>
    <row r="2495">
      <c r="A2495" t="n">
        <v>2494</v>
      </c>
      <c r="B2495">
        <f>A2495&lt;=MineCount*Days</f>
        <v/>
      </c>
      <c r="C2495">
        <f>IF(B2495,INT((A2495-1)/Days)+1,"")</f>
        <v/>
      </c>
      <c r="D2495">
        <f>IF(B2495,MOD(A2495-1,Days),"")</f>
        <v/>
      </c>
      <c r="E2495" s="16">
        <f>IF(B2495,StartDate+D2495,"")</f>
        <v/>
      </c>
      <c r="F2495">
        <f>IF(B2495,MAX(MOD(SIN(Seed*0.1373+C2495*12.9898+D2495*78.233)*43758.5453,1),1E-9),"")</f>
        <v/>
      </c>
      <c r="G2495">
        <f>IF(B2495,MOD(SIN(Seed*0.5917+C2495*39.3468+D2495*11.135)*24634.6345,1),"")</f>
        <v/>
      </c>
      <c r="H2495">
        <f>IF(B2495,SQRT(-2*LN(F2495))*COS(2*PI()*G2495),"")</f>
        <v/>
      </c>
      <c r="I2495">
        <f>IF(B2495,IF(D2495=0,H2495,Rho*I2494+SQRT(1-Rho^2)*H2495),"")</f>
        <v/>
      </c>
      <c r="J2495">
        <f>IF(B2495,IF(Dist="Normal",DistA+DistB*I2495,DistA+(DistB-DistA)*NORMSDIST(I2495)),"")</f>
        <v/>
      </c>
      <c r="K2495">
        <f>IF(B2495,INDEX(MineScale,C2495),"")</f>
        <v/>
      </c>
      <c r="L2495">
        <f>IF(B2495,INDEX(Dow,1,WEEKDAY(E2495,2)),"")</f>
        <v/>
      </c>
      <c r="M2495">
        <f>IF(B2495,(1+Trend)^D2495,"")</f>
        <v/>
      </c>
      <c r="N2495">
        <f>IF(B2495,EXP(SUMPRODUCT(LN(1+(EvEff-1)*INDEX(Affected,0,C2495)*EXP(-((E2495-EvCenter)^2)/(2*EvSigma^2))))),"")</f>
        <v/>
      </c>
      <c r="O2495">
        <f>IF(B2495,ROUND(MAX(0,J2495*K2495*L2495*M2495*N2495),2),"")</f>
        <v/>
      </c>
    </row>
    <row r="2496">
      <c r="A2496" t="n">
        <v>2495</v>
      </c>
      <c r="B2496">
        <f>A2496&lt;=MineCount*Days</f>
        <v/>
      </c>
      <c r="C2496">
        <f>IF(B2496,INT((A2496-1)/Days)+1,"")</f>
        <v/>
      </c>
      <c r="D2496">
        <f>IF(B2496,MOD(A2496-1,Days),"")</f>
        <v/>
      </c>
      <c r="E2496" s="16">
        <f>IF(B2496,StartDate+D2496,"")</f>
        <v/>
      </c>
      <c r="F2496">
        <f>IF(B2496,MAX(MOD(SIN(Seed*0.1373+C2496*12.9898+D2496*78.233)*43758.5453,1),1E-9),"")</f>
        <v/>
      </c>
      <c r="G2496">
        <f>IF(B2496,MOD(SIN(Seed*0.5917+C2496*39.3468+D2496*11.135)*24634.6345,1),"")</f>
        <v/>
      </c>
      <c r="H2496">
        <f>IF(B2496,SQRT(-2*LN(F2496))*COS(2*PI()*G2496),"")</f>
        <v/>
      </c>
      <c r="I2496">
        <f>IF(B2496,IF(D2496=0,H2496,Rho*I2495+SQRT(1-Rho^2)*H2496),"")</f>
        <v/>
      </c>
      <c r="J2496">
        <f>IF(B2496,IF(Dist="Normal",DistA+DistB*I2496,DistA+(DistB-DistA)*NORMSDIST(I2496)),"")</f>
        <v/>
      </c>
      <c r="K2496">
        <f>IF(B2496,INDEX(MineScale,C2496),"")</f>
        <v/>
      </c>
      <c r="L2496">
        <f>IF(B2496,INDEX(Dow,1,WEEKDAY(E2496,2)),"")</f>
        <v/>
      </c>
      <c r="M2496">
        <f>IF(B2496,(1+Trend)^D2496,"")</f>
        <v/>
      </c>
      <c r="N2496">
        <f>IF(B2496,EXP(SUMPRODUCT(LN(1+(EvEff-1)*INDEX(Affected,0,C2496)*EXP(-((E2496-EvCenter)^2)/(2*EvSigma^2))))),"")</f>
        <v/>
      </c>
      <c r="O2496">
        <f>IF(B2496,ROUND(MAX(0,J2496*K2496*L2496*M2496*N2496),2),"")</f>
        <v/>
      </c>
    </row>
    <row r="2497">
      <c r="A2497" t="n">
        <v>2496</v>
      </c>
      <c r="B2497">
        <f>A2497&lt;=MineCount*Days</f>
        <v/>
      </c>
      <c r="C2497">
        <f>IF(B2497,INT((A2497-1)/Days)+1,"")</f>
        <v/>
      </c>
      <c r="D2497">
        <f>IF(B2497,MOD(A2497-1,Days),"")</f>
        <v/>
      </c>
      <c r="E2497" s="16">
        <f>IF(B2497,StartDate+D2497,"")</f>
        <v/>
      </c>
      <c r="F2497">
        <f>IF(B2497,MAX(MOD(SIN(Seed*0.1373+C2497*12.9898+D2497*78.233)*43758.5453,1),1E-9),"")</f>
        <v/>
      </c>
      <c r="G2497">
        <f>IF(B2497,MOD(SIN(Seed*0.5917+C2497*39.3468+D2497*11.135)*24634.6345,1),"")</f>
        <v/>
      </c>
      <c r="H2497">
        <f>IF(B2497,SQRT(-2*LN(F2497))*COS(2*PI()*G2497),"")</f>
        <v/>
      </c>
      <c r="I2497">
        <f>IF(B2497,IF(D2497=0,H2497,Rho*I2496+SQRT(1-Rho^2)*H2497),"")</f>
        <v/>
      </c>
      <c r="J2497">
        <f>IF(B2497,IF(Dist="Normal",DistA+DistB*I2497,DistA+(DistB-DistA)*NORMSDIST(I2497)),"")</f>
        <v/>
      </c>
      <c r="K2497">
        <f>IF(B2497,INDEX(MineScale,C2497),"")</f>
        <v/>
      </c>
      <c r="L2497">
        <f>IF(B2497,INDEX(Dow,1,WEEKDAY(E2497,2)),"")</f>
        <v/>
      </c>
      <c r="M2497">
        <f>IF(B2497,(1+Trend)^D2497,"")</f>
        <v/>
      </c>
      <c r="N2497">
        <f>IF(B2497,EXP(SUMPRODUCT(LN(1+(EvEff-1)*INDEX(Affected,0,C2497)*EXP(-((E2497-EvCenter)^2)/(2*EvSigma^2))))),"")</f>
        <v/>
      </c>
      <c r="O2497">
        <f>IF(B2497,ROUND(MAX(0,J2497*K2497*L2497*M2497*N2497),2),"")</f>
        <v/>
      </c>
    </row>
    <row r="2498">
      <c r="A2498" t="n">
        <v>2497</v>
      </c>
      <c r="B2498">
        <f>A2498&lt;=MineCount*Days</f>
        <v/>
      </c>
      <c r="C2498">
        <f>IF(B2498,INT((A2498-1)/Days)+1,"")</f>
        <v/>
      </c>
      <c r="D2498">
        <f>IF(B2498,MOD(A2498-1,Days),"")</f>
        <v/>
      </c>
      <c r="E2498" s="16">
        <f>IF(B2498,StartDate+D2498,"")</f>
        <v/>
      </c>
      <c r="F2498">
        <f>IF(B2498,MAX(MOD(SIN(Seed*0.1373+C2498*12.9898+D2498*78.233)*43758.5453,1),1E-9),"")</f>
        <v/>
      </c>
      <c r="G2498">
        <f>IF(B2498,MOD(SIN(Seed*0.5917+C2498*39.3468+D2498*11.135)*24634.6345,1),"")</f>
        <v/>
      </c>
      <c r="H2498">
        <f>IF(B2498,SQRT(-2*LN(F2498))*COS(2*PI()*G2498),"")</f>
        <v/>
      </c>
      <c r="I2498">
        <f>IF(B2498,IF(D2498=0,H2498,Rho*I2497+SQRT(1-Rho^2)*H2498),"")</f>
        <v/>
      </c>
      <c r="J2498">
        <f>IF(B2498,IF(Dist="Normal",DistA+DistB*I2498,DistA+(DistB-DistA)*NORMSDIST(I2498)),"")</f>
        <v/>
      </c>
      <c r="K2498">
        <f>IF(B2498,INDEX(MineScale,C2498),"")</f>
        <v/>
      </c>
      <c r="L2498">
        <f>IF(B2498,INDEX(Dow,1,WEEKDAY(E2498,2)),"")</f>
        <v/>
      </c>
      <c r="M2498">
        <f>IF(B2498,(1+Trend)^D2498,"")</f>
        <v/>
      </c>
      <c r="N2498">
        <f>IF(B2498,EXP(SUMPRODUCT(LN(1+(EvEff-1)*INDEX(Affected,0,C2498)*EXP(-((E2498-EvCenter)^2)/(2*EvSigma^2))))),"")</f>
        <v/>
      </c>
      <c r="O2498">
        <f>IF(B2498,ROUND(MAX(0,J2498*K2498*L2498*M2498*N2498),2),"")</f>
        <v/>
      </c>
    </row>
    <row r="2499">
      <c r="A2499" t="n">
        <v>2498</v>
      </c>
      <c r="B2499">
        <f>A2499&lt;=MineCount*Days</f>
        <v/>
      </c>
      <c r="C2499">
        <f>IF(B2499,INT((A2499-1)/Days)+1,"")</f>
        <v/>
      </c>
      <c r="D2499">
        <f>IF(B2499,MOD(A2499-1,Days),"")</f>
        <v/>
      </c>
      <c r="E2499" s="16">
        <f>IF(B2499,StartDate+D2499,"")</f>
        <v/>
      </c>
      <c r="F2499">
        <f>IF(B2499,MAX(MOD(SIN(Seed*0.1373+C2499*12.9898+D2499*78.233)*43758.5453,1),1E-9),"")</f>
        <v/>
      </c>
      <c r="G2499">
        <f>IF(B2499,MOD(SIN(Seed*0.5917+C2499*39.3468+D2499*11.135)*24634.6345,1),"")</f>
        <v/>
      </c>
      <c r="H2499">
        <f>IF(B2499,SQRT(-2*LN(F2499))*COS(2*PI()*G2499),"")</f>
        <v/>
      </c>
      <c r="I2499">
        <f>IF(B2499,IF(D2499=0,H2499,Rho*I2498+SQRT(1-Rho^2)*H2499),"")</f>
        <v/>
      </c>
      <c r="J2499">
        <f>IF(B2499,IF(Dist="Normal",DistA+DistB*I2499,DistA+(DistB-DistA)*NORMSDIST(I2499)),"")</f>
        <v/>
      </c>
      <c r="K2499">
        <f>IF(B2499,INDEX(MineScale,C2499),"")</f>
        <v/>
      </c>
      <c r="L2499">
        <f>IF(B2499,INDEX(Dow,1,WEEKDAY(E2499,2)),"")</f>
        <v/>
      </c>
      <c r="M2499">
        <f>IF(B2499,(1+Trend)^D2499,"")</f>
        <v/>
      </c>
      <c r="N2499">
        <f>IF(B2499,EXP(SUMPRODUCT(LN(1+(EvEff-1)*INDEX(Affected,0,C2499)*EXP(-((E2499-EvCenter)^2)/(2*EvSigma^2))))),"")</f>
        <v/>
      </c>
      <c r="O2499">
        <f>IF(B2499,ROUND(MAX(0,J2499*K2499*L2499*M2499*N2499),2),"")</f>
        <v/>
      </c>
    </row>
    <row r="2500">
      <c r="A2500" t="n">
        <v>2499</v>
      </c>
      <c r="B2500">
        <f>A2500&lt;=MineCount*Days</f>
        <v/>
      </c>
      <c r="C2500">
        <f>IF(B2500,INT((A2500-1)/Days)+1,"")</f>
        <v/>
      </c>
      <c r="D2500">
        <f>IF(B2500,MOD(A2500-1,Days),"")</f>
        <v/>
      </c>
      <c r="E2500" s="16">
        <f>IF(B2500,StartDate+D2500,"")</f>
        <v/>
      </c>
      <c r="F2500">
        <f>IF(B2500,MAX(MOD(SIN(Seed*0.1373+C2500*12.9898+D2500*78.233)*43758.5453,1),1E-9),"")</f>
        <v/>
      </c>
      <c r="G2500">
        <f>IF(B2500,MOD(SIN(Seed*0.5917+C2500*39.3468+D2500*11.135)*24634.6345,1),"")</f>
        <v/>
      </c>
      <c r="H2500">
        <f>IF(B2500,SQRT(-2*LN(F2500))*COS(2*PI()*G2500),"")</f>
        <v/>
      </c>
      <c r="I2500">
        <f>IF(B2500,IF(D2500=0,H2500,Rho*I2499+SQRT(1-Rho^2)*H2500),"")</f>
        <v/>
      </c>
      <c r="J2500">
        <f>IF(B2500,IF(Dist="Normal",DistA+DistB*I2500,DistA+(DistB-DistA)*NORMSDIST(I2500)),"")</f>
        <v/>
      </c>
      <c r="K2500">
        <f>IF(B2500,INDEX(MineScale,C2500),"")</f>
        <v/>
      </c>
      <c r="L2500">
        <f>IF(B2500,INDEX(Dow,1,WEEKDAY(E2500,2)),"")</f>
        <v/>
      </c>
      <c r="M2500">
        <f>IF(B2500,(1+Trend)^D2500,"")</f>
        <v/>
      </c>
      <c r="N2500">
        <f>IF(B2500,EXP(SUMPRODUCT(LN(1+(EvEff-1)*INDEX(Affected,0,C2500)*EXP(-((E2500-EvCenter)^2)/(2*EvSigma^2))))),"")</f>
        <v/>
      </c>
      <c r="O2500">
        <f>IF(B2500,ROUND(MAX(0,J2500*K2500*L2500*M2500*N2500),2),"")</f>
        <v/>
      </c>
    </row>
    <row r="2501">
      <c r="A2501" t="n">
        <v>2500</v>
      </c>
      <c r="B2501">
        <f>A2501&lt;=MineCount*Days</f>
        <v/>
      </c>
      <c r="C2501">
        <f>IF(B2501,INT((A2501-1)/Days)+1,"")</f>
        <v/>
      </c>
      <c r="D2501">
        <f>IF(B2501,MOD(A2501-1,Days),"")</f>
        <v/>
      </c>
      <c r="E2501" s="16">
        <f>IF(B2501,StartDate+D2501,"")</f>
        <v/>
      </c>
      <c r="F2501">
        <f>IF(B2501,MAX(MOD(SIN(Seed*0.1373+C2501*12.9898+D2501*78.233)*43758.5453,1),1E-9),"")</f>
        <v/>
      </c>
      <c r="G2501">
        <f>IF(B2501,MOD(SIN(Seed*0.5917+C2501*39.3468+D2501*11.135)*24634.6345,1),"")</f>
        <v/>
      </c>
      <c r="H2501">
        <f>IF(B2501,SQRT(-2*LN(F2501))*COS(2*PI()*G2501),"")</f>
        <v/>
      </c>
      <c r="I2501">
        <f>IF(B2501,IF(D2501=0,H2501,Rho*I2500+SQRT(1-Rho^2)*H2501),"")</f>
        <v/>
      </c>
      <c r="J2501">
        <f>IF(B2501,IF(Dist="Normal",DistA+DistB*I2501,DistA+(DistB-DistA)*NORMSDIST(I2501)),"")</f>
        <v/>
      </c>
      <c r="K2501">
        <f>IF(B2501,INDEX(MineScale,C2501),"")</f>
        <v/>
      </c>
      <c r="L2501">
        <f>IF(B2501,INDEX(Dow,1,WEEKDAY(E2501,2)),"")</f>
        <v/>
      </c>
      <c r="M2501">
        <f>IF(B2501,(1+Trend)^D2501,"")</f>
        <v/>
      </c>
      <c r="N2501">
        <f>IF(B2501,EXP(SUMPRODUCT(LN(1+(EvEff-1)*INDEX(Affected,0,C2501)*EXP(-((E2501-EvCenter)^2)/(2*EvSigma^2))))),"")</f>
        <v/>
      </c>
      <c r="O2501">
        <f>IF(B2501,ROUND(MAX(0,J2501*K2501*L2501*M2501*N2501),2),"")</f>
        <v/>
      </c>
    </row>
    <row r="2502">
      <c r="A2502" t="n">
        <v>2501</v>
      </c>
      <c r="B2502">
        <f>A2502&lt;=MineCount*Days</f>
        <v/>
      </c>
      <c r="C2502">
        <f>IF(B2502,INT((A2502-1)/Days)+1,"")</f>
        <v/>
      </c>
      <c r="D2502">
        <f>IF(B2502,MOD(A2502-1,Days),"")</f>
        <v/>
      </c>
      <c r="E2502" s="16">
        <f>IF(B2502,StartDate+D2502,"")</f>
        <v/>
      </c>
      <c r="F2502">
        <f>IF(B2502,MAX(MOD(SIN(Seed*0.1373+C2502*12.9898+D2502*78.233)*43758.5453,1),1E-9),"")</f>
        <v/>
      </c>
      <c r="G2502">
        <f>IF(B2502,MOD(SIN(Seed*0.5917+C2502*39.3468+D2502*11.135)*24634.6345,1),"")</f>
        <v/>
      </c>
      <c r="H2502">
        <f>IF(B2502,SQRT(-2*LN(F2502))*COS(2*PI()*G2502),"")</f>
        <v/>
      </c>
      <c r="I2502">
        <f>IF(B2502,IF(D2502=0,H2502,Rho*I2501+SQRT(1-Rho^2)*H2502),"")</f>
        <v/>
      </c>
      <c r="J2502">
        <f>IF(B2502,IF(Dist="Normal",DistA+DistB*I2502,DistA+(DistB-DistA)*NORMSDIST(I2502)),"")</f>
        <v/>
      </c>
      <c r="K2502">
        <f>IF(B2502,INDEX(MineScale,C2502),"")</f>
        <v/>
      </c>
      <c r="L2502">
        <f>IF(B2502,INDEX(Dow,1,WEEKDAY(E2502,2)),"")</f>
        <v/>
      </c>
      <c r="M2502">
        <f>IF(B2502,(1+Trend)^D2502,"")</f>
        <v/>
      </c>
      <c r="N2502">
        <f>IF(B2502,EXP(SUMPRODUCT(LN(1+(EvEff-1)*INDEX(Affected,0,C2502)*EXP(-((E2502-EvCenter)^2)/(2*EvSigma^2))))),"")</f>
        <v/>
      </c>
      <c r="O2502">
        <f>IF(B2502,ROUND(MAX(0,J2502*K2502*L2502*M2502*N2502),2),"")</f>
        <v/>
      </c>
    </row>
    <row r="2503">
      <c r="A2503" t="n">
        <v>2502</v>
      </c>
      <c r="B2503">
        <f>A2503&lt;=MineCount*Days</f>
        <v/>
      </c>
      <c r="C2503">
        <f>IF(B2503,INT((A2503-1)/Days)+1,"")</f>
        <v/>
      </c>
      <c r="D2503">
        <f>IF(B2503,MOD(A2503-1,Days),"")</f>
        <v/>
      </c>
      <c r="E2503" s="16">
        <f>IF(B2503,StartDate+D2503,"")</f>
        <v/>
      </c>
      <c r="F2503">
        <f>IF(B2503,MAX(MOD(SIN(Seed*0.1373+C2503*12.9898+D2503*78.233)*43758.5453,1),1E-9),"")</f>
        <v/>
      </c>
      <c r="G2503">
        <f>IF(B2503,MOD(SIN(Seed*0.5917+C2503*39.3468+D2503*11.135)*24634.6345,1),"")</f>
        <v/>
      </c>
      <c r="H2503">
        <f>IF(B2503,SQRT(-2*LN(F2503))*COS(2*PI()*G2503),"")</f>
        <v/>
      </c>
      <c r="I2503">
        <f>IF(B2503,IF(D2503=0,H2503,Rho*I2502+SQRT(1-Rho^2)*H2503),"")</f>
        <v/>
      </c>
      <c r="J2503">
        <f>IF(B2503,IF(Dist="Normal",DistA+DistB*I2503,DistA+(DistB-DistA)*NORMSDIST(I2503)),"")</f>
        <v/>
      </c>
      <c r="K2503">
        <f>IF(B2503,INDEX(MineScale,C2503),"")</f>
        <v/>
      </c>
      <c r="L2503">
        <f>IF(B2503,INDEX(Dow,1,WEEKDAY(E2503,2)),"")</f>
        <v/>
      </c>
      <c r="M2503">
        <f>IF(B2503,(1+Trend)^D2503,"")</f>
        <v/>
      </c>
      <c r="N2503">
        <f>IF(B2503,EXP(SUMPRODUCT(LN(1+(EvEff-1)*INDEX(Affected,0,C2503)*EXP(-((E2503-EvCenter)^2)/(2*EvSigma^2))))),"")</f>
        <v/>
      </c>
      <c r="O2503">
        <f>IF(B2503,ROUND(MAX(0,J2503*K2503*L2503*M2503*N2503),2),"")</f>
        <v/>
      </c>
    </row>
    <row r="2504">
      <c r="A2504" t="n">
        <v>2503</v>
      </c>
      <c r="B2504">
        <f>A2504&lt;=MineCount*Days</f>
        <v/>
      </c>
      <c r="C2504">
        <f>IF(B2504,INT((A2504-1)/Days)+1,"")</f>
        <v/>
      </c>
      <c r="D2504">
        <f>IF(B2504,MOD(A2504-1,Days),"")</f>
        <v/>
      </c>
      <c r="E2504" s="16">
        <f>IF(B2504,StartDate+D2504,"")</f>
        <v/>
      </c>
      <c r="F2504">
        <f>IF(B2504,MAX(MOD(SIN(Seed*0.1373+C2504*12.9898+D2504*78.233)*43758.5453,1),1E-9),"")</f>
        <v/>
      </c>
      <c r="G2504">
        <f>IF(B2504,MOD(SIN(Seed*0.5917+C2504*39.3468+D2504*11.135)*24634.6345,1),"")</f>
        <v/>
      </c>
      <c r="H2504">
        <f>IF(B2504,SQRT(-2*LN(F2504))*COS(2*PI()*G2504),"")</f>
        <v/>
      </c>
      <c r="I2504">
        <f>IF(B2504,IF(D2504=0,H2504,Rho*I2503+SQRT(1-Rho^2)*H2504),"")</f>
        <v/>
      </c>
      <c r="J2504">
        <f>IF(B2504,IF(Dist="Normal",DistA+DistB*I2504,DistA+(DistB-DistA)*NORMSDIST(I2504)),"")</f>
        <v/>
      </c>
      <c r="K2504">
        <f>IF(B2504,INDEX(MineScale,C2504),"")</f>
        <v/>
      </c>
      <c r="L2504">
        <f>IF(B2504,INDEX(Dow,1,WEEKDAY(E2504,2)),"")</f>
        <v/>
      </c>
      <c r="M2504">
        <f>IF(B2504,(1+Trend)^D2504,"")</f>
        <v/>
      </c>
      <c r="N2504">
        <f>IF(B2504,EXP(SUMPRODUCT(LN(1+(EvEff-1)*INDEX(Affected,0,C2504)*EXP(-((E2504-EvCenter)^2)/(2*EvSigma^2))))),"")</f>
        <v/>
      </c>
      <c r="O2504">
        <f>IF(B2504,ROUND(MAX(0,J2504*K2504*L2504*M2504*N2504),2),"")</f>
        <v/>
      </c>
    </row>
    <row r="2505">
      <c r="A2505" t="n">
        <v>2504</v>
      </c>
      <c r="B2505">
        <f>A2505&lt;=MineCount*Days</f>
        <v/>
      </c>
      <c r="C2505">
        <f>IF(B2505,INT((A2505-1)/Days)+1,"")</f>
        <v/>
      </c>
      <c r="D2505">
        <f>IF(B2505,MOD(A2505-1,Days),"")</f>
        <v/>
      </c>
      <c r="E2505" s="16">
        <f>IF(B2505,StartDate+D2505,"")</f>
        <v/>
      </c>
      <c r="F2505">
        <f>IF(B2505,MAX(MOD(SIN(Seed*0.1373+C2505*12.9898+D2505*78.233)*43758.5453,1),1E-9),"")</f>
        <v/>
      </c>
      <c r="G2505">
        <f>IF(B2505,MOD(SIN(Seed*0.5917+C2505*39.3468+D2505*11.135)*24634.6345,1),"")</f>
        <v/>
      </c>
      <c r="H2505">
        <f>IF(B2505,SQRT(-2*LN(F2505))*COS(2*PI()*G2505),"")</f>
        <v/>
      </c>
      <c r="I2505">
        <f>IF(B2505,IF(D2505=0,H2505,Rho*I2504+SQRT(1-Rho^2)*H2505),"")</f>
        <v/>
      </c>
      <c r="J2505">
        <f>IF(B2505,IF(Dist="Normal",DistA+DistB*I2505,DistA+(DistB-DistA)*NORMSDIST(I2505)),"")</f>
        <v/>
      </c>
      <c r="K2505">
        <f>IF(B2505,INDEX(MineScale,C2505),"")</f>
        <v/>
      </c>
      <c r="L2505">
        <f>IF(B2505,INDEX(Dow,1,WEEKDAY(E2505,2)),"")</f>
        <v/>
      </c>
      <c r="M2505">
        <f>IF(B2505,(1+Trend)^D2505,"")</f>
        <v/>
      </c>
      <c r="N2505">
        <f>IF(B2505,EXP(SUMPRODUCT(LN(1+(EvEff-1)*INDEX(Affected,0,C2505)*EXP(-((E2505-EvCenter)^2)/(2*EvSigma^2))))),"")</f>
        <v/>
      </c>
      <c r="O2505">
        <f>IF(B2505,ROUND(MAX(0,J2505*K2505*L2505*M2505*N2505),2),"")</f>
        <v/>
      </c>
    </row>
    <row r="2506">
      <c r="A2506" t="n">
        <v>2505</v>
      </c>
      <c r="B2506">
        <f>A2506&lt;=MineCount*Days</f>
        <v/>
      </c>
      <c r="C2506">
        <f>IF(B2506,INT((A2506-1)/Days)+1,"")</f>
        <v/>
      </c>
      <c r="D2506">
        <f>IF(B2506,MOD(A2506-1,Days),"")</f>
        <v/>
      </c>
      <c r="E2506" s="16">
        <f>IF(B2506,StartDate+D2506,"")</f>
        <v/>
      </c>
      <c r="F2506">
        <f>IF(B2506,MAX(MOD(SIN(Seed*0.1373+C2506*12.9898+D2506*78.233)*43758.5453,1),1E-9),"")</f>
        <v/>
      </c>
      <c r="G2506">
        <f>IF(B2506,MOD(SIN(Seed*0.5917+C2506*39.3468+D2506*11.135)*24634.6345,1),"")</f>
        <v/>
      </c>
      <c r="H2506">
        <f>IF(B2506,SQRT(-2*LN(F2506))*COS(2*PI()*G2506),"")</f>
        <v/>
      </c>
      <c r="I2506">
        <f>IF(B2506,IF(D2506=0,H2506,Rho*I2505+SQRT(1-Rho^2)*H2506),"")</f>
        <v/>
      </c>
      <c r="J2506">
        <f>IF(B2506,IF(Dist="Normal",DistA+DistB*I2506,DistA+(DistB-DistA)*NORMSDIST(I2506)),"")</f>
        <v/>
      </c>
      <c r="K2506">
        <f>IF(B2506,INDEX(MineScale,C2506),"")</f>
        <v/>
      </c>
      <c r="L2506">
        <f>IF(B2506,INDEX(Dow,1,WEEKDAY(E2506,2)),"")</f>
        <v/>
      </c>
      <c r="M2506">
        <f>IF(B2506,(1+Trend)^D2506,"")</f>
        <v/>
      </c>
      <c r="N2506">
        <f>IF(B2506,EXP(SUMPRODUCT(LN(1+(EvEff-1)*INDEX(Affected,0,C2506)*EXP(-((E2506-EvCenter)^2)/(2*EvSigma^2))))),"")</f>
        <v/>
      </c>
      <c r="O2506">
        <f>IF(B2506,ROUND(MAX(0,J2506*K2506*L2506*M2506*N2506),2),"")</f>
        <v/>
      </c>
    </row>
    <row r="2507">
      <c r="A2507" t="n">
        <v>2506</v>
      </c>
      <c r="B2507">
        <f>A2507&lt;=MineCount*Days</f>
        <v/>
      </c>
      <c r="C2507">
        <f>IF(B2507,INT((A2507-1)/Days)+1,"")</f>
        <v/>
      </c>
      <c r="D2507">
        <f>IF(B2507,MOD(A2507-1,Days),"")</f>
        <v/>
      </c>
      <c r="E2507" s="16">
        <f>IF(B2507,StartDate+D2507,"")</f>
        <v/>
      </c>
      <c r="F2507">
        <f>IF(B2507,MAX(MOD(SIN(Seed*0.1373+C2507*12.9898+D2507*78.233)*43758.5453,1),1E-9),"")</f>
        <v/>
      </c>
      <c r="G2507">
        <f>IF(B2507,MOD(SIN(Seed*0.5917+C2507*39.3468+D2507*11.135)*24634.6345,1),"")</f>
        <v/>
      </c>
      <c r="H2507">
        <f>IF(B2507,SQRT(-2*LN(F2507))*COS(2*PI()*G2507),"")</f>
        <v/>
      </c>
      <c r="I2507">
        <f>IF(B2507,IF(D2507=0,H2507,Rho*I2506+SQRT(1-Rho^2)*H2507),"")</f>
        <v/>
      </c>
      <c r="J2507">
        <f>IF(B2507,IF(Dist="Normal",DistA+DistB*I2507,DistA+(DistB-DistA)*NORMSDIST(I2507)),"")</f>
        <v/>
      </c>
      <c r="K2507">
        <f>IF(B2507,INDEX(MineScale,C2507),"")</f>
        <v/>
      </c>
      <c r="L2507">
        <f>IF(B2507,INDEX(Dow,1,WEEKDAY(E2507,2)),"")</f>
        <v/>
      </c>
      <c r="M2507">
        <f>IF(B2507,(1+Trend)^D2507,"")</f>
        <v/>
      </c>
      <c r="N2507">
        <f>IF(B2507,EXP(SUMPRODUCT(LN(1+(EvEff-1)*INDEX(Affected,0,C2507)*EXP(-((E2507-EvCenter)^2)/(2*EvSigma^2))))),"")</f>
        <v/>
      </c>
      <c r="O2507">
        <f>IF(B2507,ROUND(MAX(0,J2507*K2507*L2507*M2507*N2507),2),"")</f>
        <v/>
      </c>
    </row>
    <row r="2508">
      <c r="A2508" t="n">
        <v>2507</v>
      </c>
      <c r="B2508">
        <f>A2508&lt;=MineCount*Days</f>
        <v/>
      </c>
      <c r="C2508">
        <f>IF(B2508,INT((A2508-1)/Days)+1,"")</f>
        <v/>
      </c>
      <c r="D2508">
        <f>IF(B2508,MOD(A2508-1,Days),"")</f>
        <v/>
      </c>
      <c r="E2508" s="16">
        <f>IF(B2508,StartDate+D2508,"")</f>
        <v/>
      </c>
      <c r="F2508">
        <f>IF(B2508,MAX(MOD(SIN(Seed*0.1373+C2508*12.9898+D2508*78.233)*43758.5453,1),1E-9),"")</f>
        <v/>
      </c>
      <c r="G2508">
        <f>IF(B2508,MOD(SIN(Seed*0.5917+C2508*39.3468+D2508*11.135)*24634.6345,1),"")</f>
        <v/>
      </c>
      <c r="H2508">
        <f>IF(B2508,SQRT(-2*LN(F2508))*COS(2*PI()*G2508),"")</f>
        <v/>
      </c>
      <c r="I2508">
        <f>IF(B2508,IF(D2508=0,H2508,Rho*I2507+SQRT(1-Rho^2)*H2508),"")</f>
        <v/>
      </c>
      <c r="J2508">
        <f>IF(B2508,IF(Dist="Normal",DistA+DistB*I2508,DistA+(DistB-DistA)*NORMSDIST(I2508)),"")</f>
        <v/>
      </c>
      <c r="K2508">
        <f>IF(B2508,INDEX(MineScale,C2508),"")</f>
        <v/>
      </c>
      <c r="L2508">
        <f>IF(B2508,INDEX(Dow,1,WEEKDAY(E2508,2)),"")</f>
        <v/>
      </c>
      <c r="M2508">
        <f>IF(B2508,(1+Trend)^D2508,"")</f>
        <v/>
      </c>
      <c r="N2508">
        <f>IF(B2508,EXP(SUMPRODUCT(LN(1+(EvEff-1)*INDEX(Affected,0,C2508)*EXP(-((E2508-EvCenter)^2)/(2*EvSigma^2))))),"")</f>
        <v/>
      </c>
      <c r="O2508">
        <f>IF(B2508,ROUND(MAX(0,J2508*K2508*L2508*M2508*N2508),2),"")</f>
        <v/>
      </c>
    </row>
    <row r="2509">
      <c r="A2509" t="n">
        <v>2508</v>
      </c>
      <c r="B2509">
        <f>A2509&lt;=MineCount*Days</f>
        <v/>
      </c>
      <c r="C2509">
        <f>IF(B2509,INT((A2509-1)/Days)+1,"")</f>
        <v/>
      </c>
      <c r="D2509">
        <f>IF(B2509,MOD(A2509-1,Days),"")</f>
        <v/>
      </c>
      <c r="E2509" s="16">
        <f>IF(B2509,StartDate+D2509,"")</f>
        <v/>
      </c>
      <c r="F2509">
        <f>IF(B2509,MAX(MOD(SIN(Seed*0.1373+C2509*12.9898+D2509*78.233)*43758.5453,1),1E-9),"")</f>
        <v/>
      </c>
      <c r="G2509">
        <f>IF(B2509,MOD(SIN(Seed*0.5917+C2509*39.3468+D2509*11.135)*24634.6345,1),"")</f>
        <v/>
      </c>
      <c r="H2509">
        <f>IF(B2509,SQRT(-2*LN(F2509))*COS(2*PI()*G2509),"")</f>
        <v/>
      </c>
      <c r="I2509">
        <f>IF(B2509,IF(D2509=0,H2509,Rho*I2508+SQRT(1-Rho^2)*H2509),"")</f>
        <v/>
      </c>
      <c r="J2509">
        <f>IF(B2509,IF(Dist="Normal",DistA+DistB*I2509,DistA+(DistB-DistA)*NORMSDIST(I2509)),"")</f>
        <v/>
      </c>
      <c r="K2509">
        <f>IF(B2509,INDEX(MineScale,C2509),"")</f>
        <v/>
      </c>
      <c r="L2509">
        <f>IF(B2509,INDEX(Dow,1,WEEKDAY(E2509,2)),"")</f>
        <v/>
      </c>
      <c r="M2509">
        <f>IF(B2509,(1+Trend)^D2509,"")</f>
        <v/>
      </c>
      <c r="N2509">
        <f>IF(B2509,EXP(SUMPRODUCT(LN(1+(EvEff-1)*INDEX(Affected,0,C2509)*EXP(-((E2509-EvCenter)^2)/(2*EvSigma^2))))),"")</f>
        <v/>
      </c>
      <c r="O2509">
        <f>IF(B2509,ROUND(MAX(0,J2509*K2509*L2509*M2509*N2509),2),"")</f>
        <v/>
      </c>
    </row>
    <row r="2510">
      <c r="A2510" t="n">
        <v>2509</v>
      </c>
      <c r="B2510">
        <f>A2510&lt;=MineCount*Days</f>
        <v/>
      </c>
      <c r="C2510">
        <f>IF(B2510,INT((A2510-1)/Days)+1,"")</f>
        <v/>
      </c>
      <c r="D2510">
        <f>IF(B2510,MOD(A2510-1,Days),"")</f>
        <v/>
      </c>
      <c r="E2510" s="16">
        <f>IF(B2510,StartDate+D2510,"")</f>
        <v/>
      </c>
      <c r="F2510">
        <f>IF(B2510,MAX(MOD(SIN(Seed*0.1373+C2510*12.9898+D2510*78.233)*43758.5453,1),1E-9),"")</f>
        <v/>
      </c>
      <c r="G2510">
        <f>IF(B2510,MOD(SIN(Seed*0.5917+C2510*39.3468+D2510*11.135)*24634.6345,1),"")</f>
        <v/>
      </c>
      <c r="H2510">
        <f>IF(B2510,SQRT(-2*LN(F2510))*COS(2*PI()*G2510),"")</f>
        <v/>
      </c>
      <c r="I2510">
        <f>IF(B2510,IF(D2510=0,H2510,Rho*I2509+SQRT(1-Rho^2)*H2510),"")</f>
        <v/>
      </c>
      <c r="J2510">
        <f>IF(B2510,IF(Dist="Normal",DistA+DistB*I2510,DistA+(DistB-DistA)*NORMSDIST(I2510)),"")</f>
        <v/>
      </c>
      <c r="K2510">
        <f>IF(B2510,INDEX(MineScale,C2510),"")</f>
        <v/>
      </c>
      <c r="L2510">
        <f>IF(B2510,INDEX(Dow,1,WEEKDAY(E2510,2)),"")</f>
        <v/>
      </c>
      <c r="M2510">
        <f>IF(B2510,(1+Trend)^D2510,"")</f>
        <v/>
      </c>
      <c r="N2510">
        <f>IF(B2510,EXP(SUMPRODUCT(LN(1+(EvEff-1)*INDEX(Affected,0,C2510)*EXP(-((E2510-EvCenter)^2)/(2*EvSigma^2))))),"")</f>
        <v/>
      </c>
      <c r="O2510">
        <f>IF(B2510,ROUND(MAX(0,J2510*K2510*L2510*M2510*N2510),2),"")</f>
        <v/>
      </c>
    </row>
    <row r="2511">
      <c r="A2511" t="n">
        <v>2510</v>
      </c>
      <c r="B2511">
        <f>A2511&lt;=MineCount*Days</f>
        <v/>
      </c>
      <c r="C2511">
        <f>IF(B2511,INT((A2511-1)/Days)+1,"")</f>
        <v/>
      </c>
      <c r="D2511">
        <f>IF(B2511,MOD(A2511-1,Days),"")</f>
        <v/>
      </c>
      <c r="E2511" s="16">
        <f>IF(B2511,StartDate+D2511,"")</f>
        <v/>
      </c>
      <c r="F2511">
        <f>IF(B2511,MAX(MOD(SIN(Seed*0.1373+C2511*12.9898+D2511*78.233)*43758.5453,1),1E-9),"")</f>
        <v/>
      </c>
      <c r="G2511">
        <f>IF(B2511,MOD(SIN(Seed*0.5917+C2511*39.3468+D2511*11.135)*24634.6345,1),"")</f>
        <v/>
      </c>
      <c r="H2511">
        <f>IF(B2511,SQRT(-2*LN(F2511))*COS(2*PI()*G2511),"")</f>
        <v/>
      </c>
      <c r="I2511">
        <f>IF(B2511,IF(D2511=0,H2511,Rho*I2510+SQRT(1-Rho^2)*H2511),"")</f>
        <v/>
      </c>
      <c r="J2511">
        <f>IF(B2511,IF(Dist="Normal",DistA+DistB*I2511,DistA+(DistB-DistA)*NORMSDIST(I2511)),"")</f>
        <v/>
      </c>
      <c r="K2511">
        <f>IF(B2511,INDEX(MineScale,C2511),"")</f>
        <v/>
      </c>
      <c r="L2511">
        <f>IF(B2511,INDEX(Dow,1,WEEKDAY(E2511,2)),"")</f>
        <v/>
      </c>
      <c r="M2511">
        <f>IF(B2511,(1+Trend)^D2511,"")</f>
        <v/>
      </c>
      <c r="N2511">
        <f>IF(B2511,EXP(SUMPRODUCT(LN(1+(EvEff-1)*INDEX(Affected,0,C2511)*EXP(-((E2511-EvCenter)^2)/(2*EvSigma^2))))),"")</f>
        <v/>
      </c>
      <c r="O2511">
        <f>IF(B2511,ROUND(MAX(0,J2511*K2511*L2511*M2511*N2511),2),"")</f>
        <v/>
      </c>
    </row>
    <row r="2512">
      <c r="A2512" t="n">
        <v>2511</v>
      </c>
      <c r="B2512">
        <f>A2512&lt;=MineCount*Days</f>
        <v/>
      </c>
      <c r="C2512">
        <f>IF(B2512,INT((A2512-1)/Days)+1,"")</f>
        <v/>
      </c>
      <c r="D2512">
        <f>IF(B2512,MOD(A2512-1,Days),"")</f>
        <v/>
      </c>
      <c r="E2512" s="16">
        <f>IF(B2512,StartDate+D2512,"")</f>
        <v/>
      </c>
      <c r="F2512">
        <f>IF(B2512,MAX(MOD(SIN(Seed*0.1373+C2512*12.9898+D2512*78.233)*43758.5453,1),1E-9),"")</f>
        <v/>
      </c>
      <c r="G2512">
        <f>IF(B2512,MOD(SIN(Seed*0.5917+C2512*39.3468+D2512*11.135)*24634.6345,1),"")</f>
        <v/>
      </c>
      <c r="H2512">
        <f>IF(B2512,SQRT(-2*LN(F2512))*COS(2*PI()*G2512),"")</f>
        <v/>
      </c>
      <c r="I2512">
        <f>IF(B2512,IF(D2512=0,H2512,Rho*I2511+SQRT(1-Rho^2)*H2512),"")</f>
        <v/>
      </c>
      <c r="J2512">
        <f>IF(B2512,IF(Dist="Normal",DistA+DistB*I2512,DistA+(DistB-DistA)*NORMSDIST(I2512)),"")</f>
        <v/>
      </c>
      <c r="K2512">
        <f>IF(B2512,INDEX(MineScale,C2512),"")</f>
        <v/>
      </c>
      <c r="L2512">
        <f>IF(B2512,INDEX(Dow,1,WEEKDAY(E2512,2)),"")</f>
        <v/>
      </c>
      <c r="M2512">
        <f>IF(B2512,(1+Trend)^D2512,"")</f>
        <v/>
      </c>
      <c r="N2512">
        <f>IF(B2512,EXP(SUMPRODUCT(LN(1+(EvEff-1)*INDEX(Affected,0,C2512)*EXP(-((E2512-EvCenter)^2)/(2*EvSigma^2))))),"")</f>
        <v/>
      </c>
      <c r="O2512">
        <f>IF(B2512,ROUND(MAX(0,J2512*K2512*L2512*M2512*N2512),2),"")</f>
        <v/>
      </c>
    </row>
    <row r="2513">
      <c r="A2513" t="n">
        <v>2512</v>
      </c>
      <c r="B2513">
        <f>A2513&lt;=MineCount*Days</f>
        <v/>
      </c>
      <c r="C2513">
        <f>IF(B2513,INT((A2513-1)/Days)+1,"")</f>
        <v/>
      </c>
      <c r="D2513">
        <f>IF(B2513,MOD(A2513-1,Days),"")</f>
        <v/>
      </c>
      <c r="E2513" s="16">
        <f>IF(B2513,StartDate+D2513,"")</f>
        <v/>
      </c>
      <c r="F2513">
        <f>IF(B2513,MAX(MOD(SIN(Seed*0.1373+C2513*12.9898+D2513*78.233)*43758.5453,1),1E-9),"")</f>
        <v/>
      </c>
      <c r="G2513">
        <f>IF(B2513,MOD(SIN(Seed*0.5917+C2513*39.3468+D2513*11.135)*24634.6345,1),"")</f>
        <v/>
      </c>
      <c r="H2513">
        <f>IF(B2513,SQRT(-2*LN(F2513))*COS(2*PI()*G2513),"")</f>
        <v/>
      </c>
      <c r="I2513">
        <f>IF(B2513,IF(D2513=0,H2513,Rho*I2512+SQRT(1-Rho^2)*H2513),"")</f>
        <v/>
      </c>
      <c r="J2513">
        <f>IF(B2513,IF(Dist="Normal",DistA+DistB*I2513,DistA+(DistB-DistA)*NORMSDIST(I2513)),"")</f>
        <v/>
      </c>
      <c r="K2513">
        <f>IF(B2513,INDEX(MineScale,C2513),"")</f>
        <v/>
      </c>
      <c r="L2513">
        <f>IF(B2513,INDEX(Dow,1,WEEKDAY(E2513,2)),"")</f>
        <v/>
      </c>
      <c r="M2513">
        <f>IF(B2513,(1+Trend)^D2513,"")</f>
        <v/>
      </c>
      <c r="N2513">
        <f>IF(B2513,EXP(SUMPRODUCT(LN(1+(EvEff-1)*INDEX(Affected,0,C2513)*EXP(-((E2513-EvCenter)^2)/(2*EvSigma^2))))),"")</f>
        <v/>
      </c>
      <c r="O2513">
        <f>IF(B2513,ROUND(MAX(0,J2513*K2513*L2513*M2513*N2513),2),"")</f>
        <v/>
      </c>
    </row>
    <row r="2514">
      <c r="A2514" t="n">
        <v>2513</v>
      </c>
      <c r="B2514">
        <f>A2514&lt;=MineCount*Days</f>
        <v/>
      </c>
      <c r="C2514">
        <f>IF(B2514,INT((A2514-1)/Days)+1,"")</f>
        <v/>
      </c>
      <c r="D2514">
        <f>IF(B2514,MOD(A2514-1,Days),"")</f>
        <v/>
      </c>
      <c r="E2514" s="16">
        <f>IF(B2514,StartDate+D2514,"")</f>
        <v/>
      </c>
      <c r="F2514">
        <f>IF(B2514,MAX(MOD(SIN(Seed*0.1373+C2514*12.9898+D2514*78.233)*43758.5453,1),1E-9),"")</f>
        <v/>
      </c>
      <c r="G2514">
        <f>IF(B2514,MOD(SIN(Seed*0.5917+C2514*39.3468+D2514*11.135)*24634.6345,1),"")</f>
        <v/>
      </c>
      <c r="H2514">
        <f>IF(B2514,SQRT(-2*LN(F2514))*COS(2*PI()*G2514),"")</f>
        <v/>
      </c>
      <c r="I2514">
        <f>IF(B2514,IF(D2514=0,H2514,Rho*I2513+SQRT(1-Rho^2)*H2514),"")</f>
        <v/>
      </c>
      <c r="J2514">
        <f>IF(B2514,IF(Dist="Normal",DistA+DistB*I2514,DistA+(DistB-DistA)*NORMSDIST(I2514)),"")</f>
        <v/>
      </c>
      <c r="K2514">
        <f>IF(B2514,INDEX(MineScale,C2514),"")</f>
        <v/>
      </c>
      <c r="L2514">
        <f>IF(B2514,INDEX(Dow,1,WEEKDAY(E2514,2)),"")</f>
        <v/>
      </c>
      <c r="M2514">
        <f>IF(B2514,(1+Trend)^D2514,"")</f>
        <v/>
      </c>
      <c r="N2514">
        <f>IF(B2514,EXP(SUMPRODUCT(LN(1+(EvEff-1)*INDEX(Affected,0,C2514)*EXP(-((E2514-EvCenter)^2)/(2*EvSigma^2))))),"")</f>
        <v/>
      </c>
      <c r="O2514">
        <f>IF(B2514,ROUND(MAX(0,J2514*K2514*L2514*M2514*N2514),2),"")</f>
        <v/>
      </c>
    </row>
    <row r="2515">
      <c r="A2515" t="n">
        <v>2514</v>
      </c>
      <c r="B2515">
        <f>A2515&lt;=MineCount*Days</f>
        <v/>
      </c>
      <c r="C2515">
        <f>IF(B2515,INT((A2515-1)/Days)+1,"")</f>
        <v/>
      </c>
      <c r="D2515">
        <f>IF(B2515,MOD(A2515-1,Days),"")</f>
        <v/>
      </c>
      <c r="E2515" s="16">
        <f>IF(B2515,StartDate+D2515,"")</f>
        <v/>
      </c>
      <c r="F2515">
        <f>IF(B2515,MAX(MOD(SIN(Seed*0.1373+C2515*12.9898+D2515*78.233)*43758.5453,1),1E-9),"")</f>
        <v/>
      </c>
      <c r="G2515">
        <f>IF(B2515,MOD(SIN(Seed*0.5917+C2515*39.3468+D2515*11.135)*24634.6345,1),"")</f>
        <v/>
      </c>
      <c r="H2515">
        <f>IF(B2515,SQRT(-2*LN(F2515))*COS(2*PI()*G2515),"")</f>
        <v/>
      </c>
      <c r="I2515">
        <f>IF(B2515,IF(D2515=0,H2515,Rho*I2514+SQRT(1-Rho^2)*H2515),"")</f>
        <v/>
      </c>
      <c r="J2515">
        <f>IF(B2515,IF(Dist="Normal",DistA+DistB*I2515,DistA+(DistB-DistA)*NORMSDIST(I2515)),"")</f>
        <v/>
      </c>
      <c r="K2515">
        <f>IF(B2515,INDEX(MineScale,C2515),"")</f>
        <v/>
      </c>
      <c r="L2515">
        <f>IF(B2515,INDEX(Dow,1,WEEKDAY(E2515,2)),"")</f>
        <v/>
      </c>
      <c r="M2515">
        <f>IF(B2515,(1+Trend)^D2515,"")</f>
        <v/>
      </c>
      <c r="N2515">
        <f>IF(B2515,EXP(SUMPRODUCT(LN(1+(EvEff-1)*INDEX(Affected,0,C2515)*EXP(-((E2515-EvCenter)^2)/(2*EvSigma^2))))),"")</f>
        <v/>
      </c>
      <c r="O2515">
        <f>IF(B2515,ROUND(MAX(0,J2515*K2515*L2515*M2515*N2515),2),"")</f>
        <v/>
      </c>
    </row>
    <row r="2516">
      <c r="A2516" t="n">
        <v>2515</v>
      </c>
      <c r="B2516">
        <f>A2516&lt;=MineCount*Days</f>
        <v/>
      </c>
      <c r="C2516">
        <f>IF(B2516,INT((A2516-1)/Days)+1,"")</f>
        <v/>
      </c>
      <c r="D2516">
        <f>IF(B2516,MOD(A2516-1,Days),"")</f>
        <v/>
      </c>
      <c r="E2516" s="16">
        <f>IF(B2516,StartDate+D2516,"")</f>
        <v/>
      </c>
      <c r="F2516">
        <f>IF(B2516,MAX(MOD(SIN(Seed*0.1373+C2516*12.9898+D2516*78.233)*43758.5453,1),1E-9),"")</f>
        <v/>
      </c>
      <c r="G2516">
        <f>IF(B2516,MOD(SIN(Seed*0.5917+C2516*39.3468+D2516*11.135)*24634.6345,1),"")</f>
        <v/>
      </c>
      <c r="H2516">
        <f>IF(B2516,SQRT(-2*LN(F2516))*COS(2*PI()*G2516),"")</f>
        <v/>
      </c>
      <c r="I2516">
        <f>IF(B2516,IF(D2516=0,H2516,Rho*I2515+SQRT(1-Rho^2)*H2516),"")</f>
        <v/>
      </c>
      <c r="J2516">
        <f>IF(B2516,IF(Dist="Normal",DistA+DistB*I2516,DistA+(DistB-DistA)*NORMSDIST(I2516)),"")</f>
        <v/>
      </c>
      <c r="K2516">
        <f>IF(B2516,INDEX(MineScale,C2516),"")</f>
        <v/>
      </c>
      <c r="L2516">
        <f>IF(B2516,INDEX(Dow,1,WEEKDAY(E2516,2)),"")</f>
        <v/>
      </c>
      <c r="M2516">
        <f>IF(B2516,(1+Trend)^D2516,"")</f>
        <v/>
      </c>
      <c r="N2516">
        <f>IF(B2516,EXP(SUMPRODUCT(LN(1+(EvEff-1)*INDEX(Affected,0,C2516)*EXP(-((E2516-EvCenter)^2)/(2*EvSigma^2))))),"")</f>
        <v/>
      </c>
      <c r="O2516">
        <f>IF(B2516,ROUND(MAX(0,J2516*K2516*L2516*M2516*N2516),2),"")</f>
        <v/>
      </c>
    </row>
    <row r="2517">
      <c r="A2517" t="n">
        <v>2516</v>
      </c>
      <c r="B2517">
        <f>A2517&lt;=MineCount*Days</f>
        <v/>
      </c>
      <c r="C2517">
        <f>IF(B2517,INT((A2517-1)/Days)+1,"")</f>
        <v/>
      </c>
      <c r="D2517">
        <f>IF(B2517,MOD(A2517-1,Days),"")</f>
        <v/>
      </c>
      <c r="E2517" s="16">
        <f>IF(B2517,StartDate+D2517,"")</f>
        <v/>
      </c>
      <c r="F2517">
        <f>IF(B2517,MAX(MOD(SIN(Seed*0.1373+C2517*12.9898+D2517*78.233)*43758.5453,1),1E-9),"")</f>
        <v/>
      </c>
      <c r="G2517">
        <f>IF(B2517,MOD(SIN(Seed*0.5917+C2517*39.3468+D2517*11.135)*24634.6345,1),"")</f>
        <v/>
      </c>
      <c r="H2517">
        <f>IF(B2517,SQRT(-2*LN(F2517))*COS(2*PI()*G2517),"")</f>
        <v/>
      </c>
      <c r="I2517">
        <f>IF(B2517,IF(D2517=0,H2517,Rho*I2516+SQRT(1-Rho^2)*H2517),"")</f>
        <v/>
      </c>
      <c r="J2517">
        <f>IF(B2517,IF(Dist="Normal",DistA+DistB*I2517,DistA+(DistB-DistA)*NORMSDIST(I2517)),"")</f>
        <v/>
      </c>
      <c r="K2517">
        <f>IF(B2517,INDEX(MineScale,C2517),"")</f>
        <v/>
      </c>
      <c r="L2517">
        <f>IF(B2517,INDEX(Dow,1,WEEKDAY(E2517,2)),"")</f>
        <v/>
      </c>
      <c r="M2517">
        <f>IF(B2517,(1+Trend)^D2517,"")</f>
        <v/>
      </c>
      <c r="N2517">
        <f>IF(B2517,EXP(SUMPRODUCT(LN(1+(EvEff-1)*INDEX(Affected,0,C2517)*EXP(-((E2517-EvCenter)^2)/(2*EvSigma^2))))),"")</f>
        <v/>
      </c>
      <c r="O2517">
        <f>IF(B2517,ROUND(MAX(0,J2517*K2517*L2517*M2517*N2517),2),"")</f>
        <v/>
      </c>
    </row>
    <row r="2518">
      <c r="A2518" t="n">
        <v>2517</v>
      </c>
      <c r="B2518">
        <f>A2518&lt;=MineCount*Days</f>
        <v/>
      </c>
      <c r="C2518">
        <f>IF(B2518,INT((A2518-1)/Days)+1,"")</f>
        <v/>
      </c>
      <c r="D2518">
        <f>IF(B2518,MOD(A2518-1,Days),"")</f>
        <v/>
      </c>
      <c r="E2518" s="16">
        <f>IF(B2518,StartDate+D2518,"")</f>
        <v/>
      </c>
      <c r="F2518">
        <f>IF(B2518,MAX(MOD(SIN(Seed*0.1373+C2518*12.9898+D2518*78.233)*43758.5453,1),1E-9),"")</f>
        <v/>
      </c>
      <c r="G2518">
        <f>IF(B2518,MOD(SIN(Seed*0.5917+C2518*39.3468+D2518*11.135)*24634.6345,1),"")</f>
        <v/>
      </c>
      <c r="H2518">
        <f>IF(B2518,SQRT(-2*LN(F2518))*COS(2*PI()*G2518),"")</f>
        <v/>
      </c>
      <c r="I2518">
        <f>IF(B2518,IF(D2518=0,H2518,Rho*I2517+SQRT(1-Rho^2)*H2518),"")</f>
        <v/>
      </c>
      <c r="J2518">
        <f>IF(B2518,IF(Dist="Normal",DistA+DistB*I2518,DistA+(DistB-DistA)*NORMSDIST(I2518)),"")</f>
        <v/>
      </c>
      <c r="K2518">
        <f>IF(B2518,INDEX(MineScale,C2518),"")</f>
        <v/>
      </c>
      <c r="L2518">
        <f>IF(B2518,INDEX(Dow,1,WEEKDAY(E2518,2)),"")</f>
        <v/>
      </c>
      <c r="M2518">
        <f>IF(B2518,(1+Trend)^D2518,"")</f>
        <v/>
      </c>
      <c r="N2518">
        <f>IF(B2518,EXP(SUMPRODUCT(LN(1+(EvEff-1)*INDEX(Affected,0,C2518)*EXP(-((E2518-EvCenter)^2)/(2*EvSigma^2))))),"")</f>
        <v/>
      </c>
      <c r="O2518">
        <f>IF(B2518,ROUND(MAX(0,J2518*K2518*L2518*M2518*N2518),2),"")</f>
        <v/>
      </c>
    </row>
    <row r="2519">
      <c r="A2519" t="n">
        <v>2518</v>
      </c>
      <c r="B2519">
        <f>A2519&lt;=MineCount*Days</f>
        <v/>
      </c>
      <c r="C2519">
        <f>IF(B2519,INT((A2519-1)/Days)+1,"")</f>
        <v/>
      </c>
      <c r="D2519">
        <f>IF(B2519,MOD(A2519-1,Days),"")</f>
        <v/>
      </c>
      <c r="E2519" s="16">
        <f>IF(B2519,StartDate+D2519,"")</f>
        <v/>
      </c>
      <c r="F2519">
        <f>IF(B2519,MAX(MOD(SIN(Seed*0.1373+C2519*12.9898+D2519*78.233)*43758.5453,1),1E-9),"")</f>
        <v/>
      </c>
      <c r="G2519">
        <f>IF(B2519,MOD(SIN(Seed*0.5917+C2519*39.3468+D2519*11.135)*24634.6345,1),"")</f>
        <v/>
      </c>
      <c r="H2519">
        <f>IF(B2519,SQRT(-2*LN(F2519))*COS(2*PI()*G2519),"")</f>
        <v/>
      </c>
      <c r="I2519">
        <f>IF(B2519,IF(D2519=0,H2519,Rho*I2518+SQRT(1-Rho^2)*H2519),"")</f>
        <v/>
      </c>
      <c r="J2519">
        <f>IF(B2519,IF(Dist="Normal",DistA+DistB*I2519,DistA+(DistB-DistA)*NORMSDIST(I2519)),"")</f>
        <v/>
      </c>
      <c r="K2519">
        <f>IF(B2519,INDEX(MineScale,C2519),"")</f>
        <v/>
      </c>
      <c r="L2519">
        <f>IF(B2519,INDEX(Dow,1,WEEKDAY(E2519,2)),"")</f>
        <v/>
      </c>
      <c r="M2519">
        <f>IF(B2519,(1+Trend)^D2519,"")</f>
        <v/>
      </c>
      <c r="N2519">
        <f>IF(B2519,EXP(SUMPRODUCT(LN(1+(EvEff-1)*INDEX(Affected,0,C2519)*EXP(-((E2519-EvCenter)^2)/(2*EvSigma^2))))),"")</f>
        <v/>
      </c>
      <c r="O2519">
        <f>IF(B2519,ROUND(MAX(0,J2519*K2519*L2519*M2519*N2519),2),"")</f>
        <v/>
      </c>
    </row>
    <row r="2520">
      <c r="A2520" t="n">
        <v>2519</v>
      </c>
      <c r="B2520">
        <f>A2520&lt;=MineCount*Days</f>
        <v/>
      </c>
      <c r="C2520">
        <f>IF(B2520,INT((A2520-1)/Days)+1,"")</f>
        <v/>
      </c>
      <c r="D2520">
        <f>IF(B2520,MOD(A2520-1,Days),"")</f>
        <v/>
      </c>
      <c r="E2520" s="16">
        <f>IF(B2520,StartDate+D2520,"")</f>
        <v/>
      </c>
      <c r="F2520">
        <f>IF(B2520,MAX(MOD(SIN(Seed*0.1373+C2520*12.9898+D2520*78.233)*43758.5453,1),1E-9),"")</f>
        <v/>
      </c>
      <c r="G2520">
        <f>IF(B2520,MOD(SIN(Seed*0.5917+C2520*39.3468+D2520*11.135)*24634.6345,1),"")</f>
        <v/>
      </c>
      <c r="H2520">
        <f>IF(B2520,SQRT(-2*LN(F2520))*COS(2*PI()*G2520),"")</f>
        <v/>
      </c>
      <c r="I2520">
        <f>IF(B2520,IF(D2520=0,H2520,Rho*I2519+SQRT(1-Rho^2)*H2520),"")</f>
        <v/>
      </c>
      <c r="J2520">
        <f>IF(B2520,IF(Dist="Normal",DistA+DistB*I2520,DistA+(DistB-DistA)*NORMSDIST(I2520)),"")</f>
        <v/>
      </c>
      <c r="K2520">
        <f>IF(B2520,INDEX(MineScale,C2520),"")</f>
        <v/>
      </c>
      <c r="L2520">
        <f>IF(B2520,INDEX(Dow,1,WEEKDAY(E2520,2)),"")</f>
        <v/>
      </c>
      <c r="M2520">
        <f>IF(B2520,(1+Trend)^D2520,"")</f>
        <v/>
      </c>
      <c r="N2520">
        <f>IF(B2520,EXP(SUMPRODUCT(LN(1+(EvEff-1)*INDEX(Affected,0,C2520)*EXP(-((E2520-EvCenter)^2)/(2*EvSigma^2))))),"")</f>
        <v/>
      </c>
      <c r="O2520">
        <f>IF(B2520,ROUND(MAX(0,J2520*K2520*L2520*M2520*N2520),2),"")</f>
        <v/>
      </c>
    </row>
    <row r="2521">
      <c r="A2521" t="n">
        <v>2520</v>
      </c>
      <c r="B2521">
        <f>A2521&lt;=MineCount*Days</f>
        <v/>
      </c>
      <c r="C2521">
        <f>IF(B2521,INT((A2521-1)/Days)+1,"")</f>
        <v/>
      </c>
      <c r="D2521">
        <f>IF(B2521,MOD(A2521-1,Days),"")</f>
        <v/>
      </c>
      <c r="E2521" s="16">
        <f>IF(B2521,StartDate+D2521,"")</f>
        <v/>
      </c>
      <c r="F2521">
        <f>IF(B2521,MAX(MOD(SIN(Seed*0.1373+C2521*12.9898+D2521*78.233)*43758.5453,1),1E-9),"")</f>
        <v/>
      </c>
      <c r="G2521">
        <f>IF(B2521,MOD(SIN(Seed*0.5917+C2521*39.3468+D2521*11.135)*24634.6345,1),"")</f>
        <v/>
      </c>
      <c r="H2521">
        <f>IF(B2521,SQRT(-2*LN(F2521))*COS(2*PI()*G2521),"")</f>
        <v/>
      </c>
      <c r="I2521">
        <f>IF(B2521,IF(D2521=0,H2521,Rho*I2520+SQRT(1-Rho^2)*H2521),"")</f>
        <v/>
      </c>
      <c r="J2521">
        <f>IF(B2521,IF(Dist="Normal",DistA+DistB*I2521,DistA+(DistB-DistA)*NORMSDIST(I2521)),"")</f>
        <v/>
      </c>
      <c r="K2521">
        <f>IF(B2521,INDEX(MineScale,C2521),"")</f>
        <v/>
      </c>
      <c r="L2521">
        <f>IF(B2521,INDEX(Dow,1,WEEKDAY(E2521,2)),"")</f>
        <v/>
      </c>
      <c r="M2521">
        <f>IF(B2521,(1+Trend)^D2521,"")</f>
        <v/>
      </c>
      <c r="N2521">
        <f>IF(B2521,EXP(SUMPRODUCT(LN(1+(EvEff-1)*INDEX(Affected,0,C2521)*EXP(-((E2521-EvCenter)^2)/(2*EvSigma^2))))),"")</f>
        <v/>
      </c>
      <c r="O2521">
        <f>IF(B2521,ROUND(MAX(0,J2521*K2521*L2521*M2521*N2521),2),"")</f>
        <v/>
      </c>
    </row>
    <row r="2522">
      <c r="A2522" t="n">
        <v>2521</v>
      </c>
      <c r="B2522">
        <f>A2522&lt;=MineCount*Days</f>
        <v/>
      </c>
      <c r="C2522">
        <f>IF(B2522,INT((A2522-1)/Days)+1,"")</f>
        <v/>
      </c>
      <c r="D2522">
        <f>IF(B2522,MOD(A2522-1,Days),"")</f>
        <v/>
      </c>
      <c r="E2522" s="16">
        <f>IF(B2522,StartDate+D2522,"")</f>
        <v/>
      </c>
      <c r="F2522">
        <f>IF(B2522,MAX(MOD(SIN(Seed*0.1373+C2522*12.9898+D2522*78.233)*43758.5453,1),1E-9),"")</f>
        <v/>
      </c>
      <c r="G2522">
        <f>IF(B2522,MOD(SIN(Seed*0.5917+C2522*39.3468+D2522*11.135)*24634.6345,1),"")</f>
        <v/>
      </c>
      <c r="H2522">
        <f>IF(B2522,SQRT(-2*LN(F2522))*COS(2*PI()*G2522),"")</f>
        <v/>
      </c>
      <c r="I2522">
        <f>IF(B2522,IF(D2522=0,H2522,Rho*I2521+SQRT(1-Rho^2)*H2522),"")</f>
        <v/>
      </c>
      <c r="J2522">
        <f>IF(B2522,IF(Dist="Normal",DistA+DistB*I2522,DistA+(DistB-DistA)*NORMSDIST(I2522)),"")</f>
        <v/>
      </c>
      <c r="K2522">
        <f>IF(B2522,INDEX(MineScale,C2522),"")</f>
        <v/>
      </c>
      <c r="L2522">
        <f>IF(B2522,INDEX(Dow,1,WEEKDAY(E2522,2)),"")</f>
        <v/>
      </c>
      <c r="M2522">
        <f>IF(B2522,(1+Trend)^D2522,"")</f>
        <v/>
      </c>
      <c r="N2522">
        <f>IF(B2522,EXP(SUMPRODUCT(LN(1+(EvEff-1)*INDEX(Affected,0,C2522)*EXP(-((E2522-EvCenter)^2)/(2*EvSigma^2))))),"")</f>
        <v/>
      </c>
      <c r="O2522">
        <f>IF(B2522,ROUND(MAX(0,J2522*K2522*L2522*M2522*N2522),2),"")</f>
        <v/>
      </c>
    </row>
    <row r="2523">
      <c r="A2523" t="n">
        <v>2522</v>
      </c>
      <c r="B2523">
        <f>A2523&lt;=MineCount*Days</f>
        <v/>
      </c>
      <c r="C2523">
        <f>IF(B2523,INT((A2523-1)/Days)+1,"")</f>
        <v/>
      </c>
      <c r="D2523">
        <f>IF(B2523,MOD(A2523-1,Days),"")</f>
        <v/>
      </c>
      <c r="E2523" s="16">
        <f>IF(B2523,StartDate+D2523,"")</f>
        <v/>
      </c>
      <c r="F2523">
        <f>IF(B2523,MAX(MOD(SIN(Seed*0.1373+C2523*12.9898+D2523*78.233)*43758.5453,1),1E-9),"")</f>
        <v/>
      </c>
      <c r="G2523">
        <f>IF(B2523,MOD(SIN(Seed*0.5917+C2523*39.3468+D2523*11.135)*24634.6345,1),"")</f>
        <v/>
      </c>
      <c r="H2523">
        <f>IF(B2523,SQRT(-2*LN(F2523))*COS(2*PI()*G2523),"")</f>
        <v/>
      </c>
      <c r="I2523">
        <f>IF(B2523,IF(D2523=0,H2523,Rho*I2522+SQRT(1-Rho^2)*H2523),"")</f>
        <v/>
      </c>
      <c r="J2523">
        <f>IF(B2523,IF(Dist="Normal",DistA+DistB*I2523,DistA+(DistB-DistA)*NORMSDIST(I2523)),"")</f>
        <v/>
      </c>
      <c r="K2523">
        <f>IF(B2523,INDEX(MineScale,C2523),"")</f>
        <v/>
      </c>
      <c r="L2523">
        <f>IF(B2523,INDEX(Dow,1,WEEKDAY(E2523,2)),"")</f>
        <v/>
      </c>
      <c r="M2523">
        <f>IF(B2523,(1+Trend)^D2523,"")</f>
        <v/>
      </c>
      <c r="N2523">
        <f>IF(B2523,EXP(SUMPRODUCT(LN(1+(EvEff-1)*INDEX(Affected,0,C2523)*EXP(-((E2523-EvCenter)^2)/(2*EvSigma^2))))),"")</f>
        <v/>
      </c>
      <c r="O2523">
        <f>IF(B2523,ROUND(MAX(0,J2523*K2523*L2523*M2523*N2523),2),"")</f>
        <v/>
      </c>
    </row>
    <row r="2524">
      <c r="A2524" t="n">
        <v>2523</v>
      </c>
      <c r="B2524">
        <f>A2524&lt;=MineCount*Days</f>
        <v/>
      </c>
      <c r="C2524">
        <f>IF(B2524,INT((A2524-1)/Days)+1,"")</f>
        <v/>
      </c>
      <c r="D2524">
        <f>IF(B2524,MOD(A2524-1,Days),"")</f>
        <v/>
      </c>
      <c r="E2524" s="16">
        <f>IF(B2524,StartDate+D2524,"")</f>
        <v/>
      </c>
      <c r="F2524">
        <f>IF(B2524,MAX(MOD(SIN(Seed*0.1373+C2524*12.9898+D2524*78.233)*43758.5453,1),1E-9),"")</f>
        <v/>
      </c>
      <c r="G2524">
        <f>IF(B2524,MOD(SIN(Seed*0.5917+C2524*39.3468+D2524*11.135)*24634.6345,1),"")</f>
        <v/>
      </c>
      <c r="H2524">
        <f>IF(B2524,SQRT(-2*LN(F2524))*COS(2*PI()*G2524),"")</f>
        <v/>
      </c>
      <c r="I2524">
        <f>IF(B2524,IF(D2524=0,H2524,Rho*I2523+SQRT(1-Rho^2)*H2524),"")</f>
        <v/>
      </c>
      <c r="J2524">
        <f>IF(B2524,IF(Dist="Normal",DistA+DistB*I2524,DistA+(DistB-DistA)*NORMSDIST(I2524)),"")</f>
        <v/>
      </c>
      <c r="K2524">
        <f>IF(B2524,INDEX(MineScale,C2524),"")</f>
        <v/>
      </c>
      <c r="L2524">
        <f>IF(B2524,INDEX(Dow,1,WEEKDAY(E2524,2)),"")</f>
        <v/>
      </c>
      <c r="M2524">
        <f>IF(B2524,(1+Trend)^D2524,"")</f>
        <v/>
      </c>
      <c r="N2524">
        <f>IF(B2524,EXP(SUMPRODUCT(LN(1+(EvEff-1)*INDEX(Affected,0,C2524)*EXP(-((E2524-EvCenter)^2)/(2*EvSigma^2))))),"")</f>
        <v/>
      </c>
      <c r="O2524">
        <f>IF(B2524,ROUND(MAX(0,J2524*K2524*L2524*M2524*N2524),2),"")</f>
        <v/>
      </c>
    </row>
    <row r="2525">
      <c r="A2525" t="n">
        <v>2524</v>
      </c>
      <c r="B2525">
        <f>A2525&lt;=MineCount*Days</f>
        <v/>
      </c>
      <c r="C2525">
        <f>IF(B2525,INT((A2525-1)/Days)+1,"")</f>
        <v/>
      </c>
      <c r="D2525">
        <f>IF(B2525,MOD(A2525-1,Days),"")</f>
        <v/>
      </c>
      <c r="E2525" s="16">
        <f>IF(B2525,StartDate+D2525,"")</f>
        <v/>
      </c>
      <c r="F2525">
        <f>IF(B2525,MAX(MOD(SIN(Seed*0.1373+C2525*12.9898+D2525*78.233)*43758.5453,1),1E-9),"")</f>
        <v/>
      </c>
      <c r="G2525">
        <f>IF(B2525,MOD(SIN(Seed*0.5917+C2525*39.3468+D2525*11.135)*24634.6345,1),"")</f>
        <v/>
      </c>
      <c r="H2525">
        <f>IF(B2525,SQRT(-2*LN(F2525))*COS(2*PI()*G2525),"")</f>
        <v/>
      </c>
      <c r="I2525">
        <f>IF(B2525,IF(D2525=0,H2525,Rho*I2524+SQRT(1-Rho^2)*H2525),"")</f>
        <v/>
      </c>
      <c r="J2525">
        <f>IF(B2525,IF(Dist="Normal",DistA+DistB*I2525,DistA+(DistB-DistA)*NORMSDIST(I2525)),"")</f>
        <v/>
      </c>
      <c r="K2525">
        <f>IF(B2525,INDEX(MineScale,C2525),"")</f>
        <v/>
      </c>
      <c r="L2525">
        <f>IF(B2525,INDEX(Dow,1,WEEKDAY(E2525,2)),"")</f>
        <v/>
      </c>
      <c r="M2525">
        <f>IF(B2525,(1+Trend)^D2525,"")</f>
        <v/>
      </c>
      <c r="N2525">
        <f>IF(B2525,EXP(SUMPRODUCT(LN(1+(EvEff-1)*INDEX(Affected,0,C2525)*EXP(-((E2525-EvCenter)^2)/(2*EvSigma^2))))),"")</f>
        <v/>
      </c>
      <c r="O2525">
        <f>IF(B2525,ROUND(MAX(0,J2525*K2525*L2525*M2525*N2525),2),"")</f>
        <v/>
      </c>
    </row>
    <row r="2526">
      <c r="A2526" t="n">
        <v>2525</v>
      </c>
      <c r="B2526">
        <f>A2526&lt;=MineCount*Days</f>
        <v/>
      </c>
      <c r="C2526">
        <f>IF(B2526,INT((A2526-1)/Days)+1,"")</f>
        <v/>
      </c>
      <c r="D2526">
        <f>IF(B2526,MOD(A2526-1,Days),"")</f>
        <v/>
      </c>
      <c r="E2526" s="16">
        <f>IF(B2526,StartDate+D2526,"")</f>
        <v/>
      </c>
      <c r="F2526">
        <f>IF(B2526,MAX(MOD(SIN(Seed*0.1373+C2526*12.9898+D2526*78.233)*43758.5453,1),1E-9),"")</f>
        <v/>
      </c>
      <c r="G2526">
        <f>IF(B2526,MOD(SIN(Seed*0.5917+C2526*39.3468+D2526*11.135)*24634.6345,1),"")</f>
        <v/>
      </c>
      <c r="H2526">
        <f>IF(B2526,SQRT(-2*LN(F2526))*COS(2*PI()*G2526),"")</f>
        <v/>
      </c>
      <c r="I2526">
        <f>IF(B2526,IF(D2526=0,H2526,Rho*I2525+SQRT(1-Rho^2)*H2526),"")</f>
        <v/>
      </c>
      <c r="J2526">
        <f>IF(B2526,IF(Dist="Normal",DistA+DistB*I2526,DistA+(DistB-DistA)*NORMSDIST(I2526)),"")</f>
        <v/>
      </c>
      <c r="K2526">
        <f>IF(B2526,INDEX(MineScale,C2526),"")</f>
        <v/>
      </c>
      <c r="L2526">
        <f>IF(B2526,INDEX(Dow,1,WEEKDAY(E2526,2)),"")</f>
        <v/>
      </c>
      <c r="M2526">
        <f>IF(B2526,(1+Trend)^D2526,"")</f>
        <v/>
      </c>
      <c r="N2526">
        <f>IF(B2526,EXP(SUMPRODUCT(LN(1+(EvEff-1)*INDEX(Affected,0,C2526)*EXP(-((E2526-EvCenter)^2)/(2*EvSigma^2))))),"")</f>
        <v/>
      </c>
      <c r="O2526">
        <f>IF(B2526,ROUND(MAX(0,J2526*K2526*L2526*M2526*N2526),2),"")</f>
        <v/>
      </c>
    </row>
    <row r="2527">
      <c r="A2527" t="n">
        <v>2526</v>
      </c>
      <c r="B2527">
        <f>A2527&lt;=MineCount*Days</f>
        <v/>
      </c>
      <c r="C2527">
        <f>IF(B2527,INT((A2527-1)/Days)+1,"")</f>
        <v/>
      </c>
      <c r="D2527">
        <f>IF(B2527,MOD(A2527-1,Days),"")</f>
        <v/>
      </c>
      <c r="E2527" s="16">
        <f>IF(B2527,StartDate+D2527,"")</f>
        <v/>
      </c>
      <c r="F2527">
        <f>IF(B2527,MAX(MOD(SIN(Seed*0.1373+C2527*12.9898+D2527*78.233)*43758.5453,1),1E-9),"")</f>
        <v/>
      </c>
      <c r="G2527">
        <f>IF(B2527,MOD(SIN(Seed*0.5917+C2527*39.3468+D2527*11.135)*24634.6345,1),"")</f>
        <v/>
      </c>
      <c r="H2527">
        <f>IF(B2527,SQRT(-2*LN(F2527))*COS(2*PI()*G2527),"")</f>
        <v/>
      </c>
      <c r="I2527">
        <f>IF(B2527,IF(D2527=0,H2527,Rho*I2526+SQRT(1-Rho^2)*H2527),"")</f>
        <v/>
      </c>
      <c r="J2527">
        <f>IF(B2527,IF(Dist="Normal",DistA+DistB*I2527,DistA+(DistB-DistA)*NORMSDIST(I2527)),"")</f>
        <v/>
      </c>
      <c r="K2527">
        <f>IF(B2527,INDEX(MineScale,C2527),"")</f>
        <v/>
      </c>
      <c r="L2527">
        <f>IF(B2527,INDEX(Dow,1,WEEKDAY(E2527,2)),"")</f>
        <v/>
      </c>
      <c r="M2527">
        <f>IF(B2527,(1+Trend)^D2527,"")</f>
        <v/>
      </c>
      <c r="N2527">
        <f>IF(B2527,EXP(SUMPRODUCT(LN(1+(EvEff-1)*INDEX(Affected,0,C2527)*EXP(-((E2527-EvCenter)^2)/(2*EvSigma^2))))),"")</f>
        <v/>
      </c>
      <c r="O2527">
        <f>IF(B2527,ROUND(MAX(0,J2527*K2527*L2527*M2527*N2527),2),"")</f>
        <v/>
      </c>
    </row>
    <row r="2528">
      <c r="A2528" t="n">
        <v>2527</v>
      </c>
      <c r="B2528">
        <f>A2528&lt;=MineCount*Days</f>
        <v/>
      </c>
      <c r="C2528">
        <f>IF(B2528,INT((A2528-1)/Days)+1,"")</f>
        <v/>
      </c>
      <c r="D2528">
        <f>IF(B2528,MOD(A2528-1,Days),"")</f>
        <v/>
      </c>
      <c r="E2528" s="16">
        <f>IF(B2528,StartDate+D2528,"")</f>
        <v/>
      </c>
      <c r="F2528">
        <f>IF(B2528,MAX(MOD(SIN(Seed*0.1373+C2528*12.9898+D2528*78.233)*43758.5453,1),1E-9),"")</f>
        <v/>
      </c>
      <c r="G2528">
        <f>IF(B2528,MOD(SIN(Seed*0.5917+C2528*39.3468+D2528*11.135)*24634.6345,1),"")</f>
        <v/>
      </c>
      <c r="H2528">
        <f>IF(B2528,SQRT(-2*LN(F2528))*COS(2*PI()*G2528),"")</f>
        <v/>
      </c>
      <c r="I2528">
        <f>IF(B2528,IF(D2528=0,H2528,Rho*I2527+SQRT(1-Rho^2)*H2528),"")</f>
        <v/>
      </c>
      <c r="J2528">
        <f>IF(B2528,IF(Dist="Normal",DistA+DistB*I2528,DistA+(DistB-DistA)*NORMSDIST(I2528)),"")</f>
        <v/>
      </c>
      <c r="K2528">
        <f>IF(B2528,INDEX(MineScale,C2528),"")</f>
        <v/>
      </c>
      <c r="L2528">
        <f>IF(B2528,INDEX(Dow,1,WEEKDAY(E2528,2)),"")</f>
        <v/>
      </c>
      <c r="M2528">
        <f>IF(B2528,(1+Trend)^D2528,"")</f>
        <v/>
      </c>
      <c r="N2528">
        <f>IF(B2528,EXP(SUMPRODUCT(LN(1+(EvEff-1)*INDEX(Affected,0,C2528)*EXP(-((E2528-EvCenter)^2)/(2*EvSigma^2))))),"")</f>
        <v/>
      </c>
      <c r="O2528">
        <f>IF(B2528,ROUND(MAX(0,J2528*K2528*L2528*M2528*N2528),2),"")</f>
        <v/>
      </c>
    </row>
    <row r="2529">
      <c r="A2529" t="n">
        <v>2528</v>
      </c>
      <c r="B2529">
        <f>A2529&lt;=MineCount*Days</f>
        <v/>
      </c>
      <c r="C2529">
        <f>IF(B2529,INT((A2529-1)/Days)+1,"")</f>
        <v/>
      </c>
      <c r="D2529">
        <f>IF(B2529,MOD(A2529-1,Days),"")</f>
        <v/>
      </c>
      <c r="E2529" s="16">
        <f>IF(B2529,StartDate+D2529,"")</f>
        <v/>
      </c>
      <c r="F2529">
        <f>IF(B2529,MAX(MOD(SIN(Seed*0.1373+C2529*12.9898+D2529*78.233)*43758.5453,1),1E-9),"")</f>
        <v/>
      </c>
      <c r="G2529">
        <f>IF(B2529,MOD(SIN(Seed*0.5917+C2529*39.3468+D2529*11.135)*24634.6345,1),"")</f>
        <v/>
      </c>
      <c r="H2529">
        <f>IF(B2529,SQRT(-2*LN(F2529))*COS(2*PI()*G2529),"")</f>
        <v/>
      </c>
      <c r="I2529">
        <f>IF(B2529,IF(D2529=0,H2529,Rho*I2528+SQRT(1-Rho^2)*H2529),"")</f>
        <v/>
      </c>
      <c r="J2529">
        <f>IF(B2529,IF(Dist="Normal",DistA+DistB*I2529,DistA+(DistB-DistA)*NORMSDIST(I2529)),"")</f>
        <v/>
      </c>
      <c r="K2529">
        <f>IF(B2529,INDEX(MineScale,C2529),"")</f>
        <v/>
      </c>
      <c r="L2529">
        <f>IF(B2529,INDEX(Dow,1,WEEKDAY(E2529,2)),"")</f>
        <v/>
      </c>
      <c r="M2529">
        <f>IF(B2529,(1+Trend)^D2529,"")</f>
        <v/>
      </c>
      <c r="N2529">
        <f>IF(B2529,EXP(SUMPRODUCT(LN(1+(EvEff-1)*INDEX(Affected,0,C2529)*EXP(-((E2529-EvCenter)^2)/(2*EvSigma^2))))),"")</f>
        <v/>
      </c>
      <c r="O2529">
        <f>IF(B2529,ROUND(MAX(0,J2529*K2529*L2529*M2529*N2529),2),"")</f>
        <v/>
      </c>
    </row>
    <row r="2530">
      <c r="A2530" t="n">
        <v>2529</v>
      </c>
      <c r="B2530">
        <f>A2530&lt;=MineCount*Days</f>
        <v/>
      </c>
      <c r="C2530">
        <f>IF(B2530,INT((A2530-1)/Days)+1,"")</f>
        <v/>
      </c>
      <c r="D2530">
        <f>IF(B2530,MOD(A2530-1,Days),"")</f>
        <v/>
      </c>
      <c r="E2530" s="16">
        <f>IF(B2530,StartDate+D2530,"")</f>
        <v/>
      </c>
      <c r="F2530">
        <f>IF(B2530,MAX(MOD(SIN(Seed*0.1373+C2530*12.9898+D2530*78.233)*43758.5453,1),1E-9),"")</f>
        <v/>
      </c>
      <c r="G2530">
        <f>IF(B2530,MOD(SIN(Seed*0.5917+C2530*39.3468+D2530*11.135)*24634.6345,1),"")</f>
        <v/>
      </c>
      <c r="H2530">
        <f>IF(B2530,SQRT(-2*LN(F2530))*COS(2*PI()*G2530),"")</f>
        <v/>
      </c>
      <c r="I2530">
        <f>IF(B2530,IF(D2530=0,H2530,Rho*I2529+SQRT(1-Rho^2)*H2530),"")</f>
        <v/>
      </c>
      <c r="J2530">
        <f>IF(B2530,IF(Dist="Normal",DistA+DistB*I2530,DistA+(DistB-DistA)*NORMSDIST(I2530)),"")</f>
        <v/>
      </c>
      <c r="K2530">
        <f>IF(B2530,INDEX(MineScale,C2530),"")</f>
        <v/>
      </c>
      <c r="L2530">
        <f>IF(B2530,INDEX(Dow,1,WEEKDAY(E2530,2)),"")</f>
        <v/>
      </c>
      <c r="M2530">
        <f>IF(B2530,(1+Trend)^D2530,"")</f>
        <v/>
      </c>
      <c r="N2530">
        <f>IF(B2530,EXP(SUMPRODUCT(LN(1+(EvEff-1)*INDEX(Affected,0,C2530)*EXP(-((E2530-EvCenter)^2)/(2*EvSigma^2))))),"")</f>
        <v/>
      </c>
      <c r="O2530">
        <f>IF(B2530,ROUND(MAX(0,J2530*K2530*L2530*M2530*N2530),2),"")</f>
        <v/>
      </c>
    </row>
    <row r="2531">
      <c r="A2531" t="n">
        <v>2530</v>
      </c>
      <c r="B2531">
        <f>A2531&lt;=MineCount*Days</f>
        <v/>
      </c>
      <c r="C2531">
        <f>IF(B2531,INT((A2531-1)/Days)+1,"")</f>
        <v/>
      </c>
      <c r="D2531">
        <f>IF(B2531,MOD(A2531-1,Days),"")</f>
        <v/>
      </c>
      <c r="E2531" s="16">
        <f>IF(B2531,StartDate+D2531,"")</f>
        <v/>
      </c>
      <c r="F2531">
        <f>IF(B2531,MAX(MOD(SIN(Seed*0.1373+C2531*12.9898+D2531*78.233)*43758.5453,1),1E-9),"")</f>
        <v/>
      </c>
      <c r="G2531">
        <f>IF(B2531,MOD(SIN(Seed*0.5917+C2531*39.3468+D2531*11.135)*24634.6345,1),"")</f>
        <v/>
      </c>
      <c r="H2531">
        <f>IF(B2531,SQRT(-2*LN(F2531))*COS(2*PI()*G2531),"")</f>
        <v/>
      </c>
      <c r="I2531">
        <f>IF(B2531,IF(D2531=0,H2531,Rho*I2530+SQRT(1-Rho^2)*H2531),"")</f>
        <v/>
      </c>
      <c r="J2531">
        <f>IF(B2531,IF(Dist="Normal",DistA+DistB*I2531,DistA+(DistB-DistA)*NORMSDIST(I2531)),"")</f>
        <v/>
      </c>
      <c r="K2531">
        <f>IF(B2531,INDEX(MineScale,C2531),"")</f>
        <v/>
      </c>
      <c r="L2531">
        <f>IF(B2531,INDEX(Dow,1,WEEKDAY(E2531,2)),"")</f>
        <v/>
      </c>
      <c r="M2531">
        <f>IF(B2531,(1+Trend)^D2531,"")</f>
        <v/>
      </c>
      <c r="N2531">
        <f>IF(B2531,EXP(SUMPRODUCT(LN(1+(EvEff-1)*INDEX(Affected,0,C2531)*EXP(-((E2531-EvCenter)^2)/(2*EvSigma^2))))),"")</f>
        <v/>
      </c>
      <c r="O2531">
        <f>IF(B2531,ROUND(MAX(0,J2531*K2531*L2531*M2531*N2531),2),"")</f>
        <v/>
      </c>
    </row>
    <row r="2532">
      <c r="A2532" t="n">
        <v>2531</v>
      </c>
      <c r="B2532">
        <f>A2532&lt;=MineCount*Days</f>
        <v/>
      </c>
      <c r="C2532">
        <f>IF(B2532,INT((A2532-1)/Days)+1,"")</f>
        <v/>
      </c>
      <c r="D2532">
        <f>IF(B2532,MOD(A2532-1,Days),"")</f>
        <v/>
      </c>
      <c r="E2532" s="16">
        <f>IF(B2532,StartDate+D2532,"")</f>
        <v/>
      </c>
      <c r="F2532">
        <f>IF(B2532,MAX(MOD(SIN(Seed*0.1373+C2532*12.9898+D2532*78.233)*43758.5453,1),1E-9),"")</f>
        <v/>
      </c>
      <c r="G2532">
        <f>IF(B2532,MOD(SIN(Seed*0.5917+C2532*39.3468+D2532*11.135)*24634.6345,1),"")</f>
        <v/>
      </c>
      <c r="H2532">
        <f>IF(B2532,SQRT(-2*LN(F2532))*COS(2*PI()*G2532),"")</f>
        <v/>
      </c>
      <c r="I2532">
        <f>IF(B2532,IF(D2532=0,H2532,Rho*I2531+SQRT(1-Rho^2)*H2532),"")</f>
        <v/>
      </c>
      <c r="J2532">
        <f>IF(B2532,IF(Dist="Normal",DistA+DistB*I2532,DistA+(DistB-DistA)*NORMSDIST(I2532)),"")</f>
        <v/>
      </c>
      <c r="K2532">
        <f>IF(B2532,INDEX(MineScale,C2532),"")</f>
        <v/>
      </c>
      <c r="L2532">
        <f>IF(B2532,INDEX(Dow,1,WEEKDAY(E2532,2)),"")</f>
        <v/>
      </c>
      <c r="M2532">
        <f>IF(B2532,(1+Trend)^D2532,"")</f>
        <v/>
      </c>
      <c r="N2532">
        <f>IF(B2532,EXP(SUMPRODUCT(LN(1+(EvEff-1)*INDEX(Affected,0,C2532)*EXP(-((E2532-EvCenter)^2)/(2*EvSigma^2))))),"")</f>
        <v/>
      </c>
      <c r="O2532">
        <f>IF(B2532,ROUND(MAX(0,J2532*K2532*L2532*M2532*N2532),2),"")</f>
        <v/>
      </c>
    </row>
    <row r="2533">
      <c r="A2533" t="n">
        <v>2532</v>
      </c>
      <c r="B2533">
        <f>A2533&lt;=MineCount*Days</f>
        <v/>
      </c>
      <c r="C2533">
        <f>IF(B2533,INT((A2533-1)/Days)+1,"")</f>
        <v/>
      </c>
      <c r="D2533">
        <f>IF(B2533,MOD(A2533-1,Days),"")</f>
        <v/>
      </c>
      <c r="E2533" s="16">
        <f>IF(B2533,StartDate+D2533,"")</f>
        <v/>
      </c>
      <c r="F2533">
        <f>IF(B2533,MAX(MOD(SIN(Seed*0.1373+C2533*12.9898+D2533*78.233)*43758.5453,1),1E-9),"")</f>
        <v/>
      </c>
      <c r="G2533">
        <f>IF(B2533,MOD(SIN(Seed*0.5917+C2533*39.3468+D2533*11.135)*24634.6345,1),"")</f>
        <v/>
      </c>
      <c r="H2533">
        <f>IF(B2533,SQRT(-2*LN(F2533))*COS(2*PI()*G2533),"")</f>
        <v/>
      </c>
      <c r="I2533">
        <f>IF(B2533,IF(D2533=0,H2533,Rho*I2532+SQRT(1-Rho^2)*H2533),"")</f>
        <v/>
      </c>
      <c r="J2533">
        <f>IF(B2533,IF(Dist="Normal",DistA+DistB*I2533,DistA+(DistB-DistA)*NORMSDIST(I2533)),"")</f>
        <v/>
      </c>
      <c r="K2533">
        <f>IF(B2533,INDEX(MineScale,C2533),"")</f>
        <v/>
      </c>
      <c r="L2533">
        <f>IF(B2533,INDEX(Dow,1,WEEKDAY(E2533,2)),"")</f>
        <v/>
      </c>
      <c r="M2533">
        <f>IF(B2533,(1+Trend)^D2533,"")</f>
        <v/>
      </c>
      <c r="N2533">
        <f>IF(B2533,EXP(SUMPRODUCT(LN(1+(EvEff-1)*INDEX(Affected,0,C2533)*EXP(-((E2533-EvCenter)^2)/(2*EvSigma^2))))),"")</f>
        <v/>
      </c>
      <c r="O2533">
        <f>IF(B2533,ROUND(MAX(0,J2533*K2533*L2533*M2533*N2533),2),"")</f>
        <v/>
      </c>
    </row>
    <row r="2534">
      <c r="A2534" t="n">
        <v>2533</v>
      </c>
      <c r="B2534">
        <f>A2534&lt;=MineCount*Days</f>
        <v/>
      </c>
      <c r="C2534">
        <f>IF(B2534,INT((A2534-1)/Days)+1,"")</f>
        <v/>
      </c>
      <c r="D2534">
        <f>IF(B2534,MOD(A2534-1,Days),"")</f>
        <v/>
      </c>
      <c r="E2534" s="16">
        <f>IF(B2534,StartDate+D2534,"")</f>
        <v/>
      </c>
      <c r="F2534">
        <f>IF(B2534,MAX(MOD(SIN(Seed*0.1373+C2534*12.9898+D2534*78.233)*43758.5453,1),1E-9),"")</f>
        <v/>
      </c>
      <c r="G2534">
        <f>IF(B2534,MOD(SIN(Seed*0.5917+C2534*39.3468+D2534*11.135)*24634.6345,1),"")</f>
        <v/>
      </c>
      <c r="H2534">
        <f>IF(B2534,SQRT(-2*LN(F2534))*COS(2*PI()*G2534),"")</f>
        <v/>
      </c>
      <c r="I2534">
        <f>IF(B2534,IF(D2534=0,H2534,Rho*I2533+SQRT(1-Rho^2)*H2534),"")</f>
        <v/>
      </c>
      <c r="J2534">
        <f>IF(B2534,IF(Dist="Normal",DistA+DistB*I2534,DistA+(DistB-DistA)*NORMSDIST(I2534)),"")</f>
        <v/>
      </c>
      <c r="K2534">
        <f>IF(B2534,INDEX(MineScale,C2534),"")</f>
        <v/>
      </c>
      <c r="L2534">
        <f>IF(B2534,INDEX(Dow,1,WEEKDAY(E2534,2)),"")</f>
        <v/>
      </c>
      <c r="M2534">
        <f>IF(B2534,(1+Trend)^D2534,"")</f>
        <v/>
      </c>
      <c r="N2534">
        <f>IF(B2534,EXP(SUMPRODUCT(LN(1+(EvEff-1)*INDEX(Affected,0,C2534)*EXP(-((E2534-EvCenter)^2)/(2*EvSigma^2))))),"")</f>
        <v/>
      </c>
      <c r="O2534">
        <f>IF(B2534,ROUND(MAX(0,J2534*K2534*L2534*M2534*N2534),2),"")</f>
        <v/>
      </c>
    </row>
    <row r="2535">
      <c r="A2535" t="n">
        <v>2534</v>
      </c>
      <c r="B2535">
        <f>A2535&lt;=MineCount*Days</f>
        <v/>
      </c>
      <c r="C2535">
        <f>IF(B2535,INT((A2535-1)/Days)+1,"")</f>
        <v/>
      </c>
      <c r="D2535">
        <f>IF(B2535,MOD(A2535-1,Days),"")</f>
        <v/>
      </c>
      <c r="E2535" s="16">
        <f>IF(B2535,StartDate+D2535,"")</f>
        <v/>
      </c>
      <c r="F2535">
        <f>IF(B2535,MAX(MOD(SIN(Seed*0.1373+C2535*12.9898+D2535*78.233)*43758.5453,1),1E-9),"")</f>
        <v/>
      </c>
      <c r="G2535">
        <f>IF(B2535,MOD(SIN(Seed*0.5917+C2535*39.3468+D2535*11.135)*24634.6345,1),"")</f>
        <v/>
      </c>
      <c r="H2535">
        <f>IF(B2535,SQRT(-2*LN(F2535))*COS(2*PI()*G2535),"")</f>
        <v/>
      </c>
      <c r="I2535">
        <f>IF(B2535,IF(D2535=0,H2535,Rho*I2534+SQRT(1-Rho^2)*H2535),"")</f>
        <v/>
      </c>
      <c r="J2535">
        <f>IF(B2535,IF(Dist="Normal",DistA+DistB*I2535,DistA+(DistB-DistA)*NORMSDIST(I2535)),"")</f>
        <v/>
      </c>
      <c r="K2535">
        <f>IF(B2535,INDEX(MineScale,C2535),"")</f>
        <v/>
      </c>
      <c r="L2535">
        <f>IF(B2535,INDEX(Dow,1,WEEKDAY(E2535,2)),"")</f>
        <v/>
      </c>
      <c r="M2535">
        <f>IF(B2535,(1+Trend)^D2535,"")</f>
        <v/>
      </c>
      <c r="N2535">
        <f>IF(B2535,EXP(SUMPRODUCT(LN(1+(EvEff-1)*INDEX(Affected,0,C2535)*EXP(-((E2535-EvCenter)^2)/(2*EvSigma^2))))),"")</f>
        <v/>
      </c>
      <c r="O2535">
        <f>IF(B2535,ROUND(MAX(0,J2535*K2535*L2535*M2535*N2535),2),"")</f>
        <v/>
      </c>
    </row>
    <row r="2536">
      <c r="A2536" t="n">
        <v>2535</v>
      </c>
      <c r="B2536">
        <f>A2536&lt;=MineCount*Days</f>
        <v/>
      </c>
      <c r="C2536">
        <f>IF(B2536,INT((A2536-1)/Days)+1,"")</f>
        <v/>
      </c>
      <c r="D2536">
        <f>IF(B2536,MOD(A2536-1,Days),"")</f>
        <v/>
      </c>
      <c r="E2536" s="16">
        <f>IF(B2536,StartDate+D2536,"")</f>
        <v/>
      </c>
      <c r="F2536">
        <f>IF(B2536,MAX(MOD(SIN(Seed*0.1373+C2536*12.9898+D2536*78.233)*43758.5453,1),1E-9),"")</f>
        <v/>
      </c>
      <c r="G2536">
        <f>IF(B2536,MOD(SIN(Seed*0.5917+C2536*39.3468+D2536*11.135)*24634.6345,1),"")</f>
        <v/>
      </c>
      <c r="H2536">
        <f>IF(B2536,SQRT(-2*LN(F2536))*COS(2*PI()*G2536),"")</f>
        <v/>
      </c>
      <c r="I2536">
        <f>IF(B2536,IF(D2536=0,H2536,Rho*I2535+SQRT(1-Rho^2)*H2536),"")</f>
        <v/>
      </c>
      <c r="J2536">
        <f>IF(B2536,IF(Dist="Normal",DistA+DistB*I2536,DistA+(DistB-DistA)*NORMSDIST(I2536)),"")</f>
        <v/>
      </c>
      <c r="K2536">
        <f>IF(B2536,INDEX(MineScale,C2536),"")</f>
        <v/>
      </c>
      <c r="L2536">
        <f>IF(B2536,INDEX(Dow,1,WEEKDAY(E2536,2)),"")</f>
        <v/>
      </c>
      <c r="M2536">
        <f>IF(B2536,(1+Trend)^D2536,"")</f>
        <v/>
      </c>
      <c r="N2536">
        <f>IF(B2536,EXP(SUMPRODUCT(LN(1+(EvEff-1)*INDEX(Affected,0,C2536)*EXP(-((E2536-EvCenter)^2)/(2*EvSigma^2))))),"")</f>
        <v/>
      </c>
      <c r="O2536">
        <f>IF(B2536,ROUND(MAX(0,J2536*K2536*L2536*M2536*N2536),2),"")</f>
        <v/>
      </c>
    </row>
    <row r="2537">
      <c r="A2537" t="n">
        <v>2536</v>
      </c>
      <c r="B2537">
        <f>A2537&lt;=MineCount*Days</f>
        <v/>
      </c>
      <c r="C2537">
        <f>IF(B2537,INT((A2537-1)/Days)+1,"")</f>
        <v/>
      </c>
      <c r="D2537">
        <f>IF(B2537,MOD(A2537-1,Days),"")</f>
        <v/>
      </c>
      <c r="E2537" s="16">
        <f>IF(B2537,StartDate+D2537,"")</f>
        <v/>
      </c>
      <c r="F2537">
        <f>IF(B2537,MAX(MOD(SIN(Seed*0.1373+C2537*12.9898+D2537*78.233)*43758.5453,1),1E-9),"")</f>
        <v/>
      </c>
      <c r="G2537">
        <f>IF(B2537,MOD(SIN(Seed*0.5917+C2537*39.3468+D2537*11.135)*24634.6345,1),"")</f>
        <v/>
      </c>
      <c r="H2537">
        <f>IF(B2537,SQRT(-2*LN(F2537))*COS(2*PI()*G2537),"")</f>
        <v/>
      </c>
      <c r="I2537">
        <f>IF(B2537,IF(D2537=0,H2537,Rho*I2536+SQRT(1-Rho^2)*H2537),"")</f>
        <v/>
      </c>
      <c r="J2537">
        <f>IF(B2537,IF(Dist="Normal",DistA+DistB*I2537,DistA+(DistB-DistA)*NORMSDIST(I2537)),"")</f>
        <v/>
      </c>
      <c r="K2537">
        <f>IF(B2537,INDEX(MineScale,C2537),"")</f>
        <v/>
      </c>
      <c r="L2537">
        <f>IF(B2537,INDEX(Dow,1,WEEKDAY(E2537,2)),"")</f>
        <v/>
      </c>
      <c r="M2537">
        <f>IF(B2537,(1+Trend)^D2537,"")</f>
        <v/>
      </c>
      <c r="N2537">
        <f>IF(B2537,EXP(SUMPRODUCT(LN(1+(EvEff-1)*INDEX(Affected,0,C2537)*EXP(-((E2537-EvCenter)^2)/(2*EvSigma^2))))),"")</f>
        <v/>
      </c>
      <c r="O2537">
        <f>IF(B2537,ROUND(MAX(0,J2537*K2537*L2537*M2537*N2537),2),"")</f>
        <v/>
      </c>
    </row>
    <row r="2538">
      <c r="A2538" t="n">
        <v>2537</v>
      </c>
      <c r="B2538">
        <f>A2538&lt;=MineCount*Days</f>
        <v/>
      </c>
      <c r="C2538">
        <f>IF(B2538,INT((A2538-1)/Days)+1,"")</f>
        <v/>
      </c>
      <c r="D2538">
        <f>IF(B2538,MOD(A2538-1,Days),"")</f>
        <v/>
      </c>
      <c r="E2538" s="16">
        <f>IF(B2538,StartDate+D2538,"")</f>
        <v/>
      </c>
      <c r="F2538">
        <f>IF(B2538,MAX(MOD(SIN(Seed*0.1373+C2538*12.9898+D2538*78.233)*43758.5453,1),1E-9),"")</f>
        <v/>
      </c>
      <c r="G2538">
        <f>IF(B2538,MOD(SIN(Seed*0.5917+C2538*39.3468+D2538*11.135)*24634.6345,1),"")</f>
        <v/>
      </c>
      <c r="H2538">
        <f>IF(B2538,SQRT(-2*LN(F2538))*COS(2*PI()*G2538),"")</f>
        <v/>
      </c>
      <c r="I2538">
        <f>IF(B2538,IF(D2538=0,H2538,Rho*I2537+SQRT(1-Rho^2)*H2538),"")</f>
        <v/>
      </c>
      <c r="J2538">
        <f>IF(B2538,IF(Dist="Normal",DistA+DistB*I2538,DistA+(DistB-DistA)*NORMSDIST(I2538)),"")</f>
        <v/>
      </c>
      <c r="K2538">
        <f>IF(B2538,INDEX(MineScale,C2538),"")</f>
        <v/>
      </c>
      <c r="L2538">
        <f>IF(B2538,INDEX(Dow,1,WEEKDAY(E2538,2)),"")</f>
        <v/>
      </c>
      <c r="M2538">
        <f>IF(B2538,(1+Trend)^D2538,"")</f>
        <v/>
      </c>
      <c r="N2538">
        <f>IF(B2538,EXP(SUMPRODUCT(LN(1+(EvEff-1)*INDEX(Affected,0,C2538)*EXP(-((E2538-EvCenter)^2)/(2*EvSigma^2))))),"")</f>
        <v/>
      </c>
      <c r="O2538">
        <f>IF(B2538,ROUND(MAX(0,J2538*K2538*L2538*M2538*N2538),2),"")</f>
        <v/>
      </c>
    </row>
    <row r="2539">
      <c r="A2539" t="n">
        <v>2538</v>
      </c>
      <c r="B2539">
        <f>A2539&lt;=MineCount*Days</f>
        <v/>
      </c>
      <c r="C2539">
        <f>IF(B2539,INT((A2539-1)/Days)+1,"")</f>
        <v/>
      </c>
      <c r="D2539">
        <f>IF(B2539,MOD(A2539-1,Days),"")</f>
        <v/>
      </c>
      <c r="E2539" s="16">
        <f>IF(B2539,StartDate+D2539,"")</f>
        <v/>
      </c>
      <c r="F2539">
        <f>IF(B2539,MAX(MOD(SIN(Seed*0.1373+C2539*12.9898+D2539*78.233)*43758.5453,1),1E-9),"")</f>
        <v/>
      </c>
      <c r="G2539">
        <f>IF(B2539,MOD(SIN(Seed*0.5917+C2539*39.3468+D2539*11.135)*24634.6345,1),"")</f>
        <v/>
      </c>
      <c r="H2539">
        <f>IF(B2539,SQRT(-2*LN(F2539))*COS(2*PI()*G2539),"")</f>
        <v/>
      </c>
      <c r="I2539">
        <f>IF(B2539,IF(D2539=0,H2539,Rho*I2538+SQRT(1-Rho^2)*H2539),"")</f>
        <v/>
      </c>
      <c r="J2539">
        <f>IF(B2539,IF(Dist="Normal",DistA+DistB*I2539,DistA+(DistB-DistA)*NORMSDIST(I2539)),"")</f>
        <v/>
      </c>
      <c r="K2539">
        <f>IF(B2539,INDEX(MineScale,C2539),"")</f>
        <v/>
      </c>
      <c r="L2539">
        <f>IF(B2539,INDEX(Dow,1,WEEKDAY(E2539,2)),"")</f>
        <v/>
      </c>
      <c r="M2539">
        <f>IF(B2539,(1+Trend)^D2539,"")</f>
        <v/>
      </c>
      <c r="N2539">
        <f>IF(B2539,EXP(SUMPRODUCT(LN(1+(EvEff-1)*INDEX(Affected,0,C2539)*EXP(-((E2539-EvCenter)^2)/(2*EvSigma^2))))),"")</f>
        <v/>
      </c>
      <c r="O2539">
        <f>IF(B2539,ROUND(MAX(0,J2539*K2539*L2539*M2539*N2539),2),"")</f>
        <v/>
      </c>
    </row>
    <row r="2540">
      <c r="A2540" t="n">
        <v>2539</v>
      </c>
      <c r="B2540">
        <f>A2540&lt;=MineCount*Days</f>
        <v/>
      </c>
      <c r="C2540">
        <f>IF(B2540,INT((A2540-1)/Days)+1,"")</f>
        <v/>
      </c>
      <c r="D2540">
        <f>IF(B2540,MOD(A2540-1,Days),"")</f>
        <v/>
      </c>
      <c r="E2540" s="16">
        <f>IF(B2540,StartDate+D2540,"")</f>
        <v/>
      </c>
      <c r="F2540">
        <f>IF(B2540,MAX(MOD(SIN(Seed*0.1373+C2540*12.9898+D2540*78.233)*43758.5453,1),1E-9),"")</f>
        <v/>
      </c>
      <c r="G2540">
        <f>IF(B2540,MOD(SIN(Seed*0.5917+C2540*39.3468+D2540*11.135)*24634.6345,1),"")</f>
        <v/>
      </c>
      <c r="H2540">
        <f>IF(B2540,SQRT(-2*LN(F2540))*COS(2*PI()*G2540),"")</f>
        <v/>
      </c>
      <c r="I2540">
        <f>IF(B2540,IF(D2540=0,H2540,Rho*I2539+SQRT(1-Rho^2)*H2540),"")</f>
        <v/>
      </c>
      <c r="J2540">
        <f>IF(B2540,IF(Dist="Normal",DistA+DistB*I2540,DistA+(DistB-DistA)*NORMSDIST(I2540)),"")</f>
        <v/>
      </c>
      <c r="K2540">
        <f>IF(B2540,INDEX(MineScale,C2540),"")</f>
        <v/>
      </c>
      <c r="L2540">
        <f>IF(B2540,INDEX(Dow,1,WEEKDAY(E2540,2)),"")</f>
        <v/>
      </c>
      <c r="M2540">
        <f>IF(B2540,(1+Trend)^D2540,"")</f>
        <v/>
      </c>
      <c r="N2540">
        <f>IF(B2540,EXP(SUMPRODUCT(LN(1+(EvEff-1)*INDEX(Affected,0,C2540)*EXP(-((E2540-EvCenter)^2)/(2*EvSigma^2))))),"")</f>
        <v/>
      </c>
      <c r="O2540">
        <f>IF(B2540,ROUND(MAX(0,J2540*K2540*L2540*M2540*N2540),2),"")</f>
        <v/>
      </c>
    </row>
    <row r="2541">
      <c r="A2541" t="n">
        <v>2540</v>
      </c>
      <c r="B2541">
        <f>A2541&lt;=MineCount*Days</f>
        <v/>
      </c>
      <c r="C2541">
        <f>IF(B2541,INT((A2541-1)/Days)+1,"")</f>
        <v/>
      </c>
      <c r="D2541">
        <f>IF(B2541,MOD(A2541-1,Days),"")</f>
        <v/>
      </c>
      <c r="E2541" s="16">
        <f>IF(B2541,StartDate+D2541,"")</f>
        <v/>
      </c>
      <c r="F2541">
        <f>IF(B2541,MAX(MOD(SIN(Seed*0.1373+C2541*12.9898+D2541*78.233)*43758.5453,1),1E-9),"")</f>
        <v/>
      </c>
      <c r="G2541">
        <f>IF(B2541,MOD(SIN(Seed*0.5917+C2541*39.3468+D2541*11.135)*24634.6345,1),"")</f>
        <v/>
      </c>
      <c r="H2541">
        <f>IF(B2541,SQRT(-2*LN(F2541))*COS(2*PI()*G2541),"")</f>
        <v/>
      </c>
      <c r="I2541">
        <f>IF(B2541,IF(D2541=0,H2541,Rho*I2540+SQRT(1-Rho^2)*H2541),"")</f>
        <v/>
      </c>
      <c r="J2541">
        <f>IF(B2541,IF(Dist="Normal",DistA+DistB*I2541,DistA+(DistB-DistA)*NORMSDIST(I2541)),"")</f>
        <v/>
      </c>
      <c r="K2541">
        <f>IF(B2541,INDEX(MineScale,C2541),"")</f>
        <v/>
      </c>
      <c r="L2541">
        <f>IF(B2541,INDEX(Dow,1,WEEKDAY(E2541,2)),"")</f>
        <v/>
      </c>
      <c r="M2541">
        <f>IF(B2541,(1+Trend)^D2541,"")</f>
        <v/>
      </c>
      <c r="N2541">
        <f>IF(B2541,EXP(SUMPRODUCT(LN(1+(EvEff-1)*INDEX(Affected,0,C2541)*EXP(-((E2541-EvCenter)^2)/(2*EvSigma^2))))),"")</f>
        <v/>
      </c>
      <c r="O2541">
        <f>IF(B2541,ROUND(MAX(0,J2541*K2541*L2541*M2541*N2541),2),"")</f>
        <v/>
      </c>
    </row>
    <row r="2542">
      <c r="A2542" t="n">
        <v>2541</v>
      </c>
      <c r="B2542">
        <f>A2542&lt;=MineCount*Days</f>
        <v/>
      </c>
      <c r="C2542">
        <f>IF(B2542,INT((A2542-1)/Days)+1,"")</f>
        <v/>
      </c>
      <c r="D2542">
        <f>IF(B2542,MOD(A2542-1,Days),"")</f>
        <v/>
      </c>
      <c r="E2542" s="16">
        <f>IF(B2542,StartDate+D2542,"")</f>
        <v/>
      </c>
      <c r="F2542">
        <f>IF(B2542,MAX(MOD(SIN(Seed*0.1373+C2542*12.9898+D2542*78.233)*43758.5453,1),1E-9),"")</f>
        <v/>
      </c>
      <c r="G2542">
        <f>IF(B2542,MOD(SIN(Seed*0.5917+C2542*39.3468+D2542*11.135)*24634.6345,1),"")</f>
        <v/>
      </c>
      <c r="H2542">
        <f>IF(B2542,SQRT(-2*LN(F2542))*COS(2*PI()*G2542),"")</f>
        <v/>
      </c>
      <c r="I2542">
        <f>IF(B2542,IF(D2542=0,H2542,Rho*I2541+SQRT(1-Rho^2)*H2542),"")</f>
        <v/>
      </c>
      <c r="J2542">
        <f>IF(B2542,IF(Dist="Normal",DistA+DistB*I2542,DistA+(DistB-DistA)*NORMSDIST(I2542)),"")</f>
        <v/>
      </c>
      <c r="K2542">
        <f>IF(B2542,INDEX(MineScale,C2542),"")</f>
        <v/>
      </c>
      <c r="L2542">
        <f>IF(B2542,INDEX(Dow,1,WEEKDAY(E2542,2)),"")</f>
        <v/>
      </c>
      <c r="M2542">
        <f>IF(B2542,(1+Trend)^D2542,"")</f>
        <v/>
      </c>
      <c r="N2542">
        <f>IF(B2542,EXP(SUMPRODUCT(LN(1+(EvEff-1)*INDEX(Affected,0,C2542)*EXP(-((E2542-EvCenter)^2)/(2*EvSigma^2))))),"")</f>
        <v/>
      </c>
      <c r="O2542">
        <f>IF(B2542,ROUND(MAX(0,J2542*K2542*L2542*M2542*N2542),2),"")</f>
        <v/>
      </c>
    </row>
    <row r="2543">
      <c r="A2543" t="n">
        <v>2542</v>
      </c>
      <c r="B2543">
        <f>A2543&lt;=MineCount*Days</f>
        <v/>
      </c>
      <c r="C2543">
        <f>IF(B2543,INT((A2543-1)/Days)+1,"")</f>
        <v/>
      </c>
      <c r="D2543">
        <f>IF(B2543,MOD(A2543-1,Days),"")</f>
        <v/>
      </c>
      <c r="E2543" s="16">
        <f>IF(B2543,StartDate+D2543,"")</f>
        <v/>
      </c>
      <c r="F2543">
        <f>IF(B2543,MAX(MOD(SIN(Seed*0.1373+C2543*12.9898+D2543*78.233)*43758.5453,1),1E-9),"")</f>
        <v/>
      </c>
      <c r="G2543">
        <f>IF(B2543,MOD(SIN(Seed*0.5917+C2543*39.3468+D2543*11.135)*24634.6345,1),"")</f>
        <v/>
      </c>
      <c r="H2543">
        <f>IF(B2543,SQRT(-2*LN(F2543))*COS(2*PI()*G2543),"")</f>
        <v/>
      </c>
      <c r="I2543">
        <f>IF(B2543,IF(D2543=0,H2543,Rho*I2542+SQRT(1-Rho^2)*H2543),"")</f>
        <v/>
      </c>
      <c r="J2543">
        <f>IF(B2543,IF(Dist="Normal",DistA+DistB*I2543,DistA+(DistB-DistA)*NORMSDIST(I2543)),"")</f>
        <v/>
      </c>
      <c r="K2543">
        <f>IF(B2543,INDEX(MineScale,C2543),"")</f>
        <v/>
      </c>
      <c r="L2543">
        <f>IF(B2543,INDEX(Dow,1,WEEKDAY(E2543,2)),"")</f>
        <v/>
      </c>
      <c r="M2543">
        <f>IF(B2543,(1+Trend)^D2543,"")</f>
        <v/>
      </c>
      <c r="N2543">
        <f>IF(B2543,EXP(SUMPRODUCT(LN(1+(EvEff-1)*INDEX(Affected,0,C2543)*EXP(-((E2543-EvCenter)^2)/(2*EvSigma^2))))),"")</f>
        <v/>
      </c>
      <c r="O2543">
        <f>IF(B2543,ROUND(MAX(0,J2543*K2543*L2543*M2543*N2543),2),"")</f>
        <v/>
      </c>
    </row>
    <row r="2544">
      <c r="A2544" t="n">
        <v>2543</v>
      </c>
      <c r="B2544">
        <f>A2544&lt;=MineCount*Days</f>
        <v/>
      </c>
      <c r="C2544">
        <f>IF(B2544,INT((A2544-1)/Days)+1,"")</f>
        <v/>
      </c>
      <c r="D2544">
        <f>IF(B2544,MOD(A2544-1,Days),"")</f>
        <v/>
      </c>
      <c r="E2544" s="16">
        <f>IF(B2544,StartDate+D2544,"")</f>
        <v/>
      </c>
      <c r="F2544">
        <f>IF(B2544,MAX(MOD(SIN(Seed*0.1373+C2544*12.9898+D2544*78.233)*43758.5453,1),1E-9),"")</f>
        <v/>
      </c>
      <c r="G2544">
        <f>IF(B2544,MOD(SIN(Seed*0.5917+C2544*39.3468+D2544*11.135)*24634.6345,1),"")</f>
        <v/>
      </c>
      <c r="H2544">
        <f>IF(B2544,SQRT(-2*LN(F2544))*COS(2*PI()*G2544),"")</f>
        <v/>
      </c>
      <c r="I2544">
        <f>IF(B2544,IF(D2544=0,H2544,Rho*I2543+SQRT(1-Rho^2)*H2544),"")</f>
        <v/>
      </c>
      <c r="J2544">
        <f>IF(B2544,IF(Dist="Normal",DistA+DistB*I2544,DistA+(DistB-DistA)*NORMSDIST(I2544)),"")</f>
        <v/>
      </c>
      <c r="K2544">
        <f>IF(B2544,INDEX(MineScale,C2544),"")</f>
        <v/>
      </c>
      <c r="L2544">
        <f>IF(B2544,INDEX(Dow,1,WEEKDAY(E2544,2)),"")</f>
        <v/>
      </c>
      <c r="M2544">
        <f>IF(B2544,(1+Trend)^D2544,"")</f>
        <v/>
      </c>
      <c r="N2544">
        <f>IF(B2544,EXP(SUMPRODUCT(LN(1+(EvEff-1)*INDEX(Affected,0,C2544)*EXP(-((E2544-EvCenter)^2)/(2*EvSigma^2))))),"")</f>
        <v/>
      </c>
      <c r="O2544">
        <f>IF(B2544,ROUND(MAX(0,J2544*K2544*L2544*M2544*N2544),2),"")</f>
        <v/>
      </c>
    </row>
    <row r="2545">
      <c r="A2545" t="n">
        <v>2544</v>
      </c>
      <c r="B2545">
        <f>A2545&lt;=MineCount*Days</f>
        <v/>
      </c>
      <c r="C2545">
        <f>IF(B2545,INT((A2545-1)/Days)+1,"")</f>
        <v/>
      </c>
      <c r="D2545">
        <f>IF(B2545,MOD(A2545-1,Days),"")</f>
        <v/>
      </c>
      <c r="E2545" s="16">
        <f>IF(B2545,StartDate+D2545,"")</f>
        <v/>
      </c>
      <c r="F2545">
        <f>IF(B2545,MAX(MOD(SIN(Seed*0.1373+C2545*12.9898+D2545*78.233)*43758.5453,1),1E-9),"")</f>
        <v/>
      </c>
      <c r="G2545">
        <f>IF(B2545,MOD(SIN(Seed*0.5917+C2545*39.3468+D2545*11.135)*24634.6345,1),"")</f>
        <v/>
      </c>
      <c r="H2545">
        <f>IF(B2545,SQRT(-2*LN(F2545))*COS(2*PI()*G2545),"")</f>
        <v/>
      </c>
      <c r="I2545">
        <f>IF(B2545,IF(D2545=0,H2545,Rho*I2544+SQRT(1-Rho^2)*H2545),"")</f>
        <v/>
      </c>
      <c r="J2545">
        <f>IF(B2545,IF(Dist="Normal",DistA+DistB*I2545,DistA+(DistB-DistA)*NORMSDIST(I2545)),"")</f>
        <v/>
      </c>
      <c r="K2545">
        <f>IF(B2545,INDEX(MineScale,C2545),"")</f>
        <v/>
      </c>
      <c r="L2545">
        <f>IF(B2545,INDEX(Dow,1,WEEKDAY(E2545,2)),"")</f>
        <v/>
      </c>
      <c r="M2545">
        <f>IF(B2545,(1+Trend)^D2545,"")</f>
        <v/>
      </c>
      <c r="N2545">
        <f>IF(B2545,EXP(SUMPRODUCT(LN(1+(EvEff-1)*INDEX(Affected,0,C2545)*EXP(-((E2545-EvCenter)^2)/(2*EvSigma^2))))),"")</f>
        <v/>
      </c>
      <c r="O2545">
        <f>IF(B2545,ROUND(MAX(0,J2545*K2545*L2545*M2545*N2545),2),"")</f>
        <v/>
      </c>
    </row>
    <row r="2546">
      <c r="A2546" t="n">
        <v>2545</v>
      </c>
      <c r="B2546">
        <f>A2546&lt;=MineCount*Days</f>
        <v/>
      </c>
      <c r="C2546">
        <f>IF(B2546,INT((A2546-1)/Days)+1,"")</f>
        <v/>
      </c>
      <c r="D2546">
        <f>IF(B2546,MOD(A2546-1,Days),"")</f>
        <v/>
      </c>
      <c r="E2546" s="16">
        <f>IF(B2546,StartDate+D2546,"")</f>
        <v/>
      </c>
      <c r="F2546">
        <f>IF(B2546,MAX(MOD(SIN(Seed*0.1373+C2546*12.9898+D2546*78.233)*43758.5453,1),1E-9),"")</f>
        <v/>
      </c>
      <c r="G2546">
        <f>IF(B2546,MOD(SIN(Seed*0.5917+C2546*39.3468+D2546*11.135)*24634.6345,1),"")</f>
        <v/>
      </c>
      <c r="H2546">
        <f>IF(B2546,SQRT(-2*LN(F2546))*COS(2*PI()*G2546),"")</f>
        <v/>
      </c>
      <c r="I2546">
        <f>IF(B2546,IF(D2546=0,H2546,Rho*I2545+SQRT(1-Rho^2)*H2546),"")</f>
        <v/>
      </c>
      <c r="J2546">
        <f>IF(B2546,IF(Dist="Normal",DistA+DistB*I2546,DistA+(DistB-DistA)*NORMSDIST(I2546)),"")</f>
        <v/>
      </c>
      <c r="K2546">
        <f>IF(B2546,INDEX(MineScale,C2546),"")</f>
        <v/>
      </c>
      <c r="L2546">
        <f>IF(B2546,INDEX(Dow,1,WEEKDAY(E2546,2)),"")</f>
        <v/>
      </c>
      <c r="M2546">
        <f>IF(B2546,(1+Trend)^D2546,"")</f>
        <v/>
      </c>
      <c r="N2546">
        <f>IF(B2546,EXP(SUMPRODUCT(LN(1+(EvEff-1)*INDEX(Affected,0,C2546)*EXP(-((E2546-EvCenter)^2)/(2*EvSigma^2))))),"")</f>
        <v/>
      </c>
      <c r="O2546">
        <f>IF(B2546,ROUND(MAX(0,J2546*K2546*L2546*M2546*N2546),2),"")</f>
        <v/>
      </c>
    </row>
    <row r="2547">
      <c r="A2547" t="n">
        <v>2546</v>
      </c>
      <c r="B2547">
        <f>A2547&lt;=MineCount*Days</f>
        <v/>
      </c>
      <c r="C2547">
        <f>IF(B2547,INT((A2547-1)/Days)+1,"")</f>
        <v/>
      </c>
      <c r="D2547">
        <f>IF(B2547,MOD(A2547-1,Days),"")</f>
        <v/>
      </c>
      <c r="E2547" s="16">
        <f>IF(B2547,StartDate+D2547,"")</f>
        <v/>
      </c>
      <c r="F2547">
        <f>IF(B2547,MAX(MOD(SIN(Seed*0.1373+C2547*12.9898+D2547*78.233)*43758.5453,1),1E-9),"")</f>
        <v/>
      </c>
      <c r="G2547">
        <f>IF(B2547,MOD(SIN(Seed*0.5917+C2547*39.3468+D2547*11.135)*24634.6345,1),"")</f>
        <v/>
      </c>
      <c r="H2547">
        <f>IF(B2547,SQRT(-2*LN(F2547))*COS(2*PI()*G2547),"")</f>
        <v/>
      </c>
      <c r="I2547">
        <f>IF(B2547,IF(D2547=0,H2547,Rho*I2546+SQRT(1-Rho^2)*H2547),"")</f>
        <v/>
      </c>
      <c r="J2547">
        <f>IF(B2547,IF(Dist="Normal",DistA+DistB*I2547,DistA+(DistB-DistA)*NORMSDIST(I2547)),"")</f>
        <v/>
      </c>
      <c r="K2547">
        <f>IF(B2547,INDEX(MineScale,C2547),"")</f>
        <v/>
      </c>
      <c r="L2547">
        <f>IF(B2547,INDEX(Dow,1,WEEKDAY(E2547,2)),"")</f>
        <v/>
      </c>
      <c r="M2547">
        <f>IF(B2547,(1+Trend)^D2547,"")</f>
        <v/>
      </c>
      <c r="N2547">
        <f>IF(B2547,EXP(SUMPRODUCT(LN(1+(EvEff-1)*INDEX(Affected,0,C2547)*EXP(-((E2547-EvCenter)^2)/(2*EvSigma^2))))),"")</f>
        <v/>
      </c>
      <c r="O2547">
        <f>IF(B2547,ROUND(MAX(0,J2547*K2547*L2547*M2547*N2547),2),"")</f>
        <v/>
      </c>
    </row>
    <row r="2548">
      <c r="A2548" t="n">
        <v>2547</v>
      </c>
      <c r="B2548">
        <f>A2548&lt;=MineCount*Days</f>
        <v/>
      </c>
      <c r="C2548">
        <f>IF(B2548,INT((A2548-1)/Days)+1,"")</f>
        <v/>
      </c>
      <c r="D2548">
        <f>IF(B2548,MOD(A2548-1,Days),"")</f>
        <v/>
      </c>
      <c r="E2548" s="16">
        <f>IF(B2548,StartDate+D2548,"")</f>
        <v/>
      </c>
      <c r="F2548">
        <f>IF(B2548,MAX(MOD(SIN(Seed*0.1373+C2548*12.9898+D2548*78.233)*43758.5453,1),1E-9),"")</f>
        <v/>
      </c>
      <c r="G2548">
        <f>IF(B2548,MOD(SIN(Seed*0.5917+C2548*39.3468+D2548*11.135)*24634.6345,1),"")</f>
        <v/>
      </c>
      <c r="H2548">
        <f>IF(B2548,SQRT(-2*LN(F2548))*COS(2*PI()*G2548),"")</f>
        <v/>
      </c>
      <c r="I2548">
        <f>IF(B2548,IF(D2548=0,H2548,Rho*I2547+SQRT(1-Rho^2)*H2548),"")</f>
        <v/>
      </c>
      <c r="J2548">
        <f>IF(B2548,IF(Dist="Normal",DistA+DistB*I2548,DistA+(DistB-DistA)*NORMSDIST(I2548)),"")</f>
        <v/>
      </c>
      <c r="K2548">
        <f>IF(B2548,INDEX(MineScale,C2548),"")</f>
        <v/>
      </c>
      <c r="L2548">
        <f>IF(B2548,INDEX(Dow,1,WEEKDAY(E2548,2)),"")</f>
        <v/>
      </c>
      <c r="M2548">
        <f>IF(B2548,(1+Trend)^D2548,"")</f>
        <v/>
      </c>
      <c r="N2548">
        <f>IF(B2548,EXP(SUMPRODUCT(LN(1+(EvEff-1)*INDEX(Affected,0,C2548)*EXP(-((E2548-EvCenter)^2)/(2*EvSigma^2))))),"")</f>
        <v/>
      </c>
      <c r="O2548">
        <f>IF(B2548,ROUND(MAX(0,J2548*K2548*L2548*M2548*N2548),2),"")</f>
        <v/>
      </c>
    </row>
    <row r="2549">
      <c r="A2549" t="n">
        <v>2548</v>
      </c>
      <c r="B2549">
        <f>A2549&lt;=MineCount*Days</f>
        <v/>
      </c>
      <c r="C2549">
        <f>IF(B2549,INT((A2549-1)/Days)+1,"")</f>
        <v/>
      </c>
      <c r="D2549">
        <f>IF(B2549,MOD(A2549-1,Days),"")</f>
        <v/>
      </c>
      <c r="E2549" s="16">
        <f>IF(B2549,StartDate+D2549,"")</f>
        <v/>
      </c>
      <c r="F2549">
        <f>IF(B2549,MAX(MOD(SIN(Seed*0.1373+C2549*12.9898+D2549*78.233)*43758.5453,1),1E-9),"")</f>
        <v/>
      </c>
      <c r="G2549">
        <f>IF(B2549,MOD(SIN(Seed*0.5917+C2549*39.3468+D2549*11.135)*24634.6345,1),"")</f>
        <v/>
      </c>
      <c r="H2549">
        <f>IF(B2549,SQRT(-2*LN(F2549))*COS(2*PI()*G2549),"")</f>
        <v/>
      </c>
      <c r="I2549">
        <f>IF(B2549,IF(D2549=0,H2549,Rho*I2548+SQRT(1-Rho^2)*H2549),"")</f>
        <v/>
      </c>
      <c r="J2549">
        <f>IF(B2549,IF(Dist="Normal",DistA+DistB*I2549,DistA+(DistB-DistA)*NORMSDIST(I2549)),"")</f>
        <v/>
      </c>
      <c r="K2549">
        <f>IF(B2549,INDEX(MineScale,C2549),"")</f>
        <v/>
      </c>
      <c r="L2549">
        <f>IF(B2549,INDEX(Dow,1,WEEKDAY(E2549,2)),"")</f>
        <v/>
      </c>
      <c r="M2549">
        <f>IF(B2549,(1+Trend)^D2549,"")</f>
        <v/>
      </c>
      <c r="N2549">
        <f>IF(B2549,EXP(SUMPRODUCT(LN(1+(EvEff-1)*INDEX(Affected,0,C2549)*EXP(-((E2549-EvCenter)^2)/(2*EvSigma^2))))),"")</f>
        <v/>
      </c>
      <c r="O2549">
        <f>IF(B2549,ROUND(MAX(0,J2549*K2549*L2549*M2549*N2549),2),"")</f>
        <v/>
      </c>
    </row>
    <row r="2550">
      <c r="A2550" t="n">
        <v>2549</v>
      </c>
      <c r="B2550">
        <f>A2550&lt;=MineCount*Days</f>
        <v/>
      </c>
      <c r="C2550">
        <f>IF(B2550,INT((A2550-1)/Days)+1,"")</f>
        <v/>
      </c>
      <c r="D2550">
        <f>IF(B2550,MOD(A2550-1,Days),"")</f>
        <v/>
      </c>
      <c r="E2550" s="16">
        <f>IF(B2550,StartDate+D2550,"")</f>
        <v/>
      </c>
      <c r="F2550">
        <f>IF(B2550,MAX(MOD(SIN(Seed*0.1373+C2550*12.9898+D2550*78.233)*43758.5453,1),1E-9),"")</f>
        <v/>
      </c>
      <c r="G2550">
        <f>IF(B2550,MOD(SIN(Seed*0.5917+C2550*39.3468+D2550*11.135)*24634.6345,1),"")</f>
        <v/>
      </c>
      <c r="H2550">
        <f>IF(B2550,SQRT(-2*LN(F2550))*COS(2*PI()*G2550),"")</f>
        <v/>
      </c>
      <c r="I2550">
        <f>IF(B2550,IF(D2550=0,H2550,Rho*I2549+SQRT(1-Rho^2)*H2550),"")</f>
        <v/>
      </c>
      <c r="J2550">
        <f>IF(B2550,IF(Dist="Normal",DistA+DistB*I2550,DistA+(DistB-DistA)*NORMSDIST(I2550)),"")</f>
        <v/>
      </c>
      <c r="K2550">
        <f>IF(B2550,INDEX(MineScale,C2550),"")</f>
        <v/>
      </c>
      <c r="L2550">
        <f>IF(B2550,INDEX(Dow,1,WEEKDAY(E2550,2)),"")</f>
        <v/>
      </c>
      <c r="M2550">
        <f>IF(B2550,(1+Trend)^D2550,"")</f>
        <v/>
      </c>
      <c r="N2550">
        <f>IF(B2550,EXP(SUMPRODUCT(LN(1+(EvEff-1)*INDEX(Affected,0,C2550)*EXP(-((E2550-EvCenter)^2)/(2*EvSigma^2))))),"")</f>
        <v/>
      </c>
      <c r="O2550">
        <f>IF(B2550,ROUND(MAX(0,J2550*K2550*L2550*M2550*N2550),2),"")</f>
        <v/>
      </c>
    </row>
    <row r="2551">
      <c r="A2551" t="n">
        <v>2550</v>
      </c>
      <c r="B2551">
        <f>A2551&lt;=MineCount*Days</f>
        <v/>
      </c>
      <c r="C2551">
        <f>IF(B2551,INT((A2551-1)/Days)+1,"")</f>
        <v/>
      </c>
      <c r="D2551">
        <f>IF(B2551,MOD(A2551-1,Days),"")</f>
        <v/>
      </c>
      <c r="E2551" s="16">
        <f>IF(B2551,StartDate+D2551,"")</f>
        <v/>
      </c>
      <c r="F2551">
        <f>IF(B2551,MAX(MOD(SIN(Seed*0.1373+C2551*12.9898+D2551*78.233)*43758.5453,1),1E-9),"")</f>
        <v/>
      </c>
      <c r="G2551">
        <f>IF(B2551,MOD(SIN(Seed*0.5917+C2551*39.3468+D2551*11.135)*24634.6345,1),"")</f>
        <v/>
      </c>
      <c r="H2551">
        <f>IF(B2551,SQRT(-2*LN(F2551))*COS(2*PI()*G2551),"")</f>
        <v/>
      </c>
      <c r="I2551">
        <f>IF(B2551,IF(D2551=0,H2551,Rho*I2550+SQRT(1-Rho^2)*H2551),"")</f>
        <v/>
      </c>
      <c r="J2551">
        <f>IF(B2551,IF(Dist="Normal",DistA+DistB*I2551,DistA+(DistB-DistA)*NORMSDIST(I2551)),"")</f>
        <v/>
      </c>
      <c r="K2551">
        <f>IF(B2551,INDEX(MineScale,C2551),"")</f>
        <v/>
      </c>
      <c r="L2551">
        <f>IF(B2551,INDEX(Dow,1,WEEKDAY(E2551,2)),"")</f>
        <v/>
      </c>
      <c r="M2551">
        <f>IF(B2551,(1+Trend)^D2551,"")</f>
        <v/>
      </c>
      <c r="N2551">
        <f>IF(B2551,EXP(SUMPRODUCT(LN(1+(EvEff-1)*INDEX(Affected,0,C2551)*EXP(-((E2551-EvCenter)^2)/(2*EvSigma^2))))),"")</f>
        <v/>
      </c>
      <c r="O2551">
        <f>IF(B2551,ROUND(MAX(0,J2551*K2551*L2551*M2551*N2551),2),"")</f>
        <v/>
      </c>
    </row>
    <row r="2552">
      <c r="A2552" t="n">
        <v>2551</v>
      </c>
      <c r="B2552">
        <f>A2552&lt;=MineCount*Days</f>
        <v/>
      </c>
      <c r="C2552">
        <f>IF(B2552,INT((A2552-1)/Days)+1,"")</f>
        <v/>
      </c>
      <c r="D2552">
        <f>IF(B2552,MOD(A2552-1,Days),"")</f>
        <v/>
      </c>
      <c r="E2552" s="16">
        <f>IF(B2552,StartDate+D2552,"")</f>
        <v/>
      </c>
      <c r="F2552">
        <f>IF(B2552,MAX(MOD(SIN(Seed*0.1373+C2552*12.9898+D2552*78.233)*43758.5453,1),1E-9),"")</f>
        <v/>
      </c>
      <c r="G2552">
        <f>IF(B2552,MOD(SIN(Seed*0.5917+C2552*39.3468+D2552*11.135)*24634.6345,1),"")</f>
        <v/>
      </c>
      <c r="H2552">
        <f>IF(B2552,SQRT(-2*LN(F2552))*COS(2*PI()*G2552),"")</f>
        <v/>
      </c>
      <c r="I2552">
        <f>IF(B2552,IF(D2552=0,H2552,Rho*I2551+SQRT(1-Rho^2)*H2552),"")</f>
        <v/>
      </c>
      <c r="J2552">
        <f>IF(B2552,IF(Dist="Normal",DistA+DistB*I2552,DistA+(DistB-DistA)*NORMSDIST(I2552)),"")</f>
        <v/>
      </c>
      <c r="K2552">
        <f>IF(B2552,INDEX(MineScale,C2552),"")</f>
        <v/>
      </c>
      <c r="L2552">
        <f>IF(B2552,INDEX(Dow,1,WEEKDAY(E2552,2)),"")</f>
        <v/>
      </c>
      <c r="M2552">
        <f>IF(B2552,(1+Trend)^D2552,"")</f>
        <v/>
      </c>
      <c r="N2552">
        <f>IF(B2552,EXP(SUMPRODUCT(LN(1+(EvEff-1)*INDEX(Affected,0,C2552)*EXP(-((E2552-EvCenter)^2)/(2*EvSigma^2))))),"")</f>
        <v/>
      </c>
      <c r="O2552">
        <f>IF(B2552,ROUND(MAX(0,J2552*K2552*L2552*M2552*N2552),2),"")</f>
        <v/>
      </c>
    </row>
    <row r="2553">
      <c r="A2553" t="n">
        <v>2552</v>
      </c>
      <c r="B2553">
        <f>A2553&lt;=MineCount*Days</f>
        <v/>
      </c>
      <c r="C2553">
        <f>IF(B2553,INT((A2553-1)/Days)+1,"")</f>
        <v/>
      </c>
      <c r="D2553">
        <f>IF(B2553,MOD(A2553-1,Days),"")</f>
        <v/>
      </c>
      <c r="E2553" s="16">
        <f>IF(B2553,StartDate+D2553,"")</f>
        <v/>
      </c>
      <c r="F2553">
        <f>IF(B2553,MAX(MOD(SIN(Seed*0.1373+C2553*12.9898+D2553*78.233)*43758.5453,1),1E-9),"")</f>
        <v/>
      </c>
      <c r="G2553">
        <f>IF(B2553,MOD(SIN(Seed*0.5917+C2553*39.3468+D2553*11.135)*24634.6345,1),"")</f>
        <v/>
      </c>
      <c r="H2553">
        <f>IF(B2553,SQRT(-2*LN(F2553))*COS(2*PI()*G2553),"")</f>
        <v/>
      </c>
      <c r="I2553">
        <f>IF(B2553,IF(D2553=0,H2553,Rho*I2552+SQRT(1-Rho^2)*H2553),"")</f>
        <v/>
      </c>
      <c r="J2553">
        <f>IF(B2553,IF(Dist="Normal",DistA+DistB*I2553,DistA+(DistB-DistA)*NORMSDIST(I2553)),"")</f>
        <v/>
      </c>
      <c r="K2553">
        <f>IF(B2553,INDEX(MineScale,C2553),"")</f>
        <v/>
      </c>
      <c r="L2553">
        <f>IF(B2553,INDEX(Dow,1,WEEKDAY(E2553,2)),"")</f>
        <v/>
      </c>
      <c r="M2553">
        <f>IF(B2553,(1+Trend)^D2553,"")</f>
        <v/>
      </c>
      <c r="N2553">
        <f>IF(B2553,EXP(SUMPRODUCT(LN(1+(EvEff-1)*INDEX(Affected,0,C2553)*EXP(-((E2553-EvCenter)^2)/(2*EvSigma^2))))),"")</f>
        <v/>
      </c>
      <c r="O2553">
        <f>IF(B2553,ROUND(MAX(0,J2553*K2553*L2553*M2553*N2553),2),"")</f>
        <v/>
      </c>
    </row>
    <row r="2554">
      <c r="A2554" t="n">
        <v>2553</v>
      </c>
      <c r="B2554">
        <f>A2554&lt;=MineCount*Days</f>
        <v/>
      </c>
      <c r="C2554">
        <f>IF(B2554,INT((A2554-1)/Days)+1,"")</f>
        <v/>
      </c>
      <c r="D2554">
        <f>IF(B2554,MOD(A2554-1,Days),"")</f>
        <v/>
      </c>
      <c r="E2554" s="16">
        <f>IF(B2554,StartDate+D2554,"")</f>
        <v/>
      </c>
      <c r="F2554">
        <f>IF(B2554,MAX(MOD(SIN(Seed*0.1373+C2554*12.9898+D2554*78.233)*43758.5453,1),1E-9),"")</f>
        <v/>
      </c>
      <c r="G2554">
        <f>IF(B2554,MOD(SIN(Seed*0.5917+C2554*39.3468+D2554*11.135)*24634.6345,1),"")</f>
        <v/>
      </c>
      <c r="H2554">
        <f>IF(B2554,SQRT(-2*LN(F2554))*COS(2*PI()*G2554),"")</f>
        <v/>
      </c>
      <c r="I2554">
        <f>IF(B2554,IF(D2554=0,H2554,Rho*I2553+SQRT(1-Rho^2)*H2554),"")</f>
        <v/>
      </c>
      <c r="J2554">
        <f>IF(B2554,IF(Dist="Normal",DistA+DistB*I2554,DistA+(DistB-DistA)*NORMSDIST(I2554)),"")</f>
        <v/>
      </c>
      <c r="K2554">
        <f>IF(B2554,INDEX(MineScale,C2554),"")</f>
        <v/>
      </c>
      <c r="L2554">
        <f>IF(B2554,INDEX(Dow,1,WEEKDAY(E2554,2)),"")</f>
        <v/>
      </c>
      <c r="M2554">
        <f>IF(B2554,(1+Trend)^D2554,"")</f>
        <v/>
      </c>
      <c r="N2554">
        <f>IF(B2554,EXP(SUMPRODUCT(LN(1+(EvEff-1)*INDEX(Affected,0,C2554)*EXP(-((E2554-EvCenter)^2)/(2*EvSigma^2))))),"")</f>
        <v/>
      </c>
      <c r="O2554">
        <f>IF(B2554,ROUND(MAX(0,J2554*K2554*L2554*M2554*N2554),2),"")</f>
        <v/>
      </c>
    </row>
    <row r="2555">
      <c r="A2555" t="n">
        <v>2554</v>
      </c>
      <c r="B2555">
        <f>A2555&lt;=MineCount*Days</f>
        <v/>
      </c>
      <c r="C2555">
        <f>IF(B2555,INT((A2555-1)/Days)+1,"")</f>
        <v/>
      </c>
      <c r="D2555">
        <f>IF(B2555,MOD(A2555-1,Days),"")</f>
        <v/>
      </c>
      <c r="E2555" s="16">
        <f>IF(B2555,StartDate+D2555,"")</f>
        <v/>
      </c>
      <c r="F2555">
        <f>IF(B2555,MAX(MOD(SIN(Seed*0.1373+C2555*12.9898+D2555*78.233)*43758.5453,1),1E-9),"")</f>
        <v/>
      </c>
      <c r="G2555">
        <f>IF(B2555,MOD(SIN(Seed*0.5917+C2555*39.3468+D2555*11.135)*24634.6345,1),"")</f>
        <v/>
      </c>
      <c r="H2555">
        <f>IF(B2555,SQRT(-2*LN(F2555))*COS(2*PI()*G2555),"")</f>
        <v/>
      </c>
      <c r="I2555">
        <f>IF(B2555,IF(D2555=0,H2555,Rho*I2554+SQRT(1-Rho^2)*H2555),"")</f>
        <v/>
      </c>
      <c r="J2555">
        <f>IF(B2555,IF(Dist="Normal",DistA+DistB*I2555,DistA+(DistB-DistA)*NORMSDIST(I2555)),"")</f>
        <v/>
      </c>
      <c r="K2555">
        <f>IF(B2555,INDEX(MineScale,C2555),"")</f>
        <v/>
      </c>
      <c r="L2555">
        <f>IF(B2555,INDEX(Dow,1,WEEKDAY(E2555,2)),"")</f>
        <v/>
      </c>
      <c r="M2555">
        <f>IF(B2555,(1+Trend)^D2555,"")</f>
        <v/>
      </c>
      <c r="N2555">
        <f>IF(B2555,EXP(SUMPRODUCT(LN(1+(EvEff-1)*INDEX(Affected,0,C2555)*EXP(-((E2555-EvCenter)^2)/(2*EvSigma^2))))),"")</f>
        <v/>
      </c>
      <c r="O2555">
        <f>IF(B2555,ROUND(MAX(0,J2555*K2555*L2555*M2555*N2555),2),"")</f>
        <v/>
      </c>
    </row>
    <row r="2556">
      <c r="A2556" t="n">
        <v>2555</v>
      </c>
      <c r="B2556">
        <f>A2556&lt;=MineCount*Days</f>
        <v/>
      </c>
      <c r="C2556">
        <f>IF(B2556,INT((A2556-1)/Days)+1,"")</f>
        <v/>
      </c>
      <c r="D2556">
        <f>IF(B2556,MOD(A2556-1,Days),"")</f>
        <v/>
      </c>
      <c r="E2556" s="16">
        <f>IF(B2556,StartDate+D2556,"")</f>
        <v/>
      </c>
      <c r="F2556">
        <f>IF(B2556,MAX(MOD(SIN(Seed*0.1373+C2556*12.9898+D2556*78.233)*43758.5453,1),1E-9),"")</f>
        <v/>
      </c>
      <c r="G2556">
        <f>IF(B2556,MOD(SIN(Seed*0.5917+C2556*39.3468+D2556*11.135)*24634.6345,1),"")</f>
        <v/>
      </c>
      <c r="H2556">
        <f>IF(B2556,SQRT(-2*LN(F2556))*COS(2*PI()*G2556),"")</f>
        <v/>
      </c>
      <c r="I2556">
        <f>IF(B2556,IF(D2556=0,H2556,Rho*I2555+SQRT(1-Rho^2)*H2556),"")</f>
        <v/>
      </c>
      <c r="J2556">
        <f>IF(B2556,IF(Dist="Normal",DistA+DistB*I2556,DistA+(DistB-DistA)*NORMSDIST(I2556)),"")</f>
        <v/>
      </c>
      <c r="K2556">
        <f>IF(B2556,INDEX(MineScale,C2556),"")</f>
        <v/>
      </c>
      <c r="L2556">
        <f>IF(B2556,INDEX(Dow,1,WEEKDAY(E2556,2)),"")</f>
        <v/>
      </c>
      <c r="M2556">
        <f>IF(B2556,(1+Trend)^D2556,"")</f>
        <v/>
      </c>
      <c r="N2556">
        <f>IF(B2556,EXP(SUMPRODUCT(LN(1+(EvEff-1)*INDEX(Affected,0,C2556)*EXP(-((E2556-EvCenter)^2)/(2*EvSigma^2))))),"")</f>
        <v/>
      </c>
      <c r="O2556">
        <f>IF(B2556,ROUND(MAX(0,J2556*K2556*L2556*M2556*N2556),2),"")</f>
        <v/>
      </c>
    </row>
    <row r="2557">
      <c r="A2557" t="n">
        <v>2556</v>
      </c>
      <c r="B2557">
        <f>A2557&lt;=MineCount*Days</f>
        <v/>
      </c>
      <c r="C2557">
        <f>IF(B2557,INT((A2557-1)/Days)+1,"")</f>
        <v/>
      </c>
      <c r="D2557">
        <f>IF(B2557,MOD(A2557-1,Days),"")</f>
        <v/>
      </c>
      <c r="E2557" s="16">
        <f>IF(B2557,StartDate+D2557,"")</f>
        <v/>
      </c>
      <c r="F2557">
        <f>IF(B2557,MAX(MOD(SIN(Seed*0.1373+C2557*12.9898+D2557*78.233)*43758.5453,1),1E-9),"")</f>
        <v/>
      </c>
      <c r="G2557">
        <f>IF(B2557,MOD(SIN(Seed*0.5917+C2557*39.3468+D2557*11.135)*24634.6345,1),"")</f>
        <v/>
      </c>
      <c r="H2557">
        <f>IF(B2557,SQRT(-2*LN(F2557))*COS(2*PI()*G2557),"")</f>
        <v/>
      </c>
      <c r="I2557">
        <f>IF(B2557,IF(D2557=0,H2557,Rho*I2556+SQRT(1-Rho^2)*H2557),"")</f>
        <v/>
      </c>
      <c r="J2557">
        <f>IF(B2557,IF(Dist="Normal",DistA+DistB*I2557,DistA+(DistB-DistA)*NORMSDIST(I2557)),"")</f>
        <v/>
      </c>
      <c r="K2557">
        <f>IF(B2557,INDEX(MineScale,C2557),"")</f>
        <v/>
      </c>
      <c r="L2557">
        <f>IF(B2557,INDEX(Dow,1,WEEKDAY(E2557,2)),"")</f>
        <v/>
      </c>
      <c r="M2557">
        <f>IF(B2557,(1+Trend)^D2557,"")</f>
        <v/>
      </c>
      <c r="N2557">
        <f>IF(B2557,EXP(SUMPRODUCT(LN(1+(EvEff-1)*INDEX(Affected,0,C2557)*EXP(-((E2557-EvCenter)^2)/(2*EvSigma^2))))),"")</f>
        <v/>
      </c>
      <c r="O2557">
        <f>IF(B2557,ROUND(MAX(0,J2557*K2557*L2557*M2557*N2557),2),"")</f>
        <v/>
      </c>
    </row>
    <row r="2558">
      <c r="A2558" t="n">
        <v>2557</v>
      </c>
      <c r="B2558">
        <f>A2558&lt;=MineCount*Days</f>
        <v/>
      </c>
      <c r="C2558">
        <f>IF(B2558,INT((A2558-1)/Days)+1,"")</f>
        <v/>
      </c>
      <c r="D2558">
        <f>IF(B2558,MOD(A2558-1,Days),"")</f>
        <v/>
      </c>
      <c r="E2558" s="16">
        <f>IF(B2558,StartDate+D2558,"")</f>
        <v/>
      </c>
      <c r="F2558">
        <f>IF(B2558,MAX(MOD(SIN(Seed*0.1373+C2558*12.9898+D2558*78.233)*43758.5453,1),1E-9),"")</f>
        <v/>
      </c>
      <c r="G2558">
        <f>IF(B2558,MOD(SIN(Seed*0.5917+C2558*39.3468+D2558*11.135)*24634.6345,1),"")</f>
        <v/>
      </c>
      <c r="H2558">
        <f>IF(B2558,SQRT(-2*LN(F2558))*COS(2*PI()*G2558),"")</f>
        <v/>
      </c>
      <c r="I2558">
        <f>IF(B2558,IF(D2558=0,H2558,Rho*I2557+SQRT(1-Rho^2)*H2558),"")</f>
        <v/>
      </c>
      <c r="J2558">
        <f>IF(B2558,IF(Dist="Normal",DistA+DistB*I2558,DistA+(DistB-DistA)*NORMSDIST(I2558)),"")</f>
        <v/>
      </c>
      <c r="K2558">
        <f>IF(B2558,INDEX(MineScale,C2558),"")</f>
        <v/>
      </c>
      <c r="L2558">
        <f>IF(B2558,INDEX(Dow,1,WEEKDAY(E2558,2)),"")</f>
        <v/>
      </c>
      <c r="M2558">
        <f>IF(B2558,(1+Trend)^D2558,"")</f>
        <v/>
      </c>
      <c r="N2558">
        <f>IF(B2558,EXP(SUMPRODUCT(LN(1+(EvEff-1)*INDEX(Affected,0,C2558)*EXP(-((E2558-EvCenter)^2)/(2*EvSigma^2))))),"")</f>
        <v/>
      </c>
      <c r="O2558">
        <f>IF(B2558,ROUND(MAX(0,J2558*K2558*L2558*M2558*N2558),2),"")</f>
        <v/>
      </c>
    </row>
    <row r="2559">
      <c r="A2559" t="n">
        <v>2558</v>
      </c>
      <c r="B2559">
        <f>A2559&lt;=MineCount*Days</f>
        <v/>
      </c>
      <c r="C2559">
        <f>IF(B2559,INT((A2559-1)/Days)+1,"")</f>
        <v/>
      </c>
      <c r="D2559">
        <f>IF(B2559,MOD(A2559-1,Days),"")</f>
        <v/>
      </c>
      <c r="E2559" s="16">
        <f>IF(B2559,StartDate+D2559,"")</f>
        <v/>
      </c>
      <c r="F2559">
        <f>IF(B2559,MAX(MOD(SIN(Seed*0.1373+C2559*12.9898+D2559*78.233)*43758.5453,1),1E-9),"")</f>
        <v/>
      </c>
      <c r="G2559">
        <f>IF(B2559,MOD(SIN(Seed*0.5917+C2559*39.3468+D2559*11.135)*24634.6345,1),"")</f>
        <v/>
      </c>
      <c r="H2559">
        <f>IF(B2559,SQRT(-2*LN(F2559))*COS(2*PI()*G2559),"")</f>
        <v/>
      </c>
      <c r="I2559">
        <f>IF(B2559,IF(D2559=0,H2559,Rho*I2558+SQRT(1-Rho^2)*H2559),"")</f>
        <v/>
      </c>
      <c r="J2559">
        <f>IF(B2559,IF(Dist="Normal",DistA+DistB*I2559,DistA+(DistB-DistA)*NORMSDIST(I2559)),"")</f>
        <v/>
      </c>
      <c r="K2559">
        <f>IF(B2559,INDEX(MineScale,C2559),"")</f>
        <v/>
      </c>
      <c r="L2559">
        <f>IF(B2559,INDEX(Dow,1,WEEKDAY(E2559,2)),"")</f>
        <v/>
      </c>
      <c r="M2559">
        <f>IF(B2559,(1+Trend)^D2559,"")</f>
        <v/>
      </c>
      <c r="N2559">
        <f>IF(B2559,EXP(SUMPRODUCT(LN(1+(EvEff-1)*INDEX(Affected,0,C2559)*EXP(-((E2559-EvCenter)^2)/(2*EvSigma^2))))),"")</f>
        <v/>
      </c>
      <c r="O2559">
        <f>IF(B2559,ROUND(MAX(0,J2559*K2559*L2559*M2559*N2559),2),"")</f>
        <v/>
      </c>
    </row>
    <row r="2560">
      <c r="A2560" t="n">
        <v>2559</v>
      </c>
      <c r="B2560">
        <f>A2560&lt;=MineCount*Days</f>
        <v/>
      </c>
      <c r="C2560">
        <f>IF(B2560,INT((A2560-1)/Days)+1,"")</f>
        <v/>
      </c>
      <c r="D2560">
        <f>IF(B2560,MOD(A2560-1,Days),"")</f>
        <v/>
      </c>
      <c r="E2560" s="16">
        <f>IF(B2560,StartDate+D2560,"")</f>
        <v/>
      </c>
      <c r="F2560">
        <f>IF(B2560,MAX(MOD(SIN(Seed*0.1373+C2560*12.9898+D2560*78.233)*43758.5453,1),1E-9),"")</f>
        <v/>
      </c>
      <c r="G2560">
        <f>IF(B2560,MOD(SIN(Seed*0.5917+C2560*39.3468+D2560*11.135)*24634.6345,1),"")</f>
        <v/>
      </c>
      <c r="H2560">
        <f>IF(B2560,SQRT(-2*LN(F2560))*COS(2*PI()*G2560),"")</f>
        <v/>
      </c>
      <c r="I2560">
        <f>IF(B2560,IF(D2560=0,H2560,Rho*I2559+SQRT(1-Rho^2)*H2560),"")</f>
        <v/>
      </c>
      <c r="J2560">
        <f>IF(B2560,IF(Dist="Normal",DistA+DistB*I2560,DistA+(DistB-DistA)*NORMSDIST(I2560)),"")</f>
        <v/>
      </c>
      <c r="K2560">
        <f>IF(B2560,INDEX(MineScale,C2560),"")</f>
        <v/>
      </c>
      <c r="L2560">
        <f>IF(B2560,INDEX(Dow,1,WEEKDAY(E2560,2)),"")</f>
        <v/>
      </c>
      <c r="M2560">
        <f>IF(B2560,(1+Trend)^D2560,"")</f>
        <v/>
      </c>
      <c r="N2560">
        <f>IF(B2560,EXP(SUMPRODUCT(LN(1+(EvEff-1)*INDEX(Affected,0,C2560)*EXP(-((E2560-EvCenter)^2)/(2*EvSigma^2))))),"")</f>
        <v/>
      </c>
      <c r="O2560">
        <f>IF(B2560,ROUND(MAX(0,J2560*K2560*L2560*M2560*N2560),2),"")</f>
        <v/>
      </c>
    </row>
    <row r="2561">
      <c r="A2561" t="n">
        <v>2560</v>
      </c>
      <c r="B2561">
        <f>A2561&lt;=MineCount*Days</f>
        <v/>
      </c>
      <c r="C2561">
        <f>IF(B2561,INT((A2561-1)/Days)+1,"")</f>
        <v/>
      </c>
      <c r="D2561">
        <f>IF(B2561,MOD(A2561-1,Days),"")</f>
        <v/>
      </c>
      <c r="E2561" s="16">
        <f>IF(B2561,StartDate+D2561,"")</f>
        <v/>
      </c>
      <c r="F2561">
        <f>IF(B2561,MAX(MOD(SIN(Seed*0.1373+C2561*12.9898+D2561*78.233)*43758.5453,1),1E-9),"")</f>
        <v/>
      </c>
      <c r="G2561">
        <f>IF(B2561,MOD(SIN(Seed*0.5917+C2561*39.3468+D2561*11.135)*24634.6345,1),"")</f>
        <v/>
      </c>
      <c r="H2561">
        <f>IF(B2561,SQRT(-2*LN(F2561))*COS(2*PI()*G2561),"")</f>
        <v/>
      </c>
      <c r="I2561">
        <f>IF(B2561,IF(D2561=0,H2561,Rho*I2560+SQRT(1-Rho^2)*H2561),"")</f>
        <v/>
      </c>
      <c r="J2561">
        <f>IF(B2561,IF(Dist="Normal",DistA+DistB*I2561,DistA+(DistB-DistA)*NORMSDIST(I2561)),"")</f>
        <v/>
      </c>
      <c r="K2561">
        <f>IF(B2561,INDEX(MineScale,C2561),"")</f>
        <v/>
      </c>
      <c r="L2561">
        <f>IF(B2561,INDEX(Dow,1,WEEKDAY(E2561,2)),"")</f>
        <v/>
      </c>
      <c r="M2561">
        <f>IF(B2561,(1+Trend)^D2561,"")</f>
        <v/>
      </c>
      <c r="N2561">
        <f>IF(B2561,EXP(SUMPRODUCT(LN(1+(EvEff-1)*INDEX(Affected,0,C2561)*EXP(-((E2561-EvCenter)^2)/(2*EvSigma^2))))),"")</f>
        <v/>
      </c>
      <c r="O2561">
        <f>IF(B2561,ROUND(MAX(0,J2561*K2561*L2561*M2561*N2561),2),"")</f>
        <v/>
      </c>
    </row>
    <row r="2562">
      <c r="A2562" t="n">
        <v>2561</v>
      </c>
      <c r="B2562">
        <f>A2562&lt;=MineCount*Days</f>
        <v/>
      </c>
      <c r="C2562">
        <f>IF(B2562,INT((A2562-1)/Days)+1,"")</f>
        <v/>
      </c>
      <c r="D2562">
        <f>IF(B2562,MOD(A2562-1,Days),"")</f>
        <v/>
      </c>
      <c r="E2562" s="16">
        <f>IF(B2562,StartDate+D2562,"")</f>
        <v/>
      </c>
      <c r="F2562">
        <f>IF(B2562,MAX(MOD(SIN(Seed*0.1373+C2562*12.9898+D2562*78.233)*43758.5453,1),1E-9),"")</f>
        <v/>
      </c>
      <c r="G2562">
        <f>IF(B2562,MOD(SIN(Seed*0.5917+C2562*39.3468+D2562*11.135)*24634.6345,1),"")</f>
        <v/>
      </c>
      <c r="H2562">
        <f>IF(B2562,SQRT(-2*LN(F2562))*COS(2*PI()*G2562),"")</f>
        <v/>
      </c>
      <c r="I2562">
        <f>IF(B2562,IF(D2562=0,H2562,Rho*I2561+SQRT(1-Rho^2)*H2562),"")</f>
        <v/>
      </c>
      <c r="J2562">
        <f>IF(B2562,IF(Dist="Normal",DistA+DistB*I2562,DistA+(DistB-DistA)*NORMSDIST(I2562)),"")</f>
        <v/>
      </c>
      <c r="K2562">
        <f>IF(B2562,INDEX(MineScale,C2562),"")</f>
        <v/>
      </c>
      <c r="L2562">
        <f>IF(B2562,INDEX(Dow,1,WEEKDAY(E2562,2)),"")</f>
        <v/>
      </c>
      <c r="M2562">
        <f>IF(B2562,(1+Trend)^D2562,"")</f>
        <v/>
      </c>
      <c r="N2562">
        <f>IF(B2562,EXP(SUMPRODUCT(LN(1+(EvEff-1)*INDEX(Affected,0,C2562)*EXP(-((E2562-EvCenter)^2)/(2*EvSigma^2))))),"")</f>
        <v/>
      </c>
      <c r="O2562">
        <f>IF(B2562,ROUND(MAX(0,J2562*K2562*L2562*M2562*N2562),2),"")</f>
        <v/>
      </c>
    </row>
    <row r="2563">
      <c r="A2563" t="n">
        <v>2562</v>
      </c>
      <c r="B2563">
        <f>A2563&lt;=MineCount*Days</f>
        <v/>
      </c>
      <c r="C2563">
        <f>IF(B2563,INT((A2563-1)/Days)+1,"")</f>
        <v/>
      </c>
      <c r="D2563">
        <f>IF(B2563,MOD(A2563-1,Days),"")</f>
        <v/>
      </c>
      <c r="E2563" s="16">
        <f>IF(B2563,StartDate+D2563,"")</f>
        <v/>
      </c>
      <c r="F2563">
        <f>IF(B2563,MAX(MOD(SIN(Seed*0.1373+C2563*12.9898+D2563*78.233)*43758.5453,1),1E-9),"")</f>
        <v/>
      </c>
      <c r="G2563">
        <f>IF(B2563,MOD(SIN(Seed*0.5917+C2563*39.3468+D2563*11.135)*24634.6345,1),"")</f>
        <v/>
      </c>
      <c r="H2563">
        <f>IF(B2563,SQRT(-2*LN(F2563))*COS(2*PI()*G2563),"")</f>
        <v/>
      </c>
      <c r="I2563">
        <f>IF(B2563,IF(D2563=0,H2563,Rho*I2562+SQRT(1-Rho^2)*H2563),"")</f>
        <v/>
      </c>
      <c r="J2563">
        <f>IF(B2563,IF(Dist="Normal",DistA+DistB*I2563,DistA+(DistB-DistA)*NORMSDIST(I2563)),"")</f>
        <v/>
      </c>
      <c r="K2563">
        <f>IF(B2563,INDEX(MineScale,C2563),"")</f>
        <v/>
      </c>
      <c r="L2563">
        <f>IF(B2563,INDEX(Dow,1,WEEKDAY(E2563,2)),"")</f>
        <v/>
      </c>
      <c r="M2563">
        <f>IF(B2563,(1+Trend)^D2563,"")</f>
        <v/>
      </c>
      <c r="N2563">
        <f>IF(B2563,EXP(SUMPRODUCT(LN(1+(EvEff-1)*INDEX(Affected,0,C2563)*EXP(-((E2563-EvCenter)^2)/(2*EvSigma^2))))),"")</f>
        <v/>
      </c>
      <c r="O2563">
        <f>IF(B2563,ROUND(MAX(0,J2563*K2563*L2563*M2563*N2563),2),"")</f>
        <v/>
      </c>
    </row>
    <row r="2564">
      <c r="A2564" t="n">
        <v>2563</v>
      </c>
      <c r="B2564">
        <f>A2564&lt;=MineCount*Days</f>
        <v/>
      </c>
      <c r="C2564">
        <f>IF(B2564,INT((A2564-1)/Days)+1,"")</f>
        <v/>
      </c>
      <c r="D2564">
        <f>IF(B2564,MOD(A2564-1,Days),"")</f>
        <v/>
      </c>
      <c r="E2564" s="16">
        <f>IF(B2564,StartDate+D2564,"")</f>
        <v/>
      </c>
      <c r="F2564">
        <f>IF(B2564,MAX(MOD(SIN(Seed*0.1373+C2564*12.9898+D2564*78.233)*43758.5453,1),1E-9),"")</f>
        <v/>
      </c>
      <c r="G2564">
        <f>IF(B2564,MOD(SIN(Seed*0.5917+C2564*39.3468+D2564*11.135)*24634.6345,1),"")</f>
        <v/>
      </c>
      <c r="H2564">
        <f>IF(B2564,SQRT(-2*LN(F2564))*COS(2*PI()*G2564),"")</f>
        <v/>
      </c>
      <c r="I2564">
        <f>IF(B2564,IF(D2564=0,H2564,Rho*I2563+SQRT(1-Rho^2)*H2564),"")</f>
        <v/>
      </c>
      <c r="J2564">
        <f>IF(B2564,IF(Dist="Normal",DistA+DistB*I2564,DistA+(DistB-DistA)*NORMSDIST(I2564)),"")</f>
        <v/>
      </c>
      <c r="K2564">
        <f>IF(B2564,INDEX(MineScale,C2564),"")</f>
        <v/>
      </c>
      <c r="L2564">
        <f>IF(B2564,INDEX(Dow,1,WEEKDAY(E2564,2)),"")</f>
        <v/>
      </c>
      <c r="M2564">
        <f>IF(B2564,(1+Trend)^D2564,"")</f>
        <v/>
      </c>
      <c r="N2564">
        <f>IF(B2564,EXP(SUMPRODUCT(LN(1+(EvEff-1)*INDEX(Affected,0,C2564)*EXP(-((E2564-EvCenter)^2)/(2*EvSigma^2))))),"")</f>
        <v/>
      </c>
      <c r="O2564">
        <f>IF(B2564,ROUND(MAX(0,J2564*K2564*L2564*M2564*N2564),2),"")</f>
        <v/>
      </c>
    </row>
    <row r="2565">
      <c r="A2565" t="n">
        <v>2564</v>
      </c>
      <c r="B2565">
        <f>A2565&lt;=MineCount*Days</f>
        <v/>
      </c>
      <c r="C2565">
        <f>IF(B2565,INT((A2565-1)/Days)+1,"")</f>
        <v/>
      </c>
      <c r="D2565">
        <f>IF(B2565,MOD(A2565-1,Days),"")</f>
        <v/>
      </c>
      <c r="E2565" s="16">
        <f>IF(B2565,StartDate+D2565,"")</f>
        <v/>
      </c>
      <c r="F2565">
        <f>IF(B2565,MAX(MOD(SIN(Seed*0.1373+C2565*12.9898+D2565*78.233)*43758.5453,1),1E-9),"")</f>
        <v/>
      </c>
      <c r="G2565">
        <f>IF(B2565,MOD(SIN(Seed*0.5917+C2565*39.3468+D2565*11.135)*24634.6345,1),"")</f>
        <v/>
      </c>
      <c r="H2565">
        <f>IF(B2565,SQRT(-2*LN(F2565))*COS(2*PI()*G2565),"")</f>
        <v/>
      </c>
      <c r="I2565">
        <f>IF(B2565,IF(D2565=0,H2565,Rho*I2564+SQRT(1-Rho^2)*H2565),"")</f>
        <v/>
      </c>
      <c r="J2565">
        <f>IF(B2565,IF(Dist="Normal",DistA+DistB*I2565,DistA+(DistB-DistA)*NORMSDIST(I2565)),"")</f>
        <v/>
      </c>
      <c r="K2565">
        <f>IF(B2565,INDEX(MineScale,C2565),"")</f>
        <v/>
      </c>
      <c r="L2565">
        <f>IF(B2565,INDEX(Dow,1,WEEKDAY(E2565,2)),"")</f>
        <v/>
      </c>
      <c r="M2565">
        <f>IF(B2565,(1+Trend)^D2565,"")</f>
        <v/>
      </c>
      <c r="N2565">
        <f>IF(B2565,EXP(SUMPRODUCT(LN(1+(EvEff-1)*INDEX(Affected,0,C2565)*EXP(-((E2565-EvCenter)^2)/(2*EvSigma^2))))),"")</f>
        <v/>
      </c>
      <c r="O2565">
        <f>IF(B2565,ROUND(MAX(0,J2565*K2565*L2565*M2565*N2565),2),"")</f>
        <v/>
      </c>
    </row>
    <row r="2566">
      <c r="A2566" t="n">
        <v>2565</v>
      </c>
      <c r="B2566">
        <f>A2566&lt;=MineCount*Days</f>
        <v/>
      </c>
      <c r="C2566">
        <f>IF(B2566,INT((A2566-1)/Days)+1,"")</f>
        <v/>
      </c>
      <c r="D2566">
        <f>IF(B2566,MOD(A2566-1,Days),"")</f>
        <v/>
      </c>
      <c r="E2566" s="16">
        <f>IF(B2566,StartDate+D2566,"")</f>
        <v/>
      </c>
      <c r="F2566">
        <f>IF(B2566,MAX(MOD(SIN(Seed*0.1373+C2566*12.9898+D2566*78.233)*43758.5453,1),1E-9),"")</f>
        <v/>
      </c>
      <c r="G2566">
        <f>IF(B2566,MOD(SIN(Seed*0.5917+C2566*39.3468+D2566*11.135)*24634.6345,1),"")</f>
        <v/>
      </c>
      <c r="H2566">
        <f>IF(B2566,SQRT(-2*LN(F2566))*COS(2*PI()*G2566),"")</f>
        <v/>
      </c>
      <c r="I2566">
        <f>IF(B2566,IF(D2566=0,H2566,Rho*I2565+SQRT(1-Rho^2)*H2566),"")</f>
        <v/>
      </c>
      <c r="J2566">
        <f>IF(B2566,IF(Dist="Normal",DistA+DistB*I2566,DistA+(DistB-DistA)*NORMSDIST(I2566)),"")</f>
        <v/>
      </c>
      <c r="K2566">
        <f>IF(B2566,INDEX(MineScale,C2566),"")</f>
        <v/>
      </c>
      <c r="L2566">
        <f>IF(B2566,INDEX(Dow,1,WEEKDAY(E2566,2)),"")</f>
        <v/>
      </c>
      <c r="M2566">
        <f>IF(B2566,(1+Trend)^D2566,"")</f>
        <v/>
      </c>
      <c r="N2566">
        <f>IF(B2566,EXP(SUMPRODUCT(LN(1+(EvEff-1)*INDEX(Affected,0,C2566)*EXP(-((E2566-EvCenter)^2)/(2*EvSigma^2))))),"")</f>
        <v/>
      </c>
      <c r="O2566">
        <f>IF(B2566,ROUND(MAX(0,J2566*K2566*L2566*M2566*N2566),2),"")</f>
        <v/>
      </c>
    </row>
    <row r="2567">
      <c r="A2567" t="n">
        <v>2566</v>
      </c>
      <c r="B2567">
        <f>A2567&lt;=MineCount*Days</f>
        <v/>
      </c>
      <c r="C2567">
        <f>IF(B2567,INT((A2567-1)/Days)+1,"")</f>
        <v/>
      </c>
      <c r="D2567">
        <f>IF(B2567,MOD(A2567-1,Days),"")</f>
        <v/>
      </c>
      <c r="E2567" s="16">
        <f>IF(B2567,StartDate+D2567,"")</f>
        <v/>
      </c>
      <c r="F2567">
        <f>IF(B2567,MAX(MOD(SIN(Seed*0.1373+C2567*12.9898+D2567*78.233)*43758.5453,1),1E-9),"")</f>
        <v/>
      </c>
      <c r="G2567">
        <f>IF(B2567,MOD(SIN(Seed*0.5917+C2567*39.3468+D2567*11.135)*24634.6345,1),"")</f>
        <v/>
      </c>
      <c r="H2567">
        <f>IF(B2567,SQRT(-2*LN(F2567))*COS(2*PI()*G2567),"")</f>
        <v/>
      </c>
      <c r="I2567">
        <f>IF(B2567,IF(D2567=0,H2567,Rho*I2566+SQRT(1-Rho^2)*H2567),"")</f>
        <v/>
      </c>
      <c r="J2567">
        <f>IF(B2567,IF(Dist="Normal",DistA+DistB*I2567,DistA+(DistB-DistA)*NORMSDIST(I2567)),"")</f>
        <v/>
      </c>
      <c r="K2567">
        <f>IF(B2567,INDEX(MineScale,C2567),"")</f>
        <v/>
      </c>
      <c r="L2567">
        <f>IF(B2567,INDEX(Dow,1,WEEKDAY(E2567,2)),"")</f>
        <v/>
      </c>
      <c r="M2567">
        <f>IF(B2567,(1+Trend)^D2567,"")</f>
        <v/>
      </c>
      <c r="N2567">
        <f>IF(B2567,EXP(SUMPRODUCT(LN(1+(EvEff-1)*INDEX(Affected,0,C2567)*EXP(-((E2567-EvCenter)^2)/(2*EvSigma^2))))),"")</f>
        <v/>
      </c>
      <c r="O2567">
        <f>IF(B2567,ROUND(MAX(0,J2567*K2567*L2567*M2567*N2567),2),"")</f>
        <v/>
      </c>
    </row>
    <row r="2568">
      <c r="A2568" t="n">
        <v>2567</v>
      </c>
      <c r="B2568">
        <f>A2568&lt;=MineCount*Days</f>
        <v/>
      </c>
      <c r="C2568">
        <f>IF(B2568,INT((A2568-1)/Days)+1,"")</f>
        <v/>
      </c>
      <c r="D2568">
        <f>IF(B2568,MOD(A2568-1,Days),"")</f>
        <v/>
      </c>
      <c r="E2568" s="16">
        <f>IF(B2568,StartDate+D2568,"")</f>
        <v/>
      </c>
      <c r="F2568">
        <f>IF(B2568,MAX(MOD(SIN(Seed*0.1373+C2568*12.9898+D2568*78.233)*43758.5453,1),1E-9),"")</f>
        <v/>
      </c>
      <c r="G2568">
        <f>IF(B2568,MOD(SIN(Seed*0.5917+C2568*39.3468+D2568*11.135)*24634.6345,1),"")</f>
        <v/>
      </c>
      <c r="H2568">
        <f>IF(B2568,SQRT(-2*LN(F2568))*COS(2*PI()*G2568),"")</f>
        <v/>
      </c>
      <c r="I2568">
        <f>IF(B2568,IF(D2568=0,H2568,Rho*I2567+SQRT(1-Rho^2)*H2568),"")</f>
        <v/>
      </c>
      <c r="J2568">
        <f>IF(B2568,IF(Dist="Normal",DistA+DistB*I2568,DistA+(DistB-DistA)*NORMSDIST(I2568)),"")</f>
        <v/>
      </c>
      <c r="K2568">
        <f>IF(B2568,INDEX(MineScale,C2568),"")</f>
        <v/>
      </c>
      <c r="L2568">
        <f>IF(B2568,INDEX(Dow,1,WEEKDAY(E2568,2)),"")</f>
        <v/>
      </c>
      <c r="M2568">
        <f>IF(B2568,(1+Trend)^D2568,"")</f>
        <v/>
      </c>
      <c r="N2568">
        <f>IF(B2568,EXP(SUMPRODUCT(LN(1+(EvEff-1)*INDEX(Affected,0,C2568)*EXP(-((E2568-EvCenter)^2)/(2*EvSigma^2))))),"")</f>
        <v/>
      </c>
      <c r="O2568">
        <f>IF(B2568,ROUND(MAX(0,J2568*K2568*L2568*M2568*N2568),2),"")</f>
        <v/>
      </c>
    </row>
    <row r="2569">
      <c r="A2569" t="n">
        <v>2568</v>
      </c>
      <c r="B2569">
        <f>A2569&lt;=MineCount*Days</f>
        <v/>
      </c>
      <c r="C2569">
        <f>IF(B2569,INT((A2569-1)/Days)+1,"")</f>
        <v/>
      </c>
      <c r="D2569">
        <f>IF(B2569,MOD(A2569-1,Days),"")</f>
        <v/>
      </c>
      <c r="E2569" s="16">
        <f>IF(B2569,StartDate+D2569,"")</f>
        <v/>
      </c>
      <c r="F2569">
        <f>IF(B2569,MAX(MOD(SIN(Seed*0.1373+C2569*12.9898+D2569*78.233)*43758.5453,1),1E-9),"")</f>
        <v/>
      </c>
      <c r="G2569">
        <f>IF(B2569,MOD(SIN(Seed*0.5917+C2569*39.3468+D2569*11.135)*24634.6345,1),"")</f>
        <v/>
      </c>
      <c r="H2569">
        <f>IF(B2569,SQRT(-2*LN(F2569))*COS(2*PI()*G2569),"")</f>
        <v/>
      </c>
      <c r="I2569">
        <f>IF(B2569,IF(D2569=0,H2569,Rho*I2568+SQRT(1-Rho^2)*H2569),"")</f>
        <v/>
      </c>
      <c r="J2569">
        <f>IF(B2569,IF(Dist="Normal",DistA+DistB*I2569,DistA+(DistB-DistA)*NORMSDIST(I2569)),"")</f>
        <v/>
      </c>
      <c r="K2569">
        <f>IF(B2569,INDEX(MineScale,C2569),"")</f>
        <v/>
      </c>
      <c r="L2569">
        <f>IF(B2569,INDEX(Dow,1,WEEKDAY(E2569,2)),"")</f>
        <v/>
      </c>
      <c r="M2569">
        <f>IF(B2569,(1+Trend)^D2569,"")</f>
        <v/>
      </c>
      <c r="N2569">
        <f>IF(B2569,EXP(SUMPRODUCT(LN(1+(EvEff-1)*INDEX(Affected,0,C2569)*EXP(-((E2569-EvCenter)^2)/(2*EvSigma^2))))),"")</f>
        <v/>
      </c>
      <c r="O2569">
        <f>IF(B2569,ROUND(MAX(0,J2569*K2569*L2569*M2569*N2569),2),"")</f>
        <v/>
      </c>
    </row>
    <row r="2570">
      <c r="A2570" t="n">
        <v>2569</v>
      </c>
      <c r="B2570">
        <f>A2570&lt;=MineCount*Days</f>
        <v/>
      </c>
      <c r="C2570">
        <f>IF(B2570,INT((A2570-1)/Days)+1,"")</f>
        <v/>
      </c>
      <c r="D2570">
        <f>IF(B2570,MOD(A2570-1,Days),"")</f>
        <v/>
      </c>
      <c r="E2570" s="16">
        <f>IF(B2570,StartDate+D2570,"")</f>
        <v/>
      </c>
      <c r="F2570">
        <f>IF(B2570,MAX(MOD(SIN(Seed*0.1373+C2570*12.9898+D2570*78.233)*43758.5453,1),1E-9),"")</f>
        <v/>
      </c>
      <c r="G2570">
        <f>IF(B2570,MOD(SIN(Seed*0.5917+C2570*39.3468+D2570*11.135)*24634.6345,1),"")</f>
        <v/>
      </c>
      <c r="H2570">
        <f>IF(B2570,SQRT(-2*LN(F2570))*COS(2*PI()*G2570),"")</f>
        <v/>
      </c>
      <c r="I2570">
        <f>IF(B2570,IF(D2570=0,H2570,Rho*I2569+SQRT(1-Rho^2)*H2570),"")</f>
        <v/>
      </c>
      <c r="J2570">
        <f>IF(B2570,IF(Dist="Normal",DistA+DistB*I2570,DistA+(DistB-DistA)*NORMSDIST(I2570)),"")</f>
        <v/>
      </c>
      <c r="K2570">
        <f>IF(B2570,INDEX(MineScale,C2570),"")</f>
        <v/>
      </c>
      <c r="L2570">
        <f>IF(B2570,INDEX(Dow,1,WEEKDAY(E2570,2)),"")</f>
        <v/>
      </c>
      <c r="M2570">
        <f>IF(B2570,(1+Trend)^D2570,"")</f>
        <v/>
      </c>
      <c r="N2570">
        <f>IF(B2570,EXP(SUMPRODUCT(LN(1+(EvEff-1)*INDEX(Affected,0,C2570)*EXP(-((E2570-EvCenter)^2)/(2*EvSigma^2))))),"")</f>
        <v/>
      </c>
      <c r="O2570">
        <f>IF(B2570,ROUND(MAX(0,J2570*K2570*L2570*M2570*N2570),2),"")</f>
        <v/>
      </c>
    </row>
    <row r="2571">
      <c r="A2571" t="n">
        <v>2570</v>
      </c>
      <c r="B2571">
        <f>A2571&lt;=MineCount*Days</f>
        <v/>
      </c>
      <c r="C2571">
        <f>IF(B2571,INT((A2571-1)/Days)+1,"")</f>
        <v/>
      </c>
      <c r="D2571">
        <f>IF(B2571,MOD(A2571-1,Days),"")</f>
        <v/>
      </c>
      <c r="E2571" s="16">
        <f>IF(B2571,StartDate+D2571,"")</f>
        <v/>
      </c>
      <c r="F2571">
        <f>IF(B2571,MAX(MOD(SIN(Seed*0.1373+C2571*12.9898+D2571*78.233)*43758.5453,1),1E-9),"")</f>
        <v/>
      </c>
      <c r="G2571">
        <f>IF(B2571,MOD(SIN(Seed*0.5917+C2571*39.3468+D2571*11.135)*24634.6345,1),"")</f>
        <v/>
      </c>
      <c r="H2571">
        <f>IF(B2571,SQRT(-2*LN(F2571))*COS(2*PI()*G2571),"")</f>
        <v/>
      </c>
      <c r="I2571">
        <f>IF(B2571,IF(D2571=0,H2571,Rho*I2570+SQRT(1-Rho^2)*H2571),"")</f>
        <v/>
      </c>
      <c r="J2571">
        <f>IF(B2571,IF(Dist="Normal",DistA+DistB*I2571,DistA+(DistB-DistA)*NORMSDIST(I2571)),"")</f>
        <v/>
      </c>
      <c r="K2571">
        <f>IF(B2571,INDEX(MineScale,C2571),"")</f>
        <v/>
      </c>
      <c r="L2571">
        <f>IF(B2571,INDEX(Dow,1,WEEKDAY(E2571,2)),"")</f>
        <v/>
      </c>
      <c r="M2571">
        <f>IF(B2571,(1+Trend)^D2571,"")</f>
        <v/>
      </c>
      <c r="N2571">
        <f>IF(B2571,EXP(SUMPRODUCT(LN(1+(EvEff-1)*INDEX(Affected,0,C2571)*EXP(-((E2571-EvCenter)^2)/(2*EvSigma^2))))),"")</f>
        <v/>
      </c>
      <c r="O2571">
        <f>IF(B2571,ROUND(MAX(0,J2571*K2571*L2571*M2571*N2571),2),"")</f>
        <v/>
      </c>
    </row>
    <row r="2572">
      <c r="A2572" t="n">
        <v>2571</v>
      </c>
      <c r="B2572">
        <f>A2572&lt;=MineCount*Days</f>
        <v/>
      </c>
      <c r="C2572">
        <f>IF(B2572,INT((A2572-1)/Days)+1,"")</f>
        <v/>
      </c>
      <c r="D2572">
        <f>IF(B2572,MOD(A2572-1,Days),"")</f>
        <v/>
      </c>
      <c r="E2572" s="16">
        <f>IF(B2572,StartDate+D2572,"")</f>
        <v/>
      </c>
      <c r="F2572">
        <f>IF(B2572,MAX(MOD(SIN(Seed*0.1373+C2572*12.9898+D2572*78.233)*43758.5453,1),1E-9),"")</f>
        <v/>
      </c>
      <c r="G2572">
        <f>IF(B2572,MOD(SIN(Seed*0.5917+C2572*39.3468+D2572*11.135)*24634.6345,1),"")</f>
        <v/>
      </c>
      <c r="H2572">
        <f>IF(B2572,SQRT(-2*LN(F2572))*COS(2*PI()*G2572),"")</f>
        <v/>
      </c>
      <c r="I2572">
        <f>IF(B2572,IF(D2572=0,H2572,Rho*I2571+SQRT(1-Rho^2)*H2572),"")</f>
        <v/>
      </c>
      <c r="J2572">
        <f>IF(B2572,IF(Dist="Normal",DistA+DistB*I2572,DistA+(DistB-DistA)*NORMSDIST(I2572)),"")</f>
        <v/>
      </c>
      <c r="K2572">
        <f>IF(B2572,INDEX(MineScale,C2572),"")</f>
        <v/>
      </c>
      <c r="L2572">
        <f>IF(B2572,INDEX(Dow,1,WEEKDAY(E2572,2)),"")</f>
        <v/>
      </c>
      <c r="M2572">
        <f>IF(B2572,(1+Trend)^D2572,"")</f>
        <v/>
      </c>
      <c r="N2572">
        <f>IF(B2572,EXP(SUMPRODUCT(LN(1+(EvEff-1)*INDEX(Affected,0,C2572)*EXP(-((E2572-EvCenter)^2)/(2*EvSigma^2))))),"")</f>
        <v/>
      </c>
      <c r="O2572">
        <f>IF(B2572,ROUND(MAX(0,J2572*K2572*L2572*M2572*N2572),2),"")</f>
        <v/>
      </c>
    </row>
    <row r="2573">
      <c r="A2573" t="n">
        <v>2572</v>
      </c>
      <c r="B2573">
        <f>A2573&lt;=MineCount*Days</f>
        <v/>
      </c>
      <c r="C2573">
        <f>IF(B2573,INT((A2573-1)/Days)+1,"")</f>
        <v/>
      </c>
      <c r="D2573">
        <f>IF(B2573,MOD(A2573-1,Days),"")</f>
        <v/>
      </c>
      <c r="E2573" s="16">
        <f>IF(B2573,StartDate+D2573,"")</f>
        <v/>
      </c>
      <c r="F2573">
        <f>IF(B2573,MAX(MOD(SIN(Seed*0.1373+C2573*12.9898+D2573*78.233)*43758.5453,1),1E-9),"")</f>
        <v/>
      </c>
      <c r="G2573">
        <f>IF(B2573,MOD(SIN(Seed*0.5917+C2573*39.3468+D2573*11.135)*24634.6345,1),"")</f>
        <v/>
      </c>
      <c r="H2573">
        <f>IF(B2573,SQRT(-2*LN(F2573))*COS(2*PI()*G2573),"")</f>
        <v/>
      </c>
      <c r="I2573">
        <f>IF(B2573,IF(D2573=0,H2573,Rho*I2572+SQRT(1-Rho^2)*H2573),"")</f>
        <v/>
      </c>
      <c r="J2573">
        <f>IF(B2573,IF(Dist="Normal",DistA+DistB*I2573,DistA+(DistB-DistA)*NORMSDIST(I2573)),"")</f>
        <v/>
      </c>
      <c r="K2573">
        <f>IF(B2573,INDEX(MineScale,C2573),"")</f>
        <v/>
      </c>
      <c r="L2573">
        <f>IF(B2573,INDEX(Dow,1,WEEKDAY(E2573,2)),"")</f>
        <v/>
      </c>
      <c r="M2573">
        <f>IF(B2573,(1+Trend)^D2573,"")</f>
        <v/>
      </c>
      <c r="N2573">
        <f>IF(B2573,EXP(SUMPRODUCT(LN(1+(EvEff-1)*INDEX(Affected,0,C2573)*EXP(-((E2573-EvCenter)^2)/(2*EvSigma^2))))),"")</f>
        <v/>
      </c>
      <c r="O2573">
        <f>IF(B2573,ROUND(MAX(0,J2573*K2573*L2573*M2573*N2573),2),"")</f>
        <v/>
      </c>
    </row>
    <row r="2574">
      <c r="A2574" t="n">
        <v>2573</v>
      </c>
      <c r="B2574">
        <f>A2574&lt;=MineCount*Days</f>
        <v/>
      </c>
      <c r="C2574">
        <f>IF(B2574,INT((A2574-1)/Days)+1,"")</f>
        <v/>
      </c>
      <c r="D2574">
        <f>IF(B2574,MOD(A2574-1,Days),"")</f>
        <v/>
      </c>
      <c r="E2574" s="16">
        <f>IF(B2574,StartDate+D2574,"")</f>
        <v/>
      </c>
      <c r="F2574">
        <f>IF(B2574,MAX(MOD(SIN(Seed*0.1373+C2574*12.9898+D2574*78.233)*43758.5453,1),1E-9),"")</f>
        <v/>
      </c>
      <c r="G2574">
        <f>IF(B2574,MOD(SIN(Seed*0.5917+C2574*39.3468+D2574*11.135)*24634.6345,1),"")</f>
        <v/>
      </c>
      <c r="H2574">
        <f>IF(B2574,SQRT(-2*LN(F2574))*COS(2*PI()*G2574),"")</f>
        <v/>
      </c>
      <c r="I2574">
        <f>IF(B2574,IF(D2574=0,H2574,Rho*I2573+SQRT(1-Rho^2)*H2574),"")</f>
        <v/>
      </c>
      <c r="J2574">
        <f>IF(B2574,IF(Dist="Normal",DistA+DistB*I2574,DistA+(DistB-DistA)*NORMSDIST(I2574)),"")</f>
        <v/>
      </c>
      <c r="K2574">
        <f>IF(B2574,INDEX(MineScale,C2574),"")</f>
        <v/>
      </c>
      <c r="L2574">
        <f>IF(B2574,INDEX(Dow,1,WEEKDAY(E2574,2)),"")</f>
        <v/>
      </c>
      <c r="M2574">
        <f>IF(B2574,(1+Trend)^D2574,"")</f>
        <v/>
      </c>
      <c r="N2574">
        <f>IF(B2574,EXP(SUMPRODUCT(LN(1+(EvEff-1)*INDEX(Affected,0,C2574)*EXP(-((E2574-EvCenter)^2)/(2*EvSigma^2))))),"")</f>
        <v/>
      </c>
      <c r="O2574">
        <f>IF(B2574,ROUND(MAX(0,J2574*K2574*L2574*M2574*N2574),2),"")</f>
        <v/>
      </c>
    </row>
    <row r="2575">
      <c r="A2575" t="n">
        <v>2574</v>
      </c>
      <c r="B2575">
        <f>A2575&lt;=MineCount*Days</f>
        <v/>
      </c>
      <c r="C2575">
        <f>IF(B2575,INT((A2575-1)/Days)+1,"")</f>
        <v/>
      </c>
      <c r="D2575">
        <f>IF(B2575,MOD(A2575-1,Days),"")</f>
        <v/>
      </c>
      <c r="E2575" s="16">
        <f>IF(B2575,StartDate+D2575,"")</f>
        <v/>
      </c>
      <c r="F2575">
        <f>IF(B2575,MAX(MOD(SIN(Seed*0.1373+C2575*12.9898+D2575*78.233)*43758.5453,1),1E-9),"")</f>
        <v/>
      </c>
      <c r="G2575">
        <f>IF(B2575,MOD(SIN(Seed*0.5917+C2575*39.3468+D2575*11.135)*24634.6345,1),"")</f>
        <v/>
      </c>
      <c r="H2575">
        <f>IF(B2575,SQRT(-2*LN(F2575))*COS(2*PI()*G2575),"")</f>
        <v/>
      </c>
      <c r="I2575">
        <f>IF(B2575,IF(D2575=0,H2575,Rho*I2574+SQRT(1-Rho^2)*H2575),"")</f>
        <v/>
      </c>
      <c r="J2575">
        <f>IF(B2575,IF(Dist="Normal",DistA+DistB*I2575,DistA+(DistB-DistA)*NORMSDIST(I2575)),"")</f>
        <v/>
      </c>
      <c r="K2575">
        <f>IF(B2575,INDEX(MineScale,C2575),"")</f>
        <v/>
      </c>
      <c r="L2575">
        <f>IF(B2575,INDEX(Dow,1,WEEKDAY(E2575,2)),"")</f>
        <v/>
      </c>
      <c r="M2575">
        <f>IF(B2575,(1+Trend)^D2575,"")</f>
        <v/>
      </c>
      <c r="N2575">
        <f>IF(B2575,EXP(SUMPRODUCT(LN(1+(EvEff-1)*INDEX(Affected,0,C2575)*EXP(-((E2575-EvCenter)^2)/(2*EvSigma^2))))),"")</f>
        <v/>
      </c>
      <c r="O2575">
        <f>IF(B2575,ROUND(MAX(0,J2575*K2575*L2575*M2575*N2575),2),"")</f>
        <v/>
      </c>
    </row>
    <row r="2576">
      <c r="A2576" t="n">
        <v>2575</v>
      </c>
      <c r="B2576">
        <f>A2576&lt;=MineCount*Days</f>
        <v/>
      </c>
      <c r="C2576">
        <f>IF(B2576,INT((A2576-1)/Days)+1,"")</f>
        <v/>
      </c>
      <c r="D2576">
        <f>IF(B2576,MOD(A2576-1,Days),"")</f>
        <v/>
      </c>
      <c r="E2576" s="16">
        <f>IF(B2576,StartDate+D2576,"")</f>
        <v/>
      </c>
      <c r="F2576">
        <f>IF(B2576,MAX(MOD(SIN(Seed*0.1373+C2576*12.9898+D2576*78.233)*43758.5453,1),1E-9),"")</f>
        <v/>
      </c>
      <c r="G2576">
        <f>IF(B2576,MOD(SIN(Seed*0.5917+C2576*39.3468+D2576*11.135)*24634.6345,1),"")</f>
        <v/>
      </c>
      <c r="H2576">
        <f>IF(B2576,SQRT(-2*LN(F2576))*COS(2*PI()*G2576),"")</f>
        <v/>
      </c>
      <c r="I2576">
        <f>IF(B2576,IF(D2576=0,H2576,Rho*I2575+SQRT(1-Rho^2)*H2576),"")</f>
        <v/>
      </c>
      <c r="J2576">
        <f>IF(B2576,IF(Dist="Normal",DistA+DistB*I2576,DistA+(DistB-DistA)*NORMSDIST(I2576)),"")</f>
        <v/>
      </c>
      <c r="K2576">
        <f>IF(B2576,INDEX(MineScale,C2576),"")</f>
        <v/>
      </c>
      <c r="L2576">
        <f>IF(B2576,INDEX(Dow,1,WEEKDAY(E2576,2)),"")</f>
        <v/>
      </c>
      <c r="M2576">
        <f>IF(B2576,(1+Trend)^D2576,"")</f>
        <v/>
      </c>
      <c r="N2576">
        <f>IF(B2576,EXP(SUMPRODUCT(LN(1+(EvEff-1)*INDEX(Affected,0,C2576)*EXP(-((E2576-EvCenter)^2)/(2*EvSigma^2))))),"")</f>
        <v/>
      </c>
      <c r="O2576">
        <f>IF(B2576,ROUND(MAX(0,J2576*K2576*L2576*M2576*N2576),2),"")</f>
        <v/>
      </c>
    </row>
    <row r="2577">
      <c r="A2577" t="n">
        <v>2576</v>
      </c>
      <c r="B2577">
        <f>A2577&lt;=MineCount*Days</f>
        <v/>
      </c>
      <c r="C2577">
        <f>IF(B2577,INT((A2577-1)/Days)+1,"")</f>
        <v/>
      </c>
      <c r="D2577">
        <f>IF(B2577,MOD(A2577-1,Days),"")</f>
        <v/>
      </c>
      <c r="E2577" s="16">
        <f>IF(B2577,StartDate+D2577,"")</f>
        <v/>
      </c>
      <c r="F2577">
        <f>IF(B2577,MAX(MOD(SIN(Seed*0.1373+C2577*12.9898+D2577*78.233)*43758.5453,1),1E-9),"")</f>
        <v/>
      </c>
      <c r="G2577">
        <f>IF(B2577,MOD(SIN(Seed*0.5917+C2577*39.3468+D2577*11.135)*24634.6345,1),"")</f>
        <v/>
      </c>
      <c r="H2577">
        <f>IF(B2577,SQRT(-2*LN(F2577))*COS(2*PI()*G2577),"")</f>
        <v/>
      </c>
      <c r="I2577">
        <f>IF(B2577,IF(D2577=0,H2577,Rho*I2576+SQRT(1-Rho^2)*H2577),"")</f>
        <v/>
      </c>
      <c r="J2577">
        <f>IF(B2577,IF(Dist="Normal",DistA+DistB*I2577,DistA+(DistB-DistA)*NORMSDIST(I2577)),"")</f>
        <v/>
      </c>
      <c r="K2577">
        <f>IF(B2577,INDEX(MineScale,C2577),"")</f>
        <v/>
      </c>
      <c r="L2577">
        <f>IF(B2577,INDEX(Dow,1,WEEKDAY(E2577,2)),"")</f>
        <v/>
      </c>
      <c r="M2577">
        <f>IF(B2577,(1+Trend)^D2577,"")</f>
        <v/>
      </c>
      <c r="N2577">
        <f>IF(B2577,EXP(SUMPRODUCT(LN(1+(EvEff-1)*INDEX(Affected,0,C2577)*EXP(-((E2577-EvCenter)^2)/(2*EvSigma^2))))),"")</f>
        <v/>
      </c>
      <c r="O2577">
        <f>IF(B2577,ROUND(MAX(0,J2577*K2577*L2577*M2577*N2577),2),"")</f>
        <v/>
      </c>
    </row>
    <row r="2578">
      <c r="A2578" t="n">
        <v>2577</v>
      </c>
      <c r="B2578">
        <f>A2578&lt;=MineCount*Days</f>
        <v/>
      </c>
      <c r="C2578">
        <f>IF(B2578,INT((A2578-1)/Days)+1,"")</f>
        <v/>
      </c>
      <c r="D2578">
        <f>IF(B2578,MOD(A2578-1,Days),"")</f>
        <v/>
      </c>
      <c r="E2578" s="16">
        <f>IF(B2578,StartDate+D2578,"")</f>
        <v/>
      </c>
      <c r="F2578">
        <f>IF(B2578,MAX(MOD(SIN(Seed*0.1373+C2578*12.9898+D2578*78.233)*43758.5453,1),1E-9),"")</f>
        <v/>
      </c>
      <c r="G2578">
        <f>IF(B2578,MOD(SIN(Seed*0.5917+C2578*39.3468+D2578*11.135)*24634.6345,1),"")</f>
        <v/>
      </c>
      <c r="H2578">
        <f>IF(B2578,SQRT(-2*LN(F2578))*COS(2*PI()*G2578),"")</f>
        <v/>
      </c>
      <c r="I2578">
        <f>IF(B2578,IF(D2578=0,H2578,Rho*I2577+SQRT(1-Rho^2)*H2578),"")</f>
        <v/>
      </c>
      <c r="J2578">
        <f>IF(B2578,IF(Dist="Normal",DistA+DistB*I2578,DistA+(DistB-DistA)*NORMSDIST(I2578)),"")</f>
        <v/>
      </c>
      <c r="K2578">
        <f>IF(B2578,INDEX(MineScale,C2578),"")</f>
        <v/>
      </c>
      <c r="L2578">
        <f>IF(B2578,INDEX(Dow,1,WEEKDAY(E2578,2)),"")</f>
        <v/>
      </c>
      <c r="M2578">
        <f>IF(B2578,(1+Trend)^D2578,"")</f>
        <v/>
      </c>
      <c r="N2578">
        <f>IF(B2578,EXP(SUMPRODUCT(LN(1+(EvEff-1)*INDEX(Affected,0,C2578)*EXP(-((E2578-EvCenter)^2)/(2*EvSigma^2))))),"")</f>
        <v/>
      </c>
      <c r="O2578">
        <f>IF(B2578,ROUND(MAX(0,J2578*K2578*L2578*M2578*N2578),2),"")</f>
        <v/>
      </c>
    </row>
    <row r="2579">
      <c r="A2579" t="n">
        <v>2578</v>
      </c>
      <c r="B2579">
        <f>A2579&lt;=MineCount*Days</f>
        <v/>
      </c>
      <c r="C2579">
        <f>IF(B2579,INT((A2579-1)/Days)+1,"")</f>
        <v/>
      </c>
      <c r="D2579">
        <f>IF(B2579,MOD(A2579-1,Days),"")</f>
        <v/>
      </c>
      <c r="E2579" s="16">
        <f>IF(B2579,StartDate+D2579,"")</f>
        <v/>
      </c>
      <c r="F2579">
        <f>IF(B2579,MAX(MOD(SIN(Seed*0.1373+C2579*12.9898+D2579*78.233)*43758.5453,1),1E-9),"")</f>
        <v/>
      </c>
      <c r="G2579">
        <f>IF(B2579,MOD(SIN(Seed*0.5917+C2579*39.3468+D2579*11.135)*24634.6345,1),"")</f>
        <v/>
      </c>
      <c r="H2579">
        <f>IF(B2579,SQRT(-2*LN(F2579))*COS(2*PI()*G2579),"")</f>
        <v/>
      </c>
      <c r="I2579">
        <f>IF(B2579,IF(D2579=0,H2579,Rho*I2578+SQRT(1-Rho^2)*H2579),"")</f>
        <v/>
      </c>
      <c r="J2579">
        <f>IF(B2579,IF(Dist="Normal",DistA+DistB*I2579,DistA+(DistB-DistA)*NORMSDIST(I2579)),"")</f>
        <v/>
      </c>
      <c r="K2579">
        <f>IF(B2579,INDEX(MineScale,C2579),"")</f>
        <v/>
      </c>
      <c r="L2579">
        <f>IF(B2579,INDEX(Dow,1,WEEKDAY(E2579,2)),"")</f>
        <v/>
      </c>
      <c r="M2579">
        <f>IF(B2579,(1+Trend)^D2579,"")</f>
        <v/>
      </c>
      <c r="N2579">
        <f>IF(B2579,EXP(SUMPRODUCT(LN(1+(EvEff-1)*INDEX(Affected,0,C2579)*EXP(-((E2579-EvCenter)^2)/(2*EvSigma^2))))),"")</f>
        <v/>
      </c>
      <c r="O2579">
        <f>IF(B2579,ROUND(MAX(0,J2579*K2579*L2579*M2579*N2579),2),"")</f>
        <v/>
      </c>
    </row>
    <row r="2580">
      <c r="A2580" t="n">
        <v>2579</v>
      </c>
      <c r="B2580">
        <f>A2580&lt;=MineCount*Days</f>
        <v/>
      </c>
      <c r="C2580">
        <f>IF(B2580,INT((A2580-1)/Days)+1,"")</f>
        <v/>
      </c>
      <c r="D2580">
        <f>IF(B2580,MOD(A2580-1,Days),"")</f>
        <v/>
      </c>
      <c r="E2580" s="16">
        <f>IF(B2580,StartDate+D2580,"")</f>
        <v/>
      </c>
      <c r="F2580">
        <f>IF(B2580,MAX(MOD(SIN(Seed*0.1373+C2580*12.9898+D2580*78.233)*43758.5453,1),1E-9),"")</f>
        <v/>
      </c>
      <c r="G2580">
        <f>IF(B2580,MOD(SIN(Seed*0.5917+C2580*39.3468+D2580*11.135)*24634.6345,1),"")</f>
        <v/>
      </c>
      <c r="H2580">
        <f>IF(B2580,SQRT(-2*LN(F2580))*COS(2*PI()*G2580),"")</f>
        <v/>
      </c>
      <c r="I2580">
        <f>IF(B2580,IF(D2580=0,H2580,Rho*I2579+SQRT(1-Rho^2)*H2580),"")</f>
        <v/>
      </c>
      <c r="J2580">
        <f>IF(B2580,IF(Dist="Normal",DistA+DistB*I2580,DistA+(DistB-DistA)*NORMSDIST(I2580)),"")</f>
        <v/>
      </c>
      <c r="K2580">
        <f>IF(B2580,INDEX(MineScale,C2580),"")</f>
        <v/>
      </c>
      <c r="L2580">
        <f>IF(B2580,INDEX(Dow,1,WEEKDAY(E2580,2)),"")</f>
        <v/>
      </c>
      <c r="M2580">
        <f>IF(B2580,(1+Trend)^D2580,"")</f>
        <v/>
      </c>
      <c r="N2580">
        <f>IF(B2580,EXP(SUMPRODUCT(LN(1+(EvEff-1)*INDEX(Affected,0,C2580)*EXP(-((E2580-EvCenter)^2)/(2*EvSigma^2))))),"")</f>
        <v/>
      </c>
      <c r="O2580">
        <f>IF(B2580,ROUND(MAX(0,J2580*K2580*L2580*M2580*N2580),2),"")</f>
        <v/>
      </c>
    </row>
    <row r="2581">
      <c r="A2581" t="n">
        <v>2580</v>
      </c>
      <c r="B2581">
        <f>A2581&lt;=MineCount*Days</f>
        <v/>
      </c>
      <c r="C2581">
        <f>IF(B2581,INT((A2581-1)/Days)+1,"")</f>
        <v/>
      </c>
      <c r="D2581">
        <f>IF(B2581,MOD(A2581-1,Days),"")</f>
        <v/>
      </c>
      <c r="E2581" s="16">
        <f>IF(B2581,StartDate+D2581,"")</f>
        <v/>
      </c>
      <c r="F2581">
        <f>IF(B2581,MAX(MOD(SIN(Seed*0.1373+C2581*12.9898+D2581*78.233)*43758.5453,1),1E-9),"")</f>
        <v/>
      </c>
      <c r="G2581">
        <f>IF(B2581,MOD(SIN(Seed*0.5917+C2581*39.3468+D2581*11.135)*24634.6345,1),"")</f>
        <v/>
      </c>
      <c r="H2581">
        <f>IF(B2581,SQRT(-2*LN(F2581))*COS(2*PI()*G2581),"")</f>
        <v/>
      </c>
      <c r="I2581">
        <f>IF(B2581,IF(D2581=0,H2581,Rho*I2580+SQRT(1-Rho^2)*H2581),"")</f>
        <v/>
      </c>
      <c r="J2581">
        <f>IF(B2581,IF(Dist="Normal",DistA+DistB*I2581,DistA+(DistB-DistA)*NORMSDIST(I2581)),"")</f>
        <v/>
      </c>
      <c r="K2581">
        <f>IF(B2581,INDEX(MineScale,C2581),"")</f>
        <v/>
      </c>
      <c r="L2581">
        <f>IF(B2581,INDEX(Dow,1,WEEKDAY(E2581,2)),"")</f>
        <v/>
      </c>
      <c r="M2581">
        <f>IF(B2581,(1+Trend)^D2581,"")</f>
        <v/>
      </c>
      <c r="N2581">
        <f>IF(B2581,EXP(SUMPRODUCT(LN(1+(EvEff-1)*INDEX(Affected,0,C2581)*EXP(-((E2581-EvCenter)^2)/(2*EvSigma^2))))),"")</f>
        <v/>
      </c>
      <c r="O2581">
        <f>IF(B2581,ROUND(MAX(0,J2581*K2581*L2581*M2581*N2581),2),"")</f>
        <v/>
      </c>
    </row>
    <row r="2582">
      <c r="A2582" t="n">
        <v>2581</v>
      </c>
      <c r="B2582">
        <f>A2582&lt;=MineCount*Days</f>
        <v/>
      </c>
      <c r="C2582">
        <f>IF(B2582,INT((A2582-1)/Days)+1,"")</f>
        <v/>
      </c>
      <c r="D2582">
        <f>IF(B2582,MOD(A2582-1,Days),"")</f>
        <v/>
      </c>
      <c r="E2582" s="16">
        <f>IF(B2582,StartDate+D2582,"")</f>
        <v/>
      </c>
      <c r="F2582">
        <f>IF(B2582,MAX(MOD(SIN(Seed*0.1373+C2582*12.9898+D2582*78.233)*43758.5453,1),1E-9),"")</f>
        <v/>
      </c>
      <c r="G2582">
        <f>IF(B2582,MOD(SIN(Seed*0.5917+C2582*39.3468+D2582*11.135)*24634.6345,1),"")</f>
        <v/>
      </c>
      <c r="H2582">
        <f>IF(B2582,SQRT(-2*LN(F2582))*COS(2*PI()*G2582),"")</f>
        <v/>
      </c>
      <c r="I2582">
        <f>IF(B2582,IF(D2582=0,H2582,Rho*I2581+SQRT(1-Rho^2)*H2582),"")</f>
        <v/>
      </c>
      <c r="J2582">
        <f>IF(B2582,IF(Dist="Normal",DistA+DistB*I2582,DistA+(DistB-DistA)*NORMSDIST(I2582)),"")</f>
        <v/>
      </c>
      <c r="K2582">
        <f>IF(B2582,INDEX(MineScale,C2582),"")</f>
        <v/>
      </c>
      <c r="L2582">
        <f>IF(B2582,INDEX(Dow,1,WEEKDAY(E2582,2)),"")</f>
        <v/>
      </c>
      <c r="M2582">
        <f>IF(B2582,(1+Trend)^D2582,"")</f>
        <v/>
      </c>
      <c r="N2582">
        <f>IF(B2582,EXP(SUMPRODUCT(LN(1+(EvEff-1)*INDEX(Affected,0,C2582)*EXP(-((E2582-EvCenter)^2)/(2*EvSigma^2))))),"")</f>
        <v/>
      </c>
      <c r="O2582">
        <f>IF(B2582,ROUND(MAX(0,J2582*K2582*L2582*M2582*N2582),2),"")</f>
        <v/>
      </c>
    </row>
    <row r="2583">
      <c r="A2583" t="n">
        <v>2582</v>
      </c>
      <c r="B2583">
        <f>A2583&lt;=MineCount*Days</f>
        <v/>
      </c>
      <c r="C2583">
        <f>IF(B2583,INT((A2583-1)/Days)+1,"")</f>
        <v/>
      </c>
      <c r="D2583">
        <f>IF(B2583,MOD(A2583-1,Days),"")</f>
        <v/>
      </c>
      <c r="E2583" s="16">
        <f>IF(B2583,StartDate+D2583,"")</f>
        <v/>
      </c>
      <c r="F2583">
        <f>IF(B2583,MAX(MOD(SIN(Seed*0.1373+C2583*12.9898+D2583*78.233)*43758.5453,1),1E-9),"")</f>
        <v/>
      </c>
      <c r="G2583">
        <f>IF(B2583,MOD(SIN(Seed*0.5917+C2583*39.3468+D2583*11.135)*24634.6345,1),"")</f>
        <v/>
      </c>
      <c r="H2583">
        <f>IF(B2583,SQRT(-2*LN(F2583))*COS(2*PI()*G2583),"")</f>
        <v/>
      </c>
      <c r="I2583">
        <f>IF(B2583,IF(D2583=0,H2583,Rho*I2582+SQRT(1-Rho^2)*H2583),"")</f>
        <v/>
      </c>
      <c r="J2583">
        <f>IF(B2583,IF(Dist="Normal",DistA+DistB*I2583,DistA+(DistB-DistA)*NORMSDIST(I2583)),"")</f>
        <v/>
      </c>
      <c r="K2583">
        <f>IF(B2583,INDEX(MineScale,C2583),"")</f>
        <v/>
      </c>
      <c r="L2583">
        <f>IF(B2583,INDEX(Dow,1,WEEKDAY(E2583,2)),"")</f>
        <v/>
      </c>
      <c r="M2583">
        <f>IF(B2583,(1+Trend)^D2583,"")</f>
        <v/>
      </c>
      <c r="N2583">
        <f>IF(B2583,EXP(SUMPRODUCT(LN(1+(EvEff-1)*INDEX(Affected,0,C2583)*EXP(-((E2583-EvCenter)^2)/(2*EvSigma^2))))),"")</f>
        <v/>
      </c>
      <c r="O2583">
        <f>IF(B2583,ROUND(MAX(0,J2583*K2583*L2583*M2583*N2583),2),"")</f>
        <v/>
      </c>
    </row>
    <row r="2584">
      <c r="A2584" t="n">
        <v>2583</v>
      </c>
      <c r="B2584">
        <f>A2584&lt;=MineCount*Days</f>
        <v/>
      </c>
      <c r="C2584">
        <f>IF(B2584,INT((A2584-1)/Days)+1,"")</f>
        <v/>
      </c>
      <c r="D2584">
        <f>IF(B2584,MOD(A2584-1,Days),"")</f>
        <v/>
      </c>
      <c r="E2584" s="16">
        <f>IF(B2584,StartDate+D2584,"")</f>
        <v/>
      </c>
      <c r="F2584">
        <f>IF(B2584,MAX(MOD(SIN(Seed*0.1373+C2584*12.9898+D2584*78.233)*43758.5453,1),1E-9),"")</f>
        <v/>
      </c>
      <c r="G2584">
        <f>IF(B2584,MOD(SIN(Seed*0.5917+C2584*39.3468+D2584*11.135)*24634.6345,1),"")</f>
        <v/>
      </c>
      <c r="H2584">
        <f>IF(B2584,SQRT(-2*LN(F2584))*COS(2*PI()*G2584),"")</f>
        <v/>
      </c>
      <c r="I2584">
        <f>IF(B2584,IF(D2584=0,H2584,Rho*I2583+SQRT(1-Rho^2)*H2584),"")</f>
        <v/>
      </c>
      <c r="J2584">
        <f>IF(B2584,IF(Dist="Normal",DistA+DistB*I2584,DistA+(DistB-DistA)*NORMSDIST(I2584)),"")</f>
        <v/>
      </c>
      <c r="K2584">
        <f>IF(B2584,INDEX(MineScale,C2584),"")</f>
        <v/>
      </c>
      <c r="L2584">
        <f>IF(B2584,INDEX(Dow,1,WEEKDAY(E2584,2)),"")</f>
        <v/>
      </c>
      <c r="M2584">
        <f>IF(B2584,(1+Trend)^D2584,"")</f>
        <v/>
      </c>
      <c r="N2584">
        <f>IF(B2584,EXP(SUMPRODUCT(LN(1+(EvEff-1)*INDEX(Affected,0,C2584)*EXP(-((E2584-EvCenter)^2)/(2*EvSigma^2))))),"")</f>
        <v/>
      </c>
      <c r="O2584">
        <f>IF(B2584,ROUND(MAX(0,J2584*K2584*L2584*M2584*N2584),2),"")</f>
        <v/>
      </c>
    </row>
    <row r="2585">
      <c r="A2585" t="n">
        <v>2584</v>
      </c>
      <c r="B2585">
        <f>A2585&lt;=MineCount*Days</f>
        <v/>
      </c>
      <c r="C2585">
        <f>IF(B2585,INT((A2585-1)/Days)+1,"")</f>
        <v/>
      </c>
      <c r="D2585">
        <f>IF(B2585,MOD(A2585-1,Days),"")</f>
        <v/>
      </c>
      <c r="E2585" s="16">
        <f>IF(B2585,StartDate+D2585,"")</f>
        <v/>
      </c>
      <c r="F2585">
        <f>IF(B2585,MAX(MOD(SIN(Seed*0.1373+C2585*12.9898+D2585*78.233)*43758.5453,1),1E-9),"")</f>
        <v/>
      </c>
      <c r="G2585">
        <f>IF(B2585,MOD(SIN(Seed*0.5917+C2585*39.3468+D2585*11.135)*24634.6345,1),"")</f>
        <v/>
      </c>
      <c r="H2585">
        <f>IF(B2585,SQRT(-2*LN(F2585))*COS(2*PI()*G2585),"")</f>
        <v/>
      </c>
      <c r="I2585">
        <f>IF(B2585,IF(D2585=0,H2585,Rho*I2584+SQRT(1-Rho^2)*H2585),"")</f>
        <v/>
      </c>
      <c r="J2585">
        <f>IF(B2585,IF(Dist="Normal",DistA+DistB*I2585,DistA+(DistB-DistA)*NORMSDIST(I2585)),"")</f>
        <v/>
      </c>
      <c r="K2585">
        <f>IF(B2585,INDEX(MineScale,C2585),"")</f>
        <v/>
      </c>
      <c r="L2585">
        <f>IF(B2585,INDEX(Dow,1,WEEKDAY(E2585,2)),"")</f>
        <v/>
      </c>
      <c r="M2585">
        <f>IF(B2585,(1+Trend)^D2585,"")</f>
        <v/>
      </c>
      <c r="N2585">
        <f>IF(B2585,EXP(SUMPRODUCT(LN(1+(EvEff-1)*INDEX(Affected,0,C2585)*EXP(-((E2585-EvCenter)^2)/(2*EvSigma^2))))),"")</f>
        <v/>
      </c>
      <c r="O2585">
        <f>IF(B2585,ROUND(MAX(0,J2585*K2585*L2585*M2585*N2585),2),"")</f>
        <v/>
      </c>
    </row>
    <row r="2586">
      <c r="A2586" t="n">
        <v>2585</v>
      </c>
      <c r="B2586">
        <f>A2586&lt;=MineCount*Days</f>
        <v/>
      </c>
      <c r="C2586">
        <f>IF(B2586,INT((A2586-1)/Days)+1,"")</f>
        <v/>
      </c>
      <c r="D2586">
        <f>IF(B2586,MOD(A2586-1,Days),"")</f>
        <v/>
      </c>
      <c r="E2586" s="16">
        <f>IF(B2586,StartDate+D2586,"")</f>
        <v/>
      </c>
      <c r="F2586">
        <f>IF(B2586,MAX(MOD(SIN(Seed*0.1373+C2586*12.9898+D2586*78.233)*43758.5453,1),1E-9),"")</f>
        <v/>
      </c>
      <c r="G2586">
        <f>IF(B2586,MOD(SIN(Seed*0.5917+C2586*39.3468+D2586*11.135)*24634.6345,1),"")</f>
        <v/>
      </c>
      <c r="H2586">
        <f>IF(B2586,SQRT(-2*LN(F2586))*COS(2*PI()*G2586),"")</f>
        <v/>
      </c>
      <c r="I2586">
        <f>IF(B2586,IF(D2586=0,H2586,Rho*I2585+SQRT(1-Rho^2)*H2586),"")</f>
        <v/>
      </c>
      <c r="J2586">
        <f>IF(B2586,IF(Dist="Normal",DistA+DistB*I2586,DistA+(DistB-DistA)*NORMSDIST(I2586)),"")</f>
        <v/>
      </c>
      <c r="K2586">
        <f>IF(B2586,INDEX(MineScale,C2586),"")</f>
        <v/>
      </c>
      <c r="L2586">
        <f>IF(B2586,INDEX(Dow,1,WEEKDAY(E2586,2)),"")</f>
        <v/>
      </c>
      <c r="M2586">
        <f>IF(B2586,(1+Trend)^D2586,"")</f>
        <v/>
      </c>
      <c r="N2586">
        <f>IF(B2586,EXP(SUMPRODUCT(LN(1+(EvEff-1)*INDEX(Affected,0,C2586)*EXP(-((E2586-EvCenter)^2)/(2*EvSigma^2))))),"")</f>
        <v/>
      </c>
      <c r="O2586">
        <f>IF(B2586,ROUND(MAX(0,J2586*K2586*L2586*M2586*N2586),2),"")</f>
        <v/>
      </c>
    </row>
    <row r="2587">
      <c r="A2587" t="n">
        <v>2586</v>
      </c>
      <c r="B2587">
        <f>A2587&lt;=MineCount*Days</f>
        <v/>
      </c>
      <c r="C2587">
        <f>IF(B2587,INT((A2587-1)/Days)+1,"")</f>
        <v/>
      </c>
      <c r="D2587">
        <f>IF(B2587,MOD(A2587-1,Days),"")</f>
        <v/>
      </c>
      <c r="E2587" s="16">
        <f>IF(B2587,StartDate+D2587,"")</f>
        <v/>
      </c>
      <c r="F2587">
        <f>IF(B2587,MAX(MOD(SIN(Seed*0.1373+C2587*12.9898+D2587*78.233)*43758.5453,1),1E-9),"")</f>
        <v/>
      </c>
      <c r="G2587">
        <f>IF(B2587,MOD(SIN(Seed*0.5917+C2587*39.3468+D2587*11.135)*24634.6345,1),"")</f>
        <v/>
      </c>
      <c r="H2587">
        <f>IF(B2587,SQRT(-2*LN(F2587))*COS(2*PI()*G2587),"")</f>
        <v/>
      </c>
      <c r="I2587">
        <f>IF(B2587,IF(D2587=0,H2587,Rho*I2586+SQRT(1-Rho^2)*H2587),"")</f>
        <v/>
      </c>
      <c r="J2587">
        <f>IF(B2587,IF(Dist="Normal",DistA+DistB*I2587,DistA+(DistB-DistA)*NORMSDIST(I2587)),"")</f>
        <v/>
      </c>
      <c r="K2587">
        <f>IF(B2587,INDEX(MineScale,C2587),"")</f>
        <v/>
      </c>
      <c r="L2587">
        <f>IF(B2587,INDEX(Dow,1,WEEKDAY(E2587,2)),"")</f>
        <v/>
      </c>
      <c r="M2587">
        <f>IF(B2587,(1+Trend)^D2587,"")</f>
        <v/>
      </c>
      <c r="N2587">
        <f>IF(B2587,EXP(SUMPRODUCT(LN(1+(EvEff-1)*INDEX(Affected,0,C2587)*EXP(-((E2587-EvCenter)^2)/(2*EvSigma^2))))),"")</f>
        <v/>
      </c>
      <c r="O2587">
        <f>IF(B2587,ROUND(MAX(0,J2587*K2587*L2587*M2587*N2587),2),"")</f>
        <v/>
      </c>
    </row>
    <row r="2588">
      <c r="A2588" t="n">
        <v>2587</v>
      </c>
      <c r="B2588">
        <f>A2588&lt;=MineCount*Days</f>
        <v/>
      </c>
      <c r="C2588">
        <f>IF(B2588,INT((A2588-1)/Days)+1,"")</f>
        <v/>
      </c>
      <c r="D2588">
        <f>IF(B2588,MOD(A2588-1,Days),"")</f>
        <v/>
      </c>
      <c r="E2588" s="16">
        <f>IF(B2588,StartDate+D2588,"")</f>
        <v/>
      </c>
      <c r="F2588">
        <f>IF(B2588,MAX(MOD(SIN(Seed*0.1373+C2588*12.9898+D2588*78.233)*43758.5453,1),1E-9),"")</f>
        <v/>
      </c>
      <c r="G2588">
        <f>IF(B2588,MOD(SIN(Seed*0.5917+C2588*39.3468+D2588*11.135)*24634.6345,1),"")</f>
        <v/>
      </c>
      <c r="H2588">
        <f>IF(B2588,SQRT(-2*LN(F2588))*COS(2*PI()*G2588),"")</f>
        <v/>
      </c>
      <c r="I2588">
        <f>IF(B2588,IF(D2588=0,H2588,Rho*I2587+SQRT(1-Rho^2)*H2588),"")</f>
        <v/>
      </c>
      <c r="J2588">
        <f>IF(B2588,IF(Dist="Normal",DistA+DistB*I2588,DistA+(DistB-DistA)*NORMSDIST(I2588)),"")</f>
        <v/>
      </c>
      <c r="K2588">
        <f>IF(B2588,INDEX(MineScale,C2588),"")</f>
        <v/>
      </c>
      <c r="L2588">
        <f>IF(B2588,INDEX(Dow,1,WEEKDAY(E2588,2)),"")</f>
        <v/>
      </c>
      <c r="M2588">
        <f>IF(B2588,(1+Trend)^D2588,"")</f>
        <v/>
      </c>
      <c r="N2588">
        <f>IF(B2588,EXP(SUMPRODUCT(LN(1+(EvEff-1)*INDEX(Affected,0,C2588)*EXP(-((E2588-EvCenter)^2)/(2*EvSigma^2))))),"")</f>
        <v/>
      </c>
      <c r="O2588">
        <f>IF(B2588,ROUND(MAX(0,J2588*K2588*L2588*M2588*N2588),2),"")</f>
        <v/>
      </c>
    </row>
    <row r="2589">
      <c r="A2589" t="n">
        <v>2588</v>
      </c>
      <c r="B2589">
        <f>A2589&lt;=MineCount*Days</f>
        <v/>
      </c>
      <c r="C2589">
        <f>IF(B2589,INT((A2589-1)/Days)+1,"")</f>
        <v/>
      </c>
      <c r="D2589">
        <f>IF(B2589,MOD(A2589-1,Days),"")</f>
        <v/>
      </c>
      <c r="E2589" s="16">
        <f>IF(B2589,StartDate+D2589,"")</f>
        <v/>
      </c>
      <c r="F2589">
        <f>IF(B2589,MAX(MOD(SIN(Seed*0.1373+C2589*12.9898+D2589*78.233)*43758.5453,1),1E-9),"")</f>
        <v/>
      </c>
      <c r="G2589">
        <f>IF(B2589,MOD(SIN(Seed*0.5917+C2589*39.3468+D2589*11.135)*24634.6345,1),"")</f>
        <v/>
      </c>
      <c r="H2589">
        <f>IF(B2589,SQRT(-2*LN(F2589))*COS(2*PI()*G2589),"")</f>
        <v/>
      </c>
      <c r="I2589">
        <f>IF(B2589,IF(D2589=0,H2589,Rho*I2588+SQRT(1-Rho^2)*H2589),"")</f>
        <v/>
      </c>
      <c r="J2589">
        <f>IF(B2589,IF(Dist="Normal",DistA+DistB*I2589,DistA+(DistB-DistA)*NORMSDIST(I2589)),"")</f>
        <v/>
      </c>
      <c r="K2589">
        <f>IF(B2589,INDEX(MineScale,C2589),"")</f>
        <v/>
      </c>
      <c r="L2589">
        <f>IF(B2589,INDEX(Dow,1,WEEKDAY(E2589,2)),"")</f>
        <v/>
      </c>
      <c r="M2589">
        <f>IF(B2589,(1+Trend)^D2589,"")</f>
        <v/>
      </c>
      <c r="N2589">
        <f>IF(B2589,EXP(SUMPRODUCT(LN(1+(EvEff-1)*INDEX(Affected,0,C2589)*EXP(-((E2589-EvCenter)^2)/(2*EvSigma^2))))),"")</f>
        <v/>
      </c>
      <c r="O2589">
        <f>IF(B2589,ROUND(MAX(0,J2589*K2589*L2589*M2589*N2589),2),"")</f>
        <v/>
      </c>
    </row>
    <row r="2590">
      <c r="A2590" t="n">
        <v>2589</v>
      </c>
      <c r="B2590">
        <f>A2590&lt;=MineCount*Days</f>
        <v/>
      </c>
      <c r="C2590">
        <f>IF(B2590,INT((A2590-1)/Days)+1,"")</f>
        <v/>
      </c>
      <c r="D2590">
        <f>IF(B2590,MOD(A2590-1,Days),"")</f>
        <v/>
      </c>
      <c r="E2590" s="16">
        <f>IF(B2590,StartDate+D2590,"")</f>
        <v/>
      </c>
      <c r="F2590">
        <f>IF(B2590,MAX(MOD(SIN(Seed*0.1373+C2590*12.9898+D2590*78.233)*43758.5453,1),1E-9),"")</f>
        <v/>
      </c>
      <c r="G2590">
        <f>IF(B2590,MOD(SIN(Seed*0.5917+C2590*39.3468+D2590*11.135)*24634.6345,1),"")</f>
        <v/>
      </c>
      <c r="H2590">
        <f>IF(B2590,SQRT(-2*LN(F2590))*COS(2*PI()*G2590),"")</f>
        <v/>
      </c>
      <c r="I2590">
        <f>IF(B2590,IF(D2590=0,H2590,Rho*I2589+SQRT(1-Rho^2)*H2590),"")</f>
        <v/>
      </c>
      <c r="J2590">
        <f>IF(B2590,IF(Dist="Normal",DistA+DistB*I2590,DistA+(DistB-DistA)*NORMSDIST(I2590)),"")</f>
        <v/>
      </c>
      <c r="K2590">
        <f>IF(B2590,INDEX(MineScale,C2590),"")</f>
        <v/>
      </c>
      <c r="L2590">
        <f>IF(B2590,INDEX(Dow,1,WEEKDAY(E2590,2)),"")</f>
        <v/>
      </c>
      <c r="M2590">
        <f>IF(B2590,(1+Trend)^D2590,"")</f>
        <v/>
      </c>
      <c r="N2590">
        <f>IF(B2590,EXP(SUMPRODUCT(LN(1+(EvEff-1)*INDEX(Affected,0,C2590)*EXP(-((E2590-EvCenter)^2)/(2*EvSigma^2))))),"")</f>
        <v/>
      </c>
      <c r="O2590">
        <f>IF(B2590,ROUND(MAX(0,J2590*K2590*L2590*M2590*N2590),2),"")</f>
        <v/>
      </c>
    </row>
    <row r="2591">
      <c r="A2591" t="n">
        <v>2590</v>
      </c>
      <c r="B2591">
        <f>A2591&lt;=MineCount*Days</f>
        <v/>
      </c>
      <c r="C2591">
        <f>IF(B2591,INT((A2591-1)/Days)+1,"")</f>
        <v/>
      </c>
      <c r="D2591">
        <f>IF(B2591,MOD(A2591-1,Days),"")</f>
        <v/>
      </c>
      <c r="E2591" s="16">
        <f>IF(B2591,StartDate+D2591,"")</f>
        <v/>
      </c>
      <c r="F2591">
        <f>IF(B2591,MAX(MOD(SIN(Seed*0.1373+C2591*12.9898+D2591*78.233)*43758.5453,1),1E-9),"")</f>
        <v/>
      </c>
      <c r="G2591">
        <f>IF(B2591,MOD(SIN(Seed*0.5917+C2591*39.3468+D2591*11.135)*24634.6345,1),"")</f>
        <v/>
      </c>
      <c r="H2591">
        <f>IF(B2591,SQRT(-2*LN(F2591))*COS(2*PI()*G2591),"")</f>
        <v/>
      </c>
      <c r="I2591">
        <f>IF(B2591,IF(D2591=0,H2591,Rho*I2590+SQRT(1-Rho^2)*H2591),"")</f>
        <v/>
      </c>
      <c r="J2591">
        <f>IF(B2591,IF(Dist="Normal",DistA+DistB*I2591,DistA+(DistB-DistA)*NORMSDIST(I2591)),"")</f>
        <v/>
      </c>
      <c r="K2591">
        <f>IF(B2591,INDEX(MineScale,C2591),"")</f>
        <v/>
      </c>
      <c r="L2591">
        <f>IF(B2591,INDEX(Dow,1,WEEKDAY(E2591,2)),"")</f>
        <v/>
      </c>
      <c r="M2591">
        <f>IF(B2591,(1+Trend)^D2591,"")</f>
        <v/>
      </c>
      <c r="N2591">
        <f>IF(B2591,EXP(SUMPRODUCT(LN(1+(EvEff-1)*INDEX(Affected,0,C2591)*EXP(-((E2591-EvCenter)^2)/(2*EvSigma^2))))),"")</f>
        <v/>
      </c>
      <c r="O2591">
        <f>IF(B2591,ROUND(MAX(0,J2591*K2591*L2591*M2591*N2591),2),"")</f>
        <v/>
      </c>
    </row>
    <row r="2592">
      <c r="A2592" t="n">
        <v>2591</v>
      </c>
      <c r="B2592">
        <f>A2592&lt;=MineCount*Days</f>
        <v/>
      </c>
      <c r="C2592">
        <f>IF(B2592,INT((A2592-1)/Days)+1,"")</f>
        <v/>
      </c>
      <c r="D2592">
        <f>IF(B2592,MOD(A2592-1,Days),"")</f>
        <v/>
      </c>
      <c r="E2592" s="16">
        <f>IF(B2592,StartDate+D2592,"")</f>
        <v/>
      </c>
      <c r="F2592">
        <f>IF(B2592,MAX(MOD(SIN(Seed*0.1373+C2592*12.9898+D2592*78.233)*43758.5453,1),1E-9),"")</f>
        <v/>
      </c>
      <c r="G2592">
        <f>IF(B2592,MOD(SIN(Seed*0.5917+C2592*39.3468+D2592*11.135)*24634.6345,1),"")</f>
        <v/>
      </c>
      <c r="H2592">
        <f>IF(B2592,SQRT(-2*LN(F2592))*COS(2*PI()*G2592),"")</f>
        <v/>
      </c>
      <c r="I2592">
        <f>IF(B2592,IF(D2592=0,H2592,Rho*I2591+SQRT(1-Rho^2)*H2592),"")</f>
        <v/>
      </c>
      <c r="J2592">
        <f>IF(B2592,IF(Dist="Normal",DistA+DistB*I2592,DistA+(DistB-DistA)*NORMSDIST(I2592)),"")</f>
        <v/>
      </c>
      <c r="K2592">
        <f>IF(B2592,INDEX(MineScale,C2592),"")</f>
        <v/>
      </c>
      <c r="L2592">
        <f>IF(B2592,INDEX(Dow,1,WEEKDAY(E2592,2)),"")</f>
        <v/>
      </c>
      <c r="M2592">
        <f>IF(B2592,(1+Trend)^D2592,"")</f>
        <v/>
      </c>
      <c r="N2592">
        <f>IF(B2592,EXP(SUMPRODUCT(LN(1+(EvEff-1)*INDEX(Affected,0,C2592)*EXP(-((E2592-EvCenter)^2)/(2*EvSigma^2))))),"")</f>
        <v/>
      </c>
      <c r="O2592">
        <f>IF(B2592,ROUND(MAX(0,J2592*K2592*L2592*M2592*N2592),2),"")</f>
        <v/>
      </c>
    </row>
    <row r="2593">
      <c r="A2593" t="n">
        <v>2592</v>
      </c>
      <c r="B2593">
        <f>A2593&lt;=MineCount*Days</f>
        <v/>
      </c>
      <c r="C2593">
        <f>IF(B2593,INT((A2593-1)/Days)+1,"")</f>
        <v/>
      </c>
      <c r="D2593">
        <f>IF(B2593,MOD(A2593-1,Days),"")</f>
        <v/>
      </c>
      <c r="E2593" s="16">
        <f>IF(B2593,StartDate+D2593,"")</f>
        <v/>
      </c>
      <c r="F2593">
        <f>IF(B2593,MAX(MOD(SIN(Seed*0.1373+C2593*12.9898+D2593*78.233)*43758.5453,1),1E-9),"")</f>
        <v/>
      </c>
      <c r="G2593">
        <f>IF(B2593,MOD(SIN(Seed*0.5917+C2593*39.3468+D2593*11.135)*24634.6345,1),"")</f>
        <v/>
      </c>
      <c r="H2593">
        <f>IF(B2593,SQRT(-2*LN(F2593))*COS(2*PI()*G2593),"")</f>
        <v/>
      </c>
      <c r="I2593">
        <f>IF(B2593,IF(D2593=0,H2593,Rho*I2592+SQRT(1-Rho^2)*H2593),"")</f>
        <v/>
      </c>
      <c r="J2593">
        <f>IF(B2593,IF(Dist="Normal",DistA+DistB*I2593,DistA+(DistB-DistA)*NORMSDIST(I2593)),"")</f>
        <v/>
      </c>
      <c r="K2593">
        <f>IF(B2593,INDEX(MineScale,C2593),"")</f>
        <v/>
      </c>
      <c r="L2593">
        <f>IF(B2593,INDEX(Dow,1,WEEKDAY(E2593,2)),"")</f>
        <v/>
      </c>
      <c r="M2593">
        <f>IF(B2593,(1+Trend)^D2593,"")</f>
        <v/>
      </c>
      <c r="N2593">
        <f>IF(B2593,EXP(SUMPRODUCT(LN(1+(EvEff-1)*INDEX(Affected,0,C2593)*EXP(-((E2593-EvCenter)^2)/(2*EvSigma^2))))),"")</f>
        <v/>
      </c>
      <c r="O2593">
        <f>IF(B2593,ROUND(MAX(0,J2593*K2593*L2593*M2593*N2593),2),"")</f>
        <v/>
      </c>
    </row>
    <row r="2594">
      <c r="A2594" t="n">
        <v>2593</v>
      </c>
      <c r="B2594">
        <f>A2594&lt;=MineCount*Days</f>
        <v/>
      </c>
      <c r="C2594">
        <f>IF(B2594,INT((A2594-1)/Days)+1,"")</f>
        <v/>
      </c>
      <c r="D2594">
        <f>IF(B2594,MOD(A2594-1,Days),"")</f>
        <v/>
      </c>
      <c r="E2594" s="16">
        <f>IF(B2594,StartDate+D2594,"")</f>
        <v/>
      </c>
      <c r="F2594">
        <f>IF(B2594,MAX(MOD(SIN(Seed*0.1373+C2594*12.9898+D2594*78.233)*43758.5453,1),1E-9),"")</f>
        <v/>
      </c>
      <c r="G2594">
        <f>IF(B2594,MOD(SIN(Seed*0.5917+C2594*39.3468+D2594*11.135)*24634.6345,1),"")</f>
        <v/>
      </c>
      <c r="H2594">
        <f>IF(B2594,SQRT(-2*LN(F2594))*COS(2*PI()*G2594),"")</f>
        <v/>
      </c>
      <c r="I2594">
        <f>IF(B2594,IF(D2594=0,H2594,Rho*I2593+SQRT(1-Rho^2)*H2594),"")</f>
        <v/>
      </c>
      <c r="J2594">
        <f>IF(B2594,IF(Dist="Normal",DistA+DistB*I2594,DistA+(DistB-DistA)*NORMSDIST(I2594)),"")</f>
        <v/>
      </c>
      <c r="K2594">
        <f>IF(B2594,INDEX(MineScale,C2594),"")</f>
        <v/>
      </c>
      <c r="L2594">
        <f>IF(B2594,INDEX(Dow,1,WEEKDAY(E2594,2)),"")</f>
        <v/>
      </c>
      <c r="M2594">
        <f>IF(B2594,(1+Trend)^D2594,"")</f>
        <v/>
      </c>
      <c r="N2594">
        <f>IF(B2594,EXP(SUMPRODUCT(LN(1+(EvEff-1)*INDEX(Affected,0,C2594)*EXP(-((E2594-EvCenter)^2)/(2*EvSigma^2))))),"")</f>
        <v/>
      </c>
      <c r="O2594">
        <f>IF(B2594,ROUND(MAX(0,J2594*K2594*L2594*M2594*N2594),2),"")</f>
        <v/>
      </c>
    </row>
    <row r="2595">
      <c r="A2595" t="n">
        <v>2594</v>
      </c>
      <c r="B2595">
        <f>A2595&lt;=MineCount*Days</f>
        <v/>
      </c>
      <c r="C2595">
        <f>IF(B2595,INT((A2595-1)/Days)+1,"")</f>
        <v/>
      </c>
      <c r="D2595">
        <f>IF(B2595,MOD(A2595-1,Days),"")</f>
        <v/>
      </c>
      <c r="E2595" s="16">
        <f>IF(B2595,StartDate+D2595,"")</f>
        <v/>
      </c>
      <c r="F2595">
        <f>IF(B2595,MAX(MOD(SIN(Seed*0.1373+C2595*12.9898+D2595*78.233)*43758.5453,1),1E-9),"")</f>
        <v/>
      </c>
      <c r="G2595">
        <f>IF(B2595,MOD(SIN(Seed*0.5917+C2595*39.3468+D2595*11.135)*24634.6345,1),"")</f>
        <v/>
      </c>
      <c r="H2595">
        <f>IF(B2595,SQRT(-2*LN(F2595))*COS(2*PI()*G2595),"")</f>
        <v/>
      </c>
      <c r="I2595">
        <f>IF(B2595,IF(D2595=0,H2595,Rho*I2594+SQRT(1-Rho^2)*H2595),"")</f>
        <v/>
      </c>
      <c r="J2595">
        <f>IF(B2595,IF(Dist="Normal",DistA+DistB*I2595,DistA+(DistB-DistA)*NORMSDIST(I2595)),"")</f>
        <v/>
      </c>
      <c r="K2595">
        <f>IF(B2595,INDEX(MineScale,C2595),"")</f>
        <v/>
      </c>
      <c r="L2595">
        <f>IF(B2595,INDEX(Dow,1,WEEKDAY(E2595,2)),"")</f>
        <v/>
      </c>
      <c r="M2595">
        <f>IF(B2595,(1+Trend)^D2595,"")</f>
        <v/>
      </c>
      <c r="N2595">
        <f>IF(B2595,EXP(SUMPRODUCT(LN(1+(EvEff-1)*INDEX(Affected,0,C2595)*EXP(-((E2595-EvCenter)^2)/(2*EvSigma^2))))),"")</f>
        <v/>
      </c>
      <c r="O2595">
        <f>IF(B2595,ROUND(MAX(0,J2595*K2595*L2595*M2595*N2595),2),"")</f>
        <v/>
      </c>
    </row>
    <row r="2596">
      <c r="A2596" t="n">
        <v>2595</v>
      </c>
      <c r="B2596">
        <f>A2596&lt;=MineCount*Days</f>
        <v/>
      </c>
      <c r="C2596">
        <f>IF(B2596,INT((A2596-1)/Days)+1,"")</f>
        <v/>
      </c>
      <c r="D2596">
        <f>IF(B2596,MOD(A2596-1,Days),"")</f>
        <v/>
      </c>
      <c r="E2596" s="16">
        <f>IF(B2596,StartDate+D2596,"")</f>
        <v/>
      </c>
      <c r="F2596">
        <f>IF(B2596,MAX(MOD(SIN(Seed*0.1373+C2596*12.9898+D2596*78.233)*43758.5453,1),1E-9),"")</f>
        <v/>
      </c>
      <c r="G2596">
        <f>IF(B2596,MOD(SIN(Seed*0.5917+C2596*39.3468+D2596*11.135)*24634.6345,1),"")</f>
        <v/>
      </c>
      <c r="H2596">
        <f>IF(B2596,SQRT(-2*LN(F2596))*COS(2*PI()*G2596),"")</f>
        <v/>
      </c>
      <c r="I2596">
        <f>IF(B2596,IF(D2596=0,H2596,Rho*I2595+SQRT(1-Rho^2)*H2596),"")</f>
        <v/>
      </c>
      <c r="J2596">
        <f>IF(B2596,IF(Dist="Normal",DistA+DistB*I2596,DistA+(DistB-DistA)*NORMSDIST(I2596)),"")</f>
        <v/>
      </c>
      <c r="K2596">
        <f>IF(B2596,INDEX(MineScale,C2596),"")</f>
        <v/>
      </c>
      <c r="L2596">
        <f>IF(B2596,INDEX(Dow,1,WEEKDAY(E2596,2)),"")</f>
        <v/>
      </c>
      <c r="M2596">
        <f>IF(B2596,(1+Trend)^D2596,"")</f>
        <v/>
      </c>
      <c r="N2596">
        <f>IF(B2596,EXP(SUMPRODUCT(LN(1+(EvEff-1)*INDEX(Affected,0,C2596)*EXP(-((E2596-EvCenter)^2)/(2*EvSigma^2))))),"")</f>
        <v/>
      </c>
      <c r="O2596">
        <f>IF(B2596,ROUND(MAX(0,J2596*K2596*L2596*M2596*N2596),2),"")</f>
        <v/>
      </c>
    </row>
    <row r="2597">
      <c r="A2597" t="n">
        <v>2596</v>
      </c>
      <c r="B2597">
        <f>A2597&lt;=MineCount*Days</f>
        <v/>
      </c>
      <c r="C2597">
        <f>IF(B2597,INT((A2597-1)/Days)+1,"")</f>
        <v/>
      </c>
      <c r="D2597">
        <f>IF(B2597,MOD(A2597-1,Days),"")</f>
        <v/>
      </c>
      <c r="E2597" s="16">
        <f>IF(B2597,StartDate+D2597,"")</f>
        <v/>
      </c>
      <c r="F2597">
        <f>IF(B2597,MAX(MOD(SIN(Seed*0.1373+C2597*12.9898+D2597*78.233)*43758.5453,1),1E-9),"")</f>
        <v/>
      </c>
      <c r="G2597">
        <f>IF(B2597,MOD(SIN(Seed*0.5917+C2597*39.3468+D2597*11.135)*24634.6345,1),"")</f>
        <v/>
      </c>
      <c r="H2597">
        <f>IF(B2597,SQRT(-2*LN(F2597))*COS(2*PI()*G2597),"")</f>
        <v/>
      </c>
      <c r="I2597">
        <f>IF(B2597,IF(D2597=0,H2597,Rho*I2596+SQRT(1-Rho^2)*H2597),"")</f>
        <v/>
      </c>
      <c r="J2597">
        <f>IF(B2597,IF(Dist="Normal",DistA+DistB*I2597,DistA+(DistB-DistA)*NORMSDIST(I2597)),"")</f>
        <v/>
      </c>
      <c r="K2597">
        <f>IF(B2597,INDEX(MineScale,C2597),"")</f>
        <v/>
      </c>
      <c r="L2597">
        <f>IF(B2597,INDEX(Dow,1,WEEKDAY(E2597,2)),"")</f>
        <v/>
      </c>
      <c r="M2597">
        <f>IF(B2597,(1+Trend)^D2597,"")</f>
        <v/>
      </c>
      <c r="N2597">
        <f>IF(B2597,EXP(SUMPRODUCT(LN(1+(EvEff-1)*INDEX(Affected,0,C2597)*EXP(-((E2597-EvCenter)^2)/(2*EvSigma^2))))),"")</f>
        <v/>
      </c>
      <c r="O2597">
        <f>IF(B2597,ROUND(MAX(0,J2597*K2597*L2597*M2597*N2597),2),"")</f>
        <v/>
      </c>
    </row>
    <row r="2598">
      <c r="A2598" t="n">
        <v>2597</v>
      </c>
      <c r="B2598">
        <f>A2598&lt;=MineCount*Days</f>
        <v/>
      </c>
      <c r="C2598">
        <f>IF(B2598,INT((A2598-1)/Days)+1,"")</f>
        <v/>
      </c>
      <c r="D2598">
        <f>IF(B2598,MOD(A2598-1,Days),"")</f>
        <v/>
      </c>
      <c r="E2598" s="16">
        <f>IF(B2598,StartDate+D2598,"")</f>
        <v/>
      </c>
      <c r="F2598">
        <f>IF(B2598,MAX(MOD(SIN(Seed*0.1373+C2598*12.9898+D2598*78.233)*43758.5453,1),1E-9),"")</f>
        <v/>
      </c>
      <c r="G2598">
        <f>IF(B2598,MOD(SIN(Seed*0.5917+C2598*39.3468+D2598*11.135)*24634.6345,1),"")</f>
        <v/>
      </c>
      <c r="H2598">
        <f>IF(B2598,SQRT(-2*LN(F2598))*COS(2*PI()*G2598),"")</f>
        <v/>
      </c>
      <c r="I2598">
        <f>IF(B2598,IF(D2598=0,H2598,Rho*I2597+SQRT(1-Rho^2)*H2598),"")</f>
        <v/>
      </c>
      <c r="J2598">
        <f>IF(B2598,IF(Dist="Normal",DistA+DistB*I2598,DistA+(DistB-DistA)*NORMSDIST(I2598)),"")</f>
        <v/>
      </c>
      <c r="K2598">
        <f>IF(B2598,INDEX(MineScale,C2598),"")</f>
        <v/>
      </c>
      <c r="L2598">
        <f>IF(B2598,INDEX(Dow,1,WEEKDAY(E2598,2)),"")</f>
        <v/>
      </c>
      <c r="M2598">
        <f>IF(B2598,(1+Trend)^D2598,"")</f>
        <v/>
      </c>
      <c r="N2598">
        <f>IF(B2598,EXP(SUMPRODUCT(LN(1+(EvEff-1)*INDEX(Affected,0,C2598)*EXP(-((E2598-EvCenter)^2)/(2*EvSigma^2))))),"")</f>
        <v/>
      </c>
      <c r="O2598">
        <f>IF(B2598,ROUND(MAX(0,J2598*K2598*L2598*M2598*N2598),2),"")</f>
        <v/>
      </c>
    </row>
    <row r="2599">
      <c r="A2599" t="n">
        <v>2598</v>
      </c>
      <c r="B2599">
        <f>A2599&lt;=MineCount*Days</f>
        <v/>
      </c>
      <c r="C2599">
        <f>IF(B2599,INT((A2599-1)/Days)+1,"")</f>
        <v/>
      </c>
      <c r="D2599">
        <f>IF(B2599,MOD(A2599-1,Days),"")</f>
        <v/>
      </c>
      <c r="E2599" s="16">
        <f>IF(B2599,StartDate+D2599,"")</f>
        <v/>
      </c>
      <c r="F2599">
        <f>IF(B2599,MAX(MOD(SIN(Seed*0.1373+C2599*12.9898+D2599*78.233)*43758.5453,1),1E-9),"")</f>
        <v/>
      </c>
      <c r="G2599">
        <f>IF(B2599,MOD(SIN(Seed*0.5917+C2599*39.3468+D2599*11.135)*24634.6345,1),"")</f>
        <v/>
      </c>
      <c r="H2599">
        <f>IF(B2599,SQRT(-2*LN(F2599))*COS(2*PI()*G2599),"")</f>
        <v/>
      </c>
      <c r="I2599">
        <f>IF(B2599,IF(D2599=0,H2599,Rho*I2598+SQRT(1-Rho^2)*H2599),"")</f>
        <v/>
      </c>
      <c r="J2599">
        <f>IF(B2599,IF(Dist="Normal",DistA+DistB*I2599,DistA+(DistB-DistA)*NORMSDIST(I2599)),"")</f>
        <v/>
      </c>
      <c r="K2599">
        <f>IF(B2599,INDEX(MineScale,C2599),"")</f>
        <v/>
      </c>
      <c r="L2599">
        <f>IF(B2599,INDEX(Dow,1,WEEKDAY(E2599,2)),"")</f>
        <v/>
      </c>
      <c r="M2599">
        <f>IF(B2599,(1+Trend)^D2599,"")</f>
        <v/>
      </c>
      <c r="N2599">
        <f>IF(B2599,EXP(SUMPRODUCT(LN(1+(EvEff-1)*INDEX(Affected,0,C2599)*EXP(-((E2599-EvCenter)^2)/(2*EvSigma^2))))),"")</f>
        <v/>
      </c>
      <c r="O2599">
        <f>IF(B2599,ROUND(MAX(0,J2599*K2599*L2599*M2599*N2599),2),"")</f>
        <v/>
      </c>
    </row>
    <row r="2600">
      <c r="A2600" t="n">
        <v>2599</v>
      </c>
      <c r="B2600">
        <f>A2600&lt;=MineCount*Days</f>
        <v/>
      </c>
      <c r="C2600">
        <f>IF(B2600,INT((A2600-1)/Days)+1,"")</f>
        <v/>
      </c>
      <c r="D2600">
        <f>IF(B2600,MOD(A2600-1,Days),"")</f>
        <v/>
      </c>
      <c r="E2600" s="16">
        <f>IF(B2600,StartDate+D2600,"")</f>
        <v/>
      </c>
      <c r="F2600">
        <f>IF(B2600,MAX(MOD(SIN(Seed*0.1373+C2600*12.9898+D2600*78.233)*43758.5453,1),1E-9),"")</f>
        <v/>
      </c>
      <c r="G2600">
        <f>IF(B2600,MOD(SIN(Seed*0.5917+C2600*39.3468+D2600*11.135)*24634.6345,1),"")</f>
        <v/>
      </c>
      <c r="H2600">
        <f>IF(B2600,SQRT(-2*LN(F2600))*COS(2*PI()*G2600),"")</f>
        <v/>
      </c>
      <c r="I2600">
        <f>IF(B2600,IF(D2600=0,H2600,Rho*I2599+SQRT(1-Rho^2)*H2600),"")</f>
        <v/>
      </c>
      <c r="J2600">
        <f>IF(B2600,IF(Dist="Normal",DistA+DistB*I2600,DistA+(DistB-DistA)*NORMSDIST(I2600)),"")</f>
        <v/>
      </c>
      <c r="K2600">
        <f>IF(B2600,INDEX(MineScale,C2600),"")</f>
        <v/>
      </c>
      <c r="L2600">
        <f>IF(B2600,INDEX(Dow,1,WEEKDAY(E2600,2)),"")</f>
        <v/>
      </c>
      <c r="M2600">
        <f>IF(B2600,(1+Trend)^D2600,"")</f>
        <v/>
      </c>
      <c r="N2600">
        <f>IF(B2600,EXP(SUMPRODUCT(LN(1+(EvEff-1)*INDEX(Affected,0,C2600)*EXP(-((E2600-EvCenter)^2)/(2*EvSigma^2))))),"")</f>
        <v/>
      </c>
      <c r="O2600">
        <f>IF(B2600,ROUND(MAX(0,J2600*K2600*L2600*M2600*N2600),2),"")</f>
        <v/>
      </c>
    </row>
    <row r="2601">
      <c r="A2601" t="n">
        <v>2600</v>
      </c>
      <c r="B2601">
        <f>A2601&lt;=MineCount*Days</f>
        <v/>
      </c>
      <c r="C2601">
        <f>IF(B2601,INT((A2601-1)/Days)+1,"")</f>
        <v/>
      </c>
      <c r="D2601">
        <f>IF(B2601,MOD(A2601-1,Days),"")</f>
        <v/>
      </c>
      <c r="E2601" s="16">
        <f>IF(B2601,StartDate+D2601,"")</f>
        <v/>
      </c>
      <c r="F2601">
        <f>IF(B2601,MAX(MOD(SIN(Seed*0.1373+C2601*12.9898+D2601*78.233)*43758.5453,1),1E-9),"")</f>
        <v/>
      </c>
      <c r="G2601">
        <f>IF(B2601,MOD(SIN(Seed*0.5917+C2601*39.3468+D2601*11.135)*24634.6345,1),"")</f>
        <v/>
      </c>
      <c r="H2601">
        <f>IF(B2601,SQRT(-2*LN(F2601))*COS(2*PI()*G2601),"")</f>
        <v/>
      </c>
      <c r="I2601">
        <f>IF(B2601,IF(D2601=0,H2601,Rho*I2600+SQRT(1-Rho^2)*H2601),"")</f>
        <v/>
      </c>
      <c r="J2601">
        <f>IF(B2601,IF(Dist="Normal",DistA+DistB*I2601,DistA+(DistB-DistA)*NORMSDIST(I2601)),"")</f>
        <v/>
      </c>
      <c r="K2601">
        <f>IF(B2601,INDEX(MineScale,C2601),"")</f>
        <v/>
      </c>
      <c r="L2601">
        <f>IF(B2601,INDEX(Dow,1,WEEKDAY(E2601,2)),"")</f>
        <v/>
      </c>
      <c r="M2601">
        <f>IF(B2601,(1+Trend)^D2601,"")</f>
        <v/>
      </c>
      <c r="N2601">
        <f>IF(B2601,EXP(SUMPRODUCT(LN(1+(EvEff-1)*INDEX(Affected,0,C2601)*EXP(-((E2601-EvCenter)^2)/(2*EvSigma^2))))),"")</f>
        <v/>
      </c>
      <c r="O2601">
        <f>IF(B2601,ROUND(MAX(0,J2601*K2601*L2601*M2601*N2601),2),"")</f>
        <v/>
      </c>
    </row>
    <row r="2602">
      <c r="A2602" t="n">
        <v>2601</v>
      </c>
      <c r="B2602">
        <f>A2602&lt;=MineCount*Days</f>
        <v/>
      </c>
      <c r="C2602">
        <f>IF(B2602,INT((A2602-1)/Days)+1,"")</f>
        <v/>
      </c>
      <c r="D2602">
        <f>IF(B2602,MOD(A2602-1,Days),"")</f>
        <v/>
      </c>
      <c r="E2602" s="16">
        <f>IF(B2602,StartDate+D2602,"")</f>
        <v/>
      </c>
      <c r="F2602">
        <f>IF(B2602,MAX(MOD(SIN(Seed*0.1373+C2602*12.9898+D2602*78.233)*43758.5453,1),1E-9),"")</f>
        <v/>
      </c>
      <c r="G2602">
        <f>IF(B2602,MOD(SIN(Seed*0.5917+C2602*39.3468+D2602*11.135)*24634.6345,1),"")</f>
        <v/>
      </c>
      <c r="H2602">
        <f>IF(B2602,SQRT(-2*LN(F2602))*COS(2*PI()*G2602),"")</f>
        <v/>
      </c>
      <c r="I2602">
        <f>IF(B2602,IF(D2602=0,H2602,Rho*I2601+SQRT(1-Rho^2)*H2602),"")</f>
        <v/>
      </c>
      <c r="J2602">
        <f>IF(B2602,IF(Dist="Normal",DistA+DistB*I2602,DistA+(DistB-DistA)*NORMSDIST(I2602)),"")</f>
        <v/>
      </c>
      <c r="K2602">
        <f>IF(B2602,INDEX(MineScale,C2602),"")</f>
        <v/>
      </c>
      <c r="L2602">
        <f>IF(B2602,INDEX(Dow,1,WEEKDAY(E2602,2)),"")</f>
        <v/>
      </c>
      <c r="M2602">
        <f>IF(B2602,(1+Trend)^D2602,"")</f>
        <v/>
      </c>
      <c r="N2602">
        <f>IF(B2602,EXP(SUMPRODUCT(LN(1+(EvEff-1)*INDEX(Affected,0,C2602)*EXP(-((E2602-EvCenter)^2)/(2*EvSigma^2))))),"")</f>
        <v/>
      </c>
      <c r="O2602">
        <f>IF(B2602,ROUND(MAX(0,J2602*K2602*L2602*M2602*N2602),2),"")</f>
        <v/>
      </c>
    </row>
    <row r="2603">
      <c r="A2603" t="n">
        <v>2602</v>
      </c>
      <c r="B2603">
        <f>A2603&lt;=MineCount*Days</f>
        <v/>
      </c>
      <c r="C2603">
        <f>IF(B2603,INT((A2603-1)/Days)+1,"")</f>
        <v/>
      </c>
      <c r="D2603">
        <f>IF(B2603,MOD(A2603-1,Days),"")</f>
        <v/>
      </c>
      <c r="E2603" s="16">
        <f>IF(B2603,StartDate+D2603,"")</f>
        <v/>
      </c>
      <c r="F2603">
        <f>IF(B2603,MAX(MOD(SIN(Seed*0.1373+C2603*12.9898+D2603*78.233)*43758.5453,1),1E-9),"")</f>
        <v/>
      </c>
      <c r="G2603">
        <f>IF(B2603,MOD(SIN(Seed*0.5917+C2603*39.3468+D2603*11.135)*24634.6345,1),"")</f>
        <v/>
      </c>
      <c r="H2603">
        <f>IF(B2603,SQRT(-2*LN(F2603))*COS(2*PI()*G2603),"")</f>
        <v/>
      </c>
      <c r="I2603">
        <f>IF(B2603,IF(D2603=0,H2603,Rho*I2602+SQRT(1-Rho^2)*H2603),"")</f>
        <v/>
      </c>
      <c r="J2603">
        <f>IF(B2603,IF(Dist="Normal",DistA+DistB*I2603,DistA+(DistB-DistA)*NORMSDIST(I2603)),"")</f>
        <v/>
      </c>
      <c r="K2603">
        <f>IF(B2603,INDEX(MineScale,C2603),"")</f>
        <v/>
      </c>
      <c r="L2603">
        <f>IF(B2603,INDEX(Dow,1,WEEKDAY(E2603,2)),"")</f>
        <v/>
      </c>
      <c r="M2603">
        <f>IF(B2603,(1+Trend)^D2603,"")</f>
        <v/>
      </c>
      <c r="N2603">
        <f>IF(B2603,EXP(SUMPRODUCT(LN(1+(EvEff-1)*INDEX(Affected,0,C2603)*EXP(-((E2603-EvCenter)^2)/(2*EvSigma^2))))),"")</f>
        <v/>
      </c>
      <c r="O2603">
        <f>IF(B2603,ROUND(MAX(0,J2603*K2603*L2603*M2603*N2603),2),"")</f>
        <v/>
      </c>
    </row>
    <row r="2604">
      <c r="A2604" t="n">
        <v>2603</v>
      </c>
      <c r="B2604">
        <f>A2604&lt;=MineCount*Days</f>
        <v/>
      </c>
      <c r="C2604">
        <f>IF(B2604,INT((A2604-1)/Days)+1,"")</f>
        <v/>
      </c>
      <c r="D2604">
        <f>IF(B2604,MOD(A2604-1,Days),"")</f>
        <v/>
      </c>
      <c r="E2604" s="16">
        <f>IF(B2604,StartDate+D2604,"")</f>
        <v/>
      </c>
      <c r="F2604">
        <f>IF(B2604,MAX(MOD(SIN(Seed*0.1373+C2604*12.9898+D2604*78.233)*43758.5453,1),1E-9),"")</f>
        <v/>
      </c>
      <c r="G2604">
        <f>IF(B2604,MOD(SIN(Seed*0.5917+C2604*39.3468+D2604*11.135)*24634.6345,1),"")</f>
        <v/>
      </c>
      <c r="H2604">
        <f>IF(B2604,SQRT(-2*LN(F2604))*COS(2*PI()*G2604),"")</f>
        <v/>
      </c>
      <c r="I2604">
        <f>IF(B2604,IF(D2604=0,H2604,Rho*I2603+SQRT(1-Rho^2)*H2604),"")</f>
        <v/>
      </c>
      <c r="J2604">
        <f>IF(B2604,IF(Dist="Normal",DistA+DistB*I2604,DistA+(DistB-DistA)*NORMSDIST(I2604)),"")</f>
        <v/>
      </c>
      <c r="K2604">
        <f>IF(B2604,INDEX(MineScale,C2604),"")</f>
        <v/>
      </c>
      <c r="L2604">
        <f>IF(B2604,INDEX(Dow,1,WEEKDAY(E2604,2)),"")</f>
        <v/>
      </c>
      <c r="M2604">
        <f>IF(B2604,(1+Trend)^D2604,"")</f>
        <v/>
      </c>
      <c r="N2604">
        <f>IF(B2604,EXP(SUMPRODUCT(LN(1+(EvEff-1)*INDEX(Affected,0,C2604)*EXP(-((E2604-EvCenter)^2)/(2*EvSigma^2))))),"")</f>
        <v/>
      </c>
      <c r="O2604">
        <f>IF(B2604,ROUND(MAX(0,J2604*K2604*L2604*M2604*N2604),2),"")</f>
        <v/>
      </c>
    </row>
    <row r="2605">
      <c r="A2605" t="n">
        <v>2604</v>
      </c>
      <c r="B2605">
        <f>A2605&lt;=MineCount*Days</f>
        <v/>
      </c>
      <c r="C2605">
        <f>IF(B2605,INT((A2605-1)/Days)+1,"")</f>
        <v/>
      </c>
      <c r="D2605">
        <f>IF(B2605,MOD(A2605-1,Days),"")</f>
        <v/>
      </c>
      <c r="E2605" s="16">
        <f>IF(B2605,StartDate+D2605,"")</f>
        <v/>
      </c>
      <c r="F2605">
        <f>IF(B2605,MAX(MOD(SIN(Seed*0.1373+C2605*12.9898+D2605*78.233)*43758.5453,1),1E-9),"")</f>
        <v/>
      </c>
      <c r="G2605">
        <f>IF(B2605,MOD(SIN(Seed*0.5917+C2605*39.3468+D2605*11.135)*24634.6345,1),"")</f>
        <v/>
      </c>
      <c r="H2605">
        <f>IF(B2605,SQRT(-2*LN(F2605))*COS(2*PI()*G2605),"")</f>
        <v/>
      </c>
      <c r="I2605">
        <f>IF(B2605,IF(D2605=0,H2605,Rho*I2604+SQRT(1-Rho^2)*H2605),"")</f>
        <v/>
      </c>
      <c r="J2605">
        <f>IF(B2605,IF(Dist="Normal",DistA+DistB*I2605,DistA+(DistB-DistA)*NORMSDIST(I2605)),"")</f>
        <v/>
      </c>
      <c r="K2605">
        <f>IF(B2605,INDEX(MineScale,C2605),"")</f>
        <v/>
      </c>
      <c r="L2605">
        <f>IF(B2605,INDEX(Dow,1,WEEKDAY(E2605,2)),"")</f>
        <v/>
      </c>
      <c r="M2605">
        <f>IF(B2605,(1+Trend)^D2605,"")</f>
        <v/>
      </c>
      <c r="N2605">
        <f>IF(B2605,EXP(SUMPRODUCT(LN(1+(EvEff-1)*INDEX(Affected,0,C2605)*EXP(-((E2605-EvCenter)^2)/(2*EvSigma^2))))),"")</f>
        <v/>
      </c>
      <c r="O2605">
        <f>IF(B2605,ROUND(MAX(0,J2605*K2605*L2605*M2605*N2605),2),"")</f>
        <v/>
      </c>
    </row>
    <row r="2606">
      <c r="A2606" t="n">
        <v>2605</v>
      </c>
      <c r="B2606">
        <f>A2606&lt;=MineCount*Days</f>
        <v/>
      </c>
      <c r="C2606">
        <f>IF(B2606,INT((A2606-1)/Days)+1,"")</f>
        <v/>
      </c>
      <c r="D2606">
        <f>IF(B2606,MOD(A2606-1,Days),"")</f>
        <v/>
      </c>
      <c r="E2606" s="16">
        <f>IF(B2606,StartDate+D2606,"")</f>
        <v/>
      </c>
      <c r="F2606">
        <f>IF(B2606,MAX(MOD(SIN(Seed*0.1373+C2606*12.9898+D2606*78.233)*43758.5453,1),1E-9),"")</f>
        <v/>
      </c>
      <c r="G2606">
        <f>IF(B2606,MOD(SIN(Seed*0.5917+C2606*39.3468+D2606*11.135)*24634.6345,1),"")</f>
        <v/>
      </c>
      <c r="H2606">
        <f>IF(B2606,SQRT(-2*LN(F2606))*COS(2*PI()*G2606),"")</f>
        <v/>
      </c>
      <c r="I2606">
        <f>IF(B2606,IF(D2606=0,H2606,Rho*I2605+SQRT(1-Rho^2)*H2606),"")</f>
        <v/>
      </c>
      <c r="J2606">
        <f>IF(B2606,IF(Dist="Normal",DistA+DistB*I2606,DistA+(DistB-DistA)*NORMSDIST(I2606)),"")</f>
        <v/>
      </c>
      <c r="K2606">
        <f>IF(B2606,INDEX(MineScale,C2606),"")</f>
        <v/>
      </c>
      <c r="L2606">
        <f>IF(B2606,INDEX(Dow,1,WEEKDAY(E2606,2)),"")</f>
        <v/>
      </c>
      <c r="M2606">
        <f>IF(B2606,(1+Trend)^D2606,"")</f>
        <v/>
      </c>
      <c r="N2606">
        <f>IF(B2606,EXP(SUMPRODUCT(LN(1+(EvEff-1)*INDEX(Affected,0,C2606)*EXP(-((E2606-EvCenter)^2)/(2*EvSigma^2))))),"")</f>
        <v/>
      </c>
      <c r="O2606">
        <f>IF(B2606,ROUND(MAX(0,J2606*K2606*L2606*M2606*N2606),2),"")</f>
        <v/>
      </c>
    </row>
    <row r="2607">
      <c r="A2607" t="n">
        <v>2606</v>
      </c>
      <c r="B2607">
        <f>A2607&lt;=MineCount*Days</f>
        <v/>
      </c>
      <c r="C2607">
        <f>IF(B2607,INT((A2607-1)/Days)+1,"")</f>
        <v/>
      </c>
      <c r="D2607">
        <f>IF(B2607,MOD(A2607-1,Days),"")</f>
        <v/>
      </c>
      <c r="E2607" s="16">
        <f>IF(B2607,StartDate+D2607,"")</f>
        <v/>
      </c>
      <c r="F2607">
        <f>IF(B2607,MAX(MOD(SIN(Seed*0.1373+C2607*12.9898+D2607*78.233)*43758.5453,1),1E-9),"")</f>
        <v/>
      </c>
      <c r="G2607">
        <f>IF(B2607,MOD(SIN(Seed*0.5917+C2607*39.3468+D2607*11.135)*24634.6345,1),"")</f>
        <v/>
      </c>
      <c r="H2607">
        <f>IF(B2607,SQRT(-2*LN(F2607))*COS(2*PI()*G2607),"")</f>
        <v/>
      </c>
      <c r="I2607">
        <f>IF(B2607,IF(D2607=0,H2607,Rho*I2606+SQRT(1-Rho^2)*H2607),"")</f>
        <v/>
      </c>
      <c r="J2607">
        <f>IF(B2607,IF(Dist="Normal",DistA+DistB*I2607,DistA+(DistB-DistA)*NORMSDIST(I2607)),"")</f>
        <v/>
      </c>
      <c r="K2607">
        <f>IF(B2607,INDEX(MineScale,C2607),"")</f>
        <v/>
      </c>
      <c r="L2607">
        <f>IF(B2607,INDEX(Dow,1,WEEKDAY(E2607,2)),"")</f>
        <v/>
      </c>
      <c r="M2607">
        <f>IF(B2607,(1+Trend)^D2607,"")</f>
        <v/>
      </c>
      <c r="N2607">
        <f>IF(B2607,EXP(SUMPRODUCT(LN(1+(EvEff-1)*INDEX(Affected,0,C2607)*EXP(-((E2607-EvCenter)^2)/(2*EvSigma^2))))),"")</f>
        <v/>
      </c>
      <c r="O2607">
        <f>IF(B2607,ROUND(MAX(0,J2607*K2607*L2607*M2607*N2607),2),"")</f>
        <v/>
      </c>
    </row>
    <row r="2608">
      <c r="A2608" t="n">
        <v>2607</v>
      </c>
      <c r="B2608">
        <f>A2608&lt;=MineCount*Days</f>
        <v/>
      </c>
      <c r="C2608">
        <f>IF(B2608,INT((A2608-1)/Days)+1,"")</f>
        <v/>
      </c>
      <c r="D2608">
        <f>IF(B2608,MOD(A2608-1,Days),"")</f>
        <v/>
      </c>
      <c r="E2608" s="16">
        <f>IF(B2608,StartDate+D2608,"")</f>
        <v/>
      </c>
      <c r="F2608">
        <f>IF(B2608,MAX(MOD(SIN(Seed*0.1373+C2608*12.9898+D2608*78.233)*43758.5453,1),1E-9),"")</f>
        <v/>
      </c>
      <c r="G2608">
        <f>IF(B2608,MOD(SIN(Seed*0.5917+C2608*39.3468+D2608*11.135)*24634.6345,1),"")</f>
        <v/>
      </c>
      <c r="H2608">
        <f>IF(B2608,SQRT(-2*LN(F2608))*COS(2*PI()*G2608),"")</f>
        <v/>
      </c>
      <c r="I2608">
        <f>IF(B2608,IF(D2608=0,H2608,Rho*I2607+SQRT(1-Rho^2)*H2608),"")</f>
        <v/>
      </c>
      <c r="J2608">
        <f>IF(B2608,IF(Dist="Normal",DistA+DistB*I2608,DistA+(DistB-DistA)*NORMSDIST(I2608)),"")</f>
        <v/>
      </c>
      <c r="K2608">
        <f>IF(B2608,INDEX(MineScale,C2608),"")</f>
        <v/>
      </c>
      <c r="L2608">
        <f>IF(B2608,INDEX(Dow,1,WEEKDAY(E2608,2)),"")</f>
        <v/>
      </c>
      <c r="M2608">
        <f>IF(B2608,(1+Trend)^D2608,"")</f>
        <v/>
      </c>
      <c r="N2608">
        <f>IF(B2608,EXP(SUMPRODUCT(LN(1+(EvEff-1)*INDEX(Affected,0,C2608)*EXP(-((E2608-EvCenter)^2)/(2*EvSigma^2))))),"")</f>
        <v/>
      </c>
      <c r="O2608">
        <f>IF(B2608,ROUND(MAX(0,J2608*K2608*L2608*M2608*N2608),2),"")</f>
        <v/>
      </c>
    </row>
    <row r="2609">
      <c r="A2609" t="n">
        <v>2608</v>
      </c>
      <c r="B2609">
        <f>A2609&lt;=MineCount*Days</f>
        <v/>
      </c>
      <c r="C2609">
        <f>IF(B2609,INT((A2609-1)/Days)+1,"")</f>
        <v/>
      </c>
      <c r="D2609">
        <f>IF(B2609,MOD(A2609-1,Days),"")</f>
        <v/>
      </c>
      <c r="E2609" s="16">
        <f>IF(B2609,StartDate+D2609,"")</f>
        <v/>
      </c>
      <c r="F2609">
        <f>IF(B2609,MAX(MOD(SIN(Seed*0.1373+C2609*12.9898+D2609*78.233)*43758.5453,1),1E-9),"")</f>
        <v/>
      </c>
      <c r="G2609">
        <f>IF(B2609,MOD(SIN(Seed*0.5917+C2609*39.3468+D2609*11.135)*24634.6345,1),"")</f>
        <v/>
      </c>
      <c r="H2609">
        <f>IF(B2609,SQRT(-2*LN(F2609))*COS(2*PI()*G2609),"")</f>
        <v/>
      </c>
      <c r="I2609">
        <f>IF(B2609,IF(D2609=0,H2609,Rho*I2608+SQRT(1-Rho^2)*H2609),"")</f>
        <v/>
      </c>
      <c r="J2609">
        <f>IF(B2609,IF(Dist="Normal",DistA+DistB*I2609,DistA+(DistB-DistA)*NORMSDIST(I2609)),"")</f>
        <v/>
      </c>
      <c r="K2609">
        <f>IF(B2609,INDEX(MineScale,C2609),"")</f>
        <v/>
      </c>
      <c r="L2609">
        <f>IF(B2609,INDEX(Dow,1,WEEKDAY(E2609,2)),"")</f>
        <v/>
      </c>
      <c r="M2609">
        <f>IF(B2609,(1+Trend)^D2609,"")</f>
        <v/>
      </c>
      <c r="N2609">
        <f>IF(B2609,EXP(SUMPRODUCT(LN(1+(EvEff-1)*INDEX(Affected,0,C2609)*EXP(-((E2609-EvCenter)^2)/(2*EvSigma^2))))),"")</f>
        <v/>
      </c>
      <c r="O2609">
        <f>IF(B2609,ROUND(MAX(0,J2609*K2609*L2609*M2609*N2609),2),"")</f>
        <v/>
      </c>
    </row>
    <row r="2610">
      <c r="A2610" t="n">
        <v>2609</v>
      </c>
      <c r="B2610">
        <f>A2610&lt;=MineCount*Days</f>
        <v/>
      </c>
      <c r="C2610">
        <f>IF(B2610,INT((A2610-1)/Days)+1,"")</f>
        <v/>
      </c>
      <c r="D2610">
        <f>IF(B2610,MOD(A2610-1,Days),"")</f>
        <v/>
      </c>
      <c r="E2610" s="16">
        <f>IF(B2610,StartDate+D2610,"")</f>
        <v/>
      </c>
      <c r="F2610">
        <f>IF(B2610,MAX(MOD(SIN(Seed*0.1373+C2610*12.9898+D2610*78.233)*43758.5453,1),1E-9),"")</f>
        <v/>
      </c>
      <c r="G2610">
        <f>IF(B2610,MOD(SIN(Seed*0.5917+C2610*39.3468+D2610*11.135)*24634.6345,1),"")</f>
        <v/>
      </c>
      <c r="H2610">
        <f>IF(B2610,SQRT(-2*LN(F2610))*COS(2*PI()*G2610),"")</f>
        <v/>
      </c>
      <c r="I2610">
        <f>IF(B2610,IF(D2610=0,H2610,Rho*I2609+SQRT(1-Rho^2)*H2610),"")</f>
        <v/>
      </c>
      <c r="J2610">
        <f>IF(B2610,IF(Dist="Normal",DistA+DistB*I2610,DistA+(DistB-DistA)*NORMSDIST(I2610)),"")</f>
        <v/>
      </c>
      <c r="K2610">
        <f>IF(B2610,INDEX(MineScale,C2610),"")</f>
        <v/>
      </c>
      <c r="L2610">
        <f>IF(B2610,INDEX(Dow,1,WEEKDAY(E2610,2)),"")</f>
        <v/>
      </c>
      <c r="M2610">
        <f>IF(B2610,(1+Trend)^D2610,"")</f>
        <v/>
      </c>
      <c r="N2610">
        <f>IF(B2610,EXP(SUMPRODUCT(LN(1+(EvEff-1)*INDEX(Affected,0,C2610)*EXP(-((E2610-EvCenter)^2)/(2*EvSigma^2))))),"")</f>
        <v/>
      </c>
      <c r="O2610">
        <f>IF(B2610,ROUND(MAX(0,J2610*K2610*L2610*M2610*N2610),2),"")</f>
        <v/>
      </c>
    </row>
    <row r="2611">
      <c r="A2611" t="n">
        <v>2610</v>
      </c>
      <c r="B2611">
        <f>A2611&lt;=MineCount*Days</f>
        <v/>
      </c>
      <c r="C2611">
        <f>IF(B2611,INT((A2611-1)/Days)+1,"")</f>
        <v/>
      </c>
      <c r="D2611">
        <f>IF(B2611,MOD(A2611-1,Days),"")</f>
        <v/>
      </c>
      <c r="E2611" s="16">
        <f>IF(B2611,StartDate+D2611,"")</f>
        <v/>
      </c>
      <c r="F2611">
        <f>IF(B2611,MAX(MOD(SIN(Seed*0.1373+C2611*12.9898+D2611*78.233)*43758.5453,1),1E-9),"")</f>
        <v/>
      </c>
      <c r="G2611">
        <f>IF(B2611,MOD(SIN(Seed*0.5917+C2611*39.3468+D2611*11.135)*24634.6345,1),"")</f>
        <v/>
      </c>
      <c r="H2611">
        <f>IF(B2611,SQRT(-2*LN(F2611))*COS(2*PI()*G2611),"")</f>
        <v/>
      </c>
      <c r="I2611">
        <f>IF(B2611,IF(D2611=0,H2611,Rho*I2610+SQRT(1-Rho^2)*H2611),"")</f>
        <v/>
      </c>
      <c r="J2611">
        <f>IF(B2611,IF(Dist="Normal",DistA+DistB*I2611,DistA+(DistB-DistA)*NORMSDIST(I2611)),"")</f>
        <v/>
      </c>
      <c r="K2611">
        <f>IF(B2611,INDEX(MineScale,C2611),"")</f>
        <v/>
      </c>
      <c r="L2611">
        <f>IF(B2611,INDEX(Dow,1,WEEKDAY(E2611,2)),"")</f>
        <v/>
      </c>
      <c r="M2611">
        <f>IF(B2611,(1+Trend)^D2611,"")</f>
        <v/>
      </c>
      <c r="N2611">
        <f>IF(B2611,EXP(SUMPRODUCT(LN(1+(EvEff-1)*INDEX(Affected,0,C2611)*EXP(-((E2611-EvCenter)^2)/(2*EvSigma^2))))),"")</f>
        <v/>
      </c>
      <c r="O2611">
        <f>IF(B2611,ROUND(MAX(0,J2611*K2611*L2611*M2611*N2611),2),"")</f>
        <v/>
      </c>
    </row>
    <row r="2612">
      <c r="A2612" t="n">
        <v>2611</v>
      </c>
      <c r="B2612">
        <f>A2612&lt;=MineCount*Days</f>
        <v/>
      </c>
      <c r="C2612">
        <f>IF(B2612,INT((A2612-1)/Days)+1,"")</f>
        <v/>
      </c>
      <c r="D2612">
        <f>IF(B2612,MOD(A2612-1,Days),"")</f>
        <v/>
      </c>
      <c r="E2612" s="16">
        <f>IF(B2612,StartDate+D2612,"")</f>
        <v/>
      </c>
      <c r="F2612">
        <f>IF(B2612,MAX(MOD(SIN(Seed*0.1373+C2612*12.9898+D2612*78.233)*43758.5453,1),1E-9),"")</f>
        <v/>
      </c>
      <c r="G2612">
        <f>IF(B2612,MOD(SIN(Seed*0.5917+C2612*39.3468+D2612*11.135)*24634.6345,1),"")</f>
        <v/>
      </c>
      <c r="H2612">
        <f>IF(B2612,SQRT(-2*LN(F2612))*COS(2*PI()*G2612),"")</f>
        <v/>
      </c>
      <c r="I2612">
        <f>IF(B2612,IF(D2612=0,H2612,Rho*I2611+SQRT(1-Rho^2)*H2612),"")</f>
        <v/>
      </c>
      <c r="J2612">
        <f>IF(B2612,IF(Dist="Normal",DistA+DistB*I2612,DistA+(DistB-DistA)*NORMSDIST(I2612)),"")</f>
        <v/>
      </c>
      <c r="K2612">
        <f>IF(B2612,INDEX(MineScale,C2612),"")</f>
        <v/>
      </c>
      <c r="L2612">
        <f>IF(B2612,INDEX(Dow,1,WEEKDAY(E2612,2)),"")</f>
        <v/>
      </c>
      <c r="M2612">
        <f>IF(B2612,(1+Trend)^D2612,"")</f>
        <v/>
      </c>
      <c r="N2612">
        <f>IF(B2612,EXP(SUMPRODUCT(LN(1+(EvEff-1)*INDEX(Affected,0,C2612)*EXP(-((E2612-EvCenter)^2)/(2*EvSigma^2))))),"")</f>
        <v/>
      </c>
      <c r="O2612">
        <f>IF(B2612,ROUND(MAX(0,J2612*K2612*L2612*M2612*N2612),2),"")</f>
        <v/>
      </c>
    </row>
    <row r="2613">
      <c r="A2613" t="n">
        <v>2612</v>
      </c>
      <c r="B2613">
        <f>A2613&lt;=MineCount*Days</f>
        <v/>
      </c>
      <c r="C2613">
        <f>IF(B2613,INT((A2613-1)/Days)+1,"")</f>
        <v/>
      </c>
      <c r="D2613">
        <f>IF(B2613,MOD(A2613-1,Days),"")</f>
        <v/>
      </c>
      <c r="E2613" s="16">
        <f>IF(B2613,StartDate+D2613,"")</f>
        <v/>
      </c>
      <c r="F2613">
        <f>IF(B2613,MAX(MOD(SIN(Seed*0.1373+C2613*12.9898+D2613*78.233)*43758.5453,1),1E-9),"")</f>
        <v/>
      </c>
      <c r="G2613">
        <f>IF(B2613,MOD(SIN(Seed*0.5917+C2613*39.3468+D2613*11.135)*24634.6345,1),"")</f>
        <v/>
      </c>
      <c r="H2613">
        <f>IF(B2613,SQRT(-2*LN(F2613))*COS(2*PI()*G2613),"")</f>
        <v/>
      </c>
      <c r="I2613">
        <f>IF(B2613,IF(D2613=0,H2613,Rho*I2612+SQRT(1-Rho^2)*H2613),"")</f>
        <v/>
      </c>
      <c r="J2613">
        <f>IF(B2613,IF(Dist="Normal",DistA+DistB*I2613,DistA+(DistB-DistA)*NORMSDIST(I2613)),"")</f>
        <v/>
      </c>
      <c r="K2613">
        <f>IF(B2613,INDEX(MineScale,C2613),"")</f>
        <v/>
      </c>
      <c r="L2613">
        <f>IF(B2613,INDEX(Dow,1,WEEKDAY(E2613,2)),"")</f>
        <v/>
      </c>
      <c r="M2613">
        <f>IF(B2613,(1+Trend)^D2613,"")</f>
        <v/>
      </c>
      <c r="N2613">
        <f>IF(B2613,EXP(SUMPRODUCT(LN(1+(EvEff-1)*INDEX(Affected,0,C2613)*EXP(-((E2613-EvCenter)^2)/(2*EvSigma^2))))),"")</f>
        <v/>
      </c>
      <c r="O2613">
        <f>IF(B2613,ROUND(MAX(0,J2613*K2613*L2613*M2613*N2613),2),"")</f>
        <v/>
      </c>
    </row>
    <row r="2614">
      <c r="A2614" t="n">
        <v>2613</v>
      </c>
      <c r="B2614">
        <f>A2614&lt;=MineCount*Days</f>
        <v/>
      </c>
      <c r="C2614">
        <f>IF(B2614,INT((A2614-1)/Days)+1,"")</f>
        <v/>
      </c>
      <c r="D2614">
        <f>IF(B2614,MOD(A2614-1,Days),"")</f>
        <v/>
      </c>
      <c r="E2614" s="16">
        <f>IF(B2614,StartDate+D2614,"")</f>
        <v/>
      </c>
      <c r="F2614">
        <f>IF(B2614,MAX(MOD(SIN(Seed*0.1373+C2614*12.9898+D2614*78.233)*43758.5453,1),1E-9),"")</f>
        <v/>
      </c>
      <c r="G2614">
        <f>IF(B2614,MOD(SIN(Seed*0.5917+C2614*39.3468+D2614*11.135)*24634.6345,1),"")</f>
        <v/>
      </c>
      <c r="H2614">
        <f>IF(B2614,SQRT(-2*LN(F2614))*COS(2*PI()*G2614),"")</f>
        <v/>
      </c>
      <c r="I2614">
        <f>IF(B2614,IF(D2614=0,H2614,Rho*I2613+SQRT(1-Rho^2)*H2614),"")</f>
        <v/>
      </c>
      <c r="J2614">
        <f>IF(B2614,IF(Dist="Normal",DistA+DistB*I2614,DistA+(DistB-DistA)*NORMSDIST(I2614)),"")</f>
        <v/>
      </c>
      <c r="K2614">
        <f>IF(B2614,INDEX(MineScale,C2614),"")</f>
        <v/>
      </c>
      <c r="L2614">
        <f>IF(B2614,INDEX(Dow,1,WEEKDAY(E2614,2)),"")</f>
        <v/>
      </c>
      <c r="M2614">
        <f>IF(B2614,(1+Trend)^D2614,"")</f>
        <v/>
      </c>
      <c r="N2614">
        <f>IF(B2614,EXP(SUMPRODUCT(LN(1+(EvEff-1)*INDEX(Affected,0,C2614)*EXP(-((E2614-EvCenter)^2)/(2*EvSigma^2))))),"")</f>
        <v/>
      </c>
      <c r="O2614">
        <f>IF(B2614,ROUND(MAX(0,J2614*K2614*L2614*M2614*N2614),2),"")</f>
        <v/>
      </c>
    </row>
    <row r="2615">
      <c r="A2615" t="n">
        <v>2614</v>
      </c>
      <c r="B2615">
        <f>A2615&lt;=MineCount*Days</f>
        <v/>
      </c>
      <c r="C2615">
        <f>IF(B2615,INT((A2615-1)/Days)+1,"")</f>
        <v/>
      </c>
      <c r="D2615">
        <f>IF(B2615,MOD(A2615-1,Days),"")</f>
        <v/>
      </c>
      <c r="E2615" s="16">
        <f>IF(B2615,StartDate+D2615,"")</f>
        <v/>
      </c>
      <c r="F2615">
        <f>IF(B2615,MAX(MOD(SIN(Seed*0.1373+C2615*12.9898+D2615*78.233)*43758.5453,1),1E-9),"")</f>
        <v/>
      </c>
      <c r="G2615">
        <f>IF(B2615,MOD(SIN(Seed*0.5917+C2615*39.3468+D2615*11.135)*24634.6345,1),"")</f>
        <v/>
      </c>
      <c r="H2615">
        <f>IF(B2615,SQRT(-2*LN(F2615))*COS(2*PI()*G2615),"")</f>
        <v/>
      </c>
      <c r="I2615">
        <f>IF(B2615,IF(D2615=0,H2615,Rho*I2614+SQRT(1-Rho^2)*H2615),"")</f>
        <v/>
      </c>
      <c r="J2615">
        <f>IF(B2615,IF(Dist="Normal",DistA+DistB*I2615,DistA+(DistB-DistA)*NORMSDIST(I2615)),"")</f>
        <v/>
      </c>
      <c r="K2615">
        <f>IF(B2615,INDEX(MineScale,C2615),"")</f>
        <v/>
      </c>
      <c r="L2615">
        <f>IF(B2615,INDEX(Dow,1,WEEKDAY(E2615,2)),"")</f>
        <v/>
      </c>
      <c r="M2615">
        <f>IF(B2615,(1+Trend)^D2615,"")</f>
        <v/>
      </c>
      <c r="N2615">
        <f>IF(B2615,EXP(SUMPRODUCT(LN(1+(EvEff-1)*INDEX(Affected,0,C2615)*EXP(-((E2615-EvCenter)^2)/(2*EvSigma^2))))),"")</f>
        <v/>
      </c>
      <c r="O2615">
        <f>IF(B2615,ROUND(MAX(0,J2615*K2615*L2615*M2615*N2615),2),"")</f>
        <v/>
      </c>
    </row>
    <row r="2616">
      <c r="A2616" t="n">
        <v>2615</v>
      </c>
      <c r="B2616">
        <f>A2616&lt;=MineCount*Days</f>
        <v/>
      </c>
      <c r="C2616">
        <f>IF(B2616,INT((A2616-1)/Days)+1,"")</f>
        <v/>
      </c>
      <c r="D2616">
        <f>IF(B2616,MOD(A2616-1,Days),"")</f>
        <v/>
      </c>
      <c r="E2616" s="16">
        <f>IF(B2616,StartDate+D2616,"")</f>
        <v/>
      </c>
      <c r="F2616">
        <f>IF(B2616,MAX(MOD(SIN(Seed*0.1373+C2616*12.9898+D2616*78.233)*43758.5453,1),1E-9),"")</f>
        <v/>
      </c>
      <c r="G2616">
        <f>IF(B2616,MOD(SIN(Seed*0.5917+C2616*39.3468+D2616*11.135)*24634.6345,1),"")</f>
        <v/>
      </c>
      <c r="H2616">
        <f>IF(B2616,SQRT(-2*LN(F2616))*COS(2*PI()*G2616),"")</f>
        <v/>
      </c>
      <c r="I2616">
        <f>IF(B2616,IF(D2616=0,H2616,Rho*I2615+SQRT(1-Rho^2)*H2616),"")</f>
        <v/>
      </c>
      <c r="J2616">
        <f>IF(B2616,IF(Dist="Normal",DistA+DistB*I2616,DistA+(DistB-DistA)*NORMSDIST(I2616)),"")</f>
        <v/>
      </c>
      <c r="K2616">
        <f>IF(B2616,INDEX(MineScale,C2616),"")</f>
        <v/>
      </c>
      <c r="L2616">
        <f>IF(B2616,INDEX(Dow,1,WEEKDAY(E2616,2)),"")</f>
        <v/>
      </c>
      <c r="M2616">
        <f>IF(B2616,(1+Trend)^D2616,"")</f>
        <v/>
      </c>
      <c r="N2616">
        <f>IF(B2616,EXP(SUMPRODUCT(LN(1+(EvEff-1)*INDEX(Affected,0,C2616)*EXP(-((E2616-EvCenter)^2)/(2*EvSigma^2))))),"")</f>
        <v/>
      </c>
      <c r="O2616">
        <f>IF(B2616,ROUND(MAX(0,J2616*K2616*L2616*M2616*N2616),2),"")</f>
        <v/>
      </c>
    </row>
    <row r="2617">
      <c r="A2617" t="n">
        <v>2616</v>
      </c>
      <c r="B2617">
        <f>A2617&lt;=MineCount*Days</f>
        <v/>
      </c>
      <c r="C2617">
        <f>IF(B2617,INT((A2617-1)/Days)+1,"")</f>
        <v/>
      </c>
      <c r="D2617">
        <f>IF(B2617,MOD(A2617-1,Days),"")</f>
        <v/>
      </c>
      <c r="E2617" s="16">
        <f>IF(B2617,StartDate+D2617,"")</f>
        <v/>
      </c>
      <c r="F2617">
        <f>IF(B2617,MAX(MOD(SIN(Seed*0.1373+C2617*12.9898+D2617*78.233)*43758.5453,1),1E-9),"")</f>
        <v/>
      </c>
      <c r="G2617">
        <f>IF(B2617,MOD(SIN(Seed*0.5917+C2617*39.3468+D2617*11.135)*24634.6345,1),"")</f>
        <v/>
      </c>
      <c r="H2617">
        <f>IF(B2617,SQRT(-2*LN(F2617))*COS(2*PI()*G2617),"")</f>
        <v/>
      </c>
      <c r="I2617">
        <f>IF(B2617,IF(D2617=0,H2617,Rho*I2616+SQRT(1-Rho^2)*H2617),"")</f>
        <v/>
      </c>
      <c r="J2617">
        <f>IF(B2617,IF(Dist="Normal",DistA+DistB*I2617,DistA+(DistB-DistA)*NORMSDIST(I2617)),"")</f>
        <v/>
      </c>
      <c r="K2617">
        <f>IF(B2617,INDEX(MineScale,C2617),"")</f>
        <v/>
      </c>
      <c r="L2617">
        <f>IF(B2617,INDEX(Dow,1,WEEKDAY(E2617,2)),"")</f>
        <v/>
      </c>
      <c r="M2617">
        <f>IF(B2617,(1+Trend)^D2617,"")</f>
        <v/>
      </c>
      <c r="N2617">
        <f>IF(B2617,EXP(SUMPRODUCT(LN(1+(EvEff-1)*INDEX(Affected,0,C2617)*EXP(-((E2617-EvCenter)^2)/(2*EvSigma^2))))),"")</f>
        <v/>
      </c>
      <c r="O2617">
        <f>IF(B2617,ROUND(MAX(0,J2617*K2617*L2617*M2617*N2617),2),"")</f>
        <v/>
      </c>
    </row>
    <row r="2618">
      <c r="A2618" t="n">
        <v>2617</v>
      </c>
      <c r="B2618">
        <f>A2618&lt;=MineCount*Days</f>
        <v/>
      </c>
      <c r="C2618">
        <f>IF(B2618,INT((A2618-1)/Days)+1,"")</f>
        <v/>
      </c>
      <c r="D2618">
        <f>IF(B2618,MOD(A2618-1,Days),"")</f>
        <v/>
      </c>
      <c r="E2618" s="16">
        <f>IF(B2618,StartDate+D2618,"")</f>
        <v/>
      </c>
      <c r="F2618">
        <f>IF(B2618,MAX(MOD(SIN(Seed*0.1373+C2618*12.9898+D2618*78.233)*43758.5453,1),1E-9),"")</f>
        <v/>
      </c>
      <c r="G2618">
        <f>IF(B2618,MOD(SIN(Seed*0.5917+C2618*39.3468+D2618*11.135)*24634.6345,1),"")</f>
        <v/>
      </c>
      <c r="H2618">
        <f>IF(B2618,SQRT(-2*LN(F2618))*COS(2*PI()*G2618),"")</f>
        <v/>
      </c>
      <c r="I2618">
        <f>IF(B2618,IF(D2618=0,H2618,Rho*I2617+SQRT(1-Rho^2)*H2618),"")</f>
        <v/>
      </c>
      <c r="J2618">
        <f>IF(B2618,IF(Dist="Normal",DistA+DistB*I2618,DistA+(DistB-DistA)*NORMSDIST(I2618)),"")</f>
        <v/>
      </c>
      <c r="K2618">
        <f>IF(B2618,INDEX(MineScale,C2618),"")</f>
        <v/>
      </c>
      <c r="L2618">
        <f>IF(B2618,INDEX(Dow,1,WEEKDAY(E2618,2)),"")</f>
        <v/>
      </c>
      <c r="M2618">
        <f>IF(B2618,(1+Trend)^D2618,"")</f>
        <v/>
      </c>
      <c r="N2618">
        <f>IF(B2618,EXP(SUMPRODUCT(LN(1+(EvEff-1)*INDEX(Affected,0,C2618)*EXP(-((E2618-EvCenter)^2)/(2*EvSigma^2))))),"")</f>
        <v/>
      </c>
      <c r="O2618">
        <f>IF(B2618,ROUND(MAX(0,J2618*K2618*L2618*M2618*N2618),2),"")</f>
        <v/>
      </c>
    </row>
    <row r="2619">
      <c r="A2619" t="n">
        <v>2618</v>
      </c>
      <c r="B2619">
        <f>A2619&lt;=MineCount*Days</f>
        <v/>
      </c>
      <c r="C2619">
        <f>IF(B2619,INT((A2619-1)/Days)+1,"")</f>
        <v/>
      </c>
      <c r="D2619">
        <f>IF(B2619,MOD(A2619-1,Days),"")</f>
        <v/>
      </c>
      <c r="E2619" s="16">
        <f>IF(B2619,StartDate+D2619,"")</f>
        <v/>
      </c>
      <c r="F2619">
        <f>IF(B2619,MAX(MOD(SIN(Seed*0.1373+C2619*12.9898+D2619*78.233)*43758.5453,1),1E-9),"")</f>
        <v/>
      </c>
      <c r="G2619">
        <f>IF(B2619,MOD(SIN(Seed*0.5917+C2619*39.3468+D2619*11.135)*24634.6345,1),"")</f>
        <v/>
      </c>
      <c r="H2619">
        <f>IF(B2619,SQRT(-2*LN(F2619))*COS(2*PI()*G2619),"")</f>
        <v/>
      </c>
      <c r="I2619">
        <f>IF(B2619,IF(D2619=0,H2619,Rho*I2618+SQRT(1-Rho^2)*H2619),"")</f>
        <v/>
      </c>
      <c r="J2619">
        <f>IF(B2619,IF(Dist="Normal",DistA+DistB*I2619,DistA+(DistB-DistA)*NORMSDIST(I2619)),"")</f>
        <v/>
      </c>
      <c r="K2619">
        <f>IF(B2619,INDEX(MineScale,C2619),"")</f>
        <v/>
      </c>
      <c r="L2619">
        <f>IF(B2619,INDEX(Dow,1,WEEKDAY(E2619,2)),"")</f>
        <v/>
      </c>
      <c r="M2619">
        <f>IF(B2619,(1+Trend)^D2619,"")</f>
        <v/>
      </c>
      <c r="N2619">
        <f>IF(B2619,EXP(SUMPRODUCT(LN(1+(EvEff-1)*INDEX(Affected,0,C2619)*EXP(-((E2619-EvCenter)^2)/(2*EvSigma^2))))),"")</f>
        <v/>
      </c>
      <c r="O2619">
        <f>IF(B2619,ROUND(MAX(0,J2619*K2619*L2619*M2619*N2619),2),"")</f>
        <v/>
      </c>
    </row>
    <row r="2620">
      <c r="A2620" t="n">
        <v>2619</v>
      </c>
      <c r="B2620">
        <f>A2620&lt;=MineCount*Days</f>
        <v/>
      </c>
      <c r="C2620">
        <f>IF(B2620,INT((A2620-1)/Days)+1,"")</f>
        <v/>
      </c>
      <c r="D2620">
        <f>IF(B2620,MOD(A2620-1,Days),"")</f>
        <v/>
      </c>
      <c r="E2620" s="16">
        <f>IF(B2620,StartDate+D2620,"")</f>
        <v/>
      </c>
      <c r="F2620">
        <f>IF(B2620,MAX(MOD(SIN(Seed*0.1373+C2620*12.9898+D2620*78.233)*43758.5453,1),1E-9),"")</f>
        <v/>
      </c>
      <c r="G2620">
        <f>IF(B2620,MOD(SIN(Seed*0.5917+C2620*39.3468+D2620*11.135)*24634.6345,1),"")</f>
        <v/>
      </c>
      <c r="H2620">
        <f>IF(B2620,SQRT(-2*LN(F2620))*COS(2*PI()*G2620),"")</f>
        <v/>
      </c>
      <c r="I2620">
        <f>IF(B2620,IF(D2620=0,H2620,Rho*I2619+SQRT(1-Rho^2)*H2620),"")</f>
        <v/>
      </c>
      <c r="J2620">
        <f>IF(B2620,IF(Dist="Normal",DistA+DistB*I2620,DistA+(DistB-DistA)*NORMSDIST(I2620)),"")</f>
        <v/>
      </c>
      <c r="K2620">
        <f>IF(B2620,INDEX(MineScale,C2620),"")</f>
        <v/>
      </c>
      <c r="L2620">
        <f>IF(B2620,INDEX(Dow,1,WEEKDAY(E2620,2)),"")</f>
        <v/>
      </c>
      <c r="M2620">
        <f>IF(B2620,(1+Trend)^D2620,"")</f>
        <v/>
      </c>
      <c r="N2620">
        <f>IF(B2620,EXP(SUMPRODUCT(LN(1+(EvEff-1)*INDEX(Affected,0,C2620)*EXP(-((E2620-EvCenter)^2)/(2*EvSigma^2))))),"")</f>
        <v/>
      </c>
      <c r="O2620">
        <f>IF(B2620,ROUND(MAX(0,J2620*K2620*L2620*M2620*N2620),2),"")</f>
        <v/>
      </c>
    </row>
    <row r="2621">
      <c r="A2621" t="n">
        <v>2620</v>
      </c>
      <c r="B2621">
        <f>A2621&lt;=MineCount*Days</f>
        <v/>
      </c>
      <c r="C2621">
        <f>IF(B2621,INT((A2621-1)/Days)+1,"")</f>
        <v/>
      </c>
      <c r="D2621">
        <f>IF(B2621,MOD(A2621-1,Days),"")</f>
        <v/>
      </c>
      <c r="E2621" s="16">
        <f>IF(B2621,StartDate+D2621,"")</f>
        <v/>
      </c>
      <c r="F2621">
        <f>IF(B2621,MAX(MOD(SIN(Seed*0.1373+C2621*12.9898+D2621*78.233)*43758.5453,1),1E-9),"")</f>
        <v/>
      </c>
      <c r="G2621">
        <f>IF(B2621,MOD(SIN(Seed*0.5917+C2621*39.3468+D2621*11.135)*24634.6345,1),"")</f>
        <v/>
      </c>
      <c r="H2621">
        <f>IF(B2621,SQRT(-2*LN(F2621))*COS(2*PI()*G2621),"")</f>
        <v/>
      </c>
      <c r="I2621">
        <f>IF(B2621,IF(D2621=0,H2621,Rho*I2620+SQRT(1-Rho^2)*H2621),"")</f>
        <v/>
      </c>
      <c r="J2621">
        <f>IF(B2621,IF(Dist="Normal",DistA+DistB*I2621,DistA+(DistB-DistA)*NORMSDIST(I2621)),"")</f>
        <v/>
      </c>
      <c r="K2621">
        <f>IF(B2621,INDEX(MineScale,C2621),"")</f>
        <v/>
      </c>
      <c r="L2621">
        <f>IF(B2621,INDEX(Dow,1,WEEKDAY(E2621,2)),"")</f>
        <v/>
      </c>
      <c r="M2621">
        <f>IF(B2621,(1+Trend)^D2621,"")</f>
        <v/>
      </c>
      <c r="N2621">
        <f>IF(B2621,EXP(SUMPRODUCT(LN(1+(EvEff-1)*INDEX(Affected,0,C2621)*EXP(-((E2621-EvCenter)^2)/(2*EvSigma^2))))),"")</f>
        <v/>
      </c>
      <c r="O2621">
        <f>IF(B2621,ROUND(MAX(0,J2621*K2621*L2621*M2621*N2621),2),"")</f>
        <v/>
      </c>
    </row>
    <row r="2622">
      <c r="A2622" t="n">
        <v>2621</v>
      </c>
      <c r="B2622">
        <f>A2622&lt;=MineCount*Days</f>
        <v/>
      </c>
      <c r="C2622">
        <f>IF(B2622,INT((A2622-1)/Days)+1,"")</f>
        <v/>
      </c>
      <c r="D2622">
        <f>IF(B2622,MOD(A2622-1,Days),"")</f>
        <v/>
      </c>
      <c r="E2622" s="16">
        <f>IF(B2622,StartDate+D2622,"")</f>
        <v/>
      </c>
      <c r="F2622">
        <f>IF(B2622,MAX(MOD(SIN(Seed*0.1373+C2622*12.9898+D2622*78.233)*43758.5453,1),1E-9),"")</f>
        <v/>
      </c>
      <c r="G2622">
        <f>IF(B2622,MOD(SIN(Seed*0.5917+C2622*39.3468+D2622*11.135)*24634.6345,1),"")</f>
        <v/>
      </c>
      <c r="H2622">
        <f>IF(B2622,SQRT(-2*LN(F2622))*COS(2*PI()*G2622),"")</f>
        <v/>
      </c>
      <c r="I2622">
        <f>IF(B2622,IF(D2622=0,H2622,Rho*I2621+SQRT(1-Rho^2)*H2622),"")</f>
        <v/>
      </c>
      <c r="J2622">
        <f>IF(B2622,IF(Dist="Normal",DistA+DistB*I2622,DistA+(DistB-DistA)*NORMSDIST(I2622)),"")</f>
        <v/>
      </c>
      <c r="K2622">
        <f>IF(B2622,INDEX(MineScale,C2622),"")</f>
        <v/>
      </c>
      <c r="L2622">
        <f>IF(B2622,INDEX(Dow,1,WEEKDAY(E2622,2)),"")</f>
        <v/>
      </c>
      <c r="M2622">
        <f>IF(B2622,(1+Trend)^D2622,"")</f>
        <v/>
      </c>
      <c r="N2622">
        <f>IF(B2622,EXP(SUMPRODUCT(LN(1+(EvEff-1)*INDEX(Affected,0,C2622)*EXP(-((E2622-EvCenter)^2)/(2*EvSigma^2))))),"")</f>
        <v/>
      </c>
      <c r="O2622">
        <f>IF(B2622,ROUND(MAX(0,J2622*K2622*L2622*M2622*N2622),2),"")</f>
        <v/>
      </c>
    </row>
    <row r="2623">
      <c r="A2623" t="n">
        <v>2622</v>
      </c>
      <c r="B2623">
        <f>A2623&lt;=MineCount*Days</f>
        <v/>
      </c>
      <c r="C2623">
        <f>IF(B2623,INT((A2623-1)/Days)+1,"")</f>
        <v/>
      </c>
      <c r="D2623">
        <f>IF(B2623,MOD(A2623-1,Days),"")</f>
        <v/>
      </c>
      <c r="E2623" s="16">
        <f>IF(B2623,StartDate+D2623,"")</f>
        <v/>
      </c>
      <c r="F2623">
        <f>IF(B2623,MAX(MOD(SIN(Seed*0.1373+C2623*12.9898+D2623*78.233)*43758.5453,1),1E-9),"")</f>
        <v/>
      </c>
      <c r="G2623">
        <f>IF(B2623,MOD(SIN(Seed*0.5917+C2623*39.3468+D2623*11.135)*24634.6345,1),"")</f>
        <v/>
      </c>
      <c r="H2623">
        <f>IF(B2623,SQRT(-2*LN(F2623))*COS(2*PI()*G2623),"")</f>
        <v/>
      </c>
      <c r="I2623">
        <f>IF(B2623,IF(D2623=0,H2623,Rho*I2622+SQRT(1-Rho^2)*H2623),"")</f>
        <v/>
      </c>
      <c r="J2623">
        <f>IF(B2623,IF(Dist="Normal",DistA+DistB*I2623,DistA+(DistB-DistA)*NORMSDIST(I2623)),"")</f>
        <v/>
      </c>
      <c r="K2623">
        <f>IF(B2623,INDEX(MineScale,C2623),"")</f>
        <v/>
      </c>
      <c r="L2623">
        <f>IF(B2623,INDEX(Dow,1,WEEKDAY(E2623,2)),"")</f>
        <v/>
      </c>
      <c r="M2623">
        <f>IF(B2623,(1+Trend)^D2623,"")</f>
        <v/>
      </c>
      <c r="N2623">
        <f>IF(B2623,EXP(SUMPRODUCT(LN(1+(EvEff-1)*INDEX(Affected,0,C2623)*EXP(-((E2623-EvCenter)^2)/(2*EvSigma^2))))),"")</f>
        <v/>
      </c>
      <c r="O2623">
        <f>IF(B2623,ROUND(MAX(0,J2623*K2623*L2623*M2623*N2623),2),"")</f>
        <v/>
      </c>
    </row>
    <row r="2624">
      <c r="A2624" t="n">
        <v>2623</v>
      </c>
      <c r="B2624">
        <f>A2624&lt;=MineCount*Days</f>
        <v/>
      </c>
      <c r="C2624">
        <f>IF(B2624,INT((A2624-1)/Days)+1,"")</f>
        <v/>
      </c>
      <c r="D2624">
        <f>IF(B2624,MOD(A2624-1,Days),"")</f>
        <v/>
      </c>
      <c r="E2624" s="16">
        <f>IF(B2624,StartDate+D2624,"")</f>
        <v/>
      </c>
      <c r="F2624">
        <f>IF(B2624,MAX(MOD(SIN(Seed*0.1373+C2624*12.9898+D2624*78.233)*43758.5453,1),1E-9),"")</f>
        <v/>
      </c>
      <c r="G2624">
        <f>IF(B2624,MOD(SIN(Seed*0.5917+C2624*39.3468+D2624*11.135)*24634.6345,1),"")</f>
        <v/>
      </c>
      <c r="H2624">
        <f>IF(B2624,SQRT(-2*LN(F2624))*COS(2*PI()*G2624),"")</f>
        <v/>
      </c>
      <c r="I2624">
        <f>IF(B2624,IF(D2624=0,H2624,Rho*I2623+SQRT(1-Rho^2)*H2624),"")</f>
        <v/>
      </c>
      <c r="J2624">
        <f>IF(B2624,IF(Dist="Normal",DistA+DistB*I2624,DistA+(DistB-DistA)*NORMSDIST(I2624)),"")</f>
        <v/>
      </c>
      <c r="K2624">
        <f>IF(B2624,INDEX(MineScale,C2624),"")</f>
        <v/>
      </c>
      <c r="L2624">
        <f>IF(B2624,INDEX(Dow,1,WEEKDAY(E2624,2)),"")</f>
        <v/>
      </c>
      <c r="M2624">
        <f>IF(B2624,(1+Trend)^D2624,"")</f>
        <v/>
      </c>
      <c r="N2624">
        <f>IF(B2624,EXP(SUMPRODUCT(LN(1+(EvEff-1)*INDEX(Affected,0,C2624)*EXP(-((E2624-EvCenter)^2)/(2*EvSigma^2))))),"")</f>
        <v/>
      </c>
      <c r="O2624">
        <f>IF(B2624,ROUND(MAX(0,J2624*K2624*L2624*M2624*N2624),2),"")</f>
        <v/>
      </c>
    </row>
    <row r="2625">
      <c r="A2625" t="n">
        <v>2624</v>
      </c>
      <c r="B2625">
        <f>A2625&lt;=MineCount*Days</f>
        <v/>
      </c>
      <c r="C2625">
        <f>IF(B2625,INT((A2625-1)/Days)+1,"")</f>
        <v/>
      </c>
      <c r="D2625">
        <f>IF(B2625,MOD(A2625-1,Days),"")</f>
        <v/>
      </c>
      <c r="E2625" s="16">
        <f>IF(B2625,StartDate+D2625,"")</f>
        <v/>
      </c>
      <c r="F2625">
        <f>IF(B2625,MAX(MOD(SIN(Seed*0.1373+C2625*12.9898+D2625*78.233)*43758.5453,1),1E-9),"")</f>
        <v/>
      </c>
      <c r="G2625">
        <f>IF(B2625,MOD(SIN(Seed*0.5917+C2625*39.3468+D2625*11.135)*24634.6345,1),"")</f>
        <v/>
      </c>
      <c r="H2625">
        <f>IF(B2625,SQRT(-2*LN(F2625))*COS(2*PI()*G2625),"")</f>
        <v/>
      </c>
      <c r="I2625">
        <f>IF(B2625,IF(D2625=0,H2625,Rho*I2624+SQRT(1-Rho^2)*H2625),"")</f>
        <v/>
      </c>
      <c r="J2625">
        <f>IF(B2625,IF(Dist="Normal",DistA+DistB*I2625,DistA+(DistB-DistA)*NORMSDIST(I2625)),"")</f>
        <v/>
      </c>
      <c r="K2625">
        <f>IF(B2625,INDEX(MineScale,C2625),"")</f>
        <v/>
      </c>
      <c r="L2625">
        <f>IF(B2625,INDEX(Dow,1,WEEKDAY(E2625,2)),"")</f>
        <v/>
      </c>
      <c r="M2625">
        <f>IF(B2625,(1+Trend)^D2625,"")</f>
        <v/>
      </c>
      <c r="N2625">
        <f>IF(B2625,EXP(SUMPRODUCT(LN(1+(EvEff-1)*INDEX(Affected,0,C2625)*EXP(-((E2625-EvCenter)^2)/(2*EvSigma^2))))),"")</f>
        <v/>
      </c>
      <c r="O2625">
        <f>IF(B2625,ROUND(MAX(0,J2625*K2625*L2625*M2625*N2625),2),"")</f>
        <v/>
      </c>
    </row>
    <row r="2626">
      <c r="A2626" t="n">
        <v>2625</v>
      </c>
      <c r="B2626">
        <f>A2626&lt;=MineCount*Days</f>
        <v/>
      </c>
      <c r="C2626">
        <f>IF(B2626,INT((A2626-1)/Days)+1,"")</f>
        <v/>
      </c>
      <c r="D2626">
        <f>IF(B2626,MOD(A2626-1,Days),"")</f>
        <v/>
      </c>
      <c r="E2626" s="16">
        <f>IF(B2626,StartDate+D2626,"")</f>
        <v/>
      </c>
      <c r="F2626">
        <f>IF(B2626,MAX(MOD(SIN(Seed*0.1373+C2626*12.9898+D2626*78.233)*43758.5453,1),1E-9),"")</f>
        <v/>
      </c>
      <c r="G2626">
        <f>IF(B2626,MOD(SIN(Seed*0.5917+C2626*39.3468+D2626*11.135)*24634.6345,1),"")</f>
        <v/>
      </c>
      <c r="H2626">
        <f>IF(B2626,SQRT(-2*LN(F2626))*COS(2*PI()*G2626),"")</f>
        <v/>
      </c>
      <c r="I2626">
        <f>IF(B2626,IF(D2626=0,H2626,Rho*I2625+SQRT(1-Rho^2)*H2626),"")</f>
        <v/>
      </c>
      <c r="J2626">
        <f>IF(B2626,IF(Dist="Normal",DistA+DistB*I2626,DistA+(DistB-DistA)*NORMSDIST(I2626)),"")</f>
        <v/>
      </c>
      <c r="K2626">
        <f>IF(B2626,INDEX(MineScale,C2626),"")</f>
        <v/>
      </c>
      <c r="L2626">
        <f>IF(B2626,INDEX(Dow,1,WEEKDAY(E2626,2)),"")</f>
        <v/>
      </c>
      <c r="M2626">
        <f>IF(B2626,(1+Trend)^D2626,"")</f>
        <v/>
      </c>
      <c r="N2626">
        <f>IF(B2626,EXP(SUMPRODUCT(LN(1+(EvEff-1)*INDEX(Affected,0,C2626)*EXP(-((E2626-EvCenter)^2)/(2*EvSigma^2))))),"")</f>
        <v/>
      </c>
      <c r="O2626">
        <f>IF(B2626,ROUND(MAX(0,J2626*K2626*L2626*M2626*N2626),2),"")</f>
        <v/>
      </c>
    </row>
    <row r="2627">
      <c r="A2627" t="n">
        <v>2626</v>
      </c>
      <c r="B2627">
        <f>A2627&lt;=MineCount*Days</f>
        <v/>
      </c>
      <c r="C2627">
        <f>IF(B2627,INT((A2627-1)/Days)+1,"")</f>
        <v/>
      </c>
      <c r="D2627">
        <f>IF(B2627,MOD(A2627-1,Days),"")</f>
        <v/>
      </c>
      <c r="E2627" s="16">
        <f>IF(B2627,StartDate+D2627,"")</f>
        <v/>
      </c>
      <c r="F2627">
        <f>IF(B2627,MAX(MOD(SIN(Seed*0.1373+C2627*12.9898+D2627*78.233)*43758.5453,1),1E-9),"")</f>
        <v/>
      </c>
      <c r="G2627">
        <f>IF(B2627,MOD(SIN(Seed*0.5917+C2627*39.3468+D2627*11.135)*24634.6345,1),"")</f>
        <v/>
      </c>
      <c r="H2627">
        <f>IF(B2627,SQRT(-2*LN(F2627))*COS(2*PI()*G2627),"")</f>
        <v/>
      </c>
      <c r="I2627">
        <f>IF(B2627,IF(D2627=0,H2627,Rho*I2626+SQRT(1-Rho^2)*H2627),"")</f>
        <v/>
      </c>
      <c r="J2627">
        <f>IF(B2627,IF(Dist="Normal",DistA+DistB*I2627,DistA+(DistB-DistA)*NORMSDIST(I2627)),"")</f>
        <v/>
      </c>
      <c r="K2627">
        <f>IF(B2627,INDEX(MineScale,C2627),"")</f>
        <v/>
      </c>
      <c r="L2627">
        <f>IF(B2627,INDEX(Dow,1,WEEKDAY(E2627,2)),"")</f>
        <v/>
      </c>
      <c r="M2627">
        <f>IF(B2627,(1+Trend)^D2627,"")</f>
        <v/>
      </c>
      <c r="N2627">
        <f>IF(B2627,EXP(SUMPRODUCT(LN(1+(EvEff-1)*INDEX(Affected,0,C2627)*EXP(-((E2627-EvCenter)^2)/(2*EvSigma^2))))),"")</f>
        <v/>
      </c>
      <c r="O2627">
        <f>IF(B2627,ROUND(MAX(0,J2627*K2627*L2627*M2627*N2627),2),"")</f>
        <v/>
      </c>
    </row>
    <row r="2628">
      <c r="A2628" t="n">
        <v>2627</v>
      </c>
      <c r="B2628">
        <f>A2628&lt;=MineCount*Days</f>
        <v/>
      </c>
      <c r="C2628">
        <f>IF(B2628,INT((A2628-1)/Days)+1,"")</f>
        <v/>
      </c>
      <c r="D2628">
        <f>IF(B2628,MOD(A2628-1,Days),"")</f>
        <v/>
      </c>
      <c r="E2628" s="16">
        <f>IF(B2628,StartDate+D2628,"")</f>
        <v/>
      </c>
      <c r="F2628">
        <f>IF(B2628,MAX(MOD(SIN(Seed*0.1373+C2628*12.9898+D2628*78.233)*43758.5453,1),1E-9),"")</f>
        <v/>
      </c>
      <c r="G2628">
        <f>IF(B2628,MOD(SIN(Seed*0.5917+C2628*39.3468+D2628*11.135)*24634.6345,1),"")</f>
        <v/>
      </c>
      <c r="H2628">
        <f>IF(B2628,SQRT(-2*LN(F2628))*COS(2*PI()*G2628),"")</f>
        <v/>
      </c>
      <c r="I2628">
        <f>IF(B2628,IF(D2628=0,H2628,Rho*I2627+SQRT(1-Rho^2)*H2628),"")</f>
        <v/>
      </c>
      <c r="J2628">
        <f>IF(B2628,IF(Dist="Normal",DistA+DistB*I2628,DistA+(DistB-DistA)*NORMSDIST(I2628)),"")</f>
        <v/>
      </c>
      <c r="K2628">
        <f>IF(B2628,INDEX(MineScale,C2628),"")</f>
        <v/>
      </c>
      <c r="L2628">
        <f>IF(B2628,INDEX(Dow,1,WEEKDAY(E2628,2)),"")</f>
        <v/>
      </c>
      <c r="M2628">
        <f>IF(B2628,(1+Trend)^D2628,"")</f>
        <v/>
      </c>
      <c r="N2628">
        <f>IF(B2628,EXP(SUMPRODUCT(LN(1+(EvEff-1)*INDEX(Affected,0,C2628)*EXP(-((E2628-EvCenter)^2)/(2*EvSigma^2))))),"")</f>
        <v/>
      </c>
      <c r="O2628">
        <f>IF(B2628,ROUND(MAX(0,J2628*K2628*L2628*M2628*N2628),2),"")</f>
        <v/>
      </c>
    </row>
    <row r="2629">
      <c r="A2629" t="n">
        <v>2628</v>
      </c>
      <c r="B2629">
        <f>A2629&lt;=MineCount*Days</f>
        <v/>
      </c>
      <c r="C2629">
        <f>IF(B2629,INT((A2629-1)/Days)+1,"")</f>
        <v/>
      </c>
      <c r="D2629">
        <f>IF(B2629,MOD(A2629-1,Days),"")</f>
        <v/>
      </c>
      <c r="E2629" s="16">
        <f>IF(B2629,StartDate+D2629,"")</f>
        <v/>
      </c>
      <c r="F2629">
        <f>IF(B2629,MAX(MOD(SIN(Seed*0.1373+C2629*12.9898+D2629*78.233)*43758.5453,1),1E-9),"")</f>
        <v/>
      </c>
      <c r="G2629">
        <f>IF(B2629,MOD(SIN(Seed*0.5917+C2629*39.3468+D2629*11.135)*24634.6345,1),"")</f>
        <v/>
      </c>
      <c r="H2629">
        <f>IF(B2629,SQRT(-2*LN(F2629))*COS(2*PI()*G2629),"")</f>
        <v/>
      </c>
      <c r="I2629">
        <f>IF(B2629,IF(D2629=0,H2629,Rho*I2628+SQRT(1-Rho^2)*H2629),"")</f>
        <v/>
      </c>
      <c r="J2629">
        <f>IF(B2629,IF(Dist="Normal",DistA+DistB*I2629,DistA+(DistB-DistA)*NORMSDIST(I2629)),"")</f>
        <v/>
      </c>
      <c r="K2629">
        <f>IF(B2629,INDEX(MineScale,C2629),"")</f>
        <v/>
      </c>
      <c r="L2629">
        <f>IF(B2629,INDEX(Dow,1,WEEKDAY(E2629,2)),"")</f>
        <v/>
      </c>
      <c r="M2629">
        <f>IF(B2629,(1+Trend)^D2629,"")</f>
        <v/>
      </c>
      <c r="N2629">
        <f>IF(B2629,EXP(SUMPRODUCT(LN(1+(EvEff-1)*INDEX(Affected,0,C2629)*EXP(-((E2629-EvCenter)^2)/(2*EvSigma^2))))),"")</f>
        <v/>
      </c>
      <c r="O2629">
        <f>IF(B2629,ROUND(MAX(0,J2629*K2629*L2629*M2629*N2629),2),"")</f>
        <v/>
      </c>
    </row>
    <row r="2630">
      <c r="A2630" t="n">
        <v>2629</v>
      </c>
      <c r="B2630">
        <f>A2630&lt;=MineCount*Days</f>
        <v/>
      </c>
      <c r="C2630">
        <f>IF(B2630,INT((A2630-1)/Days)+1,"")</f>
        <v/>
      </c>
      <c r="D2630">
        <f>IF(B2630,MOD(A2630-1,Days),"")</f>
        <v/>
      </c>
      <c r="E2630" s="16">
        <f>IF(B2630,StartDate+D2630,"")</f>
        <v/>
      </c>
      <c r="F2630">
        <f>IF(B2630,MAX(MOD(SIN(Seed*0.1373+C2630*12.9898+D2630*78.233)*43758.5453,1),1E-9),"")</f>
        <v/>
      </c>
      <c r="G2630">
        <f>IF(B2630,MOD(SIN(Seed*0.5917+C2630*39.3468+D2630*11.135)*24634.6345,1),"")</f>
        <v/>
      </c>
      <c r="H2630">
        <f>IF(B2630,SQRT(-2*LN(F2630))*COS(2*PI()*G2630),"")</f>
        <v/>
      </c>
      <c r="I2630">
        <f>IF(B2630,IF(D2630=0,H2630,Rho*I2629+SQRT(1-Rho^2)*H2630),"")</f>
        <v/>
      </c>
      <c r="J2630">
        <f>IF(B2630,IF(Dist="Normal",DistA+DistB*I2630,DistA+(DistB-DistA)*NORMSDIST(I2630)),"")</f>
        <v/>
      </c>
      <c r="K2630">
        <f>IF(B2630,INDEX(MineScale,C2630),"")</f>
        <v/>
      </c>
      <c r="L2630">
        <f>IF(B2630,INDEX(Dow,1,WEEKDAY(E2630,2)),"")</f>
        <v/>
      </c>
      <c r="M2630">
        <f>IF(B2630,(1+Trend)^D2630,"")</f>
        <v/>
      </c>
      <c r="N2630">
        <f>IF(B2630,EXP(SUMPRODUCT(LN(1+(EvEff-1)*INDEX(Affected,0,C2630)*EXP(-((E2630-EvCenter)^2)/(2*EvSigma^2))))),"")</f>
        <v/>
      </c>
      <c r="O2630">
        <f>IF(B2630,ROUND(MAX(0,J2630*K2630*L2630*M2630*N2630),2),"")</f>
        <v/>
      </c>
    </row>
    <row r="2631">
      <c r="A2631" t="n">
        <v>2630</v>
      </c>
      <c r="B2631">
        <f>A2631&lt;=MineCount*Days</f>
        <v/>
      </c>
      <c r="C2631">
        <f>IF(B2631,INT((A2631-1)/Days)+1,"")</f>
        <v/>
      </c>
      <c r="D2631">
        <f>IF(B2631,MOD(A2631-1,Days),"")</f>
        <v/>
      </c>
      <c r="E2631" s="16">
        <f>IF(B2631,StartDate+D2631,"")</f>
        <v/>
      </c>
      <c r="F2631">
        <f>IF(B2631,MAX(MOD(SIN(Seed*0.1373+C2631*12.9898+D2631*78.233)*43758.5453,1),1E-9),"")</f>
        <v/>
      </c>
      <c r="G2631">
        <f>IF(B2631,MOD(SIN(Seed*0.5917+C2631*39.3468+D2631*11.135)*24634.6345,1),"")</f>
        <v/>
      </c>
      <c r="H2631">
        <f>IF(B2631,SQRT(-2*LN(F2631))*COS(2*PI()*G2631),"")</f>
        <v/>
      </c>
      <c r="I2631">
        <f>IF(B2631,IF(D2631=0,H2631,Rho*I2630+SQRT(1-Rho^2)*H2631),"")</f>
        <v/>
      </c>
      <c r="J2631">
        <f>IF(B2631,IF(Dist="Normal",DistA+DistB*I2631,DistA+(DistB-DistA)*NORMSDIST(I2631)),"")</f>
        <v/>
      </c>
      <c r="K2631">
        <f>IF(B2631,INDEX(MineScale,C2631),"")</f>
        <v/>
      </c>
      <c r="L2631">
        <f>IF(B2631,INDEX(Dow,1,WEEKDAY(E2631,2)),"")</f>
        <v/>
      </c>
      <c r="M2631">
        <f>IF(B2631,(1+Trend)^D2631,"")</f>
        <v/>
      </c>
      <c r="N2631">
        <f>IF(B2631,EXP(SUMPRODUCT(LN(1+(EvEff-1)*INDEX(Affected,0,C2631)*EXP(-((E2631-EvCenter)^2)/(2*EvSigma^2))))),"")</f>
        <v/>
      </c>
      <c r="O2631">
        <f>IF(B2631,ROUND(MAX(0,J2631*K2631*L2631*M2631*N2631),2),"")</f>
        <v/>
      </c>
    </row>
    <row r="2632">
      <c r="A2632" t="n">
        <v>2631</v>
      </c>
      <c r="B2632">
        <f>A2632&lt;=MineCount*Days</f>
        <v/>
      </c>
      <c r="C2632">
        <f>IF(B2632,INT((A2632-1)/Days)+1,"")</f>
        <v/>
      </c>
      <c r="D2632">
        <f>IF(B2632,MOD(A2632-1,Days),"")</f>
        <v/>
      </c>
      <c r="E2632" s="16">
        <f>IF(B2632,StartDate+D2632,"")</f>
        <v/>
      </c>
      <c r="F2632">
        <f>IF(B2632,MAX(MOD(SIN(Seed*0.1373+C2632*12.9898+D2632*78.233)*43758.5453,1),1E-9),"")</f>
        <v/>
      </c>
      <c r="G2632">
        <f>IF(B2632,MOD(SIN(Seed*0.5917+C2632*39.3468+D2632*11.135)*24634.6345,1),"")</f>
        <v/>
      </c>
      <c r="H2632">
        <f>IF(B2632,SQRT(-2*LN(F2632))*COS(2*PI()*G2632),"")</f>
        <v/>
      </c>
      <c r="I2632">
        <f>IF(B2632,IF(D2632=0,H2632,Rho*I2631+SQRT(1-Rho^2)*H2632),"")</f>
        <v/>
      </c>
      <c r="J2632">
        <f>IF(B2632,IF(Dist="Normal",DistA+DistB*I2632,DistA+(DistB-DistA)*NORMSDIST(I2632)),"")</f>
        <v/>
      </c>
      <c r="K2632">
        <f>IF(B2632,INDEX(MineScale,C2632),"")</f>
        <v/>
      </c>
      <c r="L2632">
        <f>IF(B2632,INDEX(Dow,1,WEEKDAY(E2632,2)),"")</f>
        <v/>
      </c>
      <c r="M2632">
        <f>IF(B2632,(1+Trend)^D2632,"")</f>
        <v/>
      </c>
      <c r="N2632">
        <f>IF(B2632,EXP(SUMPRODUCT(LN(1+(EvEff-1)*INDEX(Affected,0,C2632)*EXP(-((E2632-EvCenter)^2)/(2*EvSigma^2))))),"")</f>
        <v/>
      </c>
      <c r="O2632">
        <f>IF(B2632,ROUND(MAX(0,J2632*K2632*L2632*M2632*N2632),2),"")</f>
        <v/>
      </c>
    </row>
    <row r="2633">
      <c r="A2633" t="n">
        <v>2632</v>
      </c>
      <c r="B2633">
        <f>A2633&lt;=MineCount*Days</f>
        <v/>
      </c>
      <c r="C2633">
        <f>IF(B2633,INT((A2633-1)/Days)+1,"")</f>
        <v/>
      </c>
      <c r="D2633">
        <f>IF(B2633,MOD(A2633-1,Days),"")</f>
        <v/>
      </c>
      <c r="E2633" s="16">
        <f>IF(B2633,StartDate+D2633,"")</f>
        <v/>
      </c>
      <c r="F2633">
        <f>IF(B2633,MAX(MOD(SIN(Seed*0.1373+C2633*12.9898+D2633*78.233)*43758.5453,1),1E-9),"")</f>
        <v/>
      </c>
      <c r="G2633">
        <f>IF(B2633,MOD(SIN(Seed*0.5917+C2633*39.3468+D2633*11.135)*24634.6345,1),"")</f>
        <v/>
      </c>
      <c r="H2633">
        <f>IF(B2633,SQRT(-2*LN(F2633))*COS(2*PI()*G2633),"")</f>
        <v/>
      </c>
      <c r="I2633">
        <f>IF(B2633,IF(D2633=0,H2633,Rho*I2632+SQRT(1-Rho^2)*H2633),"")</f>
        <v/>
      </c>
      <c r="J2633">
        <f>IF(B2633,IF(Dist="Normal",DistA+DistB*I2633,DistA+(DistB-DistA)*NORMSDIST(I2633)),"")</f>
        <v/>
      </c>
      <c r="K2633">
        <f>IF(B2633,INDEX(MineScale,C2633),"")</f>
        <v/>
      </c>
      <c r="L2633">
        <f>IF(B2633,INDEX(Dow,1,WEEKDAY(E2633,2)),"")</f>
        <v/>
      </c>
      <c r="M2633">
        <f>IF(B2633,(1+Trend)^D2633,"")</f>
        <v/>
      </c>
      <c r="N2633">
        <f>IF(B2633,EXP(SUMPRODUCT(LN(1+(EvEff-1)*INDEX(Affected,0,C2633)*EXP(-((E2633-EvCenter)^2)/(2*EvSigma^2))))),"")</f>
        <v/>
      </c>
      <c r="O2633">
        <f>IF(B2633,ROUND(MAX(0,J2633*K2633*L2633*M2633*N2633),2),"")</f>
        <v/>
      </c>
    </row>
    <row r="2634">
      <c r="A2634" t="n">
        <v>2633</v>
      </c>
      <c r="B2634">
        <f>A2634&lt;=MineCount*Days</f>
        <v/>
      </c>
      <c r="C2634">
        <f>IF(B2634,INT((A2634-1)/Days)+1,"")</f>
        <v/>
      </c>
      <c r="D2634">
        <f>IF(B2634,MOD(A2634-1,Days),"")</f>
        <v/>
      </c>
      <c r="E2634" s="16">
        <f>IF(B2634,StartDate+D2634,"")</f>
        <v/>
      </c>
      <c r="F2634">
        <f>IF(B2634,MAX(MOD(SIN(Seed*0.1373+C2634*12.9898+D2634*78.233)*43758.5453,1),1E-9),"")</f>
        <v/>
      </c>
      <c r="G2634">
        <f>IF(B2634,MOD(SIN(Seed*0.5917+C2634*39.3468+D2634*11.135)*24634.6345,1),"")</f>
        <v/>
      </c>
      <c r="H2634">
        <f>IF(B2634,SQRT(-2*LN(F2634))*COS(2*PI()*G2634),"")</f>
        <v/>
      </c>
      <c r="I2634">
        <f>IF(B2634,IF(D2634=0,H2634,Rho*I2633+SQRT(1-Rho^2)*H2634),"")</f>
        <v/>
      </c>
      <c r="J2634">
        <f>IF(B2634,IF(Dist="Normal",DistA+DistB*I2634,DistA+(DistB-DistA)*NORMSDIST(I2634)),"")</f>
        <v/>
      </c>
      <c r="K2634">
        <f>IF(B2634,INDEX(MineScale,C2634),"")</f>
        <v/>
      </c>
      <c r="L2634">
        <f>IF(B2634,INDEX(Dow,1,WEEKDAY(E2634,2)),"")</f>
        <v/>
      </c>
      <c r="M2634">
        <f>IF(B2634,(1+Trend)^D2634,"")</f>
        <v/>
      </c>
      <c r="N2634">
        <f>IF(B2634,EXP(SUMPRODUCT(LN(1+(EvEff-1)*INDEX(Affected,0,C2634)*EXP(-((E2634-EvCenter)^2)/(2*EvSigma^2))))),"")</f>
        <v/>
      </c>
      <c r="O2634">
        <f>IF(B2634,ROUND(MAX(0,J2634*K2634*L2634*M2634*N2634),2),"")</f>
        <v/>
      </c>
    </row>
    <row r="2635">
      <c r="A2635" t="n">
        <v>2634</v>
      </c>
      <c r="B2635">
        <f>A2635&lt;=MineCount*Days</f>
        <v/>
      </c>
      <c r="C2635">
        <f>IF(B2635,INT((A2635-1)/Days)+1,"")</f>
        <v/>
      </c>
      <c r="D2635">
        <f>IF(B2635,MOD(A2635-1,Days),"")</f>
        <v/>
      </c>
      <c r="E2635" s="16">
        <f>IF(B2635,StartDate+D2635,"")</f>
        <v/>
      </c>
      <c r="F2635">
        <f>IF(B2635,MAX(MOD(SIN(Seed*0.1373+C2635*12.9898+D2635*78.233)*43758.5453,1),1E-9),"")</f>
        <v/>
      </c>
      <c r="G2635">
        <f>IF(B2635,MOD(SIN(Seed*0.5917+C2635*39.3468+D2635*11.135)*24634.6345,1),"")</f>
        <v/>
      </c>
      <c r="H2635">
        <f>IF(B2635,SQRT(-2*LN(F2635))*COS(2*PI()*G2635),"")</f>
        <v/>
      </c>
      <c r="I2635">
        <f>IF(B2635,IF(D2635=0,H2635,Rho*I2634+SQRT(1-Rho^2)*H2635),"")</f>
        <v/>
      </c>
      <c r="J2635">
        <f>IF(B2635,IF(Dist="Normal",DistA+DistB*I2635,DistA+(DistB-DistA)*NORMSDIST(I2635)),"")</f>
        <v/>
      </c>
      <c r="K2635">
        <f>IF(B2635,INDEX(MineScale,C2635),"")</f>
        <v/>
      </c>
      <c r="L2635">
        <f>IF(B2635,INDEX(Dow,1,WEEKDAY(E2635,2)),"")</f>
        <v/>
      </c>
      <c r="M2635">
        <f>IF(B2635,(1+Trend)^D2635,"")</f>
        <v/>
      </c>
      <c r="N2635">
        <f>IF(B2635,EXP(SUMPRODUCT(LN(1+(EvEff-1)*INDEX(Affected,0,C2635)*EXP(-((E2635-EvCenter)^2)/(2*EvSigma^2))))),"")</f>
        <v/>
      </c>
      <c r="O2635">
        <f>IF(B2635,ROUND(MAX(0,J2635*K2635*L2635*M2635*N2635),2),"")</f>
        <v/>
      </c>
    </row>
    <row r="2636">
      <c r="A2636" t="n">
        <v>2635</v>
      </c>
      <c r="B2636">
        <f>A2636&lt;=MineCount*Days</f>
        <v/>
      </c>
      <c r="C2636">
        <f>IF(B2636,INT((A2636-1)/Days)+1,"")</f>
        <v/>
      </c>
      <c r="D2636">
        <f>IF(B2636,MOD(A2636-1,Days),"")</f>
        <v/>
      </c>
      <c r="E2636" s="16">
        <f>IF(B2636,StartDate+D2636,"")</f>
        <v/>
      </c>
      <c r="F2636">
        <f>IF(B2636,MAX(MOD(SIN(Seed*0.1373+C2636*12.9898+D2636*78.233)*43758.5453,1),1E-9),"")</f>
        <v/>
      </c>
      <c r="G2636">
        <f>IF(B2636,MOD(SIN(Seed*0.5917+C2636*39.3468+D2636*11.135)*24634.6345,1),"")</f>
        <v/>
      </c>
      <c r="H2636">
        <f>IF(B2636,SQRT(-2*LN(F2636))*COS(2*PI()*G2636),"")</f>
        <v/>
      </c>
      <c r="I2636">
        <f>IF(B2636,IF(D2636=0,H2636,Rho*I2635+SQRT(1-Rho^2)*H2636),"")</f>
        <v/>
      </c>
      <c r="J2636">
        <f>IF(B2636,IF(Dist="Normal",DistA+DistB*I2636,DistA+(DistB-DistA)*NORMSDIST(I2636)),"")</f>
        <v/>
      </c>
      <c r="K2636">
        <f>IF(B2636,INDEX(MineScale,C2636),"")</f>
        <v/>
      </c>
      <c r="L2636">
        <f>IF(B2636,INDEX(Dow,1,WEEKDAY(E2636,2)),"")</f>
        <v/>
      </c>
      <c r="M2636">
        <f>IF(B2636,(1+Trend)^D2636,"")</f>
        <v/>
      </c>
      <c r="N2636">
        <f>IF(B2636,EXP(SUMPRODUCT(LN(1+(EvEff-1)*INDEX(Affected,0,C2636)*EXP(-((E2636-EvCenter)^2)/(2*EvSigma^2))))),"")</f>
        <v/>
      </c>
      <c r="O2636">
        <f>IF(B2636,ROUND(MAX(0,J2636*K2636*L2636*M2636*N2636),2),"")</f>
        <v/>
      </c>
    </row>
    <row r="2637">
      <c r="A2637" t="n">
        <v>2636</v>
      </c>
      <c r="B2637">
        <f>A2637&lt;=MineCount*Days</f>
        <v/>
      </c>
      <c r="C2637">
        <f>IF(B2637,INT((A2637-1)/Days)+1,"")</f>
        <v/>
      </c>
      <c r="D2637">
        <f>IF(B2637,MOD(A2637-1,Days),"")</f>
        <v/>
      </c>
      <c r="E2637" s="16">
        <f>IF(B2637,StartDate+D2637,"")</f>
        <v/>
      </c>
      <c r="F2637">
        <f>IF(B2637,MAX(MOD(SIN(Seed*0.1373+C2637*12.9898+D2637*78.233)*43758.5453,1),1E-9),"")</f>
        <v/>
      </c>
      <c r="G2637">
        <f>IF(B2637,MOD(SIN(Seed*0.5917+C2637*39.3468+D2637*11.135)*24634.6345,1),"")</f>
        <v/>
      </c>
      <c r="H2637">
        <f>IF(B2637,SQRT(-2*LN(F2637))*COS(2*PI()*G2637),"")</f>
        <v/>
      </c>
      <c r="I2637">
        <f>IF(B2637,IF(D2637=0,H2637,Rho*I2636+SQRT(1-Rho^2)*H2637),"")</f>
        <v/>
      </c>
      <c r="J2637">
        <f>IF(B2637,IF(Dist="Normal",DistA+DistB*I2637,DistA+(DistB-DistA)*NORMSDIST(I2637)),"")</f>
        <v/>
      </c>
      <c r="K2637">
        <f>IF(B2637,INDEX(MineScale,C2637),"")</f>
        <v/>
      </c>
      <c r="L2637">
        <f>IF(B2637,INDEX(Dow,1,WEEKDAY(E2637,2)),"")</f>
        <v/>
      </c>
      <c r="M2637">
        <f>IF(B2637,(1+Trend)^D2637,"")</f>
        <v/>
      </c>
      <c r="N2637">
        <f>IF(B2637,EXP(SUMPRODUCT(LN(1+(EvEff-1)*INDEX(Affected,0,C2637)*EXP(-((E2637-EvCenter)^2)/(2*EvSigma^2))))),"")</f>
        <v/>
      </c>
      <c r="O2637">
        <f>IF(B2637,ROUND(MAX(0,J2637*K2637*L2637*M2637*N2637),2),"")</f>
        <v/>
      </c>
    </row>
    <row r="2638">
      <c r="A2638" t="n">
        <v>2637</v>
      </c>
      <c r="B2638">
        <f>A2638&lt;=MineCount*Days</f>
        <v/>
      </c>
      <c r="C2638">
        <f>IF(B2638,INT((A2638-1)/Days)+1,"")</f>
        <v/>
      </c>
      <c r="D2638">
        <f>IF(B2638,MOD(A2638-1,Days),"")</f>
        <v/>
      </c>
      <c r="E2638" s="16">
        <f>IF(B2638,StartDate+D2638,"")</f>
        <v/>
      </c>
      <c r="F2638">
        <f>IF(B2638,MAX(MOD(SIN(Seed*0.1373+C2638*12.9898+D2638*78.233)*43758.5453,1),1E-9),"")</f>
        <v/>
      </c>
      <c r="G2638">
        <f>IF(B2638,MOD(SIN(Seed*0.5917+C2638*39.3468+D2638*11.135)*24634.6345,1),"")</f>
        <v/>
      </c>
      <c r="H2638">
        <f>IF(B2638,SQRT(-2*LN(F2638))*COS(2*PI()*G2638),"")</f>
        <v/>
      </c>
      <c r="I2638">
        <f>IF(B2638,IF(D2638=0,H2638,Rho*I2637+SQRT(1-Rho^2)*H2638),"")</f>
        <v/>
      </c>
      <c r="J2638">
        <f>IF(B2638,IF(Dist="Normal",DistA+DistB*I2638,DistA+(DistB-DistA)*NORMSDIST(I2638)),"")</f>
        <v/>
      </c>
      <c r="K2638">
        <f>IF(B2638,INDEX(MineScale,C2638),"")</f>
        <v/>
      </c>
      <c r="L2638">
        <f>IF(B2638,INDEX(Dow,1,WEEKDAY(E2638,2)),"")</f>
        <v/>
      </c>
      <c r="M2638">
        <f>IF(B2638,(1+Trend)^D2638,"")</f>
        <v/>
      </c>
      <c r="N2638">
        <f>IF(B2638,EXP(SUMPRODUCT(LN(1+(EvEff-1)*INDEX(Affected,0,C2638)*EXP(-((E2638-EvCenter)^2)/(2*EvSigma^2))))),"")</f>
        <v/>
      </c>
      <c r="O2638">
        <f>IF(B2638,ROUND(MAX(0,J2638*K2638*L2638*M2638*N2638),2),"")</f>
        <v/>
      </c>
    </row>
    <row r="2639">
      <c r="A2639" t="n">
        <v>2638</v>
      </c>
      <c r="B2639">
        <f>A2639&lt;=MineCount*Days</f>
        <v/>
      </c>
      <c r="C2639">
        <f>IF(B2639,INT((A2639-1)/Days)+1,"")</f>
        <v/>
      </c>
      <c r="D2639">
        <f>IF(B2639,MOD(A2639-1,Days),"")</f>
        <v/>
      </c>
      <c r="E2639" s="16">
        <f>IF(B2639,StartDate+D2639,"")</f>
        <v/>
      </c>
      <c r="F2639">
        <f>IF(B2639,MAX(MOD(SIN(Seed*0.1373+C2639*12.9898+D2639*78.233)*43758.5453,1),1E-9),"")</f>
        <v/>
      </c>
      <c r="G2639">
        <f>IF(B2639,MOD(SIN(Seed*0.5917+C2639*39.3468+D2639*11.135)*24634.6345,1),"")</f>
        <v/>
      </c>
      <c r="H2639">
        <f>IF(B2639,SQRT(-2*LN(F2639))*COS(2*PI()*G2639),"")</f>
        <v/>
      </c>
      <c r="I2639">
        <f>IF(B2639,IF(D2639=0,H2639,Rho*I2638+SQRT(1-Rho^2)*H2639),"")</f>
        <v/>
      </c>
      <c r="J2639">
        <f>IF(B2639,IF(Dist="Normal",DistA+DistB*I2639,DistA+(DistB-DistA)*NORMSDIST(I2639)),"")</f>
        <v/>
      </c>
      <c r="K2639">
        <f>IF(B2639,INDEX(MineScale,C2639),"")</f>
        <v/>
      </c>
      <c r="L2639">
        <f>IF(B2639,INDEX(Dow,1,WEEKDAY(E2639,2)),"")</f>
        <v/>
      </c>
      <c r="M2639">
        <f>IF(B2639,(1+Trend)^D2639,"")</f>
        <v/>
      </c>
      <c r="N2639">
        <f>IF(B2639,EXP(SUMPRODUCT(LN(1+(EvEff-1)*INDEX(Affected,0,C2639)*EXP(-((E2639-EvCenter)^2)/(2*EvSigma^2))))),"")</f>
        <v/>
      </c>
      <c r="O2639">
        <f>IF(B2639,ROUND(MAX(0,J2639*K2639*L2639*M2639*N2639),2),"")</f>
        <v/>
      </c>
    </row>
    <row r="2640">
      <c r="A2640" t="n">
        <v>2639</v>
      </c>
      <c r="B2640">
        <f>A2640&lt;=MineCount*Days</f>
        <v/>
      </c>
      <c r="C2640">
        <f>IF(B2640,INT((A2640-1)/Days)+1,"")</f>
        <v/>
      </c>
      <c r="D2640">
        <f>IF(B2640,MOD(A2640-1,Days),"")</f>
        <v/>
      </c>
      <c r="E2640" s="16">
        <f>IF(B2640,StartDate+D2640,"")</f>
        <v/>
      </c>
      <c r="F2640">
        <f>IF(B2640,MAX(MOD(SIN(Seed*0.1373+C2640*12.9898+D2640*78.233)*43758.5453,1),1E-9),"")</f>
        <v/>
      </c>
      <c r="G2640">
        <f>IF(B2640,MOD(SIN(Seed*0.5917+C2640*39.3468+D2640*11.135)*24634.6345,1),"")</f>
        <v/>
      </c>
      <c r="H2640">
        <f>IF(B2640,SQRT(-2*LN(F2640))*COS(2*PI()*G2640),"")</f>
        <v/>
      </c>
      <c r="I2640">
        <f>IF(B2640,IF(D2640=0,H2640,Rho*I2639+SQRT(1-Rho^2)*H2640),"")</f>
        <v/>
      </c>
      <c r="J2640">
        <f>IF(B2640,IF(Dist="Normal",DistA+DistB*I2640,DistA+(DistB-DistA)*NORMSDIST(I2640)),"")</f>
        <v/>
      </c>
      <c r="K2640">
        <f>IF(B2640,INDEX(MineScale,C2640),"")</f>
        <v/>
      </c>
      <c r="L2640">
        <f>IF(B2640,INDEX(Dow,1,WEEKDAY(E2640,2)),"")</f>
        <v/>
      </c>
      <c r="M2640">
        <f>IF(B2640,(1+Trend)^D2640,"")</f>
        <v/>
      </c>
      <c r="N2640">
        <f>IF(B2640,EXP(SUMPRODUCT(LN(1+(EvEff-1)*INDEX(Affected,0,C2640)*EXP(-((E2640-EvCenter)^2)/(2*EvSigma^2))))),"")</f>
        <v/>
      </c>
      <c r="O2640">
        <f>IF(B2640,ROUND(MAX(0,J2640*K2640*L2640*M2640*N2640),2),"")</f>
        <v/>
      </c>
    </row>
    <row r="2641">
      <c r="A2641" t="n">
        <v>2640</v>
      </c>
      <c r="B2641">
        <f>A2641&lt;=MineCount*Days</f>
        <v/>
      </c>
      <c r="C2641">
        <f>IF(B2641,INT((A2641-1)/Days)+1,"")</f>
        <v/>
      </c>
      <c r="D2641">
        <f>IF(B2641,MOD(A2641-1,Days),"")</f>
        <v/>
      </c>
      <c r="E2641" s="16">
        <f>IF(B2641,StartDate+D2641,"")</f>
        <v/>
      </c>
      <c r="F2641">
        <f>IF(B2641,MAX(MOD(SIN(Seed*0.1373+C2641*12.9898+D2641*78.233)*43758.5453,1),1E-9),"")</f>
        <v/>
      </c>
      <c r="G2641">
        <f>IF(B2641,MOD(SIN(Seed*0.5917+C2641*39.3468+D2641*11.135)*24634.6345,1),"")</f>
        <v/>
      </c>
      <c r="H2641">
        <f>IF(B2641,SQRT(-2*LN(F2641))*COS(2*PI()*G2641),"")</f>
        <v/>
      </c>
      <c r="I2641">
        <f>IF(B2641,IF(D2641=0,H2641,Rho*I2640+SQRT(1-Rho^2)*H2641),"")</f>
        <v/>
      </c>
      <c r="J2641">
        <f>IF(B2641,IF(Dist="Normal",DistA+DistB*I2641,DistA+(DistB-DistA)*NORMSDIST(I2641)),"")</f>
        <v/>
      </c>
      <c r="K2641">
        <f>IF(B2641,INDEX(MineScale,C2641),"")</f>
        <v/>
      </c>
      <c r="L2641">
        <f>IF(B2641,INDEX(Dow,1,WEEKDAY(E2641,2)),"")</f>
        <v/>
      </c>
      <c r="M2641">
        <f>IF(B2641,(1+Trend)^D2641,"")</f>
        <v/>
      </c>
      <c r="N2641">
        <f>IF(B2641,EXP(SUMPRODUCT(LN(1+(EvEff-1)*INDEX(Affected,0,C2641)*EXP(-((E2641-EvCenter)^2)/(2*EvSigma^2))))),"")</f>
        <v/>
      </c>
      <c r="O2641">
        <f>IF(B2641,ROUND(MAX(0,J2641*K2641*L2641*M2641*N2641),2),"")</f>
        <v/>
      </c>
    </row>
    <row r="2642">
      <c r="A2642" t="n">
        <v>2641</v>
      </c>
      <c r="B2642">
        <f>A2642&lt;=MineCount*Days</f>
        <v/>
      </c>
      <c r="C2642">
        <f>IF(B2642,INT((A2642-1)/Days)+1,"")</f>
        <v/>
      </c>
      <c r="D2642">
        <f>IF(B2642,MOD(A2642-1,Days),"")</f>
        <v/>
      </c>
      <c r="E2642" s="16">
        <f>IF(B2642,StartDate+D2642,"")</f>
        <v/>
      </c>
      <c r="F2642">
        <f>IF(B2642,MAX(MOD(SIN(Seed*0.1373+C2642*12.9898+D2642*78.233)*43758.5453,1),1E-9),"")</f>
        <v/>
      </c>
      <c r="G2642">
        <f>IF(B2642,MOD(SIN(Seed*0.5917+C2642*39.3468+D2642*11.135)*24634.6345,1),"")</f>
        <v/>
      </c>
      <c r="H2642">
        <f>IF(B2642,SQRT(-2*LN(F2642))*COS(2*PI()*G2642),"")</f>
        <v/>
      </c>
      <c r="I2642">
        <f>IF(B2642,IF(D2642=0,H2642,Rho*I2641+SQRT(1-Rho^2)*H2642),"")</f>
        <v/>
      </c>
      <c r="J2642">
        <f>IF(B2642,IF(Dist="Normal",DistA+DistB*I2642,DistA+(DistB-DistA)*NORMSDIST(I2642)),"")</f>
        <v/>
      </c>
      <c r="K2642">
        <f>IF(B2642,INDEX(MineScale,C2642),"")</f>
        <v/>
      </c>
      <c r="L2642">
        <f>IF(B2642,INDEX(Dow,1,WEEKDAY(E2642,2)),"")</f>
        <v/>
      </c>
      <c r="M2642">
        <f>IF(B2642,(1+Trend)^D2642,"")</f>
        <v/>
      </c>
      <c r="N2642">
        <f>IF(B2642,EXP(SUMPRODUCT(LN(1+(EvEff-1)*INDEX(Affected,0,C2642)*EXP(-((E2642-EvCenter)^2)/(2*EvSigma^2))))),"")</f>
        <v/>
      </c>
      <c r="O2642">
        <f>IF(B2642,ROUND(MAX(0,J2642*K2642*L2642*M2642*N2642),2),"")</f>
        <v/>
      </c>
    </row>
    <row r="2643">
      <c r="A2643" t="n">
        <v>2642</v>
      </c>
      <c r="B2643">
        <f>A2643&lt;=MineCount*Days</f>
        <v/>
      </c>
      <c r="C2643">
        <f>IF(B2643,INT((A2643-1)/Days)+1,"")</f>
        <v/>
      </c>
      <c r="D2643">
        <f>IF(B2643,MOD(A2643-1,Days),"")</f>
        <v/>
      </c>
      <c r="E2643" s="16">
        <f>IF(B2643,StartDate+D2643,"")</f>
        <v/>
      </c>
      <c r="F2643">
        <f>IF(B2643,MAX(MOD(SIN(Seed*0.1373+C2643*12.9898+D2643*78.233)*43758.5453,1),1E-9),"")</f>
        <v/>
      </c>
      <c r="G2643">
        <f>IF(B2643,MOD(SIN(Seed*0.5917+C2643*39.3468+D2643*11.135)*24634.6345,1),"")</f>
        <v/>
      </c>
      <c r="H2643">
        <f>IF(B2643,SQRT(-2*LN(F2643))*COS(2*PI()*G2643),"")</f>
        <v/>
      </c>
      <c r="I2643">
        <f>IF(B2643,IF(D2643=0,H2643,Rho*I2642+SQRT(1-Rho^2)*H2643),"")</f>
        <v/>
      </c>
      <c r="J2643">
        <f>IF(B2643,IF(Dist="Normal",DistA+DistB*I2643,DistA+(DistB-DistA)*NORMSDIST(I2643)),"")</f>
        <v/>
      </c>
      <c r="K2643">
        <f>IF(B2643,INDEX(MineScale,C2643),"")</f>
        <v/>
      </c>
      <c r="L2643">
        <f>IF(B2643,INDEX(Dow,1,WEEKDAY(E2643,2)),"")</f>
        <v/>
      </c>
      <c r="M2643">
        <f>IF(B2643,(1+Trend)^D2643,"")</f>
        <v/>
      </c>
      <c r="N2643">
        <f>IF(B2643,EXP(SUMPRODUCT(LN(1+(EvEff-1)*INDEX(Affected,0,C2643)*EXP(-((E2643-EvCenter)^2)/(2*EvSigma^2))))),"")</f>
        <v/>
      </c>
      <c r="O2643">
        <f>IF(B2643,ROUND(MAX(0,J2643*K2643*L2643*M2643*N2643),2),"")</f>
        <v/>
      </c>
    </row>
    <row r="2644">
      <c r="A2644" t="n">
        <v>2643</v>
      </c>
      <c r="B2644">
        <f>A2644&lt;=MineCount*Days</f>
        <v/>
      </c>
      <c r="C2644">
        <f>IF(B2644,INT((A2644-1)/Days)+1,"")</f>
        <v/>
      </c>
      <c r="D2644">
        <f>IF(B2644,MOD(A2644-1,Days),"")</f>
        <v/>
      </c>
      <c r="E2644" s="16">
        <f>IF(B2644,StartDate+D2644,"")</f>
        <v/>
      </c>
      <c r="F2644">
        <f>IF(B2644,MAX(MOD(SIN(Seed*0.1373+C2644*12.9898+D2644*78.233)*43758.5453,1),1E-9),"")</f>
        <v/>
      </c>
      <c r="G2644">
        <f>IF(B2644,MOD(SIN(Seed*0.5917+C2644*39.3468+D2644*11.135)*24634.6345,1),"")</f>
        <v/>
      </c>
      <c r="H2644">
        <f>IF(B2644,SQRT(-2*LN(F2644))*COS(2*PI()*G2644),"")</f>
        <v/>
      </c>
      <c r="I2644">
        <f>IF(B2644,IF(D2644=0,H2644,Rho*I2643+SQRT(1-Rho^2)*H2644),"")</f>
        <v/>
      </c>
      <c r="J2644">
        <f>IF(B2644,IF(Dist="Normal",DistA+DistB*I2644,DistA+(DistB-DistA)*NORMSDIST(I2644)),"")</f>
        <v/>
      </c>
      <c r="K2644">
        <f>IF(B2644,INDEX(MineScale,C2644),"")</f>
        <v/>
      </c>
      <c r="L2644">
        <f>IF(B2644,INDEX(Dow,1,WEEKDAY(E2644,2)),"")</f>
        <v/>
      </c>
      <c r="M2644">
        <f>IF(B2644,(1+Trend)^D2644,"")</f>
        <v/>
      </c>
      <c r="N2644">
        <f>IF(B2644,EXP(SUMPRODUCT(LN(1+(EvEff-1)*INDEX(Affected,0,C2644)*EXP(-((E2644-EvCenter)^2)/(2*EvSigma^2))))),"")</f>
        <v/>
      </c>
      <c r="O2644">
        <f>IF(B2644,ROUND(MAX(0,J2644*K2644*L2644*M2644*N2644),2),"")</f>
        <v/>
      </c>
    </row>
    <row r="2645">
      <c r="A2645" t="n">
        <v>2644</v>
      </c>
      <c r="B2645">
        <f>A2645&lt;=MineCount*Days</f>
        <v/>
      </c>
      <c r="C2645">
        <f>IF(B2645,INT((A2645-1)/Days)+1,"")</f>
        <v/>
      </c>
      <c r="D2645">
        <f>IF(B2645,MOD(A2645-1,Days),"")</f>
        <v/>
      </c>
      <c r="E2645" s="16">
        <f>IF(B2645,StartDate+D2645,"")</f>
        <v/>
      </c>
      <c r="F2645">
        <f>IF(B2645,MAX(MOD(SIN(Seed*0.1373+C2645*12.9898+D2645*78.233)*43758.5453,1),1E-9),"")</f>
        <v/>
      </c>
      <c r="G2645">
        <f>IF(B2645,MOD(SIN(Seed*0.5917+C2645*39.3468+D2645*11.135)*24634.6345,1),"")</f>
        <v/>
      </c>
      <c r="H2645">
        <f>IF(B2645,SQRT(-2*LN(F2645))*COS(2*PI()*G2645),"")</f>
        <v/>
      </c>
      <c r="I2645">
        <f>IF(B2645,IF(D2645=0,H2645,Rho*I2644+SQRT(1-Rho^2)*H2645),"")</f>
        <v/>
      </c>
      <c r="J2645">
        <f>IF(B2645,IF(Dist="Normal",DistA+DistB*I2645,DistA+(DistB-DistA)*NORMSDIST(I2645)),"")</f>
        <v/>
      </c>
      <c r="K2645">
        <f>IF(B2645,INDEX(MineScale,C2645),"")</f>
        <v/>
      </c>
      <c r="L2645">
        <f>IF(B2645,INDEX(Dow,1,WEEKDAY(E2645,2)),"")</f>
        <v/>
      </c>
      <c r="M2645">
        <f>IF(B2645,(1+Trend)^D2645,"")</f>
        <v/>
      </c>
      <c r="N2645">
        <f>IF(B2645,EXP(SUMPRODUCT(LN(1+(EvEff-1)*INDEX(Affected,0,C2645)*EXP(-((E2645-EvCenter)^2)/(2*EvSigma^2))))),"")</f>
        <v/>
      </c>
      <c r="O2645">
        <f>IF(B2645,ROUND(MAX(0,J2645*K2645*L2645*M2645*N2645),2),"")</f>
        <v/>
      </c>
    </row>
    <row r="2646">
      <c r="A2646" t="n">
        <v>2645</v>
      </c>
      <c r="B2646">
        <f>A2646&lt;=MineCount*Days</f>
        <v/>
      </c>
      <c r="C2646">
        <f>IF(B2646,INT((A2646-1)/Days)+1,"")</f>
        <v/>
      </c>
      <c r="D2646">
        <f>IF(B2646,MOD(A2646-1,Days),"")</f>
        <v/>
      </c>
      <c r="E2646" s="16">
        <f>IF(B2646,StartDate+D2646,"")</f>
        <v/>
      </c>
      <c r="F2646">
        <f>IF(B2646,MAX(MOD(SIN(Seed*0.1373+C2646*12.9898+D2646*78.233)*43758.5453,1),1E-9),"")</f>
        <v/>
      </c>
      <c r="G2646">
        <f>IF(B2646,MOD(SIN(Seed*0.5917+C2646*39.3468+D2646*11.135)*24634.6345,1),"")</f>
        <v/>
      </c>
      <c r="H2646">
        <f>IF(B2646,SQRT(-2*LN(F2646))*COS(2*PI()*G2646),"")</f>
        <v/>
      </c>
      <c r="I2646">
        <f>IF(B2646,IF(D2646=0,H2646,Rho*I2645+SQRT(1-Rho^2)*H2646),"")</f>
        <v/>
      </c>
      <c r="J2646">
        <f>IF(B2646,IF(Dist="Normal",DistA+DistB*I2646,DistA+(DistB-DistA)*NORMSDIST(I2646)),"")</f>
        <v/>
      </c>
      <c r="K2646">
        <f>IF(B2646,INDEX(MineScale,C2646),"")</f>
        <v/>
      </c>
      <c r="L2646">
        <f>IF(B2646,INDEX(Dow,1,WEEKDAY(E2646,2)),"")</f>
        <v/>
      </c>
      <c r="M2646">
        <f>IF(B2646,(1+Trend)^D2646,"")</f>
        <v/>
      </c>
      <c r="N2646">
        <f>IF(B2646,EXP(SUMPRODUCT(LN(1+(EvEff-1)*INDEX(Affected,0,C2646)*EXP(-((E2646-EvCenter)^2)/(2*EvSigma^2))))),"")</f>
        <v/>
      </c>
      <c r="O2646">
        <f>IF(B2646,ROUND(MAX(0,J2646*K2646*L2646*M2646*N2646),2),"")</f>
        <v/>
      </c>
    </row>
    <row r="2647">
      <c r="A2647" t="n">
        <v>2646</v>
      </c>
      <c r="B2647">
        <f>A2647&lt;=MineCount*Days</f>
        <v/>
      </c>
      <c r="C2647">
        <f>IF(B2647,INT((A2647-1)/Days)+1,"")</f>
        <v/>
      </c>
      <c r="D2647">
        <f>IF(B2647,MOD(A2647-1,Days),"")</f>
        <v/>
      </c>
      <c r="E2647" s="16">
        <f>IF(B2647,StartDate+D2647,"")</f>
        <v/>
      </c>
      <c r="F2647">
        <f>IF(B2647,MAX(MOD(SIN(Seed*0.1373+C2647*12.9898+D2647*78.233)*43758.5453,1),1E-9),"")</f>
        <v/>
      </c>
      <c r="G2647">
        <f>IF(B2647,MOD(SIN(Seed*0.5917+C2647*39.3468+D2647*11.135)*24634.6345,1),"")</f>
        <v/>
      </c>
      <c r="H2647">
        <f>IF(B2647,SQRT(-2*LN(F2647))*COS(2*PI()*G2647),"")</f>
        <v/>
      </c>
      <c r="I2647">
        <f>IF(B2647,IF(D2647=0,H2647,Rho*I2646+SQRT(1-Rho^2)*H2647),"")</f>
        <v/>
      </c>
      <c r="J2647">
        <f>IF(B2647,IF(Dist="Normal",DistA+DistB*I2647,DistA+(DistB-DistA)*NORMSDIST(I2647)),"")</f>
        <v/>
      </c>
      <c r="K2647">
        <f>IF(B2647,INDEX(MineScale,C2647),"")</f>
        <v/>
      </c>
      <c r="L2647">
        <f>IF(B2647,INDEX(Dow,1,WEEKDAY(E2647,2)),"")</f>
        <v/>
      </c>
      <c r="M2647">
        <f>IF(B2647,(1+Trend)^D2647,"")</f>
        <v/>
      </c>
      <c r="N2647">
        <f>IF(B2647,EXP(SUMPRODUCT(LN(1+(EvEff-1)*INDEX(Affected,0,C2647)*EXP(-((E2647-EvCenter)^2)/(2*EvSigma^2))))),"")</f>
        <v/>
      </c>
      <c r="O2647">
        <f>IF(B2647,ROUND(MAX(0,J2647*K2647*L2647*M2647*N2647),2),"")</f>
        <v/>
      </c>
    </row>
    <row r="2648">
      <c r="A2648" t="n">
        <v>2647</v>
      </c>
      <c r="B2648">
        <f>A2648&lt;=MineCount*Days</f>
        <v/>
      </c>
      <c r="C2648">
        <f>IF(B2648,INT((A2648-1)/Days)+1,"")</f>
        <v/>
      </c>
      <c r="D2648">
        <f>IF(B2648,MOD(A2648-1,Days),"")</f>
        <v/>
      </c>
      <c r="E2648" s="16">
        <f>IF(B2648,StartDate+D2648,"")</f>
        <v/>
      </c>
      <c r="F2648">
        <f>IF(B2648,MAX(MOD(SIN(Seed*0.1373+C2648*12.9898+D2648*78.233)*43758.5453,1),1E-9),"")</f>
        <v/>
      </c>
      <c r="G2648">
        <f>IF(B2648,MOD(SIN(Seed*0.5917+C2648*39.3468+D2648*11.135)*24634.6345,1),"")</f>
        <v/>
      </c>
      <c r="H2648">
        <f>IF(B2648,SQRT(-2*LN(F2648))*COS(2*PI()*G2648),"")</f>
        <v/>
      </c>
      <c r="I2648">
        <f>IF(B2648,IF(D2648=0,H2648,Rho*I2647+SQRT(1-Rho^2)*H2648),"")</f>
        <v/>
      </c>
      <c r="J2648">
        <f>IF(B2648,IF(Dist="Normal",DistA+DistB*I2648,DistA+(DistB-DistA)*NORMSDIST(I2648)),"")</f>
        <v/>
      </c>
      <c r="K2648">
        <f>IF(B2648,INDEX(MineScale,C2648),"")</f>
        <v/>
      </c>
      <c r="L2648">
        <f>IF(B2648,INDEX(Dow,1,WEEKDAY(E2648,2)),"")</f>
        <v/>
      </c>
      <c r="M2648">
        <f>IF(B2648,(1+Trend)^D2648,"")</f>
        <v/>
      </c>
      <c r="N2648">
        <f>IF(B2648,EXP(SUMPRODUCT(LN(1+(EvEff-1)*INDEX(Affected,0,C2648)*EXP(-((E2648-EvCenter)^2)/(2*EvSigma^2))))),"")</f>
        <v/>
      </c>
      <c r="O2648">
        <f>IF(B2648,ROUND(MAX(0,J2648*K2648*L2648*M2648*N2648),2),"")</f>
        <v/>
      </c>
    </row>
    <row r="2649">
      <c r="A2649" t="n">
        <v>2648</v>
      </c>
      <c r="B2649">
        <f>A2649&lt;=MineCount*Days</f>
        <v/>
      </c>
      <c r="C2649">
        <f>IF(B2649,INT((A2649-1)/Days)+1,"")</f>
        <v/>
      </c>
      <c r="D2649">
        <f>IF(B2649,MOD(A2649-1,Days),"")</f>
        <v/>
      </c>
      <c r="E2649" s="16">
        <f>IF(B2649,StartDate+D2649,"")</f>
        <v/>
      </c>
      <c r="F2649">
        <f>IF(B2649,MAX(MOD(SIN(Seed*0.1373+C2649*12.9898+D2649*78.233)*43758.5453,1),1E-9),"")</f>
        <v/>
      </c>
      <c r="G2649">
        <f>IF(B2649,MOD(SIN(Seed*0.5917+C2649*39.3468+D2649*11.135)*24634.6345,1),"")</f>
        <v/>
      </c>
      <c r="H2649">
        <f>IF(B2649,SQRT(-2*LN(F2649))*COS(2*PI()*G2649),"")</f>
        <v/>
      </c>
      <c r="I2649">
        <f>IF(B2649,IF(D2649=0,H2649,Rho*I2648+SQRT(1-Rho^2)*H2649),"")</f>
        <v/>
      </c>
      <c r="J2649">
        <f>IF(B2649,IF(Dist="Normal",DistA+DistB*I2649,DistA+(DistB-DistA)*NORMSDIST(I2649)),"")</f>
        <v/>
      </c>
      <c r="K2649">
        <f>IF(B2649,INDEX(MineScale,C2649),"")</f>
        <v/>
      </c>
      <c r="L2649">
        <f>IF(B2649,INDEX(Dow,1,WEEKDAY(E2649,2)),"")</f>
        <v/>
      </c>
      <c r="M2649">
        <f>IF(B2649,(1+Trend)^D2649,"")</f>
        <v/>
      </c>
      <c r="N2649">
        <f>IF(B2649,EXP(SUMPRODUCT(LN(1+(EvEff-1)*INDEX(Affected,0,C2649)*EXP(-((E2649-EvCenter)^2)/(2*EvSigma^2))))),"")</f>
        <v/>
      </c>
      <c r="O2649">
        <f>IF(B2649,ROUND(MAX(0,J2649*K2649*L2649*M2649*N2649),2),"")</f>
        <v/>
      </c>
    </row>
    <row r="2650">
      <c r="A2650" t="n">
        <v>2649</v>
      </c>
      <c r="B2650">
        <f>A2650&lt;=MineCount*Days</f>
        <v/>
      </c>
      <c r="C2650">
        <f>IF(B2650,INT((A2650-1)/Days)+1,"")</f>
        <v/>
      </c>
      <c r="D2650">
        <f>IF(B2650,MOD(A2650-1,Days),"")</f>
        <v/>
      </c>
      <c r="E2650" s="16">
        <f>IF(B2650,StartDate+D2650,"")</f>
        <v/>
      </c>
      <c r="F2650">
        <f>IF(B2650,MAX(MOD(SIN(Seed*0.1373+C2650*12.9898+D2650*78.233)*43758.5453,1),1E-9),"")</f>
        <v/>
      </c>
      <c r="G2650">
        <f>IF(B2650,MOD(SIN(Seed*0.5917+C2650*39.3468+D2650*11.135)*24634.6345,1),"")</f>
        <v/>
      </c>
      <c r="H2650">
        <f>IF(B2650,SQRT(-2*LN(F2650))*COS(2*PI()*G2650),"")</f>
        <v/>
      </c>
      <c r="I2650">
        <f>IF(B2650,IF(D2650=0,H2650,Rho*I2649+SQRT(1-Rho^2)*H2650),"")</f>
        <v/>
      </c>
      <c r="J2650">
        <f>IF(B2650,IF(Dist="Normal",DistA+DistB*I2650,DistA+(DistB-DistA)*NORMSDIST(I2650)),"")</f>
        <v/>
      </c>
      <c r="K2650">
        <f>IF(B2650,INDEX(MineScale,C2650),"")</f>
        <v/>
      </c>
      <c r="L2650">
        <f>IF(B2650,INDEX(Dow,1,WEEKDAY(E2650,2)),"")</f>
        <v/>
      </c>
      <c r="M2650">
        <f>IF(B2650,(1+Trend)^D2650,"")</f>
        <v/>
      </c>
      <c r="N2650">
        <f>IF(B2650,EXP(SUMPRODUCT(LN(1+(EvEff-1)*INDEX(Affected,0,C2650)*EXP(-((E2650-EvCenter)^2)/(2*EvSigma^2))))),"")</f>
        <v/>
      </c>
      <c r="O2650">
        <f>IF(B2650,ROUND(MAX(0,J2650*K2650*L2650*M2650*N2650),2),"")</f>
        <v/>
      </c>
    </row>
    <row r="2651">
      <c r="A2651" t="n">
        <v>2650</v>
      </c>
      <c r="B2651">
        <f>A2651&lt;=MineCount*Days</f>
        <v/>
      </c>
      <c r="C2651">
        <f>IF(B2651,INT((A2651-1)/Days)+1,"")</f>
        <v/>
      </c>
      <c r="D2651">
        <f>IF(B2651,MOD(A2651-1,Days),"")</f>
        <v/>
      </c>
      <c r="E2651" s="16">
        <f>IF(B2651,StartDate+D2651,"")</f>
        <v/>
      </c>
      <c r="F2651">
        <f>IF(B2651,MAX(MOD(SIN(Seed*0.1373+C2651*12.9898+D2651*78.233)*43758.5453,1),1E-9),"")</f>
        <v/>
      </c>
      <c r="G2651">
        <f>IF(B2651,MOD(SIN(Seed*0.5917+C2651*39.3468+D2651*11.135)*24634.6345,1),"")</f>
        <v/>
      </c>
      <c r="H2651">
        <f>IF(B2651,SQRT(-2*LN(F2651))*COS(2*PI()*G2651),"")</f>
        <v/>
      </c>
      <c r="I2651">
        <f>IF(B2651,IF(D2651=0,H2651,Rho*I2650+SQRT(1-Rho^2)*H2651),"")</f>
        <v/>
      </c>
      <c r="J2651">
        <f>IF(B2651,IF(Dist="Normal",DistA+DistB*I2651,DistA+(DistB-DistA)*NORMSDIST(I2651)),"")</f>
        <v/>
      </c>
      <c r="K2651">
        <f>IF(B2651,INDEX(MineScale,C2651),"")</f>
        <v/>
      </c>
      <c r="L2651">
        <f>IF(B2651,INDEX(Dow,1,WEEKDAY(E2651,2)),"")</f>
        <v/>
      </c>
      <c r="M2651">
        <f>IF(B2651,(1+Trend)^D2651,"")</f>
        <v/>
      </c>
      <c r="N2651">
        <f>IF(B2651,EXP(SUMPRODUCT(LN(1+(EvEff-1)*INDEX(Affected,0,C2651)*EXP(-((E2651-EvCenter)^2)/(2*EvSigma^2))))),"")</f>
        <v/>
      </c>
      <c r="O2651">
        <f>IF(B2651,ROUND(MAX(0,J2651*K2651*L2651*M2651*N2651),2),"")</f>
        <v/>
      </c>
    </row>
    <row r="2652">
      <c r="A2652" t="n">
        <v>2651</v>
      </c>
      <c r="B2652">
        <f>A2652&lt;=MineCount*Days</f>
        <v/>
      </c>
      <c r="C2652">
        <f>IF(B2652,INT((A2652-1)/Days)+1,"")</f>
        <v/>
      </c>
      <c r="D2652">
        <f>IF(B2652,MOD(A2652-1,Days),"")</f>
        <v/>
      </c>
      <c r="E2652" s="16">
        <f>IF(B2652,StartDate+D2652,"")</f>
        <v/>
      </c>
      <c r="F2652">
        <f>IF(B2652,MAX(MOD(SIN(Seed*0.1373+C2652*12.9898+D2652*78.233)*43758.5453,1),1E-9),"")</f>
        <v/>
      </c>
      <c r="G2652">
        <f>IF(B2652,MOD(SIN(Seed*0.5917+C2652*39.3468+D2652*11.135)*24634.6345,1),"")</f>
        <v/>
      </c>
      <c r="H2652">
        <f>IF(B2652,SQRT(-2*LN(F2652))*COS(2*PI()*G2652),"")</f>
        <v/>
      </c>
      <c r="I2652">
        <f>IF(B2652,IF(D2652=0,H2652,Rho*I2651+SQRT(1-Rho^2)*H2652),"")</f>
        <v/>
      </c>
      <c r="J2652">
        <f>IF(B2652,IF(Dist="Normal",DistA+DistB*I2652,DistA+(DistB-DistA)*NORMSDIST(I2652)),"")</f>
        <v/>
      </c>
      <c r="K2652">
        <f>IF(B2652,INDEX(MineScale,C2652),"")</f>
        <v/>
      </c>
      <c r="L2652">
        <f>IF(B2652,INDEX(Dow,1,WEEKDAY(E2652,2)),"")</f>
        <v/>
      </c>
      <c r="M2652">
        <f>IF(B2652,(1+Trend)^D2652,"")</f>
        <v/>
      </c>
      <c r="N2652">
        <f>IF(B2652,EXP(SUMPRODUCT(LN(1+(EvEff-1)*INDEX(Affected,0,C2652)*EXP(-((E2652-EvCenter)^2)/(2*EvSigma^2))))),"")</f>
        <v/>
      </c>
      <c r="O2652">
        <f>IF(B2652,ROUND(MAX(0,J2652*K2652*L2652*M2652*N2652),2),"")</f>
        <v/>
      </c>
    </row>
    <row r="2653">
      <c r="A2653" t="n">
        <v>2652</v>
      </c>
      <c r="B2653">
        <f>A2653&lt;=MineCount*Days</f>
        <v/>
      </c>
      <c r="C2653">
        <f>IF(B2653,INT((A2653-1)/Days)+1,"")</f>
        <v/>
      </c>
      <c r="D2653">
        <f>IF(B2653,MOD(A2653-1,Days),"")</f>
        <v/>
      </c>
      <c r="E2653" s="16">
        <f>IF(B2653,StartDate+D2653,"")</f>
        <v/>
      </c>
      <c r="F2653">
        <f>IF(B2653,MAX(MOD(SIN(Seed*0.1373+C2653*12.9898+D2653*78.233)*43758.5453,1),1E-9),"")</f>
        <v/>
      </c>
      <c r="G2653">
        <f>IF(B2653,MOD(SIN(Seed*0.5917+C2653*39.3468+D2653*11.135)*24634.6345,1),"")</f>
        <v/>
      </c>
      <c r="H2653">
        <f>IF(B2653,SQRT(-2*LN(F2653))*COS(2*PI()*G2653),"")</f>
        <v/>
      </c>
      <c r="I2653">
        <f>IF(B2653,IF(D2653=0,H2653,Rho*I2652+SQRT(1-Rho^2)*H2653),"")</f>
        <v/>
      </c>
      <c r="J2653">
        <f>IF(B2653,IF(Dist="Normal",DistA+DistB*I2653,DistA+(DistB-DistA)*NORMSDIST(I2653)),"")</f>
        <v/>
      </c>
      <c r="K2653">
        <f>IF(B2653,INDEX(MineScale,C2653),"")</f>
        <v/>
      </c>
      <c r="L2653">
        <f>IF(B2653,INDEX(Dow,1,WEEKDAY(E2653,2)),"")</f>
        <v/>
      </c>
      <c r="M2653">
        <f>IF(B2653,(1+Trend)^D2653,"")</f>
        <v/>
      </c>
      <c r="N2653">
        <f>IF(B2653,EXP(SUMPRODUCT(LN(1+(EvEff-1)*INDEX(Affected,0,C2653)*EXP(-((E2653-EvCenter)^2)/(2*EvSigma^2))))),"")</f>
        <v/>
      </c>
      <c r="O2653">
        <f>IF(B2653,ROUND(MAX(0,J2653*K2653*L2653*M2653*N2653),2),"")</f>
        <v/>
      </c>
    </row>
    <row r="2654">
      <c r="A2654" t="n">
        <v>2653</v>
      </c>
      <c r="B2654">
        <f>A2654&lt;=MineCount*Days</f>
        <v/>
      </c>
      <c r="C2654">
        <f>IF(B2654,INT((A2654-1)/Days)+1,"")</f>
        <v/>
      </c>
      <c r="D2654">
        <f>IF(B2654,MOD(A2654-1,Days),"")</f>
        <v/>
      </c>
      <c r="E2654" s="16">
        <f>IF(B2654,StartDate+D2654,"")</f>
        <v/>
      </c>
      <c r="F2654">
        <f>IF(B2654,MAX(MOD(SIN(Seed*0.1373+C2654*12.9898+D2654*78.233)*43758.5453,1),1E-9),"")</f>
        <v/>
      </c>
      <c r="G2654">
        <f>IF(B2654,MOD(SIN(Seed*0.5917+C2654*39.3468+D2654*11.135)*24634.6345,1),"")</f>
        <v/>
      </c>
      <c r="H2654">
        <f>IF(B2654,SQRT(-2*LN(F2654))*COS(2*PI()*G2654),"")</f>
        <v/>
      </c>
      <c r="I2654">
        <f>IF(B2654,IF(D2654=0,H2654,Rho*I2653+SQRT(1-Rho^2)*H2654),"")</f>
        <v/>
      </c>
      <c r="J2654">
        <f>IF(B2654,IF(Dist="Normal",DistA+DistB*I2654,DistA+(DistB-DistA)*NORMSDIST(I2654)),"")</f>
        <v/>
      </c>
      <c r="K2654">
        <f>IF(B2654,INDEX(MineScale,C2654),"")</f>
        <v/>
      </c>
      <c r="L2654">
        <f>IF(B2654,INDEX(Dow,1,WEEKDAY(E2654,2)),"")</f>
        <v/>
      </c>
      <c r="M2654">
        <f>IF(B2654,(1+Trend)^D2654,"")</f>
        <v/>
      </c>
      <c r="N2654">
        <f>IF(B2654,EXP(SUMPRODUCT(LN(1+(EvEff-1)*INDEX(Affected,0,C2654)*EXP(-((E2654-EvCenter)^2)/(2*EvSigma^2))))),"")</f>
        <v/>
      </c>
      <c r="O2654">
        <f>IF(B2654,ROUND(MAX(0,J2654*K2654*L2654*M2654*N2654),2),"")</f>
        <v/>
      </c>
    </row>
    <row r="2655">
      <c r="A2655" t="n">
        <v>2654</v>
      </c>
      <c r="B2655">
        <f>A2655&lt;=MineCount*Days</f>
        <v/>
      </c>
      <c r="C2655">
        <f>IF(B2655,INT((A2655-1)/Days)+1,"")</f>
        <v/>
      </c>
      <c r="D2655">
        <f>IF(B2655,MOD(A2655-1,Days),"")</f>
        <v/>
      </c>
      <c r="E2655" s="16">
        <f>IF(B2655,StartDate+D2655,"")</f>
        <v/>
      </c>
      <c r="F2655">
        <f>IF(B2655,MAX(MOD(SIN(Seed*0.1373+C2655*12.9898+D2655*78.233)*43758.5453,1),1E-9),"")</f>
        <v/>
      </c>
      <c r="G2655">
        <f>IF(B2655,MOD(SIN(Seed*0.5917+C2655*39.3468+D2655*11.135)*24634.6345,1),"")</f>
        <v/>
      </c>
      <c r="H2655">
        <f>IF(B2655,SQRT(-2*LN(F2655))*COS(2*PI()*G2655),"")</f>
        <v/>
      </c>
      <c r="I2655">
        <f>IF(B2655,IF(D2655=0,H2655,Rho*I2654+SQRT(1-Rho^2)*H2655),"")</f>
        <v/>
      </c>
      <c r="J2655">
        <f>IF(B2655,IF(Dist="Normal",DistA+DistB*I2655,DistA+(DistB-DistA)*NORMSDIST(I2655)),"")</f>
        <v/>
      </c>
      <c r="K2655">
        <f>IF(B2655,INDEX(MineScale,C2655),"")</f>
        <v/>
      </c>
      <c r="L2655">
        <f>IF(B2655,INDEX(Dow,1,WEEKDAY(E2655,2)),"")</f>
        <v/>
      </c>
      <c r="M2655">
        <f>IF(B2655,(1+Trend)^D2655,"")</f>
        <v/>
      </c>
      <c r="N2655">
        <f>IF(B2655,EXP(SUMPRODUCT(LN(1+(EvEff-1)*INDEX(Affected,0,C2655)*EXP(-((E2655-EvCenter)^2)/(2*EvSigma^2))))),"")</f>
        <v/>
      </c>
      <c r="O2655">
        <f>IF(B2655,ROUND(MAX(0,J2655*K2655*L2655*M2655*N2655),2),"")</f>
        <v/>
      </c>
    </row>
    <row r="2656">
      <c r="A2656" t="n">
        <v>2655</v>
      </c>
      <c r="B2656">
        <f>A2656&lt;=MineCount*Days</f>
        <v/>
      </c>
      <c r="C2656">
        <f>IF(B2656,INT((A2656-1)/Days)+1,"")</f>
        <v/>
      </c>
      <c r="D2656">
        <f>IF(B2656,MOD(A2656-1,Days),"")</f>
        <v/>
      </c>
      <c r="E2656" s="16">
        <f>IF(B2656,StartDate+D2656,"")</f>
        <v/>
      </c>
      <c r="F2656">
        <f>IF(B2656,MAX(MOD(SIN(Seed*0.1373+C2656*12.9898+D2656*78.233)*43758.5453,1),1E-9),"")</f>
        <v/>
      </c>
      <c r="G2656">
        <f>IF(B2656,MOD(SIN(Seed*0.5917+C2656*39.3468+D2656*11.135)*24634.6345,1),"")</f>
        <v/>
      </c>
      <c r="H2656">
        <f>IF(B2656,SQRT(-2*LN(F2656))*COS(2*PI()*G2656),"")</f>
        <v/>
      </c>
      <c r="I2656">
        <f>IF(B2656,IF(D2656=0,H2656,Rho*I2655+SQRT(1-Rho^2)*H2656),"")</f>
        <v/>
      </c>
      <c r="J2656">
        <f>IF(B2656,IF(Dist="Normal",DistA+DistB*I2656,DistA+(DistB-DistA)*NORMSDIST(I2656)),"")</f>
        <v/>
      </c>
      <c r="K2656">
        <f>IF(B2656,INDEX(MineScale,C2656),"")</f>
        <v/>
      </c>
      <c r="L2656">
        <f>IF(B2656,INDEX(Dow,1,WEEKDAY(E2656,2)),"")</f>
        <v/>
      </c>
      <c r="M2656">
        <f>IF(B2656,(1+Trend)^D2656,"")</f>
        <v/>
      </c>
      <c r="N2656">
        <f>IF(B2656,EXP(SUMPRODUCT(LN(1+(EvEff-1)*INDEX(Affected,0,C2656)*EXP(-((E2656-EvCenter)^2)/(2*EvSigma^2))))),"")</f>
        <v/>
      </c>
      <c r="O2656">
        <f>IF(B2656,ROUND(MAX(0,J2656*K2656*L2656*M2656*N2656),2),"")</f>
        <v/>
      </c>
    </row>
    <row r="2657">
      <c r="A2657" t="n">
        <v>2656</v>
      </c>
      <c r="B2657">
        <f>A2657&lt;=MineCount*Days</f>
        <v/>
      </c>
      <c r="C2657">
        <f>IF(B2657,INT((A2657-1)/Days)+1,"")</f>
        <v/>
      </c>
      <c r="D2657">
        <f>IF(B2657,MOD(A2657-1,Days),"")</f>
        <v/>
      </c>
      <c r="E2657" s="16">
        <f>IF(B2657,StartDate+D2657,"")</f>
        <v/>
      </c>
      <c r="F2657">
        <f>IF(B2657,MAX(MOD(SIN(Seed*0.1373+C2657*12.9898+D2657*78.233)*43758.5453,1),1E-9),"")</f>
        <v/>
      </c>
      <c r="G2657">
        <f>IF(B2657,MOD(SIN(Seed*0.5917+C2657*39.3468+D2657*11.135)*24634.6345,1),"")</f>
        <v/>
      </c>
      <c r="H2657">
        <f>IF(B2657,SQRT(-2*LN(F2657))*COS(2*PI()*G2657),"")</f>
        <v/>
      </c>
      <c r="I2657">
        <f>IF(B2657,IF(D2657=0,H2657,Rho*I2656+SQRT(1-Rho^2)*H2657),"")</f>
        <v/>
      </c>
      <c r="J2657">
        <f>IF(B2657,IF(Dist="Normal",DistA+DistB*I2657,DistA+(DistB-DistA)*NORMSDIST(I2657)),"")</f>
        <v/>
      </c>
      <c r="K2657">
        <f>IF(B2657,INDEX(MineScale,C2657),"")</f>
        <v/>
      </c>
      <c r="L2657">
        <f>IF(B2657,INDEX(Dow,1,WEEKDAY(E2657,2)),"")</f>
        <v/>
      </c>
      <c r="M2657">
        <f>IF(B2657,(1+Trend)^D2657,"")</f>
        <v/>
      </c>
      <c r="N2657">
        <f>IF(B2657,EXP(SUMPRODUCT(LN(1+(EvEff-1)*INDEX(Affected,0,C2657)*EXP(-((E2657-EvCenter)^2)/(2*EvSigma^2))))),"")</f>
        <v/>
      </c>
      <c r="O2657">
        <f>IF(B2657,ROUND(MAX(0,J2657*K2657*L2657*M2657*N2657),2),"")</f>
        <v/>
      </c>
    </row>
    <row r="2658">
      <c r="A2658" t="n">
        <v>2657</v>
      </c>
      <c r="B2658">
        <f>A2658&lt;=MineCount*Days</f>
        <v/>
      </c>
      <c r="C2658">
        <f>IF(B2658,INT((A2658-1)/Days)+1,"")</f>
        <v/>
      </c>
      <c r="D2658">
        <f>IF(B2658,MOD(A2658-1,Days),"")</f>
        <v/>
      </c>
      <c r="E2658" s="16">
        <f>IF(B2658,StartDate+D2658,"")</f>
        <v/>
      </c>
      <c r="F2658">
        <f>IF(B2658,MAX(MOD(SIN(Seed*0.1373+C2658*12.9898+D2658*78.233)*43758.5453,1),1E-9),"")</f>
        <v/>
      </c>
      <c r="G2658">
        <f>IF(B2658,MOD(SIN(Seed*0.5917+C2658*39.3468+D2658*11.135)*24634.6345,1),"")</f>
        <v/>
      </c>
      <c r="H2658">
        <f>IF(B2658,SQRT(-2*LN(F2658))*COS(2*PI()*G2658),"")</f>
        <v/>
      </c>
      <c r="I2658">
        <f>IF(B2658,IF(D2658=0,H2658,Rho*I2657+SQRT(1-Rho^2)*H2658),"")</f>
        <v/>
      </c>
      <c r="J2658">
        <f>IF(B2658,IF(Dist="Normal",DistA+DistB*I2658,DistA+(DistB-DistA)*NORMSDIST(I2658)),"")</f>
        <v/>
      </c>
      <c r="K2658">
        <f>IF(B2658,INDEX(MineScale,C2658),"")</f>
        <v/>
      </c>
      <c r="L2658">
        <f>IF(B2658,INDEX(Dow,1,WEEKDAY(E2658,2)),"")</f>
        <v/>
      </c>
      <c r="M2658">
        <f>IF(B2658,(1+Trend)^D2658,"")</f>
        <v/>
      </c>
      <c r="N2658">
        <f>IF(B2658,EXP(SUMPRODUCT(LN(1+(EvEff-1)*INDEX(Affected,0,C2658)*EXP(-((E2658-EvCenter)^2)/(2*EvSigma^2))))),"")</f>
        <v/>
      </c>
      <c r="O2658">
        <f>IF(B2658,ROUND(MAX(0,J2658*K2658*L2658*M2658*N2658),2),"")</f>
        <v/>
      </c>
    </row>
    <row r="2659">
      <c r="A2659" t="n">
        <v>2658</v>
      </c>
      <c r="B2659">
        <f>A2659&lt;=MineCount*Days</f>
        <v/>
      </c>
      <c r="C2659">
        <f>IF(B2659,INT((A2659-1)/Days)+1,"")</f>
        <v/>
      </c>
      <c r="D2659">
        <f>IF(B2659,MOD(A2659-1,Days),"")</f>
        <v/>
      </c>
      <c r="E2659" s="16">
        <f>IF(B2659,StartDate+D2659,"")</f>
        <v/>
      </c>
      <c r="F2659">
        <f>IF(B2659,MAX(MOD(SIN(Seed*0.1373+C2659*12.9898+D2659*78.233)*43758.5453,1),1E-9),"")</f>
        <v/>
      </c>
      <c r="G2659">
        <f>IF(B2659,MOD(SIN(Seed*0.5917+C2659*39.3468+D2659*11.135)*24634.6345,1),"")</f>
        <v/>
      </c>
      <c r="H2659">
        <f>IF(B2659,SQRT(-2*LN(F2659))*COS(2*PI()*G2659),"")</f>
        <v/>
      </c>
      <c r="I2659">
        <f>IF(B2659,IF(D2659=0,H2659,Rho*I2658+SQRT(1-Rho^2)*H2659),"")</f>
        <v/>
      </c>
      <c r="J2659">
        <f>IF(B2659,IF(Dist="Normal",DistA+DistB*I2659,DistA+(DistB-DistA)*NORMSDIST(I2659)),"")</f>
        <v/>
      </c>
      <c r="K2659">
        <f>IF(B2659,INDEX(MineScale,C2659),"")</f>
        <v/>
      </c>
      <c r="L2659">
        <f>IF(B2659,INDEX(Dow,1,WEEKDAY(E2659,2)),"")</f>
        <v/>
      </c>
      <c r="M2659">
        <f>IF(B2659,(1+Trend)^D2659,"")</f>
        <v/>
      </c>
      <c r="N2659">
        <f>IF(B2659,EXP(SUMPRODUCT(LN(1+(EvEff-1)*INDEX(Affected,0,C2659)*EXP(-((E2659-EvCenter)^2)/(2*EvSigma^2))))),"")</f>
        <v/>
      </c>
      <c r="O2659">
        <f>IF(B2659,ROUND(MAX(0,J2659*K2659*L2659*M2659*N2659),2),"")</f>
        <v/>
      </c>
    </row>
    <row r="2660">
      <c r="A2660" t="n">
        <v>2659</v>
      </c>
      <c r="B2660">
        <f>A2660&lt;=MineCount*Days</f>
        <v/>
      </c>
      <c r="C2660">
        <f>IF(B2660,INT((A2660-1)/Days)+1,"")</f>
        <v/>
      </c>
      <c r="D2660">
        <f>IF(B2660,MOD(A2660-1,Days),"")</f>
        <v/>
      </c>
      <c r="E2660" s="16">
        <f>IF(B2660,StartDate+D2660,"")</f>
        <v/>
      </c>
      <c r="F2660">
        <f>IF(B2660,MAX(MOD(SIN(Seed*0.1373+C2660*12.9898+D2660*78.233)*43758.5453,1),1E-9),"")</f>
        <v/>
      </c>
      <c r="G2660">
        <f>IF(B2660,MOD(SIN(Seed*0.5917+C2660*39.3468+D2660*11.135)*24634.6345,1),"")</f>
        <v/>
      </c>
      <c r="H2660">
        <f>IF(B2660,SQRT(-2*LN(F2660))*COS(2*PI()*G2660),"")</f>
        <v/>
      </c>
      <c r="I2660">
        <f>IF(B2660,IF(D2660=0,H2660,Rho*I2659+SQRT(1-Rho^2)*H2660),"")</f>
        <v/>
      </c>
      <c r="J2660">
        <f>IF(B2660,IF(Dist="Normal",DistA+DistB*I2660,DistA+(DistB-DistA)*NORMSDIST(I2660)),"")</f>
        <v/>
      </c>
      <c r="K2660">
        <f>IF(B2660,INDEX(MineScale,C2660),"")</f>
        <v/>
      </c>
      <c r="L2660">
        <f>IF(B2660,INDEX(Dow,1,WEEKDAY(E2660,2)),"")</f>
        <v/>
      </c>
      <c r="M2660">
        <f>IF(B2660,(1+Trend)^D2660,"")</f>
        <v/>
      </c>
      <c r="N2660">
        <f>IF(B2660,EXP(SUMPRODUCT(LN(1+(EvEff-1)*INDEX(Affected,0,C2660)*EXP(-((E2660-EvCenter)^2)/(2*EvSigma^2))))),"")</f>
        <v/>
      </c>
      <c r="O2660">
        <f>IF(B2660,ROUND(MAX(0,J2660*K2660*L2660*M2660*N2660),2),"")</f>
        <v/>
      </c>
    </row>
    <row r="2661">
      <c r="A2661" t="n">
        <v>2660</v>
      </c>
      <c r="B2661">
        <f>A2661&lt;=MineCount*Days</f>
        <v/>
      </c>
      <c r="C2661">
        <f>IF(B2661,INT((A2661-1)/Days)+1,"")</f>
        <v/>
      </c>
      <c r="D2661">
        <f>IF(B2661,MOD(A2661-1,Days),"")</f>
        <v/>
      </c>
      <c r="E2661" s="16">
        <f>IF(B2661,StartDate+D2661,"")</f>
        <v/>
      </c>
      <c r="F2661">
        <f>IF(B2661,MAX(MOD(SIN(Seed*0.1373+C2661*12.9898+D2661*78.233)*43758.5453,1),1E-9),"")</f>
        <v/>
      </c>
      <c r="G2661">
        <f>IF(B2661,MOD(SIN(Seed*0.5917+C2661*39.3468+D2661*11.135)*24634.6345,1),"")</f>
        <v/>
      </c>
      <c r="H2661">
        <f>IF(B2661,SQRT(-2*LN(F2661))*COS(2*PI()*G2661),"")</f>
        <v/>
      </c>
      <c r="I2661">
        <f>IF(B2661,IF(D2661=0,H2661,Rho*I2660+SQRT(1-Rho^2)*H2661),"")</f>
        <v/>
      </c>
      <c r="J2661">
        <f>IF(B2661,IF(Dist="Normal",DistA+DistB*I2661,DistA+(DistB-DistA)*NORMSDIST(I2661)),"")</f>
        <v/>
      </c>
      <c r="K2661">
        <f>IF(B2661,INDEX(MineScale,C2661),"")</f>
        <v/>
      </c>
      <c r="L2661">
        <f>IF(B2661,INDEX(Dow,1,WEEKDAY(E2661,2)),"")</f>
        <v/>
      </c>
      <c r="M2661">
        <f>IF(B2661,(1+Trend)^D2661,"")</f>
        <v/>
      </c>
      <c r="N2661">
        <f>IF(B2661,EXP(SUMPRODUCT(LN(1+(EvEff-1)*INDEX(Affected,0,C2661)*EXP(-((E2661-EvCenter)^2)/(2*EvSigma^2))))),"")</f>
        <v/>
      </c>
      <c r="O2661">
        <f>IF(B2661,ROUND(MAX(0,J2661*K2661*L2661*M2661*N2661),2),"")</f>
        <v/>
      </c>
    </row>
    <row r="2662">
      <c r="A2662" t="n">
        <v>2661</v>
      </c>
      <c r="B2662">
        <f>A2662&lt;=MineCount*Days</f>
        <v/>
      </c>
      <c r="C2662">
        <f>IF(B2662,INT((A2662-1)/Days)+1,"")</f>
        <v/>
      </c>
      <c r="D2662">
        <f>IF(B2662,MOD(A2662-1,Days),"")</f>
        <v/>
      </c>
      <c r="E2662" s="16">
        <f>IF(B2662,StartDate+D2662,"")</f>
        <v/>
      </c>
      <c r="F2662">
        <f>IF(B2662,MAX(MOD(SIN(Seed*0.1373+C2662*12.9898+D2662*78.233)*43758.5453,1),1E-9),"")</f>
        <v/>
      </c>
      <c r="G2662">
        <f>IF(B2662,MOD(SIN(Seed*0.5917+C2662*39.3468+D2662*11.135)*24634.6345,1),"")</f>
        <v/>
      </c>
      <c r="H2662">
        <f>IF(B2662,SQRT(-2*LN(F2662))*COS(2*PI()*G2662),"")</f>
        <v/>
      </c>
      <c r="I2662">
        <f>IF(B2662,IF(D2662=0,H2662,Rho*I2661+SQRT(1-Rho^2)*H2662),"")</f>
        <v/>
      </c>
      <c r="J2662">
        <f>IF(B2662,IF(Dist="Normal",DistA+DistB*I2662,DistA+(DistB-DistA)*NORMSDIST(I2662)),"")</f>
        <v/>
      </c>
      <c r="K2662">
        <f>IF(B2662,INDEX(MineScale,C2662),"")</f>
        <v/>
      </c>
      <c r="L2662">
        <f>IF(B2662,INDEX(Dow,1,WEEKDAY(E2662,2)),"")</f>
        <v/>
      </c>
      <c r="M2662">
        <f>IF(B2662,(1+Trend)^D2662,"")</f>
        <v/>
      </c>
      <c r="N2662">
        <f>IF(B2662,EXP(SUMPRODUCT(LN(1+(EvEff-1)*INDEX(Affected,0,C2662)*EXP(-((E2662-EvCenter)^2)/(2*EvSigma^2))))),"")</f>
        <v/>
      </c>
      <c r="O2662">
        <f>IF(B2662,ROUND(MAX(0,J2662*K2662*L2662*M2662*N2662),2),"")</f>
        <v/>
      </c>
    </row>
    <row r="2663">
      <c r="A2663" t="n">
        <v>2662</v>
      </c>
      <c r="B2663">
        <f>A2663&lt;=MineCount*Days</f>
        <v/>
      </c>
      <c r="C2663">
        <f>IF(B2663,INT((A2663-1)/Days)+1,"")</f>
        <v/>
      </c>
      <c r="D2663">
        <f>IF(B2663,MOD(A2663-1,Days),"")</f>
        <v/>
      </c>
      <c r="E2663" s="16">
        <f>IF(B2663,StartDate+D2663,"")</f>
        <v/>
      </c>
      <c r="F2663">
        <f>IF(B2663,MAX(MOD(SIN(Seed*0.1373+C2663*12.9898+D2663*78.233)*43758.5453,1),1E-9),"")</f>
        <v/>
      </c>
      <c r="G2663">
        <f>IF(B2663,MOD(SIN(Seed*0.5917+C2663*39.3468+D2663*11.135)*24634.6345,1),"")</f>
        <v/>
      </c>
      <c r="H2663">
        <f>IF(B2663,SQRT(-2*LN(F2663))*COS(2*PI()*G2663),"")</f>
        <v/>
      </c>
      <c r="I2663">
        <f>IF(B2663,IF(D2663=0,H2663,Rho*I2662+SQRT(1-Rho^2)*H2663),"")</f>
        <v/>
      </c>
      <c r="J2663">
        <f>IF(B2663,IF(Dist="Normal",DistA+DistB*I2663,DistA+(DistB-DistA)*NORMSDIST(I2663)),"")</f>
        <v/>
      </c>
      <c r="K2663">
        <f>IF(B2663,INDEX(MineScale,C2663),"")</f>
        <v/>
      </c>
      <c r="L2663">
        <f>IF(B2663,INDEX(Dow,1,WEEKDAY(E2663,2)),"")</f>
        <v/>
      </c>
      <c r="M2663">
        <f>IF(B2663,(1+Trend)^D2663,"")</f>
        <v/>
      </c>
      <c r="N2663">
        <f>IF(B2663,EXP(SUMPRODUCT(LN(1+(EvEff-1)*INDEX(Affected,0,C2663)*EXP(-((E2663-EvCenter)^2)/(2*EvSigma^2))))),"")</f>
        <v/>
      </c>
      <c r="O2663">
        <f>IF(B2663,ROUND(MAX(0,J2663*K2663*L2663*M2663*N2663),2),"")</f>
        <v/>
      </c>
    </row>
    <row r="2664">
      <c r="A2664" t="n">
        <v>2663</v>
      </c>
      <c r="B2664">
        <f>A2664&lt;=MineCount*Days</f>
        <v/>
      </c>
      <c r="C2664">
        <f>IF(B2664,INT((A2664-1)/Days)+1,"")</f>
        <v/>
      </c>
      <c r="D2664">
        <f>IF(B2664,MOD(A2664-1,Days),"")</f>
        <v/>
      </c>
      <c r="E2664" s="16">
        <f>IF(B2664,StartDate+D2664,"")</f>
        <v/>
      </c>
      <c r="F2664">
        <f>IF(B2664,MAX(MOD(SIN(Seed*0.1373+C2664*12.9898+D2664*78.233)*43758.5453,1),1E-9),"")</f>
        <v/>
      </c>
      <c r="G2664">
        <f>IF(B2664,MOD(SIN(Seed*0.5917+C2664*39.3468+D2664*11.135)*24634.6345,1),"")</f>
        <v/>
      </c>
      <c r="H2664">
        <f>IF(B2664,SQRT(-2*LN(F2664))*COS(2*PI()*G2664),"")</f>
        <v/>
      </c>
      <c r="I2664">
        <f>IF(B2664,IF(D2664=0,H2664,Rho*I2663+SQRT(1-Rho^2)*H2664),"")</f>
        <v/>
      </c>
      <c r="J2664">
        <f>IF(B2664,IF(Dist="Normal",DistA+DistB*I2664,DistA+(DistB-DistA)*NORMSDIST(I2664)),"")</f>
        <v/>
      </c>
      <c r="K2664">
        <f>IF(B2664,INDEX(MineScale,C2664),"")</f>
        <v/>
      </c>
      <c r="L2664">
        <f>IF(B2664,INDEX(Dow,1,WEEKDAY(E2664,2)),"")</f>
        <v/>
      </c>
      <c r="M2664">
        <f>IF(B2664,(1+Trend)^D2664,"")</f>
        <v/>
      </c>
      <c r="N2664">
        <f>IF(B2664,EXP(SUMPRODUCT(LN(1+(EvEff-1)*INDEX(Affected,0,C2664)*EXP(-((E2664-EvCenter)^2)/(2*EvSigma^2))))),"")</f>
        <v/>
      </c>
      <c r="O2664">
        <f>IF(B2664,ROUND(MAX(0,J2664*K2664*L2664*M2664*N2664),2),"")</f>
        <v/>
      </c>
    </row>
    <row r="2665">
      <c r="A2665" t="n">
        <v>2664</v>
      </c>
      <c r="B2665">
        <f>A2665&lt;=MineCount*Days</f>
        <v/>
      </c>
      <c r="C2665">
        <f>IF(B2665,INT((A2665-1)/Days)+1,"")</f>
        <v/>
      </c>
      <c r="D2665">
        <f>IF(B2665,MOD(A2665-1,Days),"")</f>
        <v/>
      </c>
      <c r="E2665" s="16">
        <f>IF(B2665,StartDate+D2665,"")</f>
        <v/>
      </c>
      <c r="F2665">
        <f>IF(B2665,MAX(MOD(SIN(Seed*0.1373+C2665*12.9898+D2665*78.233)*43758.5453,1),1E-9),"")</f>
        <v/>
      </c>
      <c r="G2665">
        <f>IF(B2665,MOD(SIN(Seed*0.5917+C2665*39.3468+D2665*11.135)*24634.6345,1),"")</f>
        <v/>
      </c>
      <c r="H2665">
        <f>IF(B2665,SQRT(-2*LN(F2665))*COS(2*PI()*G2665),"")</f>
        <v/>
      </c>
      <c r="I2665">
        <f>IF(B2665,IF(D2665=0,H2665,Rho*I2664+SQRT(1-Rho^2)*H2665),"")</f>
        <v/>
      </c>
      <c r="J2665">
        <f>IF(B2665,IF(Dist="Normal",DistA+DistB*I2665,DistA+(DistB-DistA)*NORMSDIST(I2665)),"")</f>
        <v/>
      </c>
      <c r="K2665">
        <f>IF(B2665,INDEX(MineScale,C2665),"")</f>
        <v/>
      </c>
      <c r="L2665">
        <f>IF(B2665,INDEX(Dow,1,WEEKDAY(E2665,2)),"")</f>
        <v/>
      </c>
      <c r="M2665">
        <f>IF(B2665,(1+Trend)^D2665,"")</f>
        <v/>
      </c>
      <c r="N2665">
        <f>IF(B2665,EXP(SUMPRODUCT(LN(1+(EvEff-1)*INDEX(Affected,0,C2665)*EXP(-((E2665-EvCenter)^2)/(2*EvSigma^2))))),"")</f>
        <v/>
      </c>
      <c r="O2665">
        <f>IF(B2665,ROUND(MAX(0,J2665*K2665*L2665*M2665*N2665),2),"")</f>
        <v/>
      </c>
    </row>
    <row r="2666">
      <c r="A2666" t="n">
        <v>2665</v>
      </c>
      <c r="B2666">
        <f>A2666&lt;=MineCount*Days</f>
        <v/>
      </c>
      <c r="C2666">
        <f>IF(B2666,INT((A2666-1)/Days)+1,"")</f>
        <v/>
      </c>
      <c r="D2666">
        <f>IF(B2666,MOD(A2666-1,Days),"")</f>
        <v/>
      </c>
      <c r="E2666" s="16">
        <f>IF(B2666,StartDate+D2666,"")</f>
        <v/>
      </c>
      <c r="F2666">
        <f>IF(B2666,MAX(MOD(SIN(Seed*0.1373+C2666*12.9898+D2666*78.233)*43758.5453,1),1E-9),"")</f>
        <v/>
      </c>
      <c r="G2666">
        <f>IF(B2666,MOD(SIN(Seed*0.5917+C2666*39.3468+D2666*11.135)*24634.6345,1),"")</f>
        <v/>
      </c>
      <c r="H2666">
        <f>IF(B2666,SQRT(-2*LN(F2666))*COS(2*PI()*G2666),"")</f>
        <v/>
      </c>
      <c r="I2666">
        <f>IF(B2666,IF(D2666=0,H2666,Rho*I2665+SQRT(1-Rho^2)*H2666),"")</f>
        <v/>
      </c>
      <c r="J2666">
        <f>IF(B2666,IF(Dist="Normal",DistA+DistB*I2666,DistA+(DistB-DistA)*NORMSDIST(I2666)),"")</f>
        <v/>
      </c>
      <c r="K2666">
        <f>IF(B2666,INDEX(MineScale,C2666),"")</f>
        <v/>
      </c>
      <c r="L2666">
        <f>IF(B2666,INDEX(Dow,1,WEEKDAY(E2666,2)),"")</f>
        <v/>
      </c>
      <c r="M2666">
        <f>IF(B2666,(1+Trend)^D2666,"")</f>
        <v/>
      </c>
      <c r="N2666">
        <f>IF(B2666,EXP(SUMPRODUCT(LN(1+(EvEff-1)*INDEX(Affected,0,C2666)*EXP(-((E2666-EvCenter)^2)/(2*EvSigma^2))))),"")</f>
        <v/>
      </c>
      <c r="O2666">
        <f>IF(B2666,ROUND(MAX(0,J2666*K2666*L2666*M2666*N2666),2),"")</f>
        <v/>
      </c>
    </row>
    <row r="2667">
      <c r="A2667" t="n">
        <v>2666</v>
      </c>
      <c r="B2667">
        <f>A2667&lt;=MineCount*Days</f>
        <v/>
      </c>
      <c r="C2667">
        <f>IF(B2667,INT((A2667-1)/Days)+1,"")</f>
        <v/>
      </c>
      <c r="D2667">
        <f>IF(B2667,MOD(A2667-1,Days),"")</f>
        <v/>
      </c>
      <c r="E2667" s="16">
        <f>IF(B2667,StartDate+D2667,"")</f>
        <v/>
      </c>
      <c r="F2667">
        <f>IF(B2667,MAX(MOD(SIN(Seed*0.1373+C2667*12.9898+D2667*78.233)*43758.5453,1),1E-9),"")</f>
        <v/>
      </c>
      <c r="G2667">
        <f>IF(B2667,MOD(SIN(Seed*0.5917+C2667*39.3468+D2667*11.135)*24634.6345,1),"")</f>
        <v/>
      </c>
      <c r="H2667">
        <f>IF(B2667,SQRT(-2*LN(F2667))*COS(2*PI()*G2667),"")</f>
        <v/>
      </c>
      <c r="I2667">
        <f>IF(B2667,IF(D2667=0,H2667,Rho*I2666+SQRT(1-Rho^2)*H2667),"")</f>
        <v/>
      </c>
      <c r="J2667">
        <f>IF(B2667,IF(Dist="Normal",DistA+DistB*I2667,DistA+(DistB-DistA)*NORMSDIST(I2667)),"")</f>
        <v/>
      </c>
      <c r="K2667">
        <f>IF(B2667,INDEX(MineScale,C2667),"")</f>
        <v/>
      </c>
      <c r="L2667">
        <f>IF(B2667,INDEX(Dow,1,WEEKDAY(E2667,2)),"")</f>
        <v/>
      </c>
      <c r="M2667">
        <f>IF(B2667,(1+Trend)^D2667,"")</f>
        <v/>
      </c>
      <c r="N2667">
        <f>IF(B2667,EXP(SUMPRODUCT(LN(1+(EvEff-1)*INDEX(Affected,0,C2667)*EXP(-((E2667-EvCenter)^2)/(2*EvSigma^2))))),"")</f>
        <v/>
      </c>
      <c r="O2667">
        <f>IF(B2667,ROUND(MAX(0,J2667*K2667*L2667*M2667*N2667),2),"")</f>
        <v/>
      </c>
    </row>
    <row r="2668">
      <c r="A2668" t="n">
        <v>2667</v>
      </c>
      <c r="B2668">
        <f>A2668&lt;=MineCount*Days</f>
        <v/>
      </c>
      <c r="C2668">
        <f>IF(B2668,INT((A2668-1)/Days)+1,"")</f>
        <v/>
      </c>
      <c r="D2668">
        <f>IF(B2668,MOD(A2668-1,Days),"")</f>
        <v/>
      </c>
      <c r="E2668" s="16">
        <f>IF(B2668,StartDate+D2668,"")</f>
        <v/>
      </c>
      <c r="F2668">
        <f>IF(B2668,MAX(MOD(SIN(Seed*0.1373+C2668*12.9898+D2668*78.233)*43758.5453,1),1E-9),"")</f>
        <v/>
      </c>
      <c r="G2668">
        <f>IF(B2668,MOD(SIN(Seed*0.5917+C2668*39.3468+D2668*11.135)*24634.6345,1),"")</f>
        <v/>
      </c>
      <c r="H2668">
        <f>IF(B2668,SQRT(-2*LN(F2668))*COS(2*PI()*G2668),"")</f>
        <v/>
      </c>
      <c r="I2668">
        <f>IF(B2668,IF(D2668=0,H2668,Rho*I2667+SQRT(1-Rho^2)*H2668),"")</f>
        <v/>
      </c>
      <c r="J2668">
        <f>IF(B2668,IF(Dist="Normal",DistA+DistB*I2668,DistA+(DistB-DistA)*NORMSDIST(I2668)),"")</f>
        <v/>
      </c>
      <c r="K2668">
        <f>IF(B2668,INDEX(MineScale,C2668),"")</f>
        <v/>
      </c>
      <c r="L2668">
        <f>IF(B2668,INDEX(Dow,1,WEEKDAY(E2668,2)),"")</f>
        <v/>
      </c>
      <c r="M2668">
        <f>IF(B2668,(1+Trend)^D2668,"")</f>
        <v/>
      </c>
      <c r="N2668">
        <f>IF(B2668,EXP(SUMPRODUCT(LN(1+(EvEff-1)*INDEX(Affected,0,C2668)*EXP(-((E2668-EvCenter)^2)/(2*EvSigma^2))))),"")</f>
        <v/>
      </c>
      <c r="O2668">
        <f>IF(B2668,ROUND(MAX(0,J2668*K2668*L2668*M2668*N2668),2),"")</f>
        <v/>
      </c>
    </row>
    <row r="2669">
      <c r="A2669" t="n">
        <v>2668</v>
      </c>
      <c r="B2669">
        <f>A2669&lt;=MineCount*Days</f>
        <v/>
      </c>
      <c r="C2669">
        <f>IF(B2669,INT((A2669-1)/Days)+1,"")</f>
        <v/>
      </c>
      <c r="D2669">
        <f>IF(B2669,MOD(A2669-1,Days),"")</f>
        <v/>
      </c>
      <c r="E2669" s="16">
        <f>IF(B2669,StartDate+D2669,"")</f>
        <v/>
      </c>
      <c r="F2669">
        <f>IF(B2669,MAX(MOD(SIN(Seed*0.1373+C2669*12.9898+D2669*78.233)*43758.5453,1),1E-9),"")</f>
        <v/>
      </c>
      <c r="G2669">
        <f>IF(B2669,MOD(SIN(Seed*0.5917+C2669*39.3468+D2669*11.135)*24634.6345,1),"")</f>
        <v/>
      </c>
      <c r="H2669">
        <f>IF(B2669,SQRT(-2*LN(F2669))*COS(2*PI()*G2669),"")</f>
        <v/>
      </c>
      <c r="I2669">
        <f>IF(B2669,IF(D2669=0,H2669,Rho*I2668+SQRT(1-Rho^2)*H2669),"")</f>
        <v/>
      </c>
      <c r="J2669">
        <f>IF(B2669,IF(Dist="Normal",DistA+DistB*I2669,DistA+(DistB-DistA)*NORMSDIST(I2669)),"")</f>
        <v/>
      </c>
      <c r="K2669">
        <f>IF(B2669,INDEX(MineScale,C2669),"")</f>
        <v/>
      </c>
      <c r="L2669">
        <f>IF(B2669,INDEX(Dow,1,WEEKDAY(E2669,2)),"")</f>
        <v/>
      </c>
      <c r="M2669">
        <f>IF(B2669,(1+Trend)^D2669,"")</f>
        <v/>
      </c>
      <c r="N2669">
        <f>IF(B2669,EXP(SUMPRODUCT(LN(1+(EvEff-1)*INDEX(Affected,0,C2669)*EXP(-((E2669-EvCenter)^2)/(2*EvSigma^2))))),"")</f>
        <v/>
      </c>
      <c r="O2669">
        <f>IF(B2669,ROUND(MAX(0,J2669*K2669*L2669*M2669*N2669),2),"")</f>
        <v/>
      </c>
    </row>
    <row r="2670">
      <c r="A2670" t="n">
        <v>2669</v>
      </c>
      <c r="B2670">
        <f>A2670&lt;=MineCount*Days</f>
        <v/>
      </c>
      <c r="C2670">
        <f>IF(B2670,INT((A2670-1)/Days)+1,"")</f>
        <v/>
      </c>
      <c r="D2670">
        <f>IF(B2670,MOD(A2670-1,Days),"")</f>
        <v/>
      </c>
      <c r="E2670" s="16">
        <f>IF(B2670,StartDate+D2670,"")</f>
        <v/>
      </c>
      <c r="F2670">
        <f>IF(B2670,MAX(MOD(SIN(Seed*0.1373+C2670*12.9898+D2670*78.233)*43758.5453,1),1E-9),"")</f>
        <v/>
      </c>
      <c r="G2670">
        <f>IF(B2670,MOD(SIN(Seed*0.5917+C2670*39.3468+D2670*11.135)*24634.6345,1),"")</f>
        <v/>
      </c>
      <c r="H2670">
        <f>IF(B2670,SQRT(-2*LN(F2670))*COS(2*PI()*G2670),"")</f>
        <v/>
      </c>
      <c r="I2670">
        <f>IF(B2670,IF(D2670=0,H2670,Rho*I2669+SQRT(1-Rho^2)*H2670),"")</f>
        <v/>
      </c>
      <c r="J2670">
        <f>IF(B2670,IF(Dist="Normal",DistA+DistB*I2670,DistA+(DistB-DistA)*NORMSDIST(I2670)),"")</f>
        <v/>
      </c>
      <c r="K2670">
        <f>IF(B2670,INDEX(MineScale,C2670),"")</f>
        <v/>
      </c>
      <c r="L2670">
        <f>IF(B2670,INDEX(Dow,1,WEEKDAY(E2670,2)),"")</f>
        <v/>
      </c>
      <c r="M2670">
        <f>IF(B2670,(1+Trend)^D2670,"")</f>
        <v/>
      </c>
      <c r="N2670">
        <f>IF(B2670,EXP(SUMPRODUCT(LN(1+(EvEff-1)*INDEX(Affected,0,C2670)*EXP(-((E2670-EvCenter)^2)/(2*EvSigma^2))))),"")</f>
        <v/>
      </c>
      <c r="O2670">
        <f>IF(B2670,ROUND(MAX(0,J2670*K2670*L2670*M2670*N2670),2),"")</f>
        <v/>
      </c>
    </row>
    <row r="2671">
      <c r="A2671" t="n">
        <v>2670</v>
      </c>
      <c r="B2671">
        <f>A2671&lt;=MineCount*Days</f>
        <v/>
      </c>
      <c r="C2671">
        <f>IF(B2671,INT((A2671-1)/Days)+1,"")</f>
        <v/>
      </c>
      <c r="D2671">
        <f>IF(B2671,MOD(A2671-1,Days),"")</f>
        <v/>
      </c>
      <c r="E2671" s="16">
        <f>IF(B2671,StartDate+D2671,"")</f>
        <v/>
      </c>
      <c r="F2671">
        <f>IF(B2671,MAX(MOD(SIN(Seed*0.1373+C2671*12.9898+D2671*78.233)*43758.5453,1),1E-9),"")</f>
        <v/>
      </c>
      <c r="G2671">
        <f>IF(B2671,MOD(SIN(Seed*0.5917+C2671*39.3468+D2671*11.135)*24634.6345,1),"")</f>
        <v/>
      </c>
      <c r="H2671">
        <f>IF(B2671,SQRT(-2*LN(F2671))*COS(2*PI()*G2671),"")</f>
        <v/>
      </c>
      <c r="I2671">
        <f>IF(B2671,IF(D2671=0,H2671,Rho*I2670+SQRT(1-Rho^2)*H2671),"")</f>
        <v/>
      </c>
      <c r="J2671">
        <f>IF(B2671,IF(Dist="Normal",DistA+DistB*I2671,DistA+(DistB-DistA)*NORMSDIST(I2671)),"")</f>
        <v/>
      </c>
      <c r="K2671">
        <f>IF(B2671,INDEX(MineScale,C2671),"")</f>
        <v/>
      </c>
      <c r="L2671">
        <f>IF(B2671,INDEX(Dow,1,WEEKDAY(E2671,2)),"")</f>
        <v/>
      </c>
      <c r="M2671">
        <f>IF(B2671,(1+Trend)^D2671,"")</f>
        <v/>
      </c>
      <c r="N2671">
        <f>IF(B2671,EXP(SUMPRODUCT(LN(1+(EvEff-1)*INDEX(Affected,0,C2671)*EXP(-((E2671-EvCenter)^2)/(2*EvSigma^2))))),"")</f>
        <v/>
      </c>
      <c r="O2671">
        <f>IF(B2671,ROUND(MAX(0,J2671*K2671*L2671*M2671*N2671),2),"")</f>
        <v/>
      </c>
    </row>
    <row r="2672">
      <c r="A2672" t="n">
        <v>2671</v>
      </c>
      <c r="B2672">
        <f>A2672&lt;=MineCount*Days</f>
        <v/>
      </c>
      <c r="C2672">
        <f>IF(B2672,INT((A2672-1)/Days)+1,"")</f>
        <v/>
      </c>
      <c r="D2672">
        <f>IF(B2672,MOD(A2672-1,Days),"")</f>
        <v/>
      </c>
      <c r="E2672" s="16">
        <f>IF(B2672,StartDate+D2672,"")</f>
        <v/>
      </c>
      <c r="F2672">
        <f>IF(B2672,MAX(MOD(SIN(Seed*0.1373+C2672*12.9898+D2672*78.233)*43758.5453,1),1E-9),"")</f>
        <v/>
      </c>
      <c r="G2672">
        <f>IF(B2672,MOD(SIN(Seed*0.5917+C2672*39.3468+D2672*11.135)*24634.6345,1),"")</f>
        <v/>
      </c>
      <c r="H2672">
        <f>IF(B2672,SQRT(-2*LN(F2672))*COS(2*PI()*G2672),"")</f>
        <v/>
      </c>
      <c r="I2672">
        <f>IF(B2672,IF(D2672=0,H2672,Rho*I2671+SQRT(1-Rho^2)*H2672),"")</f>
        <v/>
      </c>
      <c r="J2672">
        <f>IF(B2672,IF(Dist="Normal",DistA+DistB*I2672,DistA+(DistB-DistA)*NORMSDIST(I2672)),"")</f>
        <v/>
      </c>
      <c r="K2672">
        <f>IF(B2672,INDEX(MineScale,C2672),"")</f>
        <v/>
      </c>
      <c r="L2672">
        <f>IF(B2672,INDEX(Dow,1,WEEKDAY(E2672,2)),"")</f>
        <v/>
      </c>
      <c r="M2672">
        <f>IF(B2672,(1+Trend)^D2672,"")</f>
        <v/>
      </c>
      <c r="N2672">
        <f>IF(B2672,EXP(SUMPRODUCT(LN(1+(EvEff-1)*INDEX(Affected,0,C2672)*EXP(-((E2672-EvCenter)^2)/(2*EvSigma^2))))),"")</f>
        <v/>
      </c>
      <c r="O2672">
        <f>IF(B2672,ROUND(MAX(0,J2672*K2672*L2672*M2672*N2672),2),"")</f>
        <v/>
      </c>
    </row>
    <row r="2673">
      <c r="A2673" t="n">
        <v>2672</v>
      </c>
      <c r="B2673">
        <f>A2673&lt;=MineCount*Days</f>
        <v/>
      </c>
      <c r="C2673">
        <f>IF(B2673,INT((A2673-1)/Days)+1,"")</f>
        <v/>
      </c>
      <c r="D2673">
        <f>IF(B2673,MOD(A2673-1,Days),"")</f>
        <v/>
      </c>
      <c r="E2673" s="16">
        <f>IF(B2673,StartDate+D2673,"")</f>
        <v/>
      </c>
      <c r="F2673">
        <f>IF(B2673,MAX(MOD(SIN(Seed*0.1373+C2673*12.9898+D2673*78.233)*43758.5453,1),1E-9),"")</f>
        <v/>
      </c>
      <c r="G2673">
        <f>IF(B2673,MOD(SIN(Seed*0.5917+C2673*39.3468+D2673*11.135)*24634.6345,1),"")</f>
        <v/>
      </c>
      <c r="H2673">
        <f>IF(B2673,SQRT(-2*LN(F2673))*COS(2*PI()*G2673),"")</f>
        <v/>
      </c>
      <c r="I2673">
        <f>IF(B2673,IF(D2673=0,H2673,Rho*I2672+SQRT(1-Rho^2)*H2673),"")</f>
        <v/>
      </c>
      <c r="J2673">
        <f>IF(B2673,IF(Dist="Normal",DistA+DistB*I2673,DistA+(DistB-DistA)*NORMSDIST(I2673)),"")</f>
        <v/>
      </c>
      <c r="K2673">
        <f>IF(B2673,INDEX(MineScale,C2673),"")</f>
        <v/>
      </c>
      <c r="L2673">
        <f>IF(B2673,INDEX(Dow,1,WEEKDAY(E2673,2)),"")</f>
        <v/>
      </c>
      <c r="M2673">
        <f>IF(B2673,(1+Trend)^D2673,"")</f>
        <v/>
      </c>
      <c r="N2673">
        <f>IF(B2673,EXP(SUMPRODUCT(LN(1+(EvEff-1)*INDEX(Affected,0,C2673)*EXP(-((E2673-EvCenter)^2)/(2*EvSigma^2))))),"")</f>
        <v/>
      </c>
      <c r="O2673">
        <f>IF(B2673,ROUND(MAX(0,J2673*K2673*L2673*M2673*N2673),2),"")</f>
        <v/>
      </c>
    </row>
    <row r="2674">
      <c r="A2674" t="n">
        <v>2673</v>
      </c>
      <c r="B2674">
        <f>A2674&lt;=MineCount*Days</f>
        <v/>
      </c>
      <c r="C2674">
        <f>IF(B2674,INT((A2674-1)/Days)+1,"")</f>
        <v/>
      </c>
      <c r="D2674">
        <f>IF(B2674,MOD(A2674-1,Days),"")</f>
        <v/>
      </c>
      <c r="E2674" s="16">
        <f>IF(B2674,StartDate+D2674,"")</f>
        <v/>
      </c>
      <c r="F2674">
        <f>IF(B2674,MAX(MOD(SIN(Seed*0.1373+C2674*12.9898+D2674*78.233)*43758.5453,1),1E-9),"")</f>
        <v/>
      </c>
      <c r="G2674">
        <f>IF(B2674,MOD(SIN(Seed*0.5917+C2674*39.3468+D2674*11.135)*24634.6345,1),"")</f>
        <v/>
      </c>
      <c r="H2674">
        <f>IF(B2674,SQRT(-2*LN(F2674))*COS(2*PI()*G2674),"")</f>
        <v/>
      </c>
      <c r="I2674">
        <f>IF(B2674,IF(D2674=0,H2674,Rho*I2673+SQRT(1-Rho^2)*H2674),"")</f>
        <v/>
      </c>
      <c r="J2674">
        <f>IF(B2674,IF(Dist="Normal",DistA+DistB*I2674,DistA+(DistB-DistA)*NORMSDIST(I2674)),"")</f>
        <v/>
      </c>
      <c r="K2674">
        <f>IF(B2674,INDEX(MineScale,C2674),"")</f>
        <v/>
      </c>
      <c r="L2674">
        <f>IF(B2674,INDEX(Dow,1,WEEKDAY(E2674,2)),"")</f>
        <v/>
      </c>
      <c r="M2674">
        <f>IF(B2674,(1+Trend)^D2674,"")</f>
        <v/>
      </c>
      <c r="N2674">
        <f>IF(B2674,EXP(SUMPRODUCT(LN(1+(EvEff-1)*INDEX(Affected,0,C2674)*EXP(-((E2674-EvCenter)^2)/(2*EvSigma^2))))),"")</f>
        <v/>
      </c>
      <c r="O2674">
        <f>IF(B2674,ROUND(MAX(0,J2674*K2674*L2674*M2674*N2674),2),"")</f>
        <v/>
      </c>
    </row>
    <row r="2675">
      <c r="A2675" t="n">
        <v>2674</v>
      </c>
      <c r="B2675">
        <f>A2675&lt;=MineCount*Days</f>
        <v/>
      </c>
      <c r="C2675">
        <f>IF(B2675,INT((A2675-1)/Days)+1,"")</f>
        <v/>
      </c>
      <c r="D2675">
        <f>IF(B2675,MOD(A2675-1,Days),"")</f>
        <v/>
      </c>
      <c r="E2675" s="16">
        <f>IF(B2675,StartDate+D2675,"")</f>
        <v/>
      </c>
      <c r="F2675">
        <f>IF(B2675,MAX(MOD(SIN(Seed*0.1373+C2675*12.9898+D2675*78.233)*43758.5453,1),1E-9),"")</f>
        <v/>
      </c>
      <c r="G2675">
        <f>IF(B2675,MOD(SIN(Seed*0.5917+C2675*39.3468+D2675*11.135)*24634.6345,1),"")</f>
        <v/>
      </c>
      <c r="H2675">
        <f>IF(B2675,SQRT(-2*LN(F2675))*COS(2*PI()*G2675),"")</f>
        <v/>
      </c>
      <c r="I2675">
        <f>IF(B2675,IF(D2675=0,H2675,Rho*I2674+SQRT(1-Rho^2)*H2675),"")</f>
        <v/>
      </c>
      <c r="J2675">
        <f>IF(B2675,IF(Dist="Normal",DistA+DistB*I2675,DistA+(DistB-DistA)*NORMSDIST(I2675)),"")</f>
        <v/>
      </c>
      <c r="K2675">
        <f>IF(B2675,INDEX(MineScale,C2675),"")</f>
        <v/>
      </c>
      <c r="L2675">
        <f>IF(B2675,INDEX(Dow,1,WEEKDAY(E2675,2)),"")</f>
        <v/>
      </c>
      <c r="M2675">
        <f>IF(B2675,(1+Trend)^D2675,"")</f>
        <v/>
      </c>
      <c r="N2675">
        <f>IF(B2675,EXP(SUMPRODUCT(LN(1+(EvEff-1)*INDEX(Affected,0,C2675)*EXP(-((E2675-EvCenter)^2)/(2*EvSigma^2))))),"")</f>
        <v/>
      </c>
      <c r="O2675">
        <f>IF(B2675,ROUND(MAX(0,J2675*K2675*L2675*M2675*N2675),2),"")</f>
        <v/>
      </c>
    </row>
    <row r="2676">
      <c r="A2676" t="n">
        <v>2675</v>
      </c>
      <c r="B2676">
        <f>A2676&lt;=MineCount*Days</f>
        <v/>
      </c>
      <c r="C2676">
        <f>IF(B2676,INT((A2676-1)/Days)+1,"")</f>
        <v/>
      </c>
      <c r="D2676">
        <f>IF(B2676,MOD(A2676-1,Days),"")</f>
        <v/>
      </c>
      <c r="E2676" s="16">
        <f>IF(B2676,StartDate+D2676,"")</f>
        <v/>
      </c>
      <c r="F2676">
        <f>IF(B2676,MAX(MOD(SIN(Seed*0.1373+C2676*12.9898+D2676*78.233)*43758.5453,1),1E-9),"")</f>
        <v/>
      </c>
      <c r="G2676">
        <f>IF(B2676,MOD(SIN(Seed*0.5917+C2676*39.3468+D2676*11.135)*24634.6345,1),"")</f>
        <v/>
      </c>
      <c r="H2676">
        <f>IF(B2676,SQRT(-2*LN(F2676))*COS(2*PI()*G2676),"")</f>
        <v/>
      </c>
      <c r="I2676">
        <f>IF(B2676,IF(D2676=0,H2676,Rho*I2675+SQRT(1-Rho^2)*H2676),"")</f>
        <v/>
      </c>
      <c r="J2676">
        <f>IF(B2676,IF(Dist="Normal",DistA+DistB*I2676,DistA+(DistB-DistA)*NORMSDIST(I2676)),"")</f>
        <v/>
      </c>
      <c r="K2676">
        <f>IF(B2676,INDEX(MineScale,C2676),"")</f>
        <v/>
      </c>
      <c r="L2676">
        <f>IF(B2676,INDEX(Dow,1,WEEKDAY(E2676,2)),"")</f>
        <v/>
      </c>
      <c r="M2676">
        <f>IF(B2676,(1+Trend)^D2676,"")</f>
        <v/>
      </c>
      <c r="N2676">
        <f>IF(B2676,EXP(SUMPRODUCT(LN(1+(EvEff-1)*INDEX(Affected,0,C2676)*EXP(-((E2676-EvCenter)^2)/(2*EvSigma^2))))),"")</f>
        <v/>
      </c>
      <c r="O2676">
        <f>IF(B2676,ROUND(MAX(0,J2676*K2676*L2676*M2676*N2676),2),"")</f>
        <v/>
      </c>
    </row>
    <row r="2677">
      <c r="A2677" t="n">
        <v>2676</v>
      </c>
      <c r="B2677">
        <f>A2677&lt;=MineCount*Days</f>
        <v/>
      </c>
      <c r="C2677">
        <f>IF(B2677,INT((A2677-1)/Days)+1,"")</f>
        <v/>
      </c>
      <c r="D2677">
        <f>IF(B2677,MOD(A2677-1,Days),"")</f>
        <v/>
      </c>
      <c r="E2677" s="16">
        <f>IF(B2677,StartDate+D2677,"")</f>
        <v/>
      </c>
      <c r="F2677">
        <f>IF(B2677,MAX(MOD(SIN(Seed*0.1373+C2677*12.9898+D2677*78.233)*43758.5453,1),1E-9),"")</f>
        <v/>
      </c>
      <c r="G2677">
        <f>IF(B2677,MOD(SIN(Seed*0.5917+C2677*39.3468+D2677*11.135)*24634.6345,1),"")</f>
        <v/>
      </c>
      <c r="H2677">
        <f>IF(B2677,SQRT(-2*LN(F2677))*COS(2*PI()*G2677),"")</f>
        <v/>
      </c>
      <c r="I2677">
        <f>IF(B2677,IF(D2677=0,H2677,Rho*I2676+SQRT(1-Rho^2)*H2677),"")</f>
        <v/>
      </c>
      <c r="J2677">
        <f>IF(B2677,IF(Dist="Normal",DistA+DistB*I2677,DistA+(DistB-DistA)*NORMSDIST(I2677)),"")</f>
        <v/>
      </c>
      <c r="K2677">
        <f>IF(B2677,INDEX(MineScale,C2677),"")</f>
        <v/>
      </c>
      <c r="L2677">
        <f>IF(B2677,INDEX(Dow,1,WEEKDAY(E2677,2)),"")</f>
        <v/>
      </c>
      <c r="M2677">
        <f>IF(B2677,(1+Trend)^D2677,"")</f>
        <v/>
      </c>
      <c r="N2677">
        <f>IF(B2677,EXP(SUMPRODUCT(LN(1+(EvEff-1)*INDEX(Affected,0,C2677)*EXP(-((E2677-EvCenter)^2)/(2*EvSigma^2))))),"")</f>
        <v/>
      </c>
      <c r="O2677">
        <f>IF(B2677,ROUND(MAX(0,J2677*K2677*L2677*M2677*N2677),2),"")</f>
        <v/>
      </c>
    </row>
    <row r="2678">
      <c r="A2678" t="n">
        <v>2677</v>
      </c>
      <c r="B2678">
        <f>A2678&lt;=MineCount*Days</f>
        <v/>
      </c>
      <c r="C2678">
        <f>IF(B2678,INT((A2678-1)/Days)+1,"")</f>
        <v/>
      </c>
      <c r="D2678">
        <f>IF(B2678,MOD(A2678-1,Days),"")</f>
        <v/>
      </c>
      <c r="E2678" s="16">
        <f>IF(B2678,StartDate+D2678,"")</f>
        <v/>
      </c>
      <c r="F2678">
        <f>IF(B2678,MAX(MOD(SIN(Seed*0.1373+C2678*12.9898+D2678*78.233)*43758.5453,1),1E-9),"")</f>
        <v/>
      </c>
      <c r="G2678">
        <f>IF(B2678,MOD(SIN(Seed*0.5917+C2678*39.3468+D2678*11.135)*24634.6345,1),"")</f>
        <v/>
      </c>
      <c r="H2678">
        <f>IF(B2678,SQRT(-2*LN(F2678))*COS(2*PI()*G2678),"")</f>
        <v/>
      </c>
      <c r="I2678">
        <f>IF(B2678,IF(D2678=0,H2678,Rho*I2677+SQRT(1-Rho^2)*H2678),"")</f>
        <v/>
      </c>
      <c r="J2678">
        <f>IF(B2678,IF(Dist="Normal",DistA+DistB*I2678,DistA+(DistB-DistA)*NORMSDIST(I2678)),"")</f>
        <v/>
      </c>
      <c r="K2678">
        <f>IF(B2678,INDEX(MineScale,C2678),"")</f>
        <v/>
      </c>
      <c r="L2678">
        <f>IF(B2678,INDEX(Dow,1,WEEKDAY(E2678,2)),"")</f>
        <v/>
      </c>
      <c r="M2678">
        <f>IF(B2678,(1+Trend)^D2678,"")</f>
        <v/>
      </c>
      <c r="N2678">
        <f>IF(B2678,EXP(SUMPRODUCT(LN(1+(EvEff-1)*INDEX(Affected,0,C2678)*EXP(-((E2678-EvCenter)^2)/(2*EvSigma^2))))),"")</f>
        <v/>
      </c>
      <c r="O2678">
        <f>IF(B2678,ROUND(MAX(0,J2678*K2678*L2678*M2678*N2678),2),"")</f>
        <v/>
      </c>
    </row>
    <row r="2679">
      <c r="A2679" t="n">
        <v>2678</v>
      </c>
      <c r="B2679">
        <f>A2679&lt;=MineCount*Days</f>
        <v/>
      </c>
      <c r="C2679">
        <f>IF(B2679,INT((A2679-1)/Days)+1,"")</f>
        <v/>
      </c>
      <c r="D2679">
        <f>IF(B2679,MOD(A2679-1,Days),"")</f>
        <v/>
      </c>
      <c r="E2679" s="16">
        <f>IF(B2679,StartDate+D2679,"")</f>
        <v/>
      </c>
      <c r="F2679">
        <f>IF(B2679,MAX(MOD(SIN(Seed*0.1373+C2679*12.9898+D2679*78.233)*43758.5453,1),1E-9),"")</f>
        <v/>
      </c>
      <c r="G2679">
        <f>IF(B2679,MOD(SIN(Seed*0.5917+C2679*39.3468+D2679*11.135)*24634.6345,1),"")</f>
        <v/>
      </c>
      <c r="H2679">
        <f>IF(B2679,SQRT(-2*LN(F2679))*COS(2*PI()*G2679),"")</f>
        <v/>
      </c>
      <c r="I2679">
        <f>IF(B2679,IF(D2679=0,H2679,Rho*I2678+SQRT(1-Rho^2)*H2679),"")</f>
        <v/>
      </c>
      <c r="J2679">
        <f>IF(B2679,IF(Dist="Normal",DistA+DistB*I2679,DistA+(DistB-DistA)*NORMSDIST(I2679)),"")</f>
        <v/>
      </c>
      <c r="K2679">
        <f>IF(B2679,INDEX(MineScale,C2679),"")</f>
        <v/>
      </c>
      <c r="L2679">
        <f>IF(B2679,INDEX(Dow,1,WEEKDAY(E2679,2)),"")</f>
        <v/>
      </c>
      <c r="M2679">
        <f>IF(B2679,(1+Trend)^D2679,"")</f>
        <v/>
      </c>
      <c r="N2679">
        <f>IF(B2679,EXP(SUMPRODUCT(LN(1+(EvEff-1)*INDEX(Affected,0,C2679)*EXP(-((E2679-EvCenter)^2)/(2*EvSigma^2))))),"")</f>
        <v/>
      </c>
      <c r="O2679">
        <f>IF(B2679,ROUND(MAX(0,J2679*K2679*L2679*M2679*N2679),2),"")</f>
        <v/>
      </c>
    </row>
    <row r="2680">
      <c r="A2680" t="n">
        <v>2679</v>
      </c>
      <c r="B2680">
        <f>A2680&lt;=MineCount*Days</f>
        <v/>
      </c>
      <c r="C2680">
        <f>IF(B2680,INT((A2680-1)/Days)+1,"")</f>
        <v/>
      </c>
      <c r="D2680">
        <f>IF(B2680,MOD(A2680-1,Days),"")</f>
        <v/>
      </c>
      <c r="E2680" s="16">
        <f>IF(B2680,StartDate+D2680,"")</f>
        <v/>
      </c>
      <c r="F2680">
        <f>IF(B2680,MAX(MOD(SIN(Seed*0.1373+C2680*12.9898+D2680*78.233)*43758.5453,1),1E-9),"")</f>
        <v/>
      </c>
      <c r="G2680">
        <f>IF(B2680,MOD(SIN(Seed*0.5917+C2680*39.3468+D2680*11.135)*24634.6345,1),"")</f>
        <v/>
      </c>
      <c r="H2680">
        <f>IF(B2680,SQRT(-2*LN(F2680))*COS(2*PI()*G2680),"")</f>
        <v/>
      </c>
      <c r="I2680">
        <f>IF(B2680,IF(D2680=0,H2680,Rho*I2679+SQRT(1-Rho^2)*H2680),"")</f>
        <v/>
      </c>
      <c r="J2680">
        <f>IF(B2680,IF(Dist="Normal",DistA+DistB*I2680,DistA+(DistB-DistA)*NORMSDIST(I2680)),"")</f>
        <v/>
      </c>
      <c r="K2680">
        <f>IF(B2680,INDEX(MineScale,C2680),"")</f>
        <v/>
      </c>
      <c r="L2680">
        <f>IF(B2680,INDEX(Dow,1,WEEKDAY(E2680,2)),"")</f>
        <v/>
      </c>
      <c r="M2680">
        <f>IF(B2680,(1+Trend)^D2680,"")</f>
        <v/>
      </c>
      <c r="N2680">
        <f>IF(B2680,EXP(SUMPRODUCT(LN(1+(EvEff-1)*INDEX(Affected,0,C2680)*EXP(-((E2680-EvCenter)^2)/(2*EvSigma^2))))),"")</f>
        <v/>
      </c>
      <c r="O2680">
        <f>IF(B2680,ROUND(MAX(0,J2680*K2680*L2680*M2680*N2680),2),"")</f>
        <v/>
      </c>
    </row>
    <row r="2681">
      <c r="A2681" t="n">
        <v>2680</v>
      </c>
      <c r="B2681">
        <f>A2681&lt;=MineCount*Days</f>
        <v/>
      </c>
      <c r="C2681">
        <f>IF(B2681,INT((A2681-1)/Days)+1,"")</f>
        <v/>
      </c>
      <c r="D2681">
        <f>IF(B2681,MOD(A2681-1,Days),"")</f>
        <v/>
      </c>
      <c r="E2681" s="16">
        <f>IF(B2681,StartDate+D2681,"")</f>
        <v/>
      </c>
      <c r="F2681">
        <f>IF(B2681,MAX(MOD(SIN(Seed*0.1373+C2681*12.9898+D2681*78.233)*43758.5453,1),1E-9),"")</f>
        <v/>
      </c>
      <c r="G2681">
        <f>IF(B2681,MOD(SIN(Seed*0.5917+C2681*39.3468+D2681*11.135)*24634.6345,1),"")</f>
        <v/>
      </c>
      <c r="H2681">
        <f>IF(B2681,SQRT(-2*LN(F2681))*COS(2*PI()*G2681),"")</f>
        <v/>
      </c>
      <c r="I2681">
        <f>IF(B2681,IF(D2681=0,H2681,Rho*I2680+SQRT(1-Rho^2)*H2681),"")</f>
        <v/>
      </c>
      <c r="J2681">
        <f>IF(B2681,IF(Dist="Normal",DistA+DistB*I2681,DistA+(DistB-DistA)*NORMSDIST(I2681)),"")</f>
        <v/>
      </c>
      <c r="K2681">
        <f>IF(B2681,INDEX(MineScale,C2681),"")</f>
        <v/>
      </c>
      <c r="L2681">
        <f>IF(B2681,INDEX(Dow,1,WEEKDAY(E2681,2)),"")</f>
        <v/>
      </c>
      <c r="M2681">
        <f>IF(B2681,(1+Trend)^D2681,"")</f>
        <v/>
      </c>
      <c r="N2681">
        <f>IF(B2681,EXP(SUMPRODUCT(LN(1+(EvEff-1)*INDEX(Affected,0,C2681)*EXP(-((E2681-EvCenter)^2)/(2*EvSigma^2))))),"")</f>
        <v/>
      </c>
      <c r="O2681">
        <f>IF(B2681,ROUND(MAX(0,J2681*K2681*L2681*M2681*N2681),2),"")</f>
        <v/>
      </c>
    </row>
    <row r="2682">
      <c r="A2682" t="n">
        <v>2681</v>
      </c>
      <c r="B2682">
        <f>A2682&lt;=MineCount*Days</f>
        <v/>
      </c>
      <c r="C2682">
        <f>IF(B2682,INT((A2682-1)/Days)+1,"")</f>
        <v/>
      </c>
      <c r="D2682">
        <f>IF(B2682,MOD(A2682-1,Days),"")</f>
        <v/>
      </c>
      <c r="E2682" s="16">
        <f>IF(B2682,StartDate+D2682,"")</f>
        <v/>
      </c>
      <c r="F2682">
        <f>IF(B2682,MAX(MOD(SIN(Seed*0.1373+C2682*12.9898+D2682*78.233)*43758.5453,1),1E-9),"")</f>
        <v/>
      </c>
      <c r="G2682">
        <f>IF(B2682,MOD(SIN(Seed*0.5917+C2682*39.3468+D2682*11.135)*24634.6345,1),"")</f>
        <v/>
      </c>
      <c r="H2682">
        <f>IF(B2682,SQRT(-2*LN(F2682))*COS(2*PI()*G2682),"")</f>
        <v/>
      </c>
      <c r="I2682">
        <f>IF(B2682,IF(D2682=0,H2682,Rho*I2681+SQRT(1-Rho^2)*H2682),"")</f>
        <v/>
      </c>
      <c r="J2682">
        <f>IF(B2682,IF(Dist="Normal",DistA+DistB*I2682,DistA+(DistB-DistA)*NORMSDIST(I2682)),"")</f>
        <v/>
      </c>
      <c r="K2682">
        <f>IF(B2682,INDEX(MineScale,C2682),"")</f>
        <v/>
      </c>
      <c r="L2682">
        <f>IF(B2682,INDEX(Dow,1,WEEKDAY(E2682,2)),"")</f>
        <v/>
      </c>
      <c r="M2682">
        <f>IF(B2682,(1+Trend)^D2682,"")</f>
        <v/>
      </c>
      <c r="N2682">
        <f>IF(B2682,EXP(SUMPRODUCT(LN(1+(EvEff-1)*INDEX(Affected,0,C2682)*EXP(-((E2682-EvCenter)^2)/(2*EvSigma^2))))),"")</f>
        <v/>
      </c>
      <c r="O2682">
        <f>IF(B2682,ROUND(MAX(0,J2682*K2682*L2682*M2682*N2682),2),"")</f>
        <v/>
      </c>
    </row>
    <row r="2683">
      <c r="A2683" t="n">
        <v>2682</v>
      </c>
      <c r="B2683">
        <f>A2683&lt;=MineCount*Days</f>
        <v/>
      </c>
      <c r="C2683">
        <f>IF(B2683,INT((A2683-1)/Days)+1,"")</f>
        <v/>
      </c>
      <c r="D2683">
        <f>IF(B2683,MOD(A2683-1,Days),"")</f>
        <v/>
      </c>
      <c r="E2683" s="16">
        <f>IF(B2683,StartDate+D2683,"")</f>
        <v/>
      </c>
      <c r="F2683">
        <f>IF(B2683,MAX(MOD(SIN(Seed*0.1373+C2683*12.9898+D2683*78.233)*43758.5453,1),1E-9),"")</f>
        <v/>
      </c>
      <c r="G2683">
        <f>IF(B2683,MOD(SIN(Seed*0.5917+C2683*39.3468+D2683*11.135)*24634.6345,1),"")</f>
        <v/>
      </c>
      <c r="H2683">
        <f>IF(B2683,SQRT(-2*LN(F2683))*COS(2*PI()*G2683),"")</f>
        <v/>
      </c>
      <c r="I2683">
        <f>IF(B2683,IF(D2683=0,H2683,Rho*I2682+SQRT(1-Rho^2)*H2683),"")</f>
        <v/>
      </c>
      <c r="J2683">
        <f>IF(B2683,IF(Dist="Normal",DistA+DistB*I2683,DistA+(DistB-DistA)*NORMSDIST(I2683)),"")</f>
        <v/>
      </c>
      <c r="K2683">
        <f>IF(B2683,INDEX(MineScale,C2683),"")</f>
        <v/>
      </c>
      <c r="L2683">
        <f>IF(B2683,INDEX(Dow,1,WEEKDAY(E2683,2)),"")</f>
        <v/>
      </c>
      <c r="M2683">
        <f>IF(B2683,(1+Trend)^D2683,"")</f>
        <v/>
      </c>
      <c r="N2683">
        <f>IF(B2683,EXP(SUMPRODUCT(LN(1+(EvEff-1)*INDEX(Affected,0,C2683)*EXP(-((E2683-EvCenter)^2)/(2*EvSigma^2))))),"")</f>
        <v/>
      </c>
      <c r="O2683">
        <f>IF(B2683,ROUND(MAX(0,J2683*K2683*L2683*M2683*N2683),2),"")</f>
        <v/>
      </c>
    </row>
    <row r="2684">
      <c r="A2684" t="n">
        <v>2683</v>
      </c>
      <c r="B2684">
        <f>A2684&lt;=MineCount*Days</f>
        <v/>
      </c>
      <c r="C2684">
        <f>IF(B2684,INT((A2684-1)/Days)+1,"")</f>
        <v/>
      </c>
      <c r="D2684">
        <f>IF(B2684,MOD(A2684-1,Days),"")</f>
        <v/>
      </c>
      <c r="E2684" s="16">
        <f>IF(B2684,StartDate+D2684,"")</f>
        <v/>
      </c>
      <c r="F2684">
        <f>IF(B2684,MAX(MOD(SIN(Seed*0.1373+C2684*12.9898+D2684*78.233)*43758.5453,1),1E-9),"")</f>
        <v/>
      </c>
      <c r="G2684">
        <f>IF(B2684,MOD(SIN(Seed*0.5917+C2684*39.3468+D2684*11.135)*24634.6345,1),"")</f>
        <v/>
      </c>
      <c r="H2684">
        <f>IF(B2684,SQRT(-2*LN(F2684))*COS(2*PI()*G2684),"")</f>
        <v/>
      </c>
      <c r="I2684">
        <f>IF(B2684,IF(D2684=0,H2684,Rho*I2683+SQRT(1-Rho^2)*H2684),"")</f>
        <v/>
      </c>
      <c r="J2684">
        <f>IF(B2684,IF(Dist="Normal",DistA+DistB*I2684,DistA+(DistB-DistA)*NORMSDIST(I2684)),"")</f>
        <v/>
      </c>
      <c r="K2684">
        <f>IF(B2684,INDEX(MineScale,C2684),"")</f>
        <v/>
      </c>
      <c r="L2684">
        <f>IF(B2684,INDEX(Dow,1,WEEKDAY(E2684,2)),"")</f>
        <v/>
      </c>
      <c r="M2684">
        <f>IF(B2684,(1+Trend)^D2684,"")</f>
        <v/>
      </c>
      <c r="N2684">
        <f>IF(B2684,EXP(SUMPRODUCT(LN(1+(EvEff-1)*INDEX(Affected,0,C2684)*EXP(-((E2684-EvCenter)^2)/(2*EvSigma^2))))),"")</f>
        <v/>
      </c>
      <c r="O2684">
        <f>IF(B2684,ROUND(MAX(0,J2684*K2684*L2684*M2684*N2684),2),"")</f>
        <v/>
      </c>
    </row>
    <row r="2685">
      <c r="A2685" t="n">
        <v>2684</v>
      </c>
      <c r="B2685">
        <f>A2685&lt;=MineCount*Days</f>
        <v/>
      </c>
      <c r="C2685">
        <f>IF(B2685,INT((A2685-1)/Days)+1,"")</f>
        <v/>
      </c>
      <c r="D2685">
        <f>IF(B2685,MOD(A2685-1,Days),"")</f>
        <v/>
      </c>
      <c r="E2685" s="16">
        <f>IF(B2685,StartDate+D2685,"")</f>
        <v/>
      </c>
      <c r="F2685">
        <f>IF(B2685,MAX(MOD(SIN(Seed*0.1373+C2685*12.9898+D2685*78.233)*43758.5453,1),1E-9),"")</f>
        <v/>
      </c>
      <c r="G2685">
        <f>IF(B2685,MOD(SIN(Seed*0.5917+C2685*39.3468+D2685*11.135)*24634.6345,1),"")</f>
        <v/>
      </c>
      <c r="H2685">
        <f>IF(B2685,SQRT(-2*LN(F2685))*COS(2*PI()*G2685),"")</f>
        <v/>
      </c>
      <c r="I2685">
        <f>IF(B2685,IF(D2685=0,H2685,Rho*I2684+SQRT(1-Rho^2)*H2685),"")</f>
        <v/>
      </c>
      <c r="J2685">
        <f>IF(B2685,IF(Dist="Normal",DistA+DistB*I2685,DistA+(DistB-DistA)*NORMSDIST(I2685)),"")</f>
        <v/>
      </c>
      <c r="K2685">
        <f>IF(B2685,INDEX(MineScale,C2685),"")</f>
        <v/>
      </c>
      <c r="L2685">
        <f>IF(B2685,INDEX(Dow,1,WEEKDAY(E2685,2)),"")</f>
        <v/>
      </c>
      <c r="M2685">
        <f>IF(B2685,(1+Trend)^D2685,"")</f>
        <v/>
      </c>
      <c r="N2685">
        <f>IF(B2685,EXP(SUMPRODUCT(LN(1+(EvEff-1)*INDEX(Affected,0,C2685)*EXP(-((E2685-EvCenter)^2)/(2*EvSigma^2))))),"")</f>
        <v/>
      </c>
      <c r="O2685">
        <f>IF(B2685,ROUND(MAX(0,J2685*K2685*L2685*M2685*N2685),2),"")</f>
        <v/>
      </c>
    </row>
    <row r="2686">
      <c r="A2686" t="n">
        <v>2685</v>
      </c>
      <c r="B2686">
        <f>A2686&lt;=MineCount*Days</f>
        <v/>
      </c>
      <c r="C2686">
        <f>IF(B2686,INT((A2686-1)/Days)+1,"")</f>
        <v/>
      </c>
      <c r="D2686">
        <f>IF(B2686,MOD(A2686-1,Days),"")</f>
        <v/>
      </c>
      <c r="E2686" s="16">
        <f>IF(B2686,StartDate+D2686,"")</f>
        <v/>
      </c>
      <c r="F2686">
        <f>IF(B2686,MAX(MOD(SIN(Seed*0.1373+C2686*12.9898+D2686*78.233)*43758.5453,1),1E-9),"")</f>
        <v/>
      </c>
      <c r="G2686">
        <f>IF(B2686,MOD(SIN(Seed*0.5917+C2686*39.3468+D2686*11.135)*24634.6345,1),"")</f>
        <v/>
      </c>
      <c r="H2686">
        <f>IF(B2686,SQRT(-2*LN(F2686))*COS(2*PI()*G2686),"")</f>
        <v/>
      </c>
      <c r="I2686">
        <f>IF(B2686,IF(D2686=0,H2686,Rho*I2685+SQRT(1-Rho^2)*H2686),"")</f>
        <v/>
      </c>
      <c r="J2686">
        <f>IF(B2686,IF(Dist="Normal",DistA+DistB*I2686,DistA+(DistB-DistA)*NORMSDIST(I2686)),"")</f>
        <v/>
      </c>
      <c r="K2686">
        <f>IF(B2686,INDEX(MineScale,C2686),"")</f>
        <v/>
      </c>
      <c r="L2686">
        <f>IF(B2686,INDEX(Dow,1,WEEKDAY(E2686,2)),"")</f>
        <v/>
      </c>
      <c r="M2686">
        <f>IF(B2686,(1+Trend)^D2686,"")</f>
        <v/>
      </c>
      <c r="N2686">
        <f>IF(B2686,EXP(SUMPRODUCT(LN(1+(EvEff-1)*INDEX(Affected,0,C2686)*EXP(-((E2686-EvCenter)^2)/(2*EvSigma^2))))),"")</f>
        <v/>
      </c>
      <c r="O2686">
        <f>IF(B2686,ROUND(MAX(0,J2686*K2686*L2686*M2686*N2686),2),"")</f>
        <v/>
      </c>
    </row>
    <row r="2687">
      <c r="A2687" t="n">
        <v>2686</v>
      </c>
      <c r="B2687">
        <f>A2687&lt;=MineCount*Days</f>
        <v/>
      </c>
      <c r="C2687">
        <f>IF(B2687,INT((A2687-1)/Days)+1,"")</f>
        <v/>
      </c>
      <c r="D2687">
        <f>IF(B2687,MOD(A2687-1,Days),"")</f>
        <v/>
      </c>
      <c r="E2687" s="16">
        <f>IF(B2687,StartDate+D2687,"")</f>
        <v/>
      </c>
      <c r="F2687">
        <f>IF(B2687,MAX(MOD(SIN(Seed*0.1373+C2687*12.9898+D2687*78.233)*43758.5453,1),1E-9),"")</f>
        <v/>
      </c>
      <c r="G2687">
        <f>IF(B2687,MOD(SIN(Seed*0.5917+C2687*39.3468+D2687*11.135)*24634.6345,1),"")</f>
        <v/>
      </c>
      <c r="H2687">
        <f>IF(B2687,SQRT(-2*LN(F2687))*COS(2*PI()*G2687),"")</f>
        <v/>
      </c>
      <c r="I2687">
        <f>IF(B2687,IF(D2687=0,H2687,Rho*I2686+SQRT(1-Rho^2)*H2687),"")</f>
        <v/>
      </c>
      <c r="J2687">
        <f>IF(B2687,IF(Dist="Normal",DistA+DistB*I2687,DistA+(DistB-DistA)*NORMSDIST(I2687)),"")</f>
        <v/>
      </c>
      <c r="K2687">
        <f>IF(B2687,INDEX(MineScale,C2687),"")</f>
        <v/>
      </c>
      <c r="L2687">
        <f>IF(B2687,INDEX(Dow,1,WEEKDAY(E2687,2)),"")</f>
        <v/>
      </c>
      <c r="M2687">
        <f>IF(B2687,(1+Trend)^D2687,"")</f>
        <v/>
      </c>
      <c r="N2687">
        <f>IF(B2687,EXP(SUMPRODUCT(LN(1+(EvEff-1)*INDEX(Affected,0,C2687)*EXP(-((E2687-EvCenter)^2)/(2*EvSigma^2))))),"")</f>
        <v/>
      </c>
      <c r="O2687">
        <f>IF(B2687,ROUND(MAX(0,J2687*K2687*L2687*M2687*N2687),2),"")</f>
        <v/>
      </c>
    </row>
    <row r="2688">
      <c r="A2688" t="n">
        <v>2687</v>
      </c>
      <c r="B2688">
        <f>A2688&lt;=MineCount*Days</f>
        <v/>
      </c>
      <c r="C2688">
        <f>IF(B2688,INT((A2688-1)/Days)+1,"")</f>
        <v/>
      </c>
      <c r="D2688">
        <f>IF(B2688,MOD(A2688-1,Days),"")</f>
        <v/>
      </c>
      <c r="E2688" s="16">
        <f>IF(B2688,StartDate+D2688,"")</f>
        <v/>
      </c>
      <c r="F2688">
        <f>IF(B2688,MAX(MOD(SIN(Seed*0.1373+C2688*12.9898+D2688*78.233)*43758.5453,1),1E-9),"")</f>
        <v/>
      </c>
      <c r="G2688">
        <f>IF(B2688,MOD(SIN(Seed*0.5917+C2688*39.3468+D2688*11.135)*24634.6345,1),"")</f>
        <v/>
      </c>
      <c r="H2688">
        <f>IF(B2688,SQRT(-2*LN(F2688))*COS(2*PI()*G2688),"")</f>
        <v/>
      </c>
      <c r="I2688">
        <f>IF(B2688,IF(D2688=0,H2688,Rho*I2687+SQRT(1-Rho^2)*H2688),"")</f>
        <v/>
      </c>
      <c r="J2688">
        <f>IF(B2688,IF(Dist="Normal",DistA+DistB*I2688,DistA+(DistB-DistA)*NORMSDIST(I2688)),"")</f>
        <v/>
      </c>
      <c r="K2688">
        <f>IF(B2688,INDEX(MineScale,C2688),"")</f>
        <v/>
      </c>
      <c r="L2688">
        <f>IF(B2688,INDEX(Dow,1,WEEKDAY(E2688,2)),"")</f>
        <v/>
      </c>
      <c r="M2688">
        <f>IF(B2688,(1+Trend)^D2688,"")</f>
        <v/>
      </c>
      <c r="N2688">
        <f>IF(B2688,EXP(SUMPRODUCT(LN(1+(EvEff-1)*INDEX(Affected,0,C2688)*EXP(-((E2688-EvCenter)^2)/(2*EvSigma^2))))),"")</f>
        <v/>
      </c>
      <c r="O2688">
        <f>IF(B2688,ROUND(MAX(0,J2688*K2688*L2688*M2688*N2688),2),"")</f>
        <v/>
      </c>
    </row>
    <row r="2689">
      <c r="A2689" t="n">
        <v>2688</v>
      </c>
      <c r="B2689">
        <f>A2689&lt;=MineCount*Days</f>
        <v/>
      </c>
      <c r="C2689">
        <f>IF(B2689,INT((A2689-1)/Days)+1,"")</f>
        <v/>
      </c>
      <c r="D2689">
        <f>IF(B2689,MOD(A2689-1,Days),"")</f>
        <v/>
      </c>
      <c r="E2689" s="16">
        <f>IF(B2689,StartDate+D2689,"")</f>
        <v/>
      </c>
      <c r="F2689">
        <f>IF(B2689,MAX(MOD(SIN(Seed*0.1373+C2689*12.9898+D2689*78.233)*43758.5453,1),1E-9),"")</f>
        <v/>
      </c>
      <c r="G2689">
        <f>IF(B2689,MOD(SIN(Seed*0.5917+C2689*39.3468+D2689*11.135)*24634.6345,1),"")</f>
        <v/>
      </c>
      <c r="H2689">
        <f>IF(B2689,SQRT(-2*LN(F2689))*COS(2*PI()*G2689),"")</f>
        <v/>
      </c>
      <c r="I2689">
        <f>IF(B2689,IF(D2689=0,H2689,Rho*I2688+SQRT(1-Rho^2)*H2689),"")</f>
        <v/>
      </c>
      <c r="J2689">
        <f>IF(B2689,IF(Dist="Normal",DistA+DistB*I2689,DistA+(DistB-DistA)*NORMSDIST(I2689)),"")</f>
        <v/>
      </c>
      <c r="K2689">
        <f>IF(B2689,INDEX(MineScale,C2689),"")</f>
        <v/>
      </c>
      <c r="L2689">
        <f>IF(B2689,INDEX(Dow,1,WEEKDAY(E2689,2)),"")</f>
        <v/>
      </c>
      <c r="M2689">
        <f>IF(B2689,(1+Trend)^D2689,"")</f>
        <v/>
      </c>
      <c r="N2689">
        <f>IF(B2689,EXP(SUMPRODUCT(LN(1+(EvEff-1)*INDEX(Affected,0,C2689)*EXP(-((E2689-EvCenter)^2)/(2*EvSigma^2))))),"")</f>
        <v/>
      </c>
      <c r="O2689">
        <f>IF(B2689,ROUND(MAX(0,J2689*K2689*L2689*M2689*N2689),2),"")</f>
        <v/>
      </c>
    </row>
    <row r="2690">
      <c r="A2690" t="n">
        <v>2689</v>
      </c>
      <c r="B2690">
        <f>A2690&lt;=MineCount*Days</f>
        <v/>
      </c>
      <c r="C2690">
        <f>IF(B2690,INT((A2690-1)/Days)+1,"")</f>
        <v/>
      </c>
      <c r="D2690">
        <f>IF(B2690,MOD(A2690-1,Days),"")</f>
        <v/>
      </c>
      <c r="E2690" s="16">
        <f>IF(B2690,StartDate+D2690,"")</f>
        <v/>
      </c>
      <c r="F2690">
        <f>IF(B2690,MAX(MOD(SIN(Seed*0.1373+C2690*12.9898+D2690*78.233)*43758.5453,1),1E-9),"")</f>
        <v/>
      </c>
      <c r="G2690">
        <f>IF(B2690,MOD(SIN(Seed*0.5917+C2690*39.3468+D2690*11.135)*24634.6345,1),"")</f>
        <v/>
      </c>
      <c r="H2690">
        <f>IF(B2690,SQRT(-2*LN(F2690))*COS(2*PI()*G2690),"")</f>
        <v/>
      </c>
      <c r="I2690">
        <f>IF(B2690,IF(D2690=0,H2690,Rho*I2689+SQRT(1-Rho^2)*H2690),"")</f>
        <v/>
      </c>
      <c r="J2690">
        <f>IF(B2690,IF(Dist="Normal",DistA+DistB*I2690,DistA+(DistB-DistA)*NORMSDIST(I2690)),"")</f>
        <v/>
      </c>
      <c r="K2690">
        <f>IF(B2690,INDEX(MineScale,C2690),"")</f>
        <v/>
      </c>
      <c r="L2690">
        <f>IF(B2690,INDEX(Dow,1,WEEKDAY(E2690,2)),"")</f>
        <v/>
      </c>
      <c r="M2690">
        <f>IF(B2690,(1+Trend)^D2690,"")</f>
        <v/>
      </c>
      <c r="N2690">
        <f>IF(B2690,EXP(SUMPRODUCT(LN(1+(EvEff-1)*INDEX(Affected,0,C2690)*EXP(-((E2690-EvCenter)^2)/(2*EvSigma^2))))),"")</f>
        <v/>
      </c>
      <c r="O2690">
        <f>IF(B2690,ROUND(MAX(0,J2690*K2690*L2690*M2690*N2690),2),"")</f>
        <v/>
      </c>
    </row>
    <row r="2691">
      <c r="A2691" t="n">
        <v>2690</v>
      </c>
      <c r="B2691">
        <f>A2691&lt;=MineCount*Days</f>
        <v/>
      </c>
      <c r="C2691">
        <f>IF(B2691,INT((A2691-1)/Days)+1,"")</f>
        <v/>
      </c>
      <c r="D2691">
        <f>IF(B2691,MOD(A2691-1,Days),"")</f>
        <v/>
      </c>
      <c r="E2691" s="16">
        <f>IF(B2691,StartDate+D2691,"")</f>
        <v/>
      </c>
      <c r="F2691">
        <f>IF(B2691,MAX(MOD(SIN(Seed*0.1373+C2691*12.9898+D2691*78.233)*43758.5453,1),1E-9),"")</f>
        <v/>
      </c>
      <c r="G2691">
        <f>IF(B2691,MOD(SIN(Seed*0.5917+C2691*39.3468+D2691*11.135)*24634.6345,1),"")</f>
        <v/>
      </c>
      <c r="H2691">
        <f>IF(B2691,SQRT(-2*LN(F2691))*COS(2*PI()*G2691),"")</f>
        <v/>
      </c>
      <c r="I2691">
        <f>IF(B2691,IF(D2691=0,H2691,Rho*I2690+SQRT(1-Rho^2)*H2691),"")</f>
        <v/>
      </c>
      <c r="J2691">
        <f>IF(B2691,IF(Dist="Normal",DistA+DistB*I2691,DistA+(DistB-DistA)*NORMSDIST(I2691)),"")</f>
        <v/>
      </c>
      <c r="K2691">
        <f>IF(B2691,INDEX(MineScale,C2691),"")</f>
        <v/>
      </c>
      <c r="L2691">
        <f>IF(B2691,INDEX(Dow,1,WEEKDAY(E2691,2)),"")</f>
        <v/>
      </c>
      <c r="M2691">
        <f>IF(B2691,(1+Trend)^D2691,"")</f>
        <v/>
      </c>
      <c r="N2691">
        <f>IF(B2691,EXP(SUMPRODUCT(LN(1+(EvEff-1)*INDEX(Affected,0,C2691)*EXP(-((E2691-EvCenter)^2)/(2*EvSigma^2))))),"")</f>
        <v/>
      </c>
      <c r="O2691">
        <f>IF(B2691,ROUND(MAX(0,J2691*K2691*L2691*M2691*N2691),2),"")</f>
        <v/>
      </c>
    </row>
    <row r="2692">
      <c r="A2692" t="n">
        <v>2691</v>
      </c>
      <c r="B2692">
        <f>A2692&lt;=MineCount*Days</f>
        <v/>
      </c>
      <c r="C2692">
        <f>IF(B2692,INT((A2692-1)/Days)+1,"")</f>
        <v/>
      </c>
      <c r="D2692">
        <f>IF(B2692,MOD(A2692-1,Days),"")</f>
        <v/>
      </c>
      <c r="E2692" s="16">
        <f>IF(B2692,StartDate+D2692,"")</f>
        <v/>
      </c>
      <c r="F2692">
        <f>IF(B2692,MAX(MOD(SIN(Seed*0.1373+C2692*12.9898+D2692*78.233)*43758.5453,1),1E-9),"")</f>
        <v/>
      </c>
      <c r="G2692">
        <f>IF(B2692,MOD(SIN(Seed*0.5917+C2692*39.3468+D2692*11.135)*24634.6345,1),"")</f>
        <v/>
      </c>
      <c r="H2692">
        <f>IF(B2692,SQRT(-2*LN(F2692))*COS(2*PI()*G2692),"")</f>
        <v/>
      </c>
      <c r="I2692">
        <f>IF(B2692,IF(D2692=0,H2692,Rho*I2691+SQRT(1-Rho^2)*H2692),"")</f>
        <v/>
      </c>
      <c r="J2692">
        <f>IF(B2692,IF(Dist="Normal",DistA+DistB*I2692,DistA+(DistB-DistA)*NORMSDIST(I2692)),"")</f>
        <v/>
      </c>
      <c r="K2692">
        <f>IF(B2692,INDEX(MineScale,C2692),"")</f>
        <v/>
      </c>
      <c r="L2692">
        <f>IF(B2692,INDEX(Dow,1,WEEKDAY(E2692,2)),"")</f>
        <v/>
      </c>
      <c r="M2692">
        <f>IF(B2692,(1+Trend)^D2692,"")</f>
        <v/>
      </c>
      <c r="N2692">
        <f>IF(B2692,EXP(SUMPRODUCT(LN(1+(EvEff-1)*INDEX(Affected,0,C2692)*EXP(-((E2692-EvCenter)^2)/(2*EvSigma^2))))),"")</f>
        <v/>
      </c>
      <c r="O2692">
        <f>IF(B2692,ROUND(MAX(0,J2692*K2692*L2692*M2692*N2692),2),"")</f>
        <v/>
      </c>
    </row>
    <row r="2693">
      <c r="A2693" t="n">
        <v>2692</v>
      </c>
      <c r="B2693">
        <f>A2693&lt;=MineCount*Days</f>
        <v/>
      </c>
      <c r="C2693">
        <f>IF(B2693,INT((A2693-1)/Days)+1,"")</f>
        <v/>
      </c>
      <c r="D2693">
        <f>IF(B2693,MOD(A2693-1,Days),"")</f>
        <v/>
      </c>
      <c r="E2693" s="16">
        <f>IF(B2693,StartDate+D2693,"")</f>
        <v/>
      </c>
      <c r="F2693">
        <f>IF(B2693,MAX(MOD(SIN(Seed*0.1373+C2693*12.9898+D2693*78.233)*43758.5453,1),1E-9),"")</f>
        <v/>
      </c>
      <c r="G2693">
        <f>IF(B2693,MOD(SIN(Seed*0.5917+C2693*39.3468+D2693*11.135)*24634.6345,1),"")</f>
        <v/>
      </c>
      <c r="H2693">
        <f>IF(B2693,SQRT(-2*LN(F2693))*COS(2*PI()*G2693),"")</f>
        <v/>
      </c>
      <c r="I2693">
        <f>IF(B2693,IF(D2693=0,H2693,Rho*I2692+SQRT(1-Rho^2)*H2693),"")</f>
        <v/>
      </c>
      <c r="J2693">
        <f>IF(B2693,IF(Dist="Normal",DistA+DistB*I2693,DistA+(DistB-DistA)*NORMSDIST(I2693)),"")</f>
        <v/>
      </c>
      <c r="K2693">
        <f>IF(B2693,INDEX(MineScale,C2693),"")</f>
        <v/>
      </c>
      <c r="L2693">
        <f>IF(B2693,INDEX(Dow,1,WEEKDAY(E2693,2)),"")</f>
        <v/>
      </c>
      <c r="M2693">
        <f>IF(B2693,(1+Trend)^D2693,"")</f>
        <v/>
      </c>
      <c r="N2693">
        <f>IF(B2693,EXP(SUMPRODUCT(LN(1+(EvEff-1)*INDEX(Affected,0,C2693)*EXP(-((E2693-EvCenter)^2)/(2*EvSigma^2))))),"")</f>
        <v/>
      </c>
      <c r="O2693">
        <f>IF(B2693,ROUND(MAX(0,J2693*K2693*L2693*M2693*N2693),2),"")</f>
        <v/>
      </c>
    </row>
    <row r="2694">
      <c r="A2694" t="n">
        <v>2693</v>
      </c>
      <c r="B2694">
        <f>A2694&lt;=MineCount*Days</f>
        <v/>
      </c>
      <c r="C2694">
        <f>IF(B2694,INT((A2694-1)/Days)+1,"")</f>
        <v/>
      </c>
      <c r="D2694">
        <f>IF(B2694,MOD(A2694-1,Days),"")</f>
        <v/>
      </c>
      <c r="E2694" s="16">
        <f>IF(B2694,StartDate+D2694,"")</f>
        <v/>
      </c>
      <c r="F2694">
        <f>IF(B2694,MAX(MOD(SIN(Seed*0.1373+C2694*12.9898+D2694*78.233)*43758.5453,1),1E-9),"")</f>
        <v/>
      </c>
      <c r="G2694">
        <f>IF(B2694,MOD(SIN(Seed*0.5917+C2694*39.3468+D2694*11.135)*24634.6345,1),"")</f>
        <v/>
      </c>
      <c r="H2694">
        <f>IF(B2694,SQRT(-2*LN(F2694))*COS(2*PI()*G2694),"")</f>
        <v/>
      </c>
      <c r="I2694">
        <f>IF(B2694,IF(D2694=0,H2694,Rho*I2693+SQRT(1-Rho^2)*H2694),"")</f>
        <v/>
      </c>
      <c r="J2694">
        <f>IF(B2694,IF(Dist="Normal",DistA+DistB*I2694,DistA+(DistB-DistA)*NORMSDIST(I2694)),"")</f>
        <v/>
      </c>
      <c r="K2694">
        <f>IF(B2694,INDEX(MineScale,C2694),"")</f>
        <v/>
      </c>
      <c r="L2694">
        <f>IF(B2694,INDEX(Dow,1,WEEKDAY(E2694,2)),"")</f>
        <v/>
      </c>
      <c r="M2694">
        <f>IF(B2694,(1+Trend)^D2694,"")</f>
        <v/>
      </c>
      <c r="N2694">
        <f>IF(B2694,EXP(SUMPRODUCT(LN(1+(EvEff-1)*INDEX(Affected,0,C2694)*EXP(-((E2694-EvCenter)^2)/(2*EvSigma^2))))),"")</f>
        <v/>
      </c>
      <c r="O2694">
        <f>IF(B2694,ROUND(MAX(0,J2694*K2694*L2694*M2694*N2694),2),"")</f>
        <v/>
      </c>
    </row>
    <row r="2695">
      <c r="A2695" t="n">
        <v>2694</v>
      </c>
      <c r="B2695">
        <f>A2695&lt;=MineCount*Days</f>
        <v/>
      </c>
      <c r="C2695">
        <f>IF(B2695,INT((A2695-1)/Days)+1,"")</f>
        <v/>
      </c>
      <c r="D2695">
        <f>IF(B2695,MOD(A2695-1,Days),"")</f>
        <v/>
      </c>
      <c r="E2695" s="16">
        <f>IF(B2695,StartDate+D2695,"")</f>
        <v/>
      </c>
      <c r="F2695">
        <f>IF(B2695,MAX(MOD(SIN(Seed*0.1373+C2695*12.9898+D2695*78.233)*43758.5453,1),1E-9),"")</f>
        <v/>
      </c>
      <c r="G2695">
        <f>IF(B2695,MOD(SIN(Seed*0.5917+C2695*39.3468+D2695*11.135)*24634.6345,1),"")</f>
        <v/>
      </c>
      <c r="H2695">
        <f>IF(B2695,SQRT(-2*LN(F2695))*COS(2*PI()*G2695),"")</f>
        <v/>
      </c>
      <c r="I2695">
        <f>IF(B2695,IF(D2695=0,H2695,Rho*I2694+SQRT(1-Rho^2)*H2695),"")</f>
        <v/>
      </c>
      <c r="J2695">
        <f>IF(B2695,IF(Dist="Normal",DistA+DistB*I2695,DistA+(DistB-DistA)*NORMSDIST(I2695)),"")</f>
        <v/>
      </c>
      <c r="K2695">
        <f>IF(B2695,INDEX(MineScale,C2695),"")</f>
        <v/>
      </c>
      <c r="L2695">
        <f>IF(B2695,INDEX(Dow,1,WEEKDAY(E2695,2)),"")</f>
        <v/>
      </c>
      <c r="M2695">
        <f>IF(B2695,(1+Trend)^D2695,"")</f>
        <v/>
      </c>
      <c r="N2695">
        <f>IF(B2695,EXP(SUMPRODUCT(LN(1+(EvEff-1)*INDEX(Affected,0,C2695)*EXP(-((E2695-EvCenter)^2)/(2*EvSigma^2))))),"")</f>
        <v/>
      </c>
      <c r="O2695">
        <f>IF(B2695,ROUND(MAX(0,J2695*K2695*L2695*M2695*N2695),2),"")</f>
        <v/>
      </c>
    </row>
    <row r="2696">
      <c r="A2696" t="n">
        <v>2695</v>
      </c>
      <c r="B2696">
        <f>A2696&lt;=MineCount*Days</f>
        <v/>
      </c>
      <c r="C2696">
        <f>IF(B2696,INT((A2696-1)/Days)+1,"")</f>
        <v/>
      </c>
      <c r="D2696">
        <f>IF(B2696,MOD(A2696-1,Days),"")</f>
        <v/>
      </c>
      <c r="E2696" s="16">
        <f>IF(B2696,StartDate+D2696,"")</f>
        <v/>
      </c>
      <c r="F2696">
        <f>IF(B2696,MAX(MOD(SIN(Seed*0.1373+C2696*12.9898+D2696*78.233)*43758.5453,1),1E-9),"")</f>
        <v/>
      </c>
      <c r="G2696">
        <f>IF(B2696,MOD(SIN(Seed*0.5917+C2696*39.3468+D2696*11.135)*24634.6345,1),"")</f>
        <v/>
      </c>
      <c r="H2696">
        <f>IF(B2696,SQRT(-2*LN(F2696))*COS(2*PI()*G2696),"")</f>
        <v/>
      </c>
      <c r="I2696">
        <f>IF(B2696,IF(D2696=0,H2696,Rho*I2695+SQRT(1-Rho^2)*H2696),"")</f>
        <v/>
      </c>
      <c r="J2696">
        <f>IF(B2696,IF(Dist="Normal",DistA+DistB*I2696,DistA+(DistB-DistA)*NORMSDIST(I2696)),"")</f>
        <v/>
      </c>
      <c r="K2696">
        <f>IF(B2696,INDEX(MineScale,C2696),"")</f>
        <v/>
      </c>
      <c r="L2696">
        <f>IF(B2696,INDEX(Dow,1,WEEKDAY(E2696,2)),"")</f>
        <v/>
      </c>
      <c r="M2696">
        <f>IF(B2696,(1+Trend)^D2696,"")</f>
        <v/>
      </c>
      <c r="N2696">
        <f>IF(B2696,EXP(SUMPRODUCT(LN(1+(EvEff-1)*INDEX(Affected,0,C2696)*EXP(-((E2696-EvCenter)^2)/(2*EvSigma^2))))),"")</f>
        <v/>
      </c>
      <c r="O2696">
        <f>IF(B2696,ROUND(MAX(0,J2696*K2696*L2696*M2696*N2696),2),"")</f>
        <v/>
      </c>
    </row>
    <row r="2697">
      <c r="A2697" t="n">
        <v>2696</v>
      </c>
      <c r="B2697">
        <f>A2697&lt;=MineCount*Days</f>
        <v/>
      </c>
      <c r="C2697">
        <f>IF(B2697,INT((A2697-1)/Days)+1,"")</f>
        <v/>
      </c>
      <c r="D2697">
        <f>IF(B2697,MOD(A2697-1,Days),"")</f>
        <v/>
      </c>
      <c r="E2697" s="16">
        <f>IF(B2697,StartDate+D2697,"")</f>
        <v/>
      </c>
      <c r="F2697">
        <f>IF(B2697,MAX(MOD(SIN(Seed*0.1373+C2697*12.9898+D2697*78.233)*43758.5453,1),1E-9),"")</f>
        <v/>
      </c>
      <c r="G2697">
        <f>IF(B2697,MOD(SIN(Seed*0.5917+C2697*39.3468+D2697*11.135)*24634.6345,1),"")</f>
        <v/>
      </c>
      <c r="H2697">
        <f>IF(B2697,SQRT(-2*LN(F2697))*COS(2*PI()*G2697),"")</f>
        <v/>
      </c>
      <c r="I2697">
        <f>IF(B2697,IF(D2697=0,H2697,Rho*I2696+SQRT(1-Rho^2)*H2697),"")</f>
        <v/>
      </c>
      <c r="J2697">
        <f>IF(B2697,IF(Dist="Normal",DistA+DistB*I2697,DistA+(DistB-DistA)*NORMSDIST(I2697)),"")</f>
        <v/>
      </c>
      <c r="K2697">
        <f>IF(B2697,INDEX(MineScale,C2697),"")</f>
        <v/>
      </c>
      <c r="L2697">
        <f>IF(B2697,INDEX(Dow,1,WEEKDAY(E2697,2)),"")</f>
        <v/>
      </c>
      <c r="M2697">
        <f>IF(B2697,(1+Trend)^D2697,"")</f>
        <v/>
      </c>
      <c r="N2697">
        <f>IF(B2697,EXP(SUMPRODUCT(LN(1+(EvEff-1)*INDEX(Affected,0,C2697)*EXP(-((E2697-EvCenter)^2)/(2*EvSigma^2))))),"")</f>
        <v/>
      </c>
      <c r="O2697">
        <f>IF(B2697,ROUND(MAX(0,J2697*K2697*L2697*M2697*N2697),2),"")</f>
        <v/>
      </c>
    </row>
    <row r="2698">
      <c r="A2698" t="n">
        <v>2697</v>
      </c>
      <c r="B2698">
        <f>A2698&lt;=MineCount*Days</f>
        <v/>
      </c>
      <c r="C2698">
        <f>IF(B2698,INT((A2698-1)/Days)+1,"")</f>
        <v/>
      </c>
      <c r="D2698">
        <f>IF(B2698,MOD(A2698-1,Days),"")</f>
        <v/>
      </c>
      <c r="E2698" s="16">
        <f>IF(B2698,StartDate+D2698,"")</f>
        <v/>
      </c>
      <c r="F2698">
        <f>IF(B2698,MAX(MOD(SIN(Seed*0.1373+C2698*12.9898+D2698*78.233)*43758.5453,1),1E-9),"")</f>
        <v/>
      </c>
      <c r="G2698">
        <f>IF(B2698,MOD(SIN(Seed*0.5917+C2698*39.3468+D2698*11.135)*24634.6345,1),"")</f>
        <v/>
      </c>
      <c r="H2698">
        <f>IF(B2698,SQRT(-2*LN(F2698))*COS(2*PI()*G2698),"")</f>
        <v/>
      </c>
      <c r="I2698">
        <f>IF(B2698,IF(D2698=0,H2698,Rho*I2697+SQRT(1-Rho^2)*H2698),"")</f>
        <v/>
      </c>
      <c r="J2698">
        <f>IF(B2698,IF(Dist="Normal",DistA+DistB*I2698,DistA+(DistB-DistA)*NORMSDIST(I2698)),"")</f>
        <v/>
      </c>
      <c r="K2698">
        <f>IF(B2698,INDEX(MineScale,C2698),"")</f>
        <v/>
      </c>
      <c r="L2698">
        <f>IF(B2698,INDEX(Dow,1,WEEKDAY(E2698,2)),"")</f>
        <v/>
      </c>
      <c r="M2698">
        <f>IF(B2698,(1+Trend)^D2698,"")</f>
        <v/>
      </c>
      <c r="N2698">
        <f>IF(B2698,EXP(SUMPRODUCT(LN(1+(EvEff-1)*INDEX(Affected,0,C2698)*EXP(-((E2698-EvCenter)^2)/(2*EvSigma^2))))),"")</f>
        <v/>
      </c>
      <c r="O2698">
        <f>IF(B2698,ROUND(MAX(0,J2698*K2698*L2698*M2698*N2698),2),"")</f>
        <v/>
      </c>
    </row>
    <row r="2699">
      <c r="A2699" t="n">
        <v>2698</v>
      </c>
      <c r="B2699">
        <f>A2699&lt;=MineCount*Days</f>
        <v/>
      </c>
      <c r="C2699">
        <f>IF(B2699,INT((A2699-1)/Days)+1,"")</f>
        <v/>
      </c>
      <c r="D2699">
        <f>IF(B2699,MOD(A2699-1,Days),"")</f>
        <v/>
      </c>
      <c r="E2699" s="16">
        <f>IF(B2699,StartDate+D2699,"")</f>
        <v/>
      </c>
      <c r="F2699">
        <f>IF(B2699,MAX(MOD(SIN(Seed*0.1373+C2699*12.9898+D2699*78.233)*43758.5453,1),1E-9),"")</f>
        <v/>
      </c>
      <c r="G2699">
        <f>IF(B2699,MOD(SIN(Seed*0.5917+C2699*39.3468+D2699*11.135)*24634.6345,1),"")</f>
        <v/>
      </c>
      <c r="H2699">
        <f>IF(B2699,SQRT(-2*LN(F2699))*COS(2*PI()*G2699),"")</f>
        <v/>
      </c>
      <c r="I2699">
        <f>IF(B2699,IF(D2699=0,H2699,Rho*I2698+SQRT(1-Rho^2)*H2699),"")</f>
        <v/>
      </c>
      <c r="J2699">
        <f>IF(B2699,IF(Dist="Normal",DistA+DistB*I2699,DistA+(DistB-DistA)*NORMSDIST(I2699)),"")</f>
        <v/>
      </c>
      <c r="K2699">
        <f>IF(B2699,INDEX(MineScale,C2699),"")</f>
        <v/>
      </c>
      <c r="L2699">
        <f>IF(B2699,INDEX(Dow,1,WEEKDAY(E2699,2)),"")</f>
        <v/>
      </c>
      <c r="M2699">
        <f>IF(B2699,(1+Trend)^D2699,"")</f>
        <v/>
      </c>
      <c r="N2699">
        <f>IF(B2699,EXP(SUMPRODUCT(LN(1+(EvEff-1)*INDEX(Affected,0,C2699)*EXP(-((E2699-EvCenter)^2)/(2*EvSigma^2))))),"")</f>
        <v/>
      </c>
      <c r="O2699">
        <f>IF(B2699,ROUND(MAX(0,J2699*K2699*L2699*M2699*N2699),2),"")</f>
        <v/>
      </c>
    </row>
    <row r="2700">
      <c r="A2700" t="n">
        <v>2699</v>
      </c>
      <c r="B2700">
        <f>A2700&lt;=MineCount*Days</f>
        <v/>
      </c>
      <c r="C2700">
        <f>IF(B2700,INT((A2700-1)/Days)+1,"")</f>
        <v/>
      </c>
      <c r="D2700">
        <f>IF(B2700,MOD(A2700-1,Days),"")</f>
        <v/>
      </c>
      <c r="E2700" s="16">
        <f>IF(B2700,StartDate+D2700,"")</f>
        <v/>
      </c>
      <c r="F2700">
        <f>IF(B2700,MAX(MOD(SIN(Seed*0.1373+C2700*12.9898+D2700*78.233)*43758.5453,1),1E-9),"")</f>
        <v/>
      </c>
      <c r="G2700">
        <f>IF(B2700,MOD(SIN(Seed*0.5917+C2700*39.3468+D2700*11.135)*24634.6345,1),"")</f>
        <v/>
      </c>
      <c r="H2700">
        <f>IF(B2700,SQRT(-2*LN(F2700))*COS(2*PI()*G2700),"")</f>
        <v/>
      </c>
      <c r="I2700">
        <f>IF(B2700,IF(D2700=0,H2700,Rho*I2699+SQRT(1-Rho^2)*H2700),"")</f>
        <v/>
      </c>
      <c r="J2700">
        <f>IF(B2700,IF(Dist="Normal",DistA+DistB*I2700,DistA+(DistB-DistA)*NORMSDIST(I2700)),"")</f>
        <v/>
      </c>
      <c r="K2700">
        <f>IF(B2700,INDEX(MineScale,C2700),"")</f>
        <v/>
      </c>
      <c r="L2700">
        <f>IF(B2700,INDEX(Dow,1,WEEKDAY(E2700,2)),"")</f>
        <v/>
      </c>
      <c r="M2700">
        <f>IF(B2700,(1+Trend)^D2700,"")</f>
        <v/>
      </c>
      <c r="N2700">
        <f>IF(B2700,EXP(SUMPRODUCT(LN(1+(EvEff-1)*INDEX(Affected,0,C2700)*EXP(-((E2700-EvCenter)^2)/(2*EvSigma^2))))),"")</f>
        <v/>
      </c>
      <c r="O2700">
        <f>IF(B2700,ROUND(MAX(0,J2700*K2700*L2700*M2700*N2700),2),"")</f>
        <v/>
      </c>
    </row>
    <row r="2701">
      <c r="A2701" t="n">
        <v>2700</v>
      </c>
      <c r="B2701">
        <f>A2701&lt;=MineCount*Days</f>
        <v/>
      </c>
      <c r="C2701">
        <f>IF(B2701,INT((A2701-1)/Days)+1,"")</f>
        <v/>
      </c>
      <c r="D2701">
        <f>IF(B2701,MOD(A2701-1,Days),"")</f>
        <v/>
      </c>
      <c r="E2701" s="16">
        <f>IF(B2701,StartDate+D2701,"")</f>
        <v/>
      </c>
      <c r="F2701">
        <f>IF(B2701,MAX(MOD(SIN(Seed*0.1373+C2701*12.9898+D2701*78.233)*43758.5453,1),1E-9),"")</f>
        <v/>
      </c>
      <c r="G2701">
        <f>IF(B2701,MOD(SIN(Seed*0.5917+C2701*39.3468+D2701*11.135)*24634.6345,1),"")</f>
        <v/>
      </c>
      <c r="H2701">
        <f>IF(B2701,SQRT(-2*LN(F2701))*COS(2*PI()*G2701),"")</f>
        <v/>
      </c>
      <c r="I2701">
        <f>IF(B2701,IF(D2701=0,H2701,Rho*I2700+SQRT(1-Rho^2)*H2701),"")</f>
        <v/>
      </c>
      <c r="J2701">
        <f>IF(B2701,IF(Dist="Normal",DistA+DistB*I2701,DistA+(DistB-DistA)*NORMSDIST(I2701)),"")</f>
        <v/>
      </c>
      <c r="K2701">
        <f>IF(B2701,INDEX(MineScale,C2701),"")</f>
        <v/>
      </c>
      <c r="L2701">
        <f>IF(B2701,INDEX(Dow,1,WEEKDAY(E2701,2)),"")</f>
        <v/>
      </c>
      <c r="M2701">
        <f>IF(B2701,(1+Trend)^D2701,"")</f>
        <v/>
      </c>
      <c r="N2701">
        <f>IF(B2701,EXP(SUMPRODUCT(LN(1+(EvEff-1)*INDEX(Affected,0,C2701)*EXP(-((E2701-EvCenter)^2)/(2*EvSigma^2))))),"")</f>
        <v/>
      </c>
      <c r="O2701">
        <f>IF(B2701,ROUND(MAX(0,J2701*K2701*L2701*M2701*N2701),2),"")</f>
        <v/>
      </c>
    </row>
    <row r="2702">
      <c r="A2702" t="n">
        <v>2701</v>
      </c>
      <c r="B2702">
        <f>A2702&lt;=MineCount*Days</f>
        <v/>
      </c>
      <c r="C2702">
        <f>IF(B2702,INT((A2702-1)/Days)+1,"")</f>
        <v/>
      </c>
      <c r="D2702">
        <f>IF(B2702,MOD(A2702-1,Days),"")</f>
        <v/>
      </c>
      <c r="E2702" s="16">
        <f>IF(B2702,StartDate+D2702,"")</f>
        <v/>
      </c>
      <c r="F2702">
        <f>IF(B2702,MAX(MOD(SIN(Seed*0.1373+C2702*12.9898+D2702*78.233)*43758.5453,1),1E-9),"")</f>
        <v/>
      </c>
      <c r="G2702">
        <f>IF(B2702,MOD(SIN(Seed*0.5917+C2702*39.3468+D2702*11.135)*24634.6345,1),"")</f>
        <v/>
      </c>
      <c r="H2702">
        <f>IF(B2702,SQRT(-2*LN(F2702))*COS(2*PI()*G2702),"")</f>
        <v/>
      </c>
      <c r="I2702">
        <f>IF(B2702,IF(D2702=0,H2702,Rho*I2701+SQRT(1-Rho^2)*H2702),"")</f>
        <v/>
      </c>
      <c r="J2702">
        <f>IF(B2702,IF(Dist="Normal",DistA+DistB*I2702,DistA+(DistB-DistA)*NORMSDIST(I2702)),"")</f>
        <v/>
      </c>
      <c r="K2702">
        <f>IF(B2702,INDEX(MineScale,C2702),"")</f>
        <v/>
      </c>
      <c r="L2702">
        <f>IF(B2702,INDEX(Dow,1,WEEKDAY(E2702,2)),"")</f>
        <v/>
      </c>
      <c r="M2702">
        <f>IF(B2702,(1+Trend)^D2702,"")</f>
        <v/>
      </c>
      <c r="N2702">
        <f>IF(B2702,EXP(SUMPRODUCT(LN(1+(EvEff-1)*INDEX(Affected,0,C2702)*EXP(-((E2702-EvCenter)^2)/(2*EvSigma^2))))),"")</f>
        <v/>
      </c>
      <c r="O2702">
        <f>IF(B2702,ROUND(MAX(0,J2702*K2702*L2702*M2702*N2702),2),"")</f>
        <v/>
      </c>
    </row>
    <row r="2703">
      <c r="A2703" t="n">
        <v>2702</v>
      </c>
      <c r="B2703">
        <f>A2703&lt;=MineCount*Days</f>
        <v/>
      </c>
      <c r="C2703">
        <f>IF(B2703,INT((A2703-1)/Days)+1,"")</f>
        <v/>
      </c>
      <c r="D2703">
        <f>IF(B2703,MOD(A2703-1,Days),"")</f>
        <v/>
      </c>
      <c r="E2703" s="16">
        <f>IF(B2703,StartDate+D2703,"")</f>
        <v/>
      </c>
      <c r="F2703">
        <f>IF(B2703,MAX(MOD(SIN(Seed*0.1373+C2703*12.9898+D2703*78.233)*43758.5453,1),1E-9),"")</f>
        <v/>
      </c>
      <c r="G2703">
        <f>IF(B2703,MOD(SIN(Seed*0.5917+C2703*39.3468+D2703*11.135)*24634.6345,1),"")</f>
        <v/>
      </c>
      <c r="H2703">
        <f>IF(B2703,SQRT(-2*LN(F2703))*COS(2*PI()*G2703),"")</f>
        <v/>
      </c>
      <c r="I2703">
        <f>IF(B2703,IF(D2703=0,H2703,Rho*I2702+SQRT(1-Rho^2)*H2703),"")</f>
        <v/>
      </c>
      <c r="J2703">
        <f>IF(B2703,IF(Dist="Normal",DistA+DistB*I2703,DistA+(DistB-DistA)*NORMSDIST(I2703)),"")</f>
        <v/>
      </c>
      <c r="K2703">
        <f>IF(B2703,INDEX(MineScale,C2703),"")</f>
        <v/>
      </c>
      <c r="L2703">
        <f>IF(B2703,INDEX(Dow,1,WEEKDAY(E2703,2)),"")</f>
        <v/>
      </c>
      <c r="M2703">
        <f>IF(B2703,(1+Trend)^D2703,"")</f>
        <v/>
      </c>
      <c r="N2703">
        <f>IF(B2703,EXP(SUMPRODUCT(LN(1+(EvEff-1)*INDEX(Affected,0,C2703)*EXP(-((E2703-EvCenter)^2)/(2*EvSigma^2))))),"")</f>
        <v/>
      </c>
      <c r="O2703">
        <f>IF(B2703,ROUND(MAX(0,J2703*K2703*L2703*M2703*N2703),2),"")</f>
        <v/>
      </c>
    </row>
    <row r="2704">
      <c r="A2704" t="n">
        <v>2703</v>
      </c>
      <c r="B2704">
        <f>A2704&lt;=MineCount*Days</f>
        <v/>
      </c>
      <c r="C2704">
        <f>IF(B2704,INT((A2704-1)/Days)+1,"")</f>
        <v/>
      </c>
      <c r="D2704">
        <f>IF(B2704,MOD(A2704-1,Days),"")</f>
        <v/>
      </c>
      <c r="E2704" s="16">
        <f>IF(B2704,StartDate+D2704,"")</f>
        <v/>
      </c>
      <c r="F2704">
        <f>IF(B2704,MAX(MOD(SIN(Seed*0.1373+C2704*12.9898+D2704*78.233)*43758.5453,1),1E-9),"")</f>
        <v/>
      </c>
      <c r="G2704">
        <f>IF(B2704,MOD(SIN(Seed*0.5917+C2704*39.3468+D2704*11.135)*24634.6345,1),"")</f>
        <v/>
      </c>
      <c r="H2704">
        <f>IF(B2704,SQRT(-2*LN(F2704))*COS(2*PI()*G2704),"")</f>
        <v/>
      </c>
      <c r="I2704">
        <f>IF(B2704,IF(D2704=0,H2704,Rho*I2703+SQRT(1-Rho^2)*H2704),"")</f>
        <v/>
      </c>
      <c r="J2704">
        <f>IF(B2704,IF(Dist="Normal",DistA+DistB*I2704,DistA+(DistB-DistA)*NORMSDIST(I2704)),"")</f>
        <v/>
      </c>
      <c r="K2704">
        <f>IF(B2704,INDEX(MineScale,C2704),"")</f>
        <v/>
      </c>
      <c r="L2704">
        <f>IF(B2704,INDEX(Dow,1,WEEKDAY(E2704,2)),"")</f>
        <v/>
      </c>
      <c r="M2704">
        <f>IF(B2704,(1+Trend)^D2704,"")</f>
        <v/>
      </c>
      <c r="N2704">
        <f>IF(B2704,EXP(SUMPRODUCT(LN(1+(EvEff-1)*INDEX(Affected,0,C2704)*EXP(-((E2704-EvCenter)^2)/(2*EvSigma^2))))),"")</f>
        <v/>
      </c>
      <c r="O2704">
        <f>IF(B2704,ROUND(MAX(0,J2704*K2704*L2704*M2704*N2704),2),"")</f>
        <v/>
      </c>
    </row>
    <row r="2705">
      <c r="A2705" t="n">
        <v>2704</v>
      </c>
      <c r="B2705">
        <f>A2705&lt;=MineCount*Days</f>
        <v/>
      </c>
      <c r="C2705">
        <f>IF(B2705,INT((A2705-1)/Days)+1,"")</f>
        <v/>
      </c>
      <c r="D2705">
        <f>IF(B2705,MOD(A2705-1,Days),"")</f>
        <v/>
      </c>
      <c r="E2705" s="16">
        <f>IF(B2705,StartDate+D2705,"")</f>
        <v/>
      </c>
      <c r="F2705">
        <f>IF(B2705,MAX(MOD(SIN(Seed*0.1373+C2705*12.9898+D2705*78.233)*43758.5453,1),1E-9),"")</f>
        <v/>
      </c>
      <c r="G2705">
        <f>IF(B2705,MOD(SIN(Seed*0.5917+C2705*39.3468+D2705*11.135)*24634.6345,1),"")</f>
        <v/>
      </c>
      <c r="H2705">
        <f>IF(B2705,SQRT(-2*LN(F2705))*COS(2*PI()*G2705),"")</f>
        <v/>
      </c>
      <c r="I2705">
        <f>IF(B2705,IF(D2705=0,H2705,Rho*I2704+SQRT(1-Rho^2)*H2705),"")</f>
        <v/>
      </c>
      <c r="J2705">
        <f>IF(B2705,IF(Dist="Normal",DistA+DistB*I2705,DistA+(DistB-DistA)*NORMSDIST(I2705)),"")</f>
        <v/>
      </c>
      <c r="K2705">
        <f>IF(B2705,INDEX(MineScale,C2705),"")</f>
        <v/>
      </c>
      <c r="L2705">
        <f>IF(B2705,INDEX(Dow,1,WEEKDAY(E2705,2)),"")</f>
        <v/>
      </c>
      <c r="M2705">
        <f>IF(B2705,(1+Trend)^D2705,"")</f>
        <v/>
      </c>
      <c r="N2705">
        <f>IF(B2705,EXP(SUMPRODUCT(LN(1+(EvEff-1)*INDEX(Affected,0,C2705)*EXP(-((E2705-EvCenter)^2)/(2*EvSigma^2))))),"")</f>
        <v/>
      </c>
      <c r="O2705">
        <f>IF(B2705,ROUND(MAX(0,J2705*K2705*L2705*M2705*N2705),2),"")</f>
        <v/>
      </c>
    </row>
    <row r="2706">
      <c r="A2706" t="n">
        <v>2705</v>
      </c>
      <c r="B2706">
        <f>A2706&lt;=MineCount*Days</f>
        <v/>
      </c>
      <c r="C2706">
        <f>IF(B2706,INT((A2706-1)/Days)+1,"")</f>
        <v/>
      </c>
      <c r="D2706">
        <f>IF(B2706,MOD(A2706-1,Days),"")</f>
        <v/>
      </c>
      <c r="E2706" s="16">
        <f>IF(B2706,StartDate+D2706,"")</f>
        <v/>
      </c>
      <c r="F2706">
        <f>IF(B2706,MAX(MOD(SIN(Seed*0.1373+C2706*12.9898+D2706*78.233)*43758.5453,1),1E-9),"")</f>
        <v/>
      </c>
      <c r="G2706">
        <f>IF(B2706,MOD(SIN(Seed*0.5917+C2706*39.3468+D2706*11.135)*24634.6345,1),"")</f>
        <v/>
      </c>
      <c r="H2706">
        <f>IF(B2706,SQRT(-2*LN(F2706))*COS(2*PI()*G2706),"")</f>
        <v/>
      </c>
      <c r="I2706">
        <f>IF(B2706,IF(D2706=0,H2706,Rho*I2705+SQRT(1-Rho^2)*H2706),"")</f>
        <v/>
      </c>
      <c r="J2706">
        <f>IF(B2706,IF(Dist="Normal",DistA+DistB*I2706,DistA+(DistB-DistA)*NORMSDIST(I2706)),"")</f>
        <v/>
      </c>
      <c r="K2706">
        <f>IF(B2706,INDEX(MineScale,C2706),"")</f>
        <v/>
      </c>
      <c r="L2706">
        <f>IF(B2706,INDEX(Dow,1,WEEKDAY(E2706,2)),"")</f>
        <v/>
      </c>
      <c r="M2706">
        <f>IF(B2706,(1+Trend)^D2706,"")</f>
        <v/>
      </c>
      <c r="N2706">
        <f>IF(B2706,EXP(SUMPRODUCT(LN(1+(EvEff-1)*INDEX(Affected,0,C2706)*EXP(-((E2706-EvCenter)^2)/(2*EvSigma^2))))),"")</f>
        <v/>
      </c>
      <c r="O2706">
        <f>IF(B2706,ROUND(MAX(0,J2706*K2706*L2706*M2706*N2706),2),"")</f>
        <v/>
      </c>
    </row>
    <row r="2707">
      <c r="A2707" t="n">
        <v>2706</v>
      </c>
      <c r="B2707">
        <f>A2707&lt;=MineCount*Days</f>
        <v/>
      </c>
      <c r="C2707">
        <f>IF(B2707,INT((A2707-1)/Days)+1,"")</f>
        <v/>
      </c>
      <c r="D2707">
        <f>IF(B2707,MOD(A2707-1,Days),"")</f>
        <v/>
      </c>
      <c r="E2707" s="16">
        <f>IF(B2707,StartDate+D2707,"")</f>
        <v/>
      </c>
      <c r="F2707">
        <f>IF(B2707,MAX(MOD(SIN(Seed*0.1373+C2707*12.9898+D2707*78.233)*43758.5453,1),1E-9),"")</f>
        <v/>
      </c>
      <c r="G2707">
        <f>IF(B2707,MOD(SIN(Seed*0.5917+C2707*39.3468+D2707*11.135)*24634.6345,1),"")</f>
        <v/>
      </c>
      <c r="H2707">
        <f>IF(B2707,SQRT(-2*LN(F2707))*COS(2*PI()*G2707),"")</f>
        <v/>
      </c>
      <c r="I2707">
        <f>IF(B2707,IF(D2707=0,H2707,Rho*I2706+SQRT(1-Rho^2)*H2707),"")</f>
        <v/>
      </c>
      <c r="J2707">
        <f>IF(B2707,IF(Dist="Normal",DistA+DistB*I2707,DistA+(DistB-DistA)*NORMSDIST(I2707)),"")</f>
        <v/>
      </c>
      <c r="K2707">
        <f>IF(B2707,INDEX(MineScale,C2707),"")</f>
        <v/>
      </c>
      <c r="L2707">
        <f>IF(B2707,INDEX(Dow,1,WEEKDAY(E2707,2)),"")</f>
        <v/>
      </c>
      <c r="M2707">
        <f>IF(B2707,(1+Trend)^D2707,"")</f>
        <v/>
      </c>
      <c r="N2707">
        <f>IF(B2707,EXP(SUMPRODUCT(LN(1+(EvEff-1)*INDEX(Affected,0,C2707)*EXP(-((E2707-EvCenter)^2)/(2*EvSigma^2))))),"")</f>
        <v/>
      </c>
      <c r="O2707">
        <f>IF(B2707,ROUND(MAX(0,J2707*K2707*L2707*M2707*N2707),2),"")</f>
        <v/>
      </c>
    </row>
    <row r="2708">
      <c r="A2708" t="n">
        <v>2707</v>
      </c>
      <c r="B2708">
        <f>A2708&lt;=MineCount*Days</f>
        <v/>
      </c>
      <c r="C2708">
        <f>IF(B2708,INT((A2708-1)/Days)+1,"")</f>
        <v/>
      </c>
      <c r="D2708">
        <f>IF(B2708,MOD(A2708-1,Days),"")</f>
        <v/>
      </c>
      <c r="E2708" s="16">
        <f>IF(B2708,StartDate+D2708,"")</f>
        <v/>
      </c>
      <c r="F2708">
        <f>IF(B2708,MAX(MOD(SIN(Seed*0.1373+C2708*12.9898+D2708*78.233)*43758.5453,1),1E-9),"")</f>
        <v/>
      </c>
      <c r="G2708">
        <f>IF(B2708,MOD(SIN(Seed*0.5917+C2708*39.3468+D2708*11.135)*24634.6345,1),"")</f>
        <v/>
      </c>
      <c r="H2708">
        <f>IF(B2708,SQRT(-2*LN(F2708))*COS(2*PI()*G2708),"")</f>
        <v/>
      </c>
      <c r="I2708">
        <f>IF(B2708,IF(D2708=0,H2708,Rho*I2707+SQRT(1-Rho^2)*H2708),"")</f>
        <v/>
      </c>
      <c r="J2708">
        <f>IF(B2708,IF(Dist="Normal",DistA+DistB*I2708,DistA+(DistB-DistA)*NORMSDIST(I2708)),"")</f>
        <v/>
      </c>
      <c r="K2708">
        <f>IF(B2708,INDEX(MineScale,C2708),"")</f>
        <v/>
      </c>
      <c r="L2708">
        <f>IF(B2708,INDEX(Dow,1,WEEKDAY(E2708,2)),"")</f>
        <v/>
      </c>
      <c r="M2708">
        <f>IF(B2708,(1+Trend)^D2708,"")</f>
        <v/>
      </c>
      <c r="N2708">
        <f>IF(B2708,EXP(SUMPRODUCT(LN(1+(EvEff-1)*INDEX(Affected,0,C2708)*EXP(-((E2708-EvCenter)^2)/(2*EvSigma^2))))),"")</f>
        <v/>
      </c>
      <c r="O2708">
        <f>IF(B2708,ROUND(MAX(0,J2708*K2708*L2708*M2708*N2708),2),"")</f>
        <v/>
      </c>
    </row>
    <row r="2709">
      <c r="A2709" t="n">
        <v>2708</v>
      </c>
      <c r="B2709">
        <f>A2709&lt;=MineCount*Days</f>
        <v/>
      </c>
      <c r="C2709">
        <f>IF(B2709,INT((A2709-1)/Days)+1,"")</f>
        <v/>
      </c>
      <c r="D2709">
        <f>IF(B2709,MOD(A2709-1,Days),"")</f>
        <v/>
      </c>
      <c r="E2709" s="16">
        <f>IF(B2709,StartDate+D2709,"")</f>
        <v/>
      </c>
      <c r="F2709">
        <f>IF(B2709,MAX(MOD(SIN(Seed*0.1373+C2709*12.9898+D2709*78.233)*43758.5453,1),1E-9),"")</f>
        <v/>
      </c>
      <c r="G2709">
        <f>IF(B2709,MOD(SIN(Seed*0.5917+C2709*39.3468+D2709*11.135)*24634.6345,1),"")</f>
        <v/>
      </c>
      <c r="H2709">
        <f>IF(B2709,SQRT(-2*LN(F2709))*COS(2*PI()*G2709),"")</f>
        <v/>
      </c>
      <c r="I2709">
        <f>IF(B2709,IF(D2709=0,H2709,Rho*I2708+SQRT(1-Rho^2)*H2709),"")</f>
        <v/>
      </c>
      <c r="J2709">
        <f>IF(B2709,IF(Dist="Normal",DistA+DistB*I2709,DistA+(DistB-DistA)*NORMSDIST(I2709)),"")</f>
        <v/>
      </c>
      <c r="K2709">
        <f>IF(B2709,INDEX(MineScale,C2709),"")</f>
        <v/>
      </c>
      <c r="L2709">
        <f>IF(B2709,INDEX(Dow,1,WEEKDAY(E2709,2)),"")</f>
        <v/>
      </c>
      <c r="M2709">
        <f>IF(B2709,(1+Trend)^D2709,"")</f>
        <v/>
      </c>
      <c r="N2709">
        <f>IF(B2709,EXP(SUMPRODUCT(LN(1+(EvEff-1)*INDEX(Affected,0,C2709)*EXP(-((E2709-EvCenter)^2)/(2*EvSigma^2))))),"")</f>
        <v/>
      </c>
      <c r="O2709">
        <f>IF(B2709,ROUND(MAX(0,J2709*K2709*L2709*M2709*N2709),2),"")</f>
        <v/>
      </c>
    </row>
    <row r="2710">
      <c r="A2710" t="n">
        <v>2709</v>
      </c>
      <c r="B2710">
        <f>A2710&lt;=MineCount*Days</f>
        <v/>
      </c>
      <c r="C2710">
        <f>IF(B2710,INT((A2710-1)/Days)+1,"")</f>
        <v/>
      </c>
      <c r="D2710">
        <f>IF(B2710,MOD(A2710-1,Days),"")</f>
        <v/>
      </c>
      <c r="E2710" s="16">
        <f>IF(B2710,StartDate+D2710,"")</f>
        <v/>
      </c>
      <c r="F2710">
        <f>IF(B2710,MAX(MOD(SIN(Seed*0.1373+C2710*12.9898+D2710*78.233)*43758.5453,1),1E-9),"")</f>
        <v/>
      </c>
      <c r="G2710">
        <f>IF(B2710,MOD(SIN(Seed*0.5917+C2710*39.3468+D2710*11.135)*24634.6345,1),"")</f>
        <v/>
      </c>
      <c r="H2710">
        <f>IF(B2710,SQRT(-2*LN(F2710))*COS(2*PI()*G2710),"")</f>
        <v/>
      </c>
      <c r="I2710">
        <f>IF(B2710,IF(D2710=0,H2710,Rho*I2709+SQRT(1-Rho^2)*H2710),"")</f>
        <v/>
      </c>
      <c r="J2710">
        <f>IF(B2710,IF(Dist="Normal",DistA+DistB*I2710,DistA+(DistB-DistA)*NORMSDIST(I2710)),"")</f>
        <v/>
      </c>
      <c r="K2710">
        <f>IF(B2710,INDEX(MineScale,C2710),"")</f>
        <v/>
      </c>
      <c r="L2710">
        <f>IF(B2710,INDEX(Dow,1,WEEKDAY(E2710,2)),"")</f>
        <v/>
      </c>
      <c r="M2710">
        <f>IF(B2710,(1+Trend)^D2710,"")</f>
        <v/>
      </c>
      <c r="N2710">
        <f>IF(B2710,EXP(SUMPRODUCT(LN(1+(EvEff-1)*INDEX(Affected,0,C2710)*EXP(-((E2710-EvCenter)^2)/(2*EvSigma^2))))),"")</f>
        <v/>
      </c>
      <c r="O2710">
        <f>IF(B2710,ROUND(MAX(0,J2710*K2710*L2710*M2710*N2710),2),"")</f>
        <v/>
      </c>
    </row>
    <row r="2711">
      <c r="A2711" t="n">
        <v>2710</v>
      </c>
      <c r="B2711">
        <f>A2711&lt;=MineCount*Days</f>
        <v/>
      </c>
      <c r="C2711">
        <f>IF(B2711,INT((A2711-1)/Days)+1,"")</f>
        <v/>
      </c>
      <c r="D2711">
        <f>IF(B2711,MOD(A2711-1,Days),"")</f>
        <v/>
      </c>
      <c r="E2711" s="16">
        <f>IF(B2711,StartDate+D2711,"")</f>
        <v/>
      </c>
      <c r="F2711">
        <f>IF(B2711,MAX(MOD(SIN(Seed*0.1373+C2711*12.9898+D2711*78.233)*43758.5453,1),1E-9),"")</f>
        <v/>
      </c>
      <c r="G2711">
        <f>IF(B2711,MOD(SIN(Seed*0.5917+C2711*39.3468+D2711*11.135)*24634.6345,1),"")</f>
        <v/>
      </c>
      <c r="H2711">
        <f>IF(B2711,SQRT(-2*LN(F2711))*COS(2*PI()*G2711),"")</f>
        <v/>
      </c>
      <c r="I2711">
        <f>IF(B2711,IF(D2711=0,H2711,Rho*I2710+SQRT(1-Rho^2)*H2711),"")</f>
        <v/>
      </c>
      <c r="J2711">
        <f>IF(B2711,IF(Dist="Normal",DistA+DistB*I2711,DistA+(DistB-DistA)*NORMSDIST(I2711)),"")</f>
        <v/>
      </c>
      <c r="K2711">
        <f>IF(B2711,INDEX(MineScale,C2711),"")</f>
        <v/>
      </c>
      <c r="L2711">
        <f>IF(B2711,INDEX(Dow,1,WEEKDAY(E2711,2)),"")</f>
        <v/>
      </c>
      <c r="M2711">
        <f>IF(B2711,(1+Trend)^D2711,"")</f>
        <v/>
      </c>
      <c r="N2711">
        <f>IF(B2711,EXP(SUMPRODUCT(LN(1+(EvEff-1)*INDEX(Affected,0,C2711)*EXP(-((E2711-EvCenter)^2)/(2*EvSigma^2))))),"")</f>
        <v/>
      </c>
      <c r="O2711">
        <f>IF(B2711,ROUND(MAX(0,J2711*K2711*L2711*M2711*N2711),2),"")</f>
        <v/>
      </c>
    </row>
    <row r="2712">
      <c r="A2712" t="n">
        <v>2711</v>
      </c>
      <c r="B2712">
        <f>A2712&lt;=MineCount*Days</f>
        <v/>
      </c>
      <c r="C2712">
        <f>IF(B2712,INT((A2712-1)/Days)+1,"")</f>
        <v/>
      </c>
      <c r="D2712">
        <f>IF(B2712,MOD(A2712-1,Days),"")</f>
        <v/>
      </c>
      <c r="E2712" s="16">
        <f>IF(B2712,StartDate+D2712,"")</f>
        <v/>
      </c>
      <c r="F2712">
        <f>IF(B2712,MAX(MOD(SIN(Seed*0.1373+C2712*12.9898+D2712*78.233)*43758.5453,1),1E-9),"")</f>
        <v/>
      </c>
      <c r="G2712">
        <f>IF(B2712,MOD(SIN(Seed*0.5917+C2712*39.3468+D2712*11.135)*24634.6345,1),"")</f>
        <v/>
      </c>
      <c r="H2712">
        <f>IF(B2712,SQRT(-2*LN(F2712))*COS(2*PI()*G2712),"")</f>
        <v/>
      </c>
      <c r="I2712">
        <f>IF(B2712,IF(D2712=0,H2712,Rho*I2711+SQRT(1-Rho^2)*H2712),"")</f>
        <v/>
      </c>
      <c r="J2712">
        <f>IF(B2712,IF(Dist="Normal",DistA+DistB*I2712,DistA+(DistB-DistA)*NORMSDIST(I2712)),"")</f>
        <v/>
      </c>
      <c r="K2712">
        <f>IF(B2712,INDEX(MineScale,C2712),"")</f>
        <v/>
      </c>
      <c r="L2712">
        <f>IF(B2712,INDEX(Dow,1,WEEKDAY(E2712,2)),"")</f>
        <v/>
      </c>
      <c r="M2712">
        <f>IF(B2712,(1+Trend)^D2712,"")</f>
        <v/>
      </c>
      <c r="N2712">
        <f>IF(B2712,EXP(SUMPRODUCT(LN(1+(EvEff-1)*INDEX(Affected,0,C2712)*EXP(-((E2712-EvCenter)^2)/(2*EvSigma^2))))),"")</f>
        <v/>
      </c>
      <c r="O2712">
        <f>IF(B2712,ROUND(MAX(0,J2712*K2712*L2712*M2712*N2712),2),"")</f>
        <v/>
      </c>
    </row>
    <row r="2713">
      <c r="A2713" t="n">
        <v>2712</v>
      </c>
      <c r="B2713">
        <f>A2713&lt;=MineCount*Days</f>
        <v/>
      </c>
      <c r="C2713">
        <f>IF(B2713,INT((A2713-1)/Days)+1,"")</f>
        <v/>
      </c>
      <c r="D2713">
        <f>IF(B2713,MOD(A2713-1,Days),"")</f>
        <v/>
      </c>
      <c r="E2713" s="16">
        <f>IF(B2713,StartDate+D2713,"")</f>
        <v/>
      </c>
      <c r="F2713">
        <f>IF(B2713,MAX(MOD(SIN(Seed*0.1373+C2713*12.9898+D2713*78.233)*43758.5453,1),1E-9),"")</f>
        <v/>
      </c>
      <c r="G2713">
        <f>IF(B2713,MOD(SIN(Seed*0.5917+C2713*39.3468+D2713*11.135)*24634.6345,1),"")</f>
        <v/>
      </c>
      <c r="H2713">
        <f>IF(B2713,SQRT(-2*LN(F2713))*COS(2*PI()*G2713),"")</f>
        <v/>
      </c>
      <c r="I2713">
        <f>IF(B2713,IF(D2713=0,H2713,Rho*I2712+SQRT(1-Rho^2)*H2713),"")</f>
        <v/>
      </c>
      <c r="J2713">
        <f>IF(B2713,IF(Dist="Normal",DistA+DistB*I2713,DistA+(DistB-DistA)*NORMSDIST(I2713)),"")</f>
        <v/>
      </c>
      <c r="K2713">
        <f>IF(B2713,INDEX(MineScale,C2713),"")</f>
        <v/>
      </c>
      <c r="L2713">
        <f>IF(B2713,INDEX(Dow,1,WEEKDAY(E2713,2)),"")</f>
        <v/>
      </c>
      <c r="M2713">
        <f>IF(B2713,(1+Trend)^D2713,"")</f>
        <v/>
      </c>
      <c r="N2713">
        <f>IF(B2713,EXP(SUMPRODUCT(LN(1+(EvEff-1)*INDEX(Affected,0,C2713)*EXP(-((E2713-EvCenter)^2)/(2*EvSigma^2))))),"")</f>
        <v/>
      </c>
      <c r="O2713">
        <f>IF(B2713,ROUND(MAX(0,J2713*K2713*L2713*M2713*N2713),2),"")</f>
        <v/>
      </c>
    </row>
    <row r="2714">
      <c r="A2714" t="n">
        <v>2713</v>
      </c>
      <c r="B2714">
        <f>A2714&lt;=MineCount*Days</f>
        <v/>
      </c>
      <c r="C2714">
        <f>IF(B2714,INT((A2714-1)/Days)+1,"")</f>
        <v/>
      </c>
      <c r="D2714">
        <f>IF(B2714,MOD(A2714-1,Days),"")</f>
        <v/>
      </c>
      <c r="E2714" s="16">
        <f>IF(B2714,StartDate+D2714,"")</f>
        <v/>
      </c>
      <c r="F2714">
        <f>IF(B2714,MAX(MOD(SIN(Seed*0.1373+C2714*12.9898+D2714*78.233)*43758.5453,1),1E-9),"")</f>
        <v/>
      </c>
      <c r="G2714">
        <f>IF(B2714,MOD(SIN(Seed*0.5917+C2714*39.3468+D2714*11.135)*24634.6345,1),"")</f>
        <v/>
      </c>
      <c r="H2714">
        <f>IF(B2714,SQRT(-2*LN(F2714))*COS(2*PI()*G2714),"")</f>
        <v/>
      </c>
      <c r="I2714">
        <f>IF(B2714,IF(D2714=0,H2714,Rho*I2713+SQRT(1-Rho^2)*H2714),"")</f>
        <v/>
      </c>
      <c r="J2714">
        <f>IF(B2714,IF(Dist="Normal",DistA+DistB*I2714,DistA+(DistB-DistA)*NORMSDIST(I2714)),"")</f>
        <v/>
      </c>
      <c r="K2714">
        <f>IF(B2714,INDEX(MineScale,C2714),"")</f>
        <v/>
      </c>
      <c r="L2714">
        <f>IF(B2714,INDEX(Dow,1,WEEKDAY(E2714,2)),"")</f>
        <v/>
      </c>
      <c r="M2714">
        <f>IF(B2714,(1+Trend)^D2714,"")</f>
        <v/>
      </c>
      <c r="N2714">
        <f>IF(B2714,EXP(SUMPRODUCT(LN(1+(EvEff-1)*INDEX(Affected,0,C2714)*EXP(-((E2714-EvCenter)^2)/(2*EvSigma^2))))),"")</f>
        <v/>
      </c>
      <c r="O2714">
        <f>IF(B2714,ROUND(MAX(0,J2714*K2714*L2714*M2714*N2714),2),"")</f>
        <v/>
      </c>
    </row>
    <row r="2715">
      <c r="A2715" t="n">
        <v>2714</v>
      </c>
      <c r="B2715">
        <f>A2715&lt;=MineCount*Days</f>
        <v/>
      </c>
      <c r="C2715">
        <f>IF(B2715,INT((A2715-1)/Days)+1,"")</f>
        <v/>
      </c>
      <c r="D2715">
        <f>IF(B2715,MOD(A2715-1,Days),"")</f>
        <v/>
      </c>
      <c r="E2715" s="16">
        <f>IF(B2715,StartDate+D2715,"")</f>
        <v/>
      </c>
      <c r="F2715">
        <f>IF(B2715,MAX(MOD(SIN(Seed*0.1373+C2715*12.9898+D2715*78.233)*43758.5453,1),1E-9),"")</f>
        <v/>
      </c>
      <c r="G2715">
        <f>IF(B2715,MOD(SIN(Seed*0.5917+C2715*39.3468+D2715*11.135)*24634.6345,1),"")</f>
        <v/>
      </c>
      <c r="H2715">
        <f>IF(B2715,SQRT(-2*LN(F2715))*COS(2*PI()*G2715),"")</f>
        <v/>
      </c>
      <c r="I2715">
        <f>IF(B2715,IF(D2715=0,H2715,Rho*I2714+SQRT(1-Rho^2)*H2715),"")</f>
        <v/>
      </c>
      <c r="J2715">
        <f>IF(B2715,IF(Dist="Normal",DistA+DistB*I2715,DistA+(DistB-DistA)*NORMSDIST(I2715)),"")</f>
        <v/>
      </c>
      <c r="K2715">
        <f>IF(B2715,INDEX(MineScale,C2715),"")</f>
        <v/>
      </c>
      <c r="L2715">
        <f>IF(B2715,INDEX(Dow,1,WEEKDAY(E2715,2)),"")</f>
        <v/>
      </c>
      <c r="M2715">
        <f>IF(B2715,(1+Trend)^D2715,"")</f>
        <v/>
      </c>
      <c r="N2715">
        <f>IF(B2715,EXP(SUMPRODUCT(LN(1+(EvEff-1)*INDEX(Affected,0,C2715)*EXP(-((E2715-EvCenter)^2)/(2*EvSigma^2))))),"")</f>
        <v/>
      </c>
      <c r="O2715">
        <f>IF(B2715,ROUND(MAX(0,J2715*K2715*L2715*M2715*N2715),2),"")</f>
        <v/>
      </c>
    </row>
    <row r="2716">
      <c r="A2716" t="n">
        <v>2715</v>
      </c>
      <c r="B2716">
        <f>A2716&lt;=MineCount*Days</f>
        <v/>
      </c>
      <c r="C2716">
        <f>IF(B2716,INT((A2716-1)/Days)+1,"")</f>
        <v/>
      </c>
      <c r="D2716">
        <f>IF(B2716,MOD(A2716-1,Days),"")</f>
        <v/>
      </c>
      <c r="E2716" s="16">
        <f>IF(B2716,StartDate+D2716,"")</f>
        <v/>
      </c>
      <c r="F2716">
        <f>IF(B2716,MAX(MOD(SIN(Seed*0.1373+C2716*12.9898+D2716*78.233)*43758.5453,1),1E-9),"")</f>
        <v/>
      </c>
      <c r="G2716">
        <f>IF(B2716,MOD(SIN(Seed*0.5917+C2716*39.3468+D2716*11.135)*24634.6345,1),"")</f>
        <v/>
      </c>
      <c r="H2716">
        <f>IF(B2716,SQRT(-2*LN(F2716))*COS(2*PI()*G2716),"")</f>
        <v/>
      </c>
      <c r="I2716">
        <f>IF(B2716,IF(D2716=0,H2716,Rho*I2715+SQRT(1-Rho^2)*H2716),"")</f>
        <v/>
      </c>
      <c r="J2716">
        <f>IF(B2716,IF(Dist="Normal",DistA+DistB*I2716,DistA+(DistB-DistA)*NORMSDIST(I2716)),"")</f>
        <v/>
      </c>
      <c r="K2716">
        <f>IF(B2716,INDEX(MineScale,C2716),"")</f>
        <v/>
      </c>
      <c r="L2716">
        <f>IF(B2716,INDEX(Dow,1,WEEKDAY(E2716,2)),"")</f>
        <v/>
      </c>
      <c r="M2716">
        <f>IF(B2716,(1+Trend)^D2716,"")</f>
        <v/>
      </c>
      <c r="N2716">
        <f>IF(B2716,EXP(SUMPRODUCT(LN(1+(EvEff-1)*INDEX(Affected,0,C2716)*EXP(-((E2716-EvCenter)^2)/(2*EvSigma^2))))),"")</f>
        <v/>
      </c>
      <c r="O2716">
        <f>IF(B2716,ROUND(MAX(0,J2716*K2716*L2716*M2716*N2716),2),"")</f>
        <v/>
      </c>
    </row>
    <row r="2717">
      <c r="A2717" t="n">
        <v>2716</v>
      </c>
      <c r="B2717">
        <f>A2717&lt;=MineCount*Days</f>
        <v/>
      </c>
      <c r="C2717">
        <f>IF(B2717,INT((A2717-1)/Days)+1,"")</f>
        <v/>
      </c>
      <c r="D2717">
        <f>IF(B2717,MOD(A2717-1,Days),"")</f>
        <v/>
      </c>
      <c r="E2717" s="16">
        <f>IF(B2717,StartDate+D2717,"")</f>
        <v/>
      </c>
      <c r="F2717">
        <f>IF(B2717,MAX(MOD(SIN(Seed*0.1373+C2717*12.9898+D2717*78.233)*43758.5453,1),1E-9),"")</f>
        <v/>
      </c>
      <c r="G2717">
        <f>IF(B2717,MOD(SIN(Seed*0.5917+C2717*39.3468+D2717*11.135)*24634.6345,1),"")</f>
        <v/>
      </c>
      <c r="H2717">
        <f>IF(B2717,SQRT(-2*LN(F2717))*COS(2*PI()*G2717),"")</f>
        <v/>
      </c>
      <c r="I2717">
        <f>IF(B2717,IF(D2717=0,H2717,Rho*I2716+SQRT(1-Rho^2)*H2717),"")</f>
        <v/>
      </c>
      <c r="J2717">
        <f>IF(B2717,IF(Dist="Normal",DistA+DistB*I2717,DistA+(DistB-DistA)*NORMSDIST(I2717)),"")</f>
        <v/>
      </c>
      <c r="K2717">
        <f>IF(B2717,INDEX(MineScale,C2717),"")</f>
        <v/>
      </c>
      <c r="L2717">
        <f>IF(B2717,INDEX(Dow,1,WEEKDAY(E2717,2)),"")</f>
        <v/>
      </c>
      <c r="M2717">
        <f>IF(B2717,(1+Trend)^D2717,"")</f>
        <v/>
      </c>
      <c r="N2717">
        <f>IF(B2717,EXP(SUMPRODUCT(LN(1+(EvEff-1)*INDEX(Affected,0,C2717)*EXP(-((E2717-EvCenter)^2)/(2*EvSigma^2))))),"")</f>
        <v/>
      </c>
      <c r="O2717">
        <f>IF(B2717,ROUND(MAX(0,J2717*K2717*L2717*M2717*N2717),2),"")</f>
        <v/>
      </c>
    </row>
    <row r="2718">
      <c r="A2718" t="n">
        <v>2717</v>
      </c>
      <c r="B2718">
        <f>A2718&lt;=MineCount*Days</f>
        <v/>
      </c>
      <c r="C2718">
        <f>IF(B2718,INT((A2718-1)/Days)+1,"")</f>
        <v/>
      </c>
      <c r="D2718">
        <f>IF(B2718,MOD(A2718-1,Days),"")</f>
        <v/>
      </c>
      <c r="E2718" s="16">
        <f>IF(B2718,StartDate+D2718,"")</f>
        <v/>
      </c>
      <c r="F2718">
        <f>IF(B2718,MAX(MOD(SIN(Seed*0.1373+C2718*12.9898+D2718*78.233)*43758.5453,1),1E-9),"")</f>
        <v/>
      </c>
      <c r="G2718">
        <f>IF(B2718,MOD(SIN(Seed*0.5917+C2718*39.3468+D2718*11.135)*24634.6345,1),"")</f>
        <v/>
      </c>
      <c r="H2718">
        <f>IF(B2718,SQRT(-2*LN(F2718))*COS(2*PI()*G2718),"")</f>
        <v/>
      </c>
      <c r="I2718">
        <f>IF(B2718,IF(D2718=0,H2718,Rho*I2717+SQRT(1-Rho^2)*H2718),"")</f>
        <v/>
      </c>
      <c r="J2718">
        <f>IF(B2718,IF(Dist="Normal",DistA+DistB*I2718,DistA+(DistB-DistA)*NORMSDIST(I2718)),"")</f>
        <v/>
      </c>
      <c r="K2718">
        <f>IF(B2718,INDEX(MineScale,C2718),"")</f>
        <v/>
      </c>
      <c r="L2718">
        <f>IF(B2718,INDEX(Dow,1,WEEKDAY(E2718,2)),"")</f>
        <v/>
      </c>
      <c r="M2718">
        <f>IF(B2718,(1+Trend)^D2718,"")</f>
        <v/>
      </c>
      <c r="N2718">
        <f>IF(B2718,EXP(SUMPRODUCT(LN(1+(EvEff-1)*INDEX(Affected,0,C2718)*EXP(-((E2718-EvCenter)^2)/(2*EvSigma^2))))),"")</f>
        <v/>
      </c>
      <c r="O2718">
        <f>IF(B2718,ROUND(MAX(0,J2718*K2718*L2718*M2718*N2718),2),"")</f>
        <v/>
      </c>
    </row>
    <row r="2719">
      <c r="A2719" t="n">
        <v>2718</v>
      </c>
      <c r="B2719">
        <f>A2719&lt;=MineCount*Days</f>
        <v/>
      </c>
      <c r="C2719">
        <f>IF(B2719,INT((A2719-1)/Days)+1,"")</f>
        <v/>
      </c>
      <c r="D2719">
        <f>IF(B2719,MOD(A2719-1,Days),"")</f>
        <v/>
      </c>
      <c r="E2719" s="16">
        <f>IF(B2719,StartDate+D2719,"")</f>
        <v/>
      </c>
      <c r="F2719">
        <f>IF(B2719,MAX(MOD(SIN(Seed*0.1373+C2719*12.9898+D2719*78.233)*43758.5453,1),1E-9),"")</f>
        <v/>
      </c>
      <c r="G2719">
        <f>IF(B2719,MOD(SIN(Seed*0.5917+C2719*39.3468+D2719*11.135)*24634.6345,1),"")</f>
        <v/>
      </c>
      <c r="H2719">
        <f>IF(B2719,SQRT(-2*LN(F2719))*COS(2*PI()*G2719),"")</f>
        <v/>
      </c>
      <c r="I2719">
        <f>IF(B2719,IF(D2719=0,H2719,Rho*I2718+SQRT(1-Rho^2)*H2719),"")</f>
        <v/>
      </c>
      <c r="J2719">
        <f>IF(B2719,IF(Dist="Normal",DistA+DistB*I2719,DistA+(DistB-DistA)*NORMSDIST(I2719)),"")</f>
        <v/>
      </c>
      <c r="K2719">
        <f>IF(B2719,INDEX(MineScale,C2719),"")</f>
        <v/>
      </c>
      <c r="L2719">
        <f>IF(B2719,INDEX(Dow,1,WEEKDAY(E2719,2)),"")</f>
        <v/>
      </c>
      <c r="M2719">
        <f>IF(B2719,(1+Trend)^D2719,"")</f>
        <v/>
      </c>
      <c r="N2719">
        <f>IF(B2719,EXP(SUMPRODUCT(LN(1+(EvEff-1)*INDEX(Affected,0,C2719)*EXP(-((E2719-EvCenter)^2)/(2*EvSigma^2))))),"")</f>
        <v/>
      </c>
      <c r="O2719">
        <f>IF(B2719,ROUND(MAX(0,J2719*K2719*L2719*M2719*N2719),2),"")</f>
        <v/>
      </c>
    </row>
    <row r="2720">
      <c r="A2720" t="n">
        <v>2719</v>
      </c>
      <c r="B2720">
        <f>A2720&lt;=MineCount*Days</f>
        <v/>
      </c>
      <c r="C2720">
        <f>IF(B2720,INT((A2720-1)/Days)+1,"")</f>
        <v/>
      </c>
      <c r="D2720">
        <f>IF(B2720,MOD(A2720-1,Days),"")</f>
        <v/>
      </c>
      <c r="E2720" s="16">
        <f>IF(B2720,StartDate+D2720,"")</f>
        <v/>
      </c>
      <c r="F2720">
        <f>IF(B2720,MAX(MOD(SIN(Seed*0.1373+C2720*12.9898+D2720*78.233)*43758.5453,1),1E-9),"")</f>
        <v/>
      </c>
      <c r="G2720">
        <f>IF(B2720,MOD(SIN(Seed*0.5917+C2720*39.3468+D2720*11.135)*24634.6345,1),"")</f>
        <v/>
      </c>
      <c r="H2720">
        <f>IF(B2720,SQRT(-2*LN(F2720))*COS(2*PI()*G2720),"")</f>
        <v/>
      </c>
      <c r="I2720">
        <f>IF(B2720,IF(D2720=0,H2720,Rho*I2719+SQRT(1-Rho^2)*H2720),"")</f>
        <v/>
      </c>
      <c r="J2720">
        <f>IF(B2720,IF(Dist="Normal",DistA+DistB*I2720,DistA+(DistB-DistA)*NORMSDIST(I2720)),"")</f>
        <v/>
      </c>
      <c r="K2720">
        <f>IF(B2720,INDEX(MineScale,C2720),"")</f>
        <v/>
      </c>
      <c r="L2720">
        <f>IF(B2720,INDEX(Dow,1,WEEKDAY(E2720,2)),"")</f>
        <v/>
      </c>
      <c r="M2720">
        <f>IF(B2720,(1+Trend)^D2720,"")</f>
        <v/>
      </c>
      <c r="N2720">
        <f>IF(B2720,EXP(SUMPRODUCT(LN(1+(EvEff-1)*INDEX(Affected,0,C2720)*EXP(-((E2720-EvCenter)^2)/(2*EvSigma^2))))),"")</f>
        <v/>
      </c>
      <c r="O2720">
        <f>IF(B2720,ROUND(MAX(0,J2720*K2720*L2720*M2720*N2720),2),"")</f>
        <v/>
      </c>
    </row>
    <row r="2721">
      <c r="A2721" t="n">
        <v>2720</v>
      </c>
      <c r="B2721">
        <f>A2721&lt;=MineCount*Days</f>
        <v/>
      </c>
      <c r="C2721">
        <f>IF(B2721,INT((A2721-1)/Days)+1,"")</f>
        <v/>
      </c>
      <c r="D2721">
        <f>IF(B2721,MOD(A2721-1,Days),"")</f>
        <v/>
      </c>
      <c r="E2721" s="16">
        <f>IF(B2721,StartDate+D2721,"")</f>
        <v/>
      </c>
      <c r="F2721">
        <f>IF(B2721,MAX(MOD(SIN(Seed*0.1373+C2721*12.9898+D2721*78.233)*43758.5453,1),1E-9),"")</f>
        <v/>
      </c>
      <c r="G2721">
        <f>IF(B2721,MOD(SIN(Seed*0.5917+C2721*39.3468+D2721*11.135)*24634.6345,1),"")</f>
        <v/>
      </c>
      <c r="H2721">
        <f>IF(B2721,SQRT(-2*LN(F2721))*COS(2*PI()*G2721),"")</f>
        <v/>
      </c>
      <c r="I2721">
        <f>IF(B2721,IF(D2721=0,H2721,Rho*I2720+SQRT(1-Rho^2)*H2721),"")</f>
        <v/>
      </c>
      <c r="J2721">
        <f>IF(B2721,IF(Dist="Normal",DistA+DistB*I2721,DistA+(DistB-DistA)*NORMSDIST(I2721)),"")</f>
        <v/>
      </c>
      <c r="K2721">
        <f>IF(B2721,INDEX(MineScale,C2721),"")</f>
        <v/>
      </c>
      <c r="L2721">
        <f>IF(B2721,INDEX(Dow,1,WEEKDAY(E2721,2)),"")</f>
        <v/>
      </c>
      <c r="M2721">
        <f>IF(B2721,(1+Trend)^D2721,"")</f>
        <v/>
      </c>
      <c r="N2721">
        <f>IF(B2721,EXP(SUMPRODUCT(LN(1+(EvEff-1)*INDEX(Affected,0,C2721)*EXP(-((E2721-EvCenter)^2)/(2*EvSigma^2))))),"")</f>
        <v/>
      </c>
      <c r="O2721">
        <f>IF(B2721,ROUND(MAX(0,J2721*K2721*L2721*M2721*N2721),2),"")</f>
        <v/>
      </c>
    </row>
    <row r="2722">
      <c r="A2722" t="n">
        <v>2721</v>
      </c>
      <c r="B2722">
        <f>A2722&lt;=MineCount*Days</f>
        <v/>
      </c>
      <c r="C2722">
        <f>IF(B2722,INT((A2722-1)/Days)+1,"")</f>
        <v/>
      </c>
      <c r="D2722">
        <f>IF(B2722,MOD(A2722-1,Days),"")</f>
        <v/>
      </c>
      <c r="E2722" s="16">
        <f>IF(B2722,StartDate+D2722,"")</f>
        <v/>
      </c>
      <c r="F2722">
        <f>IF(B2722,MAX(MOD(SIN(Seed*0.1373+C2722*12.9898+D2722*78.233)*43758.5453,1),1E-9),"")</f>
        <v/>
      </c>
      <c r="G2722">
        <f>IF(B2722,MOD(SIN(Seed*0.5917+C2722*39.3468+D2722*11.135)*24634.6345,1),"")</f>
        <v/>
      </c>
      <c r="H2722">
        <f>IF(B2722,SQRT(-2*LN(F2722))*COS(2*PI()*G2722),"")</f>
        <v/>
      </c>
      <c r="I2722">
        <f>IF(B2722,IF(D2722=0,H2722,Rho*I2721+SQRT(1-Rho^2)*H2722),"")</f>
        <v/>
      </c>
      <c r="J2722">
        <f>IF(B2722,IF(Dist="Normal",DistA+DistB*I2722,DistA+(DistB-DistA)*NORMSDIST(I2722)),"")</f>
        <v/>
      </c>
      <c r="K2722">
        <f>IF(B2722,INDEX(MineScale,C2722),"")</f>
        <v/>
      </c>
      <c r="L2722">
        <f>IF(B2722,INDEX(Dow,1,WEEKDAY(E2722,2)),"")</f>
        <v/>
      </c>
      <c r="M2722">
        <f>IF(B2722,(1+Trend)^D2722,"")</f>
        <v/>
      </c>
      <c r="N2722">
        <f>IF(B2722,EXP(SUMPRODUCT(LN(1+(EvEff-1)*INDEX(Affected,0,C2722)*EXP(-((E2722-EvCenter)^2)/(2*EvSigma^2))))),"")</f>
        <v/>
      </c>
      <c r="O2722">
        <f>IF(B2722,ROUND(MAX(0,J2722*K2722*L2722*M2722*N2722),2),"")</f>
        <v/>
      </c>
    </row>
    <row r="2723">
      <c r="A2723" t="n">
        <v>2722</v>
      </c>
      <c r="B2723">
        <f>A2723&lt;=MineCount*Days</f>
        <v/>
      </c>
      <c r="C2723">
        <f>IF(B2723,INT((A2723-1)/Days)+1,"")</f>
        <v/>
      </c>
      <c r="D2723">
        <f>IF(B2723,MOD(A2723-1,Days),"")</f>
        <v/>
      </c>
      <c r="E2723" s="16">
        <f>IF(B2723,StartDate+D2723,"")</f>
        <v/>
      </c>
      <c r="F2723">
        <f>IF(B2723,MAX(MOD(SIN(Seed*0.1373+C2723*12.9898+D2723*78.233)*43758.5453,1),1E-9),"")</f>
        <v/>
      </c>
      <c r="G2723">
        <f>IF(B2723,MOD(SIN(Seed*0.5917+C2723*39.3468+D2723*11.135)*24634.6345,1),"")</f>
        <v/>
      </c>
      <c r="H2723">
        <f>IF(B2723,SQRT(-2*LN(F2723))*COS(2*PI()*G2723),"")</f>
        <v/>
      </c>
      <c r="I2723">
        <f>IF(B2723,IF(D2723=0,H2723,Rho*I2722+SQRT(1-Rho^2)*H2723),"")</f>
        <v/>
      </c>
      <c r="J2723">
        <f>IF(B2723,IF(Dist="Normal",DistA+DistB*I2723,DistA+(DistB-DistA)*NORMSDIST(I2723)),"")</f>
        <v/>
      </c>
      <c r="K2723">
        <f>IF(B2723,INDEX(MineScale,C2723),"")</f>
        <v/>
      </c>
      <c r="L2723">
        <f>IF(B2723,INDEX(Dow,1,WEEKDAY(E2723,2)),"")</f>
        <v/>
      </c>
      <c r="M2723">
        <f>IF(B2723,(1+Trend)^D2723,"")</f>
        <v/>
      </c>
      <c r="N2723">
        <f>IF(B2723,EXP(SUMPRODUCT(LN(1+(EvEff-1)*INDEX(Affected,0,C2723)*EXP(-((E2723-EvCenter)^2)/(2*EvSigma^2))))),"")</f>
        <v/>
      </c>
      <c r="O2723">
        <f>IF(B2723,ROUND(MAX(0,J2723*K2723*L2723*M2723*N2723),2),"")</f>
        <v/>
      </c>
    </row>
    <row r="2724">
      <c r="A2724" t="n">
        <v>2723</v>
      </c>
      <c r="B2724">
        <f>A2724&lt;=MineCount*Days</f>
        <v/>
      </c>
      <c r="C2724">
        <f>IF(B2724,INT((A2724-1)/Days)+1,"")</f>
        <v/>
      </c>
      <c r="D2724">
        <f>IF(B2724,MOD(A2724-1,Days),"")</f>
        <v/>
      </c>
      <c r="E2724" s="16">
        <f>IF(B2724,StartDate+D2724,"")</f>
        <v/>
      </c>
      <c r="F2724">
        <f>IF(B2724,MAX(MOD(SIN(Seed*0.1373+C2724*12.9898+D2724*78.233)*43758.5453,1),1E-9),"")</f>
        <v/>
      </c>
      <c r="G2724">
        <f>IF(B2724,MOD(SIN(Seed*0.5917+C2724*39.3468+D2724*11.135)*24634.6345,1),"")</f>
        <v/>
      </c>
      <c r="H2724">
        <f>IF(B2724,SQRT(-2*LN(F2724))*COS(2*PI()*G2724),"")</f>
        <v/>
      </c>
      <c r="I2724">
        <f>IF(B2724,IF(D2724=0,H2724,Rho*I2723+SQRT(1-Rho^2)*H2724),"")</f>
        <v/>
      </c>
      <c r="J2724">
        <f>IF(B2724,IF(Dist="Normal",DistA+DistB*I2724,DistA+(DistB-DistA)*NORMSDIST(I2724)),"")</f>
        <v/>
      </c>
      <c r="K2724">
        <f>IF(B2724,INDEX(MineScale,C2724),"")</f>
        <v/>
      </c>
      <c r="L2724">
        <f>IF(B2724,INDEX(Dow,1,WEEKDAY(E2724,2)),"")</f>
        <v/>
      </c>
      <c r="M2724">
        <f>IF(B2724,(1+Trend)^D2724,"")</f>
        <v/>
      </c>
      <c r="N2724">
        <f>IF(B2724,EXP(SUMPRODUCT(LN(1+(EvEff-1)*INDEX(Affected,0,C2724)*EXP(-((E2724-EvCenter)^2)/(2*EvSigma^2))))),"")</f>
        <v/>
      </c>
      <c r="O2724">
        <f>IF(B2724,ROUND(MAX(0,J2724*K2724*L2724*M2724*N2724),2),"")</f>
        <v/>
      </c>
    </row>
    <row r="2725">
      <c r="A2725" t="n">
        <v>2724</v>
      </c>
      <c r="B2725">
        <f>A2725&lt;=MineCount*Days</f>
        <v/>
      </c>
      <c r="C2725">
        <f>IF(B2725,INT((A2725-1)/Days)+1,"")</f>
        <v/>
      </c>
      <c r="D2725">
        <f>IF(B2725,MOD(A2725-1,Days),"")</f>
        <v/>
      </c>
      <c r="E2725" s="16">
        <f>IF(B2725,StartDate+D2725,"")</f>
        <v/>
      </c>
      <c r="F2725">
        <f>IF(B2725,MAX(MOD(SIN(Seed*0.1373+C2725*12.9898+D2725*78.233)*43758.5453,1),1E-9),"")</f>
        <v/>
      </c>
      <c r="G2725">
        <f>IF(B2725,MOD(SIN(Seed*0.5917+C2725*39.3468+D2725*11.135)*24634.6345,1),"")</f>
        <v/>
      </c>
      <c r="H2725">
        <f>IF(B2725,SQRT(-2*LN(F2725))*COS(2*PI()*G2725),"")</f>
        <v/>
      </c>
      <c r="I2725">
        <f>IF(B2725,IF(D2725=0,H2725,Rho*I2724+SQRT(1-Rho^2)*H2725),"")</f>
        <v/>
      </c>
      <c r="J2725">
        <f>IF(B2725,IF(Dist="Normal",DistA+DistB*I2725,DistA+(DistB-DistA)*NORMSDIST(I2725)),"")</f>
        <v/>
      </c>
      <c r="K2725">
        <f>IF(B2725,INDEX(MineScale,C2725),"")</f>
        <v/>
      </c>
      <c r="L2725">
        <f>IF(B2725,INDEX(Dow,1,WEEKDAY(E2725,2)),"")</f>
        <v/>
      </c>
      <c r="M2725">
        <f>IF(B2725,(1+Trend)^D2725,"")</f>
        <v/>
      </c>
      <c r="N2725">
        <f>IF(B2725,EXP(SUMPRODUCT(LN(1+(EvEff-1)*INDEX(Affected,0,C2725)*EXP(-((E2725-EvCenter)^2)/(2*EvSigma^2))))),"")</f>
        <v/>
      </c>
      <c r="O2725">
        <f>IF(B2725,ROUND(MAX(0,J2725*K2725*L2725*M2725*N2725),2),"")</f>
        <v/>
      </c>
    </row>
    <row r="2726">
      <c r="A2726" t="n">
        <v>2725</v>
      </c>
      <c r="B2726">
        <f>A2726&lt;=MineCount*Days</f>
        <v/>
      </c>
      <c r="C2726">
        <f>IF(B2726,INT((A2726-1)/Days)+1,"")</f>
        <v/>
      </c>
      <c r="D2726">
        <f>IF(B2726,MOD(A2726-1,Days),"")</f>
        <v/>
      </c>
      <c r="E2726" s="16">
        <f>IF(B2726,StartDate+D2726,"")</f>
        <v/>
      </c>
      <c r="F2726">
        <f>IF(B2726,MAX(MOD(SIN(Seed*0.1373+C2726*12.9898+D2726*78.233)*43758.5453,1),1E-9),"")</f>
        <v/>
      </c>
      <c r="G2726">
        <f>IF(B2726,MOD(SIN(Seed*0.5917+C2726*39.3468+D2726*11.135)*24634.6345,1),"")</f>
        <v/>
      </c>
      <c r="H2726">
        <f>IF(B2726,SQRT(-2*LN(F2726))*COS(2*PI()*G2726),"")</f>
        <v/>
      </c>
      <c r="I2726">
        <f>IF(B2726,IF(D2726=0,H2726,Rho*I2725+SQRT(1-Rho^2)*H2726),"")</f>
        <v/>
      </c>
      <c r="J2726">
        <f>IF(B2726,IF(Dist="Normal",DistA+DistB*I2726,DistA+(DistB-DistA)*NORMSDIST(I2726)),"")</f>
        <v/>
      </c>
      <c r="K2726">
        <f>IF(B2726,INDEX(MineScale,C2726),"")</f>
        <v/>
      </c>
      <c r="L2726">
        <f>IF(B2726,INDEX(Dow,1,WEEKDAY(E2726,2)),"")</f>
        <v/>
      </c>
      <c r="M2726">
        <f>IF(B2726,(1+Trend)^D2726,"")</f>
        <v/>
      </c>
      <c r="N2726">
        <f>IF(B2726,EXP(SUMPRODUCT(LN(1+(EvEff-1)*INDEX(Affected,0,C2726)*EXP(-((E2726-EvCenter)^2)/(2*EvSigma^2))))),"")</f>
        <v/>
      </c>
      <c r="O2726">
        <f>IF(B2726,ROUND(MAX(0,J2726*K2726*L2726*M2726*N2726),2),"")</f>
        <v/>
      </c>
    </row>
    <row r="2727">
      <c r="A2727" t="n">
        <v>2726</v>
      </c>
      <c r="B2727">
        <f>A2727&lt;=MineCount*Days</f>
        <v/>
      </c>
      <c r="C2727">
        <f>IF(B2727,INT((A2727-1)/Days)+1,"")</f>
        <v/>
      </c>
      <c r="D2727">
        <f>IF(B2727,MOD(A2727-1,Days),"")</f>
        <v/>
      </c>
      <c r="E2727" s="16">
        <f>IF(B2727,StartDate+D2727,"")</f>
        <v/>
      </c>
      <c r="F2727">
        <f>IF(B2727,MAX(MOD(SIN(Seed*0.1373+C2727*12.9898+D2727*78.233)*43758.5453,1),1E-9),"")</f>
        <v/>
      </c>
      <c r="G2727">
        <f>IF(B2727,MOD(SIN(Seed*0.5917+C2727*39.3468+D2727*11.135)*24634.6345,1),"")</f>
        <v/>
      </c>
      <c r="H2727">
        <f>IF(B2727,SQRT(-2*LN(F2727))*COS(2*PI()*G2727),"")</f>
        <v/>
      </c>
      <c r="I2727">
        <f>IF(B2727,IF(D2727=0,H2727,Rho*I2726+SQRT(1-Rho^2)*H2727),"")</f>
        <v/>
      </c>
      <c r="J2727">
        <f>IF(B2727,IF(Dist="Normal",DistA+DistB*I2727,DistA+(DistB-DistA)*NORMSDIST(I2727)),"")</f>
        <v/>
      </c>
      <c r="K2727">
        <f>IF(B2727,INDEX(MineScale,C2727),"")</f>
        <v/>
      </c>
      <c r="L2727">
        <f>IF(B2727,INDEX(Dow,1,WEEKDAY(E2727,2)),"")</f>
        <v/>
      </c>
      <c r="M2727">
        <f>IF(B2727,(1+Trend)^D2727,"")</f>
        <v/>
      </c>
      <c r="N2727">
        <f>IF(B2727,EXP(SUMPRODUCT(LN(1+(EvEff-1)*INDEX(Affected,0,C2727)*EXP(-((E2727-EvCenter)^2)/(2*EvSigma^2))))),"")</f>
        <v/>
      </c>
      <c r="O2727">
        <f>IF(B2727,ROUND(MAX(0,J2727*K2727*L2727*M2727*N2727),2),"")</f>
        <v/>
      </c>
    </row>
    <row r="2728">
      <c r="A2728" t="n">
        <v>2727</v>
      </c>
      <c r="B2728">
        <f>A2728&lt;=MineCount*Days</f>
        <v/>
      </c>
      <c r="C2728">
        <f>IF(B2728,INT((A2728-1)/Days)+1,"")</f>
        <v/>
      </c>
      <c r="D2728">
        <f>IF(B2728,MOD(A2728-1,Days),"")</f>
        <v/>
      </c>
      <c r="E2728" s="16">
        <f>IF(B2728,StartDate+D2728,"")</f>
        <v/>
      </c>
      <c r="F2728">
        <f>IF(B2728,MAX(MOD(SIN(Seed*0.1373+C2728*12.9898+D2728*78.233)*43758.5453,1),1E-9),"")</f>
        <v/>
      </c>
      <c r="G2728">
        <f>IF(B2728,MOD(SIN(Seed*0.5917+C2728*39.3468+D2728*11.135)*24634.6345,1),"")</f>
        <v/>
      </c>
      <c r="H2728">
        <f>IF(B2728,SQRT(-2*LN(F2728))*COS(2*PI()*G2728),"")</f>
        <v/>
      </c>
      <c r="I2728">
        <f>IF(B2728,IF(D2728=0,H2728,Rho*I2727+SQRT(1-Rho^2)*H2728),"")</f>
        <v/>
      </c>
      <c r="J2728">
        <f>IF(B2728,IF(Dist="Normal",DistA+DistB*I2728,DistA+(DistB-DistA)*NORMSDIST(I2728)),"")</f>
        <v/>
      </c>
      <c r="K2728">
        <f>IF(B2728,INDEX(MineScale,C2728),"")</f>
        <v/>
      </c>
      <c r="L2728">
        <f>IF(B2728,INDEX(Dow,1,WEEKDAY(E2728,2)),"")</f>
        <v/>
      </c>
      <c r="M2728">
        <f>IF(B2728,(1+Trend)^D2728,"")</f>
        <v/>
      </c>
      <c r="N2728">
        <f>IF(B2728,EXP(SUMPRODUCT(LN(1+(EvEff-1)*INDEX(Affected,0,C2728)*EXP(-((E2728-EvCenter)^2)/(2*EvSigma^2))))),"")</f>
        <v/>
      </c>
      <c r="O2728">
        <f>IF(B2728,ROUND(MAX(0,J2728*K2728*L2728*M2728*N2728),2),"")</f>
        <v/>
      </c>
    </row>
    <row r="2729">
      <c r="A2729" t="n">
        <v>2728</v>
      </c>
      <c r="B2729">
        <f>A2729&lt;=MineCount*Days</f>
        <v/>
      </c>
      <c r="C2729">
        <f>IF(B2729,INT((A2729-1)/Days)+1,"")</f>
        <v/>
      </c>
      <c r="D2729">
        <f>IF(B2729,MOD(A2729-1,Days),"")</f>
        <v/>
      </c>
      <c r="E2729" s="16">
        <f>IF(B2729,StartDate+D2729,"")</f>
        <v/>
      </c>
      <c r="F2729">
        <f>IF(B2729,MAX(MOD(SIN(Seed*0.1373+C2729*12.9898+D2729*78.233)*43758.5453,1),1E-9),"")</f>
        <v/>
      </c>
      <c r="G2729">
        <f>IF(B2729,MOD(SIN(Seed*0.5917+C2729*39.3468+D2729*11.135)*24634.6345,1),"")</f>
        <v/>
      </c>
      <c r="H2729">
        <f>IF(B2729,SQRT(-2*LN(F2729))*COS(2*PI()*G2729),"")</f>
        <v/>
      </c>
      <c r="I2729">
        <f>IF(B2729,IF(D2729=0,H2729,Rho*I2728+SQRT(1-Rho^2)*H2729),"")</f>
        <v/>
      </c>
      <c r="J2729">
        <f>IF(B2729,IF(Dist="Normal",DistA+DistB*I2729,DistA+(DistB-DistA)*NORMSDIST(I2729)),"")</f>
        <v/>
      </c>
      <c r="K2729">
        <f>IF(B2729,INDEX(MineScale,C2729),"")</f>
        <v/>
      </c>
      <c r="L2729">
        <f>IF(B2729,INDEX(Dow,1,WEEKDAY(E2729,2)),"")</f>
        <v/>
      </c>
      <c r="M2729">
        <f>IF(B2729,(1+Trend)^D2729,"")</f>
        <v/>
      </c>
      <c r="N2729">
        <f>IF(B2729,EXP(SUMPRODUCT(LN(1+(EvEff-1)*INDEX(Affected,0,C2729)*EXP(-((E2729-EvCenter)^2)/(2*EvSigma^2))))),"")</f>
        <v/>
      </c>
      <c r="O2729">
        <f>IF(B2729,ROUND(MAX(0,J2729*K2729*L2729*M2729*N2729),2),"")</f>
        <v/>
      </c>
    </row>
    <row r="2730">
      <c r="A2730" t="n">
        <v>2729</v>
      </c>
      <c r="B2730">
        <f>A2730&lt;=MineCount*Days</f>
        <v/>
      </c>
      <c r="C2730">
        <f>IF(B2730,INT((A2730-1)/Days)+1,"")</f>
        <v/>
      </c>
      <c r="D2730">
        <f>IF(B2730,MOD(A2730-1,Days),"")</f>
        <v/>
      </c>
      <c r="E2730" s="16">
        <f>IF(B2730,StartDate+D2730,"")</f>
        <v/>
      </c>
      <c r="F2730">
        <f>IF(B2730,MAX(MOD(SIN(Seed*0.1373+C2730*12.9898+D2730*78.233)*43758.5453,1),1E-9),"")</f>
        <v/>
      </c>
      <c r="G2730">
        <f>IF(B2730,MOD(SIN(Seed*0.5917+C2730*39.3468+D2730*11.135)*24634.6345,1),"")</f>
        <v/>
      </c>
      <c r="H2730">
        <f>IF(B2730,SQRT(-2*LN(F2730))*COS(2*PI()*G2730),"")</f>
        <v/>
      </c>
      <c r="I2730">
        <f>IF(B2730,IF(D2730=0,H2730,Rho*I2729+SQRT(1-Rho^2)*H2730),"")</f>
        <v/>
      </c>
      <c r="J2730">
        <f>IF(B2730,IF(Dist="Normal",DistA+DistB*I2730,DistA+(DistB-DistA)*NORMSDIST(I2730)),"")</f>
        <v/>
      </c>
      <c r="K2730">
        <f>IF(B2730,INDEX(MineScale,C2730),"")</f>
        <v/>
      </c>
      <c r="L2730">
        <f>IF(B2730,INDEX(Dow,1,WEEKDAY(E2730,2)),"")</f>
        <v/>
      </c>
      <c r="M2730">
        <f>IF(B2730,(1+Trend)^D2730,"")</f>
        <v/>
      </c>
      <c r="N2730">
        <f>IF(B2730,EXP(SUMPRODUCT(LN(1+(EvEff-1)*INDEX(Affected,0,C2730)*EXP(-((E2730-EvCenter)^2)/(2*EvSigma^2))))),"")</f>
        <v/>
      </c>
      <c r="O2730">
        <f>IF(B2730,ROUND(MAX(0,J2730*K2730*L2730*M2730*N2730),2),"")</f>
        <v/>
      </c>
    </row>
    <row r="2731">
      <c r="A2731" t="n">
        <v>2730</v>
      </c>
      <c r="B2731">
        <f>A2731&lt;=MineCount*Days</f>
        <v/>
      </c>
      <c r="C2731">
        <f>IF(B2731,INT((A2731-1)/Days)+1,"")</f>
        <v/>
      </c>
      <c r="D2731">
        <f>IF(B2731,MOD(A2731-1,Days),"")</f>
        <v/>
      </c>
      <c r="E2731" s="16">
        <f>IF(B2731,StartDate+D2731,"")</f>
        <v/>
      </c>
      <c r="F2731">
        <f>IF(B2731,MAX(MOD(SIN(Seed*0.1373+C2731*12.9898+D2731*78.233)*43758.5453,1),1E-9),"")</f>
        <v/>
      </c>
      <c r="G2731">
        <f>IF(B2731,MOD(SIN(Seed*0.5917+C2731*39.3468+D2731*11.135)*24634.6345,1),"")</f>
        <v/>
      </c>
      <c r="H2731">
        <f>IF(B2731,SQRT(-2*LN(F2731))*COS(2*PI()*G2731),"")</f>
        <v/>
      </c>
      <c r="I2731">
        <f>IF(B2731,IF(D2731=0,H2731,Rho*I2730+SQRT(1-Rho^2)*H2731),"")</f>
        <v/>
      </c>
      <c r="J2731">
        <f>IF(B2731,IF(Dist="Normal",DistA+DistB*I2731,DistA+(DistB-DistA)*NORMSDIST(I2731)),"")</f>
        <v/>
      </c>
      <c r="K2731">
        <f>IF(B2731,INDEX(MineScale,C2731),"")</f>
        <v/>
      </c>
      <c r="L2731">
        <f>IF(B2731,INDEX(Dow,1,WEEKDAY(E2731,2)),"")</f>
        <v/>
      </c>
      <c r="M2731">
        <f>IF(B2731,(1+Trend)^D2731,"")</f>
        <v/>
      </c>
      <c r="N2731">
        <f>IF(B2731,EXP(SUMPRODUCT(LN(1+(EvEff-1)*INDEX(Affected,0,C2731)*EXP(-((E2731-EvCenter)^2)/(2*EvSigma^2))))),"")</f>
        <v/>
      </c>
      <c r="O2731">
        <f>IF(B2731,ROUND(MAX(0,J2731*K2731*L2731*M2731*N2731),2),"")</f>
        <v/>
      </c>
    </row>
    <row r="2732">
      <c r="A2732" t="n">
        <v>2731</v>
      </c>
      <c r="B2732">
        <f>A2732&lt;=MineCount*Days</f>
        <v/>
      </c>
      <c r="C2732">
        <f>IF(B2732,INT((A2732-1)/Days)+1,"")</f>
        <v/>
      </c>
      <c r="D2732">
        <f>IF(B2732,MOD(A2732-1,Days),"")</f>
        <v/>
      </c>
      <c r="E2732" s="16">
        <f>IF(B2732,StartDate+D2732,"")</f>
        <v/>
      </c>
      <c r="F2732">
        <f>IF(B2732,MAX(MOD(SIN(Seed*0.1373+C2732*12.9898+D2732*78.233)*43758.5453,1),1E-9),"")</f>
        <v/>
      </c>
      <c r="G2732">
        <f>IF(B2732,MOD(SIN(Seed*0.5917+C2732*39.3468+D2732*11.135)*24634.6345,1),"")</f>
        <v/>
      </c>
      <c r="H2732">
        <f>IF(B2732,SQRT(-2*LN(F2732))*COS(2*PI()*G2732),"")</f>
        <v/>
      </c>
      <c r="I2732">
        <f>IF(B2732,IF(D2732=0,H2732,Rho*I2731+SQRT(1-Rho^2)*H2732),"")</f>
        <v/>
      </c>
      <c r="J2732">
        <f>IF(B2732,IF(Dist="Normal",DistA+DistB*I2732,DistA+(DistB-DistA)*NORMSDIST(I2732)),"")</f>
        <v/>
      </c>
      <c r="K2732">
        <f>IF(B2732,INDEX(MineScale,C2732),"")</f>
        <v/>
      </c>
      <c r="L2732">
        <f>IF(B2732,INDEX(Dow,1,WEEKDAY(E2732,2)),"")</f>
        <v/>
      </c>
      <c r="M2732">
        <f>IF(B2732,(1+Trend)^D2732,"")</f>
        <v/>
      </c>
      <c r="N2732">
        <f>IF(B2732,EXP(SUMPRODUCT(LN(1+(EvEff-1)*INDEX(Affected,0,C2732)*EXP(-((E2732-EvCenter)^2)/(2*EvSigma^2))))),"")</f>
        <v/>
      </c>
      <c r="O2732">
        <f>IF(B2732,ROUND(MAX(0,J2732*K2732*L2732*M2732*N2732),2),"")</f>
        <v/>
      </c>
    </row>
    <row r="2733">
      <c r="A2733" t="n">
        <v>2732</v>
      </c>
      <c r="B2733">
        <f>A2733&lt;=MineCount*Days</f>
        <v/>
      </c>
      <c r="C2733">
        <f>IF(B2733,INT((A2733-1)/Days)+1,"")</f>
        <v/>
      </c>
      <c r="D2733">
        <f>IF(B2733,MOD(A2733-1,Days),"")</f>
        <v/>
      </c>
      <c r="E2733" s="16">
        <f>IF(B2733,StartDate+D2733,"")</f>
        <v/>
      </c>
      <c r="F2733">
        <f>IF(B2733,MAX(MOD(SIN(Seed*0.1373+C2733*12.9898+D2733*78.233)*43758.5453,1),1E-9),"")</f>
        <v/>
      </c>
      <c r="G2733">
        <f>IF(B2733,MOD(SIN(Seed*0.5917+C2733*39.3468+D2733*11.135)*24634.6345,1),"")</f>
        <v/>
      </c>
      <c r="H2733">
        <f>IF(B2733,SQRT(-2*LN(F2733))*COS(2*PI()*G2733),"")</f>
        <v/>
      </c>
      <c r="I2733">
        <f>IF(B2733,IF(D2733=0,H2733,Rho*I2732+SQRT(1-Rho^2)*H2733),"")</f>
        <v/>
      </c>
      <c r="J2733">
        <f>IF(B2733,IF(Dist="Normal",DistA+DistB*I2733,DistA+(DistB-DistA)*NORMSDIST(I2733)),"")</f>
        <v/>
      </c>
      <c r="K2733">
        <f>IF(B2733,INDEX(MineScale,C2733),"")</f>
        <v/>
      </c>
      <c r="L2733">
        <f>IF(B2733,INDEX(Dow,1,WEEKDAY(E2733,2)),"")</f>
        <v/>
      </c>
      <c r="M2733">
        <f>IF(B2733,(1+Trend)^D2733,"")</f>
        <v/>
      </c>
      <c r="N2733">
        <f>IF(B2733,EXP(SUMPRODUCT(LN(1+(EvEff-1)*INDEX(Affected,0,C2733)*EXP(-((E2733-EvCenter)^2)/(2*EvSigma^2))))),"")</f>
        <v/>
      </c>
      <c r="O2733">
        <f>IF(B2733,ROUND(MAX(0,J2733*K2733*L2733*M2733*N2733),2),"")</f>
        <v/>
      </c>
    </row>
    <row r="2734">
      <c r="A2734" t="n">
        <v>2733</v>
      </c>
      <c r="B2734">
        <f>A2734&lt;=MineCount*Days</f>
        <v/>
      </c>
      <c r="C2734">
        <f>IF(B2734,INT((A2734-1)/Days)+1,"")</f>
        <v/>
      </c>
      <c r="D2734">
        <f>IF(B2734,MOD(A2734-1,Days),"")</f>
        <v/>
      </c>
      <c r="E2734" s="16">
        <f>IF(B2734,StartDate+D2734,"")</f>
        <v/>
      </c>
      <c r="F2734">
        <f>IF(B2734,MAX(MOD(SIN(Seed*0.1373+C2734*12.9898+D2734*78.233)*43758.5453,1),1E-9),"")</f>
        <v/>
      </c>
      <c r="G2734">
        <f>IF(B2734,MOD(SIN(Seed*0.5917+C2734*39.3468+D2734*11.135)*24634.6345,1),"")</f>
        <v/>
      </c>
      <c r="H2734">
        <f>IF(B2734,SQRT(-2*LN(F2734))*COS(2*PI()*G2734),"")</f>
        <v/>
      </c>
      <c r="I2734">
        <f>IF(B2734,IF(D2734=0,H2734,Rho*I2733+SQRT(1-Rho^2)*H2734),"")</f>
        <v/>
      </c>
      <c r="J2734">
        <f>IF(B2734,IF(Dist="Normal",DistA+DistB*I2734,DistA+(DistB-DistA)*NORMSDIST(I2734)),"")</f>
        <v/>
      </c>
      <c r="K2734">
        <f>IF(B2734,INDEX(MineScale,C2734),"")</f>
        <v/>
      </c>
      <c r="L2734">
        <f>IF(B2734,INDEX(Dow,1,WEEKDAY(E2734,2)),"")</f>
        <v/>
      </c>
      <c r="M2734">
        <f>IF(B2734,(1+Trend)^D2734,"")</f>
        <v/>
      </c>
      <c r="N2734">
        <f>IF(B2734,EXP(SUMPRODUCT(LN(1+(EvEff-1)*INDEX(Affected,0,C2734)*EXP(-((E2734-EvCenter)^2)/(2*EvSigma^2))))),"")</f>
        <v/>
      </c>
      <c r="O2734">
        <f>IF(B2734,ROUND(MAX(0,J2734*K2734*L2734*M2734*N2734),2),"")</f>
        <v/>
      </c>
    </row>
    <row r="2735">
      <c r="A2735" t="n">
        <v>2734</v>
      </c>
      <c r="B2735">
        <f>A2735&lt;=MineCount*Days</f>
        <v/>
      </c>
      <c r="C2735">
        <f>IF(B2735,INT((A2735-1)/Days)+1,"")</f>
        <v/>
      </c>
      <c r="D2735">
        <f>IF(B2735,MOD(A2735-1,Days),"")</f>
        <v/>
      </c>
      <c r="E2735" s="16">
        <f>IF(B2735,StartDate+D2735,"")</f>
        <v/>
      </c>
      <c r="F2735">
        <f>IF(B2735,MAX(MOD(SIN(Seed*0.1373+C2735*12.9898+D2735*78.233)*43758.5453,1),1E-9),"")</f>
        <v/>
      </c>
      <c r="G2735">
        <f>IF(B2735,MOD(SIN(Seed*0.5917+C2735*39.3468+D2735*11.135)*24634.6345,1),"")</f>
        <v/>
      </c>
      <c r="H2735">
        <f>IF(B2735,SQRT(-2*LN(F2735))*COS(2*PI()*G2735),"")</f>
        <v/>
      </c>
      <c r="I2735">
        <f>IF(B2735,IF(D2735=0,H2735,Rho*I2734+SQRT(1-Rho^2)*H2735),"")</f>
        <v/>
      </c>
      <c r="J2735">
        <f>IF(B2735,IF(Dist="Normal",DistA+DistB*I2735,DistA+(DistB-DistA)*NORMSDIST(I2735)),"")</f>
        <v/>
      </c>
      <c r="K2735">
        <f>IF(B2735,INDEX(MineScale,C2735),"")</f>
        <v/>
      </c>
      <c r="L2735">
        <f>IF(B2735,INDEX(Dow,1,WEEKDAY(E2735,2)),"")</f>
        <v/>
      </c>
      <c r="M2735">
        <f>IF(B2735,(1+Trend)^D2735,"")</f>
        <v/>
      </c>
      <c r="N2735">
        <f>IF(B2735,EXP(SUMPRODUCT(LN(1+(EvEff-1)*INDEX(Affected,0,C2735)*EXP(-((E2735-EvCenter)^2)/(2*EvSigma^2))))),"")</f>
        <v/>
      </c>
      <c r="O2735">
        <f>IF(B2735,ROUND(MAX(0,J2735*K2735*L2735*M2735*N2735),2),"")</f>
        <v/>
      </c>
    </row>
    <row r="2736">
      <c r="A2736" t="n">
        <v>2735</v>
      </c>
      <c r="B2736">
        <f>A2736&lt;=MineCount*Days</f>
        <v/>
      </c>
      <c r="C2736">
        <f>IF(B2736,INT((A2736-1)/Days)+1,"")</f>
        <v/>
      </c>
      <c r="D2736">
        <f>IF(B2736,MOD(A2736-1,Days),"")</f>
        <v/>
      </c>
      <c r="E2736" s="16">
        <f>IF(B2736,StartDate+D2736,"")</f>
        <v/>
      </c>
      <c r="F2736">
        <f>IF(B2736,MAX(MOD(SIN(Seed*0.1373+C2736*12.9898+D2736*78.233)*43758.5453,1),1E-9),"")</f>
        <v/>
      </c>
      <c r="G2736">
        <f>IF(B2736,MOD(SIN(Seed*0.5917+C2736*39.3468+D2736*11.135)*24634.6345,1),"")</f>
        <v/>
      </c>
      <c r="H2736">
        <f>IF(B2736,SQRT(-2*LN(F2736))*COS(2*PI()*G2736),"")</f>
        <v/>
      </c>
      <c r="I2736">
        <f>IF(B2736,IF(D2736=0,H2736,Rho*I2735+SQRT(1-Rho^2)*H2736),"")</f>
        <v/>
      </c>
      <c r="J2736">
        <f>IF(B2736,IF(Dist="Normal",DistA+DistB*I2736,DistA+(DistB-DistA)*NORMSDIST(I2736)),"")</f>
        <v/>
      </c>
      <c r="K2736">
        <f>IF(B2736,INDEX(MineScale,C2736),"")</f>
        <v/>
      </c>
      <c r="L2736">
        <f>IF(B2736,INDEX(Dow,1,WEEKDAY(E2736,2)),"")</f>
        <v/>
      </c>
      <c r="M2736">
        <f>IF(B2736,(1+Trend)^D2736,"")</f>
        <v/>
      </c>
      <c r="N2736">
        <f>IF(B2736,EXP(SUMPRODUCT(LN(1+(EvEff-1)*INDEX(Affected,0,C2736)*EXP(-((E2736-EvCenter)^2)/(2*EvSigma^2))))),"")</f>
        <v/>
      </c>
      <c r="O2736">
        <f>IF(B2736,ROUND(MAX(0,J2736*K2736*L2736*M2736*N2736),2),"")</f>
        <v/>
      </c>
    </row>
    <row r="2737">
      <c r="A2737" t="n">
        <v>2736</v>
      </c>
      <c r="B2737">
        <f>A2737&lt;=MineCount*Days</f>
        <v/>
      </c>
      <c r="C2737">
        <f>IF(B2737,INT((A2737-1)/Days)+1,"")</f>
        <v/>
      </c>
      <c r="D2737">
        <f>IF(B2737,MOD(A2737-1,Days),"")</f>
        <v/>
      </c>
      <c r="E2737" s="16">
        <f>IF(B2737,StartDate+D2737,"")</f>
        <v/>
      </c>
      <c r="F2737">
        <f>IF(B2737,MAX(MOD(SIN(Seed*0.1373+C2737*12.9898+D2737*78.233)*43758.5453,1),1E-9),"")</f>
        <v/>
      </c>
      <c r="G2737">
        <f>IF(B2737,MOD(SIN(Seed*0.5917+C2737*39.3468+D2737*11.135)*24634.6345,1),"")</f>
        <v/>
      </c>
      <c r="H2737">
        <f>IF(B2737,SQRT(-2*LN(F2737))*COS(2*PI()*G2737),"")</f>
        <v/>
      </c>
      <c r="I2737">
        <f>IF(B2737,IF(D2737=0,H2737,Rho*I2736+SQRT(1-Rho^2)*H2737),"")</f>
        <v/>
      </c>
      <c r="J2737">
        <f>IF(B2737,IF(Dist="Normal",DistA+DistB*I2737,DistA+(DistB-DistA)*NORMSDIST(I2737)),"")</f>
        <v/>
      </c>
      <c r="K2737">
        <f>IF(B2737,INDEX(MineScale,C2737),"")</f>
        <v/>
      </c>
      <c r="L2737">
        <f>IF(B2737,INDEX(Dow,1,WEEKDAY(E2737,2)),"")</f>
        <v/>
      </c>
      <c r="M2737">
        <f>IF(B2737,(1+Trend)^D2737,"")</f>
        <v/>
      </c>
      <c r="N2737">
        <f>IF(B2737,EXP(SUMPRODUCT(LN(1+(EvEff-1)*INDEX(Affected,0,C2737)*EXP(-((E2737-EvCenter)^2)/(2*EvSigma^2))))),"")</f>
        <v/>
      </c>
      <c r="O2737">
        <f>IF(B2737,ROUND(MAX(0,J2737*K2737*L2737*M2737*N2737),2),"")</f>
        <v/>
      </c>
    </row>
    <row r="2738">
      <c r="A2738" t="n">
        <v>2737</v>
      </c>
      <c r="B2738">
        <f>A2738&lt;=MineCount*Days</f>
        <v/>
      </c>
      <c r="C2738">
        <f>IF(B2738,INT((A2738-1)/Days)+1,"")</f>
        <v/>
      </c>
      <c r="D2738">
        <f>IF(B2738,MOD(A2738-1,Days),"")</f>
        <v/>
      </c>
      <c r="E2738" s="16">
        <f>IF(B2738,StartDate+D2738,"")</f>
        <v/>
      </c>
      <c r="F2738">
        <f>IF(B2738,MAX(MOD(SIN(Seed*0.1373+C2738*12.9898+D2738*78.233)*43758.5453,1),1E-9),"")</f>
        <v/>
      </c>
      <c r="G2738">
        <f>IF(B2738,MOD(SIN(Seed*0.5917+C2738*39.3468+D2738*11.135)*24634.6345,1),"")</f>
        <v/>
      </c>
      <c r="H2738">
        <f>IF(B2738,SQRT(-2*LN(F2738))*COS(2*PI()*G2738),"")</f>
        <v/>
      </c>
      <c r="I2738">
        <f>IF(B2738,IF(D2738=0,H2738,Rho*I2737+SQRT(1-Rho^2)*H2738),"")</f>
        <v/>
      </c>
      <c r="J2738">
        <f>IF(B2738,IF(Dist="Normal",DistA+DistB*I2738,DistA+(DistB-DistA)*NORMSDIST(I2738)),"")</f>
        <v/>
      </c>
      <c r="K2738">
        <f>IF(B2738,INDEX(MineScale,C2738),"")</f>
        <v/>
      </c>
      <c r="L2738">
        <f>IF(B2738,INDEX(Dow,1,WEEKDAY(E2738,2)),"")</f>
        <v/>
      </c>
      <c r="M2738">
        <f>IF(B2738,(1+Trend)^D2738,"")</f>
        <v/>
      </c>
      <c r="N2738">
        <f>IF(B2738,EXP(SUMPRODUCT(LN(1+(EvEff-1)*INDEX(Affected,0,C2738)*EXP(-((E2738-EvCenter)^2)/(2*EvSigma^2))))),"")</f>
        <v/>
      </c>
      <c r="O2738">
        <f>IF(B2738,ROUND(MAX(0,J2738*K2738*L2738*M2738*N2738),2),"")</f>
        <v/>
      </c>
    </row>
    <row r="2739">
      <c r="A2739" t="n">
        <v>2738</v>
      </c>
      <c r="B2739">
        <f>A2739&lt;=MineCount*Days</f>
        <v/>
      </c>
      <c r="C2739">
        <f>IF(B2739,INT((A2739-1)/Days)+1,"")</f>
        <v/>
      </c>
      <c r="D2739">
        <f>IF(B2739,MOD(A2739-1,Days),"")</f>
        <v/>
      </c>
      <c r="E2739" s="16">
        <f>IF(B2739,StartDate+D2739,"")</f>
        <v/>
      </c>
      <c r="F2739">
        <f>IF(B2739,MAX(MOD(SIN(Seed*0.1373+C2739*12.9898+D2739*78.233)*43758.5453,1),1E-9),"")</f>
        <v/>
      </c>
      <c r="G2739">
        <f>IF(B2739,MOD(SIN(Seed*0.5917+C2739*39.3468+D2739*11.135)*24634.6345,1),"")</f>
        <v/>
      </c>
      <c r="H2739">
        <f>IF(B2739,SQRT(-2*LN(F2739))*COS(2*PI()*G2739),"")</f>
        <v/>
      </c>
      <c r="I2739">
        <f>IF(B2739,IF(D2739=0,H2739,Rho*I2738+SQRT(1-Rho^2)*H2739),"")</f>
        <v/>
      </c>
      <c r="J2739">
        <f>IF(B2739,IF(Dist="Normal",DistA+DistB*I2739,DistA+(DistB-DistA)*NORMSDIST(I2739)),"")</f>
        <v/>
      </c>
      <c r="K2739">
        <f>IF(B2739,INDEX(MineScale,C2739),"")</f>
        <v/>
      </c>
      <c r="L2739">
        <f>IF(B2739,INDEX(Dow,1,WEEKDAY(E2739,2)),"")</f>
        <v/>
      </c>
      <c r="M2739">
        <f>IF(B2739,(1+Trend)^D2739,"")</f>
        <v/>
      </c>
      <c r="N2739">
        <f>IF(B2739,EXP(SUMPRODUCT(LN(1+(EvEff-1)*INDEX(Affected,0,C2739)*EXP(-((E2739-EvCenter)^2)/(2*EvSigma^2))))),"")</f>
        <v/>
      </c>
      <c r="O2739">
        <f>IF(B2739,ROUND(MAX(0,J2739*K2739*L2739*M2739*N2739),2),"")</f>
        <v/>
      </c>
    </row>
    <row r="2740">
      <c r="A2740" t="n">
        <v>2739</v>
      </c>
      <c r="B2740">
        <f>A2740&lt;=MineCount*Days</f>
        <v/>
      </c>
      <c r="C2740">
        <f>IF(B2740,INT((A2740-1)/Days)+1,"")</f>
        <v/>
      </c>
      <c r="D2740">
        <f>IF(B2740,MOD(A2740-1,Days),"")</f>
        <v/>
      </c>
      <c r="E2740" s="16">
        <f>IF(B2740,StartDate+D2740,"")</f>
        <v/>
      </c>
      <c r="F2740">
        <f>IF(B2740,MAX(MOD(SIN(Seed*0.1373+C2740*12.9898+D2740*78.233)*43758.5453,1),1E-9),"")</f>
        <v/>
      </c>
      <c r="G2740">
        <f>IF(B2740,MOD(SIN(Seed*0.5917+C2740*39.3468+D2740*11.135)*24634.6345,1),"")</f>
        <v/>
      </c>
      <c r="H2740">
        <f>IF(B2740,SQRT(-2*LN(F2740))*COS(2*PI()*G2740),"")</f>
        <v/>
      </c>
      <c r="I2740">
        <f>IF(B2740,IF(D2740=0,H2740,Rho*I2739+SQRT(1-Rho^2)*H2740),"")</f>
        <v/>
      </c>
      <c r="J2740">
        <f>IF(B2740,IF(Dist="Normal",DistA+DistB*I2740,DistA+(DistB-DistA)*NORMSDIST(I2740)),"")</f>
        <v/>
      </c>
      <c r="K2740">
        <f>IF(B2740,INDEX(MineScale,C2740),"")</f>
        <v/>
      </c>
      <c r="L2740">
        <f>IF(B2740,INDEX(Dow,1,WEEKDAY(E2740,2)),"")</f>
        <v/>
      </c>
      <c r="M2740">
        <f>IF(B2740,(1+Trend)^D2740,"")</f>
        <v/>
      </c>
      <c r="N2740">
        <f>IF(B2740,EXP(SUMPRODUCT(LN(1+(EvEff-1)*INDEX(Affected,0,C2740)*EXP(-((E2740-EvCenter)^2)/(2*EvSigma^2))))),"")</f>
        <v/>
      </c>
      <c r="O2740">
        <f>IF(B2740,ROUND(MAX(0,J2740*K2740*L2740*M2740*N2740),2),"")</f>
        <v/>
      </c>
    </row>
    <row r="2741">
      <c r="A2741" t="n">
        <v>2740</v>
      </c>
      <c r="B2741">
        <f>A2741&lt;=MineCount*Days</f>
        <v/>
      </c>
      <c r="C2741">
        <f>IF(B2741,INT((A2741-1)/Days)+1,"")</f>
        <v/>
      </c>
      <c r="D2741">
        <f>IF(B2741,MOD(A2741-1,Days),"")</f>
        <v/>
      </c>
      <c r="E2741" s="16">
        <f>IF(B2741,StartDate+D2741,"")</f>
        <v/>
      </c>
      <c r="F2741">
        <f>IF(B2741,MAX(MOD(SIN(Seed*0.1373+C2741*12.9898+D2741*78.233)*43758.5453,1),1E-9),"")</f>
        <v/>
      </c>
      <c r="G2741">
        <f>IF(B2741,MOD(SIN(Seed*0.5917+C2741*39.3468+D2741*11.135)*24634.6345,1),"")</f>
        <v/>
      </c>
      <c r="H2741">
        <f>IF(B2741,SQRT(-2*LN(F2741))*COS(2*PI()*G2741),"")</f>
        <v/>
      </c>
      <c r="I2741">
        <f>IF(B2741,IF(D2741=0,H2741,Rho*I2740+SQRT(1-Rho^2)*H2741),"")</f>
        <v/>
      </c>
      <c r="J2741">
        <f>IF(B2741,IF(Dist="Normal",DistA+DistB*I2741,DistA+(DistB-DistA)*NORMSDIST(I2741)),"")</f>
        <v/>
      </c>
      <c r="K2741">
        <f>IF(B2741,INDEX(MineScale,C2741),"")</f>
        <v/>
      </c>
      <c r="L2741">
        <f>IF(B2741,INDEX(Dow,1,WEEKDAY(E2741,2)),"")</f>
        <v/>
      </c>
      <c r="M2741">
        <f>IF(B2741,(1+Trend)^D2741,"")</f>
        <v/>
      </c>
      <c r="N2741">
        <f>IF(B2741,EXP(SUMPRODUCT(LN(1+(EvEff-1)*INDEX(Affected,0,C2741)*EXP(-((E2741-EvCenter)^2)/(2*EvSigma^2))))),"")</f>
        <v/>
      </c>
      <c r="O2741">
        <f>IF(B2741,ROUND(MAX(0,J2741*K2741*L2741*M2741*N2741),2),"")</f>
        <v/>
      </c>
    </row>
    <row r="2742">
      <c r="A2742" t="n">
        <v>2741</v>
      </c>
      <c r="B2742">
        <f>A2742&lt;=MineCount*Days</f>
        <v/>
      </c>
      <c r="C2742">
        <f>IF(B2742,INT((A2742-1)/Days)+1,"")</f>
        <v/>
      </c>
      <c r="D2742">
        <f>IF(B2742,MOD(A2742-1,Days),"")</f>
        <v/>
      </c>
      <c r="E2742" s="16">
        <f>IF(B2742,StartDate+D2742,"")</f>
        <v/>
      </c>
      <c r="F2742">
        <f>IF(B2742,MAX(MOD(SIN(Seed*0.1373+C2742*12.9898+D2742*78.233)*43758.5453,1),1E-9),"")</f>
        <v/>
      </c>
      <c r="G2742">
        <f>IF(B2742,MOD(SIN(Seed*0.5917+C2742*39.3468+D2742*11.135)*24634.6345,1),"")</f>
        <v/>
      </c>
      <c r="H2742">
        <f>IF(B2742,SQRT(-2*LN(F2742))*COS(2*PI()*G2742),"")</f>
        <v/>
      </c>
      <c r="I2742">
        <f>IF(B2742,IF(D2742=0,H2742,Rho*I2741+SQRT(1-Rho^2)*H2742),"")</f>
        <v/>
      </c>
      <c r="J2742">
        <f>IF(B2742,IF(Dist="Normal",DistA+DistB*I2742,DistA+(DistB-DistA)*NORMSDIST(I2742)),"")</f>
        <v/>
      </c>
      <c r="K2742">
        <f>IF(B2742,INDEX(MineScale,C2742),"")</f>
        <v/>
      </c>
      <c r="L2742">
        <f>IF(B2742,INDEX(Dow,1,WEEKDAY(E2742,2)),"")</f>
        <v/>
      </c>
      <c r="M2742">
        <f>IF(B2742,(1+Trend)^D2742,"")</f>
        <v/>
      </c>
      <c r="N2742">
        <f>IF(B2742,EXP(SUMPRODUCT(LN(1+(EvEff-1)*INDEX(Affected,0,C2742)*EXP(-((E2742-EvCenter)^2)/(2*EvSigma^2))))),"")</f>
        <v/>
      </c>
      <c r="O2742">
        <f>IF(B2742,ROUND(MAX(0,J2742*K2742*L2742*M2742*N2742),2),"")</f>
        <v/>
      </c>
    </row>
    <row r="2743">
      <c r="A2743" t="n">
        <v>2742</v>
      </c>
      <c r="B2743">
        <f>A2743&lt;=MineCount*Days</f>
        <v/>
      </c>
      <c r="C2743">
        <f>IF(B2743,INT((A2743-1)/Days)+1,"")</f>
        <v/>
      </c>
      <c r="D2743">
        <f>IF(B2743,MOD(A2743-1,Days),"")</f>
        <v/>
      </c>
      <c r="E2743" s="16">
        <f>IF(B2743,StartDate+D2743,"")</f>
        <v/>
      </c>
      <c r="F2743">
        <f>IF(B2743,MAX(MOD(SIN(Seed*0.1373+C2743*12.9898+D2743*78.233)*43758.5453,1),1E-9),"")</f>
        <v/>
      </c>
      <c r="G2743">
        <f>IF(B2743,MOD(SIN(Seed*0.5917+C2743*39.3468+D2743*11.135)*24634.6345,1),"")</f>
        <v/>
      </c>
      <c r="H2743">
        <f>IF(B2743,SQRT(-2*LN(F2743))*COS(2*PI()*G2743),"")</f>
        <v/>
      </c>
      <c r="I2743">
        <f>IF(B2743,IF(D2743=0,H2743,Rho*I2742+SQRT(1-Rho^2)*H2743),"")</f>
        <v/>
      </c>
      <c r="J2743">
        <f>IF(B2743,IF(Dist="Normal",DistA+DistB*I2743,DistA+(DistB-DistA)*NORMSDIST(I2743)),"")</f>
        <v/>
      </c>
      <c r="K2743">
        <f>IF(B2743,INDEX(MineScale,C2743),"")</f>
        <v/>
      </c>
      <c r="L2743">
        <f>IF(B2743,INDEX(Dow,1,WEEKDAY(E2743,2)),"")</f>
        <v/>
      </c>
      <c r="M2743">
        <f>IF(B2743,(1+Trend)^D2743,"")</f>
        <v/>
      </c>
      <c r="N2743">
        <f>IF(B2743,EXP(SUMPRODUCT(LN(1+(EvEff-1)*INDEX(Affected,0,C2743)*EXP(-((E2743-EvCenter)^2)/(2*EvSigma^2))))),"")</f>
        <v/>
      </c>
      <c r="O2743">
        <f>IF(B2743,ROUND(MAX(0,J2743*K2743*L2743*M2743*N2743),2),"")</f>
        <v/>
      </c>
    </row>
    <row r="2744">
      <c r="A2744" t="n">
        <v>2743</v>
      </c>
      <c r="B2744">
        <f>A2744&lt;=MineCount*Days</f>
        <v/>
      </c>
      <c r="C2744">
        <f>IF(B2744,INT((A2744-1)/Days)+1,"")</f>
        <v/>
      </c>
      <c r="D2744">
        <f>IF(B2744,MOD(A2744-1,Days),"")</f>
        <v/>
      </c>
      <c r="E2744" s="16">
        <f>IF(B2744,StartDate+D2744,"")</f>
        <v/>
      </c>
      <c r="F2744">
        <f>IF(B2744,MAX(MOD(SIN(Seed*0.1373+C2744*12.9898+D2744*78.233)*43758.5453,1),1E-9),"")</f>
        <v/>
      </c>
      <c r="G2744">
        <f>IF(B2744,MOD(SIN(Seed*0.5917+C2744*39.3468+D2744*11.135)*24634.6345,1),"")</f>
        <v/>
      </c>
      <c r="H2744">
        <f>IF(B2744,SQRT(-2*LN(F2744))*COS(2*PI()*G2744),"")</f>
        <v/>
      </c>
      <c r="I2744">
        <f>IF(B2744,IF(D2744=0,H2744,Rho*I2743+SQRT(1-Rho^2)*H2744),"")</f>
        <v/>
      </c>
      <c r="J2744">
        <f>IF(B2744,IF(Dist="Normal",DistA+DistB*I2744,DistA+(DistB-DistA)*NORMSDIST(I2744)),"")</f>
        <v/>
      </c>
      <c r="K2744">
        <f>IF(B2744,INDEX(MineScale,C2744),"")</f>
        <v/>
      </c>
      <c r="L2744">
        <f>IF(B2744,INDEX(Dow,1,WEEKDAY(E2744,2)),"")</f>
        <v/>
      </c>
      <c r="M2744">
        <f>IF(B2744,(1+Trend)^D2744,"")</f>
        <v/>
      </c>
      <c r="N2744">
        <f>IF(B2744,EXP(SUMPRODUCT(LN(1+(EvEff-1)*INDEX(Affected,0,C2744)*EXP(-((E2744-EvCenter)^2)/(2*EvSigma^2))))),"")</f>
        <v/>
      </c>
      <c r="O2744">
        <f>IF(B2744,ROUND(MAX(0,J2744*K2744*L2744*M2744*N2744),2),"")</f>
        <v/>
      </c>
    </row>
    <row r="2745">
      <c r="A2745" t="n">
        <v>2744</v>
      </c>
      <c r="B2745">
        <f>A2745&lt;=MineCount*Days</f>
        <v/>
      </c>
      <c r="C2745">
        <f>IF(B2745,INT((A2745-1)/Days)+1,"")</f>
        <v/>
      </c>
      <c r="D2745">
        <f>IF(B2745,MOD(A2745-1,Days),"")</f>
        <v/>
      </c>
      <c r="E2745" s="16">
        <f>IF(B2745,StartDate+D2745,"")</f>
        <v/>
      </c>
      <c r="F2745">
        <f>IF(B2745,MAX(MOD(SIN(Seed*0.1373+C2745*12.9898+D2745*78.233)*43758.5453,1),1E-9),"")</f>
        <v/>
      </c>
      <c r="G2745">
        <f>IF(B2745,MOD(SIN(Seed*0.5917+C2745*39.3468+D2745*11.135)*24634.6345,1),"")</f>
        <v/>
      </c>
      <c r="H2745">
        <f>IF(B2745,SQRT(-2*LN(F2745))*COS(2*PI()*G2745),"")</f>
        <v/>
      </c>
      <c r="I2745">
        <f>IF(B2745,IF(D2745=0,H2745,Rho*I2744+SQRT(1-Rho^2)*H2745),"")</f>
        <v/>
      </c>
      <c r="J2745">
        <f>IF(B2745,IF(Dist="Normal",DistA+DistB*I2745,DistA+(DistB-DistA)*NORMSDIST(I2745)),"")</f>
        <v/>
      </c>
      <c r="K2745">
        <f>IF(B2745,INDEX(MineScale,C2745),"")</f>
        <v/>
      </c>
      <c r="L2745">
        <f>IF(B2745,INDEX(Dow,1,WEEKDAY(E2745,2)),"")</f>
        <v/>
      </c>
      <c r="M2745">
        <f>IF(B2745,(1+Trend)^D2745,"")</f>
        <v/>
      </c>
      <c r="N2745">
        <f>IF(B2745,EXP(SUMPRODUCT(LN(1+(EvEff-1)*INDEX(Affected,0,C2745)*EXP(-((E2745-EvCenter)^2)/(2*EvSigma^2))))),"")</f>
        <v/>
      </c>
      <c r="O2745">
        <f>IF(B2745,ROUND(MAX(0,J2745*K2745*L2745*M2745*N2745),2),"")</f>
        <v/>
      </c>
    </row>
    <row r="2746">
      <c r="A2746" t="n">
        <v>2745</v>
      </c>
      <c r="B2746">
        <f>A2746&lt;=MineCount*Days</f>
        <v/>
      </c>
      <c r="C2746">
        <f>IF(B2746,INT((A2746-1)/Days)+1,"")</f>
        <v/>
      </c>
      <c r="D2746">
        <f>IF(B2746,MOD(A2746-1,Days),"")</f>
        <v/>
      </c>
      <c r="E2746" s="16">
        <f>IF(B2746,StartDate+D2746,"")</f>
        <v/>
      </c>
      <c r="F2746">
        <f>IF(B2746,MAX(MOD(SIN(Seed*0.1373+C2746*12.9898+D2746*78.233)*43758.5453,1),1E-9),"")</f>
        <v/>
      </c>
      <c r="G2746">
        <f>IF(B2746,MOD(SIN(Seed*0.5917+C2746*39.3468+D2746*11.135)*24634.6345,1),"")</f>
        <v/>
      </c>
      <c r="H2746">
        <f>IF(B2746,SQRT(-2*LN(F2746))*COS(2*PI()*G2746),"")</f>
        <v/>
      </c>
      <c r="I2746">
        <f>IF(B2746,IF(D2746=0,H2746,Rho*I2745+SQRT(1-Rho^2)*H2746),"")</f>
        <v/>
      </c>
      <c r="J2746">
        <f>IF(B2746,IF(Dist="Normal",DistA+DistB*I2746,DistA+(DistB-DistA)*NORMSDIST(I2746)),"")</f>
        <v/>
      </c>
      <c r="K2746">
        <f>IF(B2746,INDEX(MineScale,C2746),"")</f>
        <v/>
      </c>
      <c r="L2746">
        <f>IF(B2746,INDEX(Dow,1,WEEKDAY(E2746,2)),"")</f>
        <v/>
      </c>
      <c r="M2746">
        <f>IF(B2746,(1+Trend)^D2746,"")</f>
        <v/>
      </c>
      <c r="N2746">
        <f>IF(B2746,EXP(SUMPRODUCT(LN(1+(EvEff-1)*INDEX(Affected,0,C2746)*EXP(-((E2746-EvCenter)^2)/(2*EvSigma^2))))),"")</f>
        <v/>
      </c>
      <c r="O2746">
        <f>IF(B2746,ROUND(MAX(0,J2746*K2746*L2746*M2746*N2746),2),"")</f>
        <v/>
      </c>
    </row>
    <row r="2747">
      <c r="A2747" t="n">
        <v>2746</v>
      </c>
      <c r="B2747">
        <f>A2747&lt;=MineCount*Days</f>
        <v/>
      </c>
      <c r="C2747">
        <f>IF(B2747,INT((A2747-1)/Days)+1,"")</f>
        <v/>
      </c>
      <c r="D2747">
        <f>IF(B2747,MOD(A2747-1,Days),"")</f>
        <v/>
      </c>
      <c r="E2747" s="16">
        <f>IF(B2747,StartDate+D2747,"")</f>
        <v/>
      </c>
      <c r="F2747">
        <f>IF(B2747,MAX(MOD(SIN(Seed*0.1373+C2747*12.9898+D2747*78.233)*43758.5453,1),1E-9),"")</f>
        <v/>
      </c>
      <c r="G2747">
        <f>IF(B2747,MOD(SIN(Seed*0.5917+C2747*39.3468+D2747*11.135)*24634.6345,1),"")</f>
        <v/>
      </c>
      <c r="H2747">
        <f>IF(B2747,SQRT(-2*LN(F2747))*COS(2*PI()*G2747),"")</f>
        <v/>
      </c>
      <c r="I2747">
        <f>IF(B2747,IF(D2747=0,H2747,Rho*I2746+SQRT(1-Rho^2)*H2747),"")</f>
        <v/>
      </c>
      <c r="J2747">
        <f>IF(B2747,IF(Dist="Normal",DistA+DistB*I2747,DistA+(DistB-DistA)*NORMSDIST(I2747)),"")</f>
        <v/>
      </c>
      <c r="K2747">
        <f>IF(B2747,INDEX(MineScale,C2747),"")</f>
        <v/>
      </c>
      <c r="L2747">
        <f>IF(B2747,INDEX(Dow,1,WEEKDAY(E2747,2)),"")</f>
        <v/>
      </c>
      <c r="M2747">
        <f>IF(B2747,(1+Trend)^D2747,"")</f>
        <v/>
      </c>
      <c r="N2747">
        <f>IF(B2747,EXP(SUMPRODUCT(LN(1+(EvEff-1)*INDEX(Affected,0,C2747)*EXP(-((E2747-EvCenter)^2)/(2*EvSigma^2))))),"")</f>
        <v/>
      </c>
      <c r="O2747">
        <f>IF(B2747,ROUND(MAX(0,J2747*K2747*L2747*M2747*N2747),2),"")</f>
        <v/>
      </c>
    </row>
    <row r="2748">
      <c r="A2748" t="n">
        <v>2747</v>
      </c>
      <c r="B2748">
        <f>A2748&lt;=MineCount*Days</f>
        <v/>
      </c>
      <c r="C2748">
        <f>IF(B2748,INT((A2748-1)/Days)+1,"")</f>
        <v/>
      </c>
      <c r="D2748">
        <f>IF(B2748,MOD(A2748-1,Days),"")</f>
        <v/>
      </c>
      <c r="E2748" s="16">
        <f>IF(B2748,StartDate+D2748,"")</f>
        <v/>
      </c>
      <c r="F2748">
        <f>IF(B2748,MAX(MOD(SIN(Seed*0.1373+C2748*12.9898+D2748*78.233)*43758.5453,1),1E-9),"")</f>
        <v/>
      </c>
      <c r="G2748">
        <f>IF(B2748,MOD(SIN(Seed*0.5917+C2748*39.3468+D2748*11.135)*24634.6345,1),"")</f>
        <v/>
      </c>
      <c r="H2748">
        <f>IF(B2748,SQRT(-2*LN(F2748))*COS(2*PI()*G2748),"")</f>
        <v/>
      </c>
      <c r="I2748">
        <f>IF(B2748,IF(D2748=0,H2748,Rho*I2747+SQRT(1-Rho^2)*H2748),"")</f>
        <v/>
      </c>
      <c r="J2748">
        <f>IF(B2748,IF(Dist="Normal",DistA+DistB*I2748,DistA+(DistB-DistA)*NORMSDIST(I2748)),"")</f>
        <v/>
      </c>
      <c r="K2748">
        <f>IF(B2748,INDEX(MineScale,C2748),"")</f>
        <v/>
      </c>
      <c r="L2748">
        <f>IF(B2748,INDEX(Dow,1,WEEKDAY(E2748,2)),"")</f>
        <v/>
      </c>
      <c r="M2748">
        <f>IF(B2748,(1+Trend)^D2748,"")</f>
        <v/>
      </c>
      <c r="N2748">
        <f>IF(B2748,EXP(SUMPRODUCT(LN(1+(EvEff-1)*INDEX(Affected,0,C2748)*EXP(-((E2748-EvCenter)^2)/(2*EvSigma^2))))),"")</f>
        <v/>
      </c>
      <c r="O2748">
        <f>IF(B2748,ROUND(MAX(0,J2748*K2748*L2748*M2748*N2748),2),"")</f>
        <v/>
      </c>
    </row>
    <row r="2749">
      <c r="A2749" t="n">
        <v>2748</v>
      </c>
      <c r="B2749">
        <f>A2749&lt;=MineCount*Days</f>
        <v/>
      </c>
      <c r="C2749">
        <f>IF(B2749,INT((A2749-1)/Days)+1,"")</f>
        <v/>
      </c>
      <c r="D2749">
        <f>IF(B2749,MOD(A2749-1,Days),"")</f>
        <v/>
      </c>
      <c r="E2749" s="16">
        <f>IF(B2749,StartDate+D2749,"")</f>
        <v/>
      </c>
      <c r="F2749">
        <f>IF(B2749,MAX(MOD(SIN(Seed*0.1373+C2749*12.9898+D2749*78.233)*43758.5453,1),1E-9),"")</f>
        <v/>
      </c>
      <c r="G2749">
        <f>IF(B2749,MOD(SIN(Seed*0.5917+C2749*39.3468+D2749*11.135)*24634.6345,1),"")</f>
        <v/>
      </c>
      <c r="H2749">
        <f>IF(B2749,SQRT(-2*LN(F2749))*COS(2*PI()*G2749),"")</f>
        <v/>
      </c>
      <c r="I2749">
        <f>IF(B2749,IF(D2749=0,H2749,Rho*I2748+SQRT(1-Rho^2)*H2749),"")</f>
        <v/>
      </c>
      <c r="J2749">
        <f>IF(B2749,IF(Dist="Normal",DistA+DistB*I2749,DistA+(DistB-DistA)*NORMSDIST(I2749)),"")</f>
        <v/>
      </c>
      <c r="K2749">
        <f>IF(B2749,INDEX(MineScale,C2749),"")</f>
        <v/>
      </c>
      <c r="L2749">
        <f>IF(B2749,INDEX(Dow,1,WEEKDAY(E2749,2)),"")</f>
        <v/>
      </c>
      <c r="M2749">
        <f>IF(B2749,(1+Trend)^D2749,"")</f>
        <v/>
      </c>
      <c r="N2749">
        <f>IF(B2749,EXP(SUMPRODUCT(LN(1+(EvEff-1)*INDEX(Affected,0,C2749)*EXP(-((E2749-EvCenter)^2)/(2*EvSigma^2))))),"")</f>
        <v/>
      </c>
      <c r="O2749">
        <f>IF(B2749,ROUND(MAX(0,J2749*K2749*L2749*M2749*N2749),2),"")</f>
        <v/>
      </c>
    </row>
    <row r="2750">
      <c r="A2750" t="n">
        <v>2749</v>
      </c>
      <c r="B2750">
        <f>A2750&lt;=MineCount*Days</f>
        <v/>
      </c>
      <c r="C2750">
        <f>IF(B2750,INT((A2750-1)/Days)+1,"")</f>
        <v/>
      </c>
      <c r="D2750">
        <f>IF(B2750,MOD(A2750-1,Days),"")</f>
        <v/>
      </c>
      <c r="E2750" s="16">
        <f>IF(B2750,StartDate+D2750,"")</f>
        <v/>
      </c>
      <c r="F2750">
        <f>IF(B2750,MAX(MOD(SIN(Seed*0.1373+C2750*12.9898+D2750*78.233)*43758.5453,1),1E-9),"")</f>
        <v/>
      </c>
      <c r="G2750">
        <f>IF(B2750,MOD(SIN(Seed*0.5917+C2750*39.3468+D2750*11.135)*24634.6345,1),"")</f>
        <v/>
      </c>
      <c r="H2750">
        <f>IF(B2750,SQRT(-2*LN(F2750))*COS(2*PI()*G2750),"")</f>
        <v/>
      </c>
      <c r="I2750">
        <f>IF(B2750,IF(D2750=0,H2750,Rho*I2749+SQRT(1-Rho^2)*H2750),"")</f>
        <v/>
      </c>
      <c r="J2750">
        <f>IF(B2750,IF(Dist="Normal",DistA+DistB*I2750,DistA+(DistB-DistA)*NORMSDIST(I2750)),"")</f>
        <v/>
      </c>
      <c r="K2750">
        <f>IF(B2750,INDEX(MineScale,C2750),"")</f>
        <v/>
      </c>
      <c r="L2750">
        <f>IF(B2750,INDEX(Dow,1,WEEKDAY(E2750,2)),"")</f>
        <v/>
      </c>
      <c r="M2750">
        <f>IF(B2750,(1+Trend)^D2750,"")</f>
        <v/>
      </c>
      <c r="N2750">
        <f>IF(B2750,EXP(SUMPRODUCT(LN(1+(EvEff-1)*INDEX(Affected,0,C2750)*EXP(-((E2750-EvCenter)^2)/(2*EvSigma^2))))),"")</f>
        <v/>
      </c>
      <c r="O2750">
        <f>IF(B2750,ROUND(MAX(0,J2750*K2750*L2750*M2750*N2750),2),"")</f>
        <v/>
      </c>
    </row>
    <row r="2751">
      <c r="A2751" t="n">
        <v>2750</v>
      </c>
      <c r="B2751">
        <f>A2751&lt;=MineCount*Days</f>
        <v/>
      </c>
      <c r="C2751">
        <f>IF(B2751,INT((A2751-1)/Days)+1,"")</f>
        <v/>
      </c>
      <c r="D2751">
        <f>IF(B2751,MOD(A2751-1,Days),"")</f>
        <v/>
      </c>
      <c r="E2751" s="16">
        <f>IF(B2751,StartDate+D2751,"")</f>
        <v/>
      </c>
      <c r="F2751">
        <f>IF(B2751,MAX(MOD(SIN(Seed*0.1373+C2751*12.9898+D2751*78.233)*43758.5453,1),1E-9),"")</f>
        <v/>
      </c>
      <c r="G2751">
        <f>IF(B2751,MOD(SIN(Seed*0.5917+C2751*39.3468+D2751*11.135)*24634.6345,1),"")</f>
        <v/>
      </c>
      <c r="H2751">
        <f>IF(B2751,SQRT(-2*LN(F2751))*COS(2*PI()*G2751),"")</f>
        <v/>
      </c>
      <c r="I2751">
        <f>IF(B2751,IF(D2751=0,H2751,Rho*I2750+SQRT(1-Rho^2)*H2751),"")</f>
        <v/>
      </c>
      <c r="J2751">
        <f>IF(B2751,IF(Dist="Normal",DistA+DistB*I2751,DistA+(DistB-DistA)*NORMSDIST(I2751)),"")</f>
        <v/>
      </c>
      <c r="K2751">
        <f>IF(B2751,INDEX(MineScale,C2751),"")</f>
        <v/>
      </c>
      <c r="L2751">
        <f>IF(B2751,INDEX(Dow,1,WEEKDAY(E2751,2)),"")</f>
        <v/>
      </c>
      <c r="M2751">
        <f>IF(B2751,(1+Trend)^D2751,"")</f>
        <v/>
      </c>
      <c r="N2751">
        <f>IF(B2751,EXP(SUMPRODUCT(LN(1+(EvEff-1)*INDEX(Affected,0,C2751)*EXP(-((E2751-EvCenter)^2)/(2*EvSigma^2))))),"")</f>
        <v/>
      </c>
      <c r="O2751">
        <f>IF(B2751,ROUND(MAX(0,J2751*K2751*L2751*M2751*N2751),2),"")</f>
        <v/>
      </c>
    </row>
    <row r="2752">
      <c r="A2752" t="n">
        <v>2751</v>
      </c>
      <c r="B2752">
        <f>A2752&lt;=MineCount*Days</f>
        <v/>
      </c>
      <c r="C2752">
        <f>IF(B2752,INT((A2752-1)/Days)+1,"")</f>
        <v/>
      </c>
      <c r="D2752">
        <f>IF(B2752,MOD(A2752-1,Days),"")</f>
        <v/>
      </c>
      <c r="E2752" s="16">
        <f>IF(B2752,StartDate+D2752,"")</f>
        <v/>
      </c>
      <c r="F2752">
        <f>IF(B2752,MAX(MOD(SIN(Seed*0.1373+C2752*12.9898+D2752*78.233)*43758.5453,1),1E-9),"")</f>
        <v/>
      </c>
      <c r="G2752">
        <f>IF(B2752,MOD(SIN(Seed*0.5917+C2752*39.3468+D2752*11.135)*24634.6345,1),"")</f>
        <v/>
      </c>
      <c r="H2752">
        <f>IF(B2752,SQRT(-2*LN(F2752))*COS(2*PI()*G2752),"")</f>
        <v/>
      </c>
      <c r="I2752">
        <f>IF(B2752,IF(D2752=0,H2752,Rho*I2751+SQRT(1-Rho^2)*H2752),"")</f>
        <v/>
      </c>
      <c r="J2752">
        <f>IF(B2752,IF(Dist="Normal",DistA+DistB*I2752,DistA+(DistB-DistA)*NORMSDIST(I2752)),"")</f>
        <v/>
      </c>
      <c r="K2752">
        <f>IF(B2752,INDEX(MineScale,C2752),"")</f>
        <v/>
      </c>
      <c r="L2752">
        <f>IF(B2752,INDEX(Dow,1,WEEKDAY(E2752,2)),"")</f>
        <v/>
      </c>
      <c r="M2752">
        <f>IF(B2752,(1+Trend)^D2752,"")</f>
        <v/>
      </c>
      <c r="N2752">
        <f>IF(B2752,EXP(SUMPRODUCT(LN(1+(EvEff-1)*INDEX(Affected,0,C2752)*EXP(-((E2752-EvCenter)^2)/(2*EvSigma^2))))),"")</f>
        <v/>
      </c>
      <c r="O2752">
        <f>IF(B2752,ROUND(MAX(0,J2752*K2752*L2752*M2752*N2752),2),"")</f>
        <v/>
      </c>
    </row>
    <row r="2753">
      <c r="A2753" t="n">
        <v>2752</v>
      </c>
      <c r="B2753">
        <f>A2753&lt;=MineCount*Days</f>
        <v/>
      </c>
      <c r="C2753">
        <f>IF(B2753,INT((A2753-1)/Days)+1,"")</f>
        <v/>
      </c>
      <c r="D2753">
        <f>IF(B2753,MOD(A2753-1,Days),"")</f>
        <v/>
      </c>
      <c r="E2753" s="16">
        <f>IF(B2753,StartDate+D2753,"")</f>
        <v/>
      </c>
      <c r="F2753">
        <f>IF(B2753,MAX(MOD(SIN(Seed*0.1373+C2753*12.9898+D2753*78.233)*43758.5453,1),1E-9),"")</f>
        <v/>
      </c>
      <c r="G2753">
        <f>IF(B2753,MOD(SIN(Seed*0.5917+C2753*39.3468+D2753*11.135)*24634.6345,1),"")</f>
        <v/>
      </c>
      <c r="H2753">
        <f>IF(B2753,SQRT(-2*LN(F2753))*COS(2*PI()*G2753),"")</f>
        <v/>
      </c>
      <c r="I2753">
        <f>IF(B2753,IF(D2753=0,H2753,Rho*I2752+SQRT(1-Rho^2)*H2753),"")</f>
        <v/>
      </c>
      <c r="J2753">
        <f>IF(B2753,IF(Dist="Normal",DistA+DistB*I2753,DistA+(DistB-DistA)*NORMSDIST(I2753)),"")</f>
        <v/>
      </c>
      <c r="K2753">
        <f>IF(B2753,INDEX(MineScale,C2753),"")</f>
        <v/>
      </c>
      <c r="L2753">
        <f>IF(B2753,INDEX(Dow,1,WEEKDAY(E2753,2)),"")</f>
        <v/>
      </c>
      <c r="M2753">
        <f>IF(B2753,(1+Trend)^D2753,"")</f>
        <v/>
      </c>
      <c r="N2753">
        <f>IF(B2753,EXP(SUMPRODUCT(LN(1+(EvEff-1)*INDEX(Affected,0,C2753)*EXP(-((E2753-EvCenter)^2)/(2*EvSigma^2))))),"")</f>
        <v/>
      </c>
      <c r="O2753">
        <f>IF(B2753,ROUND(MAX(0,J2753*K2753*L2753*M2753*N2753),2),"")</f>
        <v/>
      </c>
    </row>
    <row r="2754">
      <c r="A2754" t="n">
        <v>2753</v>
      </c>
      <c r="B2754">
        <f>A2754&lt;=MineCount*Days</f>
        <v/>
      </c>
      <c r="C2754">
        <f>IF(B2754,INT((A2754-1)/Days)+1,"")</f>
        <v/>
      </c>
      <c r="D2754">
        <f>IF(B2754,MOD(A2754-1,Days),"")</f>
        <v/>
      </c>
      <c r="E2754" s="16">
        <f>IF(B2754,StartDate+D2754,"")</f>
        <v/>
      </c>
      <c r="F2754">
        <f>IF(B2754,MAX(MOD(SIN(Seed*0.1373+C2754*12.9898+D2754*78.233)*43758.5453,1),1E-9),"")</f>
        <v/>
      </c>
      <c r="G2754">
        <f>IF(B2754,MOD(SIN(Seed*0.5917+C2754*39.3468+D2754*11.135)*24634.6345,1),"")</f>
        <v/>
      </c>
      <c r="H2754">
        <f>IF(B2754,SQRT(-2*LN(F2754))*COS(2*PI()*G2754),"")</f>
        <v/>
      </c>
      <c r="I2754">
        <f>IF(B2754,IF(D2754=0,H2754,Rho*I2753+SQRT(1-Rho^2)*H2754),"")</f>
        <v/>
      </c>
      <c r="J2754">
        <f>IF(B2754,IF(Dist="Normal",DistA+DistB*I2754,DistA+(DistB-DistA)*NORMSDIST(I2754)),"")</f>
        <v/>
      </c>
      <c r="K2754">
        <f>IF(B2754,INDEX(MineScale,C2754),"")</f>
        <v/>
      </c>
      <c r="L2754">
        <f>IF(B2754,INDEX(Dow,1,WEEKDAY(E2754,2)),"")</f>
        <v/>
      </c>
      <c r="M2754">
        <f>IF(B2754,(1+Trend)^D2754,"")</f>
        <v/>
      </c>
      <c r="N2754">
        <f>IF(B2754,EXP(SUMPRODUCT(LN(1+(EvEff-1)*INDEX(Affected,0,C2754)*EXP(-((E2754-EvCenter)^2)/(2*EvSigma^2))))),"")</f>
        <v/>
      </c>
      <c r="O2754">
        <f>IF(B2754,ROUND(MAX(0,J2754*K2754*L2754*M2754*N2754),2),"")</f>
        <v/>
      </c>
    </row>
    <row r="2755">
      <c r="A2755" t="n">
        <v>2754</v>
      </c>
      <c r="B2755">
        <f>A2755&lt;=MineCount*Days</f>
        <v/>
      </c>
      <c r="C2755">
        <f>IF(B2755,INT((A2755-1)/Days)+1,"")</f>
        <v/>
      </c>
      <c r="D2755">
        <f>IF(B2755,MOD(A2755-1,Days),"")</f>
        <v/>
      </c>
      <c r="E2755" s="16">
        <f>IF(B2755,StartDate+D2755,"")</f>
        <v/>
      </c>
      <c r="F2755">
        <f>IF(B2755,MAX(MOD(SIN(Seed*0.1373+C2755*12.9898+D2755*78.233)*43758.5453,1),1E-9),"")</f>
        <v/>
      </c>
      <c r="G2755">
        <f>IF(B2755,MOD(SIN(Seed*0.5917+C2755*39.3468+D2755*11.135)*24634.6345,1),"")</f>
        <v/>
      </c>
      <c r="H2755">
        <f>IF(B2755,SQRT(-2*LN(F2755))*COS(2*PI()*G2755),"")</f>
        <v/>
      </c>
      <c r="I2755">
        <f>IF(B2755,IF(D2755=0,H2755,Rho*I2754+SQRT(1-Rho^2)*H2755),"")</f>
        <v/>
      </c>
      <c r="J2755">
        <f>IF(B2755,IF(Dist="Normal",DistA+DistB*I2755,DistA+(DistB-DistA)*NORMSDIST(I2755)),"")</f>
        <v/>
      </c>
      <c r="K2755">
        <f>IF(B2755,INDEX(MineScale,C2755),"")</f>
        <v/>
      </c>
      <c r="L2755">
        <f>IF(B2755,INDEX(Dow,1,WEEKDAY(E2755,2)),"")</f>
        <v/>
      </c>
      <c r="M2755">
        <f>IF(B2755,(1+Trend)^D2755,"")</f>
        <v/>
      </c>
      <c r="N2755">
        <f>IF(B2755,EXP(SUMPRODUCT(LN(1+(EvEff-1)*INDEX(Affected,0,C2755)*EXP(-((E2755-EvCenter)^2)/(2*EvSigma^2))))),"")</f>
        <v/>
      </c>
      <c r="O2755">
        <f>IF(B2755,ROUND(MAX(0,J2755*K2755*L2755*M2755*N2755),2),"")</f>
        <v/>
      </c>
    </row>
    <row r="2756">
      <c r="A2756" t="n">
        <v>2755</v>
      </c>
      <c r="B2756">
        <f>A2756&lt;=MineCount*Days</f>
        <v/>
      </c>
      <c r="C2756">
        <f>IF(B2756,INT((A2756-1)/Days)+1,"")</f>
        <v/>
      </c>
      <c r="D2756">
        <f>IF(B2756,MOD(A2756-1,Days),"")</f>
        <v/>
      </c>
      <c r="E2756" s="16">
        <f>IF(B2756,StartDate+D2756,"")</f>
        <v/>
      </c>
      <c r="F2756">
        <f>IF(B2756,MAX(MOD(SIN(Seed*0.1373+C2756*12.9898+D2756*78.233)*43758.5453,1),1E-9),"")</f>
        <v/>
      </c>
      <c r="G2756">
        <f>IF(B2756,MOD(SIN(Seed*0.5917+C2756*39.3468+D2756*11.135)*24634.6345,1),"")</f>
        <v/>
      </c>
      <c r="H2756">
        <f>IF(B2756,SQRT(-2*LN(F2756))*COS(2*PI()*G2756),"")</f>
        <v/>
      </c>
      <c r="I2756">
        <f>IF(B2756,IF(D2756=0,H2756,Rho*I2755+SQRT(1-Rho^2)*H2756),"")</f>
        <v/>
      </c>
      <c r="J2756">
        <f>IF(B2756,IF(Dist="Normal",DistA+DistB*I2756,DistA+(DistB-DistA)*NORMSDIST(I2756)),"")</f>
        <v/>
      </c>
      <c r="K2756">
        <f>IF(B2756,INDEX(MineScale,C2756),"")</f>
        <v/>
      </c>
      <c r="L2756">
        <f>IF(B2756,INDEX(Dow,1,WEEKDAY(E2756,2)),"")</f>
        <v/>
      </c>
      <c r="M2756">
        <f>IF(B2756,(1+Trend)^D2756,"")</f>
        <v/>
      </c>
      <c r="N2756">
        <f>IF(B2756,EXP(SUMPRODUCT(LN(1+(EvEff-1)*INDEX(Affected,0,C2756)*EXP(-((E2756-EvCenter)^2)/(2*EvSigma^2))))),"")</f>
        <v/>
      </c>
      <c r="O2756">
        <f>IF(B2756,ROUND(MAX(0,J2756*K2756*L2756*M2756*N2756),2),"")</f>
        <v/>
      </c>
    </row>
    <row r="2757">
      <c r="A2757" t="n">
        <v>2756</v>
      </c>
      <c r="B2757">
        <f>A2757&lt;=MineCount*Days</f>
        <v/>
      </c>
      <c r="C2757">
        <f>IF(B2757,INT((A2757-1)/Days)+1,"")</f>
        <v/>
      </c>
      <c r="D2757">
        <f>IF(B2757,MOD(A2757-1,Days),"")</f>
        <v/>
      </c>
      <c r="E2757" s="16">
        <f>IF(B2757,StartDate+D2757,"")</f>
        <v/>
      </c>
      <c r="F2757">
        <f>IF(B2757,MAX(MOD(SIN(Seed*0.1373+C2757*12.9898+D2757*78.233)*43758.5453,1),1E-9),"")</f>
        <v/>
      </c>
      <c r="G2757">
        <f>IF(B2757,MOD(SIN(Seed*0.5917+C2757*39.3468+D2757*11.135)*24634.6345,1),"")</f>
        <v/>
      </c>
      <c r="H2757">
        <f>IF(B2757,SQRT(-2*LN(F2757))*COS(2*PI()*G2757),"")</f>
        <v/>
      </c>
      <c r="I2757">
        <f>IF(B2757,IF(D2757=0,H2757,Rho*I2756+SQRT(1-Rho^2)*H2757),"")</f>
        <v/>
      </c>
      <c r="J2757">
        <f>IF(B2757,IF(Dist="Normal",DistA+DistB*I2757,DistA+(DistB-DistA)*NORMSDIST(I2757)),"")</f>
        <v/>
      </c>
      <c r="K2757">
        <f>IF(B2757,INDEX(MineScale,C2757),"")</f>
        <v/>
      </c>
      <c r="L2757">
        <f>IF(B2757,INDEX(Dow,1,WEEKDAY(E2757,2)),"")</f>
        <v/>
      </c>
      <c r="M2757">
        <f>IF(B2757,(1+Trend)^D2757,"")</f>
        <v/>
      </c>
      <c r="N2757">
        <f>IF(B2757,EXP(SUMPRODUCT(LN(1+(EvEff-1)*INDEX(Affected,0,C2757)*EXP(-((E2757-EvCenter)^2)/(2*EvSigma^2))))),"")</f>
        <v/>
      </c>
      <c r="O2757">
        <f>IF(B2757,ROUND(MAX(0,J2757*K2757*L2757*M2757*N2757),2),"")</f>
        <v/>
      </c>
    </row>
    <row r="2758">
      <c r="A2758" t="n">
        <v>2757</v>
      </c>
      <c r="B2758">
        <f>A2758&lt;=MineCount*Days</f>
        <v/>
      </c>
      <c r="C2758">
        <f>IF(B2758,INT((A2758-1)/Days)+1,"")</f>
        <v/>
      </c>
      <c r="D2758">
        <f>IF(B2758,MOD(A2758-1,Days),"")</f>
        <v/>
      </c>
      <c r="E2758" s="16">
        <f>IF(B2758,StartDate+D2758,"")</f>
        <v/>
      </c>
      <c r="F2758">
        <f>IF(B2758,MAX(MOD(SIN(Seed*0.1373+C2758*12.9898+D2758*78.233)*43758.5453,1),1E-9),"")</f>
        <v/>
      </c>
      <c r="G2758">
        <f>IF(B2758,MOD(SIN(Seed*0.5917+C2758*39.3468+D2758*11.135)*24634.6345,1),"")</f>
        <v/>
      </c>
      <c r="H2758">
        <f>IF(B2758,SQRT(-2*LN(F2758))*COS(2*PI()*G2758),"")</f>
        <v/>
      </c>
      <c r="I2758">
        <f>IF(B2758,IF(D2758=0,H2758,Rho*I2757+SQRT(1-Rho^2)*H2758),"")</f>
        <v/>
      </c>
      <c r="J2758">
        <f>IF(B2758,IF(Dist="Normal",DistA+DistB*I2758,DistA+(DistB-DistA)*NORMSDIST(I2758)),"")</f>
        <v/>
      </c>
      <c r="K2758">
        <f>IF(B2758,INDEX(MineScale,C2758),"")</f>
        <v/>
      </c>
      <c r="L2758">
        <f>IF(B2758,INDEX(Dow,1,WEEKDAY(E2758,2)),"")</f>
        <v/>
      </c>
      <c r="M2758">
        <f>IF(B2758,(1+Trend)^D2758,"")</f>
        <v/>
      </c>
      <c r="N2758">
        <f>IF(B2758,EXP(SUMPRODUCT(LN(1+(EvEff-1)*INDEX(Affected,0,C2758)*EXP(-((E2758-EvCenter)^2)/(2*EvSigma^2))))),"")</f>
        <v/>
      </c>
      <c r="O2758">
        <f>IF(B2758,ROUND(MAX(0,J2758*K2758*L2758*M2758*N2758),2),"")</f>
        <v/>
      </c>
    </row>
    <row r="2759">
      <c r="A2759" t="n">
        <v>2758</v>
      </c>
      <c r="B2759">
        <f>A2759&lt;=MineCount*Days</f>
        <v/>
      </c>
      <c r="C2759">
        <f>IF(B2759,INT((A2759-1)/Days)+1,"")</f>
        <v/>
      </c>
      <c r="D2759">
        <f>IF(B2759,MOD(A2759-1,Days),"")</f>
        <v/>
      </c>
      <c r="E2759" s="16">
        <f>IF(B2759,StartDate+D2759,"")</f>
        <v/>
      </c>
      <c r="F2759">
        <f>IF(B2759,MAX(MOD(SIN(Seed*0.1373+C2759*12.9898+D2759*78.233)*43758.5453,1),1E-9),"")</f>
        <v/>
      </c>
      <c r="G2759">
        <f>IF(B2759,MOD(SIN(Seed*0.5917+C2759*39.3468+D2759*11.135)*24634.6345,1),"")</f>
        <v/>
      </c>
      <c r="H2759">
        <f>IF(B2759,SQRT(-2*LN(F2759))*COS(2*PI()*G2759),"")</f>
        <v/>
      </c>
      <c r="I2759">
        <f>IF(B2759,IF(D2759=0,H2759,Rho*I2758+SQRT(1-Rho^2)*H2759),"")</f>
        <v/>
      </c>
      <c r="J2759">
        <f>IF(B2759,IF(Dist="Normal",DistA+DistB*I2759,DistA+(DistB-DistA)*NORMSDIST(I2759)),"")</f>
        <v/>
      </c>
      <c r="K2759">
        <f>IF(B2759,INDEX(MineScale,C2759),"")</f>
        <v/>
      </c>
      <c r="L2759">
        <f>IF(B2759,INDEX(Dow,1,WEEKDAY(E2759,2)),"")</f>
        <v/>
      </c>
      <c r="M2759">
        <f>IF(B2759,(1+Trend)^D2759,"")</f>
        <v/>
      </c>
      <c r="N2759">
        <f>IF(B2759,EXP(SUMPRODUCT(LN(1+(EvEff-1)*INDEX(Affected,0,C2759)*EXP(-((E2759-EvCenter)^2)/(2*EvSigma^2))))),"")</f>
        <v/>
      </c>
      <c r="O2759">
        <f>IF(B2759,ROUND(MAX(0,J2759*K2759*L2759*M2759*N2759),2),"")</f>
        <v/>
      </c>
    </row>
    <row r="2760">
      <c r="A2760" t="n">
        <v>2759</v>
      </c>
      <c r="B2760">
        <f>A2760&lt;=MineCount*Days</f>
        <v/>
      </c>
      <c r="C2760">
        <f>IF(B2760,INT((A2760-1)/Days)+1,"")</f>
        <v/>
      </c>
      <c r="D2760">
        <f>IF(B2760,MOD(A2760-1,Days),"")</f>
        <v/>
      </c>
      <c r="E2760" s="16">
        <f>IF(B2760,StartDate+D2760,"")</f>
        <v/>
      </c>
      <c r="F2760">
        <f>IF(B2760,MAX(MOD(SIN(Seed*0.1373+C2760*12.9898+D2760*78.233)*43758.5453,1),1E-9),"")</f>
        <v/>
      </c>
      <c r="G2760">
        <f>IF(B2760,MOD(SIN(Seed*0.5917+C2760*39.3468+D2760*11.135)*24634.6345,1),"")</f>
        <v/>
      </c>
      <c r="H2760">
        <f>IF(B2760,SQRT(-2*LN(F2760))*COS(2*PI()*G2760),"")</f>
        <v/>
      </c>
      <c r="I2760">
        <f>IF(B2760,IF(D2760=0,H2760,Rho*I2759+SQRT(1-Rho^2)*H2760),"")</f>
        <v/>
      </c>
      <c r="J2760">
        <f>IF(B2760,IF(Dist="Normal",DistA+DistB*I2760,DistA+(DistB-DistA)*NORMSDIST(I2760)),"")</f>
        <v/>
      </c>
      <c r="K2760">
        <f>IF(B2760,INDEX(MineScale,C2760),"")</f>
        <v/>
      </c>
      <c r="L2760">
        <f>IF(B2760,INDEX(Dow,1,WEEKDAY(E2760,2)),"")</f>
        <v/>
      </c>
      <c r="M2760">
        <f>IF(B2760,(1+Trend)^D2760,"")</f>
        <v/>
      </c>
      <c r="N2760">
        <f>IF(B2760,EXP(SUMPRODUCT(LN(1+(EvEff-1)*INDEX(Affected,0,C2760)*EXP(-((E2760-EvCenter)^2)/(2*EvSigma^2))))),"")</f>
        <v/>
      </c>
      <c r="O2760">
        <f>IF(B2760,ROUND(MAX(0,J2760*K2760*L2760*M2760*N2760),2),"")</f>
        <v/>
      </c>
    </row>
    <row r="2761">
      <c r="A2761" t="n">
        <v>2760</v>
      </c>
      <c r="B2761">
        <f>A2761&lt;=MineCount*Days</f>
        <v/>
      </c>
      <c r="C2761">
        <f>IF(B2761,INT((A2761-1)/Days)+1,"")</f>
        <v/>
      </c>
      <c r="D2761">
        <f>IF(B2761,MOD(A2761-1,Days),"")</f>
        <v/>
      </c>
      <c r="E2761" s="16">
        <f>IF(B2761,StartDate+D2761,"")</f>
        <v/>
      </c>
      <c r="F2761">
        <f>IF(B2761,MAX(MOD(SIN(Seed*0.1373+C2761*12.9898+D2761*78.233)*43758.5453,1),1E-9),"")</f>
        <v/>
      </c>
      <c r="G2761">
        <f>IF(B2761,MOD(SIN(Seed*0.5917+C2761*39.3468+D2761*11.135)*24634.6345,1),"")</f>
        <v/>
      </c>
      <c r="H2761">
        <f>IF(B2761,SQRT(-2*LN(F2761))*COS(2*PI()*G2761),"")</f>
        <v/>
      </c>
      <c r="I2761">
        <f>IF(B2761,IF(D2761=0,H2761,Rho*I2760+SQRT(1-Rho^2)*H2761),"")</f>
        <v/>
      </c>
      <c r="J2761">
        <f>IF(B2761,IF(Dist="Normal",DistA+DistB*I2761,DistA+(DistB-DistA)*NORMSDIST(I2761)),"")</f>
        <v/>
      </c>
      <c r="K2761">
        <f>IF(B2761,INDEX(MineScale,C2761),"")</f>
        <v/>
      </c>
      <c r="L2761">
        <f>IF(B2761,INDEX(Dow,1,WEEKDAY(E2761,2)),"")</f>
        <v/>
      </c>
      <c r="M2761">
        <f>IF(B2761,(1+Trend)^D2761,"")</f>
        <v/>
      </c>
      <c r="N2761">
        <f>IF(B2761,EXP(SUMPRODUCT(LN(1+(EvEff-1)*INDEX(Affected,0,C2761)*EXP(-((E2761-EvCenter)^2)/(2*EvSigma^2))))),"")</f>
        <v/>
      </c>
      <c r="O2761">
        <f>IF(B2761,ROUND(MAX(0,J2761*K2761*L2761*M2761*N2761),2),"")</f>
        <v/>
      </c>
    </row>
    <row r="2762">
      <c r="A2762" t="n">
        <v>2761</v>
      </c>
      <c r="B2762">
        <f>A2762&lt;=MineCount*Days</f>
        <v/>
      </c>
      <c r="C2762">
        <f>IF(B2762,INT((A2762-1)/Days)+1,"")</f>
        <v/>
      </c>
      <c r="D2762">
        <f>IF(B2762,MOD(A2762-1,Days),"")</f>
        <v/>
      </c>
      <c r="E2762" s="16">
        <f>IF(B2762,StartDate+D2762,"")</f>
        <v/>
      </c>
      <c r="F2762">
        <f>IF(B2762,MAX(MOD(SIN(Seed*0.1373+C2762*12.9898+D2762*78.233)*43758.5453,1),1E-9),"")</f>
        <v/>
      </c>
      <c r="G2762">
        <f>IF(B2762,MOD(SIN(Seed*0.5917+C2762*39.3468+D2762*11.135)*24634.6345,1),"")</f>
        <v/>
      </c>
      <c r="H2762">
        <f>IF(B2762,SQRT(-2*LN(F2762))*COS(2*PI()*G2762),"")</f>
        <v/>
      </c>
      <c r="I2762">
        <f>IF(B2762,IF(D2762=0,H2762,Rho*I2761+SQRT(1-Rho^2)*H2762),"")</f>
        <v/>
      </c>
      <c r="J2762">
        <f>IF(B2762,IF(Dist="Normal",DistA+DistB*I2762,DistA+(DistB-DistA)*NORMSDIST(I2762)),"")</f>
        <v/>
      </c>
      <c r="K2762">
        <f>IF(B2762,INDEX(MineScale,C2762),"")</f>
        <v/>
      </c>
      <c r="L2762">
        <f>IF(B2762,INDEX(Dow,1,WEEKDAY(E2762,2)),"")</f>
        <v/>
      </c>
      <c r="M2762">
        <f>IF(B2762,(1+Trend)^D2762,"")</f>
        <v/>
      </c>
      <c r="N2762">
        <f>IF(B2762,EXP(SUMPRODUCT(LN(1+(EvEff-1)*INDEX(Affected,0,C2762)*EXP(-((E2762-EvCenter)^2)/(2*EvSigma^2))))),"")</f>
        <v/>
      </c>
      <c r="O2762">
        <f>IF(B2762,ROUND(MAX(0,J2762*K2762*L2762*M2762*N2762),2),"")</f>
        <v/>
      </c>
    </row>
    <row r="2763">
      <c r="A2763" t="n">
        <v>2762</v>
      </c>
      <c r="B2763">
        <f>A2763&lt;=MineCount*Days</f>
        <v/>
      </c>
      <c r="C2763">
        <f>IF(B2763,INT((A2763-1)/Days)+1,"")</f>
        <v/>
      </c>
      <c r="D2763">
        <f>IF(B2763,MOD(A2763-1,Days),"")</f>
        <v/>
      </c>
      <c r="E2763" s="16">
        <f>IF(B2763,StartDate+D2763,"")</f>
        <v/>
      </c>
      <c r="F2763">
        <f>IF(B2763,MAX(MOD(SIN(Seed*0.1373+C2763*12.9898+D2763*78.233)*43758.5453,1),1E-9),"")</f>
        <v/>
      </c>
      <c r="G2763">
        <f>IF(B2763,MOD(SIN(Seed*0.5917+C2763*39.3468+D2763*11.135)*24634.6345,1),"")</f>
        <v/>
      </c>
      <c r="H2763">
        <f>IF(B2763,SQRT(-2*LN(F2763))*COS(2*PI()*G2763),"")</f>
        <v/>
      </c>
      <c r="I2763">
        <f>IF(B2763,IF(D2763=0,H2763,Rho*I2762+SQRT(1-Rho^2)*H2763),"")</f>
        <v/>
      </c>
      <c r="J2763">
        <f>IF(B2763,IF(Dist="Normal",DistA+DistB*I2763,DistA+(DistB-DistA)*NORMSDIST(I2763)),"")</f>
        <v/>
      </c>
      <c r="K2763">
        <f>IF(B2763,INDEX(MineScale,C2763),"")</f>
        <v/>
      </c>
      <c r="L2763">
        <f>IF(B2763,INDEX(Dow,1,WEEKDAY(E2763,2)),"")</f>
        <v/>
      </c>
      <c r="M2763">
        <f>IF(B2763,(1+Trend)^D2763,"")</f>
        <v/>
      </c>
      <c r="N2763">
        <f>IF(B2763,EXP(SUMPRODUCT(LN(1+(EvEff-1)*INDEX(Affected,0,C2763)*EXP(-((E2763-EvCenter)^2)/(2*EvSigma^2))))),"")</f>
        <v/>
      </c>
      <c r="O2763">
        <f>IF(B2763,ROUND(MAX(0,J2763*K2763*L2763*M2763*N2763),2),"")</f>
        <v/>
      </c>
    </row>
    <row r="2764">
      <c r="A2764" t="n">
        <v>2763</v>
      </c>
      <c r="B2764">
        <f>A2764&lt;=MineCount*Days</f>
        <v/>
      </c>
      <c r="C2764">
        <f>IF(B2764,INT((A2764-1)/Days)+1,"")</f>
        <v/>
      </c>
      <c r="D2764">
        <f>IF(B2764,MOD(A2764-1,Days),"")</f>
        <v/>
      </c>
      <c r="E2764" s="16">
        <f>IF(B2764,StartDate+D2764,"")</f>
        <v/>
      </c>
      <c r="F2764">
        <f>IF(B2764,MAX(MOD(SIN(Seed*0.1373+C2764*12.9898+D2764*78.233)*43758.5453,1),1E-9),"")</f>
        <v/>
      </c>
      <c r="G2764">
        <f>IF(B2764,MOD(SIN(Seed*0.5917+C2764*39.3468+D2764*11.135)*24634.6345,1),"")</f>
        <v/>
      </c>
      <c r="H2764">
        <f>IF(B2764,SQRT(-2*LN(F2764))*COS(2*PI()*G2764),"")</f>
        <v/>
      </c>
      <c r="I2764">
        <f>IF(B2764,IF(D2764=0,H2764,Rho*I2763+SQRT(1-Rho^2)*H2764),"")</f>
        <v/>
      </c>
      <c r="J2764">
        <f>IF(B2764,IF(Dist="Normal",DistA+DistB*I2764,DistA+(DistB-DistA)*NORMSDIST(I2764)),"")</f>
        <v/>
      </c>
      <c r="K2764">
        <f>IF(B2764,INDEX(MineScale,C2764),"")</f>
        <v/>
      </c>
      <c r="L2764">
        <f>IF(B2764,INDEX(Dow,1,WEEKDAY(E2764,2)),"")</f>
        <v/>
      </c>
      <c r="M2764">
        <f>IF(B2764,(1+Trend)^D2764,"")</f>
        <v/>
      </c>
      <c r="N2764">
        <f>IF(B2764,EXP(SUMPRODUCT(LN(1+(EvEff-1)*INDEX(Affected,0,C2764)*EXP(-((E2764-EvCenter)^2)/(2*EvSigma^2))))),"")</f>
        <v/>
      </c>
      <c r="O2764">
        <f>IF(B2764,ROUND(MAX(0,J2764*K2764*L2764*M2764*N2764),2),"")</f>
        <v/>
      </c>
    </row>
    <row r="2765">
      <c r="A2765" t="n">
        <v>2764</v>
      </c>
      <c r="B2765">
        <f>A2765&lt;=MineCount*Days</f>
        <v/>
      </c>
      <c r="C2765">
        <f>IF(B2765,INT((A2765-1)/Days)+1,"")</f>
        <v/>
      </c>
      <c r="D2765">
        <f>IF(B2765,MOD(A2765-1,Days),"")</f>
        <v/>
      </c>
      <c r="E2765" s="16">
        <f>IF(B2765,StartDate+D2765,"")</f>
        <v/>
      </c>
      <c r="F2765">
        <f>IF(B2765,MAX(MOD(SIN(Seed*0.1373+C2765*12.9898+D2765*78.233)*43758.5453,1),1E-9),"")</f>
        <v/>
      </c>
      <c r="G2765">
        <f>IF(B2765,MOD(SIN(Seed*0.5917+C2765*39.3468+D2765*11.135)*24634.6345,1),"")</f>
        <v/>
      </c>
      <c r="H2765">
        <f>IF(B2765,SQRT(-2*LN(F2765))*COS(2*PI()*G2765),"")</f>
        <v/>
      </c>
      <c r="I2765">
        <f>IF(B2765,IF(D2765=0,H2765,Rho*I2764+SQRT(1-Rho^2)*H2765),"")</f>
        <v/>
      </c>
      <c r="J2765">
        <f>IF(B2765,IF(Dist="Normal",DistA+DistB*I2765,DistA+(DistB-DistA)*NORMSDIST(I2765)),"")</f>
        <v/>
      </c>
      <c r="K2765">
        <f>IF(B2765,INDEX(MineScale,C2765),"")</f>
        <v/>
      </c>
      <c r="L2765">
        <f>IF(B2765,INDEX(Dow,1,WEEKDAY(E2765,2)),"")</f>
        <v/>
      </c>
      <c r="M2765">
        <f>IF(B2765,(1+Trend)^D2765,"")</f>
        <v/>
      </c>
      <c r="N2765">
        <f>IF(B2765,EXP(SUMPRODUCT(LN(1+(EvEff-1)*INDEX(Affected,0,C2765)*EXP(-((E2765-EvCenter)^2)/(2*EvSigma^2))))),"")</f>
        <v/>
      </c>
      <c r="O2765">
        <f>IF(B2765,ROUND(MAX(0,J2765*K2765*L2765*M2765*N2765),2),"")</f>
        <v/>
      </c>
    </row>
    <row r="2766">
      <c r="A2766" t="n">
        <v>2765</v>
      </c>
      <c r="B2766">
        <f>A2766&lt;=MineCount*Days</f>
        <v/>
      </c>
      <c r="C2766">
        <f>IF(B2766,INT((A2766-1)/Days)+1,"")</f>
        <v/>
      </c>
      <c r="D2766">
        <f>IF(B2766,MOD(A2766-1,Days),"")</f>
        <v/>
      </c>
      <c r="E2766" s="16">
        <f>IF(B2766,StartDate+D2766,"")</f>
        <v/>
      </c>
      <c r="F2766">
        <f>IF(B2766,MAX(MOD(SIN(Seed*0.1373+C2766*12.9898+D2766*78.233)*43758.5453,1),1E-9),"")</f>
        <v/>
      </c>
      <c r="G2766">
        <f>IF(B2766,MOD(SIN(Seed*0.5917+C2766*39.3468+D2766*11.135)*24634.6345,1),"")</f>
        <v/>
      </c>
      <c r="H2766">
        <f>IF(B2766,SQRT(-2*LN(F2766))*COS(2*PI()*G2766),"")</f>
        <v/>
      </c>
      <c r="I2766">
        <f>IF(B2766,IF(D2766=0,H2766,Rho*I2765+SQRT(1-Rho^2)*H2766),"")</f>
        <v/>
      </c>
      <c r="J2766">
        <f>IF(B2766,IF(Dist="Normal",DistA+DistB*I2766,DistA+(DistB-DistA)*NORMSDIST(I2766)),"")</f>
        <v/>
      </c>
      <c r="K2766">
        <f>IF(B2766,INDEX(MineScale,C2766),"")</f>
        <v/>
      </c>
      <c r="L2766">
        <f>IF(B2766,INDEX(Dow,1,WEEKDAY(E2766,2)),"")</f>
        <v/>
      </c>
      <c r="M2766">
        <f>IF(B2766,(1+Trend)^D2766,"")</f>
        <v/>
      </c>
      <c r="N2766">
        <f>IF(B2766,EXP(SUMPRODUCT(LN(1+(EvEff-1)*INDEX(Affected,0,C2766)*EXP(-((E2766-EvCenter)^2)/(2*EvSigma^2))))),"")</f>
        <v/>
      </c>
      <c r="O2766">
        <f>IF(B2766,ROUND(MAX(0,J2766*K2766*L2766*M2766*N2766),2),"")</f>
        <v/>
      </c>
    </row>
    <row r="2767">
      <c r="A2767" t="n">
        <v>2766</v>
      </c>
      <c r="B2767">
        <f>A2767&lt;=MineCount*Days</f>
        <v/>
      </c>
      <c r="C2767">
        <f>IF(B2767,INT((A2767-1)/Days)+1,"")</f>
        <v/>
      </c>
      <c r="D2767">
        <f>IF(B2767,MOD(A2767-1,Days),"")</f>
        <v/>
      </c>
      <c r="E2767" s="16">
        <f>IF(B2767,StartDate+D2767,"")</f>
        <v/>
      </c>
      <c r="F2767">
        <f>IF(B2767,MAX(MOD(SIN(Seed*0.1373+C2767*12.9898+D2767*78.233)*43758.5453,1),1E-9),"")</f>
        <v/>
      </c>
      <c r="G2767">
        <f>IF(B2767,MOD(SIN(Seed*0.5917+C2767*39.3468+D2767*11.135)*24634.6345,1),"")</f>
        <v/>
      </c>
      <c r="H2767">
        <f>IF(B2767,SQRT(-2*LN(F2767))*COS(2*PI()*G2767),"")</f>
        <v/>
      </c>
      <c r="I2767">
        <f>IF(B2767,IF(D2767=0,H2767,Rho*I2766+SQRT(1-Rho^2)*H2767),"")</f>
        <v/>
      </c>
      <c r="J2767">
        <f>IF(B2767,IF(Dist="Normal",DistA+DistB*I2767,DistA+(DistB-DistA)*NORMSDIST(I2767)),"")</f>
        <v/>
      </c>
      <c r="K2767">
        <f>IF(B2767,INDEX(MineScale,C2767),"")</f>
        <v/>
      </c>
      <c r="L2767">
        <f>IF(B2767,INDEX(Dow,1,WEEKDAY(E2767,2)),"")</f>
        <v/>
      </c>
      <c r="M2767">
        <f>IF(B2767,(1+Trend)^D2767,"")</f>
        <v/>
      </c>
      <c r="N2767">
        <f>IF(B2767,EXP(SUMPRODUCT(LN(1+(EvEff-1)*INDEX(Affected,0,C2767)*EXP(-((E2767-EvCenter)^2)/(2*EvSigma^2))))),"")</f>
        <v/>
      </c>
      <c r="O2767">
        <f>IF(B2767,ROUND(MAX(0,J2767*K2767*L2767*M2767*N2767),2),"")</f>
        <v/>
      </c>
    </row>
    <row r="2768">
      <c r="A2768" t="n">
        <v>2767</v>
      </c>
      <c r="B2768">
        <f>A2768&lt;=MineCount*Days</f>
        <v/>
      </c>
      <c r="C2768">
        <f>IF(B2768,INT((A2768-1)/Days)+1,"")</f>
        <v/>
      </c>
      <c r="D2768">
        <f>IF(B2768,MOD(A2768-1,Days),"")</f>
        <v/>
      </c>
      <c r="E2768" s="16">
        <f>IF(B2768,StartDate+D2768,"")</f>
        <v/>
      </c>
      <c r="F2768">
        <f>IF(B2768,MAX(MOD(SIN(Seed*0.1373+C2768*12.9898+D2768*78.233)*43758.5453,1),1E-9),"")</f>
        <v/>
      </c>
      <c r="G2768">
        <f>IF(B2768,MOD(SIN(Seed*0.5917+C2768*39.3468+D2768*11.135)*24634.6345,1),"")</f>
        <v/>
      </c>
      <c r="H2768">
        <f>IF(B2768,SQRT(-2*LN(F2768))*COS(2*PI()*G2768),"")</f>
        <v/>
      </c>
      <c r="I2768">
        <f>IF(B2768,IF(D2768=0,H2768,Rho*I2767+SQRT(1-Rho^2)*H2768),"")</f>
        <v/>
      </c>
      <c r="J2768">
        <f>IF(B2768,IF(Dist="Normal",DistA+DistB*I2768,DistA+(DistB-DistA)*NORMSDIST(I2768)),"")</f>
        <v/>
      </c>
      <c r="K2768">
        <f>IF(B2768,INDEX(MineScale,C2768),"")</f>
        <v/>
      </c>
      <c r="L2768">
        <f>IF(B2768,INDEX(Dow,1,WEEKDAY(E2768,2)),"")</f>
        <v/>
      </c>
      <c r="M2768">
        <f>IF(B2768,(1+Trend)^D2768,"")</f>
        <v/>
      </c>
      <c r="N2768">
        <f>IF(B2768,EXP(SUMPRODUCT(LN(1+(EvEff-1)*INDEX(Affected,0,C2768)*EXP(-((E2768-EvCenter)^2)/(2*EvSigma^2))))),"")</f>
        <v/>
      </c>
      <c r="O2768">
        <f>IF(B2768,ROUND(MAX(0,J2768*K2768*L2768*M2768*N2768),2),"")</f>
        <v/>
      </c>
    </row>
    <row r="2769">
      <c r="A2769" t="n">
        <v>2768</v>
      </c>
      <c r="B2769">
        <f>A2769&lt;=MineCount*Days</f>
        <v/>
      </c>
      <c r="C2769">
        <f>IF(B2769,INT((A2769-1)/Days)+1,"")</f>
        <v/>
      </c>
      <c r="D2769">
        <f>IF(B2769,MOD(A2769-1,Days),"")</f>
        <v/>
      </c>
      <c r="E2769" s="16">
        <f>IF(B2769,StartDate+D2769,"")</f>
        <v/>
      </c>
      <c r="F2769">
        <f>IF(B2769,MAX(MOD(SIN(Seed*0.1373+C2769*12.9898+D2769*78.233)*43758.5453,1),1E-9),"")</f>
        <v/>
      </c>
      <c r="G2769">
        <f>IF(B2769,MOD(SIN(Seed*0.5917+C2769*39.3468+D2769*11.135)*24634.6345,1),"")</f>
        <v/>
      </c>
      <c r="H2769">
        <f>IF(B2769,SQRT(-2*LN(F2769))*COS(2*PI()*G2769),"")</f>
        <v/>
      </c>
      <c r="I2769">
        <f>IF(B2769,IF(D2769=0,H2769,Rho*I2768+SQRT(1-Rho^2)*H2769),"")</f>
        <v/>
      </c>
      <c r="J2769">
        <f>IF(B2769,IF(Dist="Normal",DistA+DistB*I2769,DistA+(DistB-DistA)*NORMSDIST(I2769)),"")</f>
        <v/>
      </c>
      <c r="K2769">
        <f>IF(B2769,INDEX(MineScale,C2769),"")</f>
        <v/>
      </c>
      <c r="L2769">
        <f>IF(B2769,INDEX(Dow,1,WEEKDAY(E2769,2)),"")</f>
        <v/>
      </c>
      <c r="M2769">
        <f>IF(B2769,(1+Trend)^D2769,"")</f>
        <v/>
      </c>
      <c r="N2769">
        <f>IF(B2769,EXP(SUMPRODUCT(LN(1+(EvEff-1)*INDEX(Affected,0,C2769)*EXP(-((E2769-EvCenter)^2)/(2*EvSigma^2))))),"")</f>
        <v/>
      </c>
      <c r="O2769">
        <f>IF(B2769,ROUND(MAX(0,J2769*K2769*L2769*M2769*N2769),2),"")</f>
        <v/>
      </c>
    </row>
    <row r="2770">
      <c r="A2770" t="n">
        <v>2769</v>
      </c>
      <c r="B2770">
        <f>A2770&lt;=MineCount*Days</f>
        <v/>
      </c>
      <c r="C2770">
        <f>IF(B2770,INT((A2770-1)/Days)+1,"")</f>
        <v/>
      </c>
      <c r="D2770">
        <f>IF(B2770,MOD(A2770-1,Days),"")</f>
        <v/>
      </c>
      <c r="E2770" s="16">
        <f>IF(B2770,StartDate+D2770,"")</f>
        <v/>
      </c>
      <c r="F2770">
        <f>IF(B2770,MAX(MOD(SIN(Seed*0.1373+C2770*12.9898+D2770*78.233)*43758.5453,1),1E-9),"")</f>
        <v/>
      </c>
      <c r="G2770">
        <f>IF(B2770,MOD(SIN(Seed*0.5917+C2770*39.3468+D2770*11.135)*24634.6345,1),"")</f>
        <v/>
      </c>
      <c r="H2770">
        <f>IF(B2770,SQRT(-2*LN(F2770))*COS(2*PI()*G2770),"")</f>
        <v/>
      </c>
      <c r="I2770">
        <f>IF(B2770,IF(D2770=0,H2770,Rho*I2769+SQRT(1-Rho^2)*H2770),"")</f>
        <v/>
      </c>
      <c r="J2770">
        <f>IF(B2770,IF(Dist="Normal",DistA+DistB*I2770,DistA+(DistB-DistA)*NORMSDIST(I2770)),"")</f>
        <v/>
      </c>
      <c r="K2770">
        <f>IF(B2770,INDEX(MineScale,C2770),"")</f>
        <v/>
      </c>
      <c r="L2770">
        <f>IF(B2770,INDEX(Dow,1,WEEKDAY(E2770,2)),"")</f>
        <v/>
      </c>
      <c r="M2770">
        <f>IF(B2770,(1+Trend)^D2770,"")</f>
        <v/>
      </c>
      <c r="N2770">
        <f>IF(B2770,EXP(SUMPRODUCT(LN(1+(EvEff-1)*INDEX(Affected,0,C2770)*EXP(-((E2770-EvCenter)^2)/(2*EvSigma^2))))),"")</f>
        <v/>
      </c>
      <c r="O2770">
        <f>IF(B2770,ROUND(MAX(0,J2770*K2770*L2770*M2770*N2770),2),"")</f>
        <v/>
      </c>
    </row>
    <row r="2771">
      <c r="A2771" t="n">
        <v>2770</v>
      </c>
      <c r="B2771">
        <f>A2771&lt;=MineCount*Days</f>
        <v/>
      </c>
      <c r="C2771">
        <f>IF(B2771,INT((A2771-1)/Days)+1,"")</f>
        <v/>
      </c>
      <c r="D2771">
        <f>IF(B2771,MOD(A2771-1,Days),"")</f>
        <v/>
      </c>
      <c r="E2771" s="16">
        <f>IF(B2771,StartDate+D2771,"")</f>
        <v/>
      </c>
      <c r="F2771">
        <f>IF(B2771,MAX(MOD(SIN(Seed*0.1373+C2771*12.9898+D2771*78.233)*43758.5453,1),1E-9),"")</f>
        <v/>
      </c>
      <c r="G2771">
        <f>IF(B2771,MOD(SIN(Seed*0.5917+C2771*39.3468+D2771*11.135)*24634.6345,1),"")</f>
        <v/>
      </c>
      <c r="H2771">
        <f>IF(B2771,SQRT(-2*LN(F2771))*COS(2*PI()*G2771),"")</f>
        <v/>
      </c>
      <c r="I2771">
        <f>IF(B2771,IF(D2771=0,H2771,Rho*I2770+SQRT(1-Rho^2)*H2771),"")</f>
        <v/>
      </c>
      <c r="J2771">
        <f>IF(B2771,IF(Dist="Normal",DistA+DistB*I2771,DistA+(DistB-DistA)*NORMSDIST(I2771)),"")</f>
        <v/>
      </c>
      <c r="K2771">
        <f>IF(B2771,INDEX(MineScale,C2771),"")</f>
        <v/>
      </c>
      <c r="L2771">
        <f>IF(B2771,INDEX(Dow,1,WEEKDAY(E2771,2)),"")</f>
        <v/>
      </c>
      <c r="M2771">
        <f>IF(B2771,(1+Trend)^D2771,"")</f>
        <v/>
      </c>
      <c r="N2771">
        <f>IF(B2771,EXP(SUMPRODUCT(LN(1+(EvEff-1)*INDEX(Affected,0,C2771)*EXP(-((E2771-EvCenter)^2)/(2*EvSigma^2))))),"")</f>
        <v/>
      </c>
      <c r="O2771">
        <f>IF(B2771,ROUND(MAX(0,J2771*K2771*L2771*M2771*N2771),2),"")</f>
        <v/>
      </c>
    </row>
    <row r="2772">
      <c r="A2772" t="n">
        <v>2771</v>
      </c>
      <c r="B2772">
        <f>A2772&lt;=MineCount*Days</f>
        <v/>
      </c>
      <c r="C2772">
        <f>IF(B2772,INT((A2772-1)/Days)+1,"")</f>
        <v/>
      </c>
      <c r="D2772">
        <f>IF(B2772,MOD(A2772-1,Days),"")</f>
        <v/>
      </c>
      <c r="E2772" s="16">
        <f>IF(B2772,StartDate+D2772,"")</f>
        <v/>
      </c>
      <c r="F2772">
        <f>IF(B2772,MAX(MOD(SIN(Seed*0.1373+C2772*12.9898+D2772*78.233)*43758.5453,1),1E-9),"")</f>
        <v/>
      </c>
      <c r="G2772">
        <f>IF(B2772,MOD(SIN(Seed*0.5917+C2772*39.3468+D2772*11.135)*24634.6345,1),"")</f>
        <v/>
      </c>
      <c r="H2772">
        <f>IF(B2772,SQRT(-2*LN(F2772))*COS(2*PI()*G2772),"")</f>
        <v/>
      </c>
      <c r="I2772">
        <f>IF(B2772,IF(D2772=0,H2772,Rho*I2771+SQRT(1-Rho^2)*H2772),"")</f>
        <v/>
      </c>
      <c r="J2772">
        <f>IF(B2772,IF(Dist="Normal",DistA+DistB*I2772,DistA+(DistB-DistA)*NORMSDIST(I2772)),"")</f>
        <v/>
      </c>
      <c r="K2772">
        <f>IF(B2772,INDEX(MineScale,C2772),"")</f>
        <v/>
      </c>
      <c r="L2772">
        <f>IF(B2772,INDEX(Dow,1,WEEKDAY(E2772,2)),"")</f>
        <v/>
      </c>
      <c r="M2772">
        <f>IF(B2772,(1+Trend)^D2772,"")</f>
        <v/>
      </c>
      <c r="N2772">
        <f>IF(B2772,EXP(SUMPRODUCT(LN(1+(EvEff-1)*INDEX(Affected,0,C2772)*EXP(-((E2772-EvCenter)^2)/(2*EvSigma^2))))),"")</f>
        <v/>
      </c>
      <c r="O2772">
        <f>IF(B2772,ROUND(MAX(0,J2772*K2772*L2772*M2772*N2772),2),"")</f>
        <v/>
      </c>
    </row>
    <row r="2773">
      <c r="A2773" t="n">
        <v>2772</v>
      </c>
      <c r="B2773">
        <f>A2773&lt;=MineCount*Days</f>
        <v/>
      </c>
      <c r="C2773">
        <f>IF(B2773,INT((A2773-1)/Days)+1,"")</f>
        <v/>
      </c>
      <c r="D2773">
        <f>IF(B2773,MOD(A2773-1,Days),"")</f>
        <v/>
      </c>
      <c r="E2773" s="16">
        <f>IF(B2773,StartDate+D2773,"")</f>
        <v/>
      </c>
      <c r="F2773">
        <f>IF(B2773,MAX(MOD(SIN(Seed*0.1373+C2773*12.9898+D2773*78.233)*43758.5453,1),1E-9),"")</f>
        <v/>
      </c>
      <c r="G2773">
        <f>IF(B2773,MOD(SIN(Seed*0.5917+C2773*39.3468+D2773*11.135)*24634.6345,1),"")</f>
        <v/>
      </c>
      <c r="H2773">
        <f>IF(B2773,SQRT(-2*LN(F2773))*COS(2*PI()*G2773),"")</f>
        <v/>
      </c>
      <c r="I2773">
        <f>IF(B2773,IF(D2773=0,H2773,Rho*I2772+SQRT(1-Rho^2)*H2773),"")</f>
        <v/>
      </c>
      <c r="J2773">
        <f>IF(B2773,IF(Dist="Normal",DistA+DistB*I2773,DistA+(DistB-DistA)*NORMSDIST(I2773)),"")</f>
        <v/>
      </c>
      <c r="K2773">
        <f>IF(B2773,INDEX(MineScale,C2773),"")</f>
        <v/>
      </c>
      <c r="L2773">
        <f>IF(B2773,INDEX(Dow,1,WEEKDAY(E2773,2)),"")</f>
        <v/>
      </c>
      <c r="M2773">
        <f>IF(B2773,(1+Trend)^D2773,"")</f>
        <v/>
      </c>
      <c r="N2773">
        <f>IF(B2773,EXP(SUMPRODUCT(LN(1+(EvEff-1)*INDEX(Affected,0,C2773)*EXP(-((E2773-EvCenter)^2)/(2*EvSigma^2))))),"")</f>
        <v/>
      </c>
      <c r="O2773">
        <f>IF(B2773,ROUND(MAX(0,J2773*K2773*L2773*M2773*N2773),2),"")</f>
        <v/>
      </c>
    </row>
    <row r="2774">
      <c r="A2774" t="n">
        <v>2773</v>
      </c>
      <c r="B2774">
        <f>A2774&lt;=MineCount*Days</f>
        <v/>
      </c>
      <c r="C2774">
        <f>IF(B2774,INT((A2774-1)/Days)+1,"")</f>
        <v/>
      </c>
      <c r="D2774">
        <f>IF(B2774,MOD(A2774-1,Days),"")</f>
        <v/>
      </c>
      <c r="E2774" s="16">
        <f>IF(B2774,StartDate+D2774,"")</f>
        <v/>
      </c>
      <c r="F2774">
        <f>IF(B2774,MAX(MOD(SIN(Seed*0.1373+C2774*12.9898+D2774*78.233)*43758.5453,1),1E-9),"")</f>
        <v/>
      </c>
      <c r="G2774">
        <f>IF(B2774,MOD(SIN(Seed*0.5917+C2774*39.3468+D2774*11.135)*24634.6345,1),"")</f>
        <v/>
      </c>
      <c r="H2774">
        <f>IF(B2774,SQRT(-2*LN(F2774))*COS(2*PI()*G2774),"")</f>
        <v/>
      </c>
      <c r="I2774">
        <f>IF(B2774,IF(D2774=0,H2774,Rho*I2773+SQRT(1-Rho^2)*H2774),"")</f>
        <v/>
      </c>
      <c r="J2774">
        <f>IF(B2774,IF(Dist="Normal",DistA+DistB*I2774,DistA+(DistB-DistA)*NORMSDIST(I2774)),"")</f>
        <v/>
      </c>
      <c r="K2774">
        <f>IF(B2774,INDEX(MineScale,C2774),"")</f>
        <v/>
      </c>
      <c r="L2774">
        <f>IF(B2774,INDEX(Dow,1,WEEKDAY(E2774,2)),"")</f>
        <v/>
      </c>
      <c r="M2774">
        <f>IF(B2774,(1+Trend)^D2774,"")</f>
        <v/>
      </c>
      <c r="N2774">
        <f>IF(B2774,EXP(SUMPRODUCT(LN(1+(EvEff-1)*INDEX(Affected,0,C2774)*EXP(-((E2774-EvCenter)^2)/(2*EvSigma^2))))),"")</f>
        <v/>
      </c>
      <c r="O2774">
        <f>IF(B2774,ROUND(MAX(0,J2774*K2774*L2774*M2774*N2774),2),"")</f>
        <v/>
      </c>
    </row>
    <row r="2775">
      <c r="A2775" t="n">
        <v>2774</v>
      </c>
      <c r="B2775">
        <f>A2775&lt;=MineCount*Days</f>
        <v/>
      </c>
      <c r="C2775">
        <f>IF(B2775,INT((A2775-1)/Days)+1,"")</f>
        <v/>
      </c>
      <c r="D2775">
        <f>IF(B2775,MOD(A2775-1,Days),"")</f>
        <v/>
      </c>
      <c r="E2775" s="16">
        <f>IF(B2775,StartDate+D2775,"")</f>
        <v/>
      </c>
      <c r="F2775">
        <f>IF(B2775,MAX(MOD(SIN(Seed*0.1373+C2775*12.9898+D2775*78.233)*43758.5453,1),1E-9),"")</f>
        <v/>
      </c>
      <c r="G2775">
        <f>IF(B2775,MOD(SIN(Seed*0.5917+C2775*39.3468+D2775*11.135)*24634.6345,1),"")</f>
        <v/>
      </c>
      <c r="H2775">
        <f>IF(B2775,SQRT(-2*LN(F2775))*COS(2*PI()*G2775),"")</f>
        <v/>
      </c>
      <c r="I2775">
        <f>IF(B2775,IF(D2775=0,H2775,Rho*I2774+SQRT(1-Rho^2)*H2775),"")</f>
        <v/>
      </c>
      <c r="J2775">
        <f>IF(B2775,IF(Dist="Normal",DistA+DistB*I2775,DistA+(DistB-DistA)*NORMSDIST(I2775)),"")</f>
        <v/>
      </c>
      <c r="K2775">
        <f>IF(B2775,INDEX(MineScale,C2775),"")</f>
        <v/>
      </c>
      <c r="L2775">
        <f>IF(B2775,INDEX(Dow,1,WEEKDAY(E2775,2)),"")</f>
        <v/>
      </c>
      <c r="M2775">
        <f>IF(B2775,(1+Trend)^D2775,"")</f>
        <v/>
      </c>
      <c r="N2775">
        <f>IF(B2775,EXP(SUMPRODUCT(LN(1+(EvEff-1)*INDEX(Affected,0,C2775)*EXP(-((E2775-EvCenter)^2)/(2*EvSigma^2))))),"")</f>
        <v/>
      </c>
      <c r="O2775">
        <f>IF(B2775,ROUND(MAX(0,J2775*K2775*L2775*M2775*N2775),2),"")</f>
        <v/>
      </c>
    </row>
    <row r="2776">
      <c r="A2776" t="n">
        <v>2775</v>
      </c>
      <c r="B2776">
        <f>A2776&lt;=MineCount*Days</f>
        <v/>
      </c>
      <c r="C2776">
        <f>IF(B2776,INT((A2776-1)/Days)+1,"")</f>
        <v/>
      </c>
      <c r="D2776">
        <f>IF(B2776,MOD(A2776-1,Days),"")</f>
        <v/>
      </c>
      <c r="E2776" s="16">
        <f>IF(B2776,StartDate+D2776,"")</f>
        <v/>
      </c>
      <c r="F2776">
        <f>IF(B2776,MAX(MOD(SIN(Seed*0.1373+C2776*12.9898+D2776*78.233)*43758.5453,1),1E-9),"")</f>
        <v/>
      </c>
      <c r="G2776">
        <f>IF(B2776,MOD(SIN(Seed*0.5917+C2776*39.3468+D2776*11.135)*24634.6345,1),"")</f>
        <v/>
      </c>
      <c r="H2776">
        <f>IF(B2776,SQRT(-2*LN(F2776))*COS(2*PI()*G2776),"")</f>
        <v/>
      </c>
      <c r="I2776">
        <f>IF(B2776,IF(D2776=0,H2776,Rho*I2775+SQRT(1-Rho^2)*H2776),"")</f>
        <v/>
      </c>
      <c r="J2776">
        <f>IF(B2776,IF(Dist="Normal",DistA+DistB*I2776,DistA+(DistB-DistA)*NORMSDIST(I2776)),"")</f>
        <v/>
      </c>
      <c r="K2776">
        <f>IF(B2776,INDEX(MineScale,C2776),"")</f>
        <v/>
      </c>
      <c r="L2776">
        <f>IF(B2776,INDEX(Dow,1,WEEKDAY(E2776,2)),"")</f>
        <v/>
      </c>
      <c r="M2776">
        <f>IF(B2776,(1+Trend)^D2776,"")</f>
        <v/>
      </c>
      <c r="N2776">
        <f>IF(B2776,EXP(SUMPRODUCT(LN(1+(EvEff-1)*INDEX(Affected,0,C2776)*EXP(-((E2776-EvCenter)^2)/(2*EvSigma^2))))),"")</f>
        <v/>
      </c>
      <c r="O2776">
        <f>IF(B2776,ROUND(MAX(0,J2776*K2776*L2776*M2776*N2776),2),"")</f>
        <v/>
      </c>
    </row>
    <row r="2777">
      <c r="A2777" t="n">
        <v>2776</v>
      </c>
      <c r="B2777">
        <f>A2777&lt;=MineCount*Days</f>
        <v/>
      </c>
      <c r="C2777">
        <f>IF(B2777,INT((A2777-1)/Days)+1,"")</f>
        <v/>
      </c>
      <c r="D2777">
        <f>IF(B2777,MOD(A2777-1,Days),"")</f>
        <v/>
      </c>
      <c r="E2777" s="16">
        <f>IF(B2777,StartDate+D2777,"")</f>
        <v/>
      </c>
      <c r="F2777">
        <f>IF(B2777,MAX(MOD(SIN(Seed*0.1373+C2777*12.9898+D2777*78.233)*43758.5453,1),1E-9),"")</f>
        <v/>
      </c>
      <c r="G2777">
        <f>IF(B2777,MOD(SIN(Seed*0.5917+C2777*39.3468+D2777*11.135)*24634.6345,1),"")</f>
        <v/>
      </c>
      <c r="H2777">
        <f>IF(B2777,SQRT(-2*LN(F2777))*COS(2*PI()*G2777),"")</f>
        <v/>
      </c>
      <c r="I2777">
        <f>IF(B2777,IF(D2777=0,H2777,Rho*I2776+SQRT(1-Rho^2)*H2777),"")</f>
        <v/>
      </c>
      <c r="J2777">
        <f>IF(B2777,IF(Dist="Normal",DistA+DistB*I2777,DistA+(DistB-DistA)*NORMSDIST(I2777)),"")</f>
        <v/>
      </c>
      <c r="K2777">
        <f>IF(B2777,INDEX(MineScale,C2777),"")</f>
        <v/>
      </c>
      <c r="L2777">
        <f>IF(B2777,INDEX(Dow,1,WEEKDAY(E2777,2)),"")</f>
        <v/>
      </c>
      <c r="M2777">
        <f>IF(B2777,(1+Trend)^D2777,"")</f>
        <v/>
      </c>
      <c r="N2777">
        <f>IF(B2777,EXP(SUMPRODUCT(LN(1+(EvEff-1)*INDEX(Affected,0,C2777)*EXP(-((E2777-EvCenter)^2)/(2*EvSigma^2))))),"")</f>
        <v/>
      </c>
      <c r="O2777">
        <f>IF(B2777,ROUND(MAX(0,J2777*K2777*L2777*M2777*N2777),2),"")</f>
        <v/>
      </c>
    </row>
    <row r="2778">
      <c r="A2778" t="n">
        <v>2777</v>
      </c>
      <c r="B2778">
        <f>A2778&lt;=MineCount*Days</f>
        <v/>
      </c>
      <c r="C2778">
        <f>IF(B2778,INT((A2778-1)/Days)+1,"")</f>
        <v/>
      </c>
      <c r="D2778">
        <f>IF(B2778,MOD(A2778-1,Days),"")</f>
        <v/>
      </c>
      <c r="E2778" s="16">
        <f>IF(B2778,StartDate+D2778,"")</f>
        <v/>
      </c>
      <c r="F2778">
        <f>IF(B2778,MAX(MOD(SIN(Seed*0.1373+C2778*12.9898+D2778*78.233)*43758.5453,1),1E-9),"")</f>
        <v/>
      </c>
      <c r="G2778">
        <f>IF(B2778,MOD(SIN(Seed*0.5917+C2778*39.3468+D2778*11.135)*24634.6345,1),"")</f>
        <v/>
      </c>
      <c r="H2778">
        <f>IF(B2778,SQRT(-2*LN(F2778))*COS(2*PI()*G2778),"")</f>
        <v/>
      </c>
      <c r="I2778">
        <f>IF(B2778,IF(D2778=0,H2778,Rho*I2777+SQRT(1-Rho^2)*H2778),"")</f>
        <v/>
      </c>
      <c r="J2778">
        <f>IF(B2778,IF(Dist="Normal",DistA+DistB*I2778,DistA+(DistB-DistA)*NORMSDIST(I2778)),"")</f>
        <v/>
      </c>
      <c r="K2778">
        <f>IF(B2778,INDEX(MineScale,C2778),"")</f>
        <v/>
      </c>
      <c r="L2778">
        <f>IF(B2778,INDEX(Dow,1,WEEKDAY(E2778,2)),"")</f>
        <v/>
      </c>
      <c r="M2778">
        <f>IF(B2778,(1+Trend)^D2778,"")</f>
        <v/>
      </c>
      <c r="N2778">
        <f>IF(B2778,EXP(SUMPRODUCT(LN(1+(EvEff-1)*INDEX(Affected,0,C2778)*EXP(-((E2778-EvCenter)^2)/(2*EvSigma^2))))),"")</f>
        <v/>
      </c>
      <c r="O2778">
        <f>IF(B2778,ROUND(MAX(0,J2778*K2778*L2778*M2778*N2778),2),"")</f>
        <v/>
      </c>
    </row>
    <row r="2779">
      <c r="A2779" t="n">
        <v>2778</v>
      </c>
      <c r="B2779">
        <f>A2779&lt;=MineCount*Days</f>
        <v/>
      </c>
      <c r="C2779">
        <f>IF(B2779,INT((A2779-1)/Days)+1,"")</f>
        <v/>
      </c>
      <c r="D2779">
        <f>IF(B2779,MOD(A2779-1,Days),"")</f>
        <v/>
      </c>
      <c r="E2779" s="16">
        <f>IF(B2779,StartDate+D2779,"")</f>
        <v/>
      </c>
      <c r="F2779">
        <f>IF(B2779,MAX(MOD(SIN(Seed*0.1373+C2779*12.9898+D2779*78.233)*43758.5453,1),1E-9),"")</f>
        <v/>
      </c>
      <c r="G2779">
        <f>IF(B2779,MOD(SIN(Seed*0.5917+C2779*39.3468+D2779*11.135)*24634.6345,1),"")</f>
        <v/>
      </c>
      <c r="H2779">
        <f>IF(B2779,SQRT(-2*LN(F2779))*COS(2*PI()*G2779),"")</f>
        <v/>
      </c>
      <c r="I2779">
        <f>IF(B2779,IF(D2779=0,H2779,Rho*I2778+SQRT(1-Rho^2)*H2779),"")</f>
        <v/>
      </c>
      <c r="J2779">
        <f>IF(B2779,IF(Dist="Normal",DistA+DistB*I2779,DistA+(DistB-DistA)*NORMSDIST(I2779)),"")</f>
        <v/>
      </c>
      <c r="K2779">
        <f>IF(B2779,INDEX(MineScale,C2779),"")</f>
        <v/>
      </c>
      <c r="L2779">
        <f>IF(B2779,INDEX(Dow,1,WEEKDAY(E2779,2)),"")</f>
        <v/>
      </c>
      <c r="M2779">
        <f>IF(B2779,(1+Trend)^D2779,"")</f>
        <v/>
      </c>
      <c r="N2779">
        <f>IF(B2779,EXP(SUMPRODUCT(LN(1+(EvEff-1)*INDEX(Affected,0,C2779)*EXP(-((E2779-EvCenter)^2)/(2*EvSigma^2))))),"")</f>
        <v/>
      </c>
      <c r="O2779">
        <f>IF(B2779,ROUND(MAX(0,J2779*K2779*L2779*M2779*N2779),2),"")</f>
        <v/>
      </c>
    </row>
    <row r="2780">
      <c r="A2780" t="n">
        <v>2779</v>
      </c>
      <c r="B2780">
        <f>A2780&lt;=MineCount*Days</f>
        <v/>
      </c>
      <c r="C2780">
        <f>IF(B2780,INT((A2780-1)/Days)+1,"")</f>
        <v/>
      </c>
      <c r="D2780">
        <f>IF(B2780,MOD(A2780-1,Days),"")</f>
        <v/>
      </c>
      <c r="E2780" s="16">
        <f>IF(B2780,StartDate+D2780,"")</f>
        <v/>
      </c>
      <c r="F2780">
        <f>IF(B2780,MAX(MOD(SIN(Seed*0.1373+C2780*12.9898+D2780*78.233)*43758.5453,1),1E-9),"")</f>
        <v/>
      </c>
      <c r="G2780">
        <f>IF(B2780,MOD(SIN(Seed*0.5917+C2780*39.3468+D2780*11.135)*24634.6345,1),"")</f>
        <v/>
      </c>
      <c r="H2780">
        <f>IF(B2780,SQRT(-2*LN(F2780))*COS(2*PI()*G2780),"")</f>
        <v/>
      </c>
      <c r="I2780">
        <f>IF(B2780,IF(D2780=0,H2780,Rho*I2779+SQRT(1-Rho^2)*H2780),"")</f>
        <v/>
      </c>
      <c r="J2780">
        <f>IF(B2780,IF(Dist="Normal",DistA+DistB*I2780,DistA+(DistB-DistA)*NORMSDIST(I2780)),"")</f>
        <v/>
      </c>
      <c r="K2780">
        <f>IF(B2780,INDEX(MineScale,C2780),"")</f>
        <v/>
      </c>
      <c r="L2780">
        <f>IF(B2780,INDEX(Dow,1,WEEKDAY(E2780,2)),"")</f>
        <v/>
      </c>
      <c r="M2780">
        <f>IF(B2780,(1+Trend)^D2780,"")</f>
        <v/>
      </c>
      <c r="N2780">
        <f>IF(B2780,EXP(SUMPRODUCT(LN(1+(EvEff-1)*INDEX(Affected,0,C2780)*EXP(-((E2780-EvCenter)^2)/(2*EvSigma^2))))),"")</f>
        <v/>
      </c>
      <c r="O2780">
        <f>IF(B2780,ROUND(MAX(0,J2780*K2780*L2780*M2780*N2780),2),"")</f>
        <v/>
      </c>
    </row>
    <row r="2781">
      <c r="A2781" t="n">
        <v>2780</v>
      </c>
      <c r="B2781">
        <f>A2781&lt;=MineCount*Days</f>
        <v/>
      </c>
      <c r="C2781">
        <f>IF(B2781,INT((A2781-1)/Days)+1,"")</f>
        <v/>
      </c>
      <c r="D2781">
        <f>IF(B2781,MOD(A2781-1,Days),"")</f>
        <v/>
      </c>
      <c r="E2781" s="16">
        <f>IF(B2781,StartDate+D2781,"")</f>
        <v/>
      </c>
      <c r="F2781">
        <f>IF(B2781,MAX(MOD(SIN(Seed*0.1373+C2781*12.9898+D2781*78.233)*43758.5453,1),1E-9),"")</f>
        <v/>
      </c>
      <c r="G2781">
        <f>IF(B2781,MOD(SIN(Seed*0.5917+C2781*39.3468+D2781*11.135)*24634.6345,1),"")</f>
        <v/>
      </c>
      <c r="H2781">
        <f>IF(B2781,SQRT(-2*LN(F2781))*COS(2*PI()*G2781),"")</f>
        <v/>
      </c>
      <c r="I2781">
        <f>IF(B2781,IF(D2781=0,H2781,Rho*I2780+SQRT(1-Rho^2)*H2781),"")</f>
        <v/>
      </c>
      <c r="J2781">
        <f>IF(B2781,IF(Dist="Normal",DistA+DistB*I2781,DistA+(DistB-DistA)*NORMSDIST(I2781)),"")</f>
        <v/>
      </c>
      <c r="K2781">
        <f>IF(B2781,INDEX(MineScale,C2781),"")</f>
        <v/>
      </c>
      <c r="L2781">
        <f>IF(B2781,INDEX(Dow,1,WEEKDAY(E2781,2)),"")</f>
        <v/>
      </c>
      <c r="M2781">
        <f>IF(B2781,(1+Trend)^D2781,"")</f>
        <v/>
      </c>
      <c r="N2781">
        <f>IF(B2781,EXP(SUMPRODUCT(LN(1+(EvEff-1)*INDEX(Affected,0,C2781)*EXP(-((E2781-EvCenter)^2)/(2*EvSigma^2))))),"")</f>
        <v/>
      </c>
      <c r="O2781">
        <f>IF(B2781,ROUND(MAX(0,J2781*K2781*L2781*M2781*N2781),2),"")</f>
        <v/>
      </c>
    </row>
    <row r="2782">
      <c r="A2782" t="n">
        <v>2781</v>
      </c>
      <c r="B2782">
        <f>A2782&lt;=MineCount*Days</f>
        <v/>
      </c>
      <c r="C2782">
        <f>IF(B2782,INT((A2782-1)/Days)+1,"")</f>
        <v/>
      </c>
      <c r="D2782">
        <f>IF(B2782,MOD(A2782-1,Days),"")</f>
        <v/>
      </c>
      <c r="E2782" s="16">
        <f>IF(B2782,StartDate+D2782,"")</f>
        <v/>
      </c>
      <c r="F2782">
        <f>IF(B2782,MAX(MOD(SIN(Seed*0.1373+C2782*12.9898+D2782*78.233)*43758.5453,1),1E-9),"")</f>
        <v/>
      </c>
      <c r="G2782">
        <f>IF(B2782,MOD(SIN(Seed*0.5917+C2782*39.3468+D2782*11.135)*24634.6345,1),"")</f>
        <v/>
      </c>
      <c r="H2782">
        <f>IF(B2782,SQRT(-2*LN(F2782))*COS(2*PI()*G2782),"")</f>
        <v/>
      </c>
      <c r="I2782">
        <f>IF(B2782,IF(D2782=0,H2782,Rho*I2781+SQRT(1-Rho^2)*H2782),"")</f>
        <v/>
      </c>
      <c r="J2782">
        <f>IF(B2782,IF(Dist="Normal",DistA+DistB*I2782,DistA+(DistB-DistA)*NORMSDIST(I2782)),"")</f>
        <v/>
      </c>
      <c r="K2782">
        <f>IF(B2782,INDEX(MineScale,C2782),"")</f>
        <v/>
      </c>
      <c r="L2782">
        <f>IF(B2782,INDEX(Dow,1,WEEKDAY(E2782,2)),"")</f>
        <v/>
      </c>
      <c r="M2782">
        <f>IF(B2782,(1+Trend)^D2782,"")</f>
        <v/>
      </c>
      <c r="N2782">
        <f>IF(B2782,EXP(SUMPRODUCT(LN(1+(EvEff-1)*INDEX(Affected,0,C2782)*EXP(-((E2782-EvCenter)^2)/(2*EvSigma^2))))),"")</f>
        <v/>
      </c>
      <c r="O2782">
        <f>IF(B2782,ROUND(MAX(0,J2782*K2782*L2782*M2782*N2782),2),"")</f>
        <v/>
      </c>
    </row>
    <row r="2783">
      <c r="A2783" t="n">
        <v>2782</v>
      </c>
      <c r="B2783">
        <f>A2783&lt;=MineCount*Days</f>
        <v/>
      </c>
      <c r="C2783">
        <f>IF(B2783,INT((A2783-1)/Days)+1,"")</f>
        <v/>
      </c>
      <c r="D2783">
        <f>IF(B2783,MOD(A2783-1,Days),"")</f>
        <v/>
      </c>
      <c r="E2783" s="16">
        <f>IF(B2783,StartDate+D2783,"")</f>
        <v/>
      </c>
      <c r="F2783">
        <f>IF(B2783,MAX(MOD(SIN(Seed*0.1373+C2783*12.9898+D2783*78.233)*43758.5453,1),1E-9),"")</f>
        <v/>
      </c>
      <c r="G2783">
        <f>IF(B2783,MOD(SIN(Seed*0.5917+C2783*39.3468+D2783*11.135)*24634.6345,1),"")</f>
        <v/>
      </c>
      <c r="H2783">
        <f>IF(B2783,SQRT(-2*LN(F2783))*COS(2*PI()*G2783),"")</f>
        <v/>
      </c>
      <c r="I2783">
        <f>IF(B2783,IF(D2783=0,H2783,Rho*I2782+SQRT(1-Rho^2)*H2783),"")</f>
        <v/>
      </c>
      <c r="J2783">
        <f>IF(B2783,IF(Dist="Normal",DistA+DistB*I2783,DistA+(DistB-DistA)*NORMSDIST(I2783)),"")</f>
        <v/>
      </c>
      <c r="K2783">
        <f>IF(B2783,INDEX(MineScale,C2783),"")</f>
        <v/>
      </c>
      <c r="L2783">
        <f>IF(B2783,INDEX(Dow,1,WEEKDAY(E2783,2)),"")</f>
        <v/>
      </c>
      <c r="M2783">
        <f>IF(B2783,(1+Trend)^D2783,"")</f>
        <v/>
      </c>
      <c r="N2783">
        <f>IF(B2783,EXP(SUMPRODUCT(LN(1+(EvEff-1)*INDEX(Affected,0,C2783)*EXP(-((E2783-EvCenter)^2)/(2*EvSigma^2))))),"")</f>
        <v/>
      </c>
      <c r="O2783">
        <f>IF(B2783,ROUND(MAX(0,J2783*K2783*L2783*M2783*N2783),2),"")</f>
        <v/>
      </c>
    </row>
    <row r="2784">
      <c r="A2784" t="n">
        <v>2783</v>
      </c>
      <c r="B2784">
        <f>A2784&lt;=MineCount*Days</f>
        <v/>
      </c>
      <c r="C2784">
        <f>IF(B2784,INT((A2784-1)/Days)+1,"")</f>
        <v/>
      </c>
      <c r="D2784">
        <f>IF(B2784,MOD(A2784-1,Days),"")</f>
        <v/>
      </c>
      <c r="E2784" s="16">
        <f>IF(B2784,StartDate+D2784,"")</f>
        <v/>
      </c>
      <c r="F2784">
        <f>IF(B2784,MAX(MOD(SIN(Seed*0.1373+C2784*12.9898+D2784*78.233)*43758.5453,1),1E-9),"")</f>
        <v/>
      </c>
      <c r="G2784">
        <f>IF(B2784,MOD(SIN(Seed*0.5917+C2784*39.3468+D2784*11.135)*24634.6345,1),"")</f>
        <v/>
      </c>
      <c r="H2784">
        <f>IF(B2784,SQRT(-2*LN(F2784))*COS(2*PI()*G2784),"")</f>
        <v/>
      </c>
      <c r="I2784">
        <f>IF(B2784,IF(D2784=0,H2784,Rho*I2783+SQRT(1-Rho^2)*H2784),"")</f>
        <v/>
      </c>
      <c r="J2784">
        <f>IF(B2784,IF(Dist="Normal",DistA+DistB*I2784,DistA+(DistB-DistA)*NORMSDIST(I2784)),"")</f>
        <v/>
      </c>
      <c r="K2784">
        <f>IF(B2784,INDEX(MineScale,C2784),"")</f>
        <v/>
      </c>
      <c r="L2784">
        <f>IF(B2784,INDEX(Dow,1,WEEKDAY(E2784,2)),"")</f>
        <v/>
      </c>
      <c r="M2784">
        <f>IF(B2784,(1+Trend)^D2784,"")</f>
        <v/>
      </c>
      <c r="N2784">
        <f>IF(B2784,EXP(SUMPRODUCT(LN(1+(EvEff-1)*INDEX(Affected,0,C2784)*EXP(-((E2784-EvCenter)^2)/(2*EvSigma^2))))),"")</f>
        <v/>
      </c>
      <c r="O2784">
        <f>IF(B2784,ROUND(MAX(0,J2784*K2784*L2784*M2784*N2784),2),"")</f>
        <v/>
      </c>
    </row>
    <row r="2785">
      <c r="A2785" t="n">
        <v>2784</v>
      </c>
      <c r="B2785">
        <f>A2785&lt;=MineCount*Days</f>
        <v/>
      </c>
      <c r="C2785">
        <f>IF(B2785,INT((A2785-1)/Days)+1,"")</f>
        <v/>
      </c>
      <c r="D2785">
        <f>IF(B2785,MOD(A2785-1,Days),"")</f>
        <v/>
      </c>
      <c r="E2785" s="16">
        <f>IF(B2785,StartDate+D2785,"")</f>
        <v/>
      </c>
      <c r="F2785">
        <f>IF(B2785,MAX(MOD(SIN(Seed*0.1373+C2785*12.9898+D2785*78.233)*43758.5453,1),1E-9),"")</f>
        <v/>
      </c>
      <c r="G2785">
        <f>IF(B2785,MOD(SIN(Seed*0.5917+C2785*39.3468+D2785*11.135)*24634.6345,1),"")</f>
        <v/>
      </c>
      <c r="H2785">
        <f>IF(B2785,SQRT(-2*LN(F2785))*COS(2*PI()*G2785),"")</f>
        <v/>
      </c>
      <c r="I2785">
        <f>IF(B2785,IF(D2785=0,H2785,Rho*I2784+SQRT(1-Rho^2)*H2785),"")</f>
        <v/>
      </c>
      <c r="J2785">
        <f>IF(B2785,IF(Dist="Normal",DistA+DistB*I2785,DistA+(DistB-DistA)*NORMSDIST(I2785)),"")</f>
        <v/>
      </c>
      <c r="K2785">
        <f>IF(B2785,INDEX(MineScale,C2785),"")</f>
        <v/>
      </c>
      <c r="L2785">
        <f>IF(B2785,INDEX(Dow,1,WEEKDAY(E2785,2)),"")</f>
        <v/>
      </c>
      <c r="M2785">
        <f>IF(B2785,(1+Trend)^D2785,"")</f>
        <v/>
      </c>
      <c r="N2785">
        <f>IF(B2785,EXP(SUMPRODUCT(LN(1+(EvEff-1)*INDEX(Affected,0,C2785)*EXP(-((E2785-EvCenter)^2)/(2*EvSigma^2))))),"")</f>
        <v/>
      </c>
      <c r="O2785">
        <f>IF(B2785,ROUND(MAX(0,J2785*K2785*L2785*M2785*N2785),2),"")</f>
        <v/>
      </c>
    </row>
    <row r="2786">
      <c r="A2786" t="n">
        <v>2785</v>
      </c>
      <c r="B2786">
        <f>A2786&lt;=MineCount*Days</f>
        <v/>
      </c>
      <c r="C2786">
        <f>IF(B2786,INT((A2786-1)/Days)+1,"")</f>
        <v/>
      </c>
      <c r="D2786">
        <f>IF(B2786,MOD(A2786-1,Days),"")</f>
        <v/>
      </c>
      <c r="E2786" s="16">
        <f>IF(B2786,StartDate+D2786,"")</f>
        <v/>
      </c>
      <c r="F2786">
        <f>IF(B2786,MAX(MOD(SIN(Seed*0.1373+C2786*12.9898+D2786*78.233)*43758.5453,1),1E-9),"")</f>
        <v/>
      </c>
      <c r="G2786">
        <f>IF(B2786,MOD(SIN(Seed*0.5917+C2786*39.3468+D2786*11.135)*24634.6345,1),"")</f>
        <v/>
      </c>
      <c r="H2786">
        <f>IF(B2786,SQRT(-2*LN(F2786))*COS(2*PI()*G2786),"")</f>
        <v/>
      </c>
      <c r="I2786">
        <f>IF(B2786,IF(D2786=0,H2786,Rho*I2785+SQRT(1-Rho^2)*H2786),"")</f>
        <v/>
      </c>
      <c r="J2786">
        <f>IF(B2786,IF(Dist="Normal",DistA+DistB*I2786,DistA+(DistB-DistA)*NORMSDIST(I2786)),"")</f>
        <v/>
      </c>
      <c r="K2786">
        <f>IF(B2786,INDEX(MineScale,C2786),"")</f>
        <v/>
      </c>
      <c r="L2786">
        <f>IF(B2786,INDEX(Dow,1,WEEKDAY(E2786,2)),"")</f>
        <v/>
      </c>
      <c r="M2786">
        <f>IF(B2786,(1+Trend)^D2786,"")</f>
        <v/>
      </c>
      <c r="N2786">
        <f>IF(B2786,EXP(SUMPRODUCT(LN(1+(EvEff-1)*INDEX(Affected,0,C2786)*EXP(-((E2786-EvCenter)^2)/(2*EvSigma^2))))),"")</f>
        <v/>
      </c>
      <c r="O2786">
        <f>IF(B2786,ROUND(MAX(0,J2786*K2786*L2786*M2786*N2786),2),"")</f>
        <v/>
      </c>
    </row>
    <row r="2787">
      <c r="A2787" t="n">
        <v>2786</v>
      </c>
      <c r="B2787">
        <f>A2787&lt;=MineCount*Days</f>
        <v/>
      </c>
      <c r="C2787">
        <f>IF(B2787,INT((A2787-1)/Days)+1,"")</f>
        <v/>
      </c>
      <c r="D2787">
        <f>IF(B2787,MOD(A2787-1,Days),"")</f>
        <v/>
      </c>
      <c r="E2787" s="16">
        <f>IF(B2787,StartDate+D2787,"")</f>
        <v/>
      </c>
      <c r="F2787">
        <f>IF(B2787,MAX(MOD(SIN(Seed*0.1373+C2787*12.9898+D2787*78.233)*43758.5453,1),1E-9),"")</f>
        <v/>
      </c>
      <c r="G2787">
        <f>IF(B2787,MOD(SIN(Seed*0.5917+C2787*39.3468+D2787*11.135)*24634.6345,1),"")</f>
        <v/>
      </c>
      <c r="H2787">
        <f>IF(B2787,SQRT(-2*LN(F2787))*COS(2*PI()*G2787),"")</f>
        <v/>
      </c>
      <c r="I2787">
        <f>IF(B2787,IF(D2787=0,H2787,Rho*I2786+SQRT(1-Rho^2)*H2787),"")</f>
        <v/>
      </c>
      <c r="J2787">
        <f>IF(B2787,IF(Dist="Normal",DistA+DistB*I2787,DistA+(DistB-DistA)*NORMSDIST(I2787)),"")</f>
        <v/>
      </c>
      <c r="K2787">
        <f>IF(B2787,INDEX(MineScale,C2787),"")</f>
        <v/>
      </c>
      <c r="L2787">
        <f>IF(B2787,INDEX(Dow,1,WEEKDAY(E2787,2)),"")</f>
        <v/>
      </c>
      <c r="M2787">
        <f>IF(B2787,(1+Trend)^D2787,"")</f>
        <v/>
      </c>
      <c r="N2787">
        <f>IF(B2787,EXP(SUMPRODUCT(LN(1+(EvEff-1)*INDEX(Affected,0,C2787)*EXP(-((E2787-EvCenter)^2)/(2*EvSigma^2))))),"")</f>
        <v/>
      </c>
      <c r="O2787">
        <f>IF(B2787,ROUND(MAX(0,J2787*K2787*L2787*M2787*N2787),2),"")</f>
        <v/>
      </c>
    </row>
    <row r="2788">
      <c r="A2788" t="n">
        <v>2787</v>
      </c>
      <c r="B2788">
        <f>A2788&lt;=MineCount*Days</f>
        <v/>
      </c>
      <c r="C2788">
        <f>IF(B2788,INT((A2788-1)/Days)+1,"")</f>
        <v/>
      </c>
      <c r="D2788">
        <f>IF(B2788,MOD(A2788-1,Days),"")</f>
        <v/>
      </c>
      <c r="E2788" s="16">
        <f>IF(B2788,StartDate+D2788,"")</f>
        <v/>
      </c>
      <c r="F2788">
        <f>IF(B2788,MAX(MOD(SIN(Seed*0.1373+C2788*12.9898+D2788*78.233)*43758.5453,1),1E-9),"")</f>
        <v/>
      </c>
      <c r="G2788">
        <f>IF(B2788,MOD(SIN(Seed*0.5917+C2788*39.3468+D2788*11.135)*24634.6345,1),"")</f>
        <v/>
      </c>
      <c r="H2788">
        <f>IF(B2788,SQRT(-2*LN(F2788))*COS(2*PI()*G2788),"")</f>
        <v/>
      </c>
      <c r="I2788">
        <f>IF(B2788,IF(D2788=0,H2788,Rho*I2787+SQRT(1-Rho^2)*H2788),"")</f>
        <v/>
      </c>
      <c r="J2788">
        <f>IF(B2788,IF(Dist="Normal",DistA+DistB*I2788,DistA+(DistB-DistA)*NORMSDIST(I2788)),"")</f>
        <v/>
      </c>
      <c r="K2788">
        <f>IF(B2788,INDEX(MineScale,C2788),"")</f>
        <v/>
      </c>
      <c r="L2788">
        <f>IF(B2788,INDEX(Dow,1,WEEKDAY(E2788,2)),"")</f>
        <v/>
      </c>
      <c r="M2788">
        <f>IF(B2788,(1+Trend)^D2788,"")</f>
        <v/>
      </c>
      <c r="N2788">
        <f>IF(B2788,EXP(SUMPRODUCT(LN(1+(EvEff-1)*INDEX(Affected,0,C2788)*EXP(-((E2788-EvCenter)^2)/(2*EvSigma^2))))),"")</f>
        <v/>
      </c>
      <c r="O2788">
        <f>IF(B2788,ROUND(MAX(0,J2788*K2788*L2788*M2788*N2788),2),"")</f>
        <v/>
      </c>
    </row>
    <row r="2789">
      <c r="A2789" t="n">
        <v>2788</v>
      </c>
      <c r="B2789">
        <f>A2789&lt;=MineCount*Days</f>
        <v/>
      </c>
      <c r="C2789">
        <f>IF(B2789,INT((A2789-1)/Days)+1,"")</f>
        <v/>
      </c>
      <c r="D2789">
        <f>IF(B2789,MOD(A2789-1,Days),"")</f>
        <v/>
      </c>
      <c r="E2789" s="16">
        <f>IF(B2789,StartDate+D2789,"")</f>
        <v/>
      </c>
      <c r="F2789">
        <f>IF(B2789,MAX(MOD(SIN(Seed*0.1373+C2789*12.9898+D2789*78.233)*43758.5453,1),1E-9),"")</f>
        <v/>
      </c>
      <c r="G2789">
        <f>IF(B2789,MOD(SIN(Seed*0.5917+C2789*39.3468+D2789*11.135)*24634.6345,1),"")</f>
        <v/>
      </c>
      <c r="H2789">
        <f>IF(B2789,SQRT(-2*LN(F2789))*COS(2*PI()*G2789),"")</f>
        <v/>
      </c>
      <c r="I2789">
        <f>IF(B2789,IF(D2789=0,H2789,Rho*I2788+SQRT(1-Rho^2)*H2789),"")</f>
        <v/>
      </c>
      <c r="J2789">
        <f>IF(B2789,IF(Dist="Normal",DistA+DistB*I2789,DistA+(DistB-DistA)*NORMSDIST(I2789)),"")</f>
        <v/>
      </c>
      <c r="K2789">
        <f>IF(B2789,INDEX(MineScale,C2789),"")</f>
        <v/>
      </c>
      <c r="L2789">
        <f>IF(B2789,INDEX(Dow,1,WEEKDAY(E2789,2)),"")</f>
        <v/>
      </c>
      <c r="M2789">
        <f>IF(B2789,(1+Trend)^D2789,"")</f>
        <v/>
      </c>
      <c r="N2789">
        <f>IF(B2789,EXP(SUMPRODUCT(LN(1+(EvEff-1)*INDEX(Affected,0,C2789)*EXP(-((E2789-EvCenter)^2)/(2*EvSigma^2))))),"")</f>
        <v/>
      </c>
      <c r="O2789">
        <f>IF(B2789,ROUND(MAX(0,J2789*K2789*L2789*M2789*N2789),2),"")</f>
        <v/>
      </c>
    </row>
    <row r="2790">
      <c r="A2790" t="n">
        <v>2789</v>
      </c>
      <c r="B2790">
        <f>A2790&lt;=MineCount*Days</f>
        <v/>
      </c>
      <c r="C2790">
        <f>IF(B2790,INT((A2790-1)/Days)+1,"")</f>
        <v/>
      </c>
      <c r="D2790">
        <f>IF(B2790,MOD(A2790-1,Days),"")</f>
        <v/>
      </c>
      <c r="E2790" s="16">
        <f>IF(B2790,StartDate+D2790,"")</f>
        <v/>
      </c>
      <c r="F2790">
        <f>IF(B2790,MAX(MOD(SIN(Seed*0.1373+C2790*12.9898+D2790*78.233)*43758.5453,1),1E-9),"")</f>
        <v/>
      </c>
      <c r="G2790">
        <f>IF(B2790,MOD(SIN(Seed*0.5917+C2790*39.3468+D2790*11.135)*24634.6345,1),"")</f>
        <v/>
      </c>
      <c r="H2790">
        <f>IF(B2790,SQRT(-2*LN(F2790))*COS(2*PI()*G2790),"")</f>
        <v/>
      </c>
      <c r="I2790">
        <f>IF(B2790,IF(D2790=0,H2790,Rho*I2789+SQRT(1-Rho^2)*H2790),"")</f>
        <v/>
      </c>
      <c r="J2790">
        <f>IF(B2790,IF(Dist="Normal",DistA+DistB*I2790,DistA+(DistB-DistA)*NORMSDIST(I2790)),"")</f>
        <v/>
      </c>
      <c r="K2790">
        <f>IF(B2790,INDEX(MineScale,C2790),"")</f>
        <v/>
      </c>
      <c r="L2790">
        <f>IF(B2790,INDEX(Dow,1,WEEKDAY(E2790,2)),"")</f>
        <v/>
      </c>
      <c r="M2790">
        <f>IF(B2790,(1+Trend)^D2790,"")</f>
        <v/>
      </c>
      <c r="N2790">
        <f>IF(B2790,EXP(SUMPRODUCT(LN(1+(EvEff-1)*INDEX(Affected,0,C2790)*EXP(-((E2790-EvCenter)^2)/(2*EvSigma^2))))),"")</f>
        <v/>
      </c>
      <c r="O2790">
        <f>IF(B2790,ROUND(MAX(0,J2790*K2790*L2790*M2790*N2790),2),"")</f>
        <v/>
      </c>
    </row>
    <row r="2791">
      <c r="A2791" t="n">
        <v>2790</v>
      </c>
      <c r="B2791">
        <f>A2791&lt;=MineCount*Days</f>
        <v/>
      </c>
      <c r="C2791">
        <f>IF(B2791,INT((A2791-1)/Days)+1,"")</f>
        <v/>
      </c>
      <c r="D2791">
        <f>IF(B2791,MOD(A2791-1,Days),"")</f>
        <v/>
      </c>
      <c r="E2791" s="16">
        <f>IF(B2791,StartDate+D2791,"")</f>
        <v/>
      </c>
      <c r="F2791">
        <f>IF(B2791,MAX(MOD(SIN(Seed*0.1373+C2791*12.9898+D2791*78.233)*43758.5453,1),1E-9),"")</f>
        <v/>
      </c>
      <c r="G2791">
        <f>IF(B2791,MOD(SIN(Seed*0.5917+C2791*39.3468+D2791*11.135)*24634.6345,1),"")</f>
        <v/>
      </c>
      <c r="H2791">
        <f>IF(B2791,SQRT(-2*LN(F2791))*COS(2*PI()*G2791),"")</f>
        <v/>
      </c>
      <c r="I2791">
        <f>IF(B2791,IF(D2791=0,H2791,Rho*I2790+SQRT(1-Rho^2)*H2791),"")</f>
        <v/>
      </c>
      <c r="J2791">
        <f>IF(B2791,IF(Dist="Normal",DistA+DistB*I2791,DistA+(DistB-DistA)*NORMSDIST(I2791)),"")</f>
        <v/>
      </c>
      <c r="K2791">
        <f>IF(B2791,INDEX(MineScale,C2791),"")</f>
        <v/>
      </c>
      <c r="L2791">
        <f>IF(B2791,INDEX(Dow,1,WEEKDAY(E2791,2)),"")</f>
        <v/>
      </c>
      <c r="M2791">
        <f>IF(B2791,(1+Trend)^D2791,"")</f>
        <v/>
      </c>
      <c r="N2791">
        <f>IF(B2791,EXP(SUMPRODUCT(LN(1+(EvEff-1)*INDEX(Affected,0,C2791)*EXP(-((E2791-EvCenter)^2)/(2*EvSigma^2))))),"")</f>
        <v/>
      </c>
      <c r="O2791">
        <f>IF(B2791,ROUND(MAX(0,J2791*K2791*L2791*M2791*N2791),2),"")</f>
        <v/>
      </c>
    </row>
    <row r="2792">
      <c r="A2792" t="n">
        <v>2791</v>
      </c>
      <c r="B2792">
        <f>A2792&lt;=MineCount*Days</f>
        <v/>
      </c>
      <c r="C2792">
        <f>IF(B2792,INT((A2792-1)/Days)+1,"")</f>
        <v/>
      </c>
      <c r="D2792">
        <f>IF(B2792,MOD(A2792-1,Days),"")</f>
        <v/>
      </c>
      <c r="E2792" s="16">
        <f>IF(B2792,StartDate+D2792,"")</f>
        <v/>
      </c>
      <c r="F2792">
        <f>IF(B2792,MAX(MOD(SIN(Seed*0.1373+C2792*12.9898+D2792*78.233)*43758.5453,1),1E-9),"")</f>
        <v/>
      </c>
      <c r="G2792">
        <f>IF(B2792,MOD(SIN(Seed*0.5917+C2792*39.3468+D2792*11.135)*24634.6345,1),"")</f>
        <v/>
      </c>
      <c r="H2792">
        <f>IF(B2792,SQRT(-2*LN(F2792))*COS(2*PI()*G2792),"")</f>
        <v/>
      </c>
      <c r="I2792">
        <f>IF(B2792,IF(D2792=0,H2792,Rho*I2791+SQRT(1-Rho^2)*H2792),"")</f>
        <v/>
      </c>
      <c r="J2792">
        <f>IF(B2792,IF(Dist="Normal",DistA+DistB*I2792,DistA+(DistB-DistA)*NORMSDIST(I2792)),"")</f>
        <v/>
      </c>
      <c r="K2792">
        <f>IF(B2792,INDEX(MineScale,C2792),"")</f>
        <v/>
      </c>
      <c r="L2792">
        <f>IF(B2792,INDEX(Dow,1,WEEKDAY(E2792,2)),"")</f>
        <v/>
      </c>
      <c r="M2792">
        <f>IF(B2792,(1+Trend)^D2792,"")</f>
        <v/>
      </c>
      <c r="N2792">
        <f>IF(B2792,EXP(SUMPRODUCT(LN(1+(EvEff-1)*INDEX(Affected,0,C2792)*EXP(-((E2792-EvCenter)^2)/(2*EvSigma^2))))),"")</f>
        <v/>
      </c>
      <c r="O2792">
        <f>IF(B2792,ROUND(MAX(0,J2792*K2792*L2792*M2792*N2792),2),"")</f>
        <v/>
      </c>
    </row>
    <row r="2793">
      <c r="A2793" t="n">
        <v>2792</v>
      </c>
      <c r="B2793">
        <f>A2793&lt;=MineCount*Days</f>
        <v/>
      </c>
      <c r="C2793">
        <f>IF(B2793,INT((A2793-1)/Days)+1,"")</f>
        <v/>
      </c>
      <c r="D2793">
        <f>IF(B2793,MOD(A2793-1,Days),"")</f>
        <v/>
      </c>
      <c r="E2793" s="16">
        <f>IF(B2793,StartDate+D2793,"")</f>
        <v/>
      </c>
      <c r="F2793">
        <f>IF(B2793,MAX(MOD(SIN(Seed*0.1373+C2793*12.9898+D2793*78.233)*43758.5453,1),1E-9),"")</f>
        <v/>
      </c>
      <c r="G2793">
        <f>IF(B2793,MOD(SIN(Seed*0.5917+C2793*39.3468+D2793*11.135)*24634.6345,1),"")</f>
        <v/>
      </c>
      <c r="H2793">
        <f>IF(B2793,SQRT(-2*LN(F2793))*COS(2*PI()*G2793),"")</f>
        <v/>
      </c>
      <c r="I2793">
        <f>IF(B2793,IF(D2793=0,H2793,Rho*I2792+SQRT(1-Rho^2)*H2793),"")</f>
        <v/>
      </c>
      <c r="J2793">
        <f>IF(B2793,IF(Dist="Normal",DistA+DistB*I2793,DistA+(DistB-DistA)*NORMSDIST(I2793)),"")</f>
        <v/>
      </c>
      <c r="K2793">
        <f>IF(B2793,INDEX(MineScale,C2793),"")</f>
        <v/>
      </c>
      <c r="L2793">
        <f>IF(B2793,INDEX(Dow,1,WEEKDAY(E2793,2)),"")</f>
        <v/>
      </c>
      <c r="M2793">
        <f>IF(B2793,(1+Trend)^D2793,"")</f>
        <v/>
      </c>
      <c r="N2793">
        <f>IF(B2793,EXP(SUMPRODUCT(LN(1+(EvEff-1)*INDEX(Affected,0,C2793)*EXP(-((E2793-EvCenter)^2)/(2*EvSigma^2))))),"")</f>
        <v/>
      </c>
      <c r="O2793">
        <f>IF(B2793,ROUND(MAX(0,J2793*K2793*L2793*M2793*N2793),2),"")</f>
        <v/>
      </c>
    </row>
    <row r="2794">
      <c r="A2794" t="n">
        <v>2793</v>
      </c>
      <c r="B2794">
        <f>A2794&lt;=MineCount*Days</f>
        <v/>
      </c>
      <c r="C2794">
        <f>IF(B2794,INT((A2794-1)/Days)+1,"")</f>
        <v/>
      </c>
      <c r="D2794">
        <f>IF(B2794,MOD(A2794-1,Days),"")</f>
        <v/>
      </c>
      <c r="E2794" s="16">
        <f>IF(B2794,StartDate+D2794,"")</f>
        <v/>
      </c>
      <c r="F2794">
        <f>IF(B2794,MAX(MOD(SIN(Seed*0.1373+C2794*12.9898+D2794*78.233)*43758.5453,1),1E-9),"")</f>
        <v/>
      </c>
      <c r="G2794">
        <f>IF(B2794,MOD(SIN(Seed*0.5917+C2794*39.3468+D2794*11.135)*24634.6345,1),"")</f>
        <v/>
      </c>
      <c r="H2794">
        <f>IF(B2794,SQRT(-2*LN(F2794))*COS(2*PI()*G2794),"")</f>
        <v/>
      </c>
      <c r="I2794">
        <f>IF(B2794,IF(D2794=0,H2794,Rho*I2793+SQRT(1-Rho^2)*H2794),"")</f>
        <v/>
      </c>
      <c r="J2794">
        <f>IF(B2794,IF(Dist="Normal",DistA+DistB*I2794,DistA+(DistB-DistA)*NORMSDIST(I2794)),"")</f>
        <v/>
      </c>
      <c r="K2794">
        <f>IF(B2794,INDEX(MineScale,C2794),"")</f>
        <v/>
      </c>
      <c r="L2794">
        <f>IF(B2794,INDEX(Dow,1,WEEKDAY(E2794,2)),"")</f>
        <v/>
      </c>
      <c r="M2794">
        <f>IF(B2794,(1+Trend)^D2794,"")</f>
        <v/>
      </c>
      <c r="N2794">
        <f>IF(B2794,EXP(SUMPRODUCT(LN(1+(EvEff-1)*INDEX(Affected,0,C2794)*EXP(-((E2794-EvCenter)^2)/(2*EvSigma^2))))),"")</f>
        <v/>
      </c>
      <c r="O2794">
        <f>IF(B2794,ROUND(MAX(0,J2794*K2794*L2794*M2794*N2794),2),"")</f>
        <v/>
      </c>
    </row>
    <row r="2795">
      <c r="A2795" t="n">
        <v>2794</v>
      </c>
      <c r="B2795">
        <f>A2795&lt;=MineCount*Days</f>
        <v/>
      </c>
      <c r="C2795">
        <f>IF(B2795,INT((A2795-1)/Days)+1,"")</f>
        <v/>
      </c>
      <c r="D2795">
        <f>IF(B2795,MOD(A2795-1,Days),"")</f>
        <v/>
      </c>
      <c r="E2795" s="16">
        <f>IF(B2795,StartDate+D2795,"")</f>
        <v/>
      </c>
      <c r="F2795">
        <f>IF(B2795,MAX(MOD(SIN(Seed*0.1373+C2795*12.9898+D2795*78.233)*43758.5453,1),1E-9),"")</f>
        <v/>
      </c>
      <c r="G2795">
        <f>IF(B2795,MOD(SIN(Seed*0.5917+C2795*39.3468+D2795*11.135)*24634.6345,1),"")</f>
        <v/>
      </c>
      <c r="H2795">
        <f>IF(B2795,SQRT(-2*LN(F2795))*COS(2*PI()*G2795),"")</f>
        <v/>
      </c>
      <c r="I2795">
        <f>IF(B2795,IF(D2795=0,H2795,Rho*I2794+SQRT(1-Rho^2)*H2795),"")</f>
        <v/>
      </c>
      <c r="J2795">
        <f>IF(B2795,IF(Dist="Normal",DistA+DistB*I2795,DistA+(DistB-DistA)*NORMSDIST(I2795)),"")</f>
        <v/>
      </c>
      <c r="K2795">
        <f>IF(B2795,INDEX(MineScale,C2795),"")</f>
        <v/>
      </c>
      <c r="L2795">
        <f>IF(B2795,INDEX(Dow,1,WEEKDAY(E2795,2)),"")</f>
        <v/>
      </c>
      <c r="M2795">
        <f>IF(B2795,(1+Trend)^D2795,"")</f>
        <v/>
      </c>
      <c r="N2795">
        <f>IF(B2795,EXP(SUMPRODUCT(LN(1+(EvEff-1)*INDEX(Affected,0,C2795)*EXP(-((E2795-EvCenter)^2)/(2*EvSigma^2))))),"")</f>
        <v/>
      </c>
      <c r="O2795">
        <f>IF(B2795,ROUND(MAX(0,J2795*K2795*L2795*M2795*N2795),2),"")</f>
        <v/>
      </c>
    </row>
    <row r="2796">
      <c r="A2796" t="n">
        <v>2795</v>
      </c>
      <c r="B2796">
        <f>A2796&lt;=MineCount*Days</f>
        <v/>
      </c>
      <c r="C2796">
        <f>IF(B2796,INT((A2796-1)/Days)+1,"")</f>
        <v/>
      </c>
      <c r="D2796">
        <f>IF(B2796,MOD(A2796-1,Days),"")</f>
        <v/>
      </c>
      <c r="E2796" s="16">
        <f>IF(B2796,StartDate+D2796,"")</f>
        <v/>
      </c>
      <c r="F2796">
        <f>IF(B2796,MAX(MOD(SIN(Seed*0.1373+C2796*12.9898+D2796*78.233)*43758.5453,1),1E-9),"")</f>
        <v/>
      </c>
      <c r="G2796">
        <f>IF(B2796,MOD(SIN(Seed*0.5917+C2796*39.3468+D2796*11.135)*24634.6345,1),"")</f>
        <v/>
      </c>
      <c r="H2796">
        <f>IF(B2796,SQRT(-2*LN(F2796))*COS(2*PI()*G2796),"")</f>
        <v/>
      </c>
      <c r="I2796">
        <f>IF(B2796,IF(D2796=0,H2796,Rho*I2795+SQRT(1-Rho^2)*H2796),"")</f>
        <v/>
      </c>
      <c r="J2796">
        <f>IF(B2796,IF(Dist="Normal",DistA+DistB*I2796,DistA+(DistB-DistA)*NORMSDIST(I2796)),"")</f>
        <v/>
      </c>
      <c r="K2796">
        <f>IF(B2796,INDEX(MineScale,C2796),"")</f>
        <v/>
      </c>
      <c r="L2796">
        <f>IF(B2796,INDEX(Dow,1,WEEKDAY(E2796,2)),"")</f>
        <v/>
      </c>
      <c r="M2796">
        <f>IF(B2796,(1+Trend)^D2796,"")</f>
        <v/>
      </c>
      <c r="N2796">
        <f>IF(B2796,EXP(SUMPRODUCT(LN(1+(EvEff-1)*INDEX(Affected,0,C2796)*EXP(-((E2796-EvCenter)^2)/(2*EvSigma^2))))),"")</f>
        <v/>
      </c>
      <c r="O2796">
        <f>IF(B2796,ROUND(MAX(0,J2796*K2796*L2796*M2796*N2796),2),"")</f>
        <v/>
      </c>
    </row>
    <row r="2797">
      <c r="A2797" t="n">
        <v>2796</v>
      </c>
      <c r="B2797">
        <f>A2797&lt;=MineCount*Days</f>
        <v/>
      </c>
      <c r="C2797">
        <f>IF(B2797,INT((A2797-1)/Days)+1,"")</f>
        <v/>
      </c>
      <c r="D2797">
        <f>IF(B2797,MOD(A2797-1,Days),"")</f>
        <v/>
      </c>
      <c r="E2797" s="16">
        <f>IF(B2797,StartDate+D2797,"")</f>
        <v/>
      </c>
      <c r="F2797">
        <f>IF(B2797,MAX(MOD(SIN(Seed*0.1373+C2797*12.9898+D2797*78.233)*43758.5453,1),1E-9),"")</f>
        <v/>
      </c>
      <c r="G2797">
        <f>IF(B2797,MOD(SIN(Seed*0.5917+C2797*39.3468+D2797*11.135)*24634.6345,1),"")</f>
        <v/>
      </c>
      <c r="H2797">
        <f>IF(B2797,SQRT(-2*LN(F2797))*COS(2*PI()*G2797),"")</f>
        <v/>
      </c>
      <c r="I2797">
        <f>IF(B2797,IF(D2797=0,H2797,Rho*I2796+SQRT(1-Rho^2)*H2797),"")</f>
        <v/>
      </c>
      <c r="J2797">
        <f>IF(B2797,IF(Dist="Normal",DistA+DistB*I2797,DistA+(DistB-DistA)*NORMSDIST(I2797)),"")</f>
        <v/>
      </c>
      <c r="K2797">
        <f>IF(B2797,INDEX(MineScale,C2797),"")</f>
        <v/>
      </c>
      <c r="L2797">
        <f>IF(B2797,INDEX(Dow,1,WEEKDAY(E2797,2)),"")</f>
        <v/>
      </c>
      <c r="M2797">
        <f>IF(B2797,(1+Trend)^D2797,"")</f>
        <v/>
      </c>
      <c r="N2797">
        <f>IF(B2797,EXP(SUMPRODUCT(LN(1+(EvEff-1)*INDEX(Affected,0,C2797)*EXP(-((E2797-EvCenter)^2)/(2*EvSigma^2))))),"")</f>
        <v/>
      </c>
      <c r="O2797">
        <f>IF(B2797,ROUND(MAX(0,J2797*K2797*L2797*M2797*N2797),2),"")</f>
        <v/>
      </c>
    </row>
    <row r="2798">
      <c r="A2798" t="n">
        <v>2797</v>
      </c>
      <c r="B2798">
        <f>A2798&lt;=MineCount*Days</f>
        <v/>
      </c>
      <c r="C2798">
        <f>IF(B2798,INT((A2798-1)/Days)+1,"")</f>
        <v/>
      </c>
      <c r="D2798">
        <f>IF(B2798,MOD(A2798-1,Days),"")</f>
        <v/>
      </c>
      <c r="E2798" s="16">
        <f>IF(B2798,StartDate+D2798,"")</f>
        <v/>
      </c>
      <c r="F2798">
        <f>IF(B2798,MAX(MOD(SIN(Seed*0.1373+C2798*12.9898+D2798*78.233)*43758.5453,1),1E-9),"")</f>
        <v/>
      </c>
      <c r="G2798">
        <f>IF(B2798,MOD(SIN(Seed*0.5917+C2798*39.3468+D2798*11.135)*24634.6345,1),"")</f>
        <v/>
      </c>
      <c r="H2798">
        <f>IF(B2798,SQRT(-2*LN(F2798))*COS(2*PI()*G2798),"")</f>
        <v/>
      </c>
      <c r="I2798">
        <f>IF(B2798,IF(D2798=0,H2798,Rho*I2797+SQRT(1-Rho^2)*H2798),"")</f>
        <v/>
      </c>
      <c r="J2798">
        <f>IF(B2798,IF(Dist="Normal",DistA+DistB*I2798,DistA+(DistB-DistA)*NORMSDIST(I2798)),"")</f>
        <v/>
      </c>
      <c r="K2798">
        <f>IF(B2798,INDEX(MineScale,C2798),"")</f>
        <v/>
      </c>
      <c r="L2798">
        <f>IF(B2798,INDEX(Dow,1,WEEKDAY(E2798,2)),"")</f>
        <v/>
      </c>
      <c r="M2798">
        <f>IF(B2798,(1+Trend)^D2798,"")</f>
        <v/>
      </c>
      <c r="N2798">
        <f>IF(B2798,EXP(SUMPRODUCT(LN(1+(EvEff-1)*INDEX(Affected,0,C2798)*EXP(-((E2798-EvCenter)^2)/(2*EvSigma^2))))),"")</f>
        <v/>
      </c>
      <c r="O2798">
        <f>IF(B2798,ROUND(MAX(0,J2798*K2798*L2798*M2798*N2798),2),"")</f>
        <v/>
      </c>
    </row>
    <row r="2799">
      <c r="A2799" t="n">
        <v>2798</v>
      </c>
      <c r="B2799">
        <f>A2799&lt;=MineCount*Days</f>
        <v/>
      </c>
      <c r="C2799">
        <f>IF(B2799,INT((A2799-1)/Days)+1,"")</f>
        <v/>
      </c>
      <c r="D2799">
        <f>IF(B2799,MOD(A2799-1,Days),"")</f>
        <v/>
      </c>
      <c r="E2799" s="16">
        <f>IF(B2799,StartDate+D2799,"")</f>
        <v/>
      </c>
      <c r="F2799">
        <f>IF(B2799,MAX(MOD(SIN(Seed*0.1373+C2799*12.9898+D2799*78.233)*43758.5453,1),1E-9),"")</f>
        <v/>
      </c>
      <c r="G2799">
        <f>IF(B2799,MOD(SIN(Seed*0.5917+C2799*39.3468+D2799*11.135)*24634.6345,1),"")</f>
        <v/>
      </c>
      <c r="H2799">
        <f>IF(B2799,SQRT(-2*LN(F2799))*COS(2*PI()*G2799),"")</f>
        <v/>
      </c>
      <c r="I2799">
        <f>IF(B2799,IF(D2799=0,H2799,Rho*I2798+SQRT(1-Rho^2)*H2799),"")</f>
        <v/>
      </c>
      <c r="J2799">
        <f>IF(B2799,IF(Dist="Normal",DistA+DistB*I2799,DistA+(DistB-DistA)*NORMSDIST(I2799)),"")</f>
        <v/>
      </c>
      <c r="K2799">
        <f>IF(B2799,INDEX(MineScale,C2799),"")</f>
        <v/>
      </c>
      <c r="L2799">
        <f>IF(B2799,INDEX(Dow,1,WEEKDAY(E2799,2)),"")</f>
        <v/>
      </c>
      <c r="M2799">
        <f>IF(B2799,(1+Trend)^D2799,"")</f>
        <v/>
      </c>
      <c r="N2799">
        <f>IF(B2799,EXP(SUMPRODUCT(LN(1+(EvEff-1)*INDEX(Affected,0,C2799)*EXP(-((E2799-EvCenter)^2)/(2*EvSigma^2))))),"")</f>
        <v/>
      </c>
      <c r="O2799">
        <f>IF(B2799,ROUND(MAX(0,J2799*K2799*L2799*M2799*N2799),2),"")</f>
        <v/>
      </c>
    </row>
    <row r="2800">
      <c r="A2800" t="n">
        <v>2799</v>
      </c>
      <c r="B2800">
        <f>A2800&lt;=MineCount*Days</f>
        <v/>
      </c>
      <c r="C2800">
        <f>IF(B2800,INT((A2800-1)/Days)+1,"")</f>
        <v/>
      </c>
      <c r="D2800">
        <f>IF(B2800,MOD(A2800-1,Days),"")</f>
        <v/>
      </c>
      <c r="E2800" s="16">
        <f>IF(B2800,StartDate+D2800,"")</f>
        <v/>
      </c>
      <c r="F2800">
        <f>IF(B2800,MAX(MOD(SIN(Seed*0.1373+C2800*12.9898+D2800*78.233)*43758.5453,1),1E-9),"")</f>
        <v/>
      </c>
      <c r="G2800">
        <f>IF(B2800,MOD(SIN(Seed*0.5917+C2800*39.3468+D2800*11.135)*24634.6345,1),"")</f>
        <v/>
      </c>
      <c r="H2800">
        <f>IF(B2800,SQRT(-2*LN(F2800))*COS(2*PI()*G2800),"")</f>
        <v/>
      </c>
      <c r="I2800">
        <f>IF(B2800,IF(D2800=0,H2800,Rho*I2799+SQRT(1-Rho^2)*H2800),"")</f>
        <v/>
      </c>
      <c r="J2800">
        <f>IF(B2800,IF(Dist="Normal",DistA+DistB*I2800,DistA+(DistB-DistA)*NORMSDIST(I2800)),"")</f>
        <v/>
      </c>
      <c r="K2800">
        <f>IF(B2800,INDEX(MineScale,C2800),"")</f>
        <v/>
      </c>
      <c r="L2800">
        <f>IF(B2800,INDEX(Dow,1,WEEKDAY(E2800,2)),"")</f>
        <v/>
      </c>
      <c r="M2800">
        <f>IF(B2800,(1+Trend)^D2800,"")</f>
        <v/>
      </c>
      <c r="N2800">
        <f>IF(B2800,EXP(SUMPRODUCT(LN(1+(EvEff-1)*INDEX(Affected,0,C2800)*EXP(-((E2800-EvCenter)^2)/(2*EvSigma^2))))),"")</f>
        <v/>
      </c>
      <c r="O2800">
        <f>IF(B2800,ROUND(MAX(0,J2800*K2800*L2800*M2800*N2800),2),"")</f>
        <v/>
      </c>
    </row>
    <row r="2801">
      <c r="A2801" t="n">
        <v>2800</v>
      </c>
      <c r="B2801">
        <f>A2801&lt;=MineCount*Days</f>
        <v/>
      </c>
      <c r="C2801">
        <f>IF(B2801,INT((A2801-1)/Days)+1,"")</f>
        <v/>
      </c>
      <c r="D2801">
        <f>IF(B2801,MOD(A2801-1,Days),"")</f>
        <v/>
      </c>
      <c r="E2801" s="16">
        <f>IF(B2801,StartDate+D2801,"")</f>
        <v/>
      </c>
      <c r="F2801">
        <f>IF(B2801,MAX(MOD(SIN(Seed*0.1373+C2801*12.9898+D2801*78.233)*43758.5453,1),1E-9),"")</f>
        <v/>
      </c>
      <c r="G2801">
        <f>IF(B2801,MOD(SIN(Seed*0.5917+C2801*39.3468+D2801*11.135)*24634.6345,1),"")</f>
        <v/>
      </c>
      <c r="H2801">
        <f>IF(B2801,SQRT(-2*LN(F2801))*COS(2*PI()*G2801),"")</f>
        <v/>
      </c>
      <c r="I2801">
        <f>IF(B2801,IF(D2801=0,H2801,Rho*I2800+SQRT(1-Rho^2)*H2801),"")</f>
        <v/>
      </c>
      <c r="J2801">
        <f>IF(B2801,IF(Dist="Normal",DistA+DistB*I2801,DistA+(DistB-DistA)*NORMSDIST(I2801)),"")</f>
        <v/>
      </c>
      <c r="K2801">
        <f>IF(B2801,INDEX(MineScale,C2801),"")</f>
        <v/>
      </c>
      <c r="L2801">
        <f>IF(B2801,INDEX(Dow,1,WEEKDAY(E2801,2)),"")</f>
        <v/>
      </c>
      <c r="M2801">
        <f>IF(B2801,(1+Trend)^D2801,"")</f>
        <v/>
      </c>
      <c r="N2801">
        <f>IF(B2801,EXP(SUMPRODUCT(LN(1+(EvEff-1)*INDEX(Affected,0,C2801)*EXP(-((E2801-EvCenter)^2)/(2*EvSigma^2))))),"")</f>
        <v/>
      </c>
      <c r="O2801">
        <f>IF(B2801,ROUND(MAX(0,J2801*K2801*L2801*M2801*N2801),2),"")</f>
        <v/>
      </c>
    </row>
    <row r="2802">
      <c r="A2802" t="n">
        <v>2801</v>
      </c>
      <c r="B2802">
        <f>A2802&lt;=MineCount*Days</f>
        <v/>
      </c>
      <c r="C2802">
        <f>IF(B2802,INT((A2802-1)/Days)+1,"")</f>
        <v/>
      </c>
      <c r="D2802">
        <f>IF(B2802,MOD(A2802-1,Days),"")</f>
        <v/>
      </c>
      <c r="E2802" s="16">
        <f>IF(B2802,StartDate+D2802,"")</f>
        <v/>
      </c>
      <c r="F2802">
        <f>IF(B2802,MAX(MOD(SIN(Seed*0.1373+C2802*12.9898+D2802*78.233)*43758.5453,1),1E-9),"")</f>
        <v/>
      </c>
      <c r="G2802">
        <f>IF(B2802,MOD(SIN(Seed*0.5917+C2802*39.3468+D2802*11.135)*24634.6345,1),"")</f>
        <v/>
      </c>
      <c r="H2802">
        <f>IF(B2802,SQRT(-2*LN(F2802))*COS(2*PI()*G2802),"")</f>
        <v/>
      </c>
      <c r="I2802">
        <f>IF(B2802,IF(D2802=0,H2802,Rho*I2801+SQRT(1-Rho^2)*H2802),"")</f>
        <v/>
      </c>
      <c r="J2802">
        <f>IF(B2802,IF(Dist="Normal",DistA+DistB*I2802,DistA+(DistB-DistA)*NORMSDIST(I2802)),"")</f>
        <v/>
      </c>
      <c r="K2802">
        <f>IF(B2802,INDEX(MineScale,C2802),"")</f>
        <v/>
      </c>
      <c r="L2802">
        <f>IF(B2802,INDEX(Dow,1,WEEKDAY(E2802,2)),"")</f>
        <v/>
      </c>
      <c r="M2802">
        <f>IF(B2802,(1+Trend)^D2802,"")</f>
        <v/>
      </c>
      <c r="N2802">
        <f>IF(B2802,EXP(SUMPRODUCT(LN(1+(EvEff-1)*INDEX(Affected,0,C2802)*EXP(-((E2802-EvCenter)^2)/(2*EvSigma^2))))),"")</f>
        <v/>
      </c>
      <c r="O2802">
        <f>IF(B2802,ROUND(MAX(0,J2802*K2802*L2802*M2802*N2802),2),"")</f>
        <v/>
      </c>
    </row>
    <row r="2803">
      <c r="A2803" t="n">
        <v>2802</v>
      </c>
      <c r="B2803">
        <f>A2803&lt;=MineCount*Days</f>
        <v/>
      </c>
      <c r="C2803">
        <f>IF(B2803,INT((A2803-1)/Days)+1,"")</f>
        <v/>
      </c>
      <c r="D2803">
        <f>IF(B2803,MOD(A2803-1,Days),"")</f>
        <v/>
      </c>
      <c r="E2803" s="16">
        <f>IF(B2803,StartDate+D2803,"")</f>
        <v/>
      </c>
      <c r="F2803">
        <f>IF(B2803,MAX(MOD(SIN(Seed*0.1373+C2803*12.9898+D2803*78.233)*43758.5453,1),1E-9),"")</f>
        <v/>
      </c>
      <c r="G2803">
        <f>IF(B2803,MOD(SIN(Seed*0.5917+C2803*39.3468+D2803*11.135)*24634.6345,1),"")</f>
        <v/>
      </c>
      <c r="H2803">
        <f>IF(B2803,SQRT(-2*LN(F2803))*COS(2*PI()*G2803),"")</f>
        <v/>
      </c>
      <c r="I2803">
        <f>IF(B2803,IF(D2803=0,H2803,Rho*I2802+SQRT(1-Rho^2)*H2803),"")</f>
        <v/>
      </c>
      <c r="J2803">
        <f>IF(B2803,IF(Dist="Normal",DistA+DistB*I2803,DistA+(DistB-DistA)*NORMSDIST(I2803)),"")</f>
        <v/>
      </c>
      <c r="K2803">
        <f>IF(B2803,INDEX(MineScale,C2803),"")</f>
        <v/>
      </c>
      <c r="L2803">
        <f>IF(B2803,INDEX(Dow,1,WEEKDAY(E2803,2)),"")</f>
        <v/>
      </c>
      <c r="M2803">
        <f>IF(B2803,(1+Trend)^D2803,"")</f>
        <v/>
      </c>
      <c r="N2803">
        <f>IF(B2803,EXP(SUMPRODUCT(LN(1+(EvEff-1)*INDEX(Affected,0,C2803)*EXP(-((E2803-EvCenter)^2)/(2*EvSigma^2))))),"")</f>
        <v/>
      </c>
      <c r="O2803">
        <f>IF(B2803,ROUND(MAX(0,J2803*K2803*L2803*M2803*N2803),2),"")</f>
        <v/>
      </c>
    </row>
    <row r="2804">
      <c r="A2804" t="n">
        <v>2803</v>
      </c>
      <c r="B2804">
        <f>A2804&lt;=MineCount*Days</f>
        <v/>
      </c>
      <c r="C2804">
        <f>IF(B2804,INT((A2804-1)/Days)+1,"")</f>
        <v/>
      </c>
      <c r="D2804">
        <f>IF(B2804,MOD(A2804-1,Days),"")</f>
        <v/>
      </c>
      <c r="E2804" s="16">
        <f>IF(B2804,StartDate+D2804,"")</f>
        <v/>
      </c>
      <c r="F2804">
        <f>IF(B2804,MAX(MOD(SIN(Seed*0.1373+C2804*12.9898+D2804*78.233)*43758.5453,1),1E-9),"")</f>
        <v/>
      </c>
      <c r="G2804">
        <f>IF(B2804,MOD(SIN(Seed*0.5917+C2804*39.3468+D2804*11.135)*24634.6345,1),"")</f>
        <v/>
      </c>
      <c r="H2804">
        <f>IF(B2804,SQRT(-2*LN(F2804))*COS(2*PI()*G2804),"")</f>
        <v/>
      </c>
      <c r="I2804">
        <f>IF(B2804,IF(D2804=0,H2804,Rho*I2803+SQRT(1-Rho^2)*H2804),"")</f>
        <v/>
      </c>
      <c r="J2804">
        <f>IF(B2804,IF(Dist="Normal",DistA+DistB*I2804,DistA+(DistB-DistA)*NORMSDIST(I2804)),"")</f>
        <v/>
      </c>
      <c r="K2804">
        <f>IF(B2804,INDEX(MineScale,C2804),"")</f>
        <v/>
      </c>
      <c r="L2804">
        <f>IF(B2804,INDEX(Dow,1,WEEKDAY(E2804,2)),"")</f>
        <v/>
      </c>
      <c r="M2804">
        <f>IF(B2804,(1+Trend)^D2804,"")</f>
        <v/>
      </c>
      <c r="N2804">
        <f>IF(B2804,EXP(SUMPRODUCT(LN(1+(EvEff-1)*INDEX(Affected,0,C2804)*EXP(-((E2804-EvCenter)^2)/(2*EvSigma^2))))),"")</f>
        <v/>
      </c>
      <c r="O2804">
        <f>IF(B2804,ROUND(MAX(0,J2804*K2804*L2804*M2804*N2804),2),"")</f>
        <v/>
      </c>
    </row>
    <row r="2805">
      <c r="A2805" t="n">
        <v>2804</v>
      </c>
      <c r="B2805">
        <f>A2805&lt;=MineCount*Days</f>
        <v/>
      </c>
      <c r="C2805">
        <f>IF(B2805,INT((A2805-1)/Days)+1,"")</f>
        <v/>
      </c>
      <c r="D2805">
        <f>IF(B2805,MOD(A2805-1,Days),"")</f>
        <v/>
      </c>
      <c r="E2805" s="16">
        <f>IF(B2805,StartDate+D2805,"")</f>
        <v/>
      </c>
      <c r="F2805">
        <f>IF(B2805,MAX(MOD(SIN(Seed*0.1373+C2805*12.9898+D2805*78.233)*43758.5453,1),1E-9),"")</f>
        <v/>
      </c>
      <c r="G2805">
        <f>IF(B2805,MOD(SIN(Seed*0.5917+C2805*39.3468+D2805*11.135)*24634.6345,1),"")</f>
        <v/>
      </c>
      <c r="H2805">
        <f>IF(B2805,SQRT(-2*LN(F2805))*COS(2*PI()*G2805),"")</f>
        <v/>
      </c>
      <c r="I2805">
        <f>IF(B2805,IF(D2805=0,H2805,Rho*I2804+SQRT(1-Rho^2)*H2805),"")</f>
        <v/>
      </c>
      <c r="J2805">
        <f>IF(B2805,IF(Dist="Normal",DistA+DistB*I2805,DistA+(DistB-DistA)*NORMSDIST(I2805)),"")</f>
        <v/>
      </c>
      <c r="K2805">
        <f>IF(B2805,INDEX(MineScale,C2805),"")</f>
        <v/>
      </c>
      <c r="L2805">
        <f>IF(B2805,INDEX(Dow,1,WEEKDAY(E2805,2)),"")</f>
        <v/>
      </c>
      <c r="M2805">
        <f>IF(B2805,(1+Trend)^D2805,"")</f>
        <v/>
      </c>
      <c r="N2805">
        <f>IF(B2805,EXP(SUMPRODUCT(LN(1+(EvEff-1)*INDEX(Affected,0,C2805)*EXP(-((E2805-EvCenter)^2)/(2*EvSigma^2))))),"")</f>
        <v/>
      </c>
      <c r="O2805">
        <f>IF(B2805,ROUND(MAX(0,J2805*K2805*L2805*M2805*N2805),2),"")</f>
        <v/>
      </c>
    </row>
    <row r="2806">
      <c r="A2806" t="n">
        <v>2805</v>
      </c>
      <c r="B2806">
        <f>A2806&lt;=MineCount*Days</f>
        <v/>
      </c>
      <c r="C2806">
        <f>IF(B2806,INT((A2806-1)/Days)+1,"")</f>
        <v/>
      </c>
      <c r="D2806">
        <f>IF(B2806,MOD(A2806-1,Days),"")</f>
        <v/>
      </c>
      <c r="E2806" s="16">
        <f>IF(B2806,StartDate+D2806,"")</f>
        <v/>
      </c>
      <c r="F2806">
        <f>IF(B2806,MAX(MOD(SIN(Seed*0.1373+C2806*12.9898+D2806*78.233)*43758.5453,1),1E-9),"")</f>
        <v/>
      </c>
      <c r="G2806">
        <f>IF(B2806,MOD(SIN(Seed*0.5917+C2806*39.3468+D2806*11.135)*24634.6345,1),"")</f>
        <v/>
      </c>
      <c r="H2806">
        <f>IF(B2806,SQRT(-2*LN(F2806))*COS(2*PI()*G2806),"")</f>
        <v/>
      </c>
      <c r="I2806">
        <f>IF(B2806,IF(D2806=0,H2806,Rho*I2805+SQRT(1-Rho^2)*H2806),"")</f>
        <v/>
      </c>
      <c r="J2806">
        <f>IF(B2806,IF(Dist="Normal",DistA+DistB*I2806,DistA+(DistB-DistA)*NORMSDIST(I2806)),"")</f>
        <v/>
      </c>
      <c r="K2806">
        <f>IF(B2806,INDEX(MineScale,C2806),"")</f>
        <v/>
      </c>
      <c r="L2806">
        <f>IF(B2806,INDEX(Dow,1,WEEKDAY(E2806,2)),"")</f>
        <v/>
      </c>
      <c r="M2806">
        <f>IF(B2806,(1+Trend)^D2806,"")</f>
        <v/>
      </c>
      <c r="N2806">
        <f>IF(B2806,EXP(SUMPRODUCT(LN(1+(EvEff-1)*INDEX(Affected,0,C2806)*EXP(-((E2806-EvCenter)^2)/(2*EvSigma^2))))),"")</f>
        <v/>
      </c>
      <c r="O2806">
        <f>IF(B2806,ROUND(MAX(0,J2806*K2806*L2806*M2806*N2806),2),"")</f>
        <v/>
      </c>
    </row>
    <row r="2807">
      <c r="A2807" t="n">
        <v>2806</v>
      </c>
      <c r="B2807">
        <f>A2807&lt;=MineCount*Days</f>
        <v/>
      </c>
      <c r="C2807">
        <f>IF(B2807,INT((A2807-1)/Days)+1,"")</f>
        <v/>
      </c>
      <c r="D2807">
        <f>IF(B2807,MOD(A2807-1,Days),"")</f>
        <v/>
      </c>
      <c r="E2807" s="16">
        <f>IF(B2807,StartDate+D2807,"")</f>
        <v/>
      </c>
      <c r="F2807">
        <f>IF(B2807,MAX(MOD(SIN(Seed*0.1373+C2807*12.9898+D2807*78.233)*43758.5453,1),1E-9),"")</f>
        <v/>
      </c>
      <c r="G2807">
        <f>IF(B2807,MOD(SIN(Seed*0.5917+C2807*39.3468+D2807*11.135)*24634.6345,1),"")</f>
        <v/>
      </c>
      <c r="H2807">
        <f>IF(B2807,SQRT(-2*LN(F2807))*COS(2*PI()*G2807),"")</f>
        <v/>
      </c>
      <c r="I2807">
        <f>IF(B2807,IF(D2807=0,H2807,Rho*I2806+SQRT(1-Rho^2)*H2807),"")</f>
        <v/>
      </c>
      <c r="J2807">
        <f>IF(B2807,IF(Dist="Normal",DistA+DistB*I2807,DistA+(DistB-DistA)*NORMSDIST(I2807)),"")</f>
        <v/>
      </c>
      <c r="K2807">
        <f>IF(B2807,INDEX(MineScale,C2807),"")</f>
        <v/>
      </c>
      <c r="L2807">
        <f>IF(B2807,INDEX(Dow,1,WEEKDAY(E2807,2)),"")</f>
        <v/>
      </c>
      <c r="M2807">
        <f>IF(B2807,(1+Trend)^D2807,"")</f>
        <v/>
      </c>
      <c r="N2807">
        <f>IF(B2807,EXP(SUMPRODUCT(LN(1+(EvEff-1)*INDEX(Affected,0,C2807)*EXP(-((E2807-EvCenter)^2)/(2*EvSigma^2))))),"")</f>
        <v/>
      </c>
      <c r="O2807">
        <f>IF(B2807,ROUND(MAX(0,J2807*K2807*L2807*M2807*N2807),2),"")</f>
        <v/>
      </c>
    </row>
    <row r="2808">
      <c r="A2808" t="n">
        <v>2807</v>
      </c>
      <c r="B2808">
        <f>A2808&lt;=MineCount*Days</f>
        <v/>
      </c>
      <c r="C2808">
        <f>IF(B2808,INT((A2808-1)/Days)+1,"")</f>
        <v/>
      </c>
      <c r="D2808">
        <f>IF(B2808,MOD(A2808-1,Days),"")</f>
        <v/>
      </c>
      <c r="E2808" s="16">
        <f>IF(B2808,StartDate+D2808,"")</f>
        <v/>
      </c>
      <c r="F2808">
        <f>IF(B2808,MAX(MOD(SIN(Seed*0.1373+C2808*12.9898+D2808*78.233)*43758.5453,1),1E-9),"")</f>
        <v/>
      </c>
      <c r="G2808">
        <f>IF(B2808,MOD(SIN(Seed*0.5917+C2808*39.3468+D2808*11.135)*24634.6345,1),"")</f>
        <v/>
      </c>
      <c r="H2808">
        <f>IF(B2808,SQRT(-2*LN(F2808))*COS(2*PI()*G2808),"")</f>
        <v/>
      </c>
      <c r="I2808">
        <f>IF(B2808,IF(D2808=0,H2808,Rho*I2807+SQRT(1-Rho^2)*H2808),"")</f>
        <v/>
      </c>
      <c r="J2808">
        <f>IF(B2808,IF(Dist="Normal",DistA+DistB*I2808,DistA+(DistB-DistA)*NORMSDIST(I2808)),"")</f>
        <v/>
      </c>
      <c r="K2808">
        <f>IF(B2808,INDEX(MineScale,C2808),"")</f>
        <v/>
      </c>
      <c r="L2808">
        <f>IF(B2808,INDEX(Dow,1,WEEKDAY(E2808,2)),"")</f>
        <v/>
      </c>
      <c r="M2808">
        <f>IF(B2808,(1+Trend)^D2808,"")</f>
        <v/>
      </c>
      <c r="N2808">
        <f>IF(B2808,EXP(SUMPRODUCT(LN(1+(EvEff-1)*INDEX(Affected,0,C2808)*EXP(-((E2808-EvCenter)^2)/(2*EvSigma^2))))),"")</f>
        <v/>
      </c>
      <c r="O2808">
        <f>IF(B2808,ROUND(MAX(0,J2808*K2808*L2808*M2808*N2808),2),"")</f>
        <v/>
      </c>
    </row>
    <row r="2809">
      <c r="A2809" t="n">
        <v>2808</v>
      </c>
      <c r="B2809">
        <f>A2809&lt;=MineCount*Days</f>
        <v/>
      </c>
      <c r="C2809">
        <f>IF(B2809,INT((A2809-1)/Days)+1,"")</f>
        <v/>
      </c>
      <c r="D2809">
        <f>IF(B2809,MOD(A2809-1,Days),"")</f>
        <v/>
      </c>
      <c r="E2809" s="16">
        <f>IF(B2809,StartDate+D2809,"")</f>
        <v/>
      </c>
      <c r="F2809">
        <f>IF(B2809,MAX(MOD(SIN(Seed*0.1373+C2809*12.9898+D2809*78.233)*43758.5453,1),1E-9),"")</f>
        <v/>
      </c>
      <c r="G2809">
        <f>IF(B2809,MOD(SIN(Seed*0.5917+C2809*39.3468+D2809*11.135)*24634.6345,1),"")</f>
        <v/>
      </c>
      <c r="H2809">
        <f>IF(B2809,SQRT(-2*LN(F2809))*COS(2*PI()*G2809),"")</f>
        <v/>
      </c>
      <c r="I2809">
        <f>IF(B2809,IF(D2809=0,H2809,Rho*I2808+SQRT(1-Rho^2)*H2809),"")</f>
        <v/>
      </c>
      <c r="J2809">
        <f>IF(B2809,IF(Dist="Normal",DistA+DistB*I2809,DistA+(DistB-DistA)*NORMSDIST(I2809)),"")</f>
        <v/>
      </c>
      <c r="K2809">
        <f>IF(B2809,INDEX(MineScale,C2809),"")</f>
        <v/>
      </c>
      <c r="L2809">
        <f>IF(B2809,INDEX(Dow,1,WEEKDAY(E2809,2)),"")</f>
        <v/>
      </c>
      <c r="M2809">
        <f>IF(B2809,(1+Trend)^D2809,"")</f>
        <v/>
      </c>
      <c r="N2809">
        <f>IF(B2809,EXP(SUMPRODUCT(LN(1+(EvEff-1)*INDEX(Affected,0,C2809)*EXP(-((E2809-EvCenter)^2)/(2*EvSigma^2))))),"")</f>
        <v/>
      </c>
      <c r="O2809">
        <f>IF(B2809,ROUND(MAX(0,J2809*K2809*L2809*M2809*N2809),2),"")</f>
        <v/>
      </c>
    </row>
    <row r="2810">
      <c r="A2810" t="n">
        <v>2809</v>
      </c>
      <c r="B2810">
        <f>A2810&lt;=MineCount*Days</f>
        <v/>
      </c>
      <c r="C2810">
        <f>IF(B2810,INT((A2810-1)/Days)+1,"")</f>
        <v/>
      </c>
      <c r="D2810">
        <f>IF(B2810,MOD(A2810-1,Days),"")</f>
        <v/>
      </c>
      <c r="E2810" s="16">
        <f>IF(B2810,StartDate+D2810,"")</f>
        <v/>
      </c>
      <c r="F2810">
        <f>IF(B2810,MAX(MOD(SIN(Seed*0.1373+C2810*12.9898+D2810*78.233)*43758.5453,1),1E-9),"")</f>
        <v/>
      </c>
      <c r="G2810">
        <f>IF(B2810,MOD(SIN(Seed*0.5917+C2810*39.3468+D2810*11.135)*24634.6345,1),"")</f>
        <v/>
      </c>
      <c r="H2810">
        <f>IF(B2810,SQRT(-2*LN(F2810))*COS(2*PI()*G2810),"")</f>
        <v/>
      </c>
      <c r="I2810">
        <f>IF(B2810,IF(D2810=0,H2810,Rho*I2809+SQRT(1-Rho^2)*H2810),"")</f>
        <v/>
      </c>
      <c r="J2810">
        <f>IF(B2810,IF(Dist="Normal",DistA+DistB*I2810,DistA+(DistB-DistA)*NORMSDIST(I2810)),"")</f>
        <v/>
      </c>
      <c r="K2810">
        <f>IF(B2810,INDEX(MineScale,C2810),"")</f>
        <v/>
      </c>
      <c r="L2810">
        <f>IF(B2810,INDEX(Dow,1,WEEKDAY(E2810,2)),"")</f>
        <v/>
      </c>
      <c r="M2810">
        <f>IF(B2810,(1+Trend)^D2810,"")</f>
        <v/>
      </c>
      <c r="N2810">
        <f>IF(B2810,EXP(SUMPRODUCT(LN(1+(EvEff-1)*INDEX(Affected,0,C2810)*EXP(-((E2810-EvCenter)^2)/(2*EvSigma^2))))),"")</f>
        <v/>
      </c>
      <c r="O2810">
        <f>IF(B2810,ROUND(MAX(0,J2810*K2810*L2810*M2810*N2810),2),"")</f>
        <v/>
      </c>
    </row>
    <row r="2811">
      <c r="A2811" t="n">
        <v>2810</v>
      </c>
      <c r="B2811">
        <f>A2811&lt;=MineCount*Days</f>
        <v/>
      </c>
      <c r="C2811">
        <f>IF(B2811,INT((A2811-1)/Days)+1,"")</f>
        <v/>
      </c>
      <c r="D2811">
        <f>IF(B2811,MOD(A2811-1,Days),"")</f>
        <v/>
      </c>
      <c r="E2811" s="16">
        <f>IF(B2811,StartDate+D2811,"")</f>
        <v/>
      </c>
      <c r="F2811">
        <f>IF(B2811,MAX(MOD(SIN(Seed*0.1373+C2811*12.9898+D2811*78.233)*43758.5453,1),1E-9),"")</f>
        <v/>
      </c>
      <c r="G2811">
        <f>IF(B2811,MOD(SIN(Seed*0.5917+C2811*39.3468+D2811*11.135)*24634.6345,1),"")</f>
        <v/>
      </c>
      <c r="H2811">
        <f>IF(B2811,SQRT(-2*LN(F2811))*COS(2*PI()*G2811),"")</f>
        <v/>
      </c>
      <c r="I2811">
        <f>IF(B2811,IF(D2811=0,H2811,Rho*I2810+SQRT(1-Rho^2)*H2811),"")</f>
        <v/>
      </c>
      <c r="J2811">
        <f>IF(B2811,IF(Dist="Normal",DistA+DistB*I2811,DistA+(DistB-DistA)*NORMSDIST(I2811)),"")</f>
        <v/>
      </c>
      <c r="K2811">
        <f>IF(B2811,INDEX(MineScale,C2811),"")</f>
        <v/>
      </c>
      <c r="L2811">
        <f>IF(B2811,INDEX(Dow,1,WEEKDAY(E2811,2)),"")</f>
        <v/>
      </c>
      <c r="M2811">
        <f>IF(B2811,(1+Trend)^D2811,"")</f>
        <v/>
      </c>
      <c r="N2811">
        <f>IF(B2811,EXP(SUMPRODUCT(LN(1+(EvEff-1)*INDEX(Affected,0,C2811)*EXP(-((E2811-EvCenter)^2)/(2*EvSigma^2))))),"")</f>
        <v/>
      </c>
      <c r="O2811">
        <f>IF(B2811,ROUND(MAX(0,J2811*K2811*L2811*M2811*N2811),2),"")</f>
        <v/>
      </c>
    </row>
    <row r="2812">
      <c r="A2812" t="n">
        <v>2811</v>
      </c>
      <c r="B2812">
        <f>A2812&lt;=MineCount*Days</f>
        <v/>
      </c>
      <c r="C2812">
        <f>IF(B2812,INT((A2812-1)/Days)+1,"")</f>
        <v/>
      </c>
      <c r="D2812">
        <f>IF(B2812,MOD(A2812-1,Days),"")</f>
        <v/>
      </c>
      <c r="E2812" s="16">
        <f>IF(B2812,StartDate+D2812,"")</f>
        <v/>
      </c>
      <c r="F2812">
        <f>IF(B2812,MAX(MOD(SIN(Seed*0.1373+C2812*12.9898+D2812*78.233)*43758.5453,1),1E-9),"")</f>
        <v/>
      </c>
      <c r="G2812">
        <f>IF(B2812,MOD(SIN(Seed*0.5917+C2812*39.3468+D2812*11.135)*24634.6345,1),"")</f>
        <v/>
      </c>
      <c r="H2812">
        <f>IF(B2812,SQRT(-2*LN(F2812))*COS(2*PI()*G2812),"")</f>
        <v/>
      </c>
      <c r="I2812">
        <f>IF(B2812,IF(D2812=0,H2812,Rho*I2811+SQRT(1-Rho^2)*H2812),"")</f>
        <v/>
      </c>
      <c r="J2812">
        <f>IF(B2812,IF(Dist="Normal",DistA+DistB*I2812,DistA+(DistB-DistA)*NORMSDIST(I2812)),"")</f>
        <v/>
      </c>
      <c r="K2812">
        <f>IF(B2812,INDEX(MineScale,C2812),"")</f>
        <v/>
      </c>
      <c r="L2812">
        <f>IF(B2812,INDEX(Dow,1,WEEKDAY(E2812,2)),"")</f>
        <v/>
      </c>
      <c r="M2812">
        <f>IF(B2812,(1+Trend)^D2812,"")</f>
        <v/>
      </c>
      <c r="N2812">
        <f>IF(B2812,EXP(SUMPRODUCT(LN(1+(EvEff-1)*INDEX(Affected,0,C2812)*EXP(-((E2812-EvCenter)^2)/(2*EvSigma^2))))),"")</f>
        <v/>
      </c>
      <c r="O2812">
        <f>IF(B2812,ROUND(MAX(0,J2812*K2812*L2812*M2812*N2812),2),"")</f>
        <v/>
      </c>
    </row>
    <row r="2813">
      <c r="A2813" t="n">
        <v>2812</v>
      </c>
      <c r="B2813">
        <f>A2813&lt;=MineCount*Days</f>
        <v/>
      </c>
      <c r="C2813">
        <f>IF(B2813,INT((A2813-1)/Days)+1,"")</f>
        <v/>
      </c>
      <c r="D2813">
        <f>IF(B2813,MOD(A2813-1,Days),"")</f>
        <v/>
      </c>
      <c r="E2813" s="16">
        <f>IF(B2813,StartDate+D2813,"")</f>
        <v/>
      </c>
      <c r="F2813">
        <f>IF(B2813,MAX(MOD(SIN(Seed*0.1373+C2813*12.9898+D2813*78.233)*43758.5453,1),1E-9),"")</f>
        <v/>
      </c>
      <c r="G2813">
        <f>IF(B2813,MOD(SIN(Seed*0.5917+C2813*39.3468+D2813*11.135)*24634.6345,1),"")</f>
        <v/>
      </c>
      <c r="H2813">
        <f>IF(B2813,SQRT(-2*LN(F2813))*COS(2*PI()*G2813),"")</f>
        <v/>
      </c>
      <c r="I2813">
        <f>IF(B2813,IF(D2813=0,H2813,Rho*I2812+SQRT(1-Rho^2)*H2813),"")</f>
        <v/>
      </c>
      <c r="J2813">
        <f>IF(B2813,IF(Dist="Normal",DistA+DistB*I2813,DistA+(DistB-DistA)*NORMSDIST(I2813)),"")</f>
        <v/>
      </c>
      <c r="K2813">
        <f>IF(B2813,INDEX(MineScale,C2813),"")</f>
        <v/>
      </c>
      <c r="L2813">
        <f>IF(B2813,INDEX(Dow,1,WEEKDAY(E2813,2)),"")</f>
        <v/>
      </c>
      <c r="M2813">
        <f>IF(B2813,(1+Trend)^D2813,"")</f>
        <v/>
      </c>
      <c r="N2813">
        <f>IF(B2813,EXP(SUMPRODUCT(LN(1+(EvEff-1)*INDEX(Affected,0,C2813)*EXP(-((E2813-EvCenter)^2)/(2*EvSigma^2))))),"")</f>
        <v/>
      </c>
      <c r="O2813">
        <f>IF(B2813,ROUND(MAX(0,J2813*K2813*L2813*M2813*N2813),2),"")</f>
        <v/>
      </c>
    </row>
    <row r="2814">
      <c r="A2814" t="n">
        <v>2813</v>
      </c>
      <c r="B2814">
        <f>A2814&lt;=MineCount*Days</f>
        <v/>
      </c>
      <c r="C2814">
        <f>IF(B2814,INT((A2814-1)/Days)+1,"")</f>
        <v/>
      </c>
      <c r="D2814">
        <f>IF(B2814,MOD(A2814-1,Days),"")</f>
        <v/>
      </c>
      <c r="E2814" s="16">
        <f>IF(B2814,StartDate+D2814,"")</f>
        <v/>
      </c>
      <c r="F2814">
        <f>IF(B2814,MAX(MOD(SIN(Seed*0.1373+C2814*12.9898+D2814*78.233)*43758.5453,1),1E-9),"")</f>
        <v/>
      </c>
      <c r="G2814">
        <f>IF(B2814,MOD(SIN(Seed*0.5917+C2814*39.3468+D2814*11.135)*24634.6345,1),"")</f>
        <v/>
      </c>
      <c r="H2814">
        <f>IF(B2814,SQRT(-2*LN(F2814))*COS(2*PI()*G2814),"")</f>
        <v/>
      </c>
      <c r="I2814">
        <f>IF(B2814,IF(D2814=0,H2814,Rho*I2813+SQRT(1-Rho^2)*H2814),"")</f>
        <v/>
      </c>
      <c r="J2814">
        <f>IF(B2814,IF(Dist="Normal",DistA+DistB*I2814,DistA+(DistB-DistA)*NORMSDIST(I2814)),"")</f>
        <v/>
      </c>
      <c r="K2814">
        <f>IF(B2814,INDEX(MineScale,C2814),"")</f>
        <v/>
      </c>
      <c r="L2814">
        <f>IF(B2814,INDEX(Dow,1,WEEKDAY(E2814,2)),"")</f>
        <v/>
      </c>
      <c r="M2814">
        <f>IF(B2814,(1+Trend)^D2814,"")</f>
        <v/>
      </c>
      <c r="N2814">
        <f>IF(B2814,EXP(SUMPRODUCT(LN(1+(EvEff-1)*INDEX(Affected,0,C2814)*EXP(-((E2814-EvCenter)^2)/(2*EvSigma^2))))),"")</f>
        <v/>
      </c>
      <c r="O2814">
        <f>IF(B2814,ROUND(MAX(0,J2814*K2814*L2814*M2814*N2814),2),"")</f>
        <v/>
      </c>
    </row>
    <row r="2815">
      <c r="A2815" t="n">
        <v>2814</v>
      </c>
      <c r="B2815">
        <f>A2815&lt;=MineCount*Days</f>
        <v/>
      </c>
      <c r="C2815">
        <f>IF(B2815,INT((A2815-1)/Days)+1,"")</f>
        <v/>
      </c>
      <c r="D2815">
        <f>IF(B2815,MOD(A2815-1,Days),"")</f>
        <v/>
      </c>
      <c r="E2815" s="16">
        <f>IF(B2815,StartDate+D2815,"")</f>
        <v/>
      </c>
      <c r="F2815">
        <f>IF(B2815,MAX(MOD(SIN(Seed*0.1373+C2815*12.9898+D2815*78.233)*43758.5453,1),1E-9),"")</f>
        <v/>
      </c>
      <c r="G2815">
        <f>IF(B2815,MOD(SIN(Seed*0.5917+C2815*39.3468+D2815*11.135)*24634.6345,1),"")</f>
        <v/>
      </c>
      <c r="H2815">
        <f>IF(B2815,SQRT(-2*LN(F2815))*COS(2*PI()*G2815),"")</f>
        <v/>
      </c>
      <c r="I2815">
        <f>IF(B2815,IF(D2815=0,H2815,Rho*I2814+SQRT(1-Rho^2)*H2815),"")</f>
        <v/>
      </c>
      <c r="J2815">
        <f>IF(B2815,IF(Dist="Normal",DistA+DistB*I2815,DistA+(DistB-DistA)*NORMSDIST(I2815)),"")</f>
        <v/>
      </c>
      <c r="K2815">
        <f>IF(B2815,INDEX(MineScale,C2815),"")</f>
        <v/>
      </c>
      <c r="L2815">
        <f>IF(B2815,INDEX(Dow,1,WEEKDAY(E2815,2)),"")</f>
        <v/>
      </c>
      <c r="M2815">
        <f>IF(B2815,(1+Trend)^D2815,"")</f>
        <v/>
      </c>
      <c r="N2815">
        <f>IF(B2815,EXP(SUMPRODUCT(LN(1+(EvEff-1)*INDEX(Affected,0,C2815)*EXP(-((E2815-EvCenter)^2)/(2*EvSigma^2))))),"")</f>
        <v/>
      </c>
      <c r="O2815">
        <f>IF(B2815,ROUND(MAX(0,J2815*K2815*L2815*M2815*N2815),2),"")</f>
        <v/>
      </c>
    </row>
    <row r="2816">
      <c r="A2816" t="n">
        <v>2815</v>
      </c>
      <c r="B2816">
        <f>A2816&lt;=MineCount*Days</f>
        <v/>
      </c>
      <c r="C2816">
        <f>IF(B2816,INT((A2816-1)/Days)+1,"")</f>
        <v/>
      </c>
      <c r="D2816">
        <f>IF(B2816,MOD(A2816-1,Days),"")</f>
        <v/>
      </c>
      <c r="E2816" s="16">
        <f>IF(B2816,StartDate+D2816,"")</f>
        <v/>
      </c>
      <c r="F2816">
        <f>IF(B2816,MAX(MOD(SIN(Seed*0.1373+C2816*12.9898+D2816*78.233)*43758.5453,1),1E-9),"")</f>
        <v/>
      </c>
      <c r="G2816">
        <f>IF(B2816,MOD(SIN(Seed*0.5917+C2816*39.3468+D2816*11.135)*24634.6345,1),"")</f>
        <v/>
      </c>
      <c r="H2816">
        <f>IF(B2816,SQRT(-2*LN(F2816))*COS(2*PI()*G2816),"")</f>
        <v/>
      </c>
      <c r="I2816">
        <f>IF(B2816,IF(D2816=0,H2816,Rho*I2815+SQRT(1-Rho^2)*H2816),"")</f>
        <v/>
      </c>
      <c r="J2816">
        <f>IF(B2816,IF(Dist="Normal",DistA+DistB*I2816,DistA+(DistB-DistA)*NORMSDIST(I2816)),"")</f>
        <v/>
      </c>
      <c r="K2816">
        <f>IF(B2816,INDEX(MineScale,C2816),"")</f>
        <v/>
      </c>
      <c r="L2816">
        <f>IF(B2816,INDEX(Dow,1,WEEKDAY(E2816,2)),"")</f>
        <v/>
      </c>
      <c r="M2816">
        <f>IF(B2816,(1+Trend)^D2816,"")</f>
        <v/>
      </c>
      <c r="N2816">
        <f>IF(B2816,EXP(SUMPRODUCT(LN(1+(EvEff-1)*INDEX(Affected,0,C2816)*EXP(-((E2816-EvCenter)^2)/(2*EvSigma^2))))),"")</f>
        <v/>
      </c>
      <c r="O2816">
        <f>IF(B2816,ROUND(MAX(0,J2816*K2816*L2816*M2816*N2816),2),"")</f>
        <v/>
      </c>
    </row>
    <row r="2817">
      <c r="A2817" t="n">
        <v>2816</v>
      </c>
      <c r="B2817">
        <f>A2817&lt;=MineCount*Days</f>
        <v/>
      </c>
      <c r="C2817">
        <f>IF(B2817,INT((A2817-1)/Days)+1,"")</f>
        <v/>
      </c>
      <c r="D2817">
        <f>IF(B2817,MOD(A2817-1,Days),"")</f>
        <v/>
      </c>
      <c r="E2817" s="16">
        <f>IF(B2817,StartDate+D2817,"")</f>
        <v/>
      </c>
      <c r="F2817">
        <f>IF(B2817,MAX(MOD(SIN(Seed*0.1373+C2817*12.9898+D2817*78.233)*43758.5453,1),1E-9),"")</f>
        <v/>
      </c>
      <c r="G2817">
        <f>IF(B2817,MOD(SIN(Seed*0.5917+C2817*39.3468+D2817*11.135)*24634.6345,1),"")</f>
        <v/>
      </c>
      <c r="H2817">
        <f>IF(B2817,SQRT(-2*LN(F2817))*COS(2*PI()*G2817),"")</f>
        <v/>
      </c>
      <c r="I2817">
        <f>IF(B2817,IF(D2817=0,H2817,Rho*I2816+SQRT(1-Rho^2)*H2817),"")</f>
        <v/>
      </c>
      <c r="J2817">
        <f>IF(B2817,IF(Dist="Normal",DistA+DistB*I2817,DistA+(DistB-DistA)*NORMSDIST(I2817)),"")</f>
        <v/>
      </c>
      <c r="K2817">
        <f>IF(B2817,INDEX(MineScale,C2817),"")</f>
        <v/>
      </c>
      <c r="L2817">
        <f>IF(B2817,INDEX(Dow,1,WEEKDAY(E2817,2)),"")</f>
        <v/>
      </c>
      <c r="M2817">
        <f>IF(B2817,(1+Trend)^D2817,"")</f>
        <v/>
      </c>
      <c r="N2817">
        <f>IF(B2817,EXP(SUMPRODUCT(LN(1+(EvEff-1)*INDEX(Affected,0,C2817)*EXP(-((E2817-EvCenter)^2)/(2*EvSigma^2))))),"")</f>
        <v/>
      </c>
      <c r="O2817">
        <f>IF(B2817,ROUND(MAX(0,J2817*K2817*L2817*M2817*N2817),2),"")</f>
        <v/>
      </c>
    </row>
    <row r="2818">
      <c r="A2818" t="n">
        <v>2817</v>
      </c>
      <c r="B2818">
        <f>A2818&lt;=MineCount*Days</f>
        <v/>
      </c>
      <c r="C2818">
        <f>IF(B2818,INT((A2818-1)/Days)+1,"")</f>
        <v/>
      </c>
      <c r="D2818">
        <f>IF(B2818,MOD(A2818-1,Days),"")</f>
        <v/>
      </c>
      <c r="E2818" s="16">
        <f>IF(B2818,StartDate+D2818,"")</f>
        <v/>
      </c>
      <c r="F2818">
        <f>IF(B2818,MAX(MOD(SIN(Seed*0.1373+C2818*12.9898+D2818*78.233)*43758.5453,1),1E-9),"")</f>
        <v/>
      </c>
      <c r="G2818">
        <f>IF(B2818,MOD(SIN(Seed*0.5917+C2818*39.3468+D2818*11.135)*24634.6345,1),"")</f>
        <v/>
      </c>
      <c r="H2818">
        <f>IF(B2818,SQRT(-2*LN(F2818))*COS(2*PI()*G2818),"")</f>
        <v/>
      </c>
      <c r="I2818">
        <f>IF(B2818,IF(D2818=0,H2818,Rho*I2817+SQRT(1-Rho^2)*H2818),"")</f>
        <v/>
      </c>
      <c r="J2818">
        <f>IF(B2818,IF(Dist="Normal",DistA+DistB*I2818,DistA+(DistB-DistA)*NORMSDIST(I2818)),"")</f>
        <v/>
      </c>
      <c r="K2818">
        <f>IF(B2818,INDEX(MineScale,C2818),"")</f>
        <v/>
      </c>
      <c r="L2818">
        <f>IF(B2818,INDEX(Dow,1,WEEKDAY(E2818,2)),"")</f>
        <v/>
      </c>
      <c r="M2818">
        <f>IF(B2818,(1+Trend)^D2818,"")</f>
        <v/>
      </c>
      <c r="N2818">
        <f>IF(B2818,EXP(SUMPRODUCT(LN(1+(EvEff-1)*INDEX(Affected,0,C2818)*EXP(-((E2818-EvCenter)^2)/(2*EvSigma^2))))),"")</f>
        <v/>
      </c>
      <c r="O2818">
        <f>IF(B2818,ROUND(MAX(0,J2818*K2818*L2818*M2818*N2818),2),"")</f>
        <v/>
      </c>
    </row>
    <row r="2819">
      <c r="A2819" t="n">
        <v>2818</v>
      </c>
      <c r="B2819">
        <f>A2819&lt;=MineCount*Days</f>
        <v/>
      </c>
      <c r="C2819">
        <f>IF(B2819,INT((A2819-1)/Days)+1,"")</f>
        <v/>
      </c>
      <c r="D2819">
        <f>IF(B2819,MOD(A2819-1,Days),"")</f>
        <v/>
      </c>
      <c r="E2819" s="16">
        <f>IF(B2819,StartDate+D2819,"")</f>
        <v/>
      </c>
      <c r="F2819">
        <f>IF(B2819,MAX(MOD(SIN(Seed*0.1373+C2819*12.9898+D2819*78.233)*43758.5453,1),1E-9),"")</f>
        <v/>
      </c>
      <c r="G2819">
        <f>IF(B2819,MOD(SIN(Seed*0.5917+C2819*39.3468+D2819*11.135)*24634.6345,1),"")</f>
        <v/>
      </c>
      <c r="H2819">
        <f>IF(B2819,SQRT(-2*LN(F2819))*COS(2*PI()*G2819),"")</f>
        <v/>
      </c>
      <c r="I2819">
        <f>IF(B2819,IF(D2819=0,H2819,Rho*I2818+SQRT(1-Rho^2)*H2819),"")</f>
        <v/>
      </c>
      <c r="J2819">
        <f>IF(B2819,IF(Dist="Normal",DistA+DistB*I2819,DistA+(DistB-DistA)*NORMSDIST(I2819)),"")</f>
        <v/>
      </c>
      <c r="K2819">
        <f>IF(B2819,INDEX(MineScale,C2819),"")</f>
        <v/>
      </c>
      <c r="L2819">
        <f>IF(B2819,INDEX(Dow,1,WEEKDAY(E2819,2)),"")</f>
        <v/>
      </c>
      <c r="M2819">
        <f>IF(B2819,(1+Trend)^D2819,"")</f>
        <v/>
      </c>
      <c r="N2819">
        <f>IF(B2819,EXP(SUMPRODUCT(LN(1+(EvEff-1)*INDEX(Affected,0,C2819)*EXP(-((E2819-EvCenter)^2)/(2*EvSigma^2))))),"")</f>
        <v/>
      </c>
      <c r="O2819">
        <f>IF(B2819,ROUND(MAX(0,J2819*K2819*L2819*M2819*N2819),2),"")</f>
        <v/>
      </c>
    </row>
    <row r="2820">
      <c r="A2820" t="n">
        <v>2819</v>
      </c>
      <c r="B2820">
        <f>A2820&lt;=MineCount*Days</f>
        <v/>
      </c>
      <c r="C2820">
        <f>IF(B2820,INT((A2820-1)/Days)+1,"")</f>
        <v/>
      </c>
      <c r="D2820">
        <f>IF(B2820,MOD(A2820-1,Days),"")</f>
        <v/>
      </c>
      <c r="E2820" s="16">
        <f>IF(B2820,StartDate+D2820,"")</f>
        <v/>
      </c>
      <c r="F2820">
        <f>IF(B2820,MAX(MOD(SIN(Seed*0.1373+C2820*12.9898+D2820*78.233)*43758.5453,1),1E-9),"")</f>
        <v/>
      </c>
      <c r="G2820">
        <f>IF(B2820,MOD(SIN(Seed*0.5917+C2820*39.3468+D2820*11.135)*24634.6345,1),"")</f>
        <v/>
      </c>
      <c r="H2820">
        <f>IF(B2820,SQRT(-2*LN(F2820))*COS(2*PI()*G2820),"")</f>
        <v/>
      </c>
      <c r="I2820">
        <f>IF(B2820,IF(D2820=0,H2820,Rho*I2819+SQRT(1-Rho^2)*H2820),"")</f>
        <v/>
      </c>
      <c r="J2820">
        <f>IF(B2820,IF(Dist="Normal",DistA+DistB*I2820,DistA+(DistB-DistA)*NORMSDIST(I2820)),"")</f>
        <v/>
      </c>
      <c r="K2820">
        <f>IF(B2820,INDEX(MineScale,C2820),"")</f>
        <v/>
      </c>
      <c r="L2820">
        <f>IF(B2820,INDEX(Dow,1,WEEKDAY(E2820,2)),"")</f>
        <v/>
      </c>
      <c r="M2820">
        <f>IF(B2820,(1+Trend)^D2820,"")</f>
        <v/>
      </c>
      <c r="N2820">
        <f>IF(B2820,EXP(SUMPRODUCT(LN(1+(EvEff-1)*INDEX(Affected,0,C2820)*EXP(-((E2820-EvCenter)^2)/(2*EvSigma^2))))),"")</f>
        <v/>
      </c>
      <c r="O2820">
        <f>IF(B2820,ROUND(MAX(0,J2820*K2820*L2820*M2820*N2820),2),"")</f>
        <v/>
      </c>
    </row>
    <row r="2821">
      <c r="A2821" t="n">
        <v>2820</v>
      </c>
      <c r="B2821">
        <f>A2821&lt;=MineCount*Days</f>
        <v/>
      </c>
      <c r="C2821">
        <f>IF(B2821,INT((A2821-1)/Days)+1,"")</f>
        <v/>
      </c>
      <c r="D2821">
        <f>IF(B2821,MOD(A2821-1,Days),"")</f>
        <v/>
      </c>
      <c r="E2821" s="16">
        <f>IF(B2821,StartDate+D2821,"")</f>
        <v/>
      </c>
      <c r="F2821">
        <f>IF(B2821,MAX(MOD(SIN(Seed*0.1373+C2821*12.9898+D2821*78.233)*43758.5453,1),1E-9),"")</f>
        <v/>
      </c>
      <c r="G2821">
        <f>IF(B2821,MOD(SIN(Seed*0.5917+C2821*39.3468+D2821*11.135)*24634.6345,1),"")</f>
        <v/>
      </c>
      <c r="H2821">
        <f>IF(B2821,SQRT(-2*LN(F2821))*COS(2*PI()*G2821),"")</f>
        <v/>
      </c>
      <c r="I2821">
        <f>IF(B2821,IF(D2821=0,H2821,Rho*I2820+SQRT(1-Rho^2)*H2821),"")</f>
        <v/>
      </c>
      <c r="J2821">
        <f>IF(B2821,IF(Dist="Normal",DistA+DistB*I2821,DistA+(DistB-DistA)*NORMSDIST(I2821)),"")</f>
        <v/>
      </c>
      <c r="K2821">
        <f>IF(B2821,INDEX(MineScale,C2821),"")</f>
        <v/>
      </c>
      <c r="L2821">
        <f>IF(B2821,INDEX(Dow,1,WEEKDAY(E2821,2)),"")</f>
        <v/>
      </c>
      <c r="M2821">
        <f>IF(B2821,(1+Trend)^D2821,"")</f>
        <v/>
      </c>
      <c r="N2821">
        <f>IF(B2821,EXP(SUMPRODUCT(LN(1+(EvEff-1)*INDEX(Affected,0,C2821)*EXP(-((E2821-EvCenter)^2)/(2*EvSigma^2))))),"")</f>
        <v/>
      </c>
      <c r="O2821">
        <f>IF(B2821,ROUND(MAX(0,J2821*K2821*L2821*M2821*N2821),2),"")</f>
        <v/>
      </c>
    </row>
    <row r="2822">
      <c r="A2822" t="n">
        <v>2821</v>
      </c>
      <c r="B2822">
        <f>A2822&lt;=MineCount*Days</f>
        <v/>
      </c>
      <c r="C2822">
        <f>IF(B2822,INT((A2822-1)/Days)+1,"")</f>
        <v/>
      </c>
      <c r="D2822">
        <f>IF(B2822,MOD(A2822-1,Days),"")</f>
        <v/>
      </c>
      <c r="E2822" s="16">
        <f>IF(B2822,StartDate+D2822,"")</f>
        <v/>
      </c>
      <c r="F2822">
        <f>IF(B2822,MAX(MOD(SIN(Seed*0.1373+C2822*12.9898+D2822*78.233)*43758.5453,1),1E-9),"")</f>
        <v/>
      </c>
      <c r="G2822">
        <f>IF(B2822,MOD(SIN(Seed*0.5917+C2822*39.3468+D2822*11.135)*24634.6345,1),"")</f>
        <v/>
      </c>
      <c r="H2822">
        <f>IF(B2822,SQRT(-2*LN(F2822))*COS(2*PI()*G2822),"")</f>
        <v/>
      </c>
      <c r="I2822">
        <f>IF(B2822,IF(D2822=0,H2822,Rho*I2821+SQRT(1-Rho^2)*H2822),"")</f>
        <v/>
      </c>
      <c r="J2822">
        <f>IF(B2822,IF(Dist="Normal",DistA+DistB*I2822,DistA+(DistB-DistA)*NORMSDIST(I2822)),"")</f>
        <v/>
      </c>
      <c r="K2822">
        <f>IF(B2822,INDEX(MineScale,C2822),"")</f>
        <v/>
      </c>
      <c r="L2822">
        <f>IF(B2822,INDEX(Dow,1,WEEKDAY(E2822,2)),"")</f>
        <v/>
      </c>
      <c r="M2822">
        <f>IF(B2822,(1+Trend)^D2822,"")</f>
        <v/>
      </c>
      <c r="N2822">
        <f>IF(B2822,EXP(SUMPRODUCT(LN(1+(EvEff-1)*INDEX(Affected,0,C2822)*EXP(-((E2822-EvCenter)^2)/(2*EvSigma^2))))),"")</f>
        <v/>
      </c>
      <c r="O2822">
        <f>IF(B2822,ROUND(MAX(0,J2822*K2822*L2822*M2822*N2822),2),"")</f>
        <v/>
      </c>
    </row>
    <row r="2823">
      <c r="A2823" t="n">
        <v>2822</v>
      </c>
      <c r="B2823">
        <f>A2823&lt;=MineCount*Days</f>
        <v/>
      </c>
      <c r="C2823">
        <f>IF(B2823,INT((A2823-1)/Days)+1,"")</f>
        <v/>
      </c>
      <c r="D2823">
        <f>IF(B2823,MOD(A2823-1,Days),"")</f>
        <v/>
      </c>
      <c r="E2823" s="16">
        <f>IF(B2823,StartDate+D2823,"")</f>
        <v/>
      </c>
      <c r="F2823">
        <f>IF(B2823,MAX(MOD(SIN(Seed*0.1373+C2823*12.9898+D2823*78.233)*43758.5453,1),1E-9),"")</f>
        <v/>
      </c>
      <c r="G2823">
        <f>IF(B2823,MOD(SIN(Seed*0.5917+C2823*39.3468+D2823*11.135)*24634.6345,1),"")</f>
        <v/>
      </c>
      <c r="H2823">
        <f>IF(B2823,SQRT(-2*LN(F2823))*COS(2*PI()*G2823),"")</f>
        <v/>
      </c>
      <c r="I2823">
        <f>IF(B2823,IF(D2823=0,H2823,Rho*I2822+SQRT(1-Rho^2)*H2823),"")</f>
        <v/>
      </c>
      <c r="J2823">
        <f>IF(B2823,IF(Dist="Normal",DistA+DistB*I2823,DistA+(DistB-DistA)*NORMSDIST(I2823)),"")</f>
        <v/>
      </c>
      <c r="K2823">
        <f>IF(B2823,INDEX(MineScale,C2823),"")</f>
        <v/>
      </c>
      <c r="L2823">
        <f>IF(B2823,INDEX(Dow,1,WEEKDAY(E2823,2)),"")</f>
        <v/>
      </c>
      <c r="M2823">
        <f>IF(B2823,(1+Trend)^D2823,"")</f>
        <v/>
      </c>
      <c r="N2823">
        <f>IF(B2823,EXP(SUMPRODUCT(LN(1+(EvEff-1)*INDEX(Affected,0,C2823)*EXP(-((E2823-EvCenter)^2)/(2*EvSigma^2))))),"")</f>
        <v/>
      </c>
      <c r="O2823">
        <f>IF(B2823,ROUND(MAX(0,J2823*K2823*L2823*M2823*N2823),2),"")</f>
        <v/>
      </c>
    </row>
    <row r="2824">
      <c r="A2824" t="n">
        <v>2823</v>
      </c>
      <c r="B2824">
        <f>A2824&lt;=MineCount*Days</f>
        <v/>
      </c>
      <c r="C2824">
        <f>IF(B2824,INT((A2824-1)/Days)+1,"")</f>
        <v/>
      </c>
      <c r="D2824">
        <f>IF(B2824,MOD(A2824-1,Days),"")</f>
        <v/>
      </c>
      <c r="E2824" s="16">
        <f>IF(B2824,StartDate+D2824,"")</f>
        <v/>
      </c>
      <c r="F2824">
        <f>IF(B2824,MAX(MOD(SIN(Seed*0.1373+C2824*12.9898+D2824*78.233)*43758.5453,1),1E-9),"")</f>
        <v/>
      </c>
      <c r="G2824">
        <f>IF(B2824,MOD(SIN(Seed*0.5917+C2824*39.3468+D2824*11.135)*24634.6345,1),"")</f>
        <v/>
      </c>
      <c r="H2824">
        <f>IF(B2824,SQRT(-2*LN(F2824))*COS(2*PI()*G2824),"")</f>
        <v/>
      </c>
      <c r="I2824">
        <f>IF(B2824,IF(D2824=0,H2824,Rho*I2823+SQRT(1-Rho^2)*H2824),"")</f>
        <v/>
      </c>
      <c r="J2824">
        <f>IF(B2824,IF(Dist="Normal",DistA+DistB*I2824,DistA+(DistB-DistA)*NORMSDIST(I2824)),"")</f>
        <v/>
      </c>
      <c r="K2824">
        <f>IF(B2824,INDEX(MineScale,C2824),"")</f>
        <v/>
      </c>
      <c r="L2824">
        <f>IF(B2824,INDEX(Dow,1,WEEKDAY(E2824,2)),"")</f>
        <v/>
      </c>
      <c r="M2824">
        <f>IF(B2824,(1+Trend)^D2824,"")</f>
        <v/>
      </c>
      <c r="N2824">
        <f>IF(B2824,EXP(SUMPRODUCT(LN(1+(EvEff-1)*INDEX(Affected,0,C2824)*EXP(-((E2824-EvCenter)^2)/(2*EvSigma^2))))),"")</f>
        <v/>
      </c>
      <c r="O2824">
        <f>IF(B2824,ROUND(MAX(0,J2824*K2824*L2824*M2824*N2824),2),"")</f>
        <v/>
      </c>
    </row>
    <row r="2825">
      <c r="A2825" t="n">
        <v>2824</v>
      </c>
      <c r="B2825">
        <f>A2825&lt;=MineCount*Days</f>
        <v/>
      </c>
      <c r="C2825">
        <f>IF(B2825,INT((A2825-1)/Days)+1,"")</f>
        <v/>
      </c>
      <c r="D2825">
        <f>IF(B2825,MOD(A2825-1,Days),"")</f>
        <v/>
      </c>
      <c r="E2825" s="16">
        <f>IF(B2825,StartDate+D2825,"")</f>
        <v/>
      </c>
      <c r="F2825">
        <f>IF(B2825,MAX(MOD(SIN(Seed*0.1373+C2825*12.9898+D2825*78.233)*43758.5453,1),1E-9),"")</f>
        <v/>
      </c>
      <c r="G2825">
        <f>IF(B2825,MOD(SIN(Seed*0.5917+C2825*39.3468+D2825*11.135)*24634.6345,1),"")</f>
        <v/>
      </c>
      <c r="H2825">
        <f>IF(B2825,SQRT(-2*LN(F2825))*COS(2*PI()*G2825),"")</f>
        <v/>
      </c>
      <c r="I2825">
        <f>IF(B2825,IF(D2825=0,H2825,Rho*I2824+SQRT(1-Rho^2)*H2825),"")</f>
        <v/>
      </c>
      <c r="J2825">
        <f>IF(B2825,IF(Dist="Normal",DistA+DistB*I2825,DistA+(DistB-DistA)*NORMSDIST(I2825)),"")</f>
        <v/>
      </c>
      <c r="K2825">
        <f>IF(B2825,INDEX(MineScale,C2825),"")</f>
        <v/>
      </c>
      <c r="L2825">
        <f>IF(B2825,INDEX(Dow,1,WEEKDAY(E2825,2)),"")</f>
        <v/>
      </c>
      <c r="M2825">
        <f>IF(B2825,(1+Trend)^D2825,"")</f>
        <v/>
      </c>
      <c r="N2825">
        <f>IF(B2825,EXP(SUMPRODUCT(LN(1+(EvEff-1)*INDEX(Affected,0,C2825)*EXP(-((E2825-EvCenter)^2)/(2*EvSigma^2))))),"")</f>
        <v/>
      </c>
      <c r="O2825">
        <f>IF(B2825,ROUND(MAX(0,J2825*K2825*L2825*M2825*N2825),2),"")</f>
        <v/>
      </c>
    </row>
    <row r="2826">
      <c r="A2826" t="n">
        <v>2825</v>
      </c>
      <c r="B2826">
        <f>A2826&lt;=MineCount*Days</f>
        <v/>
      </c>
      <c r="C2826">
        <f>IF(B2826,INT((A2826-1)/Days)+1,"")</f>
        <v/>
      </c>
      <c r="D2826">
        <f>IF(B2826,MOD(A2826-1,Days),"")</f>
        <v/>
      </c>
      <c r="E2826" s="16">
        <f>IF(B2826,StartDate+D2826,"")</f>
        <v/>
      </c>
      <c r="F2826">
        <f>IF(B2826,MAX(MOD(SIN(Seed*0.1373+C2826*12.9898+D2826*78.233)*43758.5453,1),1E-9),"")</f>
        <v/>
      </c>
      <c r="G2826">
        <f>IF(B2826,MOD(SIN(Seed*0.5917+C2826*39.3468+D2826*11.135)*24634.6345,1),"")</f>
        <v/>
      </c>
      <c r="H2826">
        <f>IF(B2826,SQRT(-2*LN(F2826))*COS(2*PI()*G2826),"")</f>
        <v/>
      </c>
      <c r="I2826">
        <f>IF(B2826,IF(D2826=0,H2826,Rho*I2825+SQRT(1-Rho^2)*H2826),"")</f>
        <v/>
      </c>
      <c r="J2826">
        <f>IF(B2826,IF(Dist="Normal",DistA+DistB*I2826,DistA+(DistB-DistA)*NORMSDIST(I2826)),"")</f>
        <v/>
      </c>
      <c r="K2826">
        <f>IF(B2826,INDEX(MineScale,C2826),"")</f>
        <v/>
      </c>
      <c r="L2826">
        <f>IF(B2826,INDEX(Dow,1,WEEKDAY(E2826,2)),"")</f>
        <v/>
      </c>
      <c r="M2826">
        <f>IF(B2826,(1+Trend)^D2826,"")</f>
        <v/>
      </c>
      <c r="N2826">
        <f>IF(B2826,EXP(SUMPRODUCT(LN(1+(EvEff-1)*INDEX(Affected,0,C2826)*EXP(-((E2826-EvCenter)^2)/(2*EvSigma^2))))),"")</f>
        <v/>
      </c>
      <c r="O2826">
        <f>IF(B2826,ROUND(MAX(0,J2826*K2826*L2826*M2826*N2826),2),"")</f>
        <v/>
      </c>
    </row>
    <row r="2827">
      <c r="A2827" t="n">
        <v>2826</v>
      </c>
      <c r="B2827">
        <f>A2827&lt;=MineCount*Days</f>
        <v/>
      </c>
      <c r="C2827">
        <f>IF(B2827,INT((A2827-1)/Days)+1,"")</f>
        <v/>
      </c>
      <c r="D2827">
        <f>IF(B2827,MOD(A2827-1,Days),"")</f>
        <v/>
      </c>
      <c r="E2827" s="16">
        <f>IF(B2827,StartDate+D2827,"")</f>
        <v/>
      </c>
      <c r="F2827">
        <f>IF(B2827,MAX(MOD(SIN(Seed*0.1373+C2827*12.9898+D2827*78.233)*43758.5453,1),1E-9),"")</f>
        <v/>
      </c>
      <c r="G2827">
        <f>IF(B2827,MOD(SIN(Seed*0.5917+C2827*39.3468+D2827*11.135)*24634.6345,1),"")</f>
        <v/>
      </c>
      <c r="H2827">
        <f>IF(B2827,SQRT(-2*LN(F2827))*COS(2*PI()*G2827),"")</f>
        <v/>
      </c>
      <c r="I2827">
        <f>IF(B2827,IF(D2827=0,H2827,Rho*I2826+SQRT(1-Rho^2)*H2827),"")</f>
        <v/>
      </c>
      <c r="J2827">
        <f>IF(B2827,IF(Dist="Normal",DistA+DistB*I2827,DistA+(DistB-DistA)*NORMSDIST(I2827)),"")</f>
        <v/>
      </c>
      <c r="K2827">
        <f>IF(B2827,INDEX(MineScale,C2827),"")</f>
        <v/>
      </c>
      <c r="L2827">
        <f>IF(B2827,INDEX(Dow,1,WEEKDAY(E2827,2)),"")</f>
        <v/>
      </c>
      <c r="M2827">
        <f>IF(B2827,(1+Trend)^D2827,"")</f>
        <v/>
      </c>
      <c r="N2827">
        <f>IF(B2827,EXP(SUMPRODUCT(LN(1+(EvEff-1)*INDEX(Affected,0,C2827)*EXP(-((E2827-EvCenter)^2)/(2*EvSigma^2))))),"")</f>
        <v/>
      </c>
      <c r="O2827">
        <f>IF(B2827,ROUND(MAX(0,J2827*K2827*L2827*M2827*N2827),2),"")</f>
        <v/>
      </c>
    </row>
    <row r="2828">
      <c r="A2828" t="n">
        <v>2827</v>
      </c>
      <c r="B2828">
        <f>A2828&lt;=MineCount*Days</f>
        <v/>
      </c>
      <c r="C2828">
        <f>IF(B2828,INT((A2828-1)/Days)+1,"")</f>
        <v/>
      </c>
      <c r="D2828">
        <f>IF(B2828,MOD(A2828-1,Days),"")</f>
        <v/>
      </c>
      <c r="E2828" s="16">
        <f>IF(B2828,StartDate+D2828,"")</f>
        <v/>
      </c>
      <c r="F2828">
        <f>IF(B2828,MAX(MOD(SIN(Seed*0.1373+C2828*12.9898+D2828*78.233)*43758.5453,1),1E-9),"")</f>
        <v/>
      </c>
      <c r="G2828">
        <f>IF(B2828,MOD(SIN(Seed*0.5917+C2828*39.3468+D2828*11.135)*24634.6345,1),"")</f>
        <v/>
      </c>
      <c r="H2828">
        <f>IF(B2828,SQRT(-2*LN(F2828))*COS(2*PI()*G2828),"")</f>
        <v/>
      </c>
      <c r="I2828">
        <f>IF(B2828,IF(D2828=0,H2828,Rho*I2827+SQRT(1-Rho^2)*H2828),"")</f>
        <v/>
      </c>
      <c r="J2828">
        <f>IF(B2828,IF(Dist="Normal",DistA+DistB*I2828,DistA+(DistB-DistA)*NORMSDIST(I2828)),"")</f>
        <v/>
      </c>
      <c r="K2828">
        <f>IF(B2828,INDEX(MineScale,C2828),"")</f>
        <v/>
      </c>
      <c r="L2828">
        <f>IF(B2828,INDEX(Dow,1,WEEKDAY(E2828,2)),"")</f>
        <v/>
      </c>
      <c r="M2828">
        <f>IF(B2828,(1+Trend)^D2828,"")</f>
        <v/>
      </c>
      <c r="N2828">
        <f>IF(B2828,EXP(SUMPRODUCT(LN(1+(EvEff-1)*INDEX(Affected,0,C2828)*EXP(-((E2828-EvCenter)^2)/(2*EvSigma^2))))),"")</f>
        <v/>
      </c>
      <c r="O2828">
        <f>IF(B2828,ROUND(MAX(0,J2828*K2828*L2828*M2828*N2828),2),"")</f>
        <v/>
      </c>
    </row>
    <row r="2829">
      <c r="A2829" t="n">
        <v>2828</v>
      </c>
      <c r="B2829">
        <f>A2829&lt;=MineCount*Days</f>
        <v/>
      </c>
      <c r="C2829">
        <f>IF(B2829,INT((A2829-1)/Days)+1,"")</f>
        <v/>
      </c>
      <c r="D2829">
        <f>IF(B2829,MOD(A2829-1,Days),"")</f>
        <v/>
      </c>
      <c r="E2829" s="16">
        <f>IF(B2829,StartDate+D2829,"")</f>
        <v/>
      </c>
      <c r="F2829">
        <f>IF(B2829,MAX(MOD(SIN(Seed*0.1373+C2829*12.9898+D2829*78.233)*43758.5453,1),1E-9),"")</f>
        <v/>
      </c>
      <c r="G2829">
        <f>IF(B2829,MOD(SIN(Seed*0.5917+C2829*39.3468+D2829*11.135)*24634.6345,1),"")</f>
        <v/>
      </c>
      <c r="H2829">
        <f>IF(B2829,SQRT(-2*LN(F2829))*COS(2*PI()*G2829),"")</f>
        <v/>
      </c>
      <c r="I2829">
        <f>IF(B2829,IF(D2829=0,H2829,Rho*I2828+SQRT(1-Rho^2)*H2829),"")</f>
        <v/>
      </c>
      <c r="J2829">
        <f>IF(B2829,IF(Dist="Normal",DistA+DistB*I2829,DistA+(DistB-DistA)*NORMSDIST(I2829)),"")</f>
        <v/>
      </c>
      <c r="K2829">
        <f>IF(B2829,INDEX(MineScale,C2829),"")</f>
        <v/>
      </c>
      <c r="L2829">
        <f>IF(B2829,INDEX(Dow,1,WEEKDAY(E2829,2)),"")</f>
        <v/>
      </c>
      <c r="M2829">
        <f>IF(B2829,(1+Trend)^D2829,"")</f>
        <v/>
      </c>
      <c r="N2829">
        <f>IF(B2829,EXP(SUMPRODUCT(LN(1+(EvEff-1)*INDEX(Affected,0,C2829)*EXP(-((E2829-EvCenter)^2)/(2*EvSigma^2))))),"")</f>
        <v/>
      </c>
      <c r="O2829">
        <f>IF(B2829,ROUND(MAX(0,J2829*K2829*L2829*M2829*N2829),2),"")</f>
        <v/>
      </c>
    </row>
    <row r="2830">
      <c r="A2830" t="n">
        <v>2829</v>
      </c>
      <c r="B2830">
        <f>A2830&lt;=MineCount*Days</f>
        <v/>
      </c>
      <c r="C2830">
        <f>IF(B2830,INT((A2830-1)/Days)+1,"")</f>
        <v/>
      </c>
      <c r="D2830">
        <f>IF(B2830,MOD(A2830-1,Days),"")</f>
        <v/>
      </c>
      <c r="E2830" s="16">
        <f>IF(B2830,StartDate+D2830,"")</f>
        <v/>
      </c>
      <c r="F2830">
        <f>IF(B2830,MAX(MOD(SIN(Seed*0.1373+C2830*12.9898+D2830*78.233)*43758.5453,1),1E-9),"")</f>
        <v/>
      </c>
      <c r="G2830">
        <f>IF(B2830,MOD(SIN(Seed*0.5917+C2830*39.3468+D2830*11.135)*24634.6345,1),"")</f>
        <v/>
      </c>
      <c r="H2830">
        <f>IF(B2830,SQRT(-2*LN(F2830))*COS(2*PI()*G2830),"")</f>
        <v/>
      </c>
      <c r="I2830">
        <f>IF(B2830,IF(D2830=0,H2830,Rho*I2829+SQRT(1-Rho^2)*H2830),"")</f>
        <v/>
      </c>
      <c r="J2830">
        <f>IF(B2830,IF(Dist="Normal",DistA+DistB*I2830,DistA+(DistB-DistA)*NORMSDIST(I2830)),"")</f>
        <v/>
      </c>
      <c r="K2830">
        <f>IF(B2830,INDEX(MineScale,C2830),"")</f>
        <v/>
      </c>
      <c r="L2830">
        <f>IF(B2830,INDEX(Dow,1,WEEKDAY(E2830,2)),"")</f>
        <v/>
      </c>
      <c r="M2830">
        <f>IF(B2830,(1+Trend)^D2830,"")</f>
        <v/>
      </c>
      <c r="N2830">
        <f>IF(B2830,EXP(SUMPRODUCT(LN(1+(EvEff-1)*INDEX(Affected,0,C2830)*EXP(-((E2830-EvCenter)^2)/(2*EvSigma^2))))),"")</f>
        <v/>
      </c>
      <c r="O2830">
        <f>IF(B2830,ROUND(MAX(0,J2830*K2830*L2830*M2830*N2830),2),"")</f>
        <v/>
      </c>
    </row>
    <row r="2831">
      <c r="A2831" t="n">
        <v>2830</v>
      </c>
      <c r="B2831">
        <f>A2831&lt;=MineCount*Days</f>
        <v/>
      </c>
      <c r="C2831">
        <f>IF(B2831,INT((A2831-1)/Days)+1,"")</f>
        <v/>
      </c>
      <c r="D2831">
        <f>IF(B2831,MOD(A2831-1,Days),"")</f>
        <v/>
      </c>
      <c r="E2831" s="16">
        <f>IF(B2831,StartDate+D2831,"")</f>
        <v/>
      </c>
      <c r="F2831">
        <f>IF(B2831,MAX(MOD(SIN(Seed*0.1373+C2831*12.9898+D2831*78.233)*43758.5453,1),1E-9),"")</f>
        <v/>
      </c>
      <c r="G2831">
        <f>IF(B2831,MOD(SIN(Seed*0.5917+C2831*39.3468+D2831*11.135)*24634.6345,1),"")</f>
        <v/>
      </c>
      <c r="H2831">
        <f>IF(B2831,SQRT(-2*LN(F2831))*COS(2*PI()*G2831),"")</f>
        <v/>
      </c>
      <c r="I2831">
        <f>IF(B2831,IF(D2831=0,H2831,Rho*I2830+SQRT(1-Rho^2)*H2831),"")</f>
        <v/>
      </c>
      <c r="J2831">
        <f>IF(B2831,IF(Dist="Normal",DistA+DistB*I2831,DistA+(DistB-DistA)*NORMSDIST(I2831)),"")</f>
        <v/>
      </c>
      <c r="K2831">
        <f>IF(B2831,INDEX(MineScale,C2831),"")</f>
        <v/>
      </c>
      <c r="L2831">
        <f>IF(B2831,INDEX(Dow,1,WEEKDAY(E2831,2)),"")</f>
        <v/>
      </c>
      <c r="M2831">
        <f>IF(B2831,(1+Trend)^D2831,"")</f>
        <v/>
      </c>
      <c r="N2831">
        <f>IF(B2831,EXP(SUMPRODUCT(LN(1+(EvEff-1)*INDEX(Affected,0,C2831)*EXP(-((E2831-EvCenter)^2)/(2*EvSigma^2))))),"")</f>
        <v/>
      </c>
      <c r="O2831">
        <f>IF(B2831,ROUND(MAX(0,J2831*K2831*L2831*M2831*N2831),2),"")</f>
        <v/>
      </c>
    </row>
    <row r="2832">
      <c r="A2832" t="n">
        <v>2831</v>
      </c>
      <c r="B2832">
        <f>A2832&lt;=MineCount*Days</f>
        <v/>
      </c>
      <c r="C2832">
        <f>IF(B2832,INT((A2832-1)/Days)+1,"")</f>
        <v/>
      </c>
      <c r="D2832">
        <f>IF(B2832,MOD(A2832-1,Days),"")</f>
        <v/>
      </c>
      <c r="E2832" s="16">
        <f>IF(B2832,StartDate+D2832,"")</f>
        <v/>
      </c>
      <c r="F2832">
        <f>IF(B2832,MAX(MOD(SIN(Seed*0.1373+C2832*12.9898+D2832*78.233)*43758.5453,1),1E-9),"")</f>
        <v/>
      </c>
      <c r="G2832">
        <f>IF(B2832,MOD(SIN(Seed*0.5917+C2832*39.3468+D2832*11.135)*24634.6345,1),"")</f>
        <v/>
      </c>
      <c r="H2832">
        <f>IF(B2832,SQRT(-2*LN(F2832))*COS(2*PI()*G2832),"")</f>
        <v/>
      </c>
      <c r="I2832">
        <f>IF(B2832,IF(D2832=0,H2832,Rho*I2831+SQRT(1-Rho^2)*H2832),"")</f>
        <v/>
      </c>
      <c r="J2832">
        <f>IF(B2832,IF(Dist="Normal",DistA+DistB*I2832,DistA+(DistB-DistA)*NORMSDIST(I2832)),"")</f>
        <v/>
      </c>
      <c r="K2832">
        <f>IF(B2832,INDEX(MineScale,C2832),"")</f>
        <v/>
      </c>
      <c r="L2832">
        <f>IF(B2832,INDEX(Dow,1,WEEKDAY(E2832,2)),"")</f>
        <v/>
      </c>
      <c r="M2832">
        <f>IF(B2832,(1+Trend)^D2832,"")</f>
        <v/>
      </c>
      <c r="N2832">
        <f>IF(B2832,EXP(SUMPRODUCT(LN(1+(EvEff-1)*INDEX(Affected,0,C2832)*EXP(-((E2832-EvCenter)^2)/(2*EvSigma^2))))),"")</f>
        <v/>
      </c>
      <c r="O2832">
        <f>IF(B2832,ROUND(MAX(0,J2832*K2832*L2832*M2832*N2832),2),"")</f>
        <v/>
      </c>
    </row>
    <row r="2833">
      <c r="A2833" t="n">
        <v>2832</v>
      </c>
      <c r="B2833">
        <f>A2833&lt;=MineCount*Days</f>
        <v/>
      </c>
      <c r="C2833">
        <f>IF(B2833,INT((A2833-1)/Days)+1,"")</f>
        <v/>
      </c>
      <c r="D2833">
        <f>IF(B2833,MOD(A2833-1,Days),"")</f>
        <v/>
      </c>
      <c r="E2833" s="16">
        <f>IF(B2833,StartDate+D2833,"")</f>
        <v/>
      </c>
      <c r="F2833">
        <f>IF(B2833,MAX(MOD(SIN(Seed*0.1373+C2833*12.9898+D2833*78.233)*43758.5453,1),1E-9),"")</f>
        <v/>
      </c>
      <c r="G2833">
        <f>IF(B2833,MOD(SIN(Seed*0.5917+C2833*39.3468+D2833*11.135)*24634.6345,1),"")</f>
        <v/>
      </c>
      <c r="H2833">
        <f>IF(B2833,SQRT(-2*LN(F2833))*COS(2*PI()*G2833),"")</f>
        <v/>
      </c>
      <c r="I2833">
        <f>IF(B2833,IF(D2833=0,H2833,Rho*I2832+SQRT(1-Rho^2)*H2833),"")</f>
        <v/>
      </c>
      <c r="J2833">
        <f>IF(B2833,IF(Dist="Normal",DistA+DistB*I2833,DistA+(DistB-DistA)*NORMSDIST(I2833)),"")</f>
        <v/>
      </c>
      <c r="K2833">
        <f>IF(B2833,INDEX(MineScale,C2833),"")</f>
        <v/>
      </c>
      <c r="L2833">
        <f>IF(B2833,INDEX(Dow,1,WEEKDAY(E2833,2)),"")</f>
        <v/>
      </c>
      <c r="M2833">
        <f>IF(B2833,(1+Trend)^D2833,"")</f>
        <v/>
      </c>
      <c r="N2833">
        <f>IF(B2833,EXP(SUMPRODUCT(LN(1+(EvEff-1)*INDEX(Affected,0,C2833)*EXP(-((E2833-EvCenter)^2)/(2*EvSigma^2))))),"")</f>
        <v/>
      </c>
      <c r="O2833">
        <f>IF(B2833,ROUND(MAX(0,J2833*K2833*L2833*M2833*N2833),2),"")</f>
        <v/>
      </c>
    </row>
    <row r="2834">
      <c r="A2834" t="n">
        <v>2833</v>
      </c>
      <c r="B2834">
        <f>A2834&lt;=MineCount*Days</f>
        <v/>
      </c>
      <c r="C2834">
        <f>IF(B2834,INT((A2834-1)/Days)+1,"")</f>
        <v/>
      </c>
      <c r="D2834">
        <f>IF(B2834,MOD(A2834-1,Days),"")</f>
        <v/>
      </c>
      <c r="E2834" s="16">
        <f>IF(B2834,StartDate+D2834,"")</f>
        <v/>
      </c>
      <c r="F2834">
        <f>IF(B2834,MAX(MOD(SIN(Seed*0.1373+C2834*12.9898+D2834*78.233)*43758.5453,1),1E-9),"")</f>
        <v/>
      </c>
      <c r="G2834">
        <f>IF(B2834,MOD(SIN(Seed*0.5917+C2834*39.3468+D2834*11.135)*24634.6345,1),"")</f>
        <v/>
      </c>
      <c r="H2834">
        <f>IF(B2834,SQRT(-2*LN(F2834))*COS(2*PI()*G2834),"")</f>
        <v/>
      </c>
      <c r="I2834">
        <f>IF(B2834,IF(D2834=0,H2834,Rho*I2833+SQRT(1-Rho^2)*H2834),"")</f>
        <v/>
      </c>
      <c r="J2834">
        <f>IF(B2834,IF(Dist="Normal",DistA+DistB*I2834,DistA+(DistB-DistA)*NORMSDIST(I2834)),"")</f>
        <v/>
      </c>
      <c r="K2834">
        <f>IF(B2834,INDEX(MineScale,C2834),"")</f>
        <v/>
      </c>
      <c r="L2834">
        <f>IF(B2834,INDEX(Dow,1,WEEKDAY(E2834,2)),"")</f>
        <v/>
      </c>
      <c r="M2834">
        <f>IF(B2834,(1+Trend)^D2834,"")</f>
        <v/>
      </c>
      <c r="N2834">
        <f>IF(B2834,EXP(SUMPRODUCT(LN(1+(EvEff-1)*INDEX(Affected,0,C2834)*EXP(-((E2834-EvCenter)^2)/(2*EvSigma^2))))),"")</f>
        <v/>
      </c>
      <c r="O2834">
        <f>IF(B2834,ROUND(MAX(0,J2834*K2834*L2834*M2834*N2834),2),"")</f>
        <v/>
      </c>
    </row>
    <row r="2835">
      <c r="A2835" t="n">
        <v>2834</v>
      </c>
      <c r="B2835">
        <f>A2835&lt;=MineCount*Days</f>
        <v/>
      </c>
      <c r="C2835">
        <f>IF(B2835,INT((A2835-1)/Days)+1,"")</f>
        <v/>
      </c>
      <c r="D2835">
        <f>IF(B2835,MOD(A2835-1,Days),"")</f>
        <v/>
      </c>
      <c r="E2835" s="16">
        <f>IF(B2835,StartDate+D2835,"")</f>
        <v/>
      </c>
      <c r="F2835">
        <f>IF(B2835,MAX(MOD(SIN(Seed*0.1373+C2835*12.9898+D2835*78.233)*43758.5453,1),1E-9),"")</f>
        <v/>
      </c>
      <c r="G2835">
        <f>IF(B2835,MOD(SIN(Seed*0.5917+C2835*39.3468+D2835*11.135)*24634.6345,1),"")</f>
        <v/>
      </c>
      <c r="H2835">
        <f>IF(B2835,SQRT(-2*LN(F2835))*COS(2*PI()*G2835),"")</f>
        <v/>
      </c>
      <c r="I2835">
        <f>IF(B2835,IF(D2835=0,H2835,Rho*I2834+SQRT(1-Rho^2)*H2835),"")</f>
        <v/>
      </c>
      <c r="J2835">
        <f>IF(B2835,IF(Dist="Normal",DistA+DistB*I2835,DistA+(DistB-DistA)*NORMSDIST(I2835)),"")</f>
        <v/>
      </c>
      <c r="K2835">
        <f>IF(B2835,INDEX(MineScale,C2835),"")</f>
        <v/>
      </c>
      <c r="L2835">
        <f>IF(B2835,INDEX(Dow,1,WEEKDAY(E2835,2)),"")</f>
        <v/>
      </c>
      <c r="M2835">
        <f>IF(B2835,(1+Trend)^D2835,"")</f>
        <v/>
      </c>
      <c r="N2835">
        <f>IF(B2835,EXP(SUMPRODUCT(LN(1+(EvEff-1)*INDEX(Affected,0,C2835)*EXP(-((E2835-EvCenter)^2)/(2*EvSigma^2))))),"")</f>
        <v/>
      </c>
      <c r="O2835">
        <f>IF(B2835,ROUND(MAX(0,J2835*K2835*L2835*M2835*N2835),2),"")</f>
        <v/>
      </c>
    </row>
    <row r="2836">
      <c r="A2836" t="n">
        <v>2835</v>
      </c>
      <c r="B2836">
        <f>A2836&lt;=MineCount*Days</f>
        <v/>
      </c>
      <c r="C2836">
        <f>IF(B2836,INT((A2836-1)/Days)+1,"")</f>
        <v/>
      </c>
      <c r="D2836">
        <f>IF(B2836,MOD(A2836-1,Days),"")</f>
        <v/>
      </c>
      <c r="E2836" s="16">
        <f>IF(B2836,StartDate+D2836,"")</f>
        <v/>
      </c>
      <c r="F2836">
        <f>IF(B2836,MAX(MOD(SIN(Seed*0.1373+C2836*12.9898+D2836*78.233)*43758.5453,1),1E-9),"")</f>
        <v/>
      </c>
      <c r="G2836">
        <f>IF(B2836,MOD(SIN(Seed*0.5917+C2836*39.3468+D2836*11.135)*24634.6345,1),"")</f>
        <v/>
      </c>
      <c r="H2836">
        <f>IF(B2836,SQRT(-2*LN(F2836))*COS(2*PI()*G2836),"")</f>
        <v/>
      </c>
      <c r="I2836">
        <f>IF(B2836,IF(D2836=0,H2836,Rho*I2835+SQRT(1-Rho^2)*H2836),"")</f>
        <v/>
      </c>
      <c r="J2836">
        <f>IF(B2836,IF(Dist="Normal",DistA+DistB*I2836,DistA+(DistB-DistA)*NORMSDIST(I2836)),"")</f>
        <v/>
      </c>
      <c r="K2836">
        <f>IF(B2836,INDEX(MineScale,C2836),"")</f>
        <v/>
      </c>
      <c r="L2836">
        <f>IF(B2836,INDEX(Dow,1,WEEKDAY(E2836,2)),"")</f>
        <v/>
      </c>
      <c r="M2836">
        <f>IF(B2836,(1+Trend)^D2836,"")</f>
        <v/>
      </c>
      <c r="N2836">
        <f>IF(B2836,EXP(SUMPRODUCT(LN(1+(EvEff-1)*INDEX(Affected,0,C2836)*EXP(-((E2836-EvCenter)^2)/(2*EvSigma^2))))),"")</f>
        <v/>
      </c>
      <c r="O2836">
        <f>IF(B2836,ROUND(MAX(0,J2836*K2836*L2836*M2836*N2836),2),"")</f>
        <v/>
      </c>
    </row>
    <row r="2837">
      <c r="A2837" t="n">
        <v>2836</v>
      </c>
      <c r="B2837">
        <f>A2837&lt;=MineCount*Days</f>
        <v/>
      </c>
      <c r="C2837">
        <f>IF(B2837,INT((A2837-1)/Days)+1,"")</f>
        <v/>
      </c>
      <c r="D2837">
        <f>IF(B2837,MOD(A2837-1,Days),"")</f>
        <v/>
      </c>
      <c r="E2837" s="16">
        <f>IF(B2837,StartDate+D2837,"")</f>
        <v/>
      </c>
      <c r="F2837">
        <f>IF(B2837,MAX(MOD(SIN(Seed*0.1373+C2837*12.9898+D2837*78.233)*43758.5453,1),1E-9),"")</f>
        <v/>
      </c>
      <c r="G2837">
        <f>IF(B2837,MOD(SIN(Seed*0.5917+C2837*39.3468+D2837*11.135)*24634.6345,1),"")</f>
        <v/>
      </c>
      <c r="H2837">
        <f>IF(B2837,SQRT(-2*LN(F2837))*COS(2*PI()*G2837),"")</f>
        <v/>
      </c>
      <c r="I2837">
        <f>IF(B2837,IF(D2837=0,H2837,Rho*I2836+SQRT(1-Rho^2)*H2837),"")</f>
        <v/>
      </c>
      <c r="J2837">
        <f>IF(B2837,IF(Dist="Normal",DistA+DistB*I2837,DistA+(DistB-DistA)*NORMSDIST(I2837)),"")</f>
        <v/>
      </c>
      <c r="K2837">
        <f>IF(B2837,INDEX(MineScale,C2837),"")</f>
        <v/>
      </c>
      <c r="L2837">
        <f>IF(B2837,INDEX(Dow,1,WEEKDAY(E2837,2)),"")</f>
        <v/>
      </c>
      <c r="M2837">
        <f>IF(B2837,(1+Trend)^D2837,"")</f>
        <v/>
      </c>
      <c r="N2837">
        <f>IF(B2837,EXP(SUMPRODUCT(LN(1+(EvEff-1)*INDEX(Affected,0,C2837)*EXP(-((E2837-EvCenter)^2)/(2*EvSigma^2))))),"")</f>
        <v/>
      </c>
      <c r="O2837">
        <f>IF(B2837,ROUND(MAX(0,J2837*K2837*L2837*M2837*N2837),2),"")</f>
        <v/>
      </c>
    </row>
    <row r="2838">
      <c r="A2838" t="n">
        <v>2837</v>
      </c>
      <c r="B2838">
        <f>A2838&lt;=MineCount*Days</f>
        <v/>
      </c>
      <c r="C2838">
        <f>IF(B2838,INT((A2838-1)/Days)+1,"")</f>
        <v/>
      </c>
      <c r="D2838">
        <f>IF(B2838,MOD(A2838-1,Days),"")</f>
        <v/>
      </c>
      <c r="E2838" s="16">
        <f>IF(B2838,StartDate+D2838,"")</f>
        <v/>
      </c>
      <c r="F2838">
        <f>IF(B2838,MAX(MOD(SIN(Seed*0.1373+C2838*12.9898+D2838*78.233)*43758.5453,1),1E-9),"")</f>
        <v/>
      </c>
      <c r="G2838">
        <f>IF(B2838,MOD(SIN(Seed*0.5917+C2838*39.3468+D2838*11.135)*24634.6345,1),"")</f>
        <v/>
      </c>
      <c r="H2838">
        <f>IF(B2838,SQRT(-2*LN(F2838))*COS(2*PI()*G2838),"")</f>
        <v/>
      </c>
      <c r="I2838">
        <f>IF(B2838,IF(D2838=0,H2838,Rho*I2837+SQRT(1-Rho^2)*H2838),"")</f>
        <v/>
      </c>
      <c r="J2838">
        <f>IF(B2838,IF(Dist="Normal",DistA+DistB*I2838,DistA+(DistB-DistA)*NORMSDIST(I2838)),"")</f>
        <v/>
      </c>
      <c r="K2838">
        <f>IF(B2838,INDEX(MineScale,C2838),"")</f>
        <v/>
      </c>
      <c r="L2838">
        <f>IF(B2838,INDEX(Dow,1,WEEKDAY(E2838,2)),"")</f>
        <v/>
      </c>
      <c r="M2838">
        <f>IF(B2838,(1+Trend)^D2838,"")</f>
        <v/>
      </c>
      <c r="N2838">
        <f>IF(B2838,EXP(SUMPRODUCT(LN(1+(EvEff-1)*INDEX(Affected,0,C2838)*EXP(-((E2838-EvCenter)^2)/(2*EvSigma^2))))),"")</f>
        <v/>
      </c>
      <c r="O2838">
        <f>IF(B2838,ROUND(MAX(0,J2838*K2838*L2838*M2838*N2838),2),"")</f>
        <v/>
      </c>
    </row>
    <row r="2839">
      <c r="A2839" t="n">
        <v>2838</v>
      </c>
      <c r="B2839">
        <f>A2839&lt;=MineCount*Days</f>
        <v/>
      </c>
      <c r="C2839">
        <f>IF(B2839,INT((A2839-1)/Days)+1,"")</f>
        <v/>
      </c>
      <c r="D2839">
        <f>IF(B2839,MOD(A2839-1,Days),"")</f>
        <v/>
      </c>
      <c r="E2839" s="16">
        <f>IF(B2839,StartDate+D2839,"")</f>
        <v/>
      </c>
      <c r="F2839">
        <f>IF(B2839,MAX(MOD(SIN(Seed*0.1373+C2839*12.9898+D2839*78.233)*43758.5453,1),1E-9),"")</f>
        <v/>
      </c>
      <c r="G2839">
        <f>IF(B2839,MOD(SIN(Seed*0.5917+C2839*39.3468+D2839*11.135)*24634.6345,1),"")</f>
        <v/>
      </c>
      <c r="H2839">
        <f>IF(B2839,SQRT(-2*LN(F2839))*COS(2*PI()*G2839),"")</f>
        <v/>
      </c>
      <c r="I2839">
        <f>IF(B2839,IF(D2839=0,H2839,Rho*I2838+SQRT(1-Rho^2)*H2839),"")</f>
        <v/>
      </c>
      <c r="J2839">
        <f>IF(B2839,IF(Dist="Normal",DistA+DistB*I2839,DistA+(DistB-DistA)*NORMSDIST(I2839)),"")</f>
        <v/>
      </c>
      <c r="K2839">
        <f>IF(B2839,INDEX(MineScale,C2839),"")</f>
        <v/>
      </c>
      <c r="L2839">
        <f>IF(B2839,INDEX(Dow,1,WEEKDAY(E2839,2)),"")</f>
        <v/>
      </c>
      <c r="M2839">
        <f>IF(B2839,(1+Trend)^D2839,"")</f>
        <v/>
      </c>
      <c r="N2839">
        <f>IF(B2839,EXP(SUMPRODUCT(LN(1+(EvEff-1)*INDEX(Affected,0,C2839)*EXP(-((E2839-EvCenter)^2)/(2*EvSigma^2))))),"")</f>
        <v/>
      </c>
      <c r="O2839">
        <f>IF(B2839,ROUND(MAX(0,J2839*K2839*L2839*M2839*N2839),2),"")</f>
        <v/>
      </c>
    </row>
    <row r="2840">
      <c r="A2840" t="n">
        <v>2839</v>
      </c>
      <c r="B2840">
        <f>A2840&lt;=MineCount*Days</f>
        <v/>
      </c>
      <c r="C2840">
        <f>IF(B2840,INT((A2840-1)/Days)+1,"")</f>
        <v/>
      </c>
      <c r="D2840">
        <f>IF(B2840,MOD(A2840-1,Days),"")</f>
        <v/>
      </c>
      <c r="E2840" s="16">
        <f>IF(B2840,StartDate+D2840,"")</f>
        <v/>
      </c>
      <c r="F2840">
        <f>IF(B2840,MAX(MOD(SIN(Seed*0.1373+C2840*12.9898+D2840*78.233)*43758.5453,1),1E-9),"")</f>
        <v/>
      </c>
      <c r="G2840">
        <f>IF(B2840,MOD(SIN(Seed*0.5917+C2840*39.3468+D2840*11.135)*24634.6345,1),"")</f>
        <v/>
      </c>
      <c r="H2840">
        <f>IF(B2840,SQRT(-2*LN(F2840))*COS(2*PI()*G2840),"")</f>
        <v/>
      </c>
      <c r="I2840">
        <f>IF(B2840,IF(D2840=0,H2840,Rho*I2839+SQRT(1-Rho^2)*H2840),"")</f>
        <v/>
      </c>
      <c r="J2840">
        <f>IF(B2840,IF(Dist="Normal",DistA+DistB*I2840,DistA+(DistB-DistA)*NORMSDIST(I2840)),"")</f>
        <v/>
      </c>
      <c r="K2840">
        <f>IF(B2840,INDEX(MineScale,C2840),"")</f>
        <v/>
      </c>
      <c r="L2840">
        <f>IF(B2840,INDEX(Dow,1,WEEKDAY(E2840,2)),"")</f>
        <v/>
      </c>
      <c r="M2840">
        <f>IF(B2840,(1+Trend)^D2840,"")</f>
        <v/>
      </c>
      <c r="N2840">
        <f>IF(B2840,EXP(SUMPRODUCT(LN(1+(EvEff-1)*INDEX(Affected,0,C2840)*EXP(-((E2840-EvCenter)^2)/(2*EvSigma^2))))),"")</f>
        <v/>
      </c>
      <c r="O2840">
        <f>IF(B2840,ROUND(MAX(0,J2840*K2840*L2840*M2840*N2840),2),"")</f>
        <v/>
      </c>
    </row>
    <row r="2841">
      <c r="A2841" t="n">
        <v>2840</v>
      </c>
      <c r="B2841">
        <f>A2841&lt;=MineCount*Days</f>
        <v/>
      </c>
      <c r="C2841">
        <f>IF(B2841,INT((A2841-1)/Days)+1,"")</f>
        <v/>
      </c>
      <c r="D2841">
        <f>IF(B2841,MOD(A2841-1,Days),"")</f>
        <v/>
      </c>
      <c r="E2841" s="16">
        <f>IF(B2841,StartDate+D2841,"")</f>
        <v/>
      </c>
      <c r="F2841">
        <f>IF(B2841,MAX(MOD(SIN(Seed*0.1373+C2841*12.9898+D2841*78.233)*43758.5453,1),1E-9),"")</f>
        <v/>
      </c>
      <c r="G2841">
        <f>IF(B2841,MOD(SIN(Seed*0.5917+C2841*39.3468+D2841*11.135)*24634.6345,1),"")</f>
        <v/>
      </c>
      <c r="H2841">
        <f>IF(B2841,SQRT(-2*LN(F2841))*COS(2*PI()*G2841),"")</f>
        <v/>
      </c>
      <c r="I2841">
        <f>IF(B2841,IF(D2841=0,H2841,Rho*I2840+SQRT(1-Rho^2)*H2841),"")</f>
        <v/>
      </c>
      <c r="J2841">
        <f>IF(B2841,IF(Dist="Normal",DistA+DistB*I2841,DistA+(DistB-DistA)*NORMSDIST(I2841)),"")</f>
        <v/>
      </c>
      <c r="K2841">
        <f>IF(B2841,INDEX(MineScale,C2841),"")</f>
        <v/>
      </c>
      <c r="L2841">
        <f>IF(B2841,INDEX(Dow,1,WEEKDAY(E2841,2)),"")</f>
        <v/>
      </c>
      <c r="M2841">
        <f>IF(B2841,(1+Trend)^D2841,"")</f>
        <v/>
      </c>
      <c r="N2841">
        <f>IF(B2841,EXP(SUMPRODUCT(LN(1+(EvEff-1)*INDEX(Affected,0,C2841)*EXP(-((E2841-EvCenter)^2)/(2*EvSigma^2))))),"")</f>
        <v/>
      </c>
      <c r="O2841">
        <f>IF(B2841,ROUND(MAX(0,J2841*K2841*L2841*M2841*N2841),2),"")</f>
        <v/>
      </c>
    </row>
    <row r="2842">
      <c r="A2842" t="n">
        <v>2841</v>
      </c>
      <c r="B2842">
        <f>A2842&lt;=MineCount*Days</f>
        <v/>
      </c>
      <c r="C2842">
        <f>IF(B2842,INT((A2842-1)/Days)+1,"")</f>
        <v/>
      </c>
      <c r="D2842">
        <f>IF(B2842,MOD(A2842-1,Days),"")</f>
        <v/>
      </c>
      <c r="E2842" s="16">
        <f>IF(B2842,StartDate+D2842,"")</f>
        <v/>
      </c>
      <c r="F2842">
        <f>IF(B2842,MAX(MOD(SIN(Seed*0.1373+C2842*12.9898+D2842*78.233)*43758.5453,1),1E-9),"")</f>
        <v/>
      </c>
      <c r="G2842">
        <f>IF(B2842,MOD(SIN(Seed*0.5917+C2842*39.3468+D2842*11.135)*24634.6345,1),"")</f>
        <v/>
      </c>
      <c r="H2842">
        <f>IF(B2842,SQRT(-2*LN(F2842))*COS(2*PI()*G2842),"")</f>
        <v/>
      </c>
      <c r="I2842">
        <f>IF(B2842,IF(D2842=0,H2842,Rho*I2841+SQRT(1-Rho^2)*H2842),"")</f>
        <v/>
      </c>
      <c r="J2842">
        <f>IF(B2842,IF(Dist="Normal",DistA+DistB*I2842,DistA+(DistB-DistA)*NORMSDIST(I2842)),"")</f>
        <v/>
      </c>
      <c r="K2842">
        <f>IF(B2842,INDEX(MineScale,C2842),"")</f>
        <v/>
      </c>
      <c r="L2842">
        <f>IF(B2842,INDEX(Dow,1,WEEKDAY(E2842,2)),"")</f>
        <v/>
      </c>
      <c r="M2842">
        <f>IF(B2842,(1+Trend)^D2842,"")</f>
        <v/>
      </c>
      <c r="N2842">
        <f>IF(B2842,EXP(SUMPRODUCT(LN(1+(EvEff-1)*INDEX(Affected,0,C2842)*EXP(-((E2842-EvCenter)^2)/(2*EvSigma^2))))),"")</f>
        <v/>
      </c>
      <c r="O2842">
        <f>IF(B2842,ROUND(MAX(0,J2842*K2842*L2842*M2842*N2842),2),"")</f>
        <v/>
      </c>
    </row>
    <row r="2843">
      <c r="A2843" t="n">
        <v>2842</v>
      </c>
      <c r="B2843">
        <f>A2843&lt;=MineCount*Days</f>
        <v/>
      </c>
      <c r="C2843">
        <f>IF(B2843,INT((A2843-1)/Days)+1,"")</f>
        <v/>
      </c>
      <c r="D2843">
        <f>IF(B2843,MOD(A2843-1,Days),"")</f>
        <v/>
      </c>
      <c r="E2843" s="16">
        <f>IF(B2843,StartDate+D2843,"")</f>
        <v/>
      </c>
      <c r="F2843">
        <f>IF(B2843,MAX(MOD(SIN(Seed*0.1373+C2843*12.9898+D2843*78.233)*43758.5453,1),1E-9),"")</f>
        <v/>
      </c>
      <c r="G2843">
        <f>IF(B2843,MOD(SIN(Seed*0.5917+C2843*39.3468+D2843*11.135)*24634.6345,1),"")</f>
        <v/>
      </c>
      <c r="H2843">
        <f>IF(B2843,SQRT(-2*LN(F2843))*COS(2*PI()*G2843),"")</f>
        <v/>
      </c>
      <c r="I2843">
        <f>IF(B2843,IF(D2843=0,H2843,Rho*I2842+SQRT(1-Rho^2)*H2843),"")</f>
        <v/>
      </c>
      <c r="J2843">
        <f>IF(B2843,IF(Dist="Normal",DistA+DistB*I2843,DistA+(DistB-DistA)*NORMSDIST(I2843)),"")</f>
        <v/>
      </c>
      <c r="K2843">
        <f>IF(B2843,INDEX(MineScale,C2843),"")</f>
        <v/>
      </c>
      <c r="L2843">
        <f>IF(B2843,INDEX(Dow,1,WEEKDAY(E2843,2)),"")</f>
        <v/>
      </c>
      <c r="M2843">
        <f>IF(B2843,(1+Trend)^D2843,"")</f>
        <v/>
      </c>
      <c r="N2843">
        <f>IF(B2843,EXP(SUMPRODUCT(LN(1+(EvEff-1)*INDEX(Affected,0,C2843)*EXP(-((E2843-EvCenter)^2)/(2*EvSigma^2))))),"")</f>
        <v/>
      </c>
      <c r="O2843">
        <f>IF(B2843,ROUND(MAX(0,J2843*K2843*L2843*M2843*N2843),2),"")</f>
        <v/>
      </c>
    </row>
    <row r="2844">
      <c r="A2844" t="n">
        <v>2843</v>
      </c>
      <c r="B2844">
        <f>A2844&lt;=MineCount*Days</f>
        <v/>
      </c>
      <c r="C2844">
        <f>IF(B2844,INT((A2844-1)/Days)+1,"")</f>
        <v/>
      </c>
      <c r="D2844">
        <f>IF(B2844,MOD(A2844-1,Days),"")</f>
        <v/>
      </c>
      <c r="E2844" s="16">
        <f>IF(B2844,StartDate+D2844,"")</f>
        <v/>
      </c>
      <c r="F2844">
        <f>IF(B2844,MAX(MOD(SIN(Seed*0.1373+C2844*12.9898+D2844*78.233)*43758.5453,1),1E-9),"")</f>
        <v/>
      </c>
      <c r="G2844">
        <f>IF(B2844,MOD(SIN(Seed*0.5917+C2844*39.3468+D2844*11.135)*24634.6345,1),"")</f>
        <v/>
      </c>
      <c r="H2844">
        <f>IF(B2844,SQRT(-2*LN(F2844))*COS(2*PI()*G2844),"")</f>
        <v/>
      </c>
      <c r="I2844">
        <f>IF(B2844,IF(D2844=0,H2844,Rho*I2843+SQRT(1-Rho^2)*H2844),"")</f>
        <v/>
      </c>
      <c r="J2844">
        <f>IF(B2844,IF(Dist="Normal",DistA+DistB*I2844,DistA+(DistB-DistA)*NORMSDIST(I2844)),"")</f>
        <v/>
      </c>
      <c r="K2844">
        <f>IF(B2844,INDEX(MineScale,C2844),"")</f>
        <v/>
      </c>
      <c r="L2844">
        <f>IF(B2844,INDEX(Dow,1,WEEKDAY(E2844,2)),"")</f>
        <v/>
      </c>
      <c r="M2844">
        <f>IF(B2844,(1+Trend)^D2844,"")</f>
        <v/>
      </c>
      <c r="N2844">
        <f>IF(B2844,EXP(SUMPRODUCT(LN(1+(EvEff-1)*INDEX(Affected,0,C2844)*EXP(-((E2844-EvCenter)^2)/(2*EvSigma^2))))),"")</f>
        <v/>
      </c>
      <c r="O2844">
        <f>IF(B2844,ROUND(MAX(0,J2844*K2844*L2844*M2844*N2844),2),"")</f>
        <v/>
      </c>
    </row>
    <row r="2845">
      <c r="A2845" t="n">
        <v>2844</v>
      </c>
      <c r="B2845">
        <f>A2845&lt;=MineCount*Days</f>
        <v/>
      </c>
      <c r="C2845">
        <f>IF(B2845,INT((A2845-1)/Days)+1,"")</f>
        <v/>
      </c>
      <c r="D2845">
        <f>IF(B2845,MOD(A2845-1,Days),"")</f>
        <v/>
      </c>
      <c r="E2845" s="16">
        <f>IF(B2845,StartDate+D2845,"")</f>
        <v/>
      </c>
      <c r="F2845">
        <f>IF(B2845,MAX(MOD(SIN(Seed*0.1373+C2845*12.9898+D2845*78.233)*43758.5453,1),1E-9),"")</f>
        <v/>
      </c>
      <c r="G2845">
        <f>IF(B2845,MOD(SIN(Seed*0.5917+C2845*39.3468+D2845*11.135)*24634.6345,1),"")</f>
        <v/>
      </c>
      <c r="H2845">
        <f>IF(B2845,SQRT(-2*LN(F2845))*COS(2*PI()*G2845),"")</f>
        <v/>
      </c>
      <c r="I2845">
        <f>IF(B2845,IF(D2845=0,H2845,Rho*I2844+SQRT(1-Rho^2)*H2845),"")</f>
        <v/>
      </c>
      <c r="J2845">
        <f>IF(B2845,IF(Dist="Normal",DistA+DistB*I2845,DistA+(DistB-DistA)*NORMSDIST(I2845)),"")</f>
        <v/>
      </c>
      <c r="K2845">
        <f>IF(B2845,INDEX(MineScale,C2845),"")</f>
        <v/>
      </c>
      <c r="L2845">
        <f>IF(B2845,INDEX(Dow,1,WEEKDAY(E2845,2)),"")</f>
        <v/>
      </c>
      <c r="M2845">
        <f>IF(B2845,(1+Trend)^D2845,"")</f>
        <v/>
      </c>
      <c r="N2845">
        <f>IF(B2845,EXP(SUMPRODUCT(LN(1+(EvEff-1)*INDEX(Affected,0,C2845)*EXP(-((E2845-EvCenter)^2)/(2*EvSigma^2))))),"")</f>
        <v/>
      </c>
      <c r="O2845">
        <f>IF(B2845,ROUND(MAX(0,J2845*K2845*L2845*M2845*N2845),2),"")</f>
        <v/>
      </c>
    </row>
    <row r="2846">
      <c r="A2846" t="n">
        <v>2845</v>
      </c>
      <c r="B2846">
        <f>A2846&lt;=MineCount*Days</f>
        <v/>
      </c>
      <c r="C2846">
        <f>IF(B2846,INT((A2846-1)/Days)+1,"")</f>
        <v/>
      </c>
      <c r="D2846">
        <f>IF(B2846,MOD(A2846-1,Days),"")</f>
        <v/>
      </c>
      <c r="E2846" s="16">
        <f>IF(B2846,StartDate+D2846,"")</f>
        <v/>
      </c>
      <c r="F2846">
        <f>IF(B2846,MAX(MOD(SIN(Seed*0.1373+C2846*12.9898+D2846*78.233)*43758.5453,1),1E-9),"")</f>
        <v/>
      </c>
      <c r="G2846">
        <f>IF(B2846,MOD(SIN(Seed*0.5917+C2846*39.3468+D2846*11.135)*24634.6345,1),"")</f>
        <v/>
      </c>
      <c r="H2846">
        <f>IF(B2846,SQRT(-2*LN(F2846))*COS(2*PI()*G2846),"")</f>
        <v/>
      </c>
      <c r="I2846">
        <f>IF(B2846,IF(D2846=0,H2846,Rho*I2845+SQRT(1-Rho^2)*H2846),"")</f>
        <v/>
      </c>
      <c r="J2846">
        <f>IF(B2846,IF(Dist="Normal",DistA+DistB*I2846,DistA+(DistB-DistA)*NORMSDIST(I2846)),"")</f>
        <v/>
      </c>
      <c r="K2846">
        <f>IF(B2846,INDEX(MineScale,C2846),"")</f>
        <v/>
      </c>
      <c r="L2846">
        <f>IF(B2846,INDEX(Dow,1,WEEKDAY(E2846,2)),"")</f>
        <v/>
      </c>
      <c r="M2846">
        <f>IF(B2846,(1+Trend)^D2846,"")</f>
        <v/>
      </c>
      <c r="N2846">
        <f>IF(B2846,EXP(SUMPRODUCT(LN(1+(EvEff-1)*INDEX(Affected,0,C2846)*EXP(-((E2846-EvCenter)^2)/(2*EvSigma^2))))),"")</f>
        <v/>
      </c>
      <c r="O2846">
        <f>IF(B2846,ROUND(MAX(0,J2846*K2846*L2846*M2846*N2846),2),"")</f>
        <v/>
      </c>
    </row>
    <row r="2847">
      <c r="A2847" t="n">
        <v>2846</v>
      </c>
      <c r="B2847">
        <f>A2847&lt;=MineCount*Days</f>
        <v/>
      </c>
      <c r="C2847">
        <f>IF(B2847,INT((A2847-1)/Days)+1,"")</f>
        <v/>
      </c>
      <c r="D2847">
        <f>IF(B2847,MOD(A2847-1,Days),"")</f>
        <v/>
      </c>
      <c r="E2847" s="16">
        <f>IF(B2847,StartDate+D2847,"")</f>
        <v/>
      </c>
      <c r="F2847">
        <f>IF(B2847,MAX(MOD(SIN(Seed*0.1373+C2847*12.9898+D2847*78.233)*43758.5453,1),1E-9),"")</f>
        <v/>
      </c>
      <c r="G2847">
        <f>IF(B2847,MOD(SIN(Seed*0.5917+C2847*39.3468+D2847*11.135)*24634.6345,1),"")</f>
        <v/>
      </c>
      <c r="H2847">
        <f>IF(B2847,SQRT(-2*LN(F2847))*COS(2*PI()*G2847),"")</f>
        <v/>
      </c>
      <c r="I2847">
        <f>IF(B2847,IF(D2847=0,H2847,Rho*I2846+SQRT(1-Rho^2)*H2847),"")</f>
        <v/>
      </c>
      <c r="J2847">
        <f>IF(B2847,IF(Dist="Normal",DistA+DistB*I2847,DistA+(DistB-DistA)*NORMSDIST(I2847)),"")</f>
        <v/>
      </c>
      <c r="K2847">
        <f>IF(B2847,INDEX(MineScale,C2847),"")</f>
        <v/>
      </c>
      <c r="L2847">
        <f>IF(B2847,INDEX(Dow,1,WEEKDAY(E2847,2)),"")</f>
        <v/>
      </c>
      <c r="M2847">
        <f>IF(B2847,(1+Trend)^D2847,"")</f>
        <v/>
      </c>
      <c r="N2847">
        <f>IF(B2847,EXP(SUMPRODUCT(LN(1+(EvEff-1)*INDEX(Affected,0,C2847)*EXP(-((E2847-EvCenter)^2)/(2*EvSigma^2))))),"")</f>
        <v/>
      </c>
      <c r="O2847">
        <f>IF(B2847,ROUND(MAX(0,J2847*K2847*L2847*M2847*N2847),2),"")</f>
        <v/>
      </c>
    </row>
    <row r="2848">
      <c r="A2848" t="n">
        <v>2847</v>
      </c>
      <c r="B2848">
        <f>A2848&lt;=MineCount*Days</f>
        <v/>
      </c>
      <c r="C2848">
        <f>IF(B2848,INT((A2848-1)/Days)+1,"")</f>
        <v/>
      </c>
      <c r="D2848">
        <f>IF(B2848,MOD(A2848-1,Days),"")</f>
        <v/>
      </c>
      <c r="E2848" s="16">
        <f>IF(B2848,StartDate+D2848,"")</f>
        <v/>
      </c>
      <c r="F2848">
        <f>IF(B2848,MAX(MOD(SIN(Seed*0.1373+C2848*12.9898+D2848*78.233)*43758.5453,1),1E-9),"")</f>
        <v/>
      </c>
      <c r="G2848">
        <f>IF(B2848,MOD(SIN(Seed*0.5917+C2848*39.3468+D2848*11.135)*24634.6345,1),"")</f>
        <v/>
      </c>
      <c r="H2848">
        <f>IF(B2848,SQRT(-2*LN(F2848))*COS(2*PI()*G2848),"")</f>
        <v/>
      </c>
      <c r="I2848">
        <f>IF(B2848,IF(D2848=0,H2848,Rho*I2847+SQRT(1-Rho^2)*H2848),"")</f>
        <v/>
      </c>
      <c r="J2848">
        <f>IF(B2848,IF(Dist="Normal",DistA+DistB*I2848,DistA+(DistB-DistA)*NORMSDIST(I2848)),"")</f>
        <v/>
      </c>
      <c r="K2848">
        <f>IF(B2848,INDEX(MineScale,C2848),"")</f>
        <v/>
      </c>
      <c r="L2848">
        <f>IF(B2848,INDEX(Dow,1,WEEKDAY(E2848,2)),"")</f>
        <v/>
      </c>
      <c r="M2848">
        <f>IF(B2848,(1+Trend)^D2848,"")</f>
        <v/>
      </c>
      <c r="N2848">
        <f>IF(B2848,EXP(SUMPRODUCT(LN(1+(EvEff-1)*INDEX(Affected,0,C2848)*EXP(-((E2848-EvCenter)^2)/(2*EvSigma^2))))),"")</f>
        <v/>
      </c>
      <c r="O2848">
        <f>IF(B2848,ROUND(MAX(0,J2848*K2848*L2848*M2848*N2848),2),"")</f>
        <v/>
      </c>
    </row>
    <row r="2849">
      <c r="A2849" t="n">
        <v>2848</v>
      </c>
      <c r="B2849">
        <f>A2849&lt;=MineCount*Days</f>
        <v/>
      </c>
      <c r="C2849">
        <f>IF(B2849,INT((A2849-1)/Days)+1,"")</f>
        <v/>
      </c>
      <c r="D2849">
        <f>IF(B2849,MOD(A2849-1,Days),"")</f>
        <v/>
      </c>
      <c r="E2849" s="16">
        <f>IF(B2849,StartDate+D2849,"")</f>
        <v/>
      </c>
      <c r="F2849">
        <f>IF(B2849,MAX(MOD(SIN(Seed*0.1373+C2849*12.9898+D2849*78.233)*43758.5453,1),1E-9),"")</f>
        <v/>
      </c>
      <c r="G2849">
        <f>IF(B2849,MOD(SIN(Seed*0.5917+C2849*39.3468+D2849*11.135)*24634.6345,1),"")</f>
        <v/>
      </c>
      <c r="H2849">
        <f>IF(B2849,SQRT(-2*LN(F2849))*COS(2*PI()*G2849),"")</f>
        <v/>
      </c>
      <c r="I2849">
        <f>IF(B2849,IF(D2849=0,H2849,Rho*I2848+SQRT(1-Rho^2)*H2849),"")</f>
        <v/>
      </c>
      <c r="J2849">
        <f>IF(B2849,IF(Dist="Normal",DistA+DistB*I2849,DistA+(DistB-DistA)*NORMSDIST(I2849)),"")</f>
        <v/>
      </c>
      <c r="K2849">
        <f>IF(B2849,INDEX(MineScale,C2849),"")</f>
        <v/>
      </c>
      <c r="L2849">
        <f>IF(B2849,INDEX(Dow,1,WEEKDAY(E2849,2)),"")</f>
        <v/>
      </c>
      <c r="M2849">
        <f>IF(B2849,(1+Trend)^D2849,"")</f>
        <v/>
      </c>
      <c r="N2849">
        <f>IF(B2849,EXP(SUMPRODUCT(LN(1+(EvEff-1)*INDEX(Affected,0,C2849)*EXP(-((E2849-EvCenter)^2)/(2*EvSigma^2))))),"")</f>
        <v/>
      </c>
      <c r="O2849">
        <f>IF(B2849,ROUND(MAX(0,J2849*K2849*L2849*M2849*N2849),2),"")</f>
        <v/>
      </c>
    </row>
    <row r="2850">
      <c r="A2850" t="n">
        <v>2849</v>
      </c>
      <c r="B2850">
        <f>A2850&lt;=MineCount*Days</f>
        <v/>
      </c>
      <c r="C2850">
        <f>IF(B2850,INT((A2850-1)/Days)+1,"")</f>
        <v/>
      </c>
      <c r="D2850">
        <f>IF(B2850,MOD(A2850-1,Days),"")</f>
        <v/>
      </c>
      <c r="E2850" s="16">
        <f>IF(B2850,StartDate+D2850,"")</f>
        <v/>
      </c>
      <c r="F2850">
        <f>IF(B2850,MAX(MOD(SIN(Seed*0.1373+C2850*12.9898+D2850*78.233)*43758.5453,1),1E-9),"")</f>
        <v/>
      </c>
      <c r="G2850">
        <f>IF(B2850,MOD(SIN(Seed*0.5917+C2850*39.3468+D2850*11.135)*24634.6345,1),"")</f>
        <v/>
      </c>
      <c r="H2850">
        <f>IF(B2850,SQRT(-2*LN(F2850))*COS(2*PI()*G2850),"")</f>
        <v/>
      </c>
      <c r="I2850">
        <f>IF(B2850,IF(D2850=0,H2850,Rho*I2849+SQRT(1-Rho^2)*H2850),"")</f>
        <v/>
      </c>
      <c r="J2850">
        <f>IF(B2850,IF(Dist="Normal",DistA+DistB*I2850,DistA+(DistB-DistA)*NORMSDIST(I2850)),"")</f>
        <v/>
      </c>
      <c r="K2850">
        <f>IF(B2850,INDEX(MineScale,C2850),"")</f>
        <v/>
      </c>
      <c r="L2850">
        <f>IF(B2850,INDEX(Dow,1,WEEKDAY(E2850,2)),"")</f>
        <v/>
      </c>
      <c r="M2850">
        <f>IF(B2850,(1+Trend)^D2850,"")</f>
        <v/>
      </c>
      <c r="N2850">
        <f>IF(B2850,EXP(SUMPRODUCT(LN(1+(EvEff-1)*INDEX(Affected,0,C2850)*EXP(-((E2850-EvCenter)^2)/(2*EvSigma^2))))),"")</f>
        <v/>
      </c>
      <c r="O2850">
        <f>IF(B2850,ROUND(MAX(0,J2850*K2850*L2850*M2850*N2850),2),"")</f>
        <v/>
      </c>
    </row>
    <row r="2851">
      <c r="A2851" t="n">
        <v>2850</v>
      </c>
      <c r="B2851">
        <f>A2851&lt;=MineCount*Days</f>
        <v/>
      </c>
      <c r="C2851">
        <f>IF(B2851,INT((A2851-1)/Days)+1,"")</f>
        <v/>
      </c>
      <c r="D2851">
        <f>IF(B2851,MOD(A2851-1,Days),"")</f>
        <v/>
      </c>
      <c r="E2851" s="16">
        <f>IF(B2851,StartDate+D2851,"")</f>
        <v/>
      </c>
      <c r="F2851">
        <f>IF(B2851,MAX(MOD(SIN(Seed*0.1373+C2851*12.9898+D2851*78.233)*43758.5453,1),1E-9),"")</f>
        <v/>
      </c>
      <c r="G2851">
        <f>IF(B2851,MOD(SIN(Seed*0.5917+C2851*39.3468+D2851*11.135)*24634.6345,1),"")</f>
        <v/>
      </c>
      <c r="H2851">
        <f>IF(B2851,SQRT(-2*LN(F2851))*COS(2*PI()*G2851),"")</f>
        <v/>
      </c>
      <c r="I2851">
        <f>IF(B2851,IF(D2851=0,H2851,Rho*I2850+SQRT(1-Rho^2)*H2851),"")</f>
        <v/>
      </c>
      <c r="J2851">
        <f>IF(B2851,IF(Dist="Normal",DistA+DistB*I2851,DistA+(DistB-DistA)*NORMSDIST(I2851)),"")</f>
        <v/>
      </c>
      <c r="K2851">
        <f>IF(B2851,INDEX(MineScale,C2851),"")</f>
        <v/>
      </c>
      <c r="L2851">
        <f>IF(B2851,INDEX(Dow,1,WEEKDAY(E2851,2)),"")</f>
        <v/>
      </c>
      <c r="M2851">
        <f>IF(B2851,(1+Trend)^D2851,"")</f>
        <v/>
      </c>
      <c r="N2851">
        <f>IF(B2851,EXP(SUMPRODUCT(LN(1+(EvEff-1)*INDEX(Affected,0,C2851)*EXP(-((E2851-EvCenter)^2)/(2*EvSigma^2))))),"")</f>
        <v/>
      </c>
      <c r="O2851">
        <f>IF(B2851,ROUND(MAX(0,J2851*K2851*L2851*M2851*N2851),2),"")</f>
        <v/>
      </c>
    </row>
    <row r="2852">
      <c r="A2852" t="n">
        <v>2851</v>
      </c>
      <c r="B2852">
        <f>A2852&lt;=MineCount*Days</f>
        <v/>
      </c>
      <c r="C2852">
        <f>IF(B2852,INT((A2852-1)/Days)+1,"")</f>
        <v/>
      </c>
      <c r="D2852">
        <f>IF(B2852,MOD(A2852-1,Days),"")</f>
        <v/>
      </c>
      <c r="E2852" s="16">
        <f>IF(B2852,StartDate+D2852,"")</f>
        <v/>
      </c>
      <c r="F2852">
        <f>IF(B2852,MAX(MOD(SIN(Seed*0.1373+C2852*12.9898+D2852*78.233)*43758.5453,1),1E-9),"")</f>
        <v/>
      </c>
      <c r="G2852">
        <f>IF(B2852,MOD(SIN(Seed*0.5917+C2852*39.3468+D2852*11.135)*24634.6345,1),"")</f>
        <v/>
      </c>
      <c r="H2852">
        <f>IF(B2852,SQRT(-2*LN(F2852))*COS(2*PI()*G2852),"")</f>
        <v/>
      </c>
      <c r="I2852">
        <f>IF(B2852,IF(D2852=0,H2852,Rho*I2851+SQRT(1-Rho^2)*H2852),"")</f>
        <v/>
      </c>
      <c r="J2852">
        <f>IF(B2852,IF(Dist="Normal",DistA+DistB*I2852,DistA+(DistB-DistA)*NORMSDIST(I2852)),"")</f>
        <v/>
      </c>
      <c r="K2852">
        <f>IF(B2852,INDEX(MineScale,C2852),"")</f>
        <v/>
      </c>
      <c r="L2852">
        <f>IF(B2852,INDEX(Dow,1,WEEKDAY(E2852,2)),"")</f>
        <v/>
      </c>
      <c r="M2852">
        <f>IF(B2852,(1+Trend)^D2852,"")</f>
        <v/>
      </c>
      <c r="N2852">
        <f>IF(B2852,EXP(SUMPRODUCT(LN(1+(EvEff-1)*INDEX(Affected,0,C2852)*EXP(-((E2852-EvCenter)^2)/(2*EvSigma^2))))),"")</f>
        <v/>
      </c>
      <c r="O2852">
        <f>IF(B2852,ROUND(MAX(0,J2852*K2852*L2852*M2852*N2852),2),"")</f>
        <v/>
      </c>
    </row>
    <row r="2853">
      <c r="A2853" t="n">
        <v>2852</v>
      </c>
      <c r="B2853">
        <f>A2853&lt;=MineCount*Days</f>
        <v/>
      </c>
      <c r="C2853">
        <f>IF(B2853,INT((A2853-1)/Days)+1,"")</f>
        <v/>
      </c>
      <c r="D2853">
        <f>IF(B2853,MOD(A2853-1,Days),"")</f>
        <v/>
      </c>
      <c r="E2853" s="16">
        <f>IF(B2853,StartDate+D2853,"")</f>
        <v/>
      </c>
      <c r="F2853">
        <f>IF(B2853,MAX(MOD(SIN(Seed*0.1373+C2853*12.9898+D2853*78.233)*43758.5453,1),1E-9),"")</f>
        <v/>
      </c>
      <c r="G2853">
        <f>IF(B2853,MOD(SIN(Seed*0.5917+C2853*39.3468+D2853*11.135)*24634.6345,1),"")</f>
        <v/>
      </c>
      <c r="H2853">
        <f>IF(B2853,SQRT(-2*LN(F2853))*COS(2*PI()*G2853),"")</f>
        <v/>
      </c>
      <c r="I2853">
        <f>IF(B2853,IF(D2853=0,H2853,Rho*I2852+SQRT(1-Rho^2)*H2853),"")</f>
        <v/>
      </c>
      <c r="J2853">
        <f>IF(B2853,IF(Dist="Normal",DistA+DistB*I2853,DistA+(DistB-DistA)*NORMSDIST(I2853)),"")</f>
        <v/>
      </c>
      <c r="K2853">
        <f>IF(B2853,INDEX(MineScale,C2853),"")</f>
        <v/>
      </c>
      <c r="L2853">
        <f>IF(B2853,INDEX(Dow,1,WEEKDAY(E2853,2)),"")</f>
        <v/>
      </c>
      <c r="M2853">
        <f>IF(B2853,(1+Trend)^D2853,"")</f>
        <v/>
      </c>
      <c r="N2853">
        <f>IF(B2853,EXP(SUMPRODUCT(LN(1+(EvEff-1)*INDEX(Affected,0,C2853)*EXP(-((E2853-EvCenter)^2)/(2*EvSigma^2))))),"")</f>
        <v/>
      </c>
      <c r="O2853">
        <f>IF(B2853,ROUND(MAX(0,J2853*K2853*L2853*M2853*N2853),2),"")</f>
        <v/>
      </c>
    </row>
    <row r="2854">
      <c r="A2854" t="n">
        <v>2853</v>
      </c>
      <c r="B2854">
        <f>A2854&lt;=MineCount*Days</f>
        <v/>
      </c>
      <c r="C2854">
        <f>IF(B2854,INT((A2854-1)/Days)+1,"")</f>
        <v/>
      </c>
      <c r="D2854">
        <f>IF(B2854,MOD(A2854-1,Days),"")</f>
        <v/>
      </c>
      <c r="E2854" s="16">
        <f>IF(B2854,StartDate+D2854,"")</f>
        <v/>
      </c>
      <c r="F2854">
        <f>IF(B2854,MAX(MOD(SIN(Seed*0.1373+C2854*12.9898+D2854*78.233)*43758.5453,1),1E-9),"")</f>
        <v/>
      </c>
      <c r="G2854">
        <f>IF(B2854,MOD(SIN(Seed*0.5917+C2854*39.3468+D2854*11.135)*24634.6345,1),"")</f>
        <v/>
      </c>
      <c r="H2854">
        <f>IF(B2854,SQRT(-2*LN(F2854))*COS(2*PI()*G2854),"")</f>
        <v/>
      </c>
      <c r="I2854">
        <f>IF(B2854,IF(D2854=0,H2854,Rho*I2853+SQRT(1-Rho^2)*H2854),"")</f>
        <v/>
      </c>
      <c r="J2854">
        <f>IF(B2854,IF(Dist="Normal",DistA+DistB*I2854,DistA+(DistB-DistA)*NORMSDIST(I2854)),"")</f>
        <v/>
      </c>
      <c r="K2854">
        <f>IF(B2854,INDEX(MineScale,C2854),"")</f>
        <v/>
      </c>
      <c r="L2854">
        <f>IF(B2854,INDEX(Dow,1,WEEKDAY(E2854,2)),"")</f>
        <v/>
      </c>
      <c r="M2854">
        <f>IF(B2854,(1+Trend)^D2854,"")</f>
        <v/>
      </c>
      <c r="N2854">
        <f>IF(B2854,EXP(SUMPRODUCT(LN(1+(EvEff-1)*INDEX(Affected,0,C2854)*EXP(-((E2854-EvCenter)^2)/(2*EvSigma^2))))),"")</f>
        <v/>
      </c>
      <c r="O2854">
        <f>IF(B2854,ROUND(MAX(0,J2854*K2854*L2854*M2854*N2854),2),"")</f>
        <v/>
      </c>
    </row>
    <row r="2855">
      <c r="A2855" t="n">
        <v>2854</v>
      </c>
      <c r="B2855">
        <f>A2855&lt;=MineCount*Days</f>
        <v/>
      </c>
      <c r="C2855">
        <f>IF(B2855,INT((A2855-1)/Days)+1,"")</f>
        <v/>
      </c>
      <c r="D2855">
        <f>IF(B2855,MOD(A2855-1,Days),"")</f>
        <v/>
      </c>
      <c r="E2855" s="16">
        <f>IF(B2855,StartDate+D2855,"")</f>
        <v/>
      </c>
      <c r="F2855">
        <f>IF(B2855,MAX(MOD(SIN(Seed*0.1373+C2855*12.9898+D2855*78.233)*43758.5453,1),1E-9),"")</f>
        <v/>
      </c>
      <c r="G2855">
        <f>IF(B2855,MOD(SIN(Seed*0.5917+C2855*39.3468+D2855*11.135)*24634.6345,1),"")</f>
        <v/>
      </c>
      <c r="H2855">
        <f>IF(B2855,SQRT(-2*LN(F2855))*COS(2*PI()*G2855),"")</f>
        <v/>
      </c>
      <c r="I2855">
        <f>IF(B2855,IF(D2855=0,H2855,Rho*I2854+SQRT(1-Rho^2)*H2855),"")</f>
        <v/>
      </c>
      <c r="J2855">
        <f>IF(B2855,IF(Dist="Normal",DistA+DistB*I2855,DistA+(DistB-DistA)*NORMSDIST(I2855)),"")</f>
        <v/>
      </c>
      <c r="K2855">
        <f>IF(B2855,INDEX(MineScale,C2855),"")</f>
        <v/>
      </c>
      <c r="L2855">
        <f>IF(B2855,INDEX(Dow,1,WEEKDAY(E2855,2)),"")</f>
        <v/>
      </c>
      <c r="M2855">
        <f>IF(B2855,(1+Trend)^D2855,"")</f>
        <v/>
      </c>
      <c r="N2855">
        <f>IF(B2855,EXP(SUMPRODUCT(LN(1+(EvEff-1)*INDEX(Affected,0,C2855)*EXP(-((E2855-EvCenter)^2)/(2*EvSigma^2))))),"")</f>
        <v/>
      </c>
      <c r="O2855">
        <f>IF(B2855,ROUND(MAX(0,J2855*K2855*L2855*M2855*N2855),2),"")</f>
        <v/>
      </c>
    </row>
    <row r="2856">
      <c r="A2856" t="n">
        <v>2855</v>
      </c>
      <c r="B2856">
        <f>A2856&lt;=MineCount*Days</f>
        <v/>
      </c>
      <c r="C2856">
        <f>IF(B2856,INT((A2856-1)/Days)+1,"")</f>
        <v/>
      </c>
      <c r="D2856">
        <f>IF(B2856,MOD(A2856-1,Days),"")</f>
        <v/>
      </c>
      <c r="E2856" s="16">
        <f>IF(B2856,StartDate+D2856,"")</f>
        <v/>
      </c>
      <c r="F2856">
        <f>IF(B2856,MAX(MOD(SIN(Seed*0.1373+C2856*12.9898+D2856*78.233)*43758.5453,1),1E-9),"")</f>
        <v/>
      </c>
      <c r="G2856">
        <f>IF(B2856,MOD(SIN(Seed*0.5917+C2856*39.3468+D2856*11.135)*24634.6345,1),"")</f>
        <v/>
      </c>
      <c r="H2856">
        <f>IF(B2856,SQRT(-2*LN(F2856))*COS(2*PI()*G2856),"")</f>
        <v/>
      </c>
      <c r="I2856">
        <f>IF(B2856,IF(D2856=0,H2856,Rho*I2855+SQRT(1-Rho^2)*H2856),"")</f>
        <v/>
      </c>
      <c r="J2856">
        <f>IF(B2856,IF(Dist="Normal",DistA+DistB*I2856,DistA+(DistB-DistA)*NORMSDIST(I2856)),"")</f>
        <v/>
      </c>
      <c r="K2856">
        <f>IF(B2856,INDEX(MineScale,C2856),"")</f>
        <v/>
      </c>
      <c r="L2856">
        <f>IF(B2856,INDEX(Dow,1,WEEKDAY(E2856,2)),"")</f>
        <v/>
      </c>
      <c r="M2856">
        <f>IF(B2856,(1+Trend)^D2856,"")</f>
        <v/>
      </c>
      <c r="N2856">
        <f>IF(B2856,EXP(SUMPRODUCT(LN(1+(EvEff-1)*INDEX(Affected,0,C2856)*EXP(-((E2856-EvCenter)^2)/(2*EvSigma^2))))),"")</f>
        <v/>
      </c>
      <c r="O2856">
        <f>IF(B2856,ROUND(MAX(0,J2856*K2856*L2856*M2856*N2856),2),"")</f>
        <v/>
      </c>
    </row>
    <row r="2857">
      <c r="A2857" t="n">
        <v>2856</v>
      </c>
      <c r="B2857">
        <f>A2857&lt;=MineCount*Days</f>
        <v/>
      </c>
      <c r="C2857">
        <f>IF(B2857,INT((A2857-1)/Days)+1,"")</f>
        <v/>
      </c>
      <c r="D2857">
        <f>IF(B2857,MOD(A2857-1,Days),"")</f>
        <v/>
      </c>
      <c r="E2857" s="16">
        <f>IF(B2857,StartDate+D2857,"")</f>
        <v/>
      </c>
      <c r="F2857">
        <f>IF(B2857,MAX(MOD(SIN(Seed*0.1373+C2857*12.9898+D2857*78.233)*43758.5453,1),1E-9),"")</f>
        <v/>
      </c>
      <c r="G2857">
        <f>IF(B2857,MOD(SIN(Seed*0.5917+C2857*39.3468+D2857*11.135)*24634.6345,1),"")</f>
        <v/>
      </c>
      <c r="H2857">
        <f>IF(B2857,SQRT(-2*LN(F2857))*COS(2*PI()*G2857),"")</f>
        <v/>
      </c>
      <c r="I2857">
        <f>IF(B2857,IF(D2857=0,H2857,Rho*I2856+SQRT(1-Rho^2)*H2857),"")</f>
        <v/>
      </c>
      <c r="J2857">
        <f>IF(B2857,IF(Dist="Normal",DistA+DistB*I2857,DistA+(DistB-DistA)*NORMSDIST(I2857)),"")</f>
        <v/>
      </c>
      <c r="K2857">
        <f>IF(B2857,INDEX(MineScale,C2857),"")</f>
        <v/>
      </c>
      <c r="L2857">
        <f>IF(B2857,INDEX(Dow,1,WEEKDAY(E2857,2)),"")</f>
        <v/>
      </c>
      <c r="M2857">
        <f>IF(B2857,(1+Trend)^D2857,"")</f>
        <v/>
      </c>
      <c r="N2857">
        <f>IF(B2857,EXP(SUMPRODUCT(LN(1+(EvEff-1)*INDEX(Affected,0,C2857)*EXP(-((E2857-EvCenter)^2)/(2*EvSigma^2))))),"")</f>
        <v/>
      </c>
      <c r="O2857">
        <f>IF(B2857,ROUND(MAX(0,J2857*K2857*L2857*M2857*N2857),2),"")</f>
        <v/>
      </c>
    </row>
    <row r="2858">
      <c r="A2858" t="n">
        <v>2857</v>
      </c>
      <c r="B2858">
        <f>A2858&lt;=MineCount*Days</f>
        <v/>
      </c>
      <c r="C2858">
        <f>IF(B2858,INT((A2858-1)/Days)+1,"")</f>
        <v/>
      </c>
      <c r="D2858">
        <f>IF(B2858,MOD(A2858-1,Days),"")</f>
        <v/>
      </c>
      <c r="E2858" s="16">
        <f>IF(B2858,StartDate+D2858,"")</f>
        <v/>
      </c>
      <c r="F2858">
        <f>IF(B2858,MAX(MOD(SIN(Seed*0.1373+C2858*12.9898+D2858*78.233)*43758.5453,1),1E-9),"")</f>
        <v/>
      </c>
      <c r="G2858">
        <f>IF(B2858,MOD(SIN(Seed*0.5917+C2858*39.3468+D2858*11.135)*24634.6345,1),"")</f>
        <v/>
      </c>
      <c r="H2858">
        <f>IF(B2858,SQRT(-2*LN(F2858))*COS(2*PI()*G2858),"")</f>
        <v/>
      </c>
      <c r="I2858">
        <f>IF(B2858,IF(D2858=0,H2858,Rho*I2857+SQRT(1-Rho^2)*H2858),"")</f>
        <v/>
      </c>
      <c r="J2858">
        <f>IF(B2858,IF(Dist="Normal",DistA+DistB*I2858,DistA+(DistB-DistA)*NORMSDIST(I2858)),"")</f>
        <v/>
      </c>
      <c r="K2858">
        <f>IF(B2858,INDEX(MineScale,C2858),"")</f>
        <v/>
      </c>
      <c r="L2858">
        <f>IF(B2858,INDEX(Dow,1,WEEKDAY(E2858,2)),"")</f>
        <v/>
      </c>
      <c r="M2858">
        <f>IF(B2858,(1+Trend)^D2858,"")</f>
        <v/>
      </c>
      <c r="N2858">
        <f>IF(B2858,EXP(SUMPRODUCT(LN(1+(EvEff-1)*INDEX(Affected,0,C2858)*EXP(-((E2858-EvCenter)^2)/(2*EvSigma^2))))),"")</f>
        <v/>
      </c>
      <c r="O2858">
        <f>IF(B2858,ROUND(MAX(0,J2858*K2858*L2858*M2858*N2858),2),"")</f>
        <v/>
      </c>
    </row>
    <row r="2859">
      <c r="A2859" t="n">
        <v>2858</v>
      </c>
      <c r="B2859">
        <f>A2859&lt;=MineCount*Days</f>
        <v/>
      </c>
      <c r="C2859">
        <f>IF(B2859,INT((A2859-1)/Days)+1,"")</f>
        <v/>
      </c>
      <c r="D2859">
        <f>IF(B2859,MOD(A2859-1,Days),"")</f>
        <v/>
      </c>
      <c r="E2859" s="16">
        <f>IF(B2859,StartDate+D2859,"")</f>
        <v/>
      </c>
      <c r="F2859">
        <f>IF(B2859,MAX(MOD(SIN(Seed*0.1373+C2859*12.9898+D2859*78.233)*43758.5453,1),1E-9),"")</f>
        <v/>
      </c>
      <c r="G2859">
        <f>IF(B2859,MOD(SIN(Seed*0.5917+C2859*39.3468+D2859*11.135)*24634.6345,1),"")</f>
        <v/>
      </c>
      <c r="H2859">
        <f>IF(B2859,SQRT(-2*LN(F2859))*COS(2*PI()*G2859),"")</f>
        <v/>
      </c>
      <c r="I2859">
        <f>IF(B2859,IF(D2859=0,H2859,Rho*I2858+SQRT(1-Rho^2)*H2859),"")</f>
        <v/>
      </c>
      <c r="J2859">
        <f>IF(B2859,IF(Dist="Normal",DistA+DistB*I2859,DistA+(DistB-DistA)*NORMSDIST(I2859)),"")</f>
        <v/>
      </c>
      <c r="K2859">
        <f>IF(B2859,INDEX(MineScale,C2859),"")</f>
        <v/>
      </c>
      <c r="L2859">
        <f>IF(B2859,INDEX(Dow,1,WEEKDAY(E2859,2)),"")</f>
        <v/>
      </c>
      <c r="M2859">
        <f>IF(B2859,(1+Trend)^D2859,"")</f>
        <v/>
      </c>
      <c r="N2859">
        <f>IF(B2859,EXP(SUMPRODUCT(LN(1+(EvEff-1)*INDEX(Affected,0,C2859)*EXP(-((E2859-EvCenter)^2)/(2*EvSigma^2))))),"")</f>
        <v/>
      </c>
      <c r="O2859">
        <f>IF(B2859,ROUND(MAX(0,J2859*K2859*L2859*M2859*N2859),2),"")</f>
        <v/>
      </c>
    </row>
    <row r="2860">
      <c r="A2860" t="n">
        <v>2859</v>
      </c>
      <c r="B2860">
        <f>A2860&lt;=MineCount*Days</f>
        <v/>
      </c>
      <c r="C2860">
        <f>IF(B2860,INT((A2860-1)/Days)+1,"")</f>
        <v/>
      </c>
      <c r="D2860">
        <f>IF(B2860,MOD(A2860-1,Days),"")</f>
        <v/>
      </c>
      <c r="E2860" s="16">
        <f>IF(B2860,StartDate+D2860,"")</f>
        <v/>
      </c>
      <c r="F2860">
        <f>IF(B2860,MAX(MOD(SIN(Seed*0.1373+C2860*12.9898+D2860*78.233)*43758.5453,1),1E-9),"")</f>
        <v/>
      </c>
      <c r="G2860">
        <f>IF(B2860,MOD(SIN(Seed*0.5917+C2860*39.3468+D2860*11.135)*24634.6345,1),"")</f>
        <v/>
      </c>
      <c r="H2860">
        <f>IF(B2860,SQRT(-2*LN(F2860))*COS(2*PI()*G2860),"")</f>
        <v/>
      </c>
      <c r="I2860">
        <f>IF(B2860,IF(D2860=0,H2860,Rho*I2859+SQRT(1-Rho^2)*H2860),"")</f>
        <v/>
      </c>
      <c r="J2860">
        <f>IF(B2860,IF(Dist="Normal",DistA+DistB*I2860,DistA+(DistB-DistA)*NORMSDIST(I2860)),"")</f>
        <v/>
      </c>
      <c r="K2860">
        <f>IF(B2860,INDEX(MineScale,C2860),"")</f>
        <v/>
      </c>
      <c r="L2860">
        <f>IF(B2860,INDEX(Dow,1,WEEKDAY(E2860,2)),"")</f>
        <v/>
      </c>
      <c r="M2860">
        <f>IF(B2860,(1+Trend)^D2860,"")</f>
        <v/>
      </c>
      <c r="N2860">
        <f>IF(B2860,EXP(SUMPRODUCT(LN(1+(EvEff-1)*INDEX(Affected,0,C2860)*EXP(-((E2860-EvCenter)^2)/(2*EvSigma^2))))),"")</f>
        <v/>
      </c>
      <c r="O2860">
        <f>IF(B2860,ROUND(MAX(0,J2860*K2860*L2860*M2860*N2860),2),"")</f>
        <v/>
      </c>
    </row>
    <row r="2861">
      <c r="A2861" t="n">
        <v>2860</v>
      </c>
      <c r="B2861">
        <f>A2861&lt;=MineCount*Days</f>
        <v/>
      </c>
      <c r="C2861">
        <f>IF(B2861,INT((A2861-1)/Days)+1,"")</f>
        <v/>
      </c>
      <c r="D2861">
        <f>IF(B2861,MOD(A2861-1,Days),"")</f>
        <v/>
      </c>
      <c r="E2861" s="16">
        <f>IF(B2861,StartDate+D2861,"")</f>
        <v/>
      </c>
      <c r="F2861">
        <f>IF(B2861,MAX(MOD(SIN(Seed*0.1373+C2861*12.9898+D2861*78.233)*43758.5453,1),1E-9),"")</f>
        <v/>
      </c>
      <c r="G2861">
        <f>IF(B2861,MOD(SIN(Seed*0.5917+C2861*39.3468+D2861*11.135)*24634.6345,1),"")</f>
        <v/>
      </c>
      <c r="H2861">
        <f>IF(B2861,SQRT(-2*LN(F2861))*COS(2*PI()*G2861),"")</f>
        <v/>
      </c>
      <c r="I2861">
        <f>IF(B2861,IF(D2861=0,H2861,Rho*I2860+SQRT(1-Rho^2)*H2861),"")</f>
        <v/>
      </c>
      <c r="J2861">
        <f>IF(B2861,IF(Dist="Normal",DistA+DistB*I2861,DistA+(DistB-DistA)*NORMSDIST(I2861)),"")</f>
        <v/>
      </c>
      <c r="K2861">
        <f>IF(B2861,INDEX(MineScale,C2861),"")</f>
        <v/>
      </c>
      <c r="L2861">
        <f>IF(B2861,INDEX(Dow,1,WEEKDAY(E2861,2)),"")</f>
        <v/>
      </c>
      <c r="M2861">
        <f>IF(B2861,(1+Trend)^D2861,"")</f>
        <v/>
      </c>
      <c r="N2861">
        <f>IF(B2861,EXP(SUMPRODUCT(LN(1+(EvEff-1)*INDEX(Affected,0,C2861)*EXP(-((E2861-EvCenter)^2)/(2*EvSigma^2))))),"")</f>
        <v/>
      </c>
      <c r="O2861">
        <f>IF(B2861,ROUND(MAX(0,J2861*K2861*L2861*M2861*N2861),2),"")</f>
        <v/>
      </c>
    </row>
    <row r="2862">
      <c r="A2862" t="n">
        <v>2861</v>
      </c>
      <c r="B2862">
        <f>A2862&lt;=MineCount*Days</f>
        <v/>
      </c>
      <c r="C2862">
        <f>IF(B2862,INT((A2862-1)/Days)+1,"")</f>
        <v/>
      </c>
      <c r="D2862">
        <f>IF(B2862,MOD(A2862-1,Days),"")</f>
        <v/>
      </c>
      <c r="E2862" s="16">
        <f>IF(B2862,StartDate+D2862,"")</f>
        <v/>
      </c>
      <c r="F2862">
        <f>IF(B2862,MAX(MOD(SIN(Seed*0.1373+C2862*12.9898+D2862*78.233)*43758.5453,1),1E-9),"")</f>
        <v/>
      </c>
      <c r="G2862">
        <f>IF(B2862,MOD(SIN(Seed*0.5917+C2862*39.3468+D2862*11.135)*24634.6345,1),"")</f>
        <v/>
      </c>
      <c r="H2862">
        <f>IF(B2862,SQRT(-2*LN(F2862))*COS(2*PI()*G2862),"")</f>
        <v/>
      </c>
      <c r="I2862">
        <f>IF(B2862,IF(D2862=0,H2862,Rho*I2861+SQRT(1-Rho^2)*H2862),"")</f>
        <v/>
      </c>
      <c r="J2862">
        <f>IF(B2862,IF(Dist="Normal",DistA+DistB*I2862,DistA+(DistB-DistA)*NORMSDIST(I2862)),"")</f>
        <v/>
      </c>
      <c r="K2862">
        <f>IF(B2862,INDEX(MineScale,C2862),"")</f>
        <v/>
      </c>
      <c r="L2862">
        <f>IF(B2862,INDEX(Dow,1,WEEKDAY(E2862,2)),"")</f>
        <v/>
      </c>
      <c r="M2862">
        <f>IF(B2862,(1+Trend)^D2862,"")</f>
        <v/>
      </c>
      <c r="N2862">
        <f>IF(B2862,EXP(SUMPRODUCT(LN(1+(EvEff-1)*INDEX(Affected,0,C2862)*EXP(-((E2862-EvCenter)^2)/(2*EvSigma^2))))),"")</f>
        <v/>
      </c>
      <c r="O2862">
        <f>IF(B2862,ROUND(MAX(0,J2862*K2862*L2862*M2862*N2862),2),"")</f>
        <v/>
      </c>
    </row>
    <row r="2863">
      <c r="A2863" t="n">
        <v>2862</v>
      </c>
      <c r="B2863">
        <f>A2863&lt;=MineCount*Days</f>
        <v/>
      </c>
      <c r="C2863">
        <f>IF(B2863,INT((A2863-1)/Days)+1,"")</f>
        <v/>
      </c>
      <c r="D2863">
        <f>IF(B2863,MOD(A2863-1,Days),"")</f>
        <v/>
      </c>
      <c r="E2863" s="16">
        <f>IF(B2863,StartDate+D2863,"")</f>
        <v/>
      </c>
      <c r="F2863">
        <f>IF(B2863,MAX(MOD(SIN(Seed*0.1373+C2863*12.9898+D2863*78.233)*43758.5453,1),1E-9),"")</f>
        <v/>
      </c>
      <c r="G2863">
        <f>IF(B2863,MOD(SIN(Seed*0.5917+C2863*39.3468+D2863*11.135)*24634.6345,1),"")</f>
        <v/>
      </c>
      <c r="H2863">
        <f>IF(B2863,SQRT(-2*LN(F2863))*COS(2*PI()*G2863),"")</f>
        <v/>
      </c>
      <c r="I2863">
        <f>IF(B2863,IF(D2863=0,H2863,Rho*I2862+SQRT(1-Rho^2)*H2863),"")</f>
        <v/>
      </c>
      <c r="J2863">
        <f>IF(B2863,IF(Dist="Normal",DistA+DistB*I2863,DistA+(DistB-DistA)*NORMSDIST(I2863)),"")</f>
        <v/>
      </c>
      <c r="K2863">
        <f>IF(B2863,INDEX(MineScale,C2863),"")</f>
        <v/>
      </c>
      <c r="L2863">
        <f>IF(B2863,INDEX(Dow,1,WEEKDAY(E2863,2)),"")</f>
        <v/>
      </c>
      <c r="M2863">
        <f>IF(B2863,(1+Trend)^D2863,"")</f>
        <v/>
      </c>
      <c r="N2863">
        <f>IF(B2863,EXP(SUMPRODUCT(LN(1+(EvEff-1)*INDEX(Affected,0,C2863)*EXP(-((E2863-EvCenter)^2)/(2*EvSigma^2))))),"")</f>
        <v/>
      </c>
      <c r="O2863">
        <f>IF(B2863,ROUND(MAX(0,J2863*K2863*L2863*M2863*N2863),2),"")</f>
        <v/>
      </c>
    </row>
    <row r="2864">
      <c r="A2864" t="n">
        <v>2863</v>
      </c>
      <c r="B2864">
        <f>A2864&lt;=MineCount*Days</f>
        <v/>
      </c>
      <c r="C2864">
        <f>IF(B2864,INT((A2864-1)/Days)+1,"")</f>
        <v/>
      </c>
      <c r="D2864">
        <f>IF(B2864,MOD(A2864-1,Days),"")</f>
        <v/>
      </c>
      <c r="E2864" s="16">
        <f>IF(B2864,StartDate+D2864,"")</f>
        <v/>
      </c>
      <c r="F2864">
        <f>IF(B2864,MAX(MOD(SIN(Seed*0.1373+C2864*12.9898+D2864*78.233)*43758.5453,1),1E-9),"")</f>
        <v/>
      </c>
      <c r="G2864">
        <f>IF(B2864,MOD(SIN(Seed*0.5917+C2864*39.3468+D2864*11.135)*24634.6345,1),"")</f>
        <v/>
      </c>
      <c r="H2864">
        <f>IF(B2864,SQRT(-2*LN(F2864))*COS(2*PI()*G2864),"")</f>
        <v/>
      </c>
      <c r="I2864">
        <f>IF(B2864,IF(D2864=0,H2864,Rho*I2863+SQRT(1-Rho^2)*H2864),"")</f>
        <v/>
      </c>
      <c r="J2864">
        <f>IF(B2864,IF(Dist="Normal",DistA+DistB*I2864,DistA+(DistB-DistA)*NORMSDIST(I2864)),"")</f>
        <v/>
      </c>
      <c r="K2864">
        <f>IF(B2864,INDEX(MineScale,C2864),"")</f>
        <v/>
      </c>
      <c r="L2864">
        <f>IF(B2864,INDEX(Dow,1,WEEKDAY(E2864,2)),"")</f>
        <v/>
      </c>
      <c r="M2864">
        <f>IF(B2864,(1+Trend)^D2864,"")</f>
        <v/>
      </c>
      <c r="N2864">
        <f>IF(B2864,EXP(SUMPRODUCT(LN(1+(EvEff-1)*INDEX(Affected,0,C2864)*EXP(-((E2864-EvCenter)^2)/(2*EvSigma^2))))),"")</f>
        <v/>
      </c>
      <c r="O2864">
        <f>IF(B2864,ROUND(MAX(0,J2864*K2864*L2864*M2864*N2864),2),"")</f>
        <v/>
      </c>
    </row>
    <row r="2865">
      <c r="A2865" t="n">
        <v>2864</v>
      </c>
      <c r="B2865">
        <f>A2865&lt;=MineCount*Days</f>
        <v/>
      </c>
      <c r="C2865">
        <f>IF(B2865,INT((A2865-1)/Days)+1,"")</f>
        <v/>
      </c>
      <c r="D2865">
        <f>IF(B2865,MOD(A2865-1,Days),"")</f>
        <v/>
      </c>
      <c r="E2865" s="16">
        <f>IF(B2865,StartDate+D2865,"")</f>
        <v/>
      </c>
      <c r="F2865">
        <f>IF(B2865,MAX(MOD(SIN(Seed*0.1373+C2865*12.9898+D2865*78.233)*43758.5453,1),1E-9),"")</f>
        <v/>
      </c>
      <c r="G2865">
        <f>IF(B2865,MOD(SIN(Seed*0.5917+C2865*39.3468+D2865*11.135)*24634.6345,1),"")</f>
        <v/>
      </c>
      <c r="H2865">
        <f>IF(B2865,SQRT(-2*LN(F2865))*COS(2*PI()*G2865),"")</f>
        <v/>
      </c>
      <c r="I2865">
        <f>IF(B2865,IF(D2865=0,H2865,Rho*I2864+SQRT(1-Rho^2)*H2865),"")</f>
        <v/>
      </c>
      <c r="J2865">
        <f>IF(B2865,IF(Dist="Normal",DistA+DistB*I2865,DistA+(DistB-DistA)*NORMSDIST(I2865)),"")</f>
        <v/>
      </c>
      <c r="K2865">
        <f>IF(B2865,INDEX(MineScale,C2865),"")</f>
        <v/>
      </c>
      <c r="L2865">
        <f>IF(B2865,INDEX(Dow,1,WEEKDAY(E2865,2)),"")</f>
        <v/>
      </c>
      <c r="M2865">
        <f>IF(B2865,(1+Trend)^D2865,"")</f>
        <v/>
      </c>
      <c r="N2865">
        <f>IF(B2865,EXP(SUMPRODUCT(LN(1+(EvEff-1)*INDEX(Affected,0,C2865)*EXP(-((E2865-EvCenter)^2)/(2*EvSigma^2))))),"")</f>
        <v/>
      </c>
      <c r="O2865">
        <f>IF(B2865,ROUND(MAX(0,J2865*K2865*L2865*M2865*N2865),2),"")</f>
        <v/>
      </c>
    </row>
    <row r="2866">
      <c r="A2866" t="n">
        <v>2865</v>
      </c>
      <c r="B2866">
        <f>A2866&lt;=MineCount*Days</f>
        <v/>
      </c>
      <c r="C2866">
        <f>IF(B2866,INT((A2866-1)/Days)+1,"")</f>
        <v/>
      </c>
      <c r="D2866">
        <f>IF(B2866,MOD(A2866-1,Days),"")</f>
        <v/>
      </c>
      <c r="E2866" s="16">
        <f>IF(B2866,StartDate+D2866,"")</f>
        <v/>
      </c>
      <c r="F2866">
        <f>IF(B2866,MAX(MOD(SIN(Seed*0.1373+C2866*12.9898+D2866*78.233)*43758.5453,1),1E-9),"")</f>
        <v/>
      </c>
      <c r="G2866">
        <f>IF(B2866,MOD(SIN(Seed*0.5917+C2866*39.3468+D2866*11.135)*24634.6345,1),"")</f>
        <v/>
      </c>
      <c r="H2866">
        <f>IF(B2866,SQRT(-2*LN(F2866))*COS(2*PI()*G2866),"")</f>
        <v/>
      </c>
      <c r="I2866">
        <f>IF(B2866,IF(D2866=0,H2866,Rho*I2865+SQRT(1-Rho^2)*H2866),"")</f>
        <v/>
      </c>
      <c r="J2866">
        <f>IF(B2866,IF(Dist="Normal",DistA+DistB*I2866,DistA+(DistB-DistA)*NORMSDIST(I2866)),"")</f>
        <v/>
      </c>
      <c r="K2866">
        <f>IF(B2866,INDEX(MineScale,C2866),"")</f>
        <v/>
      </c>
      <c r="L2866">
        <f>IF(B2866,INDEX(Dow,1,WEEKDAY(E2866,2)),"")</f>
        <v/>
      </c>
      <c r="M2866">
        <f>IF(B2866,(1+Trend)^D2866,"")</f>
        <v/>
      </c>
      <c r="N2866">
        <f>IF(B2866,EXP(SUMPRODUCT(LN(1+(EvEff-1)*INDEX(Affected,0,C2866)*EXP(-((E2866-EvCenter)^2)/(2*EvSigma^2))))),"")</f>
        <v/>
      </c>
      <c r="O2866">
        <f>IF(B2866,ROUND(MAX(0,J2866*K2866*L2866*M2866*N2866),2),"")</f>
        <v/>
      </c>
    </row>
    <row r="2867">
      <c r="A2867" t="n">
        <v>2866</v>
      </c>
      <c r="B2867">
        <f>A2867&lt;=MineCount*Days</f>
        <v/>
      </c>
      <c r="C2867">
        <f>IF(B2867,INT((A2867-1)/Days)+1,"")</f>
        <v/>
      </c>
      <c r="D2867">
        <f>IF(B2867,MOD(A2867-1,Days),"")</f>
        <v/>
      </c>
      <c r="E2867" s="16">
        <f>IF(B2867,StartDate+D2867,"")</f>
        <v/>
      </c>
      <c r="F2867">
        <f>IF(B2867,MAX(MOD(SIN(Seed*0.1373+C2867*12.9898+D2867*78.233)*43758.5453,1),1E-9),"")</f>
        <v/>
      </c>
      <c r="G2867">
        <f>IF(B2867,MOD(SIN(Seed*0.5917+C2867*39.3468+D2867*11.135)*24634.6345,1),"")</f>
        <v/>
      </c>
      <c r="H2867">
        <f>IF(B2867,SQRT(-2*LN(F2867))*COS(2*PI()*G2867),"")</f>
        <v/>
      </c>
      <c r="I2867">
        <f>IF(B2867,IF(D2867=0,H2867,Rho*I2866+SQRT(1-Rho^2)*H2867),"")</f>
        <v/>
      </c>
      <c r="J2867">
        <f>IF(B2867,IF(Dist="Normal",DistA+DistB*I2867,DistA+(DistB-DistA)*NORMSDIST(I2867)),"")</f>
        <v/>
      </c>
      <c r="K2867">
        <f>IF(B2867,INDEX(MineScale,C2867),"")</f>
        <v/>
      </c>
      <c r="L2867">
        <f>IF(B2867,INDEX(Dow,1,WEEKDAY(E2867,2)),"")</f>
        <v/>
      </c>
      <c r="M2867">
        <f>IF(B2867,(1+Trend)^D2867,"")</f>
        <v/>
      </c>
      <c r="N2867">
        <f>IF(B2867,EXP(SUMPRODUCT(LN(1+(EvEff-1)*INDEX(Affected,0,C2867)*EXP(-((E2867-EvCenter)^2)/(2*EvSigma^2))))),"")</f>
        <v/>
      </c>
      <c r="O2867">
        <f>IF(B2867,ROUND(MAX(0,J2867*K2867*L2867*M2867*N2867),2),"")</f>
        <v/>
      </c>
    </row>
    <row r="2868">
      <c r="A2868" t="n">
        <v>2867</v>
      </c>
      <c r="B2868">
        <f>A2868&lt;=MineCount*Days</f>
        <v/>
      </c>
      <c r="C2868">
        <f>IF(B2868,INT((A2868-1)/Days)+1,"")</f>
        <v/>
      </c>
      <c r="D2868">
        <f>IF(B2868,MOD(A2868-1,Days),"")</f>
        <v/>
      </c>
      <c r="E2868" s="16">
        <f>IF(B2868,StartDate+D2868,"")</f>
        <v/>
      </c>
      <c r="F2868">
        <f>IF(B2868,MAX(MOD(SIN(Seed*0.1373+C2868*12.9898+D2868*78.233)*43758.5453,1),1E-9),"")</f>
        <v/>
      </c>
      <c r="G2868">
        <f>IF(B2868,MOD(SIN(Seed*0.5917+C2868*39.3468+D2868*11.135)*24634.6345,1),"")</f>
        <v/>
      </c>
      <c r="H2868">
        <f>IF(B2868,SQRT(-2*LN(F2868))*COS(2*PI()*G2868),"")</f>
        <v/>
      </c>
      <c r="I2868">
        <f>IF(B2868,IF(D2868=0,H2868,Rho*I2867+SQRT(1-Rho^2)*H2868),"")</f>
        <v/>
      </c>
      <c r="J2868">
        <f>IF(B2868,IF(Dist="Normal",DistA+DistB*I2868,DistA+(DistB-DistA)*NORMSDIST(I2868)),"")</f>
        <v/>
      </c>
      <c r="K2868">
        <f>IF(B2868,INDEX(MineScale,C2868),"")</f>
        <v/>
      </c>
      <c r="L2868">
        <f>IF(B2868,INDEX(Dow,1,WEEKDAY(E2868,2)),"")</f>
        <v/>
      </c>
      <c r="M2868">
        <f>IF(B2868,(1+Trend)^D2868,"")</f>
        <v/>
      </c>
      <c r="N2868">
        <f>IF(B2868,EXP(SUMPRODUCT(LN(1+(EvEff-1)*INDEX(Affected,0,C2868)*EXP(-((E2868-EvCenter)^2)/(2*EvSigma^2))))),"")</f>
        <v/>
      </c>
      <c r="O2868">
        <f>IF(B2868,ROUND(MAX(0,J2868*K2868*L2868*M2868*N2868),2),"")</f>
        <v/>
      </c>
    </row>
    <row r="2869">
      <c r="A2869" t="n">
        <v>2868</v>
      </c>
      <c r="B2869">
        <f>A2869&lt;=MineCount*Days</f>
        <v/>
      </c>
      <c r="C2869">
        <f>IF(B2869,INT((A2869-1)/Days)+1,"")</f>
        <v/>
      </c>
      <c r="D2869">
        <f>IF(B2869,MOD(A2869-1,Days),"")</f>
        <v/>
      </c>
      <c r="E2869" s="16">
        <f>IF(B2869,StartDate+D2869,"")</f>
        <v/>
      </c>
      <c r="F2869">
        <f>IF(B2869,MAX(MOD(SIN(Seed*0.1373+C2869*12.9898+D2869*78.233)*43758.5453,1),1E-9),"")</f>
        <v/>
      </c>
      <c r="G2869">
        <f>IF(B2869,MOD(SIN(Seed*0.5917+C2869*39.3468+D2869*11.135)*24634.6345,1),"")</f>
        <v/>
      </c>
      <c r="H2869">
        <f>IF(B2869,SQRT(-2*LN(F2869))*COS(2*PI()*G2869),"")</f>
        <v/>
      </c>
      <c r="I2869">
        <f>IF(B2869,IF(D2869=0,H2869,Rho*I2868+SQRT(1-Rho^2)*H2869),"")</f>
        <v/>
      </c>
      <c r="J2869">
        <f>IF(B2869,IF(Dist="Normal",DistA+DistB*I2869,DistA+(DistB-DistA)*NORMSDIST(I2869)),"")</f>
        <v/>
      </c>
      <c r="K2869">
        <f>IF(B2869,INDEX(MineScale,C2869),"")</f>
        <v/>
      </c>
      <c r="L2869">
        <f>IF(B2869,INDEX(Dow,1,WEEKDAY(E2869,2)),"")</f>
        <v/>
      </c>
      <c r="M2869">
        <f>IF(B2869,(1+Trend)^D2869,"")</f>
        <v/>
      </c>
      <c r="N2869">
        <f>IF(B2869,EXP(SUMPRODUCT(LN(1+(EvEff-1)*INDEX(Affected,0,C2869)*EXP(-((E2869-EvCenter)^2)/(2*EvSigma^2))))),"")</f>
        <v/>
      </c>
      <c r="O2869">
        <f>IF(B2869,ROUND(MAX(0,J2869*K2869*L2869*M2869*N2869),2),"")</f>
        <v/>
      </c>
    </row>
    <row r="2870">
      <c r="A2870" t="n">
        <v>2869</v>
      </c>
      <c r="B2870">
        <f>A2870&lt;=MineCount*Days</f>
        <v/>
      </c>
      <c r="C2870">
        <f>IF(B2870,INT((A2870-1)/Days)+1,"")</f>
        <v/>
      </c>
      <c r="D2870">
        <f>IF(B2870,MOD(A2870-1,Days),"")</f>
        <v/>
      </c>
      <c r="E2870" s="16">
        <f>IF(B2870,StartDate+D2870,"")</f>
        <v/>
      </c>
      <c r="F2870">
        <f>IF(B2870,MAX(MOD(SIN(Seed*0.1373+C2870*12.9898+D2870*78.233)*43758.5453,1),1E-9),"")</f>
        <v/>
      </c>
      <c r="G2870">
        <f>IF(B2870,MOD(SIN(Seed*0.5917+C2870*39.3468+D2870*11.135)*24634.6345,1),"")</f>
        <v/>
      </c>
      <c r="H2870">
        <f>IF(B2870,SQRT(-2*LN(F2870))*COS(2*PI()*G2870),"")</f>
        <v/>
      </c>
      <c r="I2870">
        <f>IF(B2870,IF(D2870=0,H2870,Rho*I2869+SQRT(1-Rho^2)*H2870),"")</f>
        <v/>
      </c>
      <c r="J2870">
        <f>IF(B2870,IF(Dist="Normal",DistA+DistB*I2870,DistA+(DistB-DistA)*NORMSDIST(I2870)),"")</f>
        <v/>
      </c>
      <c r="K2870">
        <f>IF(B2870,INDEX(MineScale,C2870),"")</f>
        <v/>
      </c>
      <c r="L2870">
        <f>IF(B2870,INDEX(Dow,1,WEEKDAY(E2870,2)),"")</f>
        <v/>
      </c>
      <c r="M2870">
        <f>IF(B2870,(1+Trend)^D2870,"")</f>
        <v/>
      </c>
      <c r="N2870">
        <f>IF(B2870,EXP(SUMPRODUCT(LN(1+(EvEff-1)*INDEX(Affected,0,C2870)*EXP(-((E2870-EvCenter)^2)/(2*EvSigma^2))))),"")</f>
        <v/>
      </c>
      <c r="O2870">
        <f>IF(B2870,ROUND(MAX(0,J2870*K2870*L2870*M2870*N2870),2),"")</f>
        <v/>
      </c>
    </row>
    <row r="2871">
      <c r="A2871" t="n">
        <v>2870</v>
      </c>
      <c r="B2871">
        <f>A2871&lt;=MineCount*Days</f>
        <v/>
      </c>
      <c r="C2871">
        <f>IF(B2871,INT((A2871-1)/Days)+1,"")</f>
        <v/>
      </c>
      <c r="D2871">
        <f>IF(B2871,MOD(A2871-1,Days),"")</f>
        <v/>
      </c>
      <c r="E2871" s="16">
        <f>IF(B2871,StartDate+D2871,"")</f>
        <v/>
      </c>
      <c r="F2871">
        <f>IF(B2871,MAX(MOD(SIN(Seed*0.1373+C2871*12.9898+D2871*78.233)*43758.5453,1),1E-9),"")</f>
        <v/>
      </c>
      <c r="G2871">
        <f>IF(B2871,MOD(SIN(Seed*0.5917+C2871*39.3468+D2871*11.135)*24634.6345,1),"")</f>
        <v/>
      </c>
      <c r="H2871">
        <f>IF(B2871,SQRT(-2*LN(F2871))*COS(2*PI()*G2871),"")</f>
        <v/>
      </c>
      <c r="I2871">
        <f>IF(B2871,IF(D2871=0,H2871,Rho*I2870+SQRT(1-Rho^2)*H2871),"")</f>
        <v/>
      </c>
      <c r="J2871">
        <f>IF(B2871,IF(Dist="Normal",DistA+DistB*I2871,DistA+(DistB-DistA)*NORMSDIST(I2871)),"")</f>
        <v/>
      </c>
      <c r="K2871">
        <f>IF(B2871,INDEX(MineScale,C2871),"")</f>
        <v/>
      </c>
      <c r="L2871">
        <f>IF(B2871,INDEX(Dow,1,WEEKDAY(E2871,2)),"")</f>
        <v/>
      </c>
      <c r="M2871">
        <f>IF(B2871,(1+Trend)^D2871,"")</f>
        <v/>
      </c>
      <c r="N2871">
        <f>IF(B2871,EXP(SUMPRODUCT(LN(1+(EvEff-1)*INDEX(Affected,0,C2871)*EXP(-((E2871-EvCenter)^2)/(2*EvSigma^2))))),"")</f>
        <v/>
      </c>
      <c r="O2871">
        <f>IF(B2871,ROUND(MAX(0,J2871*K2871*L2871*M2871*N2871),2),"")</f>
        <v/>
      </c>
    </row>
    <row r="2872">
      <c r="A2872" t="n">
        <v>2871</v>
      </c>
      <c r="B2872">
        <f>A2872&lt;=MineCount*Days</f>
        <v/>
      </c>
      <c r="C2872">
        <f>IF(B2872,INT((A2872-1)/Days)+1,"")</f>
        <v/>
      </c>
      <c r="D2872">
        <f>IF(B2872,MOD(A2872-1,Days),"")</f>
        <v/>
      </c>
      <c r="E2872" s="16">
        <f>IF(B2872,StartDate+D2872,"")</f>
        <v/>
      </c>
      <c r="F2872">
        <f>IF(B2872,MAX(MOD(SIN(Seed*0.1373+C2872*12.9898+D2872*78.233)*43758.5453,1),1E-9),"")</f>
        <v/>
      </c>
      <c r="G2872">
        <f>IF(B2872,MOD(SIN(Seed*0.5917+C2872*39.3468+D2872*11.135)*24634.6345,1),"")</f>
        <v/>
      </c>
      <c r="H2872">
        <f>IF(B2872,SQRT(-2*LN(F2872))*COS(2*PI()*G2872),"")</f>
        <v/>
      </c>
      <c r="I2872">
        <f>IF(B2872,IF(D2872=0,H2872,Rho*I2871+SQRT(1-Rho^2)*H2872),"")</f>
        <v/>
      </c>
      <c r="J2872">
        <f>IF(B2872,IF(Dist="Normal",DistA+DistB*I2872,DistA+(DistB-DistA)*NORMSDIST(I2872)),"")</f>
        <v/>
      </c>
      <c r="K2872">
        <f>IF(B2872,INDEX(MineScale,C2872),"")</f>
        <v/>
      </c>
      <c r="L2872">
        <f>IF(B2872,INDEX(Dow,1,WEEKDAY(E2872,2)),"")</f>
        <v/>
      </c>
      <c r="M2872">
        <f>IF(B2872,(1+Trend)^D2872,"")</f>
        <v/>
      </c>
      <c r="N2872">
        <f>IF(B2872,EXP(SUMPRODUCT(LN(1+(EvEff-1)*INDEX(Affected,0,C2872)*EXP(-((E2872-EvCenter)^2)/(2*EvSigma^2))))),"")</f>
        <v/>
      </c>
      <c r="O2872">
        <f>IF(B2872,ROUND(MAX(0,J2872*K2872*L2872*M2872*N2872),2),"")</f>
        <v/>
      </c>
    </row>
    <row r="2873">
      <c r="A2873" t="n">
        <v>2872</v>
      </c>
      <c r="B2873">
        <f>A2873&lt;=MineCount*Days</f>
        <v/>
      </c>
      <c r="C2873">
        <f>IF(B2873,INT((A2873-1)/Days)+1,"")</f>
        <v/>
      </c>
      <c r="D2873">
        <f>IF(B2873,MOD(A2873-1,Days),"")</f>
        <v/>
      </c>
      <c r="E2873" s="16">
        <f>IF(B2873,StartDate+D2873,"")</f>
        <v/>
      </c>
      <c r="F2873">
        <f>IF(B2873,MAX(MOD(SIN(Seed*0.1373+C2873*12.9898+D2873*78.233)*43758.5453,1),1E-9),"")</f>
        <v/>
      </c>
      <c r="G2873">
        <f>IF(B2873,MOD(SIN(Seed*0.5917+C2873*39.3468+D2873*11.135)*24634.6345,1),"")</f>
        <v/>
      </c>
      <c r="H2873">
        <f>IF(B2873,SQRT(-2*LN(F2873))*COS(2*PI()*G2873),"")</f>
        <v/>
      </c>
      <c r="I2873">
        <f>IF(B2873,IF(D2873=0,H2873,Rho*I2872+SQRT(1-Rho^2)*H2873),"")</f>
        <v/>
      </c>
      <c r="J2873">
        <f>IF(B2873,IF(Dist="Normal",DistA+DistB*I2873,DistA+(DistB-DistA)*NORMSDIST(I2873)),"")</f>
        <v/>
      </c>
      <c r="K2873">
        <f>IF(B2873,INDEX(MineScale,C2873),"")</f>
        <v/>
      </c>
      <c r="L2873">
        <f>IF(B2873,INDEX(Dow,1,WEEKDAY(E2873,2)),"")</f>
        <v/>
      </c>
      <c r="M2873">
        <f>IF(B2873,(1+Trend)^D2873,"")</f>
        <v/>
      </c>
      <c r="N2873">
        <f>IF(B2873,EXP(SUMPRODUCT(LN(1+(EvEff-1)*INDEX(Affected,0,C2873)*EXP(-((E2873-EvCenter)^2)/(2*EvSigma^2))))),"")</f>
        <v/>
      </c>
      <c r="O2873">
        <f>IF(B2873,ROUND(MAX(0,J2873*K2873*L2873*M2873*N2873),2),"")</f>
        <v/>
      </c>
    </row>
    <row r="2874">
      <c r="A2874" t="n">
        <v>2873</v>
      </c>
      <c r="B2874">
        <f>A2874&lt;=MineCount*Days</f>
        <v/>
      </c>
      <c r="C2874">
        <f>IF(B2874,INT((A2874-1)/Days)+1,"")</f>
        <v/>
      </c>
      <c r="D2874">
        <f>IF(B2874,MOD(A2874-1,Days),"")</f>
        <v/>
      </c>
      <c r="E2874" s="16">
        <f>IF(B2874,StartDate+D2874,"")</f>
        <v/>
      </c>
      <c r="F2874">
        <f>IF(B2874,MAX(MOD(SIN(Seed*0.1373+C2874*12.9898+D2874*78.233)*43758.5453,1),1E-9),"")</f>
        <v/>
      </c>
      <c r="G2874">
        <f>IF(B2874,MOD(SIN(Seed*0.5917+C2874*39.3468+D2874*11.135)*24634.6345,1),"")</f>
        <v/>
      </c>
      <c r="H2874">
        <f>IF(B2874,SQRT(-2*LN(F2874))*COS(2*PI()*G2874),"")</f>
        <v/>
      </c>
      <c r="I2874">
        <f>IF(B2874,IF(D2874=0,H2874,Rho*I2873+SQRT(1-Rho^2)*H2874),"")</f>
        <v/>
      </c>
      <c r="J2874">
        <f>IF(B2874,IF(Dist="Normal",DistA+DistB*I2874,DistA+(DistB-DistA)*NORMSDIST(I2874)),"")</f>
        <v/>
      </c>
      <c r="K2874">
        <f>IF(B2874,INDEX(MineScale,C2874),"")</f>
        <v/>
      </c>
      <c r="L2874">
        <f>IF(B2874,INDEX(Dow,1,WEEKDAY(E2874,2)),"")</f>
        <v/>
      </c>
      <c r="M2874">
        <f>IF(B2874,(1+Trend)^D2874,"")</f>
        <v/>
      </c>
      <c r="N2874">
        <f>IF(B2874,EXP(SUMPRODUCT(LN(1+(EvEff-1)*INDEX(Affected,0,C2874)*EXP(-((E2874-EvCenter)^2)/(2*EvSigma^2))))),"")</f>
        <v/>
      </c>
      <c r="O2874">
        <f>IF(B2874,ROUND(MAX(0,J2874*K2874*L2874*M2874*N2874),2),"")</f>
        <v/>
      </c>
    </row>
    <row r="2875">
      <c r="A2875" t="n">
        <v>2874</v>
      </c>
      <c r="B2875">
        <f>A2875&lt;=MineCount*Days</f>
        <v/>
      </c>
      <c r="C2875">
        <f>IF(B2875,INT((A2875-1)/Days)+1,"")</f>
        <v/>
      </c>
      <c r="D2875">
        <f>IF(B2875,MOD(A2875-1,Days),"")</f>
        <v/>
      </c>
      <c r="E2875" s="16">
        <f>IF(B2875,StartDate+D2875,"")</f>
        <v/>
      </c>
      <c r="F2875">
        <f>IF(B2875,MAX(MOD(SIN(Seed*0.1373+C2875*12.9898+D2875*78.233)*43758.5453,1),1E-9),"")</f>
        <v/>
      </c>
      <c r="G2875">
        <f>IF(B2875,MOD(SIN(Seed*0.5917+C2875*39.3468+D2875*11.135)*24634.6345,1),"")</f>
        <v/>
      </c>
      <c r="H2875">
        <f>IF(B2875,SQRT(-2*LN(F2875))*COS(2*PI()*G2875),"")</f>
        <v/>
      </c>
      <c r="I2875">
        <f>IF(B2875,IF(D2875=0,H2875,Rho*I2874+SQRT(1-Rho^2)*H2875),"")</f>
        <v/>
      </c>
      <c r="J2875">
        <f>IF(B2875,IF(Dist="Normal",DistA+DistB*I2875,DistA+(DistB-DistA)*NORMSDIST(I2875)),"")</f>
        <v/>
      </c>
      <c r="K2875">
        <f>IF(B2875,INDEX(MineScale,C2875),"")</f>
        <v/>
      </c>
      <c r="L2875">
        <f>IF(B2875,INDEX(Dow,1,WEEKDAY(E2875,2)),"")</f>
        <v/>
      </c>
      <c r="M2875">
        <f>IF(B2875,(1+Trend)^D2875,"")</f>
        <v/>
      </c>
      <c r="N2875">
        <f>IF(B2875,EXP(SUMPRODUCT(LN(1+(EvEff-1)*INDEX(Affected,0,C2875)*EXP(-((E2875-EvCenter)^2)/(2*EvSigma^2))))),"")</f>
        <v/>
      </c>
      <c r="O2875">
        <f>IF(B2875,ROUND(MAX(0,J2875*K2875*L2875*M2875*N2875),2),"")</f>
        <v/>
      </c>
    </row>
    <row r="2876">
      <c r="A2876" t="n">
        <v>2875</v>
      </c>
      <c r="B2876">
        <f>A2876&lt;=MineCount*Days</f>
        <v/>
      </c>
      <c r="C2876">
        <f>IF(B2876,INT((A2876-1)/Days)+1,"")</f>
        <v/>
      </c>
      <c r="D2876">
        <f>IF(B2876,MOD(A2876-1,Days),"")</f>
        <v/>
      </c>
      <c r="E2876" s="16">
        <f>IF(B2876,StartDate+D2876,"")</f>
        <v/>
      </c>
      <c r="F2876">
        <f>IF(B2876,MAX(MOD(SIN(Seed*0.1373+C2876*12.9898+D2876*78.233)*43758.5453,1),1E-9),"")</f>
        <v/>
      </c>
      <c r="G2876">
        <f>IF(B2876,MOD(SIN(Seed*0.5917+C2876*39.3468+D2876*11.135)*24634.6345,1),"")</f>
        <v/>
      </c>
      <c r="H2876">
        <f>IF(B2876,SQRT(-2*LN(F2876))*COS(2*PI()*G2876),"")</f>
        <v/>
      </c>
      <c r="I2876">
        <f>IF(B2876,IF(D2876=0,H2876,Rho*I2875+SQRT(1-Rho^2)*H2876),"")</f>
        <v/>
      </c>
      <c r="J2876">
        <f>IF(B2876,IF(Dist="Normal",DistA+DistB*I2876,DistA+(DistB-DistA)*NORMSDIST(I2876)),"")</f>
        <v/>
      </c>
      <c r="K2876">
        <f>IF(B2876,INDEX(MineScale,C2876),"")</f>
        <v/>
      </c>
      <c r="L2876">
        <f>IF(B2876,INDEX(Dow,1,WEEKDAY(E2876,2)),"")</f>
        <v/>
      </c>
      <c r="M2876">
        <f>IF(B2876,(1+Trend)^D2876,"")</f>
        <v/>
      </c>
      <c r="N2876">
        <f>IF(B2876,EXP(SUMPRODUCT(LN(1+(EvEff-1)*INDEX(Affected,0,C2876)*EXP(-((E2876-EvCenter)^2)/(2*EvSigma^2))))),"")</f>
        <v/>
      </c>
      <c r="O2876">
        <f>IF(B2876,ROUND(MAX(0,J2876*K2876*L2876*M2876*N2876),2),"")</f>
        <v/>
      </c>
    </row>
    <row r="2877">
      <c r="A2877" t="n">
        <v>2876</v>
      </c>
      <c r="B2877">
        <f>A2877&lt;=MineCount*Days</f>
        <v/>
      </c>
      <c r="C2877">
        <f>IF(B2877,INT((A2877-1)/Days)+1,"")</f>
        <v/>
      </c>
      <c r="D2877">
        <f>IF(B2877,MOD(A2877-1,Days),"")</f>
        <v/>
      </c>
      <c r="E2877" s="16">
        <f>IF(B2877,StartDate+D2877,"")</f>
        <v/>
      </c>
      <c r="F2877">
        <f>IF(B2877,MAX(MOD(SIN(Seed*0.1373+C2877*12.9898+D2877*78.233)*43758.5453,1),1E-9),"")</f>
        <v/>
      </c>
      <c r="G2877">
        <f>IF(B2877,MOD(SIN(Seed*0.5917+C2877*39.3468+D2877*11.135)*24634.6345,1),"")</f>
        <v/>
      </c>
      <c r="H2877">
        <f>IF(B2877,SQRT(-2*LN(F2877))*COS(2*PI()*G2877),"")</f>
        <v/>
      </c>
      <c r="I2877">
        <f>IF(B2877,IF(D2877=0,H2877,Rho*I2876+SQRT(1-Rho^2)*H2877),"")</f>
        <v/>
      </c>
      <c r="J2877">
        <f>IF(B2877,IF(Dist="Normal",DistA+DistB*I2877,DistA+(DistB-DistA)*NORMSDIST(I2877)),"")</f>
        <v/>
      </c>
      <c r="K2877">
        <f>IF(B2877,INDEX(MineScale,C2877),"")</f>
        <v/>
      </c>
      <c r="L2877">
        <f>IF(B2877,INDEX(Dow,1,WEEKDAY(E2877,2)),"")</f>
        <v/>
      </c>
      <c r="M2877">
        <f>IF(B2877,(1+Trend)^D2877,"")</f>
        <v/>
      </c>
      <c r="N2877">
        <f>IF(B2877,EXP(SUMPRODUCT(LN(1+(EvEff-1)*INDEX(Affected,0,C2877)*EXP(-((E2877-EvCenter)^2)/(2*EvSigma^2))))),"")</f>
        <v/>
      </c>
      <c r="O2877">
        <f>IF(B2877,ROUND(MAX(0,J2877*K2877*L2877*M2877*N2877),2),"")</f>
        <v/>
      </c>
    </row>
    <row r="2878">
      <c r="A2878" t="n">
        <v>2877</v>
      </c>
      <c r="B2878">
        <f>A2878&lt;=MineCount*Days</f>
        <v/>
      </c>
      <c r="C2878">
        <f>IF(B2878,INT((A2878-1)/Days)+1,"")</f>
        <v/>
      </c>
      <c r="D2878">
        <f>IF(B2878,MOD(A2878-1,Days),"")</f>
        <v/>
      </c>
      <c r="E2878" s="16">
        <f>IF(B2878,StartDate+D2878,"")</f>
        <v/>
      </c>
      <c r="F2878">
        <f>IF(B2878,MAX(MOD(SIN(Seed*0.1373+C2878*12.9898+D2878*78.233)*43758.5453,1),1E-9),"")</f>
        <v/>
      </c>
      <c r="G2878">
        <f>IF(B2878,MOD(SIN(Seed*0.5917+C2878*39.3468+D2878*11.135)*24634.6345,1),"")</f>
        <v/>
      </c>
      <c r="H2878">
        <f>IF(B2878,SQRT(-2*LN(F2878))*COS(2*PI()*G2878),"")</f>
        <v/>
      </c>
      <c r="I2878">
        <f>IF(B2878,IF(D2878=0,H2878,Rho*I2877+SQRT(1-Rho^2)*H2878),"")</f>
        <v/>
      </c>
      <c r="J2878">
        <f>IF(B2878,IF(Dist="Normal",DistA+DistB*I2878,DistA+(DistB-DistA)*NORMSDIST(I2878)),"")</f>
        <v/>
      </c>
      <c r="K2878">
        <f>IF(B2878,INDEX(MineScale,C2878),"")</f>
        <v/>
      </c>
      <c r="L2878">
        <f>IF(B2878,INDEX(Dow,1,WEEKDAY(E2878,2)),"")</f>
        <v/>
      </c>
      <c r="M2878">
        <f>IF(B2878,(1+Trend)^D2878,"")</f>
        <v/>
      </c>
      <c r="N2878">
        <f>IF(B2878,EXP(SUMPRODUCT(LN(1+(EvEff-1)*INDEX(Affected,0,C2878)*EXP(-((E2878-EvCenter)^2)/(2*EvSigma^2))))),"")</f>
        <v/>
      </c>
      <c r="O2878">
        <f>IF(B2878,ROUND(MAX(0,J2878*K2878*L2878*M2878*N2878),2),"")</f>
        <v/>
      </c>
    </row>
    <row r="2879">
      <c r="A2879" t="n">
        <v>2878</v>
      </c>
      <c r="B2879">
        <f>A2879&lt;=MineCount*Days</f>
        <v/>
      </c>
      <c r="C2879">
        <f>IF(B2879,INT((A2879-1)/Days)+1,"")</f>
        <v/>
      </c>
      <c r="D2879">
        <f>IF(B2879,MOD(A2879-1,Days),"")</f>
        <v/>
      </c>
      <c r="E2879" s="16">
        <f>IF(B2879,StartDate+D2879,"")</f>
        <v/>
      </c>
      <c r="F2879">
        <f>IF(B2879,MAX(MOD(SIN(Seed*0.1373+C2879*12.9898+D2879*78.233)*43758.5453,1),1E-9),"")</f>
        <v/>
      </c>
      <c r="G2879">
        <f>IF(B2879,MOD(SIN(Seed*0.5917+C2879*39.3468+D2879*11.135)*24634.6345,1),"")</f>
        <v/>
      </c>
      <c r="H2879">
        <f>IF(B2879,SQRT(-2*LN(F2879))*COS(2*PI()*G2879),"")</f>
        <v/>
      </c>
      <c r="I2879">
        <f>IF(B2879,IF(D2879=0,H2879,Rho*I2878+SQRT(1-Rho^2)*H2879),"")</f>
        <v/>
      </c>
      <c r="J2879">
        <f>IF(B2879,IF(Dist="Normal",DistA+DistB*I2879,DistA+(DistB-DistA)*NORMSDIST(I2879)),"")</f>
        <v/>
      </c>
      <c r="K2879">
        <f>IF(B2879,INDEX(MineScale,C2879),"")</f>
        <v/>
      </c>
      <c r="L2879">
        <f>IF(B2879,INDEX(Dow,1,WEEKDAY(E2879,2)),"")</f>
        <v/>
      </c>
      <c r="M2879">
        <f>IF(B2879,(1+Trend)^D2879,"")</f>
        <v/>
      </c>
      <c r="N2879">
        <f>IF(B2879,EXP(SUMPRODUCT(LN(1+(EvEff-1)*INDEX(Affected,0,C2879)*EXP(-((E2879-EvCenter)^2)/(2*EvSigma^2))))),"")</f>
        <v/>
      </c>
      <c r="O2879">
        <f>IF(B2879,ROUND(MAX(0,J2879*K2879*L2879*M2879*N2879),2),"")</f>
        <v/>
      </c>
    </row>
    <row r="2880">
      <c r="A2880" t="n">
        <v>2879</v>
      </c>
      <c r="B2880">
        <f>A2880&lt;=MineCount*Days</f>
        <v/>
      </c>
      <c r="C2880">
        <f>IF(B2880,INT((A2880-1)/Days)+1,"")</f>
        <v/>
      </c>
      <c r="D2880">
        <f>IF(B2880,MOD(A2880-1,Days),"")</f>
        <v/>
      </c>
      <c r="E2880" s="16">
        <f>IF(B2880,StartDate+D2880,"")</f>
        <v/>
      </c>
      <c r="F2880">
        <f>IF(B2880,MAX(MOD(SIN(Seed*0.1373+C2880*12.9898+D2880*78.233)*43758.5453,1),1E-9),"")</f>
        <v/>
      </c>
      <c r="G2880">
        <f>IF(B2880,MOD(SIN(Seed*0.5917+C2880*39.3468+D2880*11.135)*24634.6345,1),"")</f>
        <v/>
      </c>
      <c r="H2880">
        <f>IF(B2880,SQRT(-2*LN(F2880))*COS(2*PI()*G2880),"")</f>
        <v/>
      </c>
      <c r="I2880">
        <f>IF(B2880,IF(D2880=0,H2880,Rho*I2879+SQRT(1-Rho^2)*H2880),"")</f>
        <v/>
      </c>
      <c r="J2880">
        <f>IF(B2880,IF(Dist="Normal",DistA+DistB*I2880,DistA+(DistB-DistA)*NORMSDIST(I2880)),"")</f>
        <v/>
      </c>
      <c r="K2880">
        <f>IF(B2880,INDEX(MineScale,C2880),"")</f>
        <v/>
      </c>
      <c r="L2880">
        <f>IF(B2880,INDEX(Dow,1,WEEKDAY(E2880,2)),"")</f>
        <v/>
      </c>
      <c r="M2880">
        <f>IF(B2880,(1+Trend)^D2880,"")</f>
        <v/>
      </c>
      <c r="N2880">
        <f>IF(B2880,EXP(SUMPRODUCT(LN(1+(EvEff-1)*INDEX(Affected,0,C2880)*EXP(-((E2880-EvCenter)^2)/(2*EvSigma^2))))),"")</f>
        <v/>
      </c>
      <c r="O2880">
        <f>IF(B2880,ROUND(MAX(0,J2880*K2880*L2880*M2880*N2880),2),"")</f>
        <v/>
      </c>
    </row>
    <row r="2881">
      <c r="A2881" t="n">
        <v>2880</v>
      </c>
      <c r="B2881">
        <f>A2881&lt;=MineCount*Days</f>
        <v/>
      </c>
      <c r="C2881">
        <f>IF(B2881,INT((A2881-1)/Days)+1,"")</f>
        <v/>
      </c>
      <c r="D2881">
        <f>IF(B2881,MOD(A2881-1,Days),"")</f>
        <v/>
      </c>
      <c r="E2881" s="16">
        <f>IF(B2881,StartDate+D2881,"")</f>
        <v/>
      </c>
      <c r="F2881">
        <f>IF(B2881,MAX(MOD(SIN(Seed*0.1373+C2881*12.9898+D2881*78.233)*43758.5453,1),1E-9),"")</f>
        <v/>
      </c>
      <c r="G2881">
        <f>IF(B2881,MOD(SIN(Seed*0.5917+C2881*39.3468+D2881*11.135)*24634.6345,1),"")</f>
        <v/>
      </c>
      <c r="H2881">
        <f>IF(B2881,SQRT(-2*LN(F2881))*COS(2*PI()*G2881),"")</f>
        <v/>
      </c>
      <c r="I2881">
        <f>IF(B2881,IF(D2881=0,H2881,Rho*I2880+SQRT(1-Rho^2)*H2881),"")</f>
        <v/>
      </c>
      <c r="J2881">
        <f>IF(B2881,IF(Dist="Normal",DistA+DistB*I2881,DistA+(DistB-DistA)*NORMSDIST(I2881)),"")</f>
        <v/>
      </c>
      <c r="K2881">
        <f>IF(B2881,INDEX(MineScale,C2881),"")</f>
        <v/>
      </c>
      <c r="L2881">
        <f>IF(B2881,INDEX(Dow,1,WEEKDAY(E2881,2)),"")</f>
        <v/>
      </c>
      <c r="M2881">
        <f>IF(B2881,(1+Trend)^D2881,"")</f>
        <v/>
      </c>
      <c r="N2881">
        <f>IF(B2881,EXP(SUMPRODUCT(LN(1+(EvEff-1)*INDEX(Affected,0,C2881)*EXP(-((E2881-EvCenter)^2)/(2*EvSigma^2))))),"")</f>
        <v/>
      </c>
      <c r="O2881">
        <f>IF(B2881,ROUND(MAX(0,J2881*K2881*L2881*M2881*N2881),2),"")</f>
        <v/>
      </c>
    </row>
    <row r="2882">
      <c r="A2882" t="n">
        <v>2881</v>
      </c>
      <c r="B2882">
        <f>A2882&lt;=MineCount*Days</f>
        <v/>
      </c>
      <c r="C2882">
        <f>IF(B2882,INT((A2882-1)/Days)+1,"")</f>
        <v/>
      </c>
      <c r="D2882">
        <f>IF(B2882,MOD(A2882-1,Days),"")</f>
        <v/>
      </c>
      <c r="E2882" s="16">
        <f>IF(B2882,StartDate+D2882,"")</f>
        <v/>
      </c>
      <c r="F2882">
        <f>IF(B2882,MAX(MOD(SIN(Seed*0.1373+C2882*12.9898+D2882*78.233)*43758.5453,1),1E-9),"")</f>
        <v/>
      </c>
      <c r="G2882">
        <f>IF(B2882,MOD(SIN(Seed*0.5917+C2882*39.3468+D2882*11.135)*24634.6345,1),"")</f>
        <v/>
      </c>
      <c r="H2882">
        <f>IF(B2882,SQRT(-2*LN(F2882))*COS(2*PI()*G2882),"")</f>
        <v/>
      </c>
      <c r="I2882">
        <f>IF(B2882,IF(D2882=0,H2882,Rho*I2881+SQRT(1-Rho^2)*H2882),"")</f>
        <v/>
      </c>
      <c r="J2882">
        <f>IF(B2882,IF(Dist="Normal",DistA+DistB*I2882,DistA+(DistB-DistA)*NORMSDIST(I2882)),"")</f>
        <v/>
      </c>
      <c r="K2882">
        <f>IF(B2882,INDEX(MineScale,C2882),"")</f>
        <v/>
      </c>
      <c r="L2882">
        <f>IF(B2882,INDEX(Dow,1,WEEKDAY(E2882,2)),"")</f>
        <v/>
      </c>
      <c r="M2882">
        <f>IF(B2882,(1+Trend)^D2882,"")</f>
        <v/>
      </c>
      <c r="N2882">
        <f>IF(B2882,EXP(SUMPRODUCT(LN(1+(EvEff-1)*INDEX(Affected,0,C2882)*EXP(-((E2882-EvCenter)^2)/(2*EvSigma^2))))),"")</f>
        <v/>
      </c>
      <c r="O2882">
        <f>IF(B2882,ROUND(MAX(0,J2882*K2882*L2882*M2882*N2882),2),"")</f>
        <v/>
      </c>
    </row>
    <row r="2883">
      <c r="A2883" t="n">
        <v>2882</v>
      </c>
      <c r="B2883">
        <f>A2883&lt;=MineCount*Days</f>
        <v/>
      </c>
      <c r="C2883">
        <f>IF(B2883,INT((A2883-1)/Days)+1,"")</f>
        <v/>
      </c>
      <c r="D2883">
        <f>IF(B2883,MOD(A2883-1,Days),"")</f>
        <v/>
      </c>
      <c r="E2883" s="16">
        <f>IF(B2883,StartDate+D2883,"")</f>
        <v/>
      </c>
      <c r="F2883">
        <f>IF(B2883,MAX(MOD(SIN(Seed*0.1373+C2883*12.9898+D2883*78.233)*43758.5453,1),1E-9),"")</f>
        <v/>
      </c>
      <c r="G2883">
        <f>IF(B2883,MOD(SIN(Seed*0.5917+C2883*39.3468+D2883*11.135)*24634.6345,1),"")</f>
        <v/>
      </c>
      <c r="H2883">
        <f>IF(B2883,SQRT(-2*LN(F2883))*COS(2*PI()*G2883),"")</f>
        <v/>
      </c>
      <c r="I2883">
        <f>IF(B2883,IF(D2883=0,H2883,Rho*I2882+SQRT(1-Rho^2)*H2883),"")</f>
        <v/>
      </c>
      <c r="J2883">
        <f>IF(B2883,IF(Dist="Normal",DistA+DistB*I2883,DistA+(DistB-DistA)*NORMSDIST(I2883)),"")</f>
        <v/>
      </c>
      <c r="K2883">
        <f>IF(B2883,INDEX(MineScale,C2883),"")</f>
        <v/>
      </c>
      <c r="L2883">
        <f>IF(B2883,INDEX(Dow,1,WEEKDAY(E2883,2)),"")</f>
        <v/>
      </c>
      <c r="M2883">
        <f>IF(B2883,(1+Trend)^D2883,"")</f>
        <v/>
      </c>
      <c r="N2883">
        <f>IF(B2883,EXP(SUMPRODUCT(LN(1+(EvEff-1)*INDEX(Affected,0,C2883)*EXP(-((E2883-EvCenter)^2)/(2*EvSigma^2))))),"")</f>
        <v/>
      </c>
      <c r="O2883">
        <f>IF(B2883,ROUND(MAX(0,J2883*K2883*L2883*M2883*N2883),2),"")</f>
        <v/>
      </c>
    </row>
    <row r="2884">
      <c r="A2884" t="n">
        <v>2883</v>
      </c>
      <c r="B2884">
        <f>A2884&lt;=MineCount*Days</f>
        <v/>
      </c>
      <c r="C2884">
        <f>IF(B2884,INT((A2884-1)/Days)+1,"")</f>
        <v/>
      </c>
      <c r="D2884">
        <f>IF(B2884,MOD(A2884-1,Days),"")</f>
        <v/>
      </c>
      <c r="E2884" s="16">
        <f>IF(B2884,StartDate+D2884,"")</f>
        <v/>
      </c>
      <c r="F2884">
        <f>IF(B2884,MAX(MOD(SIN(Seed*0.1373+C2884*12.9898+D2884*78.233)*43758.5453,1),1E-9),"")</f>
        <v/>
      </c>
      <c r="G2884">
        <f>IF(B2884,MOD(SIN(Seed*0.5917+C2884*39.3468+D2884*11.135)*24634.6345,1),"")</f>
        <v/>
      </c>
      <c r="H2884">
        <f>IF(B2884,SQRT(-2*LN(F2884))*COS(2*PI()*G2884),"")</f>
        <v/>
      </c>
      <c r="I2884">
        <f>IF(B2884,IF(D2884=0,H2884,Rho*I2883+SQRT(1-Rho^2)*H2884),"")</f>
        <v/>
      </c>
      <c r="J2884">
        <f>IF(B2884,IF(Dist="Normal",DistA+DistB*I2884,DistA+(DistB-DistA)*NORMSDIST(I2884)),"")</f>
        <v/>
      </c>
      <c r="K2884">
        <f>IF(B2884,INDEX(MineScale,C2884),"")</f>
        <v/>
      </c>
      <c r="L2884">
        <f>IF(B2884,INDEX(Dow,1,WEEKDAY(E2884,2)),"")</f>
        <v/>
      </c>
      <c r="M2884">
        <f>IF(B2884,(1+Trend)^D2884,"")</f>
        <v/>
      </c>
      <c r="N2884">
        <f>IF(B2884,EXP(SUMPRODUCT(LN(1+(EvEff-1)*INDEX(Affected,0,C2884)*EXP(-((E2884-EvCenter)^2)/(2*EvSigma^2))))),"")</f>
        <v/>
      </c>
      <c r="O2884">
        <f>IF(B2884,ROUND(MAX(0,J2884*K2884*L2884*M2884*N2884),2),"")</f>
        <v/>
      </c>
    </row>
    <row r="2885">
      <c r="A2885" t="n">
        <v>2884</v>
      </c>
      <c r="B2885">
        <f>A2885&lt;=MineCount*Days</f>
        <v/>
      </c>
      <c r="C2885">
        <f>IF(B2885,INT((A2885-1)/Days)+1,"")</f>
        <v/>
      </c>
      <c r="D2885">
        <f>IF(B2885,MOD(A2885-1,Days),"")</f>
        <v/>
      </c>
      <c r="E2885" s="16">
        <f>IF(B2885,StartDate+D2885,"")</f>
        <v/>
      </c>
      <c r="F2885">
        <f>IF(B2885,MAX(MOD(SIN(Seed*0.1373+C2885*12.9898+D2885*78.233)*43758.5453,1),1E-9),"")</f>
        <v/>
      </c>
      <c r="G2885">
        <f>IF(B2885,MOD(SIN(Seed*0.5917+C2885*39.3468+D2885*11.135)*24634.6345,1),"")</f>
        <v/>
      </c>
      <c r="H2885">
        <f>IF(B2885,SQRT(-2*LN(F2885))*COS(2*PI()*G2885),"")</f>
        <v/>
      </c>
      <c r="I2885">
        <f>IF(B2885,IF(D2885=0,H2885,Rho*I2884+SQRT(1-Rho^2)*H2885),"")</f>
        <v/>
      </c>
      <c r="J2885">
        <f>IF(B2885,IF(Dist="Normal",DistA+DistB*I2885,DistA+(DistB-DistA)*NORMSDIST(I2885)),"")</f>
        <v/>
      </c>
      <c r="K2885">
        <f>IF(B2885,INDEX(MineScale,C2885),"")</f>
        <v/>
      </c>
      <c r="L2885">
        <f>IF(B2885,INDEX(Dow,1,WEEKDAY(E2885,2)),"")</f>
        <v/>
      </c>
      <c r="M2885">
        <f>IF(B2885,(1+Trend)^D2885,"")</f>
        <v/>
      </c>
      <c r="N2885">
        <f>IF(B2885,EXP(SUMPRODUCT(LN(1+(EvEff-1)*INDEX(Affected,0,C2885)*EXP(-((E2885-EvCenter)^2)/(2*EvSigma^2))))),"")</f>
        <v/>
      </c>
      <c r="O2885">
        <f>IF(B2885,ROUND(MAX(0,J2885*K2885*L2885*M2885*N2885),2),"")</f>
        <v/>
      </c>
    </row>
    <row r="2886">
      <c r="A2886" t="n">
        <v>2885</v>
      </c>
      <c r="B2886">
        <f>A2886&lt;=MineCount*Days</f>
        <v/>
      </c>
      <c r="C2886">
        <f>IF(B2886,INT((A2886-1)/Days)+1,"")</f>
        <v/>
      </c>
      <c r="D2886">
        <f>IF(B2886,MOD(A2886-1,Days),"")</f>
        <v/>
      </c>
      <c r="E2886" s="16">
        <f>IF(B2886,StartDate+D2886,"")</f>
        <v/>
      </c>
      <c r="F2886">
        <f>IF(B2886,MAX(MOD(SIN(Seed*0.1373+C2886*12.9898+D2886*78.233)*43758.5453,1),1E-9),"")</f>
        <v/>
      </c>
      <c r="G2886">
        <f>IF(B2886,MOD(SIN(Seed*0.5917+C2886*39.3468+D2886*11.135)*24634.6345,1),"")</f>
        <v/>
      </c>
      <c r="H2886">
        <f>IF(B2886,SQRT(-2*LN(F2886))*COS(2*PI()*G2886),"")</f>
        <v/>
      </c>
      <c r="I2886">
        <f>IF(B2886,IF(D2886=0,H2886,Rho*I2885+SQRT(1-Rho^2)*H2886),"")</f>
        <v/>
      </c>
      <c r="J2886">
        <f>IF(B2886,IF(Dist="Normal",DistA+DistB*I2886,DistA+(DistB-DistA)*NORMSDIST(I2886)),"")</f>
        <v/>
      </c>
      <c r="K2886">
        <f>IF(B2886,INDEX(MineScale,C2886),"")</f>
        <v/>
      </c>
      <c r="L2886">
        <f>IF(B2886,INDEX(Dow,1,WEEKDAY(E2886,2)),"")</f>
        <v/>
      </c>
      <c r="M2886">
        <f>IF(B2886,(1+Trend)^D2886,"")</f>
        <v/>
      </c>
      <c r="N2886">
        <f>IF(B2886,EXP(SUMPRODUCT(LN(1+(EvEff-1)*INDEX(Affected,0,C2886)*EXP(-((E2886-EvCenter)^2)/(2*EvSigma^2))))),"")</f>
        <v/>
      </c>
      <c r="O2886">
        <f>IF(B2886,ROUND(MAX(0,J2886*K2886*L2886*M2886*N2886),2),"")</f>
        <v/>
      </c>
    </row>
    <row r="2887">
      <c r="A2887" t="n">
        <v>2886</v>
      </c>
      <c r="B2887">
        <f>A2887&lt;=MineCount*Days</f>
        <v/>
      </c>
      <c r="C2887">
        <f>IF(B2887,INT((A2887-1)/Days)+1,"")</f>
        <v/>
      </c>
      <c r="D2887">
        <f>IF(B2887,MOD(A2887-1,Days),"")</f>
        <v/>
      </c>
      <c r="E2887" s="16">
        <f>IF(B2887,StartDate+D2887,"")</f>
        <v/>
      </c>
      <c r="F2887">
        <f>IF(B2887,MAX(MOD(SIN(Seed*0.1373+C2887*12.9898+D2887*78.233)*43758.5453,1),1E-9),"")</f>
        <v/>
      </c>
      <c r="G2887">
        <f>IF(B2887,MOD(SIN(Seed*0.5917+C2887*39.3468+D2887*11.135)*24634.6345,1),"")</f>
        <v/>
      </c>
      <c r="H2887">
        <f>IF(B2887,SQRT(-2*LN(F2887))*COS(2*PI()*G2887),"")</f>
        <v/>
      </c>
      <c r="I2887">
        <f>IF(B2887,IF(D2887=0,H2887,Rho*I2886+SQRT(1-Rho^2)*H2887),"")</f>
        <v/>
      </c>
      <c r="J2887">
        <f>IF(B2887,IF(Dist="Normal",DistA+DistB*I2887,DistA+(DistB-DistA)*NORMSDIST(I2887)),"")</f>
        <v/>
      </c>
      <c r="K2887">
        <f>IF(B2887,INDEX(MineScale,C2887),"")</f>
        <v/>
      </c>
      <c r="L2887">
        <f>IF(B2887,INDEX(Dow,1,WEEKDAY(E2887,2)),"")</f>
        <v/>
      </c>
      <c r="M2887">
        <f>IF(B2887,(1+Trend)^D2887,"")</f>
        <v/>
      </c>
      <c r="N2887">
        <f>IF(B2887,EXP(SUMPRODUCT(LN(1+(EvEff-1)*INDEX(Affected,0,C2887)*EXP(-((E2887-EvCenter)^2)/(2*EvSigma^2))))),"")</f>
        <v/>
      </c>
      <c r="O2887">
        <f>IF(B2887,ROUND(MAX(0,J2887*K2887*L2887*M2887*N2887),2),"")</f>
        <v/>
      </c>
    </row>
    <row r="2888">
      <c r="A2888" t="n">
        <v>2887</v>
      </c>
      <c r="B2888">
        <f>A2888&lt;=MineCount*Days</f>
        <v/>
      </c>
      <c r="C2888">
        <f>IF(B2888,INT((A2888-1)/Days)+1,"")</f>
        <v/>
      </c>
      <c r="D2888">
        <f>IF(B2888,MOD(A2888-1,Days),"")</f>
        <v/>
      </c>
      <c r="E2888" s="16">
        <f>IF(B2888,StartDate+D2888,"")</f>
        <v/>
      </c>
      <c r="F2888">
        <f>IF(B2888,MAX(MOD(SIN(Seed*0.1373+C2888*12.9898+D2888*78.233)*43758.5453,1),1E-9),"")</f>
        <v/>
      </c>
      <c r="G2888">
        <f>IF(B2888,MOD(SIN(Seed*0.5917+C2888*39.3468+D2888*11.135)*24634.6345,1),"")</f>
        <v/>
      </c>
      <c r="H2888">
        <f>IF(B2888,SQRT(-2*LN(F2888))*COS(2*PI()*G2888),"")</f>
        <v/>
      </c>
      <c r="I2888">
        <f>IF(B2888,IF(D2888=0,H2888,Rho*I2887+SQRT(1-Rho^2)*H2888),"")</f>
        <v/>
      </c>
      <c r="J2888">
        <f>IF(B2888,IF(Dist="Normal",DistA+DistB*I2888,DistA+(DistB-DistA)*NORMSDIST(I2888)),"")</f>
        <v/>
      </c>
      <c r="K2888">
        <f>IF(B2888,INDEX(MineScale,C2888),"")</f>
        <v/>
      </c>
      <c r="L2888">
        <f>IF(B2888,INDEX(Dow,1,WEEKDAY(E2888,2)),"")</f>
        <v/>
      </c>
      <c r="M2888">
        <f>IF(B2888,(1+Trend)^D2888,"")</f>
        <v/>
      </c>
      <c r="N2888">
        <f>IF(B2888,EXP(SUMPRODUCT(LN(1+(EvEff-1)*INDEX(Affected,0,C2888)*EXP(-((E2888-EvCenter)^2)/(2*EvSigma^2))))),"")</f>
        <v/>
      </c>
      <c r="O2888">
        <f>IF(B2888,ROUND(MAX(0,J2888*K2888*L2888*M2888*N2888),2),"")</f>
        <v/>
      </c>
    </row>
    <row r="2889">
      <c r="A2889" t="n">
        <v>2888</v>
      </c>
      <c r="B2889">
        <f>A2889&lt;=MineCount*Days</f>
        <v/>
      </c>
      <c r="C2889">
        <f>IF(B2889,INT((A2889-1)/Days)+1,"")</f>
        <v/>
      </c>
      <c r="D2889">
        <f>IF(B2889,MOD(A2889-1,Days),"")</f>
        <v/>
      </c>
      <c r="E2889" s="16">
        <f>IF(B2889,StartDate+D2889,"")</f>
        <v/>
      </c>
      <c r="F2889">
        <f>IF(B2889,MAX(MOD(SIN(Seed*0.1373+C2889*12.9898+D2889*78.233)*43758.5453,1),1E-9),"")</f>
        <v/>
      </c>
      <c r="G2889">
        <f>IF(B2889,MOD(SIN(Seed*0.5917+C2889*39.3468+D2889*11.135)*24634.6345,1),"")</f>
        <v/>
      </c>
      <c r="H2889">
        <f>IF(B2889,SQRT(-2*LN(F2889))*COS(2*PI()*G2889),"")</f>
        <v/>
      </c>
      <c r="I2889">
        <f>IF(B2889,IF(D2889=0,H2889,Rho*I2888+SQRT(1-Rho^2)*H2889),"")</f>
        <v/>
      </c>
      <c r="J2889">
        <f>IF(B2889,IF(Dist="Normal",DistA+DistB*I2889,DistA+(DistB-DistA)*NORMSDIST(I2889)),"")</f>
        <v/>
      </c>
      <c r="K2889">
        <f>IF(B2889,INDEX(MineScale,C2889),"")</f>
        <v/>
      </c>
      <c r="L2889">
        <f>IF(B2889,INDEX(Dow,1,WEEKDAY(E2889,2)),"")</f>
        <v/>
      </c>
      <c r="M2889">
        <f>IF(B2889,(1+Trend)^D2889,"")</f>
        <v/>
      </c>
      <c r="N2889">
        <f>IF(B2889,EXP(SUMPRODUCT(LN(1+(EvEff-1)*INDEX(Affected,0,C2889)*EXP(-((E2889-EvCenter)^2)/(2*EvSigma^2))))),"")</f>
        <v/>
      </c>
      <c r="O2889">
        <f>IF(B2889,ROUND(MAX(0,J2889*K2889*L2889*M2889*N2889),2),"")</f>
        <v/>
      </c>
    </row>
    <row r="2890">
      <c r="A2890" t="n">
        <v>2889</v>
      </c>
      <c r="B2890">
        <f>A2890&lt;=MineCount*Days</f>
        <v/>
      </c>
      <c r="C2890">
        <f>IF(B2890,INT((A2890-1)/Days)+1,"")</f>
        <v/>
      </c>
      <c r="D2890">
        <f>IF(B2890,MOD(A2890-1,Days),"")</f>
        <v/>
      </c>
      <c r="E2890" s="16">
        <f>IF(B2890,StartDate+D2890,"")</f>
        <v/>
      </c>
      <c r="F2890">
        <f>IF(B2890,MAX(MOD(SIN(Seed*0.1373+C2890*12.9898+D2890*78.233)*43758.5453,1),1E-9),"")</f>
        <v/>
      </c>
      <c r="G2890">
        <f>IF(B2890,MOD(SIN(Seed*0.5917+C2890*39.3468+D2890*11.135)*24634.6345,1),"")</f>
        <v/>
      </c>
      <c r="H2890">
        <f>IF(B2890,SQRT(-2*LN(F2890))*COS(2*PI()*G2890),"")</f>
        <v/>
      </c>
      <c r="I2890">
        <f>IF(B2890,IF(D2890=0,H2890,Rho*I2889+SQRT(1-Rho^2)*H2890),"")</f>
        <v/>
      </c>
      <c r="J2890">
        <f>IF(B2890,IF(Dist="Normal",DistA+DistB*I2890,DistA+(DistB-DistA)*NORMSDIST(I2890)),"")</f>
        <v/>
      </c>
      <c r="K2890">
        <f>IF(B2890,INDEX(MineScale,C2890),"")</f>
        <v/>
      </c>
      <c r="L2890">
        <f>IF(B2890,INDEX(Dow,1,WEEKDAY(E2890,2)),"")</f>
        <v/>
      </c>
      <c r="M2890">
        <f>IF(B2890,(1+Trend)^D2890,"")</f>
        <v/>
      </c>
      <c r="N2890">
        <f>IF(B2890,EXP(SUMPRODUCT(LN(1+(EvEff-1)*INDEX(Affected,0,C2890)*EXP(-((E2890-EvCenter)^2)/(2*EvSigma^2))))),"")</f>
        <v/>
      </c>
      <c r="O2890">
        <f>IF(B2890,ROUND(MAX(0,J2890*K2890*L2890*M2890*N2890),2),"")</f>
        <v/>
      </c>
    </row>
    <row r="2891">
      <c r="A2891" t="n">
        <v>2890</v>
      </c>
      <c r="B2891">
        <f>A2891&lt;=MineCount*Days</f>
        <v/>
      </c>
      <c r="C2891">
        <f>IF(B2891,INT((A2891-1)/Days)+1,"")</f>
        <v/>
      </c>
      <c r="D2891">
        <f>IF(B2891,MOD(A2891-1,Days),"")</f>
        <v/>
      </c>
      <c r="E2891" s="16">
        <f>IF(B2891,StartDate+D2891,"")</f>
        <v/>
      </c>
      <c r="F2891">
        <f>IF(B2891,MAX(MOD(SIN(Seed*0.1373+C2891*12.9898+D2891*78.233)*43758.5453,1),1E-9),"")</f>
        <v/>
      </c>
      <c r="G2891">
        <f>IF(B2891,MOD(SIN(Seed*0.5917+C2891*39.3468+D2891*11.135)*24634.6345,1),"")</f>
        <v/>
      </c>
      <c r="H2891">
        <f>IF(B2891,SQRT(-2*LN(F2891))*COS(2*PI()*G2891),"")</f>
        <v/>
      </c>
      <c r="I2891">
        <f>IF(B2891,IF(D2891=0,H2891,Rho*I2890+SQRT(1-Rho^2)*H2891),"")</f>
        <v/>
      </c>
      <c r="J2891">
        <f>IF(B2891,IF(Dist="Normal",DistA+DistB*I2891,DistA+(DistB-DistA)*NORMSDIST(I2891)),"")</f>
        <v/>
      </c>
      <c r="K2891">
        <f>IF(B2891,INDEX(MineScale,C2891),"")</f>
        <v/>
      </c>
      <c r="L2891">
        <f>IF(B2891,INDEX(Dow,1,WEEKDAY(E2891,2)),"")</f>
        <v/>
      </c>
      <c r="M2891">
        <f>IF(B2891,(1+Trend)^D2891,"")</f>
        <v/>
      </c>
      <c r="N2891">
        <f>IF(B2891,EXP(SUMPRODUCT(LN(1+(EvEff-1)*INDEX(Affected,0,C2891)*EXP(-((E2891-EvCenter)^2)/(2*EvSigma^2))))),"")</f>
        <v/>
      </c>
      <c r="O2891">
        <f>IF(B2891,ROUND(MAX(0,J2891*K2891*L2891*M2891*N2891),2),"")</f>
        <v/>
      </c>
    </row>
    <row r="2892">
      <c r="A2892" t="n">
        <v>2891</v>
      </c>
      <c r="B2892">
        <f>A2892&lt;=MineCount*Days</f>
        <v/>
      </c>
      <c r="C2892">
        <f>IF(B2892,INT((A2892-1)/Days)+1,"")</f>
        <v/>
      </c>
      <c r="D2892">
        <f>IF(B2892,MOD(A2892-1,Days),"")</f>
        <v/>
      </c>
      <c r="E2892" s="16">
        <f>IF(B2892,StartDate+D2892,"")</f>
        <v/>
      </c>
      <c r="F2892">
        <f>IF(B2892,MAX(MOD(SIN(Seed*0.1373+C2892*12.9898+D2892*78.233)*43758.5453,1),1E-9),"")</f>
        <v/>
      </c>
      <c r="G2892">
        <f>IF(B2892,MOD(SIN(Seed*0.5917+C2892*39.3468+D2892*11.135)*24634.6345,1),"")</f>
        <v/>
      </c>
      <c r="H2892">
        <f>IF(B2892,SQRT(-2*LN(F2892))*COS(2*PI()*G2892),"")</f>
        <v/>
      </c>
      <c r="I2892">
        <f>IF(B2892,IF(D2892=0,H2892,Rho*I2891+SQRT(1-Rho^2)*H2892),"")</f>
        <v/>
      </c>
      <c r="J2892">
        <f>IF(B2892,IF(Dist="Normal",DistA+DistB*I2892,DistA+(DistB-DistA)*NORMSDIST(I2892)),"")</f>
        <v/>
      </c>
      <c r="K2892">
        <f>IF(B2892,INDEX(MineScale,C2892),"")</f>
        <v/>
      </c>
      <c r="L2892">
        <f>IF(B2892,INDEX(Dow,1,WEEKDAY(E2892,2)),"")</f>
        <v/>
      </c>
      <c r="M2892">
        <f>IF(B2892,(1+Trend)^D2892,"")</f>
        <v/>
      </c>
      <c r="N2892">
        <f>IF(B2892,EXP(SUMPRODUCT(LN(1+(EvEff-1)*INDEX(Affected,0,C2892)*EXP(-((E2892-EvCenter)^2)/(2*EvSigma^2))))),"")</f>
        <v/>
      </c>
      <c r="O2892">
        <f>IF(B2892,ROUND(MAX(0,J2892*K2892*L2892*M2892*N2892),2),"")</f>
        <v/>
      </c>
    </row>
    <row r="2893">
      <c r="A2893" t="n">
        <v>2892</v>
      </c>
      <c r="B2893">
        <f>A2893&lt;=MineCount*Days</f>
        <v/>
      </c>
      <c r="C2893">
        <f>IF(B2893,INT((A2893-1)/Days)+1,"")</f>
        <v/>
      </c>
      <c r="D2893">
        <f>IF(B2893,MOD(A2893-1,Days),"")</f>
        <v/>
      </c>
      <c r="E2893" s="16">
        <f>IF(B2893,StartDate+D2893,"")</f>
        <v/>
      </c>
      <c r="F2893">
        <f>IF(B2893,MAX(MOD(SIN(Seed*0.1373+C2893*12.9898+D2893*78.233)*43758.5453,1),1E-9),"")</f>
        <v/>
      </c>
      <c r="G2893">
        <f>IF(B2893,MOD(SIN(Seed*0.5917+C2893*39.3468+D2893*11.135)*24634.6345,1),"")</f>
        <v/>
      </c>
      <c r="H2893">
        <f>IF(B2893,SQRT(-2*LN(F2893))*COS(2*PI()*G2893),"")</f>
        <v/>
      </c>
      <c r="I2893">
        <f>IF(B2893,IF(D2893=0,H2893,Rho*I2892+SQRT(1-Rho^2)*H2893),"")</f>
        <v/>
      </c>
      <c r="J2893">
        <f>IF(B2893,IF(Dist="Normal",DistA+DistB*I2893,DistA+(DistB-DistA)*NORMSDIST(I2893)),"")</f>
        <v/>
      </c>
      <c r="K2893">
        <f>IF(B2893,INDEX(MineScale,C2893),"")</f>
        <v/>
      </c>
      <c r="L2893">
        <f>IF(B2893,INDEX(Dow,1,WEEKDAY(E2893,2)),"")</f>
        <v/>
      </c>
      <c r="M2893">
        <f>IF(B2893,(1+Trend)^D2893,"")</f>
        <v/>
      </c>
      <c r="N2893">
        <f>IF(B2893,EXP(SUMPRODUCT(LN(1+(EvEff-1)*INDEX(Affected,0,C2893)*EXP(-((E2893-EvCenter)^2)/(2*EvSigma^2))))),"")</f>
        <v/>
      </c>
      <c r="O2893">
        <f>IF(B2893,ROUND(MAX(0,J2893*K2893*L2893*M2893*N2893),2),"")</f>
        <v/>
      </c>
    </row>
    <row r="2894">
      <c r="A2894" t="n">
        <v>2893</v>
      </c>
      <c r="B2894">
        <f>A2894&lt;=MineCount*Days</f>
        <v/>
      </c>
      <c r="C2894">
        <f>IF(B2894,INT((A2894-1)/Days)+1,"")</f>
        <v/>
      </c>
      <c r="D2894">
        <f>IF(B2894,MOD(A2894-1,Days),"")</f>
        <v/>
      </c>
      <c r="E2894" s="16">
        <f>IF(B2894,StartDate+D2894,"")</f>
        <v/>
      </c>
      <c r="F2894">
        <f>IF(B2894,MAX(MOD(SIN(Seed*0.1373+C2894*12.9898+D2894*78.233)*43758.5453,1),1E-9),"")</f>
        <v/>
      </c>
      <c r="G2894">
        <f>IF(B2894,MOD(SIN(Seed*0.5917+C2894*39.3468+D2894*11.135)*24634.6345,1),"")</f>
        <v/>
      </c>
      <c r="H2894">
        <f>IF(B2894,SQRT(-2*LN(F2894))*COS(2*PI()*G2894),"")</f>
        <v/>
      </c>
      <c r="I2894">
        <f>IF(B2894,IF(D2894=0,H2894,Rho*I2893+SQRT(1-Rho^2)*H2894),"")</f>
        <v/>
      </c>
      <c r="J2894">
        <f>IF(B2894,IF(Dist="Normal",DistA+DistB*I2894,DistA+(DistB-DistA)*NORMSDIST(I2894)),"")</f>
        <v/>
      </c>
      <c r="K2894">
        <f>IF(B2894,INDEX(MineScale,C2894),"")</f>
        <v/>
      </c>
      <c r="L2894">
        <f>IF(B2894,INDEX(Dow,1,WEEKDAY(E2894,2)),"")</f>
        <v/>
      </c>
      <c r="M2894">
        <f>IF(B2894,(1+Trend)^D2894,"")</f>
        <v/>
      </c>
      <c r="N2894">
        <f>IF(B2894,EXP(SUMPRODUCT(LN(1+(EvEff-1)*INDEX(Affected,0,C2894)*EXP(-((E2894-EvCenter)^2)/(2*EvSigma^2))))),"")</f>
        <v/>
      </c>
      <c r="O2894">
        <f>IF(B2894,ROUND(MAX(0,J2894*K2894*L2894*M2894*N2894),2),"")</f>
        <v/>
      </c>
    </row>
    <row r="2895">
      <c r="A2895" t="n">
        <v>2894</v>
      </c>
      <c r="B2895">
        <f>A2895&lt;=MineCount*Days</f>
        <v/>
      </c>
      <c r="C2895">
        <f>IF(B2895,INT((A2895-1)/Days)+1,"")</f>
        <v/>
      </c>
      <c r="D2895">
        <f>IF(B2895,MOD(A2895-1,Days),"")</f>
        <v/>
      </c>
      <c r="E2895" s="16">
        <f>IF(B2895,StartDate+D2895,"")</f>
        <v/>
      </c>
      <c r="F2895">
        <f>IF(B2895,MAX(MOD(SIN(Seed*0.1373+C2895*12.9898+D2895*78.233)*43758.5453,1),1E-9),"")</f>
        <v/>
      </c>
      <c r="G2895">
        <f>IF(B2895,MOD(SIN(Seed*0.5917+C2895*39.3468+D2895*11.135)*24634.6345,1),"")</f>
        <v/>
      </c>
      <c r="H2895">
        <f>IF(B2895,SQRT(-2*LN(F2895))*COS(2*PI()*G2895),"")</f>
        <v/>
      </c>
      <c r="I2895">
        <f>IF(B2895,IF(D2895=0,H2895,Rho*I2894+SQRT(1-Rho^2)*H2895),"")</f>
        <v/>
      </c>
      <c r="J2895">
        <f>IF(B2895,IF(Dist="Normal",DistA+DistB*I2895,DistA+(DistB-DistA)*NORMSDIST(I2895)),"")</f>
        <v/>
      </c>
      <c r="K2895">
        <f>IF(B2895,INDEX(MineScale,C2895),"")</f>
        <v/>
      </c>
      <c r="L2895">
        <f>IF(B2895,INDEX(Dow,1,WEEKDAY(E2895,2)),"")</f>
        <v/>
      </c>
      <c r="M2895">
        <f>IF(B2895,(1+Trend)^D2895,"")</f>
        <v/>
      </c>
      <c r="N2895">
        <f>IF(B2895,EXP(SUMPRODUCT(LN(1+(EvEff-1)*INDEX(Affected,0,C2895)*EXP(-((E2895-EvCenter)^2)/(2*EvSigma^2))))),"")</f>
        <v/>
      </c>
      <c r="O2895">
        <f>IF(B2895,ROUND(MAX(0,J2895*K2895*L2895*M2895*N2895),2),"")</f>
        <v/>
      </c>
    </row>
    <row r="2896">
      <c r="A2896" t="n">
        <v>2895</v>
      </c>
      <c r="B2896">
        <f>A2896&lt;=MineCount*Days</f>
        <v/>
      </c>
      <c r="C2896">
        <f>IF(B2896,INT((A2896-1)/Days)+1,"")</f>
        <v/>
      </c>
      <c r="D2896">
        <f>IF(B2896,MOD(A2896-1,Days),"")</f>
        <v/>
      </c>
      <c r="E2896" s="16">
        <f>IF(B2896,StartDate+D2896,"")</f>
        <v/>
      </c>
      <c r="F2896">
        <f>IF(B2896,MAX(MOD(SIN(Seed*0.1373+C2896*12.9898+D2896*78.233)*43758.5453,1),1E-9),"")</f>
        <v/>
      </c>
      <c r="G2896">
        <f>IF(B2896,MOD(SIN(Seed*0.5917+C2896*39.3468+D2896*11.135)*24634.6345,1),"")</f>
        <v/>
      </c>
      <c r="H2896">
        <f>IF(B2896,SQRT(-2*LN(F2896))*COS(2*PI()*G2896),"")</f>
        <v/>
      </c>
      <c r="I2896">
        <f>IF(B2896,IF(D2896=0,H2896,Rho*I2895+SQRT(1-Rho^2)*H2896),"")</f>
        <v/>
      </c>
      <c r="J2896">
        <f>IF(B2896,IF(Dist="Normal",DistA+DistB*I2896,DistA+(DistB-DistA)*NORMSDIST(I2896)),"")</f>
        <v/>
      </c>
      <c r="K2896">
        <f>IF(B2896,INDEX(MineScale,C2896),"")</f>
        <v/>
      </c>
      <c r="L2896">
        <f>IF(B2896,INDEX(Dow,1,WEEKDAY(E2896,2)),"")</f>
        <v/>
      </c>
      <c r="M2896">
        <f>IF(B2896,(1+Trend)^D2896,"")</f>
        <v/>
      </c>
      <c r="N2896">
        <f>IF(B2896,EXP(SUMPRODUCT(LN(1+(EvEff-1)*INDEX(Affected,0,C2896)*EXP(-((E2896-EvCenter)^2)/(2*EvSigma^2))))),"")</f>
        <v/>
      </c>
      <c r="O2896">
        <f>IF(B2896,ROUND(MAX(0,J2896*K2896*L2896*M2896*N2896),2),"")</f>
        <v/>
      </c>
    </row>
    <row r="2897">
      <c r="A2897" t="n">
        <v>2896</v>
      </c>
      <c r="B2897">
        <f>A2897&lt;=MineCount*Days</f>
        <v/>
      </c>
      <c r="C2897">
        <f>IF(B2897,INT((A2897-1)/Days)+1,"")</f>
        <v/>
      </c>
      <c r="D2897">
        <f>IF(B2897,MOD(A2897-1,Days),"")</f>
        <v/>
      </c>
      <c r="E2897" s="16">
        <f>IF(B2897,StartDate+D2897,"")</f>
        <v/>
      </c>
      <c r="F2897">
        <f>IF(B2897,MAX(MOD(SIN(Seed*0.1373+C2897*12.9898+D2897*78.233)*43758.5453,1),1E-9),"")</f>
        <v/>
      </c>
      <c r="G2897">
        <f>IF(B2897,MOD(SIN(Seed*0.5917+C2897*39.3468+D2897*11.135)*24634.6345,1),"")</f>
        <v/>
      </c>
      <c r="H2897">
        <f>IF(B2897,SQRT(-2*LN(F2897))*COS(2*PI()*G2897),"")</f>
        <v/>
      </c>
      <c r="I2897">
        <f>IF(B2897,IF(D2897=0,H2897,Rho*I2896+SQRT(1-Rho^2)*H2897),"")</f>
        <v/>
      </c>
      <c r="J2897">
        <f>IF(B2897,IF(Dist="Normal",DistA+DistB*I2897,DistA+(DistB-DistA)*NORMSDIST(I2897)),"")</f>
        <v/>
      </c>
      <c r="K2897">
        <f>IF(B2897,INDEX(MineScale,C2897),"")</f>
        <v/>
      </c>
      <c r="L2897">
        <f>IF(B2897,INDEX(Dow,1,WEEKDAY(E2897,2)),"")</f>
        <v/>
      </c>
      <c r="M2897">
        <f>IF(B2897,(1+Trend)^D2897,"")</f>
        <v/>
      </c>
      <c r="N2897">
        <f>IF(B2897,EXP(SUMPRODUCT(LN(1+(EvEff-1)*INDEX(Affected,0,C2897)*EXP(-((E2897-EvCenter)^2)/(2*EvSigma^2))))),"")</f>
        <v/>
      </c>
      <c r="O2897">
        <f>IF(B2897,ROUND(MAX(0,J2897*K2897*L2897*M2897*N2897),2),"")</f>
        <v/>
      </c>
    </row>
    <row r="2898">
      <c r="A2898" t="n">
        <v>2897</v>
      </c>
      <c r="B2898">
        <f>A2898&lt;=MineCount*Days</f>
        <v/>
      </c>
      <c r="C2898">
        <f>IF(B2898,INT((A2898-1)/Days)+1,"")</f>
        <v/>
      </c>
      <c r="D2898">
        <f>IF(B2898,MOD(A2898-1,Days),"")</f>
        <v/>
      </c>
      <c r="E2898" s="16">
        <f>IF(B2898,StartDate+D2898,"")</f>
        <v/>
      </c>
      <c r="F2898">
        <f>IF(B2898,MAX(MOD(SIN(Seed*0.1373+C2898*12.9898+D2898*78.233)*43758.5453,1),1E-9),"")</f>
        <v/>
      </c>
      <c r="G2898">
        <f>IF(B2898,MOD(SIN(Seed*0.5917+C2898*39.3468+D2898*11.135)*24634.6345,1),"")</f>
        <v/>
      </c>
      <c r="H2898">
        <f>IF(B2898,SQRT(-2*LN(F2898))*COS(2*PI()*G2898),"")</f>
        <v/>
      </c>
      <c r="I2898">
        <f>IF(B2898,IF(D2898=0,H2898,Rho*I2897+SQRT(1-Rho^2)*H2898),"")</f>
        <v/>
      </c>
      <c r="J2898">
        <f>IF(B2898,IF(Dist="Normal",DistA+DistB*I2898,DistA+(DistB-DistA)*NORMSDIST(I2898)),"")</f>
        <v/>
      </c>
      <c r="K2898">
        <f>IF(B2898,INDEX(MineScale,C2898),"")</f>
        <v/>
      </c>
      <c r="L2898">
        <f>IF(B2898,INDEX(Dow,1,WEEKDAY(E2898,2)),"")</f>
        <v/>
      </c>
      <c r="M2898">
        <f>IF(B2898,(1+Trend)^D2898,"")</f>
        <v/>
      </c>
      <c r="N2898">
        <f>IF(B2898,EXP(SUMPRODUCT(LN(1+(EvEff-1)*INDEX(Affected,0,C2898)*EXP(-((E2898-EvCenter)^2)/(2*EvSigma^2))))),"")</f>
        <v/>
      </c>
      <c r="O2898">
        <f>IF(B2898,ROUND(MAX(0,J2898*K2898*L2898*M2898*N2898),2),"")</f>
        <v/>
      </c>
    </row>
    <row r="2899">
      <c r="A2899" t="n">
        <v>2898</v>
      </c>
      <c r="B2899">
        <f>A2899&lt;=MineCount*Days</f>
        <v/>
      </c>
      <c r="C2899">
        <f>IF(B2899,INT((A2899-1)/Days)+1,"")</f>
        <v/>
      </c>
      <c r="D2899">
        <f>IF(B2899,MOD(A2899-1,Days),"")</f>
        <v/>
      </c>
      <c r="E2899" s="16">
        <f>IF(B2899,StartDate+D2899,"")</f>
        <v/>
      </c>
      <c r="F2899">
        <f>IF(B2899,MAX(MOD(SIN(Seed*0.1373+C2899*12.9898+D2899*78.233)*43758.5453,1),1E-9),"")</f>
        <v/>
      </c>
      <c r="G2899">
        <f>IF(B2899,MOD(SIN(Seed*0.5917+C2899*39.3468+D2899*11.135)*24634.6345,1),"")</f>
        <v/>
      </c>
      <c r="H2899">
        <f>IF(B2899,SQRT(-2*LN(F2899))*COS(2*PI()*G2899),"")</f>
        <v/>
      </c>
      <c r="I2899">
        <f>IF(B2899,IF(D2899=0,H2899,Rho*I2898+SQRT(1-Rho^2)*H2899),"")</f>
        <v/>
      </c>
      <c r="J2899">
        <f>IF(B2899,IF(Dist="Normal",DistA+DistB*I2899,DistA+(DistB-DistA)*NORMSDIST(I2899)),"")</f>
        <v/>
      </c>
      <c r="K2899">
        <f>IF(B2899,INDEX(MineScale,C2899),"")</f>
        <v/>
      </c>
      <c r="L2899">
        <f>IF(B2899,INDEX(Dow,1,WEEKDAY(E2899,2)),"")</f>
        <v/>
      </c>
      <c r="M2899">
        <f>IF(B2899,(1+Trend)^D2899,"")</f>
        <v/>
      </c>
      <c r="N2899">
        <f>IF(B2899,EXP(SUMPRODUCT(LN(1+(EvEff-1)*INDEX(Affected,0,C2899)*EXP(-((E2899-EvCenter)^2)/(2*EvSigma^2))))),"")</f>
        <v/>
      </c>
      <c r="O2899">
        <f>IF(B2899,ROUND(MAX(0,J2899*K2899*L2899*M2899*N2899),2),"")</f>
        <v/>
      </c>
    </row>
    <row r="2900">
      <c r="A2900" t="n">
        <v>2899</v>
      </c>
      <c r="B2900">
        <f>A2900&lt;=MineCount*Days</f>
        <v/>
      </c>
      <c r="C2900">
        <f>IF(B2900,INT((A2900-1)/Days)+1,"")</f>
        <v/>
      </c>
      <c r="D2900">
        <f>IF(B2900,MOD(A2900-1,Days),"")</f>
        <v/>
      </c>
      <c r="E2900" s="16">
        <f>IF(B2900,StartDate+D2900,"")</f>
        <v/>
      </c>
      <c r="F2900">
        <f>IF(B2900,MAX(MOD(SIN(Seed*0.1373+C2900*12.9898+D2900*78.233)*43758.5453,1),1E-9),"")</f>
        <v/>
      </c>
      <c r="G2900">
        <f>IF(B2900,MOD(SIN(Seed*0.5917+C2900*39.3468+D2900*11.135)*24634.6345,1),"")</f>
        <v/>
      </c>
      <c r="H2900">
        <f>IF(B2900,SQRT(-2*LN(F2900))*COS(2*PI()*G2900),"")</f>
        <v/>
      </c>
      <c r="I2900">
        <f>IF(B2900,IF(D2900=0,H2900,Rho*I2899+SQRT(1-Rho^2)*H2900),"")</f>
        <v/>
      </c>
      <c r="J2900">
        <f>IF(B2900,IF(Dist="Normal",DistA+DistB*I2900,DistA+(DistB-DistA)*NORMSDIST(I2900)),"")</f>
        <v/>
      </c>
      <c r="K2900">
        <f>IF(B2900,INDEX(MineScale,C2900),"")</f>
        <v/>
      </c>
      <c r="L2900">
        <f>IF(B2900,INDEX(Dow,1,WEEKDAY(E2900,2)),"")</f>
        <v/>
      </c>
      <c r="M2900">
        <f>IF(B2900,(1+Trend)^D2900,"")</f>
        <v/>
      </c>
      <c r="N2900">
        <f>IF(B2900,EXP(SUMPRODUCT(LN(1+(EvEff-1)*INDEX(Affected,0,C2900)*EXP(-((E2900-EvCenter)^2)/(2*EvSigma^2))))),"")</f>
        <v/>
      </c>
      <c r="O2900">
        <f>IF(B2900,ROUND(MAX(0,J2900*K2900*L2900*M2900*N2900),2),"")</f>
        <v/>
      </c>
    </row>
    <row r="2901">
      <c r="A2901" t="n">
        <v>2900</v>
      </c>
      <c r="B2901">
        <f>A2901&lt;=MineCount*Days</f>
        <v/>
      </c>
      <c r="C2901">
        <f>IF(B2901,INT((A2901-1)/Days)+1,"")</f>
        <v/>
      </c>
      <c r="D2901">
        <f>IF(B2901,MOD(A2901-1,Days),"")</f>
        <v/>
      </c>
      <c r="E2901" s="16">
        <f>IF(B2901,StartDate+D2901,"")</f>
        <v/>
      </c>
      <c r="F2901">
        <f>IF(B2901,MAX(MOD(SIN(Seed*0.1373+C2901*12.9898+D2901*78.233)*43758.5453,1),1E-9),"")</f>
        <v/>
      </c>
      <c r="G2901">
        <f>IF(B2901,MOD(SIN(Seed*0.5917+C2901*39.3468+D2901*11.135)*24634.6345,1),"")</f>
        <v/>
      </c>
      <c r="H2901">
        <f>IF(B2901,SQRT(-2*LN(F2901))*COS(2*PI()*G2901),"")</f>
        <v/>
      </c>
      <c r="I2901">
        <f>IF(B2901,IF(D2901=0,H2901,Rho*I2900+SQRT(1-Rho^2)*H2901),"")</f>
        <v/>
      </c>
      <c r="J2901">
        <f>IF(B2901,IF(Dist="Normal",DistA+DistB*I2901,DistA+(DistB-DistA)*NORMSDIST(I2901)),"")</f>
        <v/>
      </c>
      <c r="K2901">
        <f>IF(B2901,INDEX(MineScale,C2901),"")</f>
        <v/>
      </c>
      <c r="L2901">
        <f>IF(B2901,INDEX(Dow,1,WEEKDAY(E2901,2)),"")</f>
        <v/>
      </c>
      <c r="M2901">
        <f>IF(B2901,(1+Trend)^D2901,"")</f>
        <v/>
      </c>
      <c r="N2901">
        <f>IF(B2901,EXP(SUMPRODUCT(LN(1+(EvEff-1)*INDEX(Affected,0,C2901)*EXP(-((E2901-EvCenter)^2)/(2*EvSigma^2))))),"")</f>
        <v/>
      </c>
      <c r="O2901">
        <f>IF(B2901,ROUND(MAX(0,J2901*K2901*L2901*M2901*N2901),2),"")</f>
        <v/>
      </c>
    </row>
    <row r="2902">
      <c r="A2902" t="n">
        <v>2901</v>
      </c>
      <c r="B2902">
        <f>A2902&lt;=MineCount*Days</f>
        <v/>
      </c>
      <c r="C2902">
        <f>IF(B2902,INT((A2902-1)/Days)+1,"")</f>
        <v/>
      </c>
      <c r="D2902">
        <f>IF(B2902,MOD(A2902-1,Days),"")</f>
        <v/>
      </c>
      <c r="E2902" s="16">
        <f>IF(B2902,StartDate+D2902,"")</f>
        <v/>
      </c>
      <c r="F2902">
        <f>IF(B2902,MAX(MOD(SIN(Seed*0.1373+C2902*12.9898+D2902*78.233)*43758.5453,1),1E-9),"")</f>
        <v/>
      </c>
      <c r="G2902">
        <f>IF(B2902,MOD(SIN(Seed*0.5917+C2902*39.3468+D2902*11.135)*24634.6345,1),"")</f>
        <v/>
      </c>
      <c r="H2902">
        <f>IF(B2902,SQRT(-2*LN(F2902))*COS(2*PI()*G2902),"")</f>
        <v/>
      </c>
      <c r="I2902">
        <f>IF(B2902,IF(D2902=0,H2902,Rho*I2901+SQRT(1-Rho^2)*H2902),"")</f>
        <v/>
      </c>
      <c r="J2902">
        <f>IF(B2902,IF(Dist="Normal",DistA+DistB*I2902,DistA+(DistB-DistA)*NORMSDIST(I2902)),"")</f>
        <v/>
      </c>
      <c r="K2902">
        <f>IF(B2902,INDEX(MineScale,C2902),"")</f>
        <v/>
      </c>
      <c r="L2902">
        <f>IF(B2902,INDEX(Dow,1,WEEKDAY(E2902,2)),"")</f>
        <v/>
      </c>
      <c r="M2902">
        <f>IF(B2902,(1+Trend)^D2902,"")</f>
        <v/>
      </c>
      <c r="N2902">
        <f>IF(B2902,EXP(SUMPRODUCT(LN(1+(EvEff-1)*INDEX(Affected,0,C2902)*EXP(-((E2902-EvCenter)^2)/(2*EvSigma^2))))),"")</f>
        <v/>
      </c>
      <c r="O2902">
        <f>IF(B2902,ROUND(MAX(0,J2902*K2902*L2902*M2902*N2902),2),"")</f>
        <v/>
      </c>
    </row>
    <row r="2903">
      <c r="A2903" t="n">
        <v>2902</v>
      </c>
      <c r="B2903">
        <f>A2903&lt;=MineCount*Days</f>
        <v/>
      </c>
      <c r="C2903">
        <f>IF(B2903,INT((A2903-1)/Days)+1,"")</f>
        <v/>
      </c>
      <c r="D2903">
        <f>IF(B2903,MOD(A2903-1,Days),"")</f>
        <v/>
      </c>
      <c r="E2903" s="16">
        <f>IF(B2903,StartDate+D2903,"")</f>
        <v/>
      </c>
      <c r="F2903">
        <f>IF(B2903,MAX(MOD(SIN(Seed*0.1373+C2903*12.9898+D2903*78.233)*43758.5453,1),1E-9),"")</f>
        <v/>
      </c>
      <c r="G2903">
        <f>IF(B2903,MOD(SIN(Seed*0.5917+C2903*39.3468+D2903*11.135)*24634.6345,1),"")</f>
        <v/>
      </c>
      <c r="H2903">
        <f>IF(B2903,SQRT(-2*LN(F2903))*COS(2*PI()*G2903),"")</f>
        <v/>
      </c>
      <c r="I2903">
        <f>IF(B2903,IF(D2903=0,H2903,Rho*I2902+SQRT(1-Rho^2)*H2903),"")</f>
        <v/>
      </c>
      <c r="J2903">
        <f>IF(B2903,IF(Dist="Normal",DistA+DistB*I2903,DistA+(DistB-DistA)*NORMSDIST(I2903)),"")</f>
        <v/>
      </c>
      <c r="K2903">
        <f>IF(B2903,INDEX(MineScale,C2903),"")</f>
        <v/>
      </c>
      <c r="L2903">
        <f>IF(B2903,INDEX(Dow,1,WEEKDAY(E2903,2)),"")</f>
        <v/>
      </c>
      <c r="M2903">
        <f>IF(B2903,(1+Trend)^D2903,"")</f>
        <v/>
      </c>
      <c r="N2903">
        <f>IF(B2903,EXP(SUMPRODUCT(LN(1+(EvEff-1)*INDEX(Affected,0,C2903)*EXP(-((E2903-EvCenter)^2)/(2*EvSigma^2))))),"")</f>
        <v/>
      </c>
      <c r="O2903">
        <f>IF(B2903,ROUND(MAX(0,J2903*K2903*L2903*M2903*N2903),2),"")</f>
        <v/>
      </c>
    </row>
    <row r="2904">
      <c r="A2904" t="n">
        <v>2903</v>
      </c>
      <c r="B2904">
        <f>A2904&lt;=MineCount*Days</f>
        <v/>
      </c>
      <c r="C2904">
        <f>IF(B2904,INT((A2904-1)/Days)+1,"")</f>
        <v/>
      </c>
      <c r="D2904">
        <f>IF(B2904,MOD(A2904-1,Days),"")</f>
        <v/>
      </c>
      <c r="E2904" s="16">
        <f>IF(B2904,StartDate+D2904,"")</f>
        <v/>
      </c>
      <c r="F2904">
        <f>IF(B2904,MAX(MOD(SIN(Seed*0.1373+C2904*12.9898+D2904*78.233)*43758.5453,1),1E-9),"")</f>
        <v/>
      </c>
      <c r="G2904">
        <f>IF(B2904,MOD(SIN(Seed*0.5917+C2904*39.3468+D2904*11.135)*24634.6345,1),"")</f>
        <v/>
      </c>
      <c r="H2904">
        <f>IF(B2904,SQRT(-2*LN(F2904))*COS(2*PI()*G2904),"")</f>
        <v/>
      </c>
      <c r="I2904">
        <f>IF(B2904,IF(D2904=0,H2904,Rho*I2903+SQRT(1-Rho^2)*H2904),"")</f>
        <v/>
      </c>
      <c r="J2904">
        <f>IF(B2904,IF(Dist="Normal",DistA+DistB*I2904,DistA+(DistB-DistA)*NORMSDIST(I2904)),"")</f>
        <v/>
      </c>
      <c r="K2904">
        <f>IF(B2904,INDEX(MineScale,C2904),"")</f>
        <v/>
      </c>
      <c r="L2904">
        <f>IF(B2904,INDEX(Dow,1,WEEKDAY(E2904,2)),"")</f>
        <v/>
      </c>
      <c r="M2904">
        <f>IF(B2904,(1+Trend)^D2904,"")</f>
        <v/>
      </c>
      <c r="N2904">
        <f>IF(B2904,EXP(SUMPRODUCT(LN(1+(EvEff-1)*INDEX(Affected,0,C2904)*EXP(-((E2904-EvCenter)^2)/(2*EvSigma^2))))),"")</f>
        <v/>
      </c>
      <c r="O2904">
        <f>IF(B2904,ROUND(MAX(0,J2904*K2904*L2904*M2904*N2904),2),"")</f>
        <v/>
      </c>
    </row>
    <row r="2905">
      <c r="A2905" t="n">
        <v>2904</v>
      </c>
      <c r="B2905">
        <f>A2905&lt;=MineCount*Days</f>
        <v/>
      </c>
      <c r="C2905">
        <f>IF(B2905,INT((A2905-1)/Days)+1,"")</f>
        <v/>
      </c>
      <c r="D2905">
        <f>IF(B2905,MOD(A2905-1,Days),"")</f>
        <v/>
      </c>
      <c r="E2905" s="16">
        <f>IF(B2905,StartDate+D2905,"")</f>
        <v/>
      </c>
      <c r="F2905">
        <f>IF(B2905,MAX(MOD(SIN(Seed*0.1373+C2905*12.9898+D2905*78.233)*43758.5453,1),1E-9),"")</f>
        <v/>
      </c>
      <c r="G2905">
        <f>IF(B2905,MOD(SIN(Seed*0.5917+C2905*39.3468+D2905*11.135)*24634.6345,1),"")</f>
        <v/>
      </c>
      <c r="H2905">
        <f>IF(B2905,SQRT(-2*LN(F2905))*COS(2*PI()*G2905),"")</f>
        <v/>
      </c>
      <c r="I2905">
        <f>IF(B2905,IF(D2905=0,H2905,Rho*I2904+SQRT(1-Rho^2)*H2905),"")</f>
        <v/>
      </c>
      <c r="J2905">
        <f>IF(B2905,IF(Dist="Normal",DistA+DistB*I2905,DistA+(DistB-DistA)*NORMSDIST(I2905)),"")</f>
        <v/>
      </c>
      <c r="K2905">
        <f>IF(B2905,INDEX(MineScale,C2905),"")</f>
        <v/>
      </c>
      <c r="L2905">
        <f>IF(B2905,INDEX(Dow,1,WEEKDAY(E2905,2)),"")</f>
        <v/>
      </c>
      <c r="M2905">
        <f>IF(B2905,(1+Trend)^D2905,"")</f>
        <v/>
      </c>
      <c r="N2905">
        <f>IF(B2905,EXP(SUMPRODUCT(LN(1+(EvEff-1)*INDEX(Affected,0,C2905)*EXP(-((E2905-EvCenter)^2)/(2*EvSigma^2))))),"")</f>
        <v/>
      </c>
      <c r="O2905">
        <f>IF(B2905,ROUND(MAX(0,J2905*K2905*L2905*M2905*N2905),2),"")</f>
        <v/>
      </c>
    </row>
    <row r="2906">
      <c r="A2906" t="n">
        <v>2905</v>
      </c>
      <c r="B2906">
        <f>A2906&lt;=MineCount*Days</f>
        <v/>
      </c>
      <c r="C2906">
        <f>IF(B2906,INT((A2906-1)/Days)+1,"")</f>
        <v/>
      </c>
      <c r="D2906">
        <f>IF(B2906,MOD(A2906-1,Days),"")</f>
        <v/>
      </c>
      <c r="E2906" s="16">
        <f>IF(B2906,StartDate+D2906,"")</f>
        <v/>
      </c>
      <c r="F2906">
        <f>IF(B2906,MAX(MOD(SIN(Seed*0.1373+C2906*12.9898+D2906*78.233)*43758.5453,1),1E-9),"")</f>
        <v/>
      </c>
      <c r="G2906">
        <f>IF(B2906,MOD(SIN(Seed*0.5917+C2906*39.3468+D2906*11.135)*24634.6345,1),"")</f>
        <v/>
      </c>
      <c r="H2906">
        <f>IF(B2906,SQRT(-2*LN(F2906))*COS(2*PI()*G2906),"")</f>
        <v/>
      </c>
      <c r="I2906">
        <f>IF(B2906,IF(D2906=0,H2906,Rho*I2905+SQRT(1-Rho^2)*H2906),"")</f>
        <v/>
      </c>
      <c r="J2906">
        <f>IF(B2906,IF(Dist="Normal",DistA+DistB*I2906,DistA+(DistB-DistA)*NORMSDIST(I2906)),"")</f>
        <v/>
      </c>
      <c r="K2906">
        <f>IF(B2906,INDEX(MineScale,C2906),"")</f>
        <v/>
      </c>
      <c r="L2906">
        <f>IF(B2906,INDEX(Dow,1,WEEKDAY(E2906,2)),"")</f>
        <v/>
      </c>
      <c r="M2906">
        <f>IF(B2906,(1+Trend)^D2906,"")</f>
        <v/>
      </c>
      <c r="N2906">
        <f>IF(B2906,EXP(SUMPRODUCT(LN(1+(EvEff-1)*INDEX(Affected,0,C2906)*EXP(-((E2906-EvCenter)^2)/(2*EvSigma^2))))),"")</f>
        <v/>
      </c>
      <c r="O2906">
        <f>IF(B2906,ROUND(MAX(0,J2906*K2906*L2906*M2906*N2906),2),"")</f>
        <v/>
      </c>
    </row>
    <row r="2907">
      <c r="A2907" t="n">
        <v>2906</v>
      </c>
      <c r="B2907">
        <f>A2907&lt;=MineCount*Days</f>
        <v/>
      </c>
      <c r="C2907">
        <f>IF(B2907,INT((A2907-1)/Days)+1,"")</f>
        <v/>
      </c>
      <c r="D2907">
        <f>IF(B2907,MOD(A2907-1,Days),"")</f>
        <v/>
      </c>
      <c r="E2907" s="16">
        <f>IF(B2907,StartDate+D2907,"")</f>
        <v/>
      </c>
      <c r="F2907">
        <f>IF(B2907,MAX(MOD(SIN(Seed*0.1373+C2907*12.9898+D2907*78.233)*43758.5453,1),1E-9),"")</f>
        <v/>
      </c>
      <c r="G2907">
        <f>IF(B2907,MOD(SIN(Seed*0.5917+C2907*39.3468+D2907*11.135)*24634.6345,1),"")</f>
        <v/>
      </c>
      <c r="H2907">
        <f>IF(B2907,SQRT(-2*LN(F2907))*COS(2*PI()*G2907),"")</f>
        <v/>
      </c>
      <c r="I2907">
        <f>IF(B2907,IF(D2907=0,H2907,Rho*I2906+SQRT(1-Rho^2)*H2907),"")</f>
        <v/>
      </c>
      <c r="J2907">
        <f>IF(B2907,IF(Dist="Normal",DistA+DistB*I2907,DistA+(DistB-DistA)*NORMSDIST(I2907)),"")</f>
        <v/>
      </c>
      <c r="K2907">
        <f>IF(B2907,INDEX(MineScale,C2907),"")</f>
        <v/>
      </c>
      <c r="L2907">
        <f>IF(B2907,INDEX(Dow,1,WEEKDAY(E2907,2)),"")</f>
        <v/>
      </c>
      <c r="M2907">
        <f>IF(B2907,(1+Trend)^D2907,"")</f>
        <v/>
      </c>
      <c r="N2907">
        <f>IF(B2907,EXP(SUMPRODUCT(LN(1+(EvEff-1)*INDEX(Affected,0,C2907)*EXP(-((E2907-EvCenter)^2)/(2*EvSigma^2))))),"")</f>
        <v/>
      </c>
      <c r="O2907">
        <f>IF(B2907,ROUND(MAX(0,J2907*K2907*L2907*M2907*N2907),2),"")</f>
        <v/>
      </c>
    </row>
    <row r="2908">
      <c r="A2908" t="n">
        <v>2907</v>
      </c>
      <c r="B2908">
        <f>A2908&lt;=MineCount*Days</f>
        <v/>
      </c>
      <c r="C2908">
        <f>IF(B2908,INT((A2908-1)/Days)+1,"")</f>
        <v/>
      </c>
      <c r="D2908">
        <f>IF(B2908,MOD(A2908-1,Days),"")</f>
        <v/>
      </c>
      <c r="E2908" s="16">
        <f>IF(B2908,StartDate+D2908,"")</f>
        <v/>
      </c>
      <c r="F2908">
        <f>IF(B2908,MAX(MOD(SIN(Seed*0.1373+C2908*12.9898+D2908*78.233)*43758.5453,1),1E-9),"")</f>
        <v/>
      </c>
      <c r="G2908">
        <f>IF(B2908,MOD(SIN(Seed*0.5917+C2908*39.3468+D2908*11.135)*24634.6345,1),"")</f>
        <v/>
      </c>
      <c r="H2908">
        <f>IF(B2908,SQRT(-2*LN(F2908))*COS(2*PI()*G2908),"")</f>
        <v/>
      </c>
      <c r="I2908">
        <f>IF(B2908,IF(D2908=0,H2908,Rho*I2907+SQRT(1-Rho^2)*H2908),"")</f>
        <v/>
      </c>
      <c r="J2908">
        <f>IF(B2908,IF(Dist="Normal",DistA+DistB*I2908,DistA+(DistB-DistA)*NORMSDIST(I2908)),"")</f>
        <v/>
      </c>
      <c r="K2908">
        <f>IF(B2908,INDEX(MineScale,C2908),"")</f>
        <v/>
      </c>
      <c r="L2908">
        <f>IF(B2908,INDEX(Dow,1,WEEKDAY(E2908,2)),"")</f>
        <v/>
      </c>
      <c r="M2908">
        <f>IF(B2908,(1+Trend)^D2908,"")</f>
        <v/>
      </c>
      <c r="N2908">
        <f>IF(B2908,EXP(SUMPRODUCT(LN(1+(EvEff-1)*INDEX(Affected,0,C2908)*EXP(-((E2908-EvCenter)^2)/(2*EvSigma^2))))),"")</f>
        <v/>
      </c>
      <c r="O2908">
        <f>IF(B2908,ROUND(MAX(0,J2908*K2908*L2908*M2908*N2908),2),"")</f>
        <v/>
      </c>
    </row>
    <row r="2909">
      <c r="A2909" t="n">
        <v>2908</v>
      </c>
      <c r="B2909">
        <f>A2909&lt;=MineCount*Days</f>
        <v/>
      </c>
      <c r="C2909">
        <f>IF(B2909,INT((A2909-1)/Days)+1,"")</f>
        <v/>
      </c>
      <c r="D2909">
        <f>IF(B2909,MOD(A2909-1,Days),"")</f>
        <v/>
      </c>
      <c r="E2909" s="16">
        <f>IF(B2909,StartDate+D2909,"")</f>
        <v/>
      </c>
      <c r="F2909">
        <f>IF(B2909,MAX(MOD(SIN(Seed*0.1373+C2909*12.9898+D2909*78.233)*43758.5453,1),1E-9),"")</f>
        <v/>
      </c>
      <c r="G2909">
        <f>IF(B2909,MOD(SIN(Seed*0.5917+C2909*39.3468+D2909*11.135)*24634.6345,1),"")</f>
        <v/>
      </c>
      <c r="H2909">
        <f>IF(B2909,SQRT(-2*LN(F2909))*COS(2*PI()*G2909),"")</f>
        <v/>
      </c>
      <c r="I2909">
        <f>IF(B2909,IF(D2909=0,H2909,Rho*I2908+SQRT(1-Rho^2)*H2909),"")</f>
        <v/>
      </c>
      <c r="J2909">
        <f>IF(B2909,IF(Dist="Normal",DistA+DistB*I2909,DistA+(DistB-DistA)*NORMSDIST(I2909)),"")</f>
        <v/>
      </c>
      <c r="K2909">
        <f>IF(B2909,INDEX(MineScale,C2909),"")</f>
        <v/>
      </c>
      <c r="L2909">
        <f>IF(B2909,INDEX(Dow,1,WEEKDAY(E2909,2)),"")</f>
        <v/>
      </c>
      <c r="M2909">
        <f>IF(B2909,(1+Trend)^D2909,"")</f>
        <v/>
      </c>
      <c r="N2909">
        <f>IF(B2909,EXP(SUMPRODUCT(LN(1+(EvEff-1)*INDEX(Affected,0,C2909)*EXP(-((E2909-EvCenter)^2)/(2*EvSigma^2))))),"")</f>
        <v/>
      </c>
      <c r="O2909">
        <f>IF(B2909,ROUND(MAX(0,J2909*K2909*L2909*M2909*N2909),2),"")</f>
        <v/>
      </c>
    </row>
    <row r="2910">
      <c r="A2910" t="n">
        <v>2909</v>
      </c>
      <c r="B2910">
        <f>A2910&lt;=MineCount*Days</f>
        <v/>
      </c>
      <c r="C2910">
        <f>IF(B2910,INT((A2910-1)/Days)+1,"")</f>
        <v/>
      </c>
      <c r="D2910">
        <f>IF(B2910,MOD(A2910-1,Days),"")</f>
        <v/>
      </c>
      <c r="E2910" s="16">
        <f>IF(B2910,StartDate+D2910,"")</f>
        <v/>
      </c>
      <c r="F2910">
        <f>IF(B2910,MAX(MOD(SIN(Seed*0.1373+C2910*12.9898+D2910*78.233)*43758.5453,1),1E-9),"")</f>
        <v/>
      </c>
      <c r="G2910">
        <f>IF(B2910,MOD(SIN(Seed*0.5917+C2910*39.3468+D2910*11.135)*24634.6345,1),"")</f>
        <v/>
      </c>
      <c r="H2910">
        <f>IF(B2910,SQRT(-2*LN(F2910))*COS(2*PI()*G2910),"")</f>
        <v/>
      </c>
      <c r="I2910">
        <f>IF(B2910,IF(D2910=0,H2910,Rho*I2909+SQRT(1-Rho^2)*H2910),"")</f>
        <v/>
      </c>
      <c r="J2910">
        <f>IF(B2910,IF(Dist="Normal",DistA+DistB*I2910,DistA+(DistB-DistA)*NORMSDIST(I2910)),"")</f>
        <v/>
      </c>
      <c r="K2910">
        <f>IF(B2910,INDEX(MineScale,C2910),"")</f>
        <v/>
      </c>
      <c r="L2910">
        <f>IF(B2910,INDEX(Dow,1,WEEKDAY(E2910,2)),"")</f>
        <v/>
      </c>
      <c r="M2910">
        <f>IF(B2910,(1+Trend)^D2910,"")</f>
        <v/>
      </c>
      <c r="N2910">
        <f>IF(B2910,EXP(SUMPRODUCT(LN(1+(EvEff-1)*INDEX(Affected,0,C2910)*EXP(-((E2910-EvCenter)^2)/(2*EvSigma^2))))),"")</f>
        <v/>
      </c>
      <c r="O2910">
        <f>IF(B2910,ROUND(MAX(0,J2910*K2910*L2910*M2910*N2910),2),"")</f>
        <v/>
      </c>
    </row>
    <row r="2911">
      <c r="A2911" t="n">
        <v>2910</v>
      </c>
      <c r="B2911">
        <f>A2911&lt;=MineCount*Days</f>
        <v/>
      </c>
      <c r="C2911">
        <f>IF(B2911,INT((A2911-1)/Days)+1,"")</f>
        <v/>
      </c>
      <c r="D2911">
        <f>IF(B2911,MOD(A2911-1,Days),"")</f>
        <v/>
      </c>
      <c r="E2911" s="16">
        <f>IF(B2911,StartDate+D2911,"")</f>
        <v/>
      </c>
      <c r="F2911">
        <f>IF(B2911,MAX(MOD(SIN(Seed*0.1373+C2911*12.9898+D2911*78.233)*43758.5453,1),1E-9),"")</f>
        <v/>
      </c>
      <c r="G2911">
        <f>IF(B2911,MOD(SIN(Seed*0.5917+C2911*39.3468+D2911*11.135)*24634.6345,1),"")</f>
        <v/>
      </c>
      <c r="H2911">
        <f>IF(B2911,SQRT(-2*LN(F2911))*COS(2*PI()*G2911),"")</f>
        <v/>
      </c>
      <c r="I2911">
        <f>IF(B2911,IF(D2911=0,H2911,Rho*I2910+SQRT(1-Rho^2)*H2911),"")</f>
        <v/>
      </c>
      <c r="J2911">
        <f>IF(B2911,IF(Dist="Normal",DistA+DistB*I2911,DistA+(DistB-DistA)*NORMSDIST(I2911)),"")</f>
        <v/>
      </c>
      <c r="K2911">
        <f>IF(B2911,INDEX(MineScale,C2911),"")</f>
        <v/>
      </c>
      <c r="L2911">
        <f>IF(B2911,INDEX(Dow,1,WEEKDAY(E2911,2)),"")</f>
        <v/>
      </c>
      <c r="M2911">
        <f>IF(B2911,(1+Trend)^D2911,"")</f>
        <v/>
      </c>
      <c r="N2911">
        <f>IF(B2911,EXP(SUMPRODUCT(LN(1+(EvEff-1)*INDEX(Affected,0,C2911)*EXP(-((E2911-EvCenter)^2)/(2*EvSigma^2))))),"")</f>
        <v/>
      </c>
      <c r="O2911">
        <f>IF(B2911,ROUND(MAX(0,J2911*K2911*L2911*M2911*N2911),2),"")</f>
        <v/>
      </c>
    </row>
    <row r="2912">
      <c r="A2912" t="n">
        <v>2911</v>
      </c>
      <c r="B2912">
        <f>A2912&lt;=MineCount*Days</f>
        <v/>
      </c>
      <c r="C2912">
        <f>IF(B2912,INT((A2912-1)/Days)+1,"")</f>
        <v/>
      </c>
      <c r="D2912">
        <f>IF(B2912,MOD(A2912-1,Days),"")</f>
        <v/>
      </c>
      <c r="E2912" s="16">
        <f>IF(B2912,StartDate+D2912,"")</f>
        <v/>
      </c>
      <c r="F2912">
        <f>IF(B2912,MAX(MOD(SIN(Seed*0.1373+C2912*12.9898+D2912*78.233)*43758.5453,1),1E-9),"")</f>
        <v/>
      </c>
      <c r="G2912">
        <f>IF(B2912,MOD(SIN(Seed*0.5917+C2912*39.3468+D2912*11.135)*24634.6345,1),"")</f>
        <v/>
      </c>
      <c r="H2912">
        <f>IF(B2912,SQRT(-2*LN(F2912))*COS(2*PI()*G2912),"")</f>
        <v/>
      </c>
      <c r="I2912">
        <f>IF(B2912,IF(D2912=0,H2912,Rho*I2911+SQRT(1-Rho^2)*H2912),"")</f>
        <v/>
      </c>
      <c r="J2912">
        <f>IF(B2912,IF(Dist="Normal",DistA+DistB*I2912,DistA+(DistB-DistA)*NORMSDIST(I2912)),"")</f>
        <v/>
      </c>
      <c r="K2912">
        <f>IF(B2912,INDEX(MineScale,C2912),"")</f>
        <v/>
      </c>
      <c r="L2912">
        <f>IF(B2912,INDEX(Dow,1,WEEKDAY(E2912,2)),"")</f>
        <v/>
      </c>
      <c r="M2912">
        <f>IF(B2912,(1+Trend)^D2912,"")</f>
        <v/>
      </c>
      <c r="N2912">
        <f>IF(B2912,EXP(SUMPRODUCT(LN(1+(EvEff-1)*INDEX(Affected,0,C2912)*EXP(-((E2912-EvCenter)^2)/(2*EvSigma^2))))),"")</f>
        <v/>
      </c>
      <c r="O2912">
        <f>IF(B2912,ROUND(MAX(0,J2912*K2912*L2912*M2912*N2912),2),"")</f>
        <v/>
      </c>
    </row>
    <row r="2913">
      <c r="A2913" t="n">
        <v>2912</v>
      </c>
      <c r="B2913">
        <f>A2913&lt;=MineCount*Days</f>
        <v/>
      </c>
      <c r="C2913">
        <f>IF(B2913,INT((A2913-1)/Days)+1,"")</f>
        <v/>
      </c>
      <c r="D2913">
        <f>IF(B2913,MOD(A2913-1,Days),"")</f>
        <v/>
      </c>
      <c r="E2913" s="16">
        <f>IF(B2913,StartDate+D2913,"")</f>
        <v/>
      </c>
      <c r="F2913">
        <f>IF(B2913,MAX(MOD(SIN(Seed*0.1373+C2913*12.9898+D2913*78.233)*43758.5453,1),1E-9),"")</f>
        <v/>
      </c>
      <c r="G2913">
        <f>IF(B2913,MOD(SIN(Seed*0.5917+C2913*39.3468+D2913*11.135)*24634.6345,1),"")</f>
        <v/>
      </c>
      <c r="H2913">
        <f>IF(B2913,SQRT(-2*LN(F2913))*COS(2*PI()*G2913),"")</f>
        <v/>
      </c>
      <c r="I2913">
        <f>IF(B2913,IF(D2913=0,H2913,Rho*I2912+SQRT(1-Rho^2)*H2913),"")</f>
        <v/>
      </c>
      <c r="J2913">
        <f>IF(B2913,IF(Dist="Normal",DistA+DistB*I2913,DistA+(DistB-DistA)*NORMSDIST(I2913)),"")</f>
        <v/>
      </c>
      <c r="K2913">
        <f>IF(B2913,INDEX(MineScale,C2913),"")</f>
        <v/>
      </c>
      <c r="L2913">
        <f>IF(B2913,INDEX(Dow,1,WEEKDAY(E2913,2)),"")</f>
        <v/>
      </c>
      <c r="M2913">
        <f>IF(B2913,(1+Trend)^D2913,"")</f>
        <v/>
      </c>
      <c r="N2913">
        <f>IF(B2913,EXP(SUMPRODUCT(LN(1+(EvEff-1)*INDEX(Affected,0,C2913)*EXP(-((E2913-EvCenter)^2)/(2*EvSigma^2))))),"")</f>
        <v/>
      </c>
      <c r="O2913">
        <f>IF(B2913,ROUND(MAX(0,J2913*K2913*L2913*M2913*N2913),2),"")</f>
        <v/>
      </c>
    </row>
    <row r="2914">
      <c r="A2914" t="n">
        <v>2913</v>
      </c>
      <c r="B2914">
        <f>A2914&lt;=MineCount*Days</f>
        <v/>
      </c>
      <c r="C2914">
        <f>IF(B2914,INT((A2914-1)/Days)+1,"")</f>
        <v/>
      </c>
      <c r="D2914">
        <f>IF(B2914,MOD(A2914-1,Days),"")</f>
        <v/>
      </c>
      <c r="E2914" s="16">
        <f>IF(B2914,StartDate+D2914,"")</f>
        <v/>
      </c>
      <c r="F2914">
        <f>IF(B2914,MAX(MOD(SIN(Seed*0.1373+C2914*12.9898+D2914*78.233)*43758.5453,1),1E-9),"")</f>
        <v/>
      </c>
      <c r="G2914">
        <f>IF(B2914,MOD(SIN(Seed*0.5917+C2914*39.3468+D2914*11.135)*24634.6345,1),"")</f>
        <v/>
      </c>
      <c r="H2914">
        <f>IF(B2914,SQRT(-2*LN(F2914))*COS(2*PI()*G2914),"")</f>
        <v/>
      </c>
      <c r="I2914">
        <f>IF(B2914,IF(D2914=0,H2914,Rho*I2913+SQRT(1-Rho^2)*H2914),"")</f>
        <v/>
      </c>
      <c r="J2914">
        <f>IF(B2914,IF(Dist="Normal",DistA+DistB*I2914,DistA+(DistB-DistA)*NORMSDIST(I2914)),"")</f>
        <v/>
      </c>
      <c r="K2914">
        <f>IF(B2914,INDEX(MineScale,C2914),"")</f>
        <v/>
      </c>
      <c r="L2914">
        <f>IF(B2914,INDEX(Dow,1,WEEKDAY(E2914,2)),"")</f>
        <v/>
      </c>
      <c r="M2914">
        <f>IF(B2914,(1+Trend)^D2914,"")</f>
        <v/>
      </c>
      <c r="N2914">
        <f>IF(B2914,EXP(SUMPRODUCT(LN(1+(EvEff-1)*INDEX(Affected,0,C2914)*EXP(-((E2914-EvCenter)^2)/(2*EvSigma^2))))),"")</f>
        <v/>
      </c>
      <c r="O2914">
        <f>IF(B2914,ROUND(MAX(0,J2914*K2914*L2914*M2914*N2914),2),"")</f>
        <v/>
      </c>
    </row>
    <row r="2915">
      <c r="A2915" t="n">
        <v>2914</v>
      </c>
      <c r="B2915">
        <f>A2915&lt;=MineCount*Days</f>
        <v/>
      </c>
      <c r="C2915">
        <f>IF(B2915,INT((A2915-1)/Days)+1,"")</f>
        <v/>
      </c>
      <c r="D2915">
        <f>IF(B2915,MOD(A2915-1,Days),"")</f>
        <v/>
      </c>
      <c r="E2915" s="16">
        <f>IF(B2915,StartDate+D2915,"")</f>
        <v/>
      </c>
      <c r="F2915">
        <f>IF(B2915,MAX(MOD(SIN(Seed*0.1373+C2915*12.9898+D2915*78.233)*43758.5453,1),1E-9),"")</f>
        <v/>
      </c>
      <c r="G2915">
        <f>IF(B2915,MOD(SIN(Seed*0.5917+C2915*39.3468+D2915*11.135)*24634.6345,1),"")</f>
        <v/>
      </c>
      <c r="H2915">
        <f>IF(B2915,SQRT(-2*LN(F2915))*COS(2*PI()*G2915),"")</f>
        <v/>
      </c>
      <c r="I2915">
        <f>IF(B2915,IF(D2915=0,H2915,Rho*I2914+SQRT(1-Rho^2)*H2915),"")</f>
        <v/>
      </c>
      <c r="J2915">
        <f>IF(B2915,IF(Dist="Normal",DistA+DistB*I2915,DistA+(DistB-DistA)*NORMSDIST(I2915)),"")</f>
        <v/>
      </c>
      <c r="K2915">
        <f>IF(B2915,INDEX(MineScale,C2915),"")</f>
        <v/>
      </c>
      <c r="L2915">
        <f>IF(B2915,INDEX(Dow,1,WEEKDAY(E2915,2)),"")</f>
        <v/>
      </c>
      <c r="M2915">
        <f>IF(B2915,(1+Trend)^D2915,"")</f>
        <v/>
      </c>
      <c r="N2915">
        <f>IF(B2915,EXP(SUMPRODUCT(LN(1+(EvEff-1)*INDEX(Affected,0,C2915)*EXP(-((E2915-EvCenter)^2)/(2*EvSigma^2))))),"")</f>
        <v/>
      </c>
      <c r="O2915">
        <f>IF(B2915,ROUND(MAX(0,J2915*K2915*L2915*M2915*N2915),2),"")</f>
        <v/>
      </c>
    </row>
    <row r="2916">
      <c r="A2916" t="n">
        <v>2915</v>
      </c>
      <c r="B2916">
        <f>A2916&lt;=MineCount*Days</f>
        <v/>
      </c>
      <c r="C2916">
        <f>IF(B2916,INT((A2916-1)/Days)+1,"")</f>
        <v/>
      </c>
      <c r="D2916">
        <f>IF(B2916,MOD(A2916-1,Days),"")</f>
        <v/>
      </c>
      <c r="E2916" s="16">
        <f>IF(B2916,StartDate+D2916,"")</f>
        <v/>
      </c>
      <c r="F2916">
        <f>IF(B2916,MAX(MOD(SIN(Seed*0.1373+C2916*12.9898+D2916*78.233)*43758.5453,1),1E-9),"")</f>
        <v/>
      </c>
      <c r="G2916">
        <f>IF(B2916,MOD(SIN(Seed*0.5917+C2916*39.3468+D2916*11.135)*24634.6345,1),"")</f>
        <v/>
      </c>
      <c r="H2916">
        <f>IF(B2916,SQRT(-2*LN(F2916))*COS(2*PI()*G2916),"")</f>
        <v/>
      </c>
      <c r="I2916">
        <f>IF(B2916,IF(D2916=0,H2916,Rho*I2915+SQRT(1-Rho^2)*H2916),"")</f>
        <v/>
      </c>
      <c r="J2916">
        <f>IF(B2916,IF(Dist="Normal",DistA+DistB*I2916,DistA+(DistB-DistA)*NORMSDIST(I2916)),"")</f>
        <v/>
      </c>
      <c r="K2916">
        <f>IF(B2916,INDEX(MineScale,C2916),"")</f>
        <v/>
      </c>
      <c r="L2916">
        <f>IF(B2916,INDEX(Dow,1,WEEKDAY(E2916,2)),"")</f>
        <v/>
      </c>
      <c r="M2916">
        <f>IF(B2916,(1+Trend)^D2916,"")</f>
        <v/>
      </c>
      <c r="N2916">
        <f>IF(B2916,EXP(SUMPRODUCT(LN(1+(EvEff-1)*INDEX(Affected,0,C2916)*EXP(-((E2916-EvCenter)^2)/(2*EvSigma^2))))),"")</f>
        <v/>
      </c>
      <c r="O2916">
        <f>IF(B2916,ROUND(MAX(0,J2916*K2916*L2916*M2916*N2916),2),"")</f>
        <v/>
      </c>
    </row>
    <row r="2917">
      <c r="A2917" t="n">
        <v>2916</v>
      </c>
      <c r="B2917">
        <f>A2917&lt;=MineCount*Days</f>
        <v/>
      </c>
      <c r="C2917">
        <f>IF(B2917,INT((A2917-1)/Days)+1,"")</f>
        <v/>
      </c>
      <c r="D2917">
        <f>IF(B2917,MOD(A2917-1,Days),"")</f>
        <v/>
      </c>
      <c r="E2917" s="16">
        <f>IF(B2917,StartDate+D2917,"")</f>
        <v/>
      </c>
      <c r="F2917">
        <f>IF(B2917,MAX(MOD(SIN(Seed*0.1373+C2917*12.9898+D2917*78.233)*43758.5453,1),1E-9),"")</f>
        <v/>
      </c>
      <c r="G2917">
        <f>IF(B2917,MOD(SIN(Seed*0.5917+C2917*39.3468+D2917*11.135)*24634.6345,1),"")</f>
        <v/>
      </c>
      <c r="H2917">
        <f>IF(B2917,SQRT(-2*LN(F2917))*COS(2*PI()*G2917),"")</f>
        <v/>
      </c>
      <c r="I2917">
        <f>IF(B2917,IF(D2917=0,H2917,Rho*I2916+SQRT(1-Rho^2)*H2917),"")</f>
        <v/>
      </c>
      <c r="J2917">
        <f>IF(B2917,IF(Dist="Normal",DistA+DistB*I2917,DistA+(DistB-DistA)*NORMSDIST(I2917)),"")</f>
        <v/>
      </c>
      <c r="K2917">
        <f>IF(B2917,INDEX(MineScale,C2917),"")</f>
        <v/>
      </c>
      <c r="L2917">
        <f>IF(B2917,INDEX(Dow,1,WEEKDAY(E2917,2)),"")</f>
        <v/>
      </c>
      <c r="M2917">
        <f>IF(B2917,(1+Trend)^D2917,"")</f>
        <v/>
      </c>
      <c r="N2917">
        <f>IF(B2917,EXP(SUMPRODUCT(LN(1+(EvEff-1)*INDEX(Affected,0,C2917)*EXP(-((E2917-EvCenter)^2)/(2*EvSigma^2))))),"")</f>
        <v/>
      </c>
      <c r="O2917">
        <f>IF(B2917,ROUND(MAX(0,J2917*K2917*L2917*M2917*N2917),2),"")</f>
        <v/>
      </c>
    </row>
    <row r="2918">
      <c r="A2918" t="n">
        <v>2917</v>
      </c>
      <c r="B2918">
        <f>A2918&lt;=MineCount*Days</f>
        <v/>
      </c>
      <c r="C2918">
        <f>IF(B2918,INT((A2918-1)/Days)+1,"")</f>
        <v/>
      </c>
      <c r="D2918">
        <f>IF(B2918,MOD(A2918-1,Days),"")</f>
        <v/>
      </c>
      <c r="E2918" s="16">
        <f>IF(B2918,StartDate+D2918,"")</f>
        <v/>
      </c>
      <c r="F2918">
        <f>IF(B2918,MAX(MOD(SIN(Seed*0.1373+C2918*12.9898+D2918*78.233)*43758.5453,1),1E-9),"")</f>
        <v/>
      </c>
      <c r="G2918">
        <f>IF(B2918,MOD(SIN(Seed*0.5917+C2918*39.3468+D2918*11.135)*24634.6345,1),"")</f>
        <v/>
      </c>
      <c r="H2918">
        <f>IF(B2918,SQRT(-2*LN(F2918))*COS(2*PI()*G2918),"")</f>
        <v/>
      </c>
      <c r="I2918">
        <f>IF(B2918,IF(D2918=0,H2918,Rho*I2917+SQRT(1-Rho^2)*H2918),"")</f>
        <v/>
      </c>
      <c r="J2918">
        <f>IF(B2918,IF(Dist="Normal",DistA+DistB*I2918,DistA+(DistB-DistA)*NORMSDIST(I2918)),"")</f>
        <v/>
      </c>
      <c r="K2918">
        <f>IF(B2918,INDEX(MineScale,C2918),"")</f>
        <v/>
      </c>
      <c r="L2918">
        <f>IF(B2918,INDEX(Dow,1,WEEKDAY(E2918,2)),"")</f>
        <v/>
      </c>
      <c r="M2918">
        <f>IF(B2918,(1+Trend)^D2918,"")</f>
        <v/>
      </c>
      <c r="N2918">
        <f>IF(B2918,EXP(SUMPRODUCT(LN(1+(EvEff-1)*INDEX(Affected,0,C2918)*EXP(-((E2918-EvCenter)^2)/(2*EvSigma^2))))),"")</f>
        <v/>
      </c>
      <c r="O2918">
        <f>IF(B2918,ROUND(MAX(0,J2918*K2918*L2918*M2918*N2918),2),"")</f>
        <v/>
      </c>
    </row>
    <row r="2919">
      <c r="A2919" t="n">
        <v>2918</v>
      </c>
      <c r="B2919">
        <f>A2919&lt;=MineCount*Days</f>
        <v/>
      </c>
      <c r="C2919">
        <f>IF(B2919,INT((A2919-1)/Days)+1,"")</f>
        <v/>
      </c>
      <c r="D2919">
        <f>IF(B2919,MOD(A2919-1,Days),"")</f>
        <v/>
      </c>
      <c r="E2919" s="16">
        <f>IF(B2919,StartDate+D2919,"")</f>
        <v/>
      </c>
      <c r="F2919">
        <f>IF(B2919,MAX(MOD(SIN(Seed*0.1373+C2919*12.9898+D2919*78.233)*43758.5453,1),1E-9),"")</f>
        <v/>
      </c>
      <c r="G2919">
        <f>IF(B2919,MOD(SIN(Seed*0.5917+C2919*39.3468+D2919*11.135)*24634.6345,1),"")</f>
        <v/>
      </c>
      <c r="H2919">
        <f>IF(B2919,SQRT(-2*LN(F2919))*COS(2*PI()*G2919),"")</f>
        <v/>
      </c>
      <c r="I2919">
        <f>IF(B2919,IF(D2919=0,H2919,Rho*I2918+SQRT(1-Rho^2)*H2919),"")</f>
        <v/>
      </c>
      <c r="J2919">
        <f>IF(B2919,IF(Dist="Normal",DistA+DistB*I2919,DistA+(DistB-DistA)*NORMSDIST(I2919)),"")</f>
        <v/>
      </c>
      <c r="K2919">
        <f>IF(B2919,INDEX(MineScale,C2919),"")</f>
        <v/>
      </c>
      <c r="L2919">
        <f>IF(B2919,INDEX(Dow,1,WEEKDAY(E2919,2)),"")</f>
        <v/>
      </c>
      <c r="M2919">
        <f>IF(B2919,(1+Trend)^D2919,"")</f>
        <v/>
      </c>
      <c r="N2919">
        <f>IF(B2919,EXP(SUMPRODUCT(LN(1+(EvEff-1)*INDEX(Affected,0,C2919)*EXP(-((E2919-EvCenter)^2)/(2*EvSigma^2))))),"")</f>
        <v/>
      </c>
      <c r="O2919">
        <f>IF(B2919,ROUND(MAX(0,J2919*K2919*L2919*M2919*N2919),2),"")</f>
        <v/>
      </c>
    </row>
    <row r="2920">
      <c r="A2920" t="n">
        <v>2919</v>
      </c>
      <c r="B2920">
        <f>A2920&lt;=MineCount*Days</f>
        <v/>
      </c>
      <c r="C2920">
        <f>IF(B2920,INT((A2920-1)/Days)+1,"")</f>
        <v/>
      </c>
      <c r="D2920">
        <f>IF(B2920,MOD(A2920-1,Days),"")</f>
        <v/>
      </c>
      <c r="E2920" s="16">
        <f>IF(B2920,StartDate+D2920,"")</f>
        <v/>
      </c>
      <c r="F2920">
        <f>IF(B2920,MAX(MOD(SIN(Seed*0.1373+C2920*12.9898+D2920*78.233)*43758.5453,1),1E-9),"")</f>
        <v/>
      </c>
      <c r="G2920">
        <f>IF(B2920,MOD(SIN(Seed*0.5917+C2920*39.3468+D2920*11.135)*24634.6345,1),"")</f>
        <v/>
      </c>
      <c r="H2920">
        <f>IF(B2920,SQRT(-2*LN(F2920))*COS(2*PI()*G2920),"")</f>
        <v/>
      </c>
      <c r="I2920">
        <f>IF(B2920,IF(D2920=0,H2920,Rho*I2919+SQRT(1-Rho^2)*H2920),"")</f>
        <v/>
      </c>
      <c r="J2920">
        <f>IF(B2920,IF(Dist="Normal",DistA+DistB*I2920,DistA+(DistB-DistA)*NORMSDIST(I2920)),"")</f>
        <v/>
      </c>
      <c r="K2920">
        <f>IF(B2920,INDEX(MineScale,C2920),"")</f>
        <v/>
      </c>
      <c r="L2920">
        <f>IF(B2920,INDEX(Dow,1,WEEKDAY(E2920,2)),"")</f>
        <v/>
      </c>
      <c r="M2920">
        <f>IF(B2920,(1+Trend)^D2920,"")</f>
        <v/>
      </c>
      <c r="N2920">
        <f>IF(B2920,EXP(SUMPRODUCT(LN(1+(EvEff-1)*INDEX(Affected,0,C2920)*EXP(-((E2920-EvCenter)^2)/(2*EvSigma^2))))),"")</f>
        <v/>
      </c>
      <c r="O2920">
        <f>IF(B2920,ROUND(MAX(0,J2920*K2920*L2920*M2920*N2920),2),"")</f>
        <v/>
      </c>
    </row>
    <row r="2921">
      <c r="A2921" t="n">
        <v>2920</v>
      </c>
      <c r="B2921">
        <f>A2921&lt;=MineCount*Days</f>
        <v/>
      </c>
      <c r="C2921">
        <f>IF(B2921,INT((A2921-1)/Days)+1,"")</f>
        <v/>
      </c>
      <c r="D2921">
        <f>IF(B2921,MOD(A2921-1,Days),"")</f>
        <v/>
      </c>
      <c r="E2921" s="16">
        <f>IF(B2921,StartDate+D2921,"")</f>
        <v/>
      </c>
      <c r="F2921">
        <f>IF(B2921,MAX(MOD(SIN(Seed*0.1373+C2921*12.9898+D2921*78.233)*43758.5453,1),1E-9),"")</f>
        <v/>
      </c>
      <c r="G2921">
        <f>IF(B2921,MOD(SIN(Seed*0.5917+C2921*39.3468+D2921*11.135)*24634.6345,1),"")</f>
        <v/>
      </c>
      <c r="H2921">
        <f>IF(B2921,SQRT(-2*LN(F2921))*COS(2*PI()*G2921),"")</f>
        <v/>
      </c>
      <c r="I2921">
        <f>IF(B2921,IF(D2921=0,H2921,Rho*I2920+SQRT(1-Rho^2)*H2921),"")</f>
        <v/>
      </c>
      <c r="J2921">
        <f>IF(B2921,IF(Dist="Normal",DistA+DistB*I2921,DistA+(DistB-DistA)*NORMSDIST(I2921)),"")</f>
        <v/>
      </c>
      <c r="K2921">
        <f>IF(B2921,INDEX(MineScale,C2921),"")</f>
        <v/>
      </c>
      <c r="L2921">
        <f>IF(B2921,INDEX(Dow,1,WEEKDAY(E2921,2)),"")</f>
        <v/>
      </c>
      <c r="M2921">
        <f>IF(B2921,(1+Trend)^D2921,"")</f>
        <v/>
      </c>
      <c r="N2921">
        <f>IF(B2921,EXP(SUMPRODUCT(LN(1+(EvEff-1)*INDEX(Affected,0,C2921)*EXP(-((E2921-EvCenter)^2)/(2*EvSigma^2))))),"")</f>
        <v/>
      </c>
      <c r="O2921">
        <f>IF(B2921,ROUND(MAX(0,J2921*K2921*L2921*M2921*N2921),2),"")</f>
        <v/>
      </c>
    </row>
    <row r="2922">
      <c r="A2922" t="n">
        <v>2921</v>
      </c>
      <c r="B2922">
        <f>A2922&lt;=MineCount*Days</f>
        <v/>
      </c>
      <c r="C2922">
        <f>IF(B2922,INT((A2922-1)/Days)+1,"")</f>
        <v/>
      </c>
      <c r="D2922">
        <f>IF(B2922,MOD(A2922-1,Days),"")</f>
        <v/>
      </c>
      <c r="E2922" s="16">
        <f>IF(B2922,StartDate+D2922,"")</f>
        <v/>
      </c>
      <c r="F2922">
        <f>IF(B2922,MAX(MOD(SIN(Seed*0.1373+C2922*12.9898+D2922*78.233)*43758.5453,1),1E-9),"")</f>
        <v/>
      </c>
      <c r="G2922">
        <f>IF(B2922,MOD(SIN(Seed*0.5917+C2922*39.3468+D2922*11.135)*24634.6345,1),"")</f>
        <v/>
      </c>
      <c r="H2922">
        <f>IF(B2922,SQRT(-2*LN(F2922))*COS(2*PI()*G2922),"")</f>
        <v/>
      </c>
      <c r="I2922">
        <f>IF(B2922,IF(D2922=0,H2922,Rho*I2921+SQRT(1-Rho^2)*H2922),"")</f>
        <v/>
      </c>
      <c r="J2922">
        <f>IF(B2922,IF(Dist="Normal",DistA+DistB*I2922,DistA+(DistB-DistA)*NORMSDIST(I2922)),"")</f>
        <v/>
      </c>
      <c r="K2922">
        <f>IF(B2922,INDEX(MineScale,C2922),"")</f>
        <v/>
      </c>
      <c r="L2922">
        <f>IF(B2922,INDEX(Dow,1,WEEKDAY(E2922,2)),"")</f>
        <v/>
      </c>
      <c r="M2922">
        <f>IF(B2922,(1+Trend)^D2922,"")</f>
        <v/>
      </c>
      <c r="N2922">
        <f>IF(B2922,EXP(SUMPRODUCT(LN(1+(EvEff-1)*INDEX(Affected,0,C2922)*EXP(-((E2922-EvCenter)^2)/(2*EvSigma^2))))),"")</f>
        <v/>
      </c>
      <c r="O2922">
        <f>IF(B2922,ROUND(MAX(0,J2922*K2922*L2922*M2922*N2922),2),"")</f>
        <v/>
      </c>
    </row>
    <row r="2923">
      <c r="A2923" t="n">
        <v>2922</v>
      </c>
      <c r="B2923">
        <f>A2923&lt;=MineCount*Days</f>
        <v/>
      </c>
      <c r="C2923">
        <f>IF(B2923,INT((A2923-1)/Days)+1,"")</f>
        <v/>
      </c>
      <c r="D2923">
        <f>IF(B2923,MOD(A2923-1,Days),"")</f>
        <v/>
      </c>
      <c r="E2923" s="16">
        <f>IF(B2923,StartDate+D2923,"")</f>
        <v/>
      </c>
      <c r="F2923">
        <f>IF(B2923,MAX(MOD(SIN(Seed*0.1373+C2923*12.9898+D2923*78.233)*43758.5453,1),1E-9),"")</f>
        <v/>
      </c>
      <c r="G2923">
        <f>IF(B2923,MOD(SIN(Seed*0.5917+C2923*39.3468+D2923*11.135)*24634.6345,1),"")</f>
        <v/>
      </c>
      <c r="H2923">
        <f>IF(B2923,SQRT(-2*LN(F2923))*COS(2*PI()*G2923),"")</f>
        <v/>
      </c>
      <c r="I2923">
        <f>IF(B2923,IF(D2923=0,H2923,Rho*I2922+SQRT(1-Rho^2)*H2923),"")</f>
        <v/>
      </c>
      <c r="J2923">
        <f>IF(B2923,IF(Dist="Normal",DistA+DistB*I2923,DistA+(DistB-DistA)*NORMSDIST(I2923)),"")</f>
        <v/>
      </c>
      <c r="K2923">
        <f>IF(B2923,INDEX(MineScale,C2923),"")</f>
        <v/>
      </c>
      <c r="L2923">
        <f>IF(B2923,INDEX(Dow,1,WEEKDAY(E2923,2)),"")</f>
        <v/>
      </c>
      <c r="M2923">
        <f>IF(B2923,(1+Trend)^D2923,"")</f>
        <v/>
      </c>
      <c r="N2923">
        <f>IF(B2923,EXP(SUMPRODUCT(LN(1+(EvEff-1)*INDEX(Affected,0,C2923)*EXP(-((E2923-EvCenter)^2)/(2*EvSigma^2))))),"")</f>
        <v/>
      </c>
      <c r="O2923">
        <f>IF(B2923,ROUND(MAX(0,J2923*K2923*L2923*M2923*N2923),2),"")</f>
        <v/>
      </c>
    </row>
    <row r="2924">
      <c r="A2924" t="n">
        <v>2923</v>
      </c>
      <c r="B2924">
        <f>A2924&lt;=MineCount*Days</f>
        <v/>
      </c>
      <c r="C2924">
        <f>IF(B2924,INT((A2924-1)/Days)+1,"")</f>
        <v/>
      </c>
      <c r="D2924">
        <f>IF(B2924,MOD(A2924-1,Days),"")</f>
        <v/>
      </c>
      <c r="E2924" s="16">
        <f>IF(B2924,StartDate+D2924,"")</f>
        <v/>
      </c>
      <c r="F2924">
        <f>IF(B2924,MAX(MOD(SIN(Seed*0.1373+C2924*12.9898+D2924*78.233)*43758.5453,1),1E-9),"")</f>
        <v/>
      </c>
      <c r="G2924">
        <f>IF(B2924,MOD(SIN(Seed*0.5917+C2924*39.3468+D2924*11.135)*24634.6345,1),"")</f>
        <v/>
      </c>
      <c r="H2924">
        <f>IF(B2924,SQRT(-2*LN(F2924))*COS(2*PI()*G2924),"")</f>
        <v/>
      </c>
      <c r="I2924">
        <f>IF(B2924,IF(D2924=0,H2924,Rho*I2923+SQRT(1-Rho^2)*H2924),"")</f>
        <v/>
      </c>
      <c r="J2924">
        <f>IF(B2924,IF(Dist="Normal",DistA+DistB*I2924,DistA+(DistB-DistA)*NORMSDIST(I2924)),"")</f>
        <v/>
      </c>
      <c r="K2924">
        <f>IF(B2924,INDEX(MineScale,C2924),"")</f>
        <v/>
      </c>
      <c r="L2924">
        <f>IF(B2924,INDEX(Dow,1,WEEKDAY(E2924,2)),"")</f>
        <v/>
      </c>
      <c r="M2924">
        <f>IF(B2924,(1+Trend)^D2924,"")</f>
        <v/>
      </c>
      <c r="N2924">
        <f>IF(B2924,EXP(SUMPRODUCT(LN(1+(EvEff-1)*INDEX(Affected,0,C2924)*EXP(-((E2924-EvCenter)^2)/(2*EvSigma^2))))),"")</f>
        <v/>
      </c>
      <c r="O2924">
        <f>IF(B2924,ROUND(MAX(0,J2924*K2924*L2924*M2924*N2924),2),"")</f>
        <v/>
      </c>
    </row>
    <row r="2925">
      <c r="A2925" t="n">
        <v>2924</v>
      </c>
      <c r="B2925">
        <f>A2925&lt;=MineCount*Days</f>
        <v/>
      </c>
      <c r="C2925">
        <f>IF(B2925,INT((A2925-1)/Days)+1,"")</f>
        <v/>
      </c>
      <c r="D2925">
        <f>IF(B2925,MOD(A2925-1,Days),"")</f>
        <v/>
      </c>
      <c r="E2925" s="16">
        <f>IF(B2925,StartDate+D2925,"")</f>
        <v/>
      </c>
      <c r="F2925">
        <f>IF(B2925,MAX(MOD(SIN(Seed*0.1373+C2925*12.9898+D2925*78.233)*43758.5453,1),1E-9),"")</f>
        <v/>
      </c>
      <c r="G2925">
        <f>IF(B2925,MOD(SIN(Seed*0.5917+C2925*39.3468+D2925*11.135)*24634.6345,1),"")</f>
        <v/>
      </c>
      <c r="H2925">
        <f>IF(B2925,SQRT(-2*LN(F2925))*COS(2*PI()*G2925),"")</f>
        <v/>
      </c>
      <c r="I2925">
        <f>IF(B2925,IF(D2925=0,H2925,Rho*I2924+SQRT(1-Rho^2)*H2925),"")</f>
        <v/>
      </c>
      <c r="J2925">
        <f>IF(B2925,IF(Dist="Normal",DistA+DistB*I2925,DistA+(DistB-DistA)*NORMSDIST(I2925)),"")</f>
        <v/>
      </c>
      <c r="K2925">
        <f>IF(B2925,INDEX(MineScale,C2925),"")</f>
        <v/>
      </c>
      <c r="L2925">
        <f>IF(B2925,INDEX(Dow,1,WEEKDAY(E2925,2)),"")</f>
        <v/>
      </c>
      <c r="M2925">
        <f>IF(B2925,(1+Trend)^D2925,"")</f>
        <v/>
      </c>
      <c r="N2925">
        <f>IF(B2925,EXP(SUMPRODUCT(LN(1+(EvEff-1)*INDEX(Affected,0,C2925)*EXP(-((E2925-EvCenter)^2)/(2*EvSigma^2))))),"")</f>
        <v/>
      </c>
      <c r="O2925">
        <f>IF(B2925,ROUND(MAX(0,J2925*K2925*L2925*M2925*N2925),2),"")</f>
        <v/>
      </c>
    </row>
    <row r="2926">
      <c r="A2926" t="n">
        <v>2925</v>
      </c>
      <c r="B2926">
        <f>A2926&lt;=MineCount*Days</f>
        <v/>
      </c>
      <c r="C2926">
        <f>IF(B2926,INT((A2926-1)/Days)+1,"")</f>
        <v/>
      </c>
      <c r="D2926">
        <f>IF(B2926,MOD(A2926-1,Days),"")</f>
        <v/>
      </c>
      <c r="E2926" s="16">
        <f>IF(B2926,StartDate+D2926,"")</f>
        <v/>
      </c>
      <c r="F2926">
        <f>IF(B2926,MAX(MOD(SIN(Seed*0.1373+C2926*12.9898+D2926*78.233)*43758.5453,1),1E-9),"")</f>
        <v/>
      </c>
      <c r="G2926">
        <f>IF(B2926,MOD(SIN(Seed*0.5917+C2926*39.3468+D2926*11.135)*24634.6345,1),"")</f>
        <v/>
      </c>
      <c r="H2926">
        <f>IF(B2926,SQRT(-2*LN(F2926))*COS(2*PI()*G2926),"")</f>
        <v/>
      </c>
      <c r="I2926">
        <f>IF(B2926,IF(D2926=0,H2926,Rho*I2925+SQRT(1-Rho^2)*H2926),"")</f>
        <v/>
      </c>
      <c r="J2926">
        <f>IF(B2926,IF(Dist="Normal",DistA+DistB*I2926,DistA+(DistB-DistA)*NORMSDIST(I2926)),"")</f>
        <v/>
      </c>
      <c r="K2926">
        <f>IF(B2926,INDEX(MineScale,C2926),"")</f>
        <v/>
      </c>
      <c r="L2926">
        <f>IF(B2926,INDEX(Dow,1,WEEKDAY(E2926,2)),"")</f>
        <v/>
      </c>
      <c r="M2926">
        <f>IF(B2926,(1+Trend)^D2926,"")</f>
        <v/>
      </c>
      <c r="N2926">
        <f>IF(B2926,EXP(SUMPRODUCT(LN(1+(EvEff-1)*INDEX(Affected,0,C2926)*EXP(-((E2926-EvCenter)^2)/(2*EvSigma^2))))),"")</f>
        <v/>
      </c>
      <c r="O2926">
        <f>IF(B2926,ROUND(MAX(0,J2926*K2926*L2926*M2926*N2926),2),"")</f>
        <v/>
      </c>
    </row>
    <row r="2927">
      <c r="A2927" t="n">
        <v>2926</v>
      </c>
      <c r="B2927">
        <f>A2927&lt;=MineCount*Days</f>
        <v/>
      </c>
      <c r="C2927">
        <f>IF(B2927,INT((A2927-1)/Days)+1,"")</f>
        <v/>
      </c>
      <c r="D2927">
        <f>IF(B2927,MOD(A2927-1,Days),"")</f>
        <v/>
      </c>
      <c r="E2927" s="16">
        <f>IF(B2927,StartDate+D2927,"")</f>
        <v/>
      </c>
      <c r="F2927">
        <f>IF(B2927,MAX(MOD(SIN(Seed*0.1373+C2927*12.9898+D2927*78.233)*43758.5453,1),1E-9),"")</f>
        <v/>
      </c>
      <c r="G2927">
        <f>IF(B2927,MOD(SIN(Seed*0.5917+C2927*39.3468+D2927*11.135)*24634.6345,1),"")</f>
        <v/>
      </c>
      <c r="H2927">
        <f>IF(B2927,SQRT(-2*LN(F2927))*COS(2*PI()*G2927),"")</f>
        <v/>
      </c>
      <c r="I2927">
        <f>IF(B2927,IF(D2927=0,H2927,Rho*I2926+SQRT(1-Rho^2)*H2927),"")</f>
        <v/>
      </c>
      <c r="J2927">
        <f>IF(B2927,IF(Dist="Normal",DistA+DistB*I2927,DistA+(DistB-DistA)*NORMSDIST(I2927)),"")</f>
        <v/>
      </c>
      <c r="K2927">
        <f>IF(B2927,INDEX(MineScale,C2927),"")</f>
        <v/>
      </c>
      <c r="L2927">
        <f>IF(B2927,INDEX(Dow,1,WEEKDAY(E2927,2)),"")</f>
        <v/>
      </c>
      <c r="M2927">
        <f>IF(B2927,(1+Trend)^D2927,"")</f>
        <v/>
      </c>
      <c r="N2927">
        <f>IF(B2927,EXP(SUMPRODUCT(LN(1+(EvEff-1)*INDEX(Affected,0,C2927)*EXP(-((E2927-EvCenter)^2)/(2*EvSigma^2))))),"")</f>
        <v/>
      </c>
      <c r="O2927">
        <f>IF(B2927,ROUND(MAX(0,J2927*K2927*L2927*M2927*N2927),2),"")</f>
        <v/>
      </c>
    </row>
    <row r="2928">
      <c r="A2928" t="n">
        <v>2927</v>
      </c>
      <c r="B2928">
        <f>A2928&lt;=MineCount*Days</f>
        <v/>
      </c>
      <c r="C2928">
        <f>IF(B2928,INT((A2928-1)/Days)+1,"")</f>
        <v/>
      </c>
      <c r="D2928">
        <f>IF(B2928,MOD(A2928-1,Days),"")</f>
        <v/>
      </c>
      <c r="E2928" s="16">
        <f>IF(B2928,StartDate+D2928,"")</f>
        <v/>
      </c>
      <c r="F2928">
        <f>IF(B2928,MAX(MOD(SIN(Seed*0.1373+C2928*12.9898+D2928*78.233)*43758.5453,1),1E-9),"")</f>
        <v/>
      </c>
      <c r="G2928">
        <f>IF(B2928,MOD(SIN(Seed*0.5917+C2928*39.3468+D2928*11.135)*24634.6345,1),"")</f>
        <v/>
      </c>
      <c r="H2928">
        <f>IF(B2928,SQRT(-2*LN(F2928))*COS(2*PI()*G2928),"")</f>
        <v/>
      </c>
      <c r="I2928">
        <f>IF(B2928,IF(D2928=0,H2928,Rho*I2927+SQRT(1-Rho^2)*H2928),"")</f>
        <v/>
      </c>
      <c r="J2928">
        <f>IF(B2928,IF(Dist="Normal",DistA+DistB*I2928,DistA+(DistB-DistA)*NORMSDIST(I2928)),"")</f>
        <v/>
      </c>
      <c r="K2928">
        <f>IF(B2928,INDEX(MineScale,C2928),"")</f>
        <v/>
      </c>
      <c r="L2928">
        <f>IF(B2928,INDEX(Dow,1,WEEKDAY(E2928,2)),"")</f>
        <v/>
      </c>
      <c r="M2928">
        <f>IF(B2928,(1+Trend)^D2928,"")</f>
        <v/>
      </c>
      <c r="N2928">
        <f>IF(B2928,EXP(SUMPRODUCT(LN(1+(EvEff-1)*INDEX(Affected,0,C2928)*EXP(-((E2928-EvCenter)^2)/(2*EvSigma^2))))),"")</f>
        <v/>
      </c>
      <c r="O2928">
        <f>IF(B2928,ROUND(MAX(0,J2928*K2928*L2928*M2928*N2928),2),"")</f>
        <v/>
      </c>
    </row>
    <row r="2929">
      <c r="A2929" t="n">
        <v>2928</v>
      </c>
      <c r="B2929">
        <f>A2929&lt;=MineCount*Days</f>
        <v/>
      </c>
      <c r="C2929">
        <f>IF(B2929,INT((A2929-1)/Days)+1,"")</f>
        <v/>
      </c>
      <c r="D2929">
        <f>IF(B2929,MOD(A2929-1,Days),"")</f>
        <v/>
      </c>
      <c r="E2929" s="16">
        <f>IF(B2929,StartDate+D2929,"")</f>
        <v/>
      </c>
      <c r="F2929">
        <f>IF(B2929,MAX(MOD(SIN(Seed*0.1373+C2929*12.9898+D2929*78.233)*43758.5453,1),1E-9),"")</f>
        <v/>
      </c>
      <c r="G2929">
        <f>IF(B2929,MOD(SIN(Seed*0.5917+C2929*39.3468+D2929*11.135)*24634.6345,1),"")</f>
        <v/>
      </c>
      <c r="H2929">
        <f>IF(B2929,SQRT(-2*LN(F2929))*COS(2*PI()*G2929),"")</f>
        <v/>
      </c>
      <c r="I2929">
        <f>IF(B2929,IF(D2929=0,H2929,Rho*I2928+SQRT(1-Rho^2)*H2929),"")</f>
        <v/>
      </c>
      <c r="J2929">
        <f>IF(B2929,IF(Dist="Normal",DistA+DistB*I2929,DistA+(DistB-DistA)*NORMSDIST(I2929)),"")</f>
        <v/>
      </c>
      <c r="K2929">
        <f>IF(B2929,INDEX(MineScale,C2929),"")</f>
        <v/>
      </c>
      <c r="L2929">
        <f>IF(B2929,INDEX(Dow,1,WEEKDAY(E2929,2)),"")</f>
        <v/>
      </c>
      <c r="M2929">
        <f>IF(B2929,(1+Trend)^D2929,"")</f>
        <v/>
      </c>
      <c r="N2929">
        <f>IF(B2929,EXP(SUMPRODUCT(LN(1+(EvEff-1)*INDEX(Affected,0,C2929)*EXP(-((E2929-EvCenter)^2)/(2*EvSigma^2))))),"")</f>
        <v/>
      </c>
      <c r="O2929">
        <f>IF(B2929,ROUND(MAX(0,J2929*K2929*L2929*M2929*N2929),2),"")</f>
        <v/>
      </c>
    </row>
    <row r="2930">
      <c r="A2930" t="n">
        <v>2929</v>
      </c>
      <c r="B2930">
        <f>A2930&lt;=MineCount*Days</f>
        <v/>
      </c>
      <c r="C2930">
        <f>IF(B2930,INT((A2930-1)/Days)+1,"")</f>
        <v/>
      </c>
      <c r="D2930">
        <f>IF(B2930,MOD(A2930-1,Days),"")</f>
        <v/>
      </c>
      <c r="E2930" s="16">
        <f>IF(B2930,StartDate+D2930,"")</f>
        <v/>
      </c>
      <c r="F2930">
        <f>IF(B2930,MAX(MOD(SIN(Seed*0.1373+C2930*12.9898+D2930*78.233)*43758.5453,1),1E-9),"")</f>
        <v/>
      </c>
      <c r="G2930">
        <f>IF(B2930,MOD(SIN(Seed*0.5917+C2930*39.3468+D2930*11.135)*24634.6345,1),"")</f>
        <v/>
      </c>
      <c r="H2930">
        <f>IF(B2930,SQRT(-2*LN(F2930))*COS(2*PI()*G2930),"")</f>
        <v/>
      </c>
      <c r="I2930">
        <f>IF(B2930,IF(D2930=0,H2930,Rho*I2929+SQRT(1-Rho^2)*H2930),"")</f>
        <v/>
      </c>
      <c r="J2930">
        <f>IF(B2930,IF(Dist="Normal",DistA+DistB*I2930,DistA+(DistB-DistA)*NORMSDIST(I2930)),"")</f>
        <v/>
      </c>
      <c r="K2930">
        <f>IF(B2930,INDEX(MineScale,C2930),"")</f>
        <v/>
      </c>
      <c r="L2930">
        <f>IF(B2930,INDEX(Dow,1,WEEKDAY(E2930,2)),"")</f>
        <v/>
      </c>
      <c r="M2930">
        <f>IF(B2930,(1+Trend)^D2930,"")</f>
        <v/>
      </c>
      <c r="N2930">
        <f>IF(B2930,EXP(SUMPRODUCT(LN(1+(EvEff-1)*INDEX(Affected,0,C2930)*EXP(-((E2930-EvCenter)^2)/(2*EvSigma^2))))),"")</f>
        <v/>
      </c>
      <c r="O2930">
        <f>IF(B2930,ROUND(MAX(0,J2930*K2930*L2930*M2930*N2930),2),"")</f>
        <v/>
      </c>
    </row>
    <row r="2931">
      <c r="A2931" t="n">
        <v>2930</v>
      </c>
      <c r="B2931">
        <f>A2931&lt;=MineCount*Days</f>
        <v/>
      </c>
      <c r="C2931">
        <f>IF(B2931,INT((A2931-1)/Days)+1,"")</f>
        <v/>
      </c>
      <c r="D2931">
        <f>IF(B2931,MOD(A2931-1,Days),"")</f>
        <v/>
      </c>
      <c r="E2931" s="16">
        <f>IF(B2931,StartDate+D2931,"")</f>
        <v/>
      </c>
      <c r="F2931">
        <f>IF(B2931,MAX(MOD(SIN(Seed*0.1373+C2931*12.9898+D2931*78.233)*43758.5453,1),1E-9),"")</f>
        <v/>
      </c>
      <c r="G2931">
        <f>IF(B2931,MOD(SIN(Seed*0.5917+C2931*39.3468+D2931*11.135)*24634.6345,1),"")</f>
        <v/>
      </c>
      <c r="H2931">
        <f>IF(B2931,SQRT(-2*LN(F2931))*COS(2*PI()*G2931),"")</f>
        <v/>
      </c>
      <c r="I2931">
        <f>IF(B2931,IF(D2931=0,H2931,Rho*I2930+SQRT(1-Rho^2)*H2931),"")</f>
        <v/>
      </c>
      <c r="J2931">
        <f>IF(B2931,IF(Dist="Normal",DistA+DistB*I2931,DistA+(DistB-DistA)*NORMSDIST(I2931)),"")</f>
        <v/>
      </c>
      <c r="K2931">
        <f>IF(B2931,INDEX(MineScale,C2931),"")</f>
        <v/>
      </c>
      <c r="L2931">
        <f>IF(B2931,INDEX(Dow,1,WEEKDAY(E2931,2)),"")</f>
        <v/>
      </c>
      <c r="M2931">
        <f>IF(B2931,(1+Trend)^D2931,"")</f>
        <v/>
      </c>
      <c r="N2931">
        <f>IF(B2931,EXP(SUMPRODUCT(LN(1+(EvEff-1)*INDEX(Affected,0,C2931)*EXP(-((E2931-EvCenter)^2)/(2*EvSigma^2))))),"")</f>
        <v/>
      </c>
      <c r="O2931">
        <f>IF(B2931,ROUND(MAX(0,J2931*K2931*L2931*M2931*N2931),2),"")</f>
        <v/>
      </c>
    </row>
    <row r="2932">
      <c r="A2932" t="n">
        <v>2931</v>
      </c>
      <c r="B2932">
        <f>A2932&lt;=MineCount*Days</f>
        <v/>
      </c>
      <c r="C2932">
        <f>IF(B2932,INT((A2932-1)/Days)+1,"")</f>
        <v/>
      </c>
      <c r="D2932">
        <f>IF(B2932,MOD(A2932-1,Days),"")</f>
        <v/>
      </c>
      <c r="E2932" s="16">
        <f>IF(B2932,StartDate+D2932,"")</f>
        <v/>
      </c>
      <c r="F2932">
        <f>IF(B2932,MAX(MOD(SIN(Seed*0.1373+C2932*12.9898+D2932*78.233)*43758.5453,1),1E-9),"")</f>
        <v/>
      </c>
      <c r="G2932">
        <f>IF(B2932,MOD(SIN(Seed*0.5917+C2932*39.3468+D2932*11.135)*24634.6345,1),"")</f>
        <v/>
      </c>
      <c r="H2932">
        <f>IF(B2932,SQRT(-2*LN(F2932))*COS(2*PI()*G2932),"")</f>
        <v/>
      </c>
      <c r="I2932">
        <f>IF(B2932,IF(D2932=0,H2932,Rho*I2931+SQRT(1-Rho^2)*H2932),"")</f>
        <v/>
      </c>
      <c r="J2932">
        <f>IF(B2932,IF(Dist="Normal",DistA+DistB*I2932,DistA+(DistB-DistA)*NORMSDIST(I2932)),"")</f>
        <v/>
      </c>
      <c r="K2932">
        <f>IF(B2932,INDEX(MineScale,C2932),"")</f>
        <v/>
      </c>
      <c r="L2932">
        <f>IF(B2932,INDEX(Dow,1,WEEKDAY(E2932,2)),"")</f>
        <v/>
      </c>
      <c r="M2932">
        <f>IF(B2932,(1+Trend)^D2932,"")</f>
        <v/>
      </c>
      <c r="N2932">
        <f>IF(B2932,EXP(SUMPRODUCT(LN(1+(EvEff-1)*INDEX(Affected,0,C2932)*EXP(-((E2932-EvCenter)^2)/(2*EvSigma^2))))),"")</f>
        <v/>
      </c>
      <c r="O2932">
        <f>IF(B2932,ROUND(MAX(0,J2932*K2932*L2932*M2932*N2932),2),"")</f>
        <v/>
      </c>
    </row>
    <row r="2933">
      <c r="A2933" t="n">
        <v>2932</v>
      </c>
      <c r="B2933">
        <f>A2933&lt;=MineCount*Days</f>
        <v/>
      </c>
      <c r="C2933">
        <f>IF(B2933,INT((A2933-1)/Days)+1,"")</f>
        <v/>
      </c>
      <c r="D2933">
        <f>IF(B2933,MOD(A2933-1,Days),"")</f>
        <v/>
      </c>
      <c r="E2933" s="16">
        <f>IF(B2933,StartDate+D2933,"")</f>
        <v/>
      </c>
      <c r="F2933">
        <f>IF(B2933,MAX(MOD(SIN(Seed*0.1373+C2933*12.9898+D2933*78.233)*43758.5453,1),1E-9),"")</f>
        <v/>
      </c>
      <c r="G2933">
        <f>IF(B2933,MOD(SIN(Seed*0.5917+C2933*39.3468+D2933*11.135)*24634.6345,1),"")</f>
        <v/>
      </c>
      <c r="H2933">
        <f>IF(B2933,SQRT(-2*LN(F2933))*COS(2*PI()*G2933),"")</f>
        <v/>
      </c>
      <c r="I2933">
        <f>IF(B2933,IF(D2933=0,H2933,Rho*I2932+SQRT(1-Rho^2)*H2933),"")</f>
        <v/>
      </c>
      <c r="J2933">
        <f>IF(B2933,IF(Dist="Normal",DistA+DistB*I2933,DistA+(DistB-DistA)*NORMSDIST(I2933)),"")</f>
        <v/>
      </c>
      <c r="K2933">
        <f>IF(B2933,INDEX(MineScale,C2933),"")</f>
        <v/>
      </c>
      <c r="L2933">
        <f>IF(B2933,INDEX(Dow,1,WEEKDAY(E2933,2)),"")</f>
        <v/>
      </c>
      <c r="M2933">
        <f>IF(B2933,(1+Trend)^D2933,"")</f>
        <v/>
      </c>
      <c r="N2933">
        <f>IF(B2933,EXP(SUMPRODUCT(LN(1+(EvEff-1)*INDEX(Affected,0,C2933)*EXP(-((E2933-EvCenter)^2)/(2*EvSigma^2))))),"")</f>
        <v/>
      </c>
      <c r="O2933">
        <f>IF(B2933,ROUND(MAX(0,J2933*K2933*L2933*M2933*N2933),2),"")</f>
        <v/>
      </c>
    </row>
    <row r="2934">
      <c r="A2934" t="n">
        <v>2933</v>
      </c>
      <c r="B2934">
        <f>A2934&lt;=MineCount*Days</f>
        <v/>
      </c>
      <c r="C2934">
        <f>IF(B2934,INT((A2934-1)/Days)+1,"")</f>
        <v/>
      </c>
      <c r="D2934">
        <f>IF(B2934,MOD(A2934-1,Days),"")</f>
        <v/>
      </c>
      <c r="E2934" s="16">
        <f>IF(B2934,StartDate+D2934,"")</f>
        <v/>
      </c>
      <c r="F2934">
        <f>IF(B2934,MAX(MOD(SIN(Seed*0.1373+C2934*12.9898+D2934*78.233)*43758.5453,1),1E-9),"")</f>
        <v/>
      </c>
      <c r="G2934">
        <f>IF(B2934,MOD(SIN(Seed*0.5917+C2934*39.3468+D2934*11.135)*24634.6345,1),"")</f>
        <v/>
      </c>
      <c r="H2934">
        <f>IF(B2934,SQRT(-2*LN(F2934))*COS(2*PI()*G2934),"")</f>
        <v/>
      </c>
      <c r="I2934">
        <f>IF(B2934,IF(D2934=0,H2934,Rho*I2933+SQRT(1-Rho^2)*H2934),"")</f>
        <v/>
      </c>
      <c r="J2934">
        <f>IF(B2934,IF(Dist="Normal",DistA+DistB*I2934,DistA+(DistB-DistA)*NORMSDIST(I2934)),"")</f>
        <v/>
      </c>
      <c r="K2934">
        <f>IF(B2934,INDEX(MineScale,C2934),"")</f>
        <v/>
      </c>
      <c r="L2934">
        <f>IF(B2934,INDEX(Dow,1,WEEKDAY(E2934,2)),"")</f>
        <v/>
      </c>
      <c r="M2934">
        <f>IF(B2934,(1+Trend)^D2934,"")</f>
        <v/>
      </c>
      <c r="N2934">
        <f>IF(B2934,EXP(SUMPRODUCT(LN(1+(EvEff-1)*INDEX(Affected,0,C2934)*EXP(-((E2934-EvCenter)^2)/(2*EvSigma^2))))),"")</f>
        <v/>
      </c>
      <c r="O2934">
        <f>IF(B2934,ROUND(MAX(0,J2934*K2934*L2934*M2934*N2934),2),"")</f>
        <v/>
      </c>
    </row>
    <row r="2935">
      <c r="A2935" t="n">
        <v>2934</v>
      </c>
      <c r="B2935">
        <f>A2935&lt;=MineCount*Days</f>
        <v/>
      </c>
      <c r="C2935">
        <f>IF(B2935,INT((A2935-1)/Days)+1,"")</f>
        <v/>
      </c>
      <c r="D2935">
        <f>IF(B2935,MOD(A2935-1,Days),"")</f>
        <v/>
      </c>
      <c r="E2935" s="16">
        <f>IF(B2935,StartDate+D2935,"")</f>
        <v/>
      </c>
      <c r="F2935">
        <f>IF(B2935,MAX(MOD(SIN(Seed*0.1373+C2935*12.9898+D2935*78.233)*43758.5453,1),1E-9),"")</f>
        <v/>
      </c>
      <c r="G2935">
        <f>IF(B2935,MOD(SIN(Seed*0.5917+C2935*39.3468+D2935*11.135)*24634.6345,1),"")</f>
        <v/>
      </c>
      <c r="H2935">
        <f>IF(B2935,SQRT(-2*LN(F2935))*COS(2*PI()*G2935),"")</f>
        <v/>
      </c>
      <c r="I2935">
        <f>IF(B2935,IF(D2935=0,H2935,Rho*I2934+SQRT(1-Rho^2)*H2935),"")</f>
        <v/>
      </c>
      <c r="J2935">
        <f>IF(B2935,IF(Dist="Normal",DistA+DistB*I2935,DistA+(DistB-DistA)*NORMSDIST(I2935)),"")</f>
        <v/>
      </c>
      <c r="K2935">
        <f>IF(B2935,INDEX(MineScale,C2935),"")</f>
        <v/>
      </c>
      <c r="L2935">
        <f>IF(B2935,INDEX(Dow,1,WEEKDAY(E2935,2)),"")</f>
        <v/>
      </c>
      <c r="M2935">
        <f>IF(B2935,(1+Trend)^D2935,"")</f>
        <v/>
      </c>
      <c r="N2935">
        <f>IF(B2935,EXP(SUMPRODUCT(LN(1+(EvEff-1)*INDEX(Affected,0,C2935)*EXP(-((E2935-EvCenter)^2)/(2*EvSigma^2))))),"")</f>
        <v/>
      </c>
      <c r="O2935">
        <f>IF(B2935,ROUND(MAX(0,J2935*K2935*L2935*M2935*N2935),2),"")</f>
        <v/>
      </c>
    </row>
    <row r="2936">
      <c r="A2936" t="n">
        <v>2935</v>
      </c>
      <c r="B2936">
        <f>A2936&lt;=MineCount*Days</f>
        <v/>
      </c>
      <c r="C2936">
        <f>IF(B2936,INT((A2936-1)/Days)+1,"")</f>
        <v/>
      </c>
      <c r="D2936">
        <f>IF(B2936,MOD(A2936-1,Days),"")</f>
        <v/>
      </c>
      <c r="E2936" s="16">
        <f>IF(B2936,StartDate+D2936,"")</f>
        <v/>
      </c>
      <c r="F2936">
        <f>IF(B2936,MAX(MOD(SIN(Seed*0.1373+C2936*12.9898+D2936*78.233)*43758.5453,1),1E-9),"")</f>
        <v/>
      </c>
      <c r="G2936">
        <f>IF(B2936,MOD(SIN(Seed*0.5917+C2936*39.3468+D2936*11.135)*24634.6345,1),"")</f>
        <v/>
      </c>
      <c r="H2936">
        <f>IF(B2936,SQRT(-2*LN(F2936))*COS(2*PI()*G2936),"")</f>
        <v/>
      </c>
      <c r="I2936">
        <f>IF(B2936,IF(D2936=0,H2936,Rho*I2935+SQRT(1-Rho^2)*H2936),"")</f>
        <v/>
      </c>
      <c r="J2936">
        <f>IF(B2936,IF(Dist="Normal",DistA+DistB*I2936,DistA+(DistB-DistA)*NORMSDIST(I2936)),"")</f>
        <v/>
      </c>
      <c r="K2936">
        <f>IF(B2936,INDEX(MineScale,C2936),"")</f>
        <v/>
      </c>
      <c r="L2936">
        <f>IF(B2936,INDEX(Dow,1,WEEKDAY(E2936,2)),"")</f>
        <v/>
      </c>
      <c r="M2936">
        <f>IF(B2936,(1+Trend)^D2936,"")</f>
        <v/>
      </c>
      <c r="N2936">
        <f>IF(B2936,EXP(SUMPRODUCT(LN(1+(EvEff-1)*INDEX(Affected,0,C2936)*EXP(-((E2936-EvCenter)^2)/(2*EvSigma^2))))),"")</f>
        <v/>
      </c>
      <c r="O2936">
        <f>IF(B2936,ROUND(MAX(0,J2936*K2936*L2936*M2936*N2936),2),"")</f>
        <v/>
      </c>
    </row>
    <row r="2937">
      <c r="A2937" t="n">
        <v>2936</v>
      </c>
      <c r="B2937">
        <f>A2937&lt;=MineCount*Days</f>
        <v/>
      </c>
      <c r="C2937">
        <f>IF(B2937,INT((A2937-1)/Days)+1,"")</f>
        <v/>
      </c>
      <c r="D2937">
        <f>IF(B2937,MOD(A2937-1,Days),"")</f>
        <v/>
      </c>
      <c r="E2937" s="16">
        <f>IF(B2937,StartDate+D2937,"")</f>
        <v/>
      </c>
      <c r="F2937">
        <f>IF(B2937,MAX(MOD(SIN(Seed*0.1373+C2937*12.9898+D2937*78.233)*43758.5453,1),1E-9),"")</f>
        <v/>
      </c>
      <c r="G2937">
        <f>IF(B2937,MOD(SIN(Seed*0.5917+C2937*39.3468+D2937*11.135)*24634.6345,1),"")</f>
        <v/>
      </c>
      <c r="H2937">
        <f>IF(B2937,SQRT(-2*LN(F2937))*COS(2*PI()*G2937),"")</f>
        <v/>
      </c>
      <c r="I2937">
        <f>IF(B2937,IF(D2937=0,H2937,Rho*I2936+SQRT(1-Rho^2)*H2937),"")</f>
        <v/>
      </c>
      <c r="J2937">
        <f>IF(B2937,IF(Dist="Normal",DistA+DistB*I2937,DistA+(DistB-DistA)*NORMSDIST(I2937)),"")</f>
        <v/>
      </c>
      <c r="K2937">
        <f>IF(B2937,INDEX(MineScale,C2937),"")</f>
        <v/>
      </c>
      <c r="L2937">
        <f>IF(B2937,INDEX(Dow,1,WEEKDAY(E2937,2)),"")</f>
        <v/>
      </c>
      <c r="M2937">
        <f>IF(B2937,(1+Trend)^D2937,"")</f>
        <v/>
      </c>
      <c r="N2937">
        <f>IF(B2937,EXP(SUMPRODUCT(LN(1+(EvEff-1)*INDEX(Affected,0,C2937)*EXP(-((E2937-EvCenter)^2)/(2*EvSigma^2))))),"")</f>
        <v/>
      </c>
      <c r="O2937">
        <f>IF(B2937,ROUND(MAX(0,J2937*K2937*L2937*M2937*N2937),2),"")</f>
        <v/>
      </c>
    </row>
    <row r="2938">
      <c r="A2938" t="n">
        <v>2937</v>
      </c>
      <c r="B2938">
        <f>A2938&lt;=MineCount*Days</f>
        <v/>
      </c>
      <c r="C2938">
        <f>IF(B2938,INT((A2938-1)/Days)+1,"")</f>
        <v/>
      </c>
      <c r="D2938">
        <f>IF(B2938,MOD(A2938-1,Days),"")</f>
        <v/>
      </c>
      <c r="E2938" s="16">
        <f>IF(B2938,StartDate+D2938,"")</f>
        <v/>
      </c>
      <c r="F2938">
        <f>IF(B2938,MAX(MOD(SIN(Seed*0.1373+C2938*12.9898+D2938*78.233)*43758.5453,1),1E-9),"")</f>
        <v/>
      </c>
      <c r="G2938">
        <f>IF(B2938,MOD(SIN(Seed*0.5917+C2938*39.3468+D2938*11.135)*24634.6345,1),"")</f>
        <v/>
      </c>
      <c r="H2938">
        <f>IF(B2938,SQRT(-2*LN(F2938))*COS(2*PI()*G2938),"")</f>
        <v/>
      </c>
      <c r="I2938">
        <f>IF(B2938,IF(D2938=0,H2938,Rho*I2937+SQRT(1-Rho^2)*H2938),"")</f>
        <v/>
      </c>
      <c r="J2938">
        <f>IF(B2938,IF(Dist="Normal",DistA+DistB*I2938,DistA+(DistB-DistA)*NORMSDIST(I2938)),"")</f>
        <v/>
      </c>
      <c r="K2938">
        <f>IF(B2938,INDEX(MineScale,C2938),"")</f>
        <v/>
      </c>
      <c r="L2938">
        <f>IF(B2938,INDEX(Dow,1,WEEKDAY(E2938,2)),"")</f>
        <v/>
      </c>
      <c r="M2938">
        <f>IF(B2938,(1+Trend)^D2938,"")</f>
        <v/>
      </c>
      <c r="N2938">
        <f>IF(B2938,EXP(SUMPRODUCT(LN(1+(EvEff-1)*INDEX(Affected,0,C2938)*EXP(-((E2938-EvCenter)^2)/(2*EvSigma^2))))),"")</f>
        <v/>
      </c>
      <c r="O2938">
        <f>IF(B2938,ROUND(MAX(0,J2938*K2938*L2938*M2938*N2938),2),"")</f>
        <v/>
      </c>
    </row>
    <row r="2939">
      <c r="A2939" t="n">
        <v>2938</v>
      </c>
      <c r="B2939">
        <f>A2939&lt;=MineCount*Days</f>
        <v/>
      </c>
      <c r="C2939">
        <f>IF(B2939,INT((A2939-1)/Days)+1,"")</f>
        <v/>
      </c>
      <c r="D2939">
        <f>IF(B2939,MOD(A2939-1,Days),"")</f>
        <v/>
      </c>
      <c r="E2939" s="16">
        <f>IF(B2939,StartDate+D2939,"")</f>
        <v/>
      </c>
      <c r="F2939">
        <f>IF(B2939,MAX(MOD(SIN(Seed*0.1373+C2939*12.9898+D2939*78.233)*43758.5453,1),1E-9),"")</f>
        <v/>
      </c>
      <c r="G2939">
        <f>IF(B2939,MOD(SIN(Seed*0.5917+C2939*39.3468+D2939*11.135)*24634.6345,1),"")</f>
        <v/>
      </c>
      <c r="H2939">
        <f>IF(B2939,SQRT(-2*LN(F2939))*COS(2*PI()*G2939),"")</f>
        <v/>
      </c>
      <c r="I2939">
        <f>IF(B2939,IF(D2939=0,H2939,Rho*I2938+SQRT(1-Rho^2)*H2939),"")</f>
        <v/>
      </c>
      <c r="J2939">
        <f>IF(B2939,IF(Dist="Normal",DistA+DistB*I2939,DistA+(DistB-DistA)*NORMSDIST(I2939)),"")</f>
        <v/>
      </c>
      <c r="K2939">
        <f>IF(B2939,INDEX(MineScale,C2939),"")</f>
        <v/>
      </c>
      <c r="L2939">
        <f>IF(B2939,INDEX(Dow,1,WEEKDAY(E2939,2)),"")</f>
        <v/>
      </c>
      <c r="M2939">
        <f>IF(B2939,(1+Trend)^D2939,"")</f>
        <v/>
      </c>
      <c r="N2939">
        <f>IF(B2939,EXP(SUMPRODUCT(LN(1+(EvEff-1)*INDEX(Affected,0,C2939)*EXP(-((E2939-EvCenter)^2)/(2*EvSigma^2))))),"")</f>
        <v/>
      </c>
      <c r="O2939">
        <f>IF(B2939,ROUND(MAX(0,J2939*K2939*L2939*M2939*N2939),2),"")</f>
        <v/>
      </c>
    </row>
    <row r="2940">
      <c r="A2940" t="n">
        <v>2939</v>
      </c>
      <c r="B2940">
        <f>A2940&lt;=MineCount*Days</f>
        <v/>
      </c>
      <c r="C2940">
        <f>IF(B2940,INT((A2940-1)/Days)+1,"")</f>
        <v/>
      </c>
      <c r="D2940">
        <f>IF(B2940,MOD(A2940-1,Days),"")</f>
        <v/>
      </c>
      <c r="E2940" s="16">
        <f>IF(B2940,StartDate+D2940,"")</f>
        <v/>
      </c>
      <c r="F2940">
        <f>IF(B2940,MAX(MOD(SIN(Seed*0.1373+C2940*12.9898+D2940*78.233)*43758.5453,1),1E-9),"")</f>
        <v/>
      </c>
      <c r="G2940">
        <f>IF(B2940,MOD(SIN(Seed*0.5917+C2940*39.3468+D2940*11.135)*24634.6345,1),"")</f>
        <v/>
      </c>
      <c r="H2940">
        <f>IF(B2940,SQRT(-2*LN(F2940))*COS(2*PI()*G2940),"")</f>
        <v/>
      </c>
      <c r="I2940">
        <f>IF(B2940,IF(D2940=0,H2940,Rho*I2939+SQRT(1-Rho^2)*H2940),"")</f>
        <v/>
      </c>
      <c r="J2940">
        <f>IF(B2940,IF(Dist="Normal",DistA+DistB*I2940,DistA+(DistB-DistA)*NORMSDIST(I2940)),"")</f>
        <v/>
      </c>
      <c r="K2940">
        <f>IF(B2940,INDEX(MineScale,C2940),"")</f>
        <v/>
      </c>
      <c r="L2940">
        <f>IF(B2940,INDEX(Dow,1,WEEKDAY(E2940,2)),"")</f>
        <v/>
      </c>
      <c r="M2940">
        <f>IF(B2940,(1+Trend)^D2940,"")</f>
        <v/>
      </c>
      <c r="N2940">
        <f>IF(B2940,EXP(SUMPRODUCT(LN(1+(EvEff-1)*INDEX(Affected,0,C2940)*EXP(-((E2940-EvCenter)^2)/(2*EvSigma^2))))),"")</f>
        <v/>
      </c>
      <c r="O2940">
        <f>IF(B2940,ROUND(MAX(0,J2940*K2940*L2940*M2940*N2940),2),"")</f>
        <v/>
      </c>
    </row>
    <row r="2941">
      <c r="A2941" t="n">
        <v>2940</v>
      </c>
      <c r="B2941">
        <f>A2941&lt;=MineCount*Days</f>
        <v/>
      </c>
      <c r="C2941">
        <f>IF(B2941,INT((A2941-1)/Days)+1,"")</f>
        <v/>
      </c>
      <c r="D2941">
        <f>IF(B2941,MOD(A2941-1,Days),"")</f>
        <v/>
      </c>
      <c r="E2941" s="16">
        <f>IF(B2941,StartDate+D2941,"")</f>
        <v/>
      </c>
      <c r="F2941">
        <f>IF(B2941,MAX(MOD(SIN(Seed*0.1373+C2941*12.9898+D2941*78.233)*43758.5453,1),1E-9),"")</f>
        <v/>
      </c>
      <c r="G2941">
        <f>IF(B2941,MOD(SIN(Seed*0.5917+C2941*39.3468+D2941*11.135)*24634.6345,1),"")</f>
        <v/>
      </c>
      <c r="H2941">
        <f>IF(B2941,SQRT(-2*LN(F2941))*COS(2*PI()*G2941),"")</f>
        <v/>
      </c>
      <c r="I2941">
        <f>IF(B2941,IF(D2941=0,H2941,Rho*I2940+SQRT(1-Rho^2)*H2941),"")</f>
        <v/>
      </c>
      <c r="J2941">
        <f>IF(B2941,IF(Dist="Normal",DistA+DistB*I2941,DistA+(DistB-DistA)*NORMSDIST(I2941)),"")</f>
        <v/>
      </c>
      <c r="K2941">
        <f>IF(B2941,INDEX(MineScale,C2941),"")</f>
        <v/>
      </c>
      <c r="L2941">
        <f>IF(B2941,INDEX(Dow,1,WEEKDAY(E2941,2)),"")</f>
        <v/>
      </c>
      <c r="M2941">
        <f>IF(B2941,(1+Trend)^D2941,"")</f>
        <v/>
      </c>
      <c r="N2941">
        <f>IF(B2941,EXP(SUMPRODUCT(LN(1+(EvEff-1)*INDEX(Affected,0,C2941)*EXP(-((E2941-EvCenter)^2)/(2*EvSigma^2))))),"")</f>
        <v/>
      </c>
      <c r="O2941">
        <f>IF(B2941,ROUND(MAX(0,J2941*K2941*L2941*M2941*N2941),2),"")</f>
        <v/>
      </c>
    </row>
    <row r="2942">
      <c r="A2942" t="n">
        <v>2941</v>
      </c>
      <c r="B2942">
        <f>A2942&lt;=MineCount*Days</f>
        <v/>
      </c>
      <c r="C2942">
        <f>IF(B2942,INT((A2942-1)/Days)+1,"")</f>
        <v/>
      </c>
      <c r="D2942">
        <f>IF(B2942,MOD(A2942-1,Days),"")</f>
        <v/>
      </c>
      <c r="E2942" s="16">
        <f>IF(B2942,StartDate+D2942,"")</f>
        <v/>
      </c>
      <c r="F2942">
        <f>IF(B2942,MAX(MOD(SIN(Seed*0.1373+C2942*12.9898+D2942*78.233)*43758.5453,1),1E-9),"")</f>
        <v/>
      </c>
      <c r="G2942">
        <f>IF(B2942,MOD(SIN(Seed*0.5917+C2942*39.3468+D2942*11.135)*24634.6345,1),"")</f>
        <v/>
      </c>
      <c r="H2942">
        <f>IF(B2942,SQRT(-2*LN(F2942))*COS(2*PI()*G2942),"")</f>
        <v/>
      </c>
      <c r="I2942">
        <f>IF(B2942,IF(D2942=0,H2942,Rho*I2941+SQRT(1-Rho^2)*H2942),"")</f>
        <v/>
      </c>
      <c r="J2942">
        <f>IF(B2942,IF(Dist="Normal",DistA+DistB*I2942,DistA+(DistB-DistA)*NORMSDIST(I2942)),"")</f>
        <v/>
      </c>
      <c r="K2942">
        <f>IF(B2942,INDEX(MineScale,C2942),"")</f>
        <v/>
      </c>
      <c r="L2942">
        <f>IF(B2942,INDEX(Dow,1,WEEKDAY(E2942,2)),"")</f>
        <v/>
      </c>
      <c r="M2942">
        <f>IF(B2942,(1+Trend)^D2942,"")</f>
        <v/>
      </c>
      <c r="N2942">
        <f>IF(B2942,EXP(SUMPRODUCT(LN(1+(EvEff-1)*INDEX(Affected,0,C2942)*EXP(-((E2942-EvCenter)^2)/(2*EvSigma^2))))),"")</f>
        <v/>
      </c>
      <c r="O2942">
        <f>IF(B2942,ROUND(MAX(0,J2942*K2942*L2942*M2942*N2942),2),"")</f>
        <v/>
      </c>
    </row>
    <row r="2943">
      <c r="A2943" t="n">
        <v>2942</v>
      </c>
      <c r="B2943">
        <f>A2943&lt;=MineCount*Days</f>
        <v/>
      </c>
      <c r="C2943">
        <f>IF(B2943,INT((A2943-1)/Days)+1,"")</f>
        <v/>
      </c>
      <c r="D2943">
        <f>IF(B2943,MOD(A2943-1,Days),"")</f>
        <v/>
      </c>
      <c r="E2943" s="16">
        <f>IF(B2943,StartDate+D2943,"")</f>
        <v/>
      </c>
      <c r="F2943">
        <f>IF(B2943,MAX(MOD(SIN(Seed*0.1373+C2943*12.9898+D2943*78.233)*43758.5453,1),1E-9),"")</f>
        <v/>
      </c>
      <c r="G2943">
        <f>IF(B2943,MOD(SIN(Seed*0.5917+C2943*39.3468+D2943*11.135)*24634.6345,1),"")</f>
        <v/>
      </c>
      <c r="H2943">
        <f>IF(B2943,SQRT(-2*LN(F2943))*COS(2*PI()*G2943),"")</f>
        <v/>
      </c>
      <c r="I2943">
        <f>IF(B2943,IF(D2943=0,H2943,Rho*I2942+SQRT(1-Rho^2)*H2943),"")</f>
        <v/>
      </c>
      <c r="J2943">
        <f>IF(B2943,IF(Dist="Normal",DistA+DistB*I2943,DistA+(DistB-DistA)*NORMSDIST(I2943)),"")</f>
        <v/>
      </c>
      <c r="K2943">
        <f>IF(B2943,INDEX(MineScale,C2943),"")</f>
        <v/>
      </c>
      <c r="L2943">
        <f>IF(B2943,INDEX(Dow,1,WEEKDAY(E2943,2)),"")</f>
        <v/>
      </c>
      <c r="M2943">
        <f>IF(B2943,(1+Trend)^D2943,"")</f>
        <v/>
      </c>
      <c r="N2943">
        <f>IF(B2943,EXP(SUMPRODUCT(LN(1+(EvEff-1)*INDEX(Affected,0,C2943)*EXP(-((E2943-EvCenter)^2)/(2*EvSigma^2))))),"")</f>
        <v/>
      </c>
      <c r="O2943">
        <f>IF(B2943,ROUND(MAX(0,J2943*K2943*L2943*M2943*N2943),2),"")</f>
        <v/>
      </c>
    </row>
    <row r="2944">
      <c r="A2944" t="n">
        <v>2943</v>
      </c>
      <c r="B2944">
        <f>A2944&lt;=MineCount*Days</f>
        <v/>
      </c>
      <c r="C2944">
        <f>IF(B2944,INT((A2944-1)/Days)+1,"")</f>
        <v/>
      </c>
      <c r="D2944">
        <f>IF(B2944,MOD(A2944-1,Days),"")</f>
        <v/>
      </c>
      <c r="E2944" s="16">
        <f>IF(B2944,StartDate+D2944,"")</f>
        <v/>
      </c>
      <c r="F2944">
        <f>IF(B2944,MAX(MOD(SIN(Seed*0.1373+C2944*12.9898+D2944*78.233)*43758.5453,1),1E-9),"")</f>
        <v/>
      </c>
      <c r="G2944">
        <f>IF(B2944,MOD(SIN(Seed*0.5917+C2944*39.3468+D2944*11.135)*24634.6345,1),"")</f>
        <v/>
      </c>
      <c r="H2944">
        <f>IF(B2944,SQRT(-2*LN(F2944))*COS(2*PI()*G2944),"")</f>
        <v/>
      </c>
      <c r="I2944">
        <f>IF(B2944,IF(D2944=0,H2944,Rho*I2943+SQRT(1-Rho^2)*H2944),"")</f>
        <v/>
      </c>
      <c r="J2944">
        <f>IF(B2944,IF(Dist="Normal",DistA+DistB*I2944,DistA+(DistB-DistA)*NORMSDIST(I2944)),"")</f>
        <v/>
      </c>
      <c r="K2944">
        <f>IF(B2944,INDEX(MineScale,C2944),"")</f>
        <v/>
      </c>
      <c r="L2944">
        <f>IF(B2944,INDEX(Dow,1,WEEKDAY(E2944,2)),"")</f>
        <v/>
      </c>
      <c r="M2944">
        <f>IF(B2944,(1+Trend)^D2944,"")</f>
        <v/>
      </c>
      <c r="N2944">
        <f>IF(B2944,EXP(SUMPRODUCT(LN(1+(EvEff-1)*INDEX(Affected,0,C2944)*EXP(-((E2944-EvCenter)^2)/(2*EvSigma^2))))),"")</f>
        <v/>
      </c>
      <c r="O2944">
        <f>IF(B2944,ROUND(MAX(0,J2944*K2944*L2944*M2944*N2944),2),"")</f>
        <v/>
      </c>
    </row>
    <row r="2945">
      <c r="A2945" t="n">
        <v>2944</v>
      </c>
      <c r="B2945">
        <f>A2945&lt;=MineCount*Days</f>
        <v/>
      </c>
      <c r="C2945">
        <f>IF(B2945,INT((A2945-1)/Days)+1,"")</f>
        <v/>
      </c>
      <c r="D2945">
        <f>IF(B2945,MOD(A2945-1,Days),"")</f>
        <v/>
      </c>
      <c r="E2945" s="16">
        <f>IF(B2945,StartDate+D2945,"")</f>
        <v/>
      </c>
      <c r="F2945">
        <f>IF(B2945,MAX(MOD(SIN(Seed*0.1373+C2945*12.9898+D2945*78.233)*43758.5453,1),1E-9),"")</f>
        <v/>
      </c>
      <c r="G2945">
        <f>IF(B2945,MOD(SIN(Seed*0.5917+C2945*39.3468+D2945*11.135)*24634.6345,1),"")</f>
        <v/>
      </c>
      <c r="H2945">
        <f>IF(B2945,SQRT(-2*LN(F2945))*COS(2*PI()*G2945),"")</f>
        <v/>
      </c>
      <c r="I2945">
        <f>IF(B2945,IF(D2945=0,H2945,Rho*I2944+SQRT(1-Rho^2)*H2945),"")</f>
        <v/>
      </c>
      <c r="J2945">
        <f>IF(B2945,IF(Dist="Normal",DistA+DistB*I2945,DistA+(DistB-DistA)*NORMSDIST(I2945)),"")</f>
        <v/>
      </c>
      <c r="K2945">
        <f>IF(B2945,INDEX(MineScale,C2945),"")</f>
        <v/>
      </c>
      <c r="L2945">
        <f>IF(B2945,INDEX(Dow,1,WEEKDAY(E2945,2)),"")</f>
        <v/>
      </c>
      <c r="M2945">
        <f>IF(B2945,(1+Trend)^D2945,"")</f>
        <v/>
      </c>
      <c r="N2945">
        <f>IF(B2945,EXP(SUMPRODUCT(LN(1+(EvEff-1)*INDEX(Affected,0,C2945)*EXP(-((E2945-EvCenter)^2)/(2*EvSigma^2))))),"")</f>
        <v/>
      </c>
      <c r="O2945">
        <f>IF(B2945,ROUND(MAX(0,J2945*K2945*L2945*M2945*N2945),2),"")</f>
        <v/>
      </c>
    </row>
    <row r="2946">
      <c r="A2946" t="n">
        <v>2945</v>
      </c>
      <c r="B2946">
        <f>A2946&lt;=MineCount*Days</f>
        <v/>
      </c>
      <c r="C2946">
        <f>IF(B2946,INT((A2946-1)/Days)+1,"")</f>
        <v/>
      </c>
      <c r="D2946">
        <f>IF(B2946,MOD(A2946-1,Days),"")</f>
        <v/>
      </c>
      <c r="E2946" s="16">
        <f>IF(B2946,StartDate+D2946,"")</f>
        <v/>
      </c>
      <c r="F2946">
        <f>IF(B2946,MAX(MOD(SIN(Seed*0.1373+C2946*12.9898+D2946*78.233)*43758.5453,1),1E-9),"")</f>
        <v/>
      </c>
      <c r="G2946">
        <f>IF(B2946,MOD(SIN(Seed*0.5917+C2946*39.3468+D2946*11.135)*24634.6345,1),"")</f>
        <v/>
      </c>
      <c r="H2946">
        <f>IF(B2946,SQRT(-2*LN(F2946))*COS(2*PI()*G2946),"")</f>
        <v/>
      </c>
      <c r="I2946">
        <f>IF(B2946,IF(D2946=0,H2946,Rho*I2945+SQRT(1-Rho^2)*H2946),"")</f>
        <v/>
      </c>
      <c r="J2946">
        <f>IF(B2946,IF(Dist="Normal",DistA+DistB*I2946,DistA+(DistB-DistA)*NORMSDIST(I2946)),"")</f>
        <v/>
      </c>
      <c r="K2946">
        <f>IF(B2946,INDEX(MineScale,C2946),"")</f>
        <v/>
      </c>
      <c r="L2946">
        <f>IF(B2946,INDEX(Dow,1,WEEKDAY(E2946,2)),"")</f>
        <v/>
      </c>
      <c r="M2946">
        <f>IF(B2946,(1+Trend)^D2946,"")</f>
        <v/>
      </c>
      <c r="N2946">
        <f>IF(B2946,EXP(SUMPRODUCT(LN(1+(EvEff-1)*INDEX(Affected,0,C2946)*EXP(-((E2946-EvCenter)^2)/(2*EvSigma^2))))),"")</f>
        <v/>
      </c>
      <c r="O2946">
        <f>IF(B2946,ROUND(MAX(0,J2946*K2946*L2946*M2946*N2946),2),"")</f>
        <v/>
      </c>
    </row>
    <row r="2947">
      <c r="A2947" t="n">
        <v>2946</v>
      </c>
      <c r="B2947">
        <f>A2947&lt;=MineCount*Days</f>
        <v/>
      </c>
      <c r="C2947">
        <f>IF(B2947,INT((A2947-1)/Days)+1,"")</f>
        <v/>
      </c>
      <c r="D2947">
        <f>IF(B2947,MOD(A2947-1,Days),"")</f>
        <v/>
      </c>
      <c r="E2947" s="16">
        <f>IF(B2947,StartDate+D2947,"")</f>
        <v/>
      </c>
      <c r="F2947">
        <f>IF(B2947,MAX(MOD(SIN(Seed*0.1373+C2947*12.9898+D2947*78.233)*43758.5453,1),1E-9),"")</f>
        <v/>
      </c>
      <c r="G2947">
        <f>IF(B2947,MOD(SIN(Seed*0.5917+C2947*39.3468+D2947*11.135)*24634.6345,1),"")</f>
        <v/>
      </c>
      <c r="H2947">
        <f>IF(B2947,SQRT(-2*LN(F2947))*COS(2*PI()*G2947),"")</f>
        <v/>
      </c>
      <c r="I2947">
        <f>IF(B2947,IF(D2947=0,H2947,Rho*I2946+SQRT(1-Rho^2)*H2947),"")</f>
        <v/>
      </c>
      <c r="J2947">
        <f>IF(B2947,IF(Dist="Normal",DistA+DistB*I2947,DistA+(DistB-DistA)*NORMSDIST(I2947)),"")</f>
        <v/>
      </c>
      <c r="K2947">
        <f>IF(B2947,INDEX(MineScale,C2947),"")</f>
        <v/>
      </c>
      <c r="L2947">
        <f>IF(B2947,INDEX(Dow,1,WEEKDAY(E2947,2)),"")</f>
        <v/>
      </c>
      <c r="M2947">
        <f>IF(B2947,(1+Trend)^D2947,"")</f>
        <v/>
      </c>
      <c r="N2947">
        <f>IF(B2947,EXP(SUMPRODUCT(LN(1+(EvEff-1)*INDEX(Affected,0,C2947)*EXP(-((E2947-EvCenter)^2)/(2*EvSigma^2))))),"")</f>
        <v/>
      </c>
      <c r="O2947">
        <f>IF(B2947,ROUND(MAX(0,J2947*K2947*L2947*M2947*N2947),2),"")</f>
        <v/>
      </c>
    </row>
    <row r="2948">
      <c r="A2948" t="n">
        <v>2947</v>
      </c>
      <c r="B2948">
        <f>A2948&lt;=MineCount*Days</f>
        <v/>
      </c>
      <c r="C2948">
        <f>IF(B2948,INT((A2948-1)/Days)+1,"")</f>
        <v/>
      </c>
      <c r="D2948">
        <f>IF(B2948,MOD(A2948-1,Days),"")</f>
        <v/>
      </c>
      <c r="E2948" s="16">
        <f>IF(B2948,StartDate+D2948,"")</f>
        <v/>
      </c>
      <c r="F2948">
        <f>IF(B2948,MAX(MOD(SIN(Seed*0.1373+C2948*12.9898+D2948*78.233)*43758.5453,1),1E-9),"")</f>
        <v/>
      </c>
      <c r="G2948">
        <f>IF(B2948,MOD(SIN(Seed*0.5917+C2948*39.3468+D2948*11.135)*24634.6345,1),"")</f>
        <v/>
      </c>
      <c r="H2948">
        <f>IF(B2948,SQRT(-2*LN(F2948))*COS(2*PI()*G2948),"")</f>
        <v/>
      </c>
      <c r="I2948">
        <f>IF(B2948,IF(D2948=0,H2948,Rho*I2947+SQRT(1-Rho^2)*H2948),"")</f>
        <v/>
      </c>
      <c r="J2948">
        <f>IF(B2948,IF(Dist="Normal",DistA+DistB*I2948,DistA+(DistB-DistA)*NORMSDIST(I2948)),"")</f>
        <v/>
      </c>
      <c r="K2948">
        <f>IF(B2948,INDEX(MineScale,C2948),"")</f>
        <v/>
      </c>
      <c r="L2948">
        <f>IF(B2948,INDEX(Dow,1,WEEKDAY(E2948,2)),"")</f>
        <v/>
      </c>
      <c r="M2948">
        <f>IF(B2948,(1+Trend)^D2948,"")</f>
        <v/>
      </c>
      <c r="N2948">
        <f>IF(B2948,EXP(SUMPRODUCT(LN(1+(EvEff-1)*INDEX(Affected,0,C2948)*EXP(-((E2948-EvCenter)^2)/(2*EvSigma^2))))),"")</f>
        <v/>
      </c>
      <c r="O2948">
        <f>IF(B2948,ROUND(MAX(0,J2948*K2948*L2948*M2948*N2948),2),"")</f>
        <v/>
      </c>
    </row>
    <row r="2949">
      <c r="A2949" t="n">
        <v>2948</v>
      </c>
      <c r="B2949">
        <f>A2949&lt;=MineCount*Days</f>
        <v/>
      </c>
      <c r="C2949">
        <f>IF(B2949,INT((A2949-1)/Days)+1,"")</f>
        <v/>
      </c>
      <c r="D2949">
        <f>IF(B2949,MOD(A2949-1,Days),"")</f>
        <v/>
      </c>
      <c r="E2949" s="16">
        <f>IF(B2949,StartDate+D2949,"")</f>
        <v/>
      </c>
      <c r="F2949">
        <f>IF(B2949,MAX(MOD(SIN(Seed*0.1373+C2949*12.9898+D2949*78.233)*43758.5453,1),1E-9),"")</f>
        <v/>
      </c>
      <c r="G2949">
        <f>IF(B2949,MOD(SIN(Seed*0.5917+C2949*39.3468+D2949*11.135)*24634.6345,1),"")</f>
        <v/>
      </c>
      <c r="H2949">
        <f>IF(B2949,SQRT(-2*LN(F2949))*COS(2*PI()*G2949),"")</f>
        <v/>
      </c>
      <c r="I2949">
        <f>IF(B2949,IF(D2949=0,H2949,Rho*I2948+SQRT(1-Rho^2)*H2949),"")</f>
        <v/>
      </c>
      <c r="J2949">
        <f>IF(B2949,IF(Dist="Normal",DistA+DistB*I2949,DistA+(DistB-DistA)*NORMSDIST(I2949)),"")</f>
        <v/>
      </c>
      <c r="K2949">
        <f>IF(B2949,INDEX(MineScale,C2949),"")</f>
        <v/>
      </c>
      <c r="L2949">
        <f>IF(B2949,INDEX(Dow,1,WEEKDAY(E2949,2)),"")</f>
        <v/>
      </c>
      <c r="M2949">
        <f>IF(B2949,(1+Trend)^D2949,"")</f>
        <v/>
      </c>
      <c r="N2949">
        <f>IF(B2949,EXP(SUMPRODUCT(LN(1+(EvEff-1)*INDEX(Affected,0,C2949)*EXP(-((E2949-EvCenter)^2)/(2*EvSigma^2))))),"")</f>
        <v/>
      </c>
      <c r="O2949">
        <f>IF(B2949,ROUND(MAX(0,J2949*K2949*L2949*M2949*N2949),2),"")</f>
        <v/>
      </c>
    </row>
    <row r="2950">
      <c r="A2950" t="n">
        <v>2949</v>
      </c>
      <c r="B2950">
        <f>A2950&lt;=MineCount*Days</f>
        <v/>
      </c>
      <c r="C2950">
        <f>IF(B2950,INT((A2950-1)/Days)+1,"")</f>
        <v/>
      </c>
      <c r="D2950">
        <f>IF(B2950,MOD(A2950-1,Days),"")</f>
        <v/>
      </c>
      <c r="E2950" s="16">
        <f>IF(B2950,StartDate+D2950,"")</f>
        <v/>
      </c>
      <c r="F2950">
        <f>IF(B2950,MAX(MOD(SIN(Seed*0.1373+C2950*12.9898+D2950*78.233)*43758.5453,1),1E-9),"")</f>
        <v/>
      </c>
      <c r="G2950">
        <f>IF(B2950,MOD(SIN(Seed*0.5917+C2950*39.3468+D2950*11.135)*24634.6345,1),"")</f>
        <v/>
      </c>
      <c r="H2950">
        <f>IF(B2950,SQRT(-2*LN(F2950))*COS(2*PI()*G2950),"")</f>
        <v/>
      </c>
      <c r="I2950">
        <f>IF(B2950,IF(D2950=0,H2950,Rho*I2949+SQRT(1-Rho^2)*H2950),"")</f>
        <v/>
      </c>
      <c r="J2950">
        <f>IF(B2950,IF(Dist="Normal",DistA+DistB*I2950,DistA+(DistB-DistA)*NORMSDIST(I2950)),"")</f>
        <v/>
      </c>
      <c r="K2950">
        <f>IF(B2950,INDEX(MineScale,C2950),"")</f>
        <v/>
      </c>
      <c r="L2950">
        <f>IF(B2950,INDEX(Dow,1,WEEKDAY(E2950,2)),"")</f>
        <v/>
      </c>
      <c r="M2950">
        <f>IF(B2950,(1+Trend)^D2950,"")</f>
        <v/>
      </c>
      <c r="N2950">
        <f>IF(B2950,EXP(SUMPRODUCT(LN(1+(EvEff-1)*INDEX(Affected,0,C2950)*EXP(-((E2950-EvCenter)^2)/(2*EvSigma^2))))),"")</f>
        <v/>
      </c>
      <c r="O2950">
        <f>IF(B2950,ROUND(MAX(0,J2950*K2950*L2950*M2950*N2950),2),"")</f>
        <v/>
      </c>
    </row>
    <row r="2951">
      <c r="A2951" t="n">
        <v>2950</v>
      </c>
      <c r="B2951">
        <f>A2951&lt;=MineCount*Days</f>
        <v/>
      </c>
      <c r="C2951">
        <f>IF(B2951,INT((A2951-1)/Days)+1,"")</f>
        <v/>
      </c>
      <c r="D2951">
        <f>IF(B2951,MOD(A2951-1,Days),"")</f>
        <v/>
      </c>
      <c r="E2951" s="16">
        <f>IF(B2951,StartDate+D2951,"")</f>
        <v/>
      </c>
      <c r="F2951">
        <f>IF(B2951,MAX(MOD(SIN(Seed*0.1373+C2951*12.9898+D2951*78.233)*43758.5453,1),1E-9),"")</f>
        <v/>
      </c>
      <c r="G2951">
        <f>IF(B2951,MOD(SIN(Seed*0.5917+C2951*39.3468+D2951*11.135)*24634.6345,1),"")</f>
        <v/>
      </c>
      <c r="H2951">
        <f>IF(B2951,SQRT(-2*LN(F2951))*COS(2*PI()*G2951),"")</f>
        <v/>
      </c>
      <c r="I2951">
        <f>IF(B2951,IF(D2951=0,H2951,Rho*I2950+SQRT(1-Rho^2)*H2951),"")</f>
        <v/>
      </c>
      <c r="J2951">
        <f>IF(B2951,IF(Dist="Normal",DistA+DistB*I2951,DistA+(DistB-DistA)*NORMSDIST(I2951)),"")</f>
        <v/>
      </c>
      <c r="K2951">
        <f>IF(B2951,INDEX(MineScale,C2951),"")</f>
        <v/>
      </c>
      <c r="L2951">
        <f>IF(B2951,INDEX(Dow,1,WEEKDAY(E2951,2)),"")</f>
        <v/>
      </c>
      <c r="M2951">
        <f>IF(B2951,(1+Trend)^D2951,"")</f>
        <v/>
      </c>
      <c r="N2951">
        <f>IF(B2951,EXP(SUMPRODUCT(LN(1+(EvEff-1)*INDEX(Affected,0,C2951)*EXP(-((E2951-EvCenter)^2)/(2*EvSigma^2))))),"")</f>
        <v/>
      </c>
      <c r="O2951">
        <f>IF(B2951,ROUND(MAX(0,J2951*K2951*L2951*M2951*N2951),2),"")</f>
        <v/>
      </c>
    </row>
    <row r="2952">
      <c r="A2952" t="n">
        <v>2951</v>
      </c>
      <c r="B2952">
        <f>A2952&lt;=MineCount*Days</f>
        <v/>
      </c>
      <c r="C2952">
        <f>IF(B2952,INT((A2952-1)/Days)+1,"")</f>
        <v/>
      </c>
      <c r="D2952">
        <f>IF(B2952,MOD(A2952-1,Days),"")</f>
        <v/>
      </c>
      <c r="E2952" s="16">
        <f>IF(B2952,StartDate+D2952,"")</f>
        <v/>
      </c>
      <c r="F2952">
        <f>IF(B2952,MAX(MOD(SIN(Seed*0.1373+C2952*12.9898+D2952*78.233)*43758.5453,1),1E-9),"")</f>
        <v/>
      </c>
      <c r="G2952">
        <f>IF(B2952,MOD(SIN(Seed*0.5917+C2952*39.3468+D2952*11.135)*24634.6345,1),"")</f>
        <v/>
      </c>
      <c r="H2952">
        <f>IF(B2952,SQRT(-2*LN(F2952))*COS(2*PI()*G2952),"")</f>
        <v/>
      </c>
      <c r="I2952">
        <f>IF(B2952,IF(D2952=0,H2952,Rho*I2951+SQRT(1-Rho^2)*H2952),"")</f>
        <v/>
      </c>
      <c r="J2952">
        <f>IF(B2952,IF(Dist="Normal",DistA+DistB*I2952,DistA+(DistB-DistA)*NORMSDIST(I2952)),"")</f>
        <v/>
      </c>
      <c r="K2952">
        <f>IF(B2952,INDEX(MineScale,C2952),"")</f>
        <v/>
      </c>
      <c r="L2952">
        <f>IF(B2952,INDEX(Dow,1,WEEKDAY(E2952,2)),"")</f>
        <v/>
      </c>
      <c r="M2952">
        <f>IF(B2952,(1+Trend)^D2952,"")</f>
        <v/>
      </c>
      <c r="N2952">
        <f>IF(B2952,EXP(SUMPRODUCT(LN(1+(EvEff-1)*INDEX(Affected,0,C2952)*EXP(-((E2952-EvCenter)^2)/(2*EvSigma^2))))),"")</f>
        <v/>
      </c>
      <c r="O2952">
        <f>IF(B2952,ROUND(MAX(0,J2952*K2952*L2952*M2952*N2952),2),"")</f>
        <v/>
      </c>
    </row>
    <row r="2953">
      <c r="A2953" t="n">
        <v>2952</v>
      </c>
      <c r="B2953">
        <f>A2953&lt;=MineCount*Days</f>
        <v/>
      </c>
      <c r="C2953">
        <f>IF(B2953,INT((A2953-1)/Days)+1,"")</f>
        <v/>
      </c>
      <c r="D2953">
        <f>IF(B2953,MOD(A2953-1,Days),"")</f>
        <v/>
      </c>
      <c r="E2953" s="16">
        <f>IF(B2953,StartDate+D2953,"")</f>
        <v/>
      </c>
      <c r="F2953">
        <f>IF(B2953,MAX(MOD(SIN(Seed*0.1373+C2953*12.9898+D2953*78.233)*43758.5453,1),1E-9),"")</f>
        <v/>
      </c>
      <c r="G2953">
        <f>IF(B2953,MOD(SIN(Seed*0.5917+C2953*39.3468+D2953*11.135)*24634.6345,1),"")</f>
        <v/>
      </c>
      <c r="H2953">
        <f>IF(B2953,SQRT(-2*LN(F2953))*COS(2*PI()*G2953),"")</f>
        <v/>
      </c>
      <c r="I2953">
        <f>IF(B2953,IF(D2953=0,H2953,Rho*I2952+SQRT(1-Rho^2)*H2953),"")</f>
        <v/>
      </c>
      <c r="J2953">
        <f>IF(B2953,IF(Dist="Normal",DistA+DistB*I2953,DistA+(DistB-DistA)*NORMSDIST(I2953)),"")</f>
        <v/>
      </c>
      <c r="K2953">
        <f>IF(B2953,INDEX(MineScale,C2953),"")</f>
        <v/>
      </c>
      <c r="L2953">
        <f>IF(B2953,INDEX(Dow,1,WEEKDAY(E2953,2)),"")</f>
        <v/>
      </c>
      <c r="M2953">
        <f>IF(B2953,(1+Trend)^D2953,"")</f>
        <v/>
      </c>
      <c r="N2953">
        <f>IF(B2953,EXP(SUMPRODUCT(LN(1+(EvEff-1)*INDEX(Affected,0,C2953)*EXP(-((E2953-EvCenter)^2)/(2*EvSigma^2))))),"")</f>
        <v/>
      </c>
      <c r="O2953">
        <f>IF(B2953,ROUND(MAX(0,J2953*K2953*L2953*M2953*N2953),2),"")</f>
        <v/>
      </c>
    </row>
    <row r="2954">
      <c r="A2954" t="n">
        <v>2953</v>
      </c>
      <c r="B2954">
        <f>A2954&lt;=MineCount*Days</f>
        <v/>
      </c>
      <c r="C2954">
        <f>IF(B2954,INT((A2954-1)/Days)+1,"")</f>
        <v/>
      </c>
      <c r="D2954">
        <f>IF(B2954,MOD(A2954-1,Days),"")</f>
        <v/>
      </c>
      <c r="E2954" s="16">
        <f>IF(B2954,StartDate+D2954,"")</f>
        <v/>
      </c>
      <c r="F2954">
        <f>IF(B2954,MAX(MOD(SIN(Seed*0.1373+C2954*12.9898+D2954*78.233)*43758.5453,1),1E-9),"")</f>
        <v/>
      </c>
      <c r="G2954">
        <f>IF(B2954,MOD(SIN(Seed*0.5917+C2954*39.3468+D2954*11.135)*24634.6345,1),"")</f>
        <v/>
      </c>
      <c r="H2954">
        <f>IF(B2954,SQRT(-2*LN(F2954))*COS(2*PI()*G2954),"")</f>
        <v/>
      </c>
      <c r="I2954">
        <f>IF(B2954,IF(D2954=0,H2954,Rho*I2953+SQRT(1-Rho^2)*H2954),"")</f>
        <v/>
      </c>
      <c r="J2954">
        <f>IF(B2954,IF(Dist="Normal",DistA+DistB*I2954,DistA+(DistB-DistA)*NORMSDIST(I2954)),"")</f>
        <v/>
      </c>
      <c r="K2954">
        <f>IF(B2954,INDEX(MineScale,C2954),"")</f>
        <v/>
      </c>
      <c r="L2954">
        <f>IF(B2954,INDEX(Dow,1,WEEKDAY(E2954,2)),"")</f>
        <v/>
      </c>
      <c r="M2954">
        <f>IF(B2954,(1+Trend)^D2954,"")</f>
        <v/>
      </c>
      <c r="N2954">
        <f>IF(B2954,EXP(SUMPRODUCT(LN(1+(EvEff-1)*INDEX(Affected,0,C2954)*EXP(-((E2954-EvCenter)^2)/(2*EvSigma^2))))),"")</f>
        <v/>
      </c>
      <c r="O2954">
        <f>IF(B2954,ROUND(MAX(0,J2954*K2954*L2954*M2954*N2954),2),"")</f>
        <v/>
      </c>
    </row>
    <row r="2955">
      <c r="A2955" t="n">
        <v>2954</v>
      </c>
      <c r="B2955">
        <f>A2955&lt;=MineCount*Days</f>
        <v/>
      </c>
      <c r="C2955">
        <f>IF(B2955,INT((A2955-1)/Days)+1,"")</f>
        <v/>
      </c>
      <c r="D2955">
        <f>IF(B2955,MOD(A2955-1,Days),"")</f>
        <v/>
      </c>
      <c r="E2955" s="16">
        <f>IF(B2955,StartDate+D2955,"")</f>
        <v/>
      </c>
      <c r="F2955">
        <f>IF(B2955,MAX(MOD(SIN(Seed*0.1373+C2955*12.9898+D2955*78.233)*43758.5453,1),1E-9),"")</f>
        <v/>
      </c>
      <c r="G2955">
        <f>IF(B2955,MOD(SIN(Seed*0.5917+C2955*39.3468+D2955*11.135)*24634.6345,1),"")</f>
        <v/>
      </c>
      <c r="H2955">
        <f>IF(B2955,SQRT(-2*LN(F2955))*COS(2*PI()*G2955),"")</f>
        <v/>
      </c>
      <c r="I2955">
        <f>IF(B2955,IF(D2955=0,H2955,Rho*I2954+SQRT(1-Rho^2)*H2955),"")</f>
        <v/>
      </c>
      <c r="J2955">
        <f>IF(B2955,IF(Dist="Normal",DistA+DistB*I2955,DistA+(DistB-DistA)*NORMSDIST(I2955)),"")</f>
        <v/>
      </c>
      <c r="K2955">
        <f>IF(B2955,INDEX(MineScale,C2955),"")</f>
        <v/>
      </c>
      <c r="L2955">
        <f>IF(B2955,INDEX(Dow,1,WEEKDAY(E2955,2)),"")</f>
        <v/>
      </c>
      <c r="M2955">
        <f>IF(B2955,(1+Trend)^D2955,"")</f>
        <v/>
      </c>
      <c r="N2955">
        <f>IF(B2955,EXP(SUMPRODUCT(LN(1+(EvEff-1)*INDEX(Affected,0,C2955)*EXP(-((E2955-EvCenter)^2)/(2*EvSigma^2))))),"")</f>
        <v/>
      </c>
      <c r="O2955">
        <f>IF(B2955,ROUND(MAX(0,J2955*K2955*L2955*M2955*N2955),2),"")</f>
        <v/>
      </c>
    </row>
    <row r="2956">
      <c r="A2956" t="n">
        <v>2955</v>
      </c>
      <c r="B2956">
        <f>A2956&lt;=MineCount*Days</f>
        <v/>
      </c>
      <c r="C2956">
        <f>IF(B2956,INT((A2956-1)/Days)+1,"")</f>
        <v/>
      </c>
      <c r="D2956">
        <f>IF(B2956,MOD(A2956-1,Days),"")</f>
        <v/>
      </c>
      <c r="E2956" s="16">
        <f>IF(B2956,StartDate+D2956,"")</f>
        <v/>
      </c>
      <c r="F2956">
        <f>IF(B2956,MAX(MOD(SIN(Seed*0.1373+C2956*12.9898+D2956*78.233)*43758.5453,1),1E-9),"")</f>
        <v/>
      </c>
      <c r="G2956">
        <f>IF(B2956,MOD(SIN(Seed*0.5917+C2956*39.3468+D2956*11.135)*24634.6345,1),"")</f>
        <v/>
      </c>
      <c r="H2956">
        <f>IF(B2956,SQRT(-2*LN(F2956))*COS(2*PI()*G2956),"")</f>
        <v/>
      </c>
      <c r="I2956">
        <f>IF(B2956,IF(D2956=0,H2956,Rho*I2955+SQRT(1-Rho^2)*H2956),"")</f>
        <v/>
      </c>
      <c r="J2956">
        <f>IF(B2956,IF(Dist="Normal",DistA+DistB*I2956,DistA+(DistB-DistA)*NORMSDIST(I2956)),"")</f>
        <v/>
      </c>
      <c r="K2956">
        <f>IF(B2956,INDEX(MineScale,C2956),"")</f>
        <v/>
      </c>
      <c r="L2956">
        <f>IF(B2956,INDEX(Dow,1,WEEKDAY(E2956,2)),"")</f>
        <v/>
      </c>
      <c r="M2956">
        <f>IF(B2956,(1+Trend)^D2956,"")</f>
        <v/>
      </c>
      <c r="N2956">
        <f>IF(B2956,EXP(SUMPRODUCT(LN(1+(EvEff-1)*INDEX(Affected,0,C2956)*EXP(-((E2956-EvCenter)^2)/(2*EvSigma^2))))),"")</f>
        <v/>
      </c>
      <c r="O2956">
        <f>IF(B2956,ROUND(MAX(0,J2956*K2956*L2956*M2956*N2956),2),"")</f>
        <v/>
      </c>
    </row>
    <row r="2957">
      <c r="A2957" t="n">
        <v>2956</v>
      </c>
      <c r="B2957">
        <f>A2957&lt;=MineCount*Days</f>
        <v/>
      </c>
      <c r="C2957">
        <f>IF(B2957,INT((A2957-1)/Days)+1,"")</f>
        <v/>
      </c>
      <c r="D2957">
        <f>IF(B2957,MOD(A2957-1,Days),"")</f>
        <v/>
      </c>
      <c r="E2957" s="16">
        <f>IF(B2957,StartDate+D2957,"")</f>
        <v/>
      </c>
      <c r="F2957">
        <f>IF(B2957,MAX(MOD(SIN(Seed*0.1373+C2957*12.9898+D2957*78.233)*43758.5453,1),1E-9),"")</f>
        <v/>
      </c>
      <c r="G2957">
        <f>IF(B2957,MOD(SIN(Seed*0.5917+C2957*39.3468+D2957*11.135)*24634.6345,1),"")</f>
        <v/>
      </c>
      <c r="H2957">
        <f>IF(B2957,SQRT(-2*LN(F2957))*COS(2*PI()*G2957),"")</f>
        <v/>
      </c>
      <c r="I2957">
        <f>IF(B2957,IF(D2957=0,H2957,Rho*I2956+SQRT(1-Rho^2)*H2957),"")</f>
        <v/>
      </c>
      <c r="J2957">
        <f>IF(B2957,IF(Dist="Normal",DistA+DistB*I2957,DistA+(DistB-DistA)*NORMSDIST(I2957)),"")</f>
        <v/>
      </c>
      <c r="K2957">
        <f>IF(B2957,INDEX(MineScale,C2957),"")</f>
        <v/>
      </c>
      <c r="L2957">
        <f>IF(B2957,INDEX(Dow,1,WEEKDAY(E2957,2)),"")</f>
        <v/>
      </c>
      <c r="M2957">
        <f>IF(B2957,(1+Trend)^D2957,"")</f>
        <v/>
      </c>
      <c r="N2957">
        <f>IF(B2957,EXP(SUMPRODUCT(LN(1+(EvEff-1)*INDEX(Affected,0,C2957)*EXP(-((E2957-EvCenter)^2)/(2*EvSigma^2))))),"")</f>
        <v/>
      </c>
      <c r="O2957">
        <f>IF(B2957,ROUND(MAX(0,J2957*K2957*L2957*M2957*N2957),2),"")</f>
        <v/>
      </c>
    </row>
    <row r="2958">
      <c r="A2958" t="n">
        <v>2957</v>
      </c>
      <c r="B2958">
        <f>A2958&lt;=MineCount*Days</f>
        <v/>
      </c>
      <c r="C2958">
        <f>IF(B2958,INT((A2958-1)/Days)+1,"")</f>
        <v/>
      </c>
      <c r="D2958">
        <f>IF(B2958,MOD(A2958-1,Days),"")</f>
        <v/>
      </c>
      <c r="E2958" s="16">
        <f>IF(B2958,StartDate+D2958,"")</f>
        <v/>
      </c>
      <c r="F2958">
        <f>IF(B2958,MAX(MOD(SIN(Seed*0.1373+C2958*12.9898+D2958*78.233)*43758.5453,1),1E-9),"")</f>
        <v/>
      </c>
      <c r="G2958">
        <f>IF(B2958,MOD(SIN(Seed*0.5917+C2958*39.3468+D2958*11.135)*24634.6345,1),"")</f>
        <v/>
      </c>
      <c r="H2958">
        <f>IF(B2958,SQRT(-2*LN(F2958))*COS(2*PI()*G2958),"")</f>
        <v/>
      </c>
      <c r="I2958">
        <f>IF(B2958,IF(D2958=0,H2958,Rho*I2957+SQRT(1-Rho^2)*H2958),"")</f>
        <v/>
      </c>
      <c r="J2958">
        <f>IF(B2958,IF(Dist="Normal",DistA+DistB*I2958,DistA+(DistB-DistA)*NORMSDIST(I2958)),"")</f>
        <v/>
      </c>
      <c r="K2958">
        <f>IF(B2958,INDEX(MineScale,C2958),"")</f>
        <v/>
      </c>
      <c r="L2958">
        <f>IF(B2958,INDEX(Dow,1,WEEKDAY(E2958,2)),"")</f>
        <v/>
      </c>
      <c r="M2958">
        <f>IF(B2958,(1+Trend)^D2958,"")</f>
        <v/>
      </c>
      <c r="N2958">
        <f>IF(B2958,EXP(SUMPRODUCT(LN(1+(EvEff-1)*INDEX(Affected,0,C2958)*EXP(-((E2958-EvCenter)^2)/(2*EvSigma^2))))),"")</f>
        <v/>
      </c>
      <c r="O2958">
        <f>IF(B2958,ROUND(MAX(0,J2958*K2958*L2958*M2958*N2958),2),"")</f>
        <v/>
      </c>
    </row>
    <row r="2959">
      <c r="A2959" t="n">
        <v>2958</v>
      </c>
      <c r="B2959">
        <f>A2959&lt;=MineCount*Days</f>
        <v/>
      </c>
      <c r="C2959">
        <f>IF(B2959,INT((A2959-1)/Days)+1,"")</f>
        <v/>
      </c>
      <c r="D2959">
        <f>IF(B2959,MOD(A2959-1,Days),"")</f>
        <v/>
      </c>
      <c r="E2959" s="16">
        <f>IF(B2959,StartDate+D2959,"")</f>
        <v/>
      </c>
      <c r="F2959">
        <f>IF(B2959,MAX(MOD(SIN(Seed*0.1373+C2959*12.9898+D2959*78.233)*43758.5453,1),1E-9),"")</f>
        <v/>
      </c>
      <c r="G2959">
        <f>IF(B2959,MOD(SIN(Seed*0.5917+C2959*39.3468+D2959*11.135)*24634.6345,1),"")</f>
        <v/>
      </c>
      <c r="H2959">
        <f>IF(B2959,SQRT(-2*LN(F2959))*COS(2*PI()*G2959),"")</f>
        <v/>
      </c>
      <c r="I2959">
        <f>IF(B2959,IF(D2959=0,H2959,Rho*I2958+SQRT(1-Rho^2)*H2959),"")</f>
        <v/>
      </c>
      <c r="J2959">
        <f>IF(B2959,IF(Dist="Normal",DistA+DistB*I2959,DistA+(DistB-DistA)*NORMSDIST(I2959)),"")</f>
        <v/>
      </c>
      <c r="K2959">
        <f>IF(B2959,INDEX(MineScale,C2959),"")</f>
        <v/>
      </c>
      <c r="L2959">
        <f>IF(B2959,INDEX(Dow,1,WEEKDAY(E2959,2)),"")</f>
        <v/>
      </c>
      <c r="M2959">
        <f>IF(B2959,(1+Trend)^D2959,"")</f>
        <v/>
      </c>
      <c r="N2959">
        <f>IF(B2959,EXP(SUMPRODUCT(LN(1+(EvEff-1)*INDEX(Affected,0,C2959)*EXP(-((E2959-EvCenter)^2)/(2*EvSigma^2))))),"")</f>
        <v/>
      </c>
      <c r="O2959">
        <f>IF(B2959,ROUND(MAX(0,J2959*K2959*L2959*M2959*N2959),2),"")</f>
        <v/>
      </c>
    </row>
    <row r="2960">
      <c r="A2960" t="n">
        <v>2959</v>
      </c>
      <c r="B2960">
        <f>A2960&lt;=MineCount*Days</f>
        <v/>
      </c>
      <c r="C2960">
        <f>IF(B2960,INT((A2960-1)/Days)+1,"")</f>
        <v/>
      </c>
      <c r="D2960">
        <f>IF(B2960,MOD(A2960-1,Days),"")</f>
        <v/>
      </c>
      <c r="E2960" s="16">
        <f>IF(B2960,StartDate+D2960,"")</f>
        <v/>
      </c>
      <c r="F2960">
        <f>IF(B2960,MAX(MOD(SIN(Seed*0.1373+C2960*12.9898+D2960*78.233)*43758.5453,1),1E-9),"")</f>
        <v/>
      </c>
      <c r="G2960">
        <f>IF(B2960,MOD(SIN(Seed*0.5917+C2960*39.3468+D2960*11.135)*24634.6345,1),"")</f>
        <v/>
      </c>
      <c r="H2960">
        <f>IF(B2960,SQRT(-2*LN(F2960))*COS(2*PI()*G2960),"")</f>
        <v/>
      </c>
      <c r="I2960">
        <f>IF(B2960,IF(D2960=0,H2960,Rho*I2959+SQRT(1-Rho^2)*H2960),"")</f>
        <v/>
      </c>
      <c r="J2960">
        <f>IF(B2960,IF(Dist="Normal",DistA+DistB*I2960,DistA+(DistB-DistA)*NORMSDIST(I2960)),"")</f>
        <v/>
      </c>
      <c r="K2960">
        <f>IF(B2960,INDEX(MineScale,C2960),"")</f>
        <v/>
      </c>
      <c r="L2960">
        <f>IF(B2960,INDEX(Dow,1,WEEKDAY(E2960,2)),"")</f>
        <v/>
      </c>
      <c r="M2960">
        <f>IF(B2960,(1+Trend)^D2960,"")</f>
        <v/>
      </c>
      <c r="N2960">
        <f>IF(B2960,EXP(SUMPRODUCT(LN(1+(EvEff-1)*INDEX(Affected,0,C2960)*EXP(-((E2960-EvCenter)^2)/(2*EvSigma^2))))),"")</f>
        <v/>
      </c>
      <c r="O2960">
        <f>IF(B2960,ROUND(MAX(0,J2960*K2960*L2960*M2960*N2960),2),"")</f>
        <v/>
      </c>
    </row>
    <row r="2961">
      <c r="A2961" t="n">
        <v>2960</v>
      </c>
      <c r="B2961">
        <f>A2961&lt;=MineCount*Days</f>
        <v/>
      </c>
      <c r="C2961">
        <f>IF(B2961,INT((A2961-1)/Days)+1,"")</f>
        <v/>
      </c>
      <c r="D2961">
        <f>IF(B2961,MOD(A2961-1,Days),"")</f>
        <v/>
      </c>
      <c r="E2961" s="16">
        <f>IF(B2961,StartDate+D2961,"")</f>
        <v/>
      </c>
      <c r="F2961">
        <f>IF(B2961,MAX(MOD(SIN(Seed*0.1373+C2961*12.9898+D2961*78.233)*43758.5453,1),1E-9),"")</f>
        <v/>
      </c>
      <c r="G2961">
        <f>IF(B2961,MOD(SIN(Seed*0.5917+C2961*39.3468+D2961*11.135)*24634.6345,1),"")</f>
        <v/>
      </c>
      <c r="H2961">
        <f>IF(B2961,SQRT(-2*LN(F2961))*COS(2*PI()*G2961),"")</f>
        <v/>
      </c>
      <c r="I2961">
        <f>IF(B2961,IF(D2961=0,H2961,Rho*I2960+SQRT(1-Rho^2)*H2961),"")</f>
        <v/>
      </c>
      <c r="J2961">
        <f>IF(B2961,IF(Dist="Normal",DistA+DistB*I2961,DistA+(DistB-DistA)*NORMSDIST(I2961)),"")</f>
        <v/>
      </c>
      <c r="K2961">
        <f>IF(B2961,INDEX(MineScale,C2961),"")</f>
        <v/>
      </c>
      <c r="L2961">
        <f>IF(B2961,INDEX(Dow,1,WEEKDAY(E2961,2)),"")</f>
        <v/>
      </c>
      <c r="M2961">
        <f>IF(B2961,(1+Trend)^D2961,"")</f>
        <v/>
      </c>
      <c r="N2961">
        <f>IF(B2961,EXP(SUMPRODUCT(LN(1+(EvEff-1)*INDEX(Affected,0,C2961)*EXP(-((E2961-EvCenter)^2)/(2*EvSigma^2))))),"")</f>
        <v/>
      </c>
      <c r="O2961">
        <f>IF(B2961,ROUND(MAX(0,J2961*K2961*L2961*M2961*N2961),2),"")</f>
        <v/>
      </c>
    </row>
    <row r="2962">
      <c r="A2962" t="n">
        <v>2961</v>
      </c>
      <c r="B2962">
        <f>A2962&lt;=MineCount*Days</f>
        <v/>
      </c>
      <c r="C2962">
        <f>IF(B2962,INT((A2962-1)/Days)+1,"")</f>
        <v/>
      </c>
      <c r="D2962">
        <f>IF(B2962,MOD(A2962-1,Days),"")</f>
        <v/>
      </c>
      <c r="E2962" s="16">
        <f>IF(B2962,StartDate+D2962,"")</f>
        <v/>
      </c>
      <c r="F2962">
        <f>IF(B2962,MAX(MOD(SIN(Seed*0.1373+C2962*12.9898+D2962*78.233)*43758.5453,1),1E-9),"")</f>
        <v/>
      </c>
      <c r="G2962">
        <f>IF(B2962,MOD(SIN(Seed*0.5917+C2962*39.3468+D2962*11.135)*24634.6345,1),"")</f>
        <v/>
      </c>
      <c r="H2962">
        <f>IF(B2962,SQRT(-2*LN(F2962))*COS(2*PI()*G2962),"")</f>
        <v/>
      </c>
      <c r="I2962">
        <f>IF(B2962,IF(D2962=0,H2962,Rho*I2961+SQRT(1-Rho^2)*H2962),"")</f>
        <v/>
      </c>
      <c r="J2962">
        <f>IF(B2962,IF(Dist="Normal",DistA+DistB*I2962,DistA+(DistB-DistA)*NORMSDIST(I2962)),"")</f>
        <v/>
      </c>
      <c r="K2962">
        <f>IF(B2962,INDEX(MineScale,C2962),"")</f>
        <v/>
      </c>
      <c r="L2962">
        <f>IF(B2962,INDEX(Dow,1,WEEKDAY(E2962,2)),"")</f>
        <v/>
      </c>
      <c r="M2962">
        <f>IF(B2962,(1+Trend)^D2962,"")</f>
        <v/>
      </c>
      <c r="N2962">
        <f>IF(B2962,EXP(SUMPRODUCT(LN(1+(EvEff-1)*INDEX(Affected,0,C2962)*EXP(-((E2962-EvCenter)^2)/(2*EvSigma^2))))),"")</f>
        <v/>
      </c>
      <c r="O2962">
        <f>IF(B2962,ROUND(MAX(0,J2962*K2962*L2962*M2962*N2962),2),"")</f>
        <v/>
      </c>
    </row>
    <row r="2963">
      <c r="A2963" t="n">
        <v>2962</v>
      </c>
      <c r="B2963">
        <f>A2963&lt;=MineCount*Days</f>
        <v/>
      </c>
      <c r="C2963">
        <f>IF(B2963,INT((A2963-1)/Days)+1,"")</f>
        <v/>
      </c>
      <c r="D2963">
        <f>IF(B2963,MOD(A2963-1,Days),"")</f>
        <v/>
      </c>
      <c r="E2963" s="16">
        <f>IF(B2963,StartDate+D2963,"")</f>
        <v/>
      </c>
      <c r="F2963">
        <f>IF(B2963,MAX(MOD(SIN(Seed*0.1373+C2963*12.9898+D2963*78.233)*43758.5453,1),1E-9),"")</f>
        <v/>
      </c>
      <c r="G2963">
        <f>IF(B2963,MOD(SIN(Seed*0.5917+C2963*39.3468+D2963*11.135)*24634.6345,1),"")</f>
        <v/>
      </c>
      <c r="H2963">
        <f>IF(B2963,SQRT(-2*LN(F2963))*COS(2*PI()*G2963),"")</f>
        <v/>
      </c>
      <c r="I2963">
        <f>IF(B2963,IF(D2963=0,H2963,Rho*I2962+SQRT(1-Rho^2)*H2963),"")</f>
        <v/>
      </c>
      <c r="J2963">
        <f>IF(B2963,IF(Dist="Normal",DistA+DistB*I2963,DistA+(DistB-DistA)*NORMSDIST(I2963)),"")</f>
        <v/>
      </c>
      <c r="K2963">
        <f>IF(B2963,INDEX(MineScale,C2963),"")</f>
        <v/>
      </c>
      <c r="L2963">
        <f>IF(B2963,INDEX(Dow,1,WEEKDAY(E2963,2)),"")</f>
        <v/>
      </c>
      <c r="M2963">
        <f>IF(B2963,(1+Trend)^D2963,"")</f>
        <v/>
      </c>
      <c r="N2963">
        <f>IF(B2963,EXP(SUMPRODUCT(LN(1+(EvEff-1)*INDEX(Affected,0,C2963)*EXP(-((E2963-EvCenter)^2)/(2*EvSigma^2))))),"")</f>
        <v/>
      </c>
      <c r="O2963">
        <f>IF(B2963,ROUND(MAX(0,J2963*K2963*L2963*M2963*N2963),2),"")</f>
        <v/>
      </c>
    </row>
    <row r="2964">
      <c r="A2964" t="n">
        <v>2963</v>
      </c>
      <c r="B2964">
        <f>A2964&lt;=MineCount*Days</f>
        <v/>
      </c>
      <c r="C2964">
        <f>IF(B2964,INT((A2964-1)/Days)+1,"")</f>
        <v/>
      </c>
      <c r="D2964">
        <f>IF(B2964,MOD(A2964-1,Days),"")</f>
        <v/>
      </c>
      <c r="E2964" s="16">
        <f>IF(B2964,StartDate+D2964,"")</f>
        <v/>
      </c>
      <c r="F2964">
        <f>IF(B2964,MAX(MOD(SIN(Seed*0.1373+C2964*12.9898+D2964*78.233)*43758.5453,1),1E-9),"")</f>
        <v/>
      </c>
      <c r="G2964">
        <f>IF(B2964,MOD(SIN(Seed*0.5917+C2964*39.3468+D2964*11.135)*24634.6345,1),"")</f>
        <v/>
      </c>
      <c r="H2964">
        <f>IF(B2964,SQRT(-2*LN(F2964))*COS(2*PI()*G2964),"")</f>
        <v/>
      </c>
      <c r="I2964">
        <f>IF(B2964,IF(D2964=0,H2964,Rho*I2963+SQRT(1-Rho^2)*H2964),"")</f>
        <v/>
      </c>
      <c r="J2964">
        <f>IF(B2964,IF(Dist="Normal",DistA+DistB*I2964,DistA+(DistB-DistA)*NORMSDIST(I2964)),"")</f>
        <v/>
      </c>
      <c r="K2964">
        <f>IF(B2964,INDEX(MineScale,C2964),"")</f>
        <v/>
      </c>
      <c r="L2964">
        <f>IF(B2964,INDEX(Dow,1,WEEKDAY(E2964,2)),"")</f>
        <v/>
      </c>
      <c r="M2964">
        <f>IF(B2964,(1+Trend)^D2964,"")</f>
        <v/>
      </c>
      <c r="N2964">
        <f>IF(B2964,EXP(SUMPRODUCT(LN(1+(EvEff-1)*INDEX(Affected,0,C2964)*EXP(-((E2964-EvCenter)^2)/(2*EvSigma^2))))),"")</f>
        <v/>
      </c>
      <c r="O2964">
        <f>IF(B2964,ROUND(MAX(0,J2964*K2964*L2964*M2964*N2964),2),"")</f>
        <v/>
      </c>
    </row>
    <row r="2965">
      <c r="A2965" t="n">
        <v>2964</v>
      </c>
      <c r="B2965">
        <f>A2965&lt;=MineCount*Days</f>
        <v/>
      </c>
      <c r="C2965">
        <f>IF(B2965,INT((A2965-1)/Days)+1,"")</f>
        <v/>
      </c>
      <c r="D2965">
        <f>IF(B2965,MOD(A2965-1,Days),"")</f>
        <v/>
      </c>
      <c r="E2965" s="16">
        <f>IF(B2965,StartDate+D2965,"")</f>
        <v/>
      </c>
      <c r="F2965">
        <f>IF(B2965,MAX(MOD(SIN(Seed*0.1373+C2965*12.9898+D2965*78.233)*43758.5453,1),1E-9),"")</f>
        <v/>
      </c>
      <c r="G2965">
        <f>IF(B2965,MOD(SIN(Seed*0.5917+C2965*39.3468+D2965*11.135)*24634.6345,1),"")</f>
        <v/>
      </c>
      <c r="H2965">
        <f>IF(B2965,SQRT(-2*LN(F2965))*COS(2*PI()*G2965),"")</f>
        <v/>
      </c>
      <c r="I2965">
        <f>IF(B2965,IF(D2965=0,H2965,Rho*I2964+SQRT(1-Rho^2)*H2965),"")</f>
        <v/>
      </c>
      <c r="J2965">
        <f>IF(B2965,IF(Dist="Normal",DistA+DistB*I2965,DistA+(DistB-DistA)*NORMSDIST(I2965)),"")</f>
        <v/>
      </c>
      <c r="K2965">
        <f>IF(B2965,INDEX(MineScale,C2965),"")</f>
        <v/>
      </c>
      <c r="L2965">
        <f>IF(B2965,INDEX(Dow,1,WEEKDAY(E2965,2)),"")</f>
        <v/>
      </c>
      <c r="M2965">
        <f>IF(B2965,(1+Trend)^D2965,"")</f>
        <v/>
      </c>
      <c r="N2965">
        <f>IF(B2965,EXP(SUMPRODUCT(LN(1+(EvEff-1)*INDEX(Affected,0,C2965)*EXP(-((E2965-EvCenter)^2)/(2*EvSigma^2))))),"")</f>
        <v/>
      </c>
      <c r="O2965">
        <f>IF(B2965,ROUND(MAX(0,J2965*K2965*L2965*M2965*N2965),2),"")</f>
        <v/>
      </c>
    </row>
    <row r="2966">
      <c r="A2966" t="n">
        <v>2965</v>
      </c>
      <c r="B2966">
        <f>A2966&lt;=MineCount*Days</f>
        <v/>
      </c>
      <c r="C2966">
        <f>IF(B2966,INT((A2966-1)/Days)+1,"")</f>
        <v/>
      </c>
      <c r="D2966">
        <f>IF(B2966,MOD(A2966-1,Days),"")</f>
        <v/>
      </c>
      <c r="E2966" s="16">
        <f>IF(B2966,StartDate+D2966,"")</f>
        <v/>
      </c>
      <c r="F2966">
        <f>IF(B2966,MAX(MOD(SIN(Seed*0.1373+C2966*12.9898+D2966*78.233)*43758.5453,1),1E-9),"")</f>
        <v/>
      </c>
      <c r="G2966">
        <f>IF(B2966,MOD(SIN(Seed*0.5917+C2966*39.3468+D2966*11.135)*24634.6345,1),"")</f>
        <v/>
      </c>
      <c r="H2966">
        <f>IF(B2966,SQRT(-2*LN(F2966))*COS(2*PI()*G2966),"")</f>
        <v/>
      </c>
      <c r="I2966">
        <f>IF(B2966,IF(D2966=0,H2966,Rho*I2965+SQRT(1-Rho^2)*H2966),"")</f>
        <v/>
      </c>
      <c r="J2966">
        <f>IF(B2966,IF(Dist="Normal",DistA+DistB*I2966,DistA+(DistB-DistA)*NORMSDIST(I2966)),"")</f>
        <v/>
      </c>
      <c r="K2966">
        <f>IF(B2966,INDEX(MineScale,C2966),"")</f>
        <v/>
      </c>
      <c r="L2966">
        <f>IF(B2966,INDEX(Dow,1,WEEKDAY(E2966,2)),"")</f>
        <v/>
      </c>
      <c r="M2966">
        <f>IF(B2966,(1+Trend)^D2966,"")</f>
        <v/>
      </c>
      <c r="N2966">
        <f>IF(B2966,EXP(SUMPRODUCT(LN(1+(EvEff-1)*INDEX(Affected,0,C2966)*EXP(-((E2966-EvCenter)^2)/(2*EvSigma^2))))),"")</f>
        <v/>
      </c>
      <c r="O2966">
        <f>IF(B2966,ROUND(MAX(0,J2966*K2966*L2966*M2966*N2966),2),"")</f>
        <v/>
      </c>
    </row>
    <row r="2967">
      <c r="A2967" t="n">
        <v>2966</v>
      </c>
      <c r="B2967">
        <f>A2967&lt;=MineCount*Days</f>
        <v/>
      </c>
      <c r="C2967">
        <f>IF(B2967,INT((A2967-1)/Days)+1,"")</f>
        <v/>
      </c>
      <c r="D2967">
        <f>IF(B2967,MOD(A2967-1,Days),"")</f>
        <v/>
      </c>
      <c r="E2967" s="16">
        <f>IF(B2967,StartDate+D2967,"")</f>
        <v/>
      </c>
      <c r="F2967">
        <f>IF(B2967,MAX(MOD(SIN(Seed*0.1373+C2967*12.9898+D2967*78.233)*43758.5453,1),1E-9),"")</f>
        <v/>
      </c>
      <c r="G2967">
        <f>IF(B2967,MOD(SIN(Seed*0.5917+C2967*39.3468+D2967*11.135)*24634.6345,1),"")</f>
        <v/>
      </c>
      <c r="H2967">
        <f>IF(B2967,SQRT(-2*LN(F2967))*COS(2*PI()*G2967),"")</f>
        <v/>
      </c>
      <c r="I2967">
        <f>IF(B2967,IF(D2967=0,H2967,Rho*I2966+SQRT(1-Rho^2)*H2967),"")</f>
        <v/>
      </c>
      <c r="J2967">
        <f>IF(B2967,IF(Dist="Normal",DistA+DistB*I2967,DistA+(DistB-DistA)*NORMSDIST(I2967)),"")</f>
        <v/>
      </c>
      <c r="K2967">
        <f>IF(B2967,INDEX(MineScale,C2967),"")</f>
        <v/>
      </c>
      <c r="L2967">
        <f>IF(B2967,INDEX(Dow,1,WEEKDAY(E2967,2)),"")</f>
        <v/>
      </c>
      <c r="M2967">
        <f>IF(B2967,(1+Trend)^D2967,"")</f>
        <v/>
      </c>
      <c r="N2967">
        <f>IF(B2967,EXP(SUMPRODUCT(LN(1+(EvEff-1)*INDEX(Affected,0,C2967)*EXP(-((E2967-EvCenter)^2)/(2*EvSigma^2))))),"")</f>
        <v/>
      </c>
      <c r="O2967">
        <f>IF(B2967,ROUND(MAX(0,J2967*K2967*L2967*M2967*N2967),2),"")</f>
        <v/>
      </c>
    </row>
    <row r="2968">
      <c r="A2968" t="n">
        <v>2967</v>
      </c>
      <c r="B2968">
        <f>A2968&lt;=MineCount*Days</f>
        <v/>
      </c>
      <c r="C2968">
        <f>IF(B2968,INT((A2968-1)/Days)+1,"")</f>
        <v/>
      </c>
      <c r="D2968">
        <f>IF(B2968,MOD(A2968-1,Days),"")</f>
        <v/>
      </c>
      <c r="E2968" s="16">
        <f>IF(B2968,StartDate+D2968,"")</f>
        <v/>
      </c>
      <c r="F2968">
        <f>IF(B2968,MAX(MOD(SIN(Seed*0.1373+C2968*12.9898+D2968*78.233)*43758.5453,1),1E-9),"")</f>
        <v/>
      </c>
      <c r="G2968">
        <f>IF(B2968,MOD(SIN(Seed*0.5917+C2968*39.3468+D2968*11.135)*24634.6345,1),"")</f>
        <v/>
      </c>
      <c r="H2968">
        <f>IF(B2968,SQRT(-2*LN(F2968))*COS(2*PI()*G2968),"")</f>
        <v/>
      </c>
      <c r="I2968">
        <f>IF(B2968,IF(D2968=0,H2968,Rho*I2967+SQRT(1-Rho^2)*H2968),"")</f>
        <v/>
      </c>
      <c r="J2968">
        <f>IF(B2968,IF(Dist="Normal",DistA+DistB*I2968,DistA+(DistB-DistA)*NORMSDIST(I2968)),"")</f>
        <v/>
      </c>
      <c r="K2968">
        <f>IF(B2968,INDEX(MineScale,C2968),"")</f>
        <v/>
      </c>
      <c r="L2968">
        <f>IF(B2968,INDEX(Dow,1,WEEKDAY(E2968,2)),"")</f>
        <v/>
      </c>
      <c r="M2968">
        <f>IF(B2968,(1+Trend)^D2968,"")</f>
        <v/>
      </c>
      <c r="N2968">
        <f>IF(B2968,EXP(SUMPRODUCT(LN(1+(EvEff-1)*INDEX(Affected,0,C2968)*EXP(-((E2968-EvCenter)^2)/(2*EvSigma^2))))),"")</f>
        <v/>
      </c>
      <c r="O2968">
        <f>IF(B2968,ROUND(MAX(0,J2968*K2968*L2968*M2968*N2968),2),"")</f>
        <v/>
      </c>
    </row>
    <row r="2969">
      <c r="A2969" t="n">
        <v>2968</v>
      </c>
      <c r="B2969">
        <f>A2969&lt;=MineCount*Days</f>
        <v/>
      </c>
      <c r="C2969">
        <f>IF(B2969,INT((A2969-1)/Days)+1,"")</f>
        <v/>
      </c>
      <c r="D2969">
        <f>IF(B2969,MOD(A2969-1,Days),"")</f>
        <v/>
      </c>
      <c r="E2969" s="16">
        <f>IF(B2969,StartDate+D2969,"")</f>
        <v/>
      </c>
      <c r="F2969">
        <f>IF(B2969,MAX(MOD(SIN(Seed*0.1373+C2969*12.9898+D2969*78.233)*43758.5453,1),1E-9),"")</f>
        <v/>
      </c>
      <c r="G2969">
        <f>IF(B2969,MOD(SIN(Seed*0.5917+C2969*39.3468+D2969*11.135)*24634.6345,1),"")</f>
        <v/>
      </c>
      <c r="H2969">
        <f>IF(B2969,SQRT(-2*LN(F2969))*COS(2*PI()*G2969),"")</f>
        <v/>
      </c>
      <c r="I2969">
        <f>IF(B2969,IF(D2969=0,H2969,Rho*I2968+SQRT(1-Rho^2)*H2969),"")</f>
        <v/>
      </c>
      <c r="J2969">
        <f>IF(B2969,IF(Dist="Normal",DistA+DistB*I2969,DistA+(DistB-DistA)*NORMSDIST(I2969)),"")</f>
        <v/>
      </c>
      <c r="K2969">
        <f>IF(B2969,INDEX(MineScale,C2969),"")</f>
        <v/>
      </c>
      <c r="L2969">
        <f>IF(B2969,INDEX(Dow,1,WEEKDAY(E2969,2)),"")</f>
        <v/>
      </c>
      <c r="M2969">
        <f>IF(B2969,(1+Trend)^D2969,"")</f>
        <v/>
      </c>
      <c r="N2969">
        <f>IF(B2969,EXP(SUMPRODUCT(LN(1+(EvEff-1)*INDEX(Affected,0,C2969)*EXP(-((E2969-EvCenter)^2)/(2*EvSigma^2))))),"")</f>
        <v/>
      </c>
      <c r="O2969">
        <f>IF(B2969,ROUND(MAX(0,J2969*K2969*L2969*M2969*N2969),2),"")</f>
        <v/>
      </c>
    </row>
    <row r="2970">
      <c r="A2970" t="n">
        <v>2969</v>
      </c>
      <c r="B2970">
        <f>A2970&lt;=MineCount*Days</f>
        <v/>
      </c>
      <c r="C2970">
        <f>IF(B2970,INT((A2970-1)/Days)+1,"")</f>
        <v/>
      </c>
      <c r="D2970">
        <f>IF(B2970,MOD(A2970-1,Days),"")</f>
        <v/>
      </c>
      <c r="E2970" s="16">
        <f>IF(B2970,StartDate+D2970,"")</f>
        <v/>
      </c>
      <c r="F2970">
        <f>IF(B2970,MAX(MOD(SIN(Seed*0.1373+C2970*12.9898+D2970*78.233)*43758.5453,1),1E-9),"")</f>
        <v/>
      </c>
      <c r="G2970">
        <f>IF(B2970,MOD(SIN(Seed*0.5917+C2970*39.3468+D2970*11.135)*24634.6345,1),"")</f>
        <v/>
      </c>
      <c r="H2970">
        <f>IF(B2970,SQRT(-2*LN(F2970))*COS(2*PI()*G2970),"")</f>
        <v/>
      </c>
      <c r="I2970">
        <f>IF(B2970,IF(D2970=0,H2970,Rho*I2969+SQRT(1-Rho^2)*H2970),"")</f>
        <v/>
      </c>
      <c r="J2970">
        <f>IF(B2970,IF(Dist="Normal",DistA+DistB*I2970,DistA+(DistB-DistA)*NORMSDIST(I2970)),"")</f>
        <v/>
      </c>
      <c r="K2970">
        <f>IF(B2970,INDEX(MineScale,C2970),"")</f>
        <v/>
      </c>
      <c r="L2970">
        <f>IF(B2970,INDEX(Dow,1,WEEKDAY(E2970,2)),"")</f>
        <v/>
      </c>
      <c r="M2970">
        <f>IF(B2970,(1+Trend)^D2970,"")</f>
        <v/>
      </c>
      <c r="N2970">
        <f>IF(B2970,EXP(SUMPRODUCT(LN(1+(EvEff-1)*INDEX(Affected,0,C2970)*EXP(-((E2970-EvCenter)^2)/(2*EvSigma^2))))),"")</f>
        <v/>
      </c>
      <c r="O2970">
        <f>IF(B2970,ROUND(MAX(0,J2970*K2970*L2970*M2970*N2970),2),"")</f>
        <v/>
      </c>
    </row>
    <row r="2971">
      <c r="A2971" t="n">
        <v>2970</v>
      </c>
      <c r="B2971">
        <f>A2971&lt;=MineCount*Days</f>
        <v/>
      </c>
      <c r="C2971">
        <f>IF(B2971,INT((A2971-1)/Days)+1,"")</f>
        <v/>
      </c>
      <c r="D2971">
        <f>IF(B2971,MOD(A2971-1,Days),"")</f>
        <v/>
      </c>
      <c r="E2971" s="16">
        <f>IF(B2971,StartDate+D2971,"")</f>
        <v/>
      </c>
      <c r="F2971">
        <f>IF(B2971,MAX(MOD(SIN(Seed*0.1373+C2971*12.9898+D2971*78.233)*43758.5453,1),1E-9),"")</f>
        <v/>
      </c>
      <c r="G2971">
        <f>IF(B2971,MOD(SIN(Seed*0.5917+C2971*39.3468+D2971*11.135)*24634.6345,1),"")</f>
        <v/>
      </c>
      <c r="H2971">
        <f>IF(B2971,SQRT(-2*LN(F2971))*COS(2*PI()*G2971),"")</f>
        <v/>
      </c>
      <c r="I2971">
        <f>IF(B2971,IF(D2971=0,H2971,Rho*I2970+SQRT(1-Rho^2)*H2971),"")</f>
        <v/>
      </c>
      <c r="J2971">
        <f>IF(B2971,IF(Dist="Normal",DistA+DistB*I2971,DistA+(DistB-DistA)*NORMSDIST(I2971)),"")</f>
        <v/>
      </c>
      <c r="K2971">
        <f>IF(B2971,INDEX(MineScale,C2971),"")</f>
        <v/>
      </c>
      <c r="L2971">
        <f>IF(B2971,INDEX(Dow,1,WEEKDAY(E2971,2)),"")</f>
        <v/>
      </c>
      <c r="M2971">
        <f>IF(B2971,(1+Trend)^D2971,"")</f>
        <v/>
      </c>
      <c r="N2971">
        <f>IF(B2971,EXP(SUMPRODUCT(LN(1+(EvEff-1)*INDEX(Affected,0,C2971)*EXP(-((E2971-EvCenter)^2)/(2*EvSigma^2))))),"")</f>
        <v/>
      </c>
      <c r="O2971">
        <f>IF(B2971,ROUND(MAX(0,J2971*K2971*L2971*M2971*N2971),2),"")</f>
        <v/>
      </c>
    </row>
    <row r="2972">
      <c r="A2972" t="n">
        <v>2971</v>
      </c>
      <c r="B2972">
        <f>A2972&lt;=MineCount*Days</f>
        <v/>
      </c>
      <c r="C2972">
        <f>IF(B2972,INT((A2972-1)/Days)+1,"")</f>
        <v/>
      </c>
      <c r="D2972">
        <f>IF(B2972,MOD(A2972-1,Days),"")</f>
        <v/>
      </c>
      <c r="E2972" s="16">
        <f>IF(B2972,StartDate+D2972,"")</f>
        <v/>
      </c>
      <c r="F2972">
        <f>IF(B2972,MAX(MOD(SIN(Seed*0.1373+C2972*12.9898+D2972*78.233)*43758.5453,1),1E-9),"")</f>
        <v/>
      </c>
      <c r="G2972">
        <f>IF(B2972,MOD(SIN(Seed*0.5917+C2972*39.3468+D2972*11.135)*24634.6345,1),"")</f>
        <v/>
      </c>
      <c r="H2972">
        <f>IF(B2972,SQRT(-2*LN(F2972))*COS(2*PI()*G2972),"")</f>
        <v/>
      </c>
      <c r="I2972">
        <f>IF(B2972,IF(D2972=0,H2972,Rho*I2971+SQRT(1-Rho^2)*H2972),"")</f>
        <v/>
      </c>
      <c r="J2972">
        <f>IF(B2972,IF(Dist="Normal",DistA+DistB*I2972,DistA+(DistB-DistA)*NORMSDIST(I2972)),"")</f>
        <v/>
      </c>
      <c r="K2972">
        <f>IF(B2972,INDEX(MineScale,C2972),"")</f>
        <v/>
      </c>
      <c r="L2972">
        <f>IF(B2972,INDEX(Dow,1,WEEKDAY(E2972,2)),"")</f>
        <v/>
      </c>
      <c r="M2972">
        <f>IF(B2972,(1+Trend)^D2972,"")</f>
        <v/>
      </c>
      <c r="N2972">
        <f>IF(B2972,EXP(SUMPRODUCT(LN(1+(EvEff-1)*INDEX(Affected,0,C2972)*EXP(-((E2972-EvCenter)^2)/(2*EvSigma^2))))),"")</f>
        <v/>
      </c>
      <c r="O2972">
        <f>IF(B2972,ROUND(MAX(0,J2972*K2972*L2972*M2972*N2972),2),"")</f>
        <v/>
      </c>
    </row>
    <row r="2973">
      <c r="A2973" t="n">
        <v>2972</v>
      </c>
      <c r="B2973">
        <f>A2973&lt;=MineCount*Days</f>
        <v/>
      </c>
      <c r="C2973">
        <f>IF(B2973,INT((A2973-1)/Days)+1,"")</f>
        <v/>
      </c>
      <c r="D2973">
        <f>IF(B2973,MOD(A2973-1,Days),"")</f>
        <v/>
      </c>
      <c r="E2973" s="16">
        <f>IF(B2973,StartDate+D2973,"")</f>
        <v/>
      </c>
      <c r="F2973">
        <f>IF(B2973,MAX(MOD(SIN(Seed*0.1373+C2973*12.9898+D2973*78.233)*43758.5453,1),1E-9),"")</f>
        <v/>
      </c>
      <c r="G2973">
        <f>IF(B2973,MOD(SIN(Seed*0.5917+C2973*39.3468+D2973*11.135)*24634.6345,1),"")</f>
        <v/>
      </c>
      <c r="H2973">
        <f>IF(B2973,SQRT(-2*LN(F2973))*COS(2*PI()*G2973),"")</f>
        <v/>
      </c>
      <c r="I2973">
        <f>IF(B2973,IF(D2973=0,H2973,Rho*I2972+SQRT(1-Rho^2)*H2973),"")</f>
        <v/>
      </c>
      <c r="J2973">
        <f>IF(B2973,IF(Dist="Normal",DistA+DistB*I2973,DistA+(DistB-DistA)*NORMSDIST(I2973)),"")</f>
        <v/>
      </c>
      <c r="K2973">
        <f>IF(B2973,INDEX(MineScale,C2973),"")</f>
        <v/>
      </c>
      <c r="L2973">
        <f>IF(B2973,INDEX(Dow,1,WEEKDAY(E2973,2)),"")</f>
        <v/>
      </c>
      <c r="M2973">
        <f>IF(B2973,(1+Trend)^D2973,"")</f>
        <v/>
      </c>
      <c r="N2973">
        <f>IF(B2973,EXP(SUMPRODUCT(LN(1+(EvEff-1)*INDEX(Affected,0,C2973)*EXP(-((E2973-EvCenter)^2)/(2*EvSigma^2))))),"")</f>
        <v/>
      </c>
      <c r="O2973">
        <f>IF(B2973,ROUND(MAX(0,J2973*K2973*L2973*M2973*N2973),2),"")</f>
        <v/>
      </c>
    </row>
    <row r="2974">
      <c r="A2974" t="n">
        <v>2973</v>
      </c>
      <c r="B2974">
        <f>A2974&lt;=MineCount*Days</f>
        <v/>
      </c>
      <c r="C2974">
        <f>IF(B2974,INT((A2974-1)/Days)+1,"")</f>
        <v/>
      </c>
      <c r="D2974">
        <f>IF(B2974,MOD(A2974-1,Days),"")</f>
        <v/>
      </c>
      <c r="E2974" s="16">
        <f>IF(B2974,StartDate+D2974,"")</f>
        <v/>
      </c>
      <c r="F2974">
        <f>IF(B2974,MAX(MOD(SIN(Seed*0.1373+C2974*12.9898+D2974*78.233)*43758.5453,1),1E-9),"")</f>
        <v/>
      </c>
      <c r="G2974">
        <f>IF(B2974,MOD(SIN(Seed*0.5917+C2974*39.3468+D2974*11.135)*24634.6345,1),"")</f>
        <v/>
      </c>
      <c r="H2974">
        <f>IF(B2974,SQRT(-2*LN(F2974))*COS(2*PI()*G2974),"")</f>
        <v/>
      </c>
      <c r="I2974">
        <f>IF(B2974,IF(D2974=0,H2974,Rho*I2973+SQRT(1-Rho^2)*H2974),"")</f>
        <v/>
      </c>
      <c r="J2974">
        <f>IF(B2974,IF(Dist="Normal",DistA+DistB*I2974,DistA+(DistB-DistA)*NORMSDIST(I2974)),"")</f>
        <v/>
      </c>
      <c r="K2974">
        <f>IF(B2974,INDEX(MineScale,C2974),"")</f>
        <v/>
      </c>
      <c r="L2974">
        <f>IF(B2974,INDEX(Dow,1,WEEKDAY(E2974,2)),"")</f>
        <v/>
      </c>
      <c r="M2974">
        <f>IF(B2974,(1+Trend)^D2974,"")</f>
        <v/>
      </c>
      <c r="N2974">
        <f>IF(B2974,EXP(SUMPRODUCT(LN(1+(EvEff-1)*INDEX(Affected,0,C2974)*EXP(-((E2974-EvCenter)^2)/(2*EvSigma^2))))),"")</f>
        <v/>
      </c>
      <c r="O2974">
        <f>IF(B2974,ROUND(MAX(0,J2974*K2974*L2974*M2974*N2974),2),"")</f>
        <v/>
      </c>
    </row>
    <row r="2975">
      <c r="A2975" t="n">
        <v>2974</v>
      </c>
      <c r="B2975">
        <f>A2975&lt;=MineCount*Days</f>
        <v/>
      </c>
      <c r="C2975">
        <f>IF(B2975,INT((A2975-1)/Days)+1,"")</f>
        <v/>
      </c>
      <c r="D2975">
        <f>IF(B2975,MOD(A2975-1,Days),"")</f>
        <v/>
      </c>
      <c r="E2975" s="16">
        <f>IF(B2975,StartDate+D2975,"")</f>
        <v/>
      </c>
      <c r="F2975">
        <f>IF(B2975,MAX(MOD(SIN(Seed*0.1373+C2975*12.9898+D2975*78.233)*43758.5453,1),1E-9),"")</f>
        <v/>
      </c>
      <c r="G2975">
        <f>IF(B2975,MOD(SIN(Seed*0.5917+C2975*39.3468+D2975*11.135)*24634.6345,1),"")</f>
        <v/>
      </c>
      <c r="H2975">
        <f>IF(B2975,SQRT(-2*LN(F2975))*COS(2*PI()*G2975),"")</f>
        <v/>
      </c>
      <c r="I2975">
        <f>IF(B2975,IF(D2975=0,H2975,Rho*I2974+SQRT(1-Rho^2)*H2975),"")</f>
        <v/>
      </c>
      <c r="J2975">
        <f>IF(B2975,IF(Dist="Normal",DistA+DistB*I2975,DistA+(DistB-DistA)*NORMSDIST(I2975)),"")</f>
        <v/>
      </c>
      <c r="K2975">
        <f>IF(B2975,INDEX(MineScale,C2975),"")</f>
        <v/>
      </c>
      <c r="L2975">
        <f>IF(B2975,INDEX(Dow,1,WEEKDAY(E2975,2)),"")</f>
        <v/>
      </c>
      <c r="M2975">
        <f>IF(B2975,(1+Trend)^D2975,"")</f>
        <v/>
      </c>
      <c r="N2975">
        <f>IF(B2975,EXP(SUMPRODUCT(LN(1+(EvEff-1)*INDEX(Affected,0,C2975)*EXP(-((E2975-EvCenter)^2)/(2*EvSigma^2))))),"")</f>
        <v/>
      </c>
      <c r="O2975">
        <f>IF(B2975,ROUND(MAX(0,J2975*K2975*L2975*M2975*N2975),2),"")</f>
        <v/>
      </c>
    </row>
    <row r="2976">
      <c r="A2976" t="n">
        <v>2975</v>
      </c>
      <c r="B2976">
        <f>A2976&lt;=MineCount*Days</f>
        <v/>
      </c>
      <c r="C2976">
        <f>IF(B2976,INT((A2976-1)/Days)+1,"")</f>
        <v/>
      </c>
      <c r="D2976">
        <f>IF(B2976,MOD(A2976-1,Days),"")</f>
        <v/>
      </c>
      <c r="E2976" s="16">
        <f>IF(B2976,StartDate+D2976,"")</f>
        <v/>
      </c>
      <c r="F2976">
        <f>IF(B2976,MAX(MOD(SIN(Seed*0.1373+C2976*12.9898+D2976*78.233)*43758.5453,1),1E-9),"")</f>
        <v/>
      </c>
      <c r="G2976">
        <f>IF(B2976,MOD(SIN(Seed*0.5917+C2976*39.3468+D2976*11.135)*24634.6345,1),"")</f>
        <v/>
      </c>
      <c r="H2976">
        <f>IF(B2976,SQRT(-2*LN(F2976))*COS(2*PI()*G2976),"")</f>
        <v/>
      </c>
      <c r="I2976">
        <f>IF(B2976,IF(D2976=0,H2976,Rho*I2975+SQRT(1-Rho^2)*H2976),"")</f>
        <v/>
      </c>
      <c r="J2976">
        <f>IF(B2976,IF(Dist="Normal",DistA+DistB*I2976,DistA+(DistB-DistA)*NORMSDIST(I2976)),"")</f>
        <v/>
      </c>
      <c r="K2976">
        <f>IF(B2976,INDEX(MineScale,C2976),"")</f>
        <v/>
      </c>
      <c r="L2976">
        <f>IF(B2976,INDEX(Dow,1,WEEKDAY(E2976,2)),"")</f>
        <v/>
      </c>
      <c r="M2976">
        <f>IF(B2976,(1+Trend)^D2976,"")</f>
        <v/>
      </c>
      <c r="N2976">
        <f>IF(B2976,EXP(SUMPRODUCT(LN(1+(EvEff-1)*INDEX(Affected,0,C2976)*EXP(-((E2976-EvCenter)^2)/(2*EvSigma^2))))),"")</f>
        <v/>
      </c>
      <c r="O2976">
        <f>IF(B2976,ROUND(MAX(0,J2976*K2976*L2976*M2976*N2976),2),"")</f>
        <v/>
      </c>
    </row>
    <row r="2977">
      <c r="A2977" t="n">
        <v>2976</v>
      </c>
      <c r="B2977">
        <f>A2977&lt;=MineCount*Days</f>
        <v/>
      </c>
      <c r="C2977">
        <f>IF(B2977,INT((A2977-1)/Days)+1,"")</f>
        <v/>
      </c>
      <c r="D2977">
        <f>IF(B2977,MOD(A2977-1,Days),"")</f>
        <v/>
      </c>
      <c r="E2977" s="16">
        <f>IF(B2977,StartDate+D2977,"")</f>
        <v/>
      </c>
      <c r="F2977">
        <f>IF(B2977,MAX(MOD(SIN(Seed*0.1373+C2977*12.9898+D2977*78.233)*43758.5453,1),1E-9),"")</f>
        <v/>
      </c>
      <c r="G2977">
        <f>IF(B2977,MOD(SIN(Seed*0.5917+C2977*39.3468+D2977*11.135)*24634.6345,1),"")</f>
        <v/>
      </c>
      <c r="H2977">
        <f>IF(B2977,SQRT(-2*LN(F2977))*COS(2*PI()*G2977),"")</f>
        <v/>
      </c>
      <c r="I2977">
        <f>IF(B2977,IF(D2977=0,H2977,Rho*I2976+SQRT(1-Rho^2)*H2977),"")</f>
        <v/>
      </c>
      <c r="J2977">
        <f>IF(B2977,IF(Dist="Normal",DistA+DistB*I2977,DistA+(DistB-DistA)*NORMSDIST(I2977)),"")</f>
        <v/>
      </c>
      <c r="K2977">
        <f>IF(B2977,INDEX(MineScale,C2977),"")</f>
        <v/>
      </c>
      <c r="L2977">
        <f>IF(B2977,INDEX(Dow,1,WEEKDAY(E2977,2)),"")</f>
        <v/>
      </c>
      <c r="M2977">
        <f>IF(B2977,(1+Trend)^D2977,"")</f>
        <v/>
      </c>
      <c r="N2977">
        <f>IF(B2977,EXP(SUMPRODUCT(LN(1+(EvEff-1)*INDEX(Affected,0,C2977)*EXP(-((E2977-EvCenter)^2)/(2*EvSigma^2))))),"")</f>
        <v/>
      </c>
      <c r="O2977">
        <f>IF(B2977,ROUND(MAX(0,J2977*K2977*L2977*M2977*N2977),2),"")</f>
        <v/>
      </c>
    </row>
    <row r="2978">
      <c r="A2978" t="n">
        <v>2977</v>
      </c>
      <c r="B2978">
        <f>A2978&lt;=MineCount*Days</f>
        <v/>
      </c>
      <c r="C2978">
        <f>IF(B2978,INT((A2978-1)/Days)+1,"")</f>
        <v/>
      </c>
      <c r="D2978">
        <f>IF(B2978,MOD(A2978-1,Days),"")</f>
        <v/>
      </c>
      <c r="E2978" s="16">
        <f>IF(B2978,StartDate+D2978,"")</f>
        <v/>
      </c>
      <c r="F2978">
        <f>IF(B2978,MAX(MOD(SIN(Seed*0.1373+C2978*12.9898+D2978*78.233)*43758.5453,1),1E-9),"")</f>
        <v/>
      </c>
      <c r="G2978">
        <f>IF(B2978,MOD(SIN(Seed*0.5917+C2978*39.3468+D2978*11.135)*24634.6345,1),"")</f>
        <v/>
      </c>
      <c r="H2978">
        <f>IF(B2978,SQRT(-2*LN(F2978))*COS(2*PI()*G2978),"")</f>
        <v/>
      </c>
      <c r="I2978">
        <f>IF(B2978,IF(D2978=0,H2978,Rho*I2977+SQRT(1-Rho^2)*H2978),"")</f>
        <v/>
      </c>
      <c r="J2978">
        <f>IF(B2978,IF(Dist="Normal",DistA+DistB*I2978,DistA+(DistB-DistA)*NORMSDIST(I2978)),"")</f>
        <v/>
      </c>
      <c r="K2978">
        <f>IF(B2978,INDEX(MineScale,C2978),"")</f>
        <v/>
      </c>
      <c r="L2978">
        <f>IF(B2978,INDEX(Dow,1,WEEKDAY(E2978,2)),"")</f>
        <v/>
      </c>
      <c r="M2978">
        <f>IF(B2978,(1+Trend)^D2978,"")</f>
        <v/>
      </c>
      <c r="N2978">
        <f>IF(B2978,EXP(SUMPRODUCT(LN(1+(EvEff-1)*INDEX(Affected,0,C2978)*EXP(-((E2978-EvCenter)^2)/(2*EvSigma^2))))),"")</f>
        <v/>
      </c>
      <c r="O2978">
        <f>IF(B2978,ROUND(MAX(0,J2978*K2978*L2978*M2978*N2978),2),"")</f>
        <v/>
      </c>
    </row>
    <row r="2979">
      <c r="A2979" t="n">
        <v>2978</v>
      </c>
      <c r="B2979">
        <f>A2979&lt;=MineCount*Days</f>
        <v/>
      </c>
      <c r="C2979">
        <f>IF(B2979,INT((A2979-1)/Days)+1,"")</f>
        <v/>
      </c>
      <c r="D2979">
        <f>IF(B2979,MOD(A2979-1,Days),"")</f>
        <v/>
      </c>
      <c r="E2979" s="16">
        <f>IF(B2979,StartDate+D2979,"")</f>
        <v/>
      </c>
      <c r="F2979">
        <f>IF(B2979,MAX(MOD(SIN(Seed*0.1373+C2979*12.9898+D2979*78.233)*43758.5453,1),1E-9),"")</f>
        <v/>
      </c>
      <c r="G2979">
        <f>IF(B2979,MOD(SIN(Seed*0.5917+C2979*39.3468+D2979*11.135)*24634.6345,1),"")</f>
        <v/>
      </c>
      <c r="H2979">
        <f>IF(B2979,SQRT(-2*LN(F2979))*COS(2*PI()*G2979),"")</f>
        <v/>
      </c>
      <c r="I2979">
        <f>IF(B2979,IF(D2979=0,H2979,Rho*I2978+SQRT(1-Rho^2)*H2979),"")</f>
        <v/>
      </c>
      <c r="J2979">
        <f>IF(B2979,IF(Dist="Normal",DistA+DistB*I2979,DistA+(DistB-DistA)*NORMSDIST(I2979)),"")</f>
        <v/>
      </c>
      <c r="K2979">
        <f>IF(B2979,INDEX(MineScale,C2979),"")</f>
        <v/>
      </c>
      <c r="L2979">
        <f>IF(B2979,INDEX(Dow,1,WEEKDAY(E2979,2)),"")</f>
        <v/>
      </c>
      <c r="M2979">
        <f>IF(B2979,(1+Trend)^D2979,"")</f>
        <v/>
      </c>
      <c r="N2979">
        <f>IF(B2979,EXP(SUMPRODUCT(LN(1+(EvEff-1)*INDEX(Affected,0,C2979)*EXP(-((E2979-EvCenter)^2)/(2*EvSigma^2))))),"")</f>
        <v/>
      </c>
      <c r="O2979">
        <f>IF(B2979,ROUND(MAX(0,J2979*K2979*L2979*M2979*N2979),2),"")</f>
        <v/>
      </c>
    </row>
    <row r="2980">
      <c r="A2980" t="n">
        <v>2979</v>
      </c>
      <c r="B2980">
        <f>A2980&lt;=MineCount*Days</f>
        <v/>
      </c>
      <c r="C2980">
        <f>IF(B2980,INT((A2980-1)/Days)+1,"")</f>
        <v/>
      </c>
      <c r="D2980">
        <f>IF(B2980,MOD(A2980-1,Days),"")</f>
        <v/>
      </c>
      <c r="E2980" s="16">
        <f>IF(B2980,StartDate+D2980,"")</f>
        <v/>
      </c>
      <c r="F2980">
        <f>IF(B2980,MAX(MOD(SIN(Seed*0.1373+C2980*12.9898+D2980*78.233)*43758.5453,1),1E-9),"")</f>
        <v/>
      </c>
      <c r="G2980">
        <f>IF(B2980,MOD(SIN(Seed*0.5917+C2980*39.3468+D2980*11.135)*24634.6345,1),"")</f>
        <v/>
      </c>
      <c r="H2980">
        <f>IF(B2980,SQRT(-2*LN(F2980))*COS(2*PI()*G2980),"")</f>
        <v/>
      </c>
      <c r="I2980">
        <f>IF(B2980,IF(D2980=0,H2980,Rho*I2979+SQRT(1-Rho^2)*H2980),"")</f>
        <v/>
      </c>
      <c r="J2980">
        <f>IF(B2980,IF(Dist="Normal",DistA+DistB*I2980,DistA+(DistB-DistA)*NORMSDIST(I2980)),"")</f>
        <v/>
      </c>
      <c r="K2980">
        <f>IF(B2980,INDEX(MineScale,C2980),"")</f>
        <v/>
      </c>
      <c r="L2980">
        <f>IF(B2980,INDEX(Dow,1,WEEKDAY(E2980,2)),"")</f>
        <v/>
      </c>
      <c r="M2980">
        <f>IF(B2980,(1+Trend)^D2980,"")</f>
        <v/>
      </c>
      <c r="N2980">
        <f>IF(B2980,EXP(SUMPRODUCT(LN(1+(EvEff-1)*INDEX(Affected,0,C2980)*EXP(-((E2980-EvCenter)^2)/(2*EvSigma^2))))),"")</f>
        <v/>
      </c>
      <c r="O2980">
        <f>IF(B2980,ROUND(MAX(0,J2980*K2980*L2980*M2980*N2980),2),"")</f>
        <v/>
      </c>
    </row>
    <row r="2981">
      <c r="A2981" t="n">
        <v>2980</v>
      </c>
      <c r="B2981">
        <f>A2981&lt;=MineCount*Days</f>
        <v/>
      </c>
      <c r="C2981">
        <f>IF(B2981,INT((A2981-1)/Days)+1,"")</f>
        <v/>
      </c>
      <c r="D2981">
        <f>IF(B2981,MOD(A2981-1,Days),"")</f>
        <v/>
      </c>
      <c r="E2981" s="16">
        <f>IF(B2981,StartDate+D2981,"")</f>
        <v/>
      </c>
      <c r="F2981">
        <f>IF(B2981,MAX(MOD(SIN(Seed*0.1373+C2981*12.9898+D2981*78.233)*43758.5453,1),1E-9),"")</f>
        <v/>
      </c>
      <c r="G2981">
        <f>IF(B2981,MOD(SIN(Seed*0.5917+C2981*39.3468+D2981*11.135)*24634.6345,1),"")</f>
        <v/>
      </c>
      <c r="H2981">
        <f>IF(B2981,SQRT(-2*LN(F2981))*COS(2*PI()*G2981),"")</f>
        <v/>
      </c>
      <c r="I2981">
        <f>IF(B2981,IF(D2981=0,H2981,Rho*I2980+SQRT(1-Rho^2)*H2981),"")</f>
        <v/>
      </c>
      <c r="J2981">
        <f>IF(B2981,IF(Dist="Normal",DistA+DistB*I2981,DistA+(DistB-DistA)*NORMSDIST(I2981)),"")</f>
        <v/>
      </c>
      <c r="K2981">
        <f>IF(B2981,INDEX(MineScale,C2981),"")</f>
        <v/>
      </c>
      <c r="L2981">
        <f>IF(B2981,INDEX(Dow,1,WEEKDAY(E2981,2)),"")</f>
        <v/>
      </c>
      <c r="M2981">
        <f>IF(B2981,(1+Trend)^D2981,"")</f>
        <v/>
      </c>
      <c r="N2981">
        <f>IF(B2981,EXP(SUMPRODUCT(LN(1+(EvEff-1)*INDEX(Affected,0,C2981)*EXP(-((E2981-EvCenter)^2)/(2*EvSigma^2))))),"")</f>
        <v/>
      </c>
      <c r="O2981">
        <f>IF(B2981,ROUND(MAX(0,J2981*K2981*L2981*M2981*N2981),2),"")</f>
        <v/>
      </c>
    </row>
    <row r="2982">
      <c r="A2982" t="n">
        <v>2981</v>
      </c>
      <c r="B2982">
        <f>A2982&lt;=MineCount*Days</f>
        <v/>
      </c>
      <c r="C2982">
        <f>IF(B2982,INT((A2982-1)/Days)+1,"")</f>
        <v/>
      </c>
      <c r="D2982">
        <f>IF(B2982,MOD(A2982-1,Days),"")</f>
        <v/>
      </c>
      <c r="E2982" s="16">
        <f>IF(B2982,StartDate+D2982,"")</f>
        <v/>
      </c>
      <c r="F2982">
        <f>IF(B2982,MAX(MOD(SIN(Seed*0.1373+C2982*12.9898+D2982*78.233)*43758.5453,1),1E-9),"")</f>
        <v/>
      </c>
      <c r="G2982">
        <f>IF(B2982,MOD(SIN(Seed*0.5917+C2982*39.3468+D2982*11.135)*24634.6345,1),"")</f>
        <v/>
      </c>
      <c r="H2982">
        <f>IF(B2982,SQRT(-2*LN(F2982))*COS(2*PI()*G2982),"")</f>
        <v/>
      </c>
      <c r="I2982">
        <f>IF(B2982,IF(D2982=0,H2982,Rho*I2981+SQRT(1-Rho^2)*H2982),"")</f>
        <v/>
      </c>
      <c r="J2982">
        <f>IF(B2982,IF(Dist="Normal",DistA+DistB*I2982,DistA+(DistB-DistA)*NORMSDIST(I2982)),"")</f>
        <v/>
      </c>
      <c r="K2982">
        <f>IF(B2982,INDEX(MineScale,C2982),"")</f>
        <v/>
      </c>
      <c r="L2982">
        <f>IF(B2982,INDEX(Dow,1,WEEKDAY(E2982,2)),"")</f>
        <v/>
      </c>
      <c r="M2982">
        <f>IF(B2982,(1+Trend)^D2982,"")</f>
        <v/>
      </c>
      <c r="N2982">
        <f>IF(B2982,EXP(SUMPRODUCT(LN(1+(EvEff-1)*INDEX(Affected,0,C2982)*EXP(-((E2982-EvCenter)^2)/(2*EvSigma^2))))),"")</f>
        <v/>
      </c>
      <c r="O2982">
        <f>IF(B2982,ROUND(MAX(0,J2982*K2982*L2982*M2982*N2982),2),"")</f>
        <v/>
      </c>
    </row>
    <row r="2983">
      <c r="A2983" t="n">
        <v>2982</v>
      </c>
      <c r="B2983">
        <f>A2983&lt;=MineCount*Days</f>
        <v/>
      </c>
      <c r="C2983">
        <f>IF(B2983,INT((A2983-1)/Days)+1,"")</f>
        <v/>
      </c>
      <c r="D2983">
        <f>IF(B2983,MOD(A2983-1,Days),"")</f>
        <v/>
      </c>
      <c r="E2983" s="16">
        <f>IF(B2983,StartDate+D2983,"")</f>
        <v/>
      </c>
      <c r="F2983">
        <f>IF(B2983,MAX(MOD(SIN(Seed*0.1373+C2983*12.9898+D2983*78.233)*43758.5453,1),1E-9),"")</f>
        <v/>
      </c>
      <c r="G2983">
        <f>IF(B2983,MOD(SIN(Seed*0.5917+C2983*39.3468+D2983*11.135)*24634.6345,1),"")</f>
        <v/>
      </c>
      <c r="H2983">
        <f>IF(B2983,SQRT(-2*LN(F2983))*COS(2*PI()*G2983),"")</f>
        <v/>
      </c>
      <c r="I2983">
        <f>IF(B2983,IF(D2983=0,H2983,Rho*I2982+SQRT(1-Rho^2)*H2983),"")</f>
        <v/>
      </c>
      <c r="J2983">
        <f>IF(B2983,IF(Dist="Normal",DistA+DistB*I2983,DistA+(DistB-DistA)*NORMSDIST(I2983)),"")</f>
        <v/>
      </c>
      <c r="K2983">
        <f>IF(B2983,INDEX(MineScale,C2983),"")</f>
        <v/>
      </c>
      <c r="L2983">
        <f>IF(B2983,INDEX(Dow,1,WEEKDAY(E2983,2)),"")</f>
        <v/>
      </c>
      <c r="M2983">
        <f>IF(B2983,(1+Trend)^D2983,"")</f>
        <v/>
      </c>
      <c r="N2983">
        <f>IF(B2983,EXP(SUMPRODUCT(LN(1+(EvEff-1)*INDEX(Affected,0,C2983)*EXP(-((E2983-EvCenter)^2)/(2*EvSigma^2))))),"")</f>
        <v/>
      </c>
      <c r="O2983">
        <f>IF(B2983,ROUND(MAX(0,J2983*K2983*L2983*M2983*N2983),2),"")</f>
        <v/>
      </c>
    </row>
    <row r="2984">
      <c r="A2984" t="n">
        <v>2983</v>
      </c>
      <c r="B2984">
        <f>A2984&lt;=MineCount*Days</f>
        <v/>
      </c>
      <c r="C2984">
        <f>IF(B2984,INT((A2984-1)/Days)+1,"")</f>
        <v/>
      </c>
      <c r="D2984">
        <f>IF(B2984,MOD(A2984-1,Days),"")</f>
        <v/>
      </c>
      <c r="E2984" s="16">
        <f>IF(B2984,StartDate+D2984,"")</f>
        <v/>
      </c>
      <c r="F2984">
        <f>IF(B2984,MAX(MOD(SIN(Seed*0.1373+C2984*12.9898+D2984*78.233)*43758.5453,1),1E-9),"")</f>
        <v/>
      </c>
      <c r="G2984">
        <f>IF(B2984,MOD(SIN(Seed*0.5917+C2984*39.3468+D2984*11.135)*24634.6345,1),"")</f>
        <v/>
      </c>
      <c r="H2984">
        <f>IF(B2984,SQRT(-2*LN(F2984))*COS(2*PI()*G2984),"")</f>
        <v/>
      </c>
      <c r="I2984">
        <f>IF(B2984,IF(D2984=0,H2984,Rho*I2983+SQRT(1-Rho^2)*H2984),"")</f>
        <v/>
      </c>
      <c r="J2984">
        <f>IF(B2984,IF(Dist="Normal",DistA+DistB*I2984,DistA+(DistB-DistA)*NORMSDIST(I2984)),"")</f>
        <v/>
      </c>
      <c r="K2984">
        <f>IF(B2984,INDEX(MineScale,C2984),"")</f>
        <v/>
      </c>
      <c r="L2984">
        <f>IF(B2984,INDEX(Dow,1,WEEKDAY(E2984,2)),"")</f>
        <v/>
      </c>
      <c r="M2984">
        <f>IF(B2984,(1+Trend)^D2984,"")</f>
        <v/>
      </c>
      <c r="N2984">
        <f>IF(B2984,EXP(SUMPRODUCT(LN(1+(EvEff-1)*INDEX(Affected,0,C2984)*EXP(-((E2984-EvCenter)^2)/(2*EvSigma^2))))),"")</f>
        <v/>
      </c>
      <c r="O2984">
        <f>IF(B2984,ROUND(MAX(0,J2984*K2984*L2984*M2984*N2984),2),"")</f>
        <v/>
      </c>
    </row>
    <row r="2985">
      <c r="A2985" t="n">
        <v>2984</v>
      </c>
      <c r="B2985">
        <f>A2985&lt;=MineCount*Days</f>
        <v/>
      </c>
      <c r="C2985">
        <f>IF(B2985,INT((A2985-1)/Days)+1,"")</f>
        <v/>
      </c>
      <c r="D2985">
        <f>IF(B2985,MOD(A2985-1,Days),"")</f>
        <v/>
      </c>
      <c r="E2985" s="16">
        <f>IF(B2985,StartDate+D2985,"")</f>
        <v/>
      </c>
      <c r="F2985">
        <f>IF(B2985,MAX(MOD(SIN(Seed*0.1373+C2985*12.9898+D2985*78.233)*43758.5453,1),1E-9),"")</f>
        <v/>
      </c>
      <c r="G2985">
        <f>IF(B2985,MOD(SIN(Seed*0.5917+C2985*39.3468+D2985*11.135)*24634.6345,1),"")</f>
        <v/>
      </c>
      <c r="H2985">
        <f>IF(B2985,SQRT(-2*LN(F2985))*COS(2*PI()*G2985),"")</f>
        <v/>
      </c>
      <c r="I2985">
        <f>IF(B2985,IF(D2985=0,H2985,Rho*I2984+SQRT(1-Rho^2)*H2985),"")</f>
        <v/>
      </c>
      <c r="J2985">
        <f>IF(B2985,IF(Dist="Normal",DistA+DistB*I2985,DistA+(DistB-DistA)*NORMSDIST(I2985)),"")</f>
        <v/>
      </c>
      <c r="K2985">
        <f>IF(B2985,INDEX(MineScale,C2985),"")</f>
        <v/>
      </c>
      <c r="L2985">
        <f>IF(B2985,INDEX(Dow,1,WEEKDAY(E2985,2)),"")</f>
        <v/>
      </c>
      <c r="M2985">
        <f>IF(B2985,(1+Trend)^D2985,"")</f>
        <v/>
      </c>
      <c r="N2985">
        <f>IF(B2985,EXP(SUMPRODUCT(LN(1+(EvEff-1)*INDEX(Affected,0,C2985)*EXP(-((E2985-EvCenter)^2)/(2*EvSigma^2))))),"")</f>
        <v/>
      </c>
      <c r="O2985">
        <f>IF(B2985,ROUND(MAX(0,J2985*K2985*L2985*M2985*N2985),2),"")</f>
        <v/>
      </c>
    </row>
    <row r="2986">
      <c r="A2986" t="n">
        <v>2985</v>
      </c>
      <c r="B2986">
        <f>A2986&lt;=MineCount*Days</f>
        <v/>
      </c>
      <c r="C2986">
        <f>IF(B2986,INT((A2986-1)/Days)+1,"")</f>
        <v/>
      </c>
      <c r="D2986">
        <f>IF(B2986,MOD(A2986-1,Days),"")</f>
        <v/>
      </c>
      <c r="E2986" s="16">
        <f>IF(B2986,StartDate+D2986,"")</f>
        <v/>
      </c>
      <c r="F2986">
        <f>IF(B2986,MAX(MOD(SIN(Seed*0.1373+C2986*12.9898+D2986*78.233)*43758.5453,1),1E-9),"")</f>
        <v/>
      </c>
      <c r="G2986">
        <f>IF(B2986,MOD(SIN(Seed*0.5917+C2986*39.3468+D2986*11.135)*24634.6345,1),"")</f>
        <v/>
      </c>
      <c r="H2986">
        <f>IF(B2986,SQRT(-2*LN(F2986))*COS(2*PI()*G2986),"")</f>
        <v/>
      </c>
      <c r="I2986">
        <f>IF(B2986,IF(D2986=0,H2986,Rho*I2985+SQRT(1-Rho^2)*H2986),"")</f>
        <v/>
      </c>
      <c r="J2986">
        <f>IF(B2986,IF(Dist="Normal",DistA+DistB*I2986,DistA+(DistB-DistA)*NORMSDIST(I2986)),"")</f>
        <v/>
      </c>
      <c r="K2986">
        <f>IF(B2986,INDEX(MineScale,C2986),"")</f>
        <v/>
      </c>
      <c r="L2986">
        <f>IF(B2986,INDEX(Dow,1,WEEKDAY(E2986,2)),"")</f>
        <v/>
      </c>
      <c r="M2986">
        <f>IF(B2986,(1+Trend)^D2986,"")</f>
        <v/>
      </c>
      <c r="N2986">
        <f>IF(B2986,EXP(SUMPRODUCT(LN(1+(EvEff-1)*INDEX(Affected,0,C2986)*EXP(-((E2986-EvCenter)^2)/(2*EvSigma^2))))),"")</f>
        <v/>
      </c>
      <c r="O2986">
        <f>IF(B2986,ROUND(MAX(0,J2986*K2986*L2986*M2986*N2986),2),"")</f>
        <v/>
      </c>
    </row>
    <row r="2987">
      <c r="A2987" t="n">
        <v>2986</v>
      </c>
      <c r="B2987">
        <f>A2987&lt;=MineCount*Days</f>
        <v/>
      </c>
      <c r="C2987">
        <f>IF(B2987,INT((A2987-1)/Days)+1,"")</f>
        <v/>
      </c>
      <c r="D2987">
        <f>IF(B2987,MOD(A2987-1,Days),"")</f>
        <v/>
      </c>
      <c r="E2987" s="16">
        <f>IF(B2987,StartDate+D2987,"")</f>
        <v/>
      </c>
      <c r="F2987">
        <f>IF(B2987,MAX(MOD(SIN(Seed*0.1373+C2987*12.9898+D2987*78.233)*43758.5453,1),1E-9),"")</f>
        <v/>
      </c>
      <c r="G2987">
        <f>IF(B2987,MOD(SIN(Seed*0.5917+C2987*39.3468+D2987*11.135)*24634.6345,1),"")</f>
        <v/>
      </c>
      <c r="H2987">
        <f>IF(B2987,SQRT(-2*LN(F2987))*COS(2*PI()*G2987),"")</f>
        <v/>
      </c>
      <c r="I2987">
        <f>IF(B2987,IF(D2987=0,H2987,Rho*I2986+SQRT(1-Rho^2)*H2987),"")</f>
        <v/>
      </c>
      <c r="J2987">
        <f>IF(B2987,IF(Dist="Normal",DistA+DistB*I2987,DistA+(DistB-DistA)*NORMSDIST(I2987)),"")</f>
        <v/>
      </c>
      <c r="K2987">
        <f>IF(B2987,INDEX(MineScale,C2987),"")</f>
        <v/>
      </c>
      <c r="L2987">
        <f>IF(B2987,INDEX(Dow,1,WEEKDAY(E2987,2)),"")</f>
        <v/>
      </c>
      <c r="M2987">
        <f>IF(B2987,(1+Trend)^D2987,"")</f>
        <v/>
      </c>
      <c r="N2987">
        <f>IF(B2987,EXP(SUMPRODUCT(LN(1+(EvEff-1)*INDEX(Affected,0,C2987)*EXP(-((E2987-EvCenter)^2)/(2*EvSigma^2))))),"")</f>
        <v/>
      </c>
      <c r="O2987">
        <f>IF(B2987,ROUND(MAX(0,J2987*K2987*L2987*M2987*N2987),2),"")</f>
        <v/>
      </c>
    </row>
    <row r="2988">
      <c r="A2988" t="n">
        <v>2987</v>
      </c>
      <c r="B2988">
        <f>A2988&lt;=MineCount*Days</f>
        <v/>
      </c>
      <c r="C2988">
        <f>IF(B2988,INT((A2988-1)/Days)+1,"")</f>
        <v/>
      </c>
      <c r="D2988">
        <f>IF(B2988,MOD(A2988-1,Days),"")</f>
        <v/>
      </c>
      <c r="E2988" s="16">
        <f>IF(B2988,StartDate+D2988,"")</f>
        <v/>
      </c>
      <c r="F2988">
        <f>IF(B2988,MAX(MOD(SIN(Seed*0.1373+C2988*12.9898+D2988*78.233)*43758.5453,1),1E-9),"")</f>
        <v/>
      </c>
      <c r="G2988">
        <f>IF(B2988,MOD(SIN(Seed*0.5917+C2988*39.3468+D2988*11.135)*24634.6345,1),"")</f>
        <v/>
      </c>
      <c r="H2988">
        <f>IF(B2988,SQRT(-2*LN(F2988))*COS(2*PI()*G2988),"")</f>
        <v/>
      </c>
      <c r="I2988">
        <f>IF(B2988,IF(D2988=0,H2988,Rho*I2987+SQRT(1-Rho^2)*H2988),"")</f>
        <v/>
      </c>
      <c r="J2988">
        <f>IF(B2988,IF(Dist="Normal",DistA+DistB*I2988,DistA+(DistB-DistA)*NORMSDIST(I2988)),"")</f>
        <v/>
      </c>
      <c r="K2988">
        <f>IF(B2988,INDEX(MineScale,C2988),"")</f>
        <v/>
      </c>
      <c r="L2988">
        <f>IF(B2988,INDEX(Dow,1,WEEKDAY(E2988,2)),"")</f>
        <v/>
      </c>
      <c r="M2988">
        <f>IF(B2988,(1+Trend)^D2988,"")</f>
        <v/>
      </c>
      <c r="N2988">
        <f>IF(B2988,EXP(SUMPRODUCT(LN(1+(EvEff-1)*INDEX(Affected,0,C2988)*EXP(-((E2988-EvCenter)^2)/(2*EvSigma^2))))),"")</f>
        <v/>
      </c>
      <c r="O2988">
        <f>IF(B2988,ROUND(MAX(0,J2988*K2988*L2988*M2988*N2988),2),"")</f>
        <v/>
      </c>
    </row>
    <row r="2989">
      <c r="A2989" t="n">
        <v>2988</v>
      </c>
      <c r="B2989">
        <f>A2989&lt;=MineCount*Days</f>
        <v/>
      </c>
      <c r="C2989">
        <f>IF(B2989,INT((A2989-1)/Days)+1,"")</f>
        <v/>
      </c>
      <c r="D2989">
        <f>IF(B2989,MOD(A2989-1,Days),"")</f>
        <v/>
      </c>
      <c r="E2989" s="16">
        <f>IF(B2989,StartDate+D2989,"")</f>
        <v/>
      </c>
      <c r="F2989">
        <f>IF(B2989,MAX(MOD(SIN(Seed*0.1373+C2989*12.9898+D2989*78.233)*43758.5453,1),1E-9),"")</f>
        <v/>
      </c>
      <c r="G2989">
        <f>IF(B2989,MOD(SIN(Seed*0.5917+C2989*39.3468+D2989*11.135)*24634.6345,1),"")</f>
        <v/>
      </c>
      <c r="H2989">
        <f>IF(B2989,SQRT(-2*LN(F2989))*COS(2*PI()*G2989),"")</f>
        <v/>
      </c>
      <c r="I2989">
        <f>IF(B2989,IF(D2989=0,H2989,Rho*I2988+SQRT(1-Rho^2)*H2989),"")</f>
        <v/>
      </c>
      <c r="J2989">
        <f>IF(B2989,IF(Dist="Normal",DistA+DistB*I2989,DistA+(DistB-DistA)*NORMSDIST(I2989)),"")</f>
        <v/>
      </c>
      <c r="K2989">
        <f>IF(B2989,INDEX(MineScale,C2989),"")</f>
        <v/>
      </c>
      <c r="L2989">
        <f>IF(B2989,INDEX(Dow,1,WEEKDAY(E2989,2)),"")</f>
        <v/>
      </c>
      <c r="M2989">
        <f>IF(B2989,(1+Trend)^D2989,"")</f>
        <v/>
      </c>
      <c r="N2989">
        <f>IF(B2989,EXP(SUMPRODUCT(LN(1+(EvEff-1)*INDEX(Affected,0,C2989)*EXP(-((E2989-EvCenter)^2)/(2*EvSigma^2))))),"")</f>
        <v/>
      </c>
      <c r="O2989">
        <f>IF(B2989,ROUND(MAX(0,J2989*K2989*L2989*M2989*N2989),2),"")</f>
        <v/>
      </c>
    </row>
    <row r="2990">
      <c r="A2990" t="n">
        <v>2989</v>
      </c>
      <c r="B2990">
        <f>A2990&lt;=MineCount*Days</f>
        <v/>
      </c>
      <c r="C2990">
        <f>IF(B2990,INT((A2990-1)/Days)+1,"")</f>
        <v/>
      </c>
      <c r="D2990">
        <f>IF(B2990,MOD(A2990-1,Days),"")</f>
        <v/>
      </c>
      <c r="E2990" s="16">
        <f>IF(B2990,StartDate+D2990,"")</f>
        <v/>
      </c>
      <c r="F2990">
        <f>IF(B2990,MAX(MOD(SIN(Seed*0.1373+C2990*12.9898+D2990*78.233)*43758.5453,1),1E-9),"")</f>
        <v/>
      </c>
      <c r="G2990">
        <f>IF(B2990,MOD(SIN(Seed*0.5917+C2990*39.3468+D2990*11.135)*24634.6345,1),"")</f>
        <v/>
      </c>
      <c r="H2990">
        <f>IF(B2990,SQRT(-2*LN(F2990))*COS(2*PI()*G2990),"")</f>
        <v/>
      </c>
      <c r="I2990">
        <f>IF(B2990,IF(D2990=0,H2990,Rho*I2989+SQRT(1-Rho^2)*H2990),"")</f>
        <v/>
      </c>
      <c r="J2990">
        <f>IF(B2990,IF(Dist="Normal",DistA+DistB*I2990,DistA+(DistB-DistA)*NORMSDIST(I2990)),"")</f>
        <v/>
      </c>
      <c r="K2990">
        <f>IF(B2990,INDEX(MineScale,C2990),"")</f>
        <v/>
      </c>
      <c r="L2990">
        <f>IF(B2990,INDEX(Dow,1,WEEKDAY(E2990,2)),"")</f>
        <v/>
      </c>
      <c r="M2990">
        <f>IF(B2990,(1+Trend)^D2990,"")</f>
        <v/>
      </c>
      <c r="N2990">
        <f>IF(B2990,EXP(SUMPRODUCT(LN(1+(EvEff-1)*INDEX(Affected,0,C2990)*EXP(-((E2990-EvCenter)^2)/(2*EvSigma^2))))),"")</f>
        <v/>
      </c>
      <c r="O2990">
        <f>IF(B2990,ROUND(MAX(0,J2990*K2990*L2990*M2990*N2990),2),"")</f>
        <v/>
      </c>
    </row>
    <row r="2991">
      <c r="A2991" t="n">
        <v>2990</v>
      </c>
      <c r="B2991">
        <f>A2991&lt;=MineCount*Days</f>
        <v/>
      </c>
      <c r="C2991">
        <f>IF(B2991,INT((A2991-1)/Days)+1,"")</f>
        <v/>
      </c>
      <c r="D2991">
        <f>IF(B2991,MOD(A2991-1,Days),"")</f>
        <v/>
      </c>
      <c r="E2991" s="16">
        <f>IF(B2991,StartDate+D2991,"")</f>
        <v/>
      </c>
      <c r="F2991">
        <f>IF(B2991,MAX(MOD(SIN(Seed*0.1373+C2991*12.9898+D2991*78.233)*43758.5453,1),1E-9),"")</f>
        <v/>
      </c>
      <c r="G2991">
        <f>IF(B2991,MOD(SIN(Seed*0.5917+C2991*39.3468+D2991*11.135)*24634.6345,1),"")</f>
        <v/>
      </c>
      <c r="H2991">
        <f>IF(B2991,SQRT(-2*LN(F2991))*COS(2*PI()*G2991),"")</f>
        <v/>
      </c>
      <c r="I2991">
        <f>IF(B2991,IF(D2991=0,H2991,Rho*I2990+SQRT(1-Rho^2)*H2991),"")</f>
        <v/>
      </c>
      <c r="J2991">
        <f>IF(B2991,IF(Dist="Normal",DistA+DistB*I2991,DistA+(DistB-DistA)*NORMSDIST(I2991)),"")</f>
        <v/>
      </c>
      <c r="K2991">
        <f>IF(B2991,INDEX(MineScale,C2991),"")</f>
        <v/>
      </c>
      <c r="L2991">
        <f>IF(B2991,INDEX(Dow,1,WEEKDAY(E2991,2)),"")</f>
        <v/>
      </c>
      <c r="M2991">
        <f>IF(B2991,(1+Trend)^D2991,"")</f>
        <v/>
      </c>
      <c r="N2991">
        <f>IF(B2991,EXP(SUMPRODUCT(LN(1+(EvEff-1)*INDEX(Affected,0,C2991)*EXP(-((E2991-EvCenter)^2)/(2*EvSigma^2))))),"")</f>
        <v/>
      </c>
      <c r="O2991">
        <f>IF(B2991,ROUND(MAX(0,J2991*K2991*L2991*M2991*N2991),2),"")</f>
        <v/>
      </c>
    </row>
    <row r="2992">
      <c r="A2992" t="n">
        <v>2991</v>
      </c>
      <c r="B2992">
        <f>A2992&lt;=MineCount*Days</f>
        <v/>
      </c>
      <c r="C2992">
        <f>IF(B2992,INT((A2992-1)/Days)+1,"")</f>
        <v/>
      </c>
      <c r="D2992">
        <f>IF(B2992,MOD(A2992-1,Days),"")</f>
        <v/>
      </c>
      <c r="E2992" s="16">
        <f>IF(B2992,StartDate+D2992,"")</f>
        <v/>
      </c>
      <c r="F2992">
        <f>IF(B2992,MAX(MOD(SIN(Seed*0.1373+C2992*12.9898+D2992*78.233)*43758.5453,1),1E-9),"")</f>
        <v/>
      </c>
      <c r="G2992">
        <f>IF(B2992,MOD(SIN(Seed*0.5917+C2992*39.3468+D2992*11.135)*24634.6345,1),"")</f>
        <v/>
      </c>
      <c r="H2992">
        <f>IF(B2992,SQRT(-2*LN(F2992))*COS(2*PI()*G2992),"")</f>
        <v/>
      </c>
      <c r="I2992">
        <f>IF(B2992,IF(D2992=0,H2992,Rho*I2991+SQRT(1-Rho^2)*H2992),"")</f>
        <v/>
      </c>
      <c r="J2992">
        <f>IF(B2992,IF(Dist="Normal",DistA+DistB*I2992,DistA+(DistB-DistA)*NORMSDIST(I2992)),"")</f>
        <v/>
      </c>
      <c r="K2992">
        <f>IF(B2992,INDEX(MineScale,C2992),"")</f>
        <v/>
      </c>
      <c r="L2992">
        <f>IF(B2992,INDEX(Dow,1,WEEKDAY(E2992,2)),"")</f>
        <v/>
      </c>
      <c r="M2992">
        <f>IF(B2992,(1+Trend)^D2992,"")</f>
        <v/>
      </c>
      <c r="N2992">
        <f>IF(B2992,EXP(SUMPRODUCT(LN(1+(EvEff-1)*INDEX(Affected,0,C2992)*EXP(-((E2992-EvCenter)^2)/(2*EvSigma^2))))),"")</f>
        <v/>
      </c>
      <c r="O2992">
        <f>IF(B2992,ROUND(MAX(0,J2992*K2992*L2992*M2992*N2992),2),"")</f>
        <v/>
      </c>
    </row>
    <row r="2993">
      <c r="A2993" t="n">
        <v>2992</v>
      </c>
      <c r="B2993">
        <f>A2993&lt;=MineCount*Days</f>
        <v/>
      </c>
      <c r="C2993">
        <f>IF(B2993,INT((A2993-1)/Days)+1,"")</f>
        <v/>
      </c>
      <c r="D2993">
        <f>IF(B2993,MOD(A2993-1,Days),"")</f>
        <v/>
      </c>
      <c r="E2993" s="16">
        <f>IF(B2993,StartDate+D2993,"")</f>
        <v/>
      </c>
      <c r="F2993">
        <f>IF(B2993,MAX(MOD(SIN(Seed*0.1373+C2993*12.9898+D2993*78.233)*43758.5453,1),1E-9),"")</f>
        <v/>
      </c>
      <c r="G2993">
        <f>IF(B2993,MOD(SIN(Seed*0.5917+C2993*39.3468+D2993*11.135)*24634.6345,1),"")</f>
        <v/>
      </c>
      <c r="H2993">
        <f>IF(B2993,SQRT(-2*LN(F2993))*COS(2*PI()*G2993),"")</f>
        <v/>
      </c>
      <c r="I2993">
        <f>IF(B2993,IF(D2993=0,H2993,Rho*I2992+SQRT(1-Rho^2)*H2993),"")</f>
        <v/>
      </c>
      <c r="J2993">
        <f>IF(B2993,IF(Dist="Normal",DistA+DistB*I2993,DistA+(DistB-DistA)*NORMSDIST(I2993)),"")</f>
        <v/>
      </c>
      <c r="K2993">
        <f>IF(B2993,INDEX(MineScale,C2993),"")</f>
        <v/>
      </c>
      <c r="L2993">
        <f>IF(B2993,INDEX(Dow,1,WEEKDAY(E2993,2)),"")</f>
        <v/>
      </c>
      <c r="M2993">
        <f>IF(B2993,(1+Trend)^D2993,"")</f>
        <v/>
      </c>
      <c r="N2993">
        <f>IF(B2993,EXP(SUMPRODUCT(LN(1+(EvEff-1)*INDEX(Affected,0,C2993)*EXP(-((E2993-EvCenter)^2)/(2*EvSigma^2))))),"")</f>
        <v/>
      </c>
      <c r="O2993">
        <f>IF(B2993,ROUND(MAX(0,J2993*K2993*L2993*M2993*N2993),2),"")</f>
        <v/>
      </c>
    </row>
    <row r="2994">
      <c r="A2994" t="n">
        <v>2993</v>
      </c>
      <c r="B2994">
        <f>A2994&lt;=MineCount*Days</f>
        <v/>
      </c>
      <c r="C2994">
        <f>IF(B2994,INT((A2994-1)/Days)+1,"")</f>
        <v/>
      </c>
      <c r="D2994">
        <f>IF(B2994,MOD(A2994-1,Days),"")</f>
        <v/>
      </c>
      <c r="E2994" s="16">
        <f>IF(B2994,StartDate+D2994,"")</f>
        <v/>
      </c>
      <c r="F2994">
        <f>IF(B2994,MAX(MOD(SIN(Seed*0.1373+C2994*12.9898+D2994*78.233)*43758.5453,1),1E-9),"")</f>
        <v/>
      </c>
      <c r="G2994">
        <f>IF(B2994,MOD(SIN(Seed*0.5917+C2994*39.3468+D2994*11.135)*24634.6345,1),"")</f>
        <v/>
      </c>
      <c r="H2994">
        <f>IF(B2994,SQRT(-2*LN(F2994))*COS(2*PI()*G2994),"")</f>
        <v/>
      </c>
      <c r="I2994">
        <f>IF(B2994,IF(D2994=0,H2994,Rho*I2993+SQRT(1-Rho^2)*H2994),"")</f>
        <v/>
      </c>
      <c r="J2994">
        <f>IF(B2994,IF(Dist="Normal",DistA+DistB*I2994,DistA+(DistB-DistA)*NORMSDIST(I2994)),"")</f>
        <v/>
      </c>
      <c r="K2994">
        <f>IF(B2994,INDEX(MineScale,C2994),"")</f>
        <v/>
      </c>
      <c r="L2994">
        <f>IF(B2994,INDEX(Dow,1,WEEKDAY(E2994,2)),"")</f>
        <v/>
      </c>
      <c r="M2994">
        <f>IF(B2994,(1+Trend)^D2994,"")</f>
        <v/>
      </c>
      <c r="N2994">
        <f>IF(B2994,EXP(SUMPRODUCT(LN(1+(EvEff-1)*INDEX(Affected,0,C2994)*EXP(-((E2994-EvCenter)^2)/(2*EvSigma^2))))),"")</f>
        <v/>
      </c>
      <c r="O2994">
        <f>IF(B2994,ROUND(MAX(0,J2994*K2994*L2994*M2994*N2994),2),"")</f>
        <v/>
      </c>
    </row>
    <row r="2995">
      <c r="A2995" t="n">
        <v>2994</v>
      </c>
      <c r="B2995">
        <f>A2995&lt;=MineCount*Days</f>
        <v/>
      </c>
      <c r="C2995">
        <f>IF(B2995,INT((A2995-1)/Days)+1,"")</f>
        <v/>
      </c>
      <c r="D2995">
        <f>IF(B2995,MOD(A2995-1,Days),"")</f>
        <v/>
      </c>
      <c r="E2995" s="16">
        <f>IF(B2995,StartDate+D2995,"")</f>
        <v/>
      </c>
      <c r="F2995">
        <f>IF(B2995,MAX(MOD(SIN(Seed*0.1373+C2995*12.9898+D2995*78.233)*43758.5453,1),1E-9),"")</f>
        <v/>
      </c>
      <c r="G2995">
        <f>IF(B2995,MOD(SIN(Seed*0.5917+C2995*39.3468+D2995*11.135)*24634.6345,1),"")</f>
        <v/>
      </c>
      <c r="H2995">
        <f>IF(B2995,SQRT(-2*LN(F2995))*COS(2*PI()*G2995),"")</f>
        <v/>
      </c>
      <c r="I2995">
        <f>IF(B2995,IF(D2995=0,H2995,Rho*I2994+SQRT(1-Rho^2)*H2995),"")</f>
        <v/>
      </c>
      <c r="J2995">
        <f>IF(B2995,IF(Dist="Normal",DistA+DistB*I2995,DistA+(DistB-DistA)*NORMSDIST(I2995)),"")</f>
        <v/>
      </c>
      <c r="K2995">
        <f>IF(B2995,INDEX(MineScale,C2995),"")</f>
        <v/>
      </c>
      <c r="L2995">
        <f>IF(B2995,INDEX(Dow,1,WEEKDAY(E2995,2)),"")</f>
        <v/>
      </c>
      <c r="M2995">
        <f>IF(B2995,(1+Trend)^D2995,"")</f>
        <v/>
      </c>
      <c r="N2995">
        <f>IF(B2995,EXP(SUMPRODUCT(LN(1+(EvEff-1)*INDEX(Affected,0,C2995)*EXP(-((E2995-EvCenter)^2)/(2*EvSigma^2))))),"")</f>
        <v/>
      </c>
      <c r="O2995">
        <f>IF(B2995,ROUND(MAX(0,J2995*K2995*L2995*M2995*N2995),2),"")</f>
        <v/>
      </c>
    </row>
    <row r="2996">
      <c r="A2996" t="n">
        <v>2995</v>
      </c>
      <c r="B2996">
        <f>A2996&lt;=MineCount*Days</f>
        <v/>
      </c>
      <c r="C2996">
        <f>IF(B2996,INT((A2996-1)/Days)+1,"")</f>
        <v/>
      </c>
      <c r="D2996">
        <f>IF(B2996,MOD(A2996-1,Days),"")</f>
        <v/>
      </c>
      <c r="E2996" s="16">
        <f>IF(B2996,StartDate+D2996,"")</f>
        <v/>
      </c>
      <c r="F2996">
        <f>IF(B2996,MAX(MOD(SIN(Seed*0.1373+C2996*12.9898+D2996*78.233)*43758.5453,1),1E-9),"")</f>
        <v/>
      </c>
      <c r="G2996">
        <f>IF(B2996,MOD(SIN(Seed*0.5917+C2996*39.3468+D2996*11.135)*24634.6345,1),"")</f>
        <v/>
      </c>
      <c r="H2996">
        <f>IF(B2996,SQRT(-2*LN(F2996))*COS(2*PI()*G2996),"")</f>
        <v/>
      </c>
      <c r="I2996">
        <f>IF(B2996,IF(D2996=0,H2996,Rho*I2995+SQRT(1-Rho^2)*H2996),"")</f>
        <v/>
      </c>
      <c r="J2996">
        <f>IF(B2996,IF(Dist="Normal",DistA+DistB*I2996,DistA+(DistB-DistA)*NORMSDIST(I2996)),"")</f>
        <v/>
      </c>
      <c r="K2996">
        <f>IF(B2996,INDEX(MineScale,C2996),"")</f>
        <v/>
      </c>
      <c r="L2996">
        <f>IF(B2996,INDEX(Dow,1,WEEKDAY(E2996,2)),"")</f>
        <v/>
      </c>
      <c r="M2996">
        <f>IF(B2996,(1+Trend)^D2996,"")</f>
        <v/>
      </c>
      <c r="N2996">
        <f>IF(B2996,EXP(SUMPRODUCT(LN(1+(EvEff-1)*INDEX(Affected,0,C2996)*EXP(-((E2996-EvCenter)^2)/(2*EvSigma^2))))),"")</f>
        <v/>
      </c>
      <c r="O2996">
        <f>IF(B2996,ROUND(MAX(0,J2996*K2996*L2996*M2996*N2996),2),"")</f>
        <v/>
      </c>
    </row>
    <row r="2997">
      <c r="A2997" t="n">
        <v>2996</v>
      </c>
      <c r="B2997">
        <f>A2997&lt;=MineCount*Days</f>
        <v/>
      </c>
      <c r="C2997">
        <f>IF(B2997,INT((A2997-1)/Days)+1,"")</f>
        <v/>
      </c>
      <c r="D2997">
        <f>IF(B2997,MOD(A2997-1,Days),"")</f>
        <v/>
      </c>
      <c r="E2997" s="16">
        <f>IF(B2997,StartDate+D2997,"")</f>
        <v/>
      </c>
      <c r="F2997">
        <f>IF(B2997,MAX(MOD(SIN(Seed*0.1373+C2997*12.9898+D2997*78.233)*43758.5453,1),1E-9),"")</f>
        <v/>
      </c>
      <c r="G2997">
        <f>IF(B2997,MOD(SIN(Seed*0.5917+C2997*39.3468+D2997*11.135)*24634.6345,1),"")</f>
        <v/>
      </c>
      <c r="H2997">
        <f>IF(B2997,SQRT(-2*LN(F2997))*COS(2*PI()*G2997),"")</f>
        <v/>
      </c>
      <c r="I2997">
        <f>IF(B2997,IF(D2997=0,H2997,Rho*I2996+SQRT(1-Rho^2)*H2997),"")</f>
        <v/>
      </c>
      <c r="J2997">
        <f>IF(B2997,IF(Dist="Normal",DistA+DistB*I2997,DistA+(DistB-DistA)*NORMSDIST(I2997)),"")</f>
        <v/>
      </c>
      <c r="K2997">
        <f>IF(B2997,INDEX(MineScale,C2997),"")</f>
        <v/>
      </c>
      <c r="L2997">
        <f>IF(B2997,INDEX(Dow,1,WEEKDAY(E2997,2)),"")</f>
        <v/>
      </c>
      <c r="M2997">
        <f>IF(B2997,(1+Trend)^D2997,"")</f>
        <v/>
      </c>
      <c r="N2997">
        <f>IF(B2997,EXP(SUMPRODUCT(LN(1+(EvEff-1)*INDEX(Affected,0,C2997)*EXP(-((E2997-EvCenter)^2)/(2*EvSigma^2))))),"")</f>
        <v/>
      </c>
      <c r="O2997">
        <f>IF(B2997,ROUND(MAX(0,J2997*K2997*L2997*M2997*N2997),2),"")</f>
        <v/>
      </c>
    </row>
    <row r="2998">
      <c r="A2998" t="n">
        <v>2997</v>
      </c>
      <c r="B2998">
        <f>A2998&lt;=MineCount*Days</f>
        <v/>
      </c>
      <c r="C2998">
        <f>IF(B2998,INT((A2998-1)/Days)+1,"")</f>
        <v/>
      </c>
      <c r="D2998">
        <f>IF(B2998,MOD(A2998-1,Days),"")</f>
        <v/>
      </c>
      <c r="E2998" s="16">
        <f>IF(B2998,StartDate+D2998,"")</f>
        <v/>
      </c>
      <c r="F2998">
        <f>IF(B2998,MAX(MOD(SIN(Seed*0.1373+C2998*12.9898+D2998*78.233)*43758.5453,1),1E-9),"")</f>
        <v/>
      </c>
      <c r="G2998">
        <f>IF(B2998,MOD(SIN(Seed*0.5917+C2998*39.3468+D2998*11.135)*24634.6345,1),"")</f>
        <v/>
      </c>
      <c r="H2998">
        <f>IF(B2998,SQRT(-2*LN(F2998))*COS(2*PI()*G2998),"")</f>
        <v/>
      </c>
      <c r="I2998">
        <f>IF(B2998,IF(D2998=0,H2998,Rho*I2997+SQRT(1-Rho^2)*H2998),"")</f>
        <v/>
      </c>
      <c r="J2998">
        <f>IF(B2998,IF(Dist="Normal",DistA+DistB*I2998,DistA+(DistB-DistA)*NORMSDIST(I2998)),"")</f>
        <v/>
      </c>
      <c r="K2998">
        <f>IF(B2998,INDEX(MineScale,C2998),"")</f>
        <v/>
      </c>
      <c r="L2998">
        <f>IF(B2998,INDEX(Dow,1,WEEKDAY(E2998,2)),"")</f>
        <v/>
      </c>
      <c r="M2998">
        <f>IF(B2998,(1+Trend)^D2998,"")</f>
        <v/>
      </c>
      <c r="N2998">
        <f>IF(B2998,EXP(SUMPRODUCT(LN(1+(EvEff-1)*INDEX(Affected,0,C2998)*EXP(-((E2998-EvCenter)^2)/(2*EvSigma^2))))),"")</f>
        <v/>
      </c>
      <c r="O2998">
        <f>IF(B2998,ROUND(MAX(0,J2998*K2998*L2998*M2998*N2998),2),"")</f>
        <v/>
      </c>
    </row>
    <row r="2999">
      <c r="A2999" t="n">
        <v>2998</v>
      </c>
      <c r="B2999">
        <f>A2999&lt;=MineCount*Days</f>
        <v/>
      </c>
      <c r="C2999">
        <f>IF(B2999,INT((A2999-1)/Days)+1,"")</f>
        <v/>
      </c>
      <c r="D2999">
        <f>IF(B2999,MOD(A2999-1,Days),"")</f>
        <v/>
      </c>
      <c r="E2999" s="16">
        <f>IF(B2999,StartDate+D2999,"")</f>
        <v/>
      </c>
      <c r="F2999">
        <f>IF(B2999,MAX(MOD(SIN(Seed*0.1373+C2999*12.9898+D2999*78.233)*43758.5453,1),1E-9),"")</f>
        <v/>
      </c>
      <c r="G2999">
        <f>IF(B2999,MOD(SIN(Seed*0.5917+C2999*39.3468+D2999*11.135)*24634.6345,1),"")</f>
        <v/>
      </c>
      <c r="H2999">
        <f>IF(B2999,SQRT(-2*LN(F2999))*COS(2*PI()*G2999),"")</f>
        <v/>
      </c>
      <c r="I2999">
        <f>IF(B2999,IF(D2999=0,H2999,Rho*I2998+SQRT(1-Rho^2)*H2999),"")</f>
        <v/>
      </c>
      <c r="J2999">
        <f>IF(B2999,IF(Dist="Normal",DistA+DistB*I2999,DistA+(DistB-DistA)*NORMSDIST(I2999)),"")</f>
        <v/>
      </c>
      <c r="K2999">
        <f>IF(B2999,INDEX(MineScale,C2999),"")</f>
        <v/>
      </c>
      <c r="L2999">
        <f>IF(B2999,INDEX(Dow,1,WEEKDAY(E2999,2)),"")</f>
        <v/>
      </c>
      <c r="M2999">
        <f>IF(B2999,(1+Trend)^D2999,"")</f>
        <v/>
      </c>
      <c r="N2999">
        <f>IF(B2999,EXP(SUMPRODUCT(LN(1+(EvEff-1)*INDEX(Affected,0,C2999)*EXP(-((E2999-EvCenter)^2)/(2*EvSigma^2))))),"")</f>
        <v/>
      </c>
      <c r="O2999">
        <f>IF(B2999,ROUND(MAX(0,J2999*K2999*L2999*M2999*N2999),2),"")</f>
        <v/>
      </c>
    </row>
    <row r="3000">
      <c r="A3000" t="n">
        <v>2999</v>
      </c>
      <c r="B3000">
        <f>A3000&lt;=MineCount*Days</f>
        <v/>
      </c>
      <c r="C3000">
        <f>IF(B3000,INT((A3000-1)/Days)+1,"")</f>
        <v/>
      </c>
      <c r="D3000">
        <f>IF(B3000,MOD(A3000-1,Days),"")</f>
        <v/>
      </c>
      <c r="E3000" s="16">
        <f>IF(B3000,StartDate+D3000,"")</f>
        <v/>
      </c>
      <c r="F3000">
        <f>IF(B3000,MAX(MOD(SIN(Seed*0.1373+C3000*12.9898+D3000*78.233)*43758.5453,1),1E-9),"")</f>
        <v/>
      </c>
      <c r="G3000">
        <f>IF(B3000,MOD(SIN(Seed*0.5917+C3000*39.3468+D3000*11.135)*24634.6345,1),"")</f>
        <v/>
      </c>
      <c r="H3000">
        <f>IF(B3000,SQRT(-2*LN(F3000))*COS(2*PI()*G3000),"")</f>
        <v/>
      </c>
      <c r="I3000">
        <f>IF(B3000,IF(D3000=0,H3000,Rho*I2999+SQRT(1-Rho^2)*H3000),"")</f>
        <v/>
      </c>
      <c r="J3000">
        <f>IF(B3000,IF(Dist="Normal",DistA+DistB*I3000,DistA+(DistB-DistA)*NORMSDIST(I3000)),"")</f>
        <v/>
      </c>
      <c r="K3000">
        <f>IF(B3000,INDEX(MineScale,C3000),"")</f>
        <v/>
      </c>
      <c r="L3000">
        <f>IF(B3000,INDEX(Dow,1,WEEKDAY(E3000,2)),"")</f>
        <v/>
      </c>
      <c r="M3000">
        <f>IF(B3000,(1+Trend)^D3000,"")</f>
        <v/>
      </c>
      <c r="N3000">
        <f>IF(B3000,EXP(SUMPRODUCT(LN(1+(EvEff-1)*INDEX(Affected,0,C3000)*EXP(-((E3000-EvCenter)^2)/(2*EvSigma^2))))),"")</f>
        <v/>
      </c>
      <c r="O3000">
        <f>IF(B3000,ROUND(MAX(0,J3000*K3000*L3000*M3000*N3000),2),"")</f>
        <v/>
      </c>
    </row>
    <row r="3001">
      <c r="A3001" t="n">
        <v>3000</v>
      </c>
      <c r="B3001">
        <f>A3001&lt;=MineCount*Days</f>
        <v/>
      </c>
      <c r="C3001">
        <f>IF(B3001,INT((A3001-1)/Days)+1,"")</f>
        <v/>
      </c>
      <c r="D3001">
        <f>IF(B3001,MOD(A3001-1,Days),"")</f>
        <v/>
      </c>
      <c r="E3001" s="16">
        <f>IF(B3001,StartDate+D3001,"")</f>
        <v/>
      </c>
      <c r="F3001">
        <f>IF(B3001,MAX(MOD(SIN(Seed*0.1373+C3001*12.9898+D3001*78.233)*43758.5453,1),1E-9),"")</f>
        <v/>
      </c>
      <c r="G3001">
        <f>IF(B3001,MOD(SIN(Seed*0.5917+C3001*39.3468+D3001*11.135)*24634.6345,1),"")</f>
        <v/>
      </c>
      <c r="H3001">
        <f>IF(B3001,SQRT(-2*LN(F3001))*COS(2*PI()*G3001),"")</f>
        <v/>
      </c>
      <c r="I3001">
        <f>IF(B3001,IF(D3001=0,H3001,Rho*I3000+SQRT(1-Rho^2)*H3001),"")</f>
        <v/>
      </c>
      <c r="J3001">
        <f>IF(B3001,IF(Dist="Normal",DistA+DistB*I3001,DistA+(DistB-DistA)*NORMSDIST(I3001)),"")</f>
        <v/>
      </c>
      <c r="K3001">
        <f>IF(B3001,INDEX(MineScale,C3001),"")</f>
        <v/>
      </c>
      <c r="L3001">
        <f>IF(B3001,INDEX(Dow,1,WEEKDAY(E3001,2)),"")</f>
        <v/>
      </c>
      <c r="M3001">
        <f>IF(B3001,(1+Trend)^D3001,"")</f>
        <v/>
      </c>
      <c r="N3001">
        <f>IF(B3001,EXP(SUMPRODUCT(LN(1+(EvEff-1)*INDEX(Affected,0,C3001)*EXP(-((E3001-EvCenter)^2)/(2*EvSigma^2))))),"")</f>
        <v/>
      </c>
      <c r="O3001">
        <f>IF(B3001,ROUND(MAX(0,J3001*K3001*L3001*M3001*N3001),2),"")</f>
        <v/>
      </c>
    </row>
    <row r="3002">
      <c r="A3002" t="n">
        <v>3001</v>
      </c>
      <c r="B3002">
        <f>A3002&lt;=MineCount*Days</f>
        <v/>
      </c>
      <c r="C3002">
        <f>IF(B3002,INT((A3002-1)/Days)+1,"")</f>
        <v/>
      </c>
      <c r="D3002">
        <f>IF(B3002,MOD(A3002-1,Days),"")</f>
        <v/>
      </c>
      <c r="E3002" s="16">
        <f>IF(B3002,StartDate+D3002,"")</f>
        <v/>
      </c>
      <c r="F3002">
        <f>IF(B3002,MAX(MOD(SIN(Seed*0.1373+C3002*12.9898+D3002*78.233)*43758.5453,1),1E-9),"")</f>
        <v/>
      </c>
      <c r="G3002">
        <f>IF(B3002,MOD(SIN(Seed*0.5917+C3002*39.3468+D3002*11.135)*24634.6345,1),"")</f>
        <v/>
      </c>
      <c r="H3002">
        <f>IF(B3002,SQRT(-2*LN(F3002))*COS(2*PI()*G3002),"")</f>
        <v/>
      </c>
      <c r="I3002">
        <f>IF(B3002,IF(D3002=0,H3002,Rho*I3001+SQRT(1-Rho^2)*H3002),"")</f>
        <v/>
      </c>
      <c r="J3002">
        <f>IF(B3002,IF(Dist="Normal",DistA+DistB*I3002,DistA+(DistB-DistA)*NORMSDIST(I3002)),"")</f>
        <v/>
      </c>
      <c r="K3002">
        <f>IF(B3002,INDEX(MineScale,C3002),"")</f>
        <v/>
      </c>
      <c r="L3002">
        <f>IF(B3002,INDEX(Dow,1,WEEKDAY(E3002,2)),"")</f>
        <v/>
      </c>
      <c r="M3002">
        <f>IF(B3002,(1+Trend)^D3002,"")</f>
        <v/>
      </c>
      <c r="N3002">
        <f>IF(B3002,EXP(SUMPRODUCT(LN(1+(EvEff-1)*INDEX(Affected,0,C3002)*EXP(-((E3002-EvCenter)^2)/(2*EvSigma^2))))),"")</f>
        <v/>
      </c>
      <c r="O3002">
        <f>IF(B3002,ROUND(MAX(0,J3002*K3002*L3002*M3002*N3002),2),"")</f>
        <v/>
      </c>
    </row>
    <row r="3003">
      <c r="A3003" t="n">
        <v>3002</v>
      </c>
      <c r="B3003">
        <f>A3003&lt;=MineCount*Days</f>
        <v/>
      </c>
      <c r="C3003">
        <f>IF(B3003,INT((A3003-1)/Days)+1,"")</f>
        <v/>
      </c>
      <c r="D3003">
        <f>IF(B3003,MOD(A3003-1,Days),"")</f>
        <v/>
      </c>
      <c r="E3003" s="16">
        <f>IF(B3003,StartDate+D3003,"")</f>
        <v/>
      </c>
      <c r="F3003">
        <f>IF(B3003,MAX(MOD(SIN(Seed*0.1373+C3003*12.9898+D3003*78.233)*43758.5453,1),1E-9),"")</f>
        <v/>
      </c>
      <c r="G3003">
        <f>IF(B3003,MOD(SIN(Seed*0.5917+C3003*39.3468+D3003*11.135)*24634.6345,1),"")</f>
        <v/>
      </c>
      <c r="H3003">
        <f>IF(B3003,SQRT(-2*LN(F3003))*COS(2*PI()*G3003),"")</f>
        <v/>
      </c>
      <c r="I3003">
        <f>IF(B3003,IF(D3003=0,H3003,Rho*I3002+SQRT(1-Rho^2)*H3003),"")</f>
        <v/>
      </c>
      <c r="J3003">
        <f>IF(B3003,IF(Dist="Normal",DistA+DistB*I3003,DistA+(DistB-DistA)*NORMSDIST(I3003)),"")</f>
        <v/>
      </c>
      <c r="K3003">
        <f>IF(B3003,INDEX(MineScale,C3003),"")</f>
        <v/>
      </c>
      <c r="L3003">
        <f>IF(B3003,INDEX(Dow,1,WEEKDAY(E3003,2)),"")</f>
        <v/>
      </c>
      <c r="M3003">
        <f>IF(B3003,(1+Trend)^D3003,"")</f>
        <v/>
      </c>
      <c r="N3003">
        <f>IF(B3003,EXP(SUMPRODUCT(LN(1+(EvEff-1)*INDEX(Affected,0,C3003)*EXP(-((E3003-EvCenter)^2)/(2*EvSigma^2))))),"")</f>
        <v/>
      </c>
      <c r="O3003">
        <f>IF(B3003,ROUND(MAX(0,J3003*K3003*L3003*M3003*N3003),2),"")</f>
        <v/>
      </c>
    </row>
    <row r="3004">
      <c r="A3004" t="n">
        <v>3003</v>
      </c>
      <c r="B3004">
        <f>A3004&lt;=MineCount*Days</f>
        <v/>
      </c>
      <c r="C3004">
        <f>IF(B3004,INT((A3004-1)/Days)+1,"")</f>
        <v/>
      </c>
      <c r="D3004">
        <f>IF(B3004,MOD(A3004-1,Days),"")</f>
        <v/>
      </c>
      <c r="E3004" s="16">
        <f>IF(B3004,StartDate+D3004,"")</f>
        <v/>
      </c>
      <c r="F3004">
        <f>IF(B3004,MAX(MOD(SIN(Seed*0.1373+C3004*12.9898+D3004*78.233)*43758.5453,1),1E-9),"")</f>
        <v/>
      </c>
      <c r="G3004">
        <f>IF(B3004,MOD(SIN(Seed*0.5917+C3004*39.3468+D3004*11.135)*24634.6345,1),"")</f>
        <v/>
      </c>
      <c r="H3004">
        <f>IF(B3004,SQRT(-2*LN(F3004))*COS(2*PI()*G3004),"")</f>
        <v/>
      </c>
      <c r="I3004">
        <f>IF(B3004,IF(D3004=0,H3004,Rho*I3003+SQRT(1-Rho^2)*H3004),"")</f>
        <v/>
      </c>
      <c r="J3004">
        <f>IF(B3004,IF(Dist="Normal",DistA+DistB*I3004,DistA+(DistB-DistA)*NORMSDIST(I3004)),"")</f>
        <v/>
      </c>
      <c r="K3004">
        <f>IF(B3004,INDEX(MineScale,C3004),"")</f>
        <v/>
      </c>
      <c r="L3004">
        <f>IF(B3004,INDEX(Dow,1,WEEKDAY(E3004,2)),"")</f>
        <v/>
      </c>
      <c r="M3004">
        <f>IF(B3004,(1+Trend)^D3004,"")</f>
        <v/>
      </c>
      <c r="N3004">
        <f>IF(B3004,EXP(SUMPRODUCT(LN(1+(EvEff-1)*INDEX(Affected,0,C3004)*EXP(-((E3004-EvCenter)^2)/(2*EvSigma^2))))),"")</f>
        <v/>
      </c>
      <c r="O3004">
        <f>IF(B3004,ROUND(MAX(0,J3004*K3004*L3004*M3004*N3004),2),"")</f>
        <v/>
      </c>
    </row>
    <row r="3005">
      <c r="A3005" t="n">
        <v>3004</v>
      </c>
      <c r="B3005">
        <f>A3005&lt;=MineCount*Days</f>
        <v/>
      </c>
      <c r="C3005">
        <f>IF(B3005,INT((A3005-1)/Days)+1,"")</f>
        <v/>
      </c>
      <c r="D3005">
        <f>IF(B3005,MOD(A3005-1,Days),"")</f>
        <v/>
      </c>
      <c r="E3005" s="16">
        <f>IF(B3005,StartDate+D3005,"")</f>
        <v/>
      </c>
      <c r="F3005">
        <f>IF(B3005,MAX(MOD(SIN(Seed*0.1373+C3005*12.9898+D3005*78.233)*43758.5453,1),1E-9),"")</f>
        <v/>
      </c>
      <c r="G3005">
        <f>IF(B3005,MOD(SIN(Seed*0.5917+C3005*39.3468+D3005*11.135)*24634.6345,1),"")</f>
        <v/>
      </c>
      <c r="H3005">
        <f>IF(B3005,SQRT(-2*LN(F3005))*COS(2*PI()*G3005),"")</f>
        <v/>
      </c>
      <c r="I3005">
        <f>IF(B3005,IF(D3005=0,H3005,Rho*I3004+SQRT(1-Rho^2)*H3005),"")</f>
        <v/>
      </c>
      <c r="J3005">
        <f>IF(B3005,IF(Dist="Normal",DistA+DistB*I3005,DistA+(DistB-DistA)*NORMSDIST(I3005)),"")</f>
        <v/>
      </c>
      <c r="K3005">
        <f>IF(B3005,INDEX(MineScale,C3005),"")</f>
        <v/>
      </c>
      <c r="L3005">
        <f>IF(B3005,INDEX(Dow,1,WEEKDAY(E3005,2)),"")</f>
        <v/>
      </c>
      <c r="M3005">
        <f>IF(B3005,(1+Trend)^D3005,"")</f>
        <v/>
      </c>
      <c r="N3005">
        <f>IF(B3005,EXP(SUMPRODUCT(LN(1+(EvEff-1)*INDEX(Affected,0,C3005)*EXP(-((E3005-EvCenter)^2)/(2*EvSigma^2))))),"")</f>
        <v/>
      </c>
      <c r="O3005">
        <f>IF(B3005,ROUND(MAX(0,J3005*K3005*L3005*M3005*N3005),2),"")</f>
        <v/>
      </c>
    </row>
    <row r="3006">
      <c r="A3006" t="n">
        <v>3005</v>
      </c>
      <c r="B3006">
        <f>A3006&lt;=MineCount*Days</f>
        <v/>
      </c>
      <c r="C3006">
        <f>IF(B3006,INT((A3006-1)/Days)+1,"")</f>
        <v/>
      </c>
      <c r="D3006">
        <f>IF(B3006,MOD(A3006-1,Days),"")</f>
        <v/>
      </c>
      <c r="E3006" s="16">
        <f>IF(B3006,StartDate+D3006,"")</f>
        <v/>
      </c>
      <c r="F3006">
        <f>IF(B3006,MAX(MOD(SIN(Seed*0.1373+C3006*12.9898+D3006*78.233)*43758.5453,1),1E-9),"")</f>
        <v/>
      </c>
      <c r="G3006">
        <f>IF(B3006,MOD(SIN(Seed*0.5917+C3006*39.3468+D3006*11.135)*24634.6345,1),"")</f>
        <v/>
      </c>
      <c r="H3006">
        <f>IF(B3006,SQRT(-2*LN(F3006))*COS(2*PI()*G3006),"")</f>
        <v/>
      </c>
      <c r="I3006">
        <f>IF(B3006,IF(D3006=0,H3006,Rho*I3005+SQRT(1-Rho^2)*H3006),"")</f>
        <v/>
      </c>
      <c r="J3006">
        <f>IF(B3006,IF(Dist="Normal",DistA+DistB*I3006,DistA+(DistB-DistA)*NORMSDIST(I3006)),"")</f>
        <v/>
      </c>
      <c r="K3006">
        <f>IF(B3006,INDEX(MineScale,C3006),"")</f>
        <v/>
      </c>
      <c r="L3006">
        <f>IF(B3006,INDEX(Dow,1,WEEKDAY(E3006,2)),"")</f>
        <v/>
      </c>
      <c r="M3006">
        <f>IF(B3006,(1+Trend)^D3006,"")</f>
        <v/>
      </c>
      <c r="N3006">
        <f>IF(B3006,EXP(SUMPRODUCT(LN(1+(EvEff-1)*INDEX(Affected,0,C3006)*EXP(-((E3006-EvCenter)^2)/(2*EvSigma^2))))),"")</f>
        <v/>
      </c>
      <c r="O3006">
        <f>IF(B3006,ROUND(MAX(0,J3006*K3006*L3006*M3006*N3006),2),"")</f>
        <v/>
      </c>
    </row>
    <row r="3007">
      <c r="A3007" t="n">
        <v>3006</v>
      </c>
      <c r="B3007">
        <f>A3007&lt;=MineCount*Days</f>
        <v/>
      </c>
      <c r="C3007">
        <f>IF(B3007,INT((A3007-1)/Days)+1,"")</f>
        <v/>
      </c>
      <c r="D3007">
        <f>IF(B3007,MOD(A3007-1,Days),"")</f>
        <v/>
      </c>
      <c r="E3007" s="16">
        <f>IF(B3007,StartDate+D3007,"")</f>
        <v/>
      </c>
      <c r="F3007">
        <f>IF(B3007,MAX(MOD(SIN(Seed*0.1373+C3007*12.9898+D3007*78.233)*43758.5453,1),1E-9),"")</f>
        <v/>
      </c>
      <c r="G3007">
        <f>IF(B3007,MOD(SIN(Seed*0.5917+C3007*39.3468+D3007*11.135)*24634.6345,1),"")</f>
        <v/>
      </c>
      <c r="H3007">
        <f>IF(B3007,SQRT(-2*LN(F3007))*COS(2*PI()*G3007),"")</f>
        <v/>
      </c>
      <c r="I3007">
        <f>IF(B3007,IF(D3007=0,H3007,Rho*I3006+SQRT(1-Rho^2)*H3007),"")</f>
        <v/>
      </c>
      <c r="J3007">
        <f>IF(B3007,IF(Dist="Normal",DistA+DistB*I3007,DistA+(DistB-DistA)*NORMSDIST(I3007)),"")</f>
        <v/>
      </c>
      <c r="K3007">
        <f>IF(B3007,INDEX(MineScale,C3007),"")</f>
        <v/>
      </c>
      <c r="L3007">
        <f>IF(B3007,INDEX(Dow,1,WEEKDAY(E3007,2)),"")</f>
        <v/>
      </c>
      <c r="M3007">
        <f>IF(B3007,(1+Trend)^D3007,"")</f>
        <v/>
      </c>
      <c r="N3007">
        <f>IF(B3007,EXP(SUMPRODUCT(LN(1+(EvEff-1)*INDEX(Affected,0,C3007)*EXP(-((E3007-EvCenter)^2)/(2*EvSigma^2))))),"")</f>
        <v/>
      </c>
      <c r="O3007">
        <f>IF(B3007,ROUND(MAX(0,J3007*K3007*L3007*M3007*N3007),2),"")</f>
        <v/>
      </c>
    </row>
    <row r="3008">
      <c r="A3008" t="n">
        <v>3007</v>
      </c>
      <c r="B3008">
        <f>A3008&lt;=MineCount*Days</f>
        <v/>
      </c>
      <c r="C3008">
        <f>IF(B3008,INT((A3008-1)/Days)+1,"")</f>
        <v/>
      </c>
      <c r="D3008">
        <f>IF(B3008,MOD(A3008-1,Days),"")</f>
        <v/>
      </c>
      <c r="E3008" s="16">
        <f>IF(B3008,StartDate+D3008,"")</f>
        <v/>
      </c>
      <c r="F3008">
        <f>IF(B3008,MAX(MOD(SIN(Seed*0.1373+C3008*12.9898+D3008*78.233)*43758.5453,1),1E-9),"")</f>
        <v/>
      </c>
      <c r="G3008">
        <f>IF(B3008,MOD(SIN(Seed*0.5917+C3008*39.3468+D3008*11.135)*24634.6345,1),"")</f>
        <v/>
      </c>
      <c r="H3008">
        <f>IF(B3008,SQRT(-2*LN(F3008))*COS(2*PI()*G3008),"")</f>
        <v/>
      </c>
      <c r="I3008">
        <f>IF(B3008,IF(D3008=0,H3008,Rho*I3007+SQRT(1-Rho^2)*H3008),"")</f>
        <v/>
      </c>
      <c r="J3008">
        <f>IF(B3008,IF(Dist="Normal",DistA+DistB*I3008,DistA+(DistB-DistA)*NORMSDIST(I3008)),"")</f>
        <v/>
      </c>
      <c r="K3008">
        <f>IF(B3008,INDEX(MineScale,C3008),"")</f>
        <v/>
      </c>
      <c r="L3008">
        <f>IF(B3008,INDEX(Dow,1,WEEKDAY(E3008,2)),"")</f>
        <v/>
      </c>
      <c r="M3008">
        <f>IF(B3008,(1+Trend)^D3008,"")</f>
        <v/>
      </c>
      <c r="N3008">
        <f>IF(B3008,EXP(SUMPRODUCT(LN(1+(EvEff-1)*INDEX(Affected,0,C3008)*EXP(-((E3008-EvCenter)^2)/(2*EvSigma^2))))),"")</f>
        <v/>
      </c>
      <c r="O3008">
        <f>IF(B3008,ROUND(MAX(0,J3008*K3008*L3008*M3008*N3008),2),"")</f>
        <v/>
      </c>
    </row>
    <row r="3009">
      <c r="A3009" t="n">
        <v>3008</v>
      </c>
      <c r="B3009">
        <f>A3009&lt;=MineCount*Days</f>
        <v/>
      </c>
      <c r="C3009">
        <f>IF(B3009,INT((A3009-1)/Days)+1,"")</f>
        <v/>
      </c>
      <c r="D3009">
        <f>IF(B3009,MOD(A3009-1,Days),"")</f>
        <v/>
      </c>
      <c r="E3009" s="16">
        <f>IF(B3009,StartDate+D3009,"")</f>
        <v/>
      </c>
      <c r="F3009">
        <f>IF(B3009,MAX(MOD(SIN(Seed*0.1373+C3009*12.9898+D3009*78.233)*43758.5453,1),1E-9),"")</f>
        <v/>
      </c>
      <c r="G3009">
        <f>IF(B3009,MOD(SIN(Seed*0.5917+C3009*39.3468+D3009*11.135)*24634.6345,1),"")</f>
        <v/>
      </c>
      <c r="H3009">
        <f>IF(B3009,SQRT(-2*LN(F3009))*COS(2*PI()*G3009),"")</f>
        <v/>
      </c>
      <c r="I3009">
        <f>IF(B3009,IF(D3009=0,H3009,Rho*I3008+SQRT(1-Rho^2)*H3009),"")</f>
        <v/>
      </c>
      <c r="J3009">
        <f>IF(B3009,IF(Dist="Normal",DistA+DistB*I3009,DistA+(DistB-DistA)*NORMSDIST(I3009)),"")</f>
        <v/>
      </c>
      <c r="K3009">
        <f>IF(B3009,INDEX(MineScale,C3009),"")</f>
        <v/>
      </c>
      <c r="L3009">
        <f>IF(B3009,INDEX(Dow,1,WEEKDAY(E3009,2)),"")</f>
        <v/>
      </c>
      <c r="M3009">
        <f>IF(B3009,(1+Trend)^D3009,"")</f>
        <v/>
      </c>
      <c r="N3009">
        <f>IF(B3009,EXP(SUMPRODUCT(LN(1+(EvEff-1)*INDEX(Affected,0,C3009)*EXP(-((E3009-EvCenter)^2)/(2*EvSigma^2))))),"")</f>
        <v/>
      </c>
      <c r="O3009">
        <f>IF(B3009,ROUND(MAX(0,J3009*K3009*L3009*M3009*N3009),2),"")</f>
        <v/>
      </c>
    </row>
    <row r="3010">
      <c r="A3010" t="n">
        <v>3009</v>
      </c>
      <c r="B3010">
        <f>A3010&lt;=MineCount*Days</f>
        <v/>
      </c>
      <c r="C3010">
        <f>IF(B3010,INT((A3010-1)/Days)+1,"")</f>
        <v/>
      </c>
      <c r="D3010">
        <f>IF(B3010,MOD(A3010-1,Days),"")</f>
        <v/>
      </c>
      <c r="E3010" s="16">
        <f>IF(B3010,StartDate+D3010,"")</f>
        <v/>
      </c>
      <c r="F3010">
        <f>IF(B3010,MAX(MOD(SIN(Seed*0.1373+C3010*12.9898+D3010*78.233)*43758.5453,1),1E-9),"")</f>
        <v/>
      </c>
      <c r="G3010">
        <f>IF(B3010,MOD(SIN(Seed*0.5917+C3010*39.3468+D3010*11.135)*24634.6345,1),"")</f>
        <v/>
      </c>
      <c r="H3010">
        <f>IF(B3010,SQRT(-2*LN(F3010))*COS(2*PI()*G3010),"")</f>
        <v/>
      </c>
      <c r="I3010">
        <f>IF(B3010,IF(D3010=0,H3010,Rho*I3009+SQRT(1-Rho^2)*H3010),"")</f>
        <v/>
      </c>
      <c r="J3010">
        <f>IF(B3010,IF(Dist="Normal",DistA+DistB*I3010,DistA+(DistB-DistA)*NORMSDIST(I3010)),"")</f>
        <v/>
      </c>
      <c r="K3010">
        <f>IF(B3010,INDEX(MineScale,C3010),"")</f>
        <v/>
      </c>
      <c r="L3010">
        <f>IF(B3010,INDEX(Dow,1,WEEKDAY(E3010,2)),"")</f>
        <v/>
      </c>
      <c r="M3010">
        <f>IF(B3010,(1+Trend)^D3010,"")</f>
        <v/>
      </c>
      <c r="N3010">
        <f>IF(B3010,EXP(SUMPRODUCT(LN(1+(EvEff-1)*INDEX(Affected,0,C3010)*EXP(-((E3010-EvCenter)^2)/(2*EvSigma^2))))),"")</f>
        <v/>
      </c>
      <c r="O3010">
        <f>IF(B3010,ROUND(MAX(0,J3010*K3010*L3010*M3010*N3010),2),"")</f>
        <v/>
      </c>
    </row>
    <row r="3011">
      <c r="A3011" t="n">
        <v>3010</v>
      </c>
      <c r="B3011">
        <f>A3011&lt;=MineCount*Days</f>
        <v/>
      </c>
      <c r="C3011">
        <f>IF(B3011,INT((A3011-1)/Days)+1,"")</f>
        <v/>
      </c>
      <c r="D3011">
        <f>IF(B3011,MOD(A3011-1,Days),"")</f>
        <v/>
      </c>
      <c r="E3011" s="16">
        <f>IF(B3011,StartDate+D3011,"")</f>
        <v/>
      </c>
      <c r="F3011">
        <f>IF(B3011,MAX(MOD(SIN(Seed*0.1373+C3011*12.9898+D3011*78.233)*43758.5453,1),1E-9),"")</f>
        <v/>
      </c>
      <c r="G3011">
        <f>IF(B3011,MOD(SIN(Seed*0.5917+C3011*39.3468+D3011*11.135)*24634.6345,1),"")</f>
        <v/>
      </c>
      <c r="H3011">
        <f>IF(B3011,SQRT(-2*LN(F3011))*COS(2*PI()*G3011),"")</f>
        <v/>
      </c>
      <c r="I3011">
        <f>IF(B3011,IF(D3011=0,H3011,Rho*I3010+SQRT(1-Rho^2)*H3011),"")</f>
        <v/>
      </c>
      <c r="J3011">
        <f>IF(B3011,IF(Dist="Normal",DistA+DistB*I3011,DistA+(DistB-DistA)*NORMSDIST(I3011)),"")</f>
        <v/>
      </c>
      <c r="K3011">
        <f>IF(B3011,INDEX(MineScale,C3011),"")</f>
        <v/>
      </c>
      <c r="L3011">
        <f>IF(B3011,INDEX(Dow,1,WEEKDAY(E3011,2)),"")</f>
        <v/>
      </c>
      <c r="M3011">
        <f>IF(B3011,(1+Trend)^D3011,"")</f>
        <v/>
      </c>
      <c r="N3011">
        <f>IF(B3011,EXP(SUMPRODUCT(LN(1+(EvEff-1)*INDEX(Affected,0,C3011)*EXP(-((E3011-EvCenter)^2)/(2*EvSigma^2))))),"")</f>
        <v/>
      </c>
      <c r="O3011">
        <f>IF(B3011,ROUND(MAX(0,J3011*K3011*L3011*M3011*N3011),2),"")</f>
        <v/>
      </c>
    </row>
    <row r="3012">
      <c r="A3012" t="n">
        <v>3011</v>
      </c>
      <c r="B3012">
        <f>A3012&lt;=MineCount*Days</f>
        <v/>
      </c>
      <c r="C3012">
        <f>IF(B3012,INT((A3012-1)/Days)+1,"")</f>
        <v/>
      </c>
      <c r="D3012">
        <f>IF(B3012,MOD(A3012-1,Days),"")</f>
        <v/>
      </c>
      <c r="E3012" s="16">
        <f>IF(B3012,StartDate+D3012,"")</f>
        <v/>
      </c>
      <c r="F3012">
        <f>IF(B3012,MAX(MOD(SIN(Seed*0.1373+C3012*12.9898+D3012*78.233)*43758.5453,1),1E-9),"")</f>
        <v/>
      </c>
      <c r="G3012">
        <f>IF(B3012,MOD(SIN(Seed*0.5917+C3012*39.3468+D3012*11.135)*24634.6345,1),"")</f>
        <v/>
      </c>
      <c r="H3012">
        <f>IF(B3012,SQRT(-2*LN(F3012))*COS(2*PI()*G3012),"")</f>
        <v/>
      </c>
      <c r="I3012">
        <f>IF(B3012,IF(D3012=0,H3012,Rho*I3011+SQRT(1-Rho^2)*H3012),"")</f>
        <v/>
      </c>
      <c r="J3012">
        <f>IF(B3012,IF(Dist="Normal",DistA+DistB*I3012,DistA+(DistB-DistA)*NORMSDIST(I3012)),"")</f>
        <v/>
      </c>
      <c r="K3012">
        <f>IF(B3012,INDEX(MineScale,C3012),"")</f>
        <v/>
      </c>
      <c r="L3012">
        <f>IF(B3012,INDEX(Dow,1,WEEKDAY(E3012,2)),"")</f>
        <v/>
      </c>
      <c r="M3012">
        <f>IF(B3012,(1+Trend)^D3012,"")</f>
        <v/>
      </c>
      <c r="N3012">
        <f>IF(B3012,EXP(SUMPRODUCT(LN(1+(EvEff-1)*INDEX(Affected,0,C3012)*EXP(-((E3012-EvCenter)^2)/(2*EvSigma^2))))),"")</f>
        <v/>
      </c>
      <c r="O3012">
        <f>IF(B3012,ROUND(MAX(0,J3012*K3012*L3012*M3012*N3012),2),"")</f>
        <v/>
      </c>
    </row>
    <row r="3013">
      <c r="A3013" t="n">
        <v>3012</v>
      </c>
      <c r="B3013">
        <f>A3013&lt;=MineCount*Days</f>
        <v/>
      </c>
      <c r="C3013">
        <f>IF(B3013,INT((A3013-1)/Days)+1,"")</f>
        <v/>
      </c>
      <c r="D3013">
        <f>IF(B3013,MOD(A3013-1,Days),"")</f>
        <v/>
      </c>
      <c r="E3013" s="16">
        <f>IF(B3013,StartDate+D3013,"")</f>
        <v/>
      </c>
      <c r="F3013">
        <f>IF(B3013,MAX(MOD(SIN(Seed*0.1373+C3013*12.9898+D3013*78.233)*43758.5453,1),1E-9),"")</f>
        <v/>
      </c>
      <c r="G3013">
        <f>IF(B3013,MOD(SIN(Seed*0.5917+C3013*39.3468+D3013*11.135)*24634.6345,1),"")</f>
        <v/>
      </c>
      <c r="H3013">
        <f>IF(B3013,SQRT(-2*LN(F3013))*COS(2*PI()*G3013),"")</f>
        <v/>
      </c>
      <c r="I3013">
        <f>IF(B3013,IF(D3013=0,H3013,Rho*I3012+SQRT(1-Rho^2)*H3013),"")</f>
        <v/>
      </c>
      <c r="J3013">
        <f>IF(B3013,IF(Dist="Normal",DistA+DistB*I3013,DistA+(DistB-DistA)*NORMSDIST(I3013)),"")</f>
        <v/>
      </c>
      <c r="K3013">
        <f>IF(B3013,INDEX(MineScale,C3013),"")</f>
        <v/>
      </c>
      <c r="L3013">
        <f>IF(B3013,INDEX(Dow,1,WEEKDAY(E3013,2)),"")</f>
        <v/>
      </c>
      <c r="M3013">
        <f>IF(B3013,(1+Trend)^D3013,"")</f>
        <v/>
      </c>
      <c r="N3013">
        <f>IF(B3013,EXP(SUMPRODUCT(LN(1+(EvEff-1)*INDEX(Affected,0,C3013)*EXP(-((E3013-EvCenter)^2)/(2*EvSigma^2))))),"")</f>
        <v/>
      </c>
      <c r="O3013">
        <f>IF(B3013,ROUND(MAX(0,J3013*K3013*L3013*M3013*N3013),2),"")</f>
        <v/>
      </c>
    </row>
    <row r="3014">
      <c r="A3014" t="n">
        <v>3013</v>
      </c>
      <c r="B3014">
        <f>A3014&lt;=MineCount*Days</f>
        <v/>
      </c>
      <c r="C3014">
        <f>IF(B3014,INT((A3014-1)/Days)+1,"")</f>
        <v/>
      </c>
      <c r="D3014">
        <f>IF(B3014,MOD(A3014-1,Days),"")</f>
        <v/>
      </c>
      <c r="E3014" s="16">
        <f>IF(B3014,StartDate+D3014,"")</f>
        <v/>
      </c>
      <c r="F3014">
        <f>IF(B3014,MAX(MOD(SIN(Seed*0.1373+C3014*12.9898+D3014*78.233)*43758.5453,1),1E-9),"")</f>
        <v/>
      </c>
      <c r="G3014">
        <f>IF(B3014,MOD(SIN(Seed*0.5917+C3014*39.3468+D3014*11.135)*24634.6345,1),"")</f>
        <v/>
      </c>
      <c r="H3014">
        <f>IF(B3014,SQRT(-2*LN(F3014))*COS(2*PI()*G3014),"")</f>
        <v/>
      </c>
      <c r="I3014">
        <f>IF(B3014,IF(D3014=0,H3014,Rho*I3013+SQRT(1-Rho^2)*H3014),"")</f>
        <v/>
      </c>
      <c r="J3014">
        <f>IF(B3014,IF(Dist="Normal",DistA+DistB*I3014,DistA+(DistB-DistA)*NORMSDIST(I3014)),"")</f>
        <v/>
      </c>
      <c r="K3014">
        <f>IF(B3014,INDEX(MineScale,C3014),"")</f>
        <v/>
      </c>
      <c r="L3014">
        <f>IF(B3014,INDEX(Dow,1,WEEKDAY(E3014,2)),"")</f>
        <v/>
      </c>
      <c r="M3014">
        <f>IF(B3014,(1+Trend)^D3014,"")</f>
        <v/>
      </c>
      <c r="N3014">
        <f>IF(B3014,EXP(SUMPRODUCT(LN(1+(EvEff-1)*INDEX(Affected,0,C3014)*EXP(-((E3014-EvCenter)^2)/(2*EvSigma^2))))),"")</f>
        <v/>
      </c>
      <c r="O3014">
        <f>IF(B3014,ROUND(MAX(0,J3014*K3014*L3014*M3014*N3014),2),"")</f>
        <v/>
      </c>
    </row>
    <row r="3015">
      <c r="A3015" t="n">
        <v>3014</v>
      </c>
      <c r="B3015">
        <f>A3015&lt;=MineCount*Days</f>
        <v/>
      </c>
      <c r="C3015">
        <f>IF(B3015,INT((A3015-1)/Days)+1,"")</f>
        <v/>
      </c>
      <c r="D3015">
        <f>IF(B3015,MOD(A3015-1,Days),"")</f>
        <v/>
      </c>
      <c r="E3015" s="16">
        <f>IF(B3015,StartDate+D3015,"")</f>
        <v/>
      </c>
      <c r="F3015">
        <f>IF(B3015,MAX(MOD(SIN(Seed*0.1373+C3015*12.9898+D3015*78.233)*43758.5453,1),1E-9),"")</f>
        <v/>
      </c>
      <c r="G3015">
        <f>IF(B3015,MOD(SIN(Seed*0.5917+C3015*39.3468+D3015*11.135)*24634.6345,1),"")</f>
        <v/>
      </c>
      <c r="H3015">
        <f>IF(B3015,SQRT(-2*LN(F3015))*COS(2*PI()*G3015),"")</f>
        <v/>
      </c>
      <c r="I3015">
        <f>IF(B3015,IF(D3015=0,H3015,Rho*I3014+SQRT(1-Rho^2)*H3015),"")</f>
        <v/>
      </c>
      <c r="J3015">
        <f>IF(B3015,IF(Dist="Normal",DistA+DistB*I3015,DistA+(DistB-DistA)*NORMSDIST(I3015)),"")</f>
        <v/>
      </c>
      <c r="K3015">
        <f>IF(B3015,INDEX(MineScale,C3015),"")</f>
        <v/>
      </c>
      <c r="L3015">
        <f>IF(B3015,INDEX(Dow,1,WEEKDAY(E3015,2)),"")</f>
        <v/>
      </c>
      <c r="M3015">
        <f>IF(B3015,(1+Trend)^D3015,"")</f>
        <v/>
      </c>
      <c r="N3015">
        <f>IF(B3015,EXP(SUMPRODUCT(LN(1+(EvEff-1)*INDEX(Affected,0,C3015)*EXP(-((E3015-EvCenter)^2)/(2*EvSigma^2))))),"")</f>
        <v/>
      </c>
      <c r="O3015">
        <f>IF(B3015,ROUND(MAX(0,J3015*K3015*L3015*M3015*N3015),2),"")</f>
        <v/>
      </c>
    </row>
    <row r="3016">
      <c r="A3016" t="n">
        <v>3015</v>
      </c>
      <c r="B3016">
        <f>A3016&lt;=MineCount*Days</f>
        <v/>
      </c>
      <c r="C3016">
        <f>IF(B3016,INT((A3016-1)/Days)+1,"")</f>
        <v/>
      </c>
      <c r="D3016">
        <f>IF(B3016,MOD(A3016-1,Days),"")</f>
        <v/>
      </c>
      <c r="E3016" s="16">
        <f>IF(B3016,StartDate+D3016,"")</f>
        <v/>
      </c>
      <c r="F3016">
        <f>IF(B3016,MAX(MOD(SIN(Seed*0.1373+C3016*12.9898+D3016*78.233)*43758.5453,1),1E-9),"")</f>
        <v/>
      </c>
      <c r="G3016">
        <f>IF(B3016,MOD(SIN(Seed*0.5917+C3016*39.3468+D3016*11.135)*24634.6345,1),"")</f>
        <v/>
      </c>
      <c r="H3016">
        <f>IF(B3016,SQRT(-2*LN(F3016))*COS(2*PI()*G3016),"")</f>
        <v/>
      </c>
      <c r="I3016">
        <f>IF(B3016,IF(D3016=0,H3016,Rho*I3015+SQRT(1-Rho^2)*H3016),"")</f>
        <v/>
      </c>
      <c r="J3016">
        <f>IF(B3016,IF(Dist="Normal",DistA+DistB*I3016,DistA+(DistB-DistA)*NORMSDIST(I3016)),"")</f>
        <v/>
      </c>
      <c r="K3016">
        <f>IF(B3016,INDEX(MineScale,C3016),"")</f>
        <v/>
      </c>
      <c r="L3016">
        <f>IF(B3016,INDEX(Dow,1,WEEKDAY(E3016,2)),"")</f>
        <v/>
      </c>
      <c r="M3016">
        <f>IF(B3016,(1+Trend)^D3016,"")</f>
        <v/>
      </c>
      <c r="N3016">
        <f>IF(B3016,EXP(SUMPRODUCT(LN(1+(EvEff-1)*INDEX(Affected,0,C3016)*EXP(-((E3016-EvCenter)^2)/(2*EvSigma^2))))),"")</f>
        <v/>
      </c>
      <c r="O3016">
        <f>IF(B3016,ROUND(MAX(0,J3016*K3016*L3016*M3016*N3016),2),"")</f>
        <v/>
      </c>
    </row>
    <row r="3017">
      <c r="A3017" t="n">
        <v>3016</v>
      </c>
      <c r="B3017">
        <f>A3017&lt;=MineCount*Days</f>
        <v/>
      </c>
      <c r="C3017">
        <f>IF(B3017,INT((A3017-1)/Days)+1,"")</f>
        <v/>
      </c>
      <c r="D3017">
        <f>IF(B3017,MOD(A3017-1,Days),"")</f>
        <v/>
      </c>
      <c r="E3017" s="16">
        <f>IF(B3017,StartDate+D3017,"")</f>
        <v/>
      </c>
      <c r="F3017">
        <f>IF(B3017,MAX(MOD(SIN(Seed*0.1373+C3017*12.9898+D3017*78.233)*43758.5453,1),1E-9),"")</f>
        <v/>
      </c>
      <c r="G3017">
        <f>IF(B3017,MOD(SIN(Seed*0.5917+C3017*39.3468+D3017*11.135)*24634.6345,1),"")</f>
        <v/>
      </c>
      <c r="H3017">
        <f>IF(B3017,SQRT(-2*LN(F3017))*COS(2*PI()*G3017),"")</f>
        <v/>
      </c>
      <c r="I3017">
        <f>IF(B3017,IF(D3017=0,H3017,Rho*I3016+SQRT(1-Rho^2)*H3017),"")</f>
        <v/>
      </c>
      <c r="J3017">
        <f>IF(B3017,IF(Dist="Normal",DistA+DistB*I3017,DistA+(DistB-DistA)*NORMSDIST(I3017)),"")</f>
        <v/>
      </c>
      <c r="K3017">
        <f>IF(B3017,INDEX(MineScale,C3017),"")</f>
        <v/>
      </c>
      <c r="L3017">
        <f>IF(B3017,INDEX(Dow,1,WEEKDAY(E3017,2)),"")</f>
        <v/>
      </c>
      <c r="M3017">
        <f>IF(B3017,(1+Trend)^D3017,"")</f>
        <v/>
      </c>
      <c r="N3017">
        <f>IF(B3017,EXP(SUMPRODUCT(LN(1+(EvEff-1)*INDEX(Affected,0,C3017)*EXP(-((E3017-EvCenter)^2)/(2*EvSigma^2))))),"")</f>
        <v/>
      </c>
      <c r="O3017">
        <f>IF(B3017,ROUND(MAX(0,J3017*K3017*L3017*M3017*N3017),2),"")</f>
        <v/>
      </c>
    </row>
    <row r="3018">
      <c r="A3018" t="n">
        <v>3017</v>
      </c>
      <c r="B3018">
        <f>A3018&lt;=MineCount*Days</f>
        <v/>
      </c>
      <c r="C3018">
        <f>IF(B3018,INT((A3018-1)/Days)+1,"")</f>
        <v/>
      </c>
      <c r="D3018">
        <f>IF(B3018,MOD(A3018-1,Days),"")</f>
        <v/>
      </c>
      <c r="E3018" s="16">
        <f>IF(B3018,StartDate+D3018,"")</f>
        <v/>
      </c>
      <c r="F3018">
        <f>IF(B3018,MAX(MOD(SIN(Seed*0.1373+C3018*12.9898+D3018*78.233)*43758.5453,1),1E-9),"")</f>
        <v/>
      </c>
      <c r="G3018">
        <f>IF(B3018,MOD(SIN(Seed*0.5917+C3018*39.3468+D3018*11.135)*24634.6345,1),"")</f>
        <v/>
      </c>
      <c r="H3018">
        <f>IF(B3018,SQRT(-2*LN(F3018))*COS(2*PI()*G3018),"")</f>
        <v/>
      </c>
      <c r="I3018">
        <f>IF(B3018,IF(D3018=0,H3018,Rho*I3017+SQRT(1-Rho^2)*H3018),"")</f>
        <v/>
      </c>
      <c r="J3018">
        <f>IF(B3018,IF(Dist="Normal",DistA+DistB*I3018,DistA+(DistB-DistA)*NORMSDIST(I3018)),"")</f>
        <v/>
      </c>
      <c r="K3018">
        <f>IF(B3018,INDEX(MineScale,C3018),"")</f>
        <v/>
      </c>
      <c r="L3018">
        <f>IF(B3018,INDEX(Dow,1,WEEKDAY(E3018,2)),"")</f>
        <v/>
      </c>
      <c r="M3018">
        <f>IF(B3018,(1+Trend)^D3018,"")</f>
        <v/>
      </c>
      <c r="N3018">
        <f>IF(B3018,EXP(SUMPRODUCT(LN(1+(EvEff-1)*INDEX(Affected,0,C3018)*EXP(-((E3018-EvCenter)^2)/(2*EvSigma^2))))),"")</f>
        <v/>
      </c>
      <c r="O3018">
        <f>IF(B3018,ROUND(MAX(0,J3018*K3018*L3018*M3018*N3018),2),"")</f>
        <v/>
      </c>
    </row>
    <row r="3019">
      <c r="A3019" t="n">
        <v>3018</v>
      </c>
      <c r="B3019">
        <f>A3019&lt;=MineCount*Days</f>
        <v/>
      </c>
      <c r="C3019">
        <f>IF(B3019,INT((A3019-1)/Days)+1,"")</f>
        <v/>
      </c>
      <c r="D3019">
        <f>IF(B3019,MOD(A3019-1,Days),"")</f>
        <v/>
      </c>
      <c r="E3019" s="16">
        <f>IF(B3019,StartDate+D3019,"")</f>
        <v/>
      </c>
      <c r="F3019">
        <f>IF(B3019,MAX(MOD(SIN(Seed*0.1373+C3019*12.9898+D3019*78.233)*43758.5453,1),1E-9),"")</f>
        <v/>
      </c>
      <c r="G3019">
        <f>IF(B3019,MOD(SIN(Seed*0.5917+C3019*39.3468+D3019*11.135)*24634.6345,1),"")</f>
        <v/>
      </c>
      <c r="H3019">
        <f>IF(B3019,SQRT(-2*LN(F3019))*COS(2*PI()*G3019),"")</f>
        <v/>
      </c>
      <c r="I3019">
        <f>IF(B3019,IF(D3019=0,H3019,Rho*I3018+SQRT(1-Rho^2)*H3019),"")</f>
        <v/>
      </c>
      <c r="J3019">
        <f>IF(B3019,IF(Dist="Normal",DistA+DistB*I3019,DistA+(DistB-DistA)*NORMSDIST(I3019)),"")</f>
        <v/>
      </c>
      <c r="K3019">
        <f>IF(B3019,INDEX(MineScale,C3019),"")</f>
        <v/>
      </c>
      <c r="L3019">
        <f>IF(B3019,INDEX(Dow,1,WEEKDAY(E3019,2)),"")</f>
        <v/>
      </c>
      <c r="M3019">
        <f>IF(B3019,(1+Trend)^D3019,"")</f>
        <v/>
      </c>
      <c r="N3019">
        <f>IF(B3019,EXP(SUMPRODUCT(LN(1+(EvEff-1)*INDEX(Affected,0,C3019)*EXP(-((E3019-EvCenter)^2)/(2*EvSigma^2))))),"")</f>
        <v/>
      </c>
      <c r="O3019">
        <f>IF(B3019,ROUND(MAX(0,J3019*K3019*L3019*M3019*N3019),2),"")</f>
        <v/>
      </c>
    </row>
    <row r="3020">
      <c r="A3020" t="n">
        <v>3019</v>
      </c>
      <c r="B3020">
        <f>A3020&lt;=MineCount*Days</f>
        <v/>
      </c>
      <c r="C3020">
        <f>IF(B3020,INT((A3020-1)/Days)+1,"")</f>
        <v/>
      </c>
      <c r="D3020">
        <f>IF(B3020,MOD(A3020-1,Days),"")</f>
        <v/>
      </c>
      <c r="E3020" s="16">
        <f>IF(B3020,StartDate+D3020,"")</f>
        <v/>
      </c>
      <c r="F3020">
        <f>IF(B3020,MAX(MOD(SIN(Seed*0.1373+C3020*12.9898+D3020*78.233)*43758.5453,1),1E-9),"")</f>
        <v/>
      </c>
      <c r="G3020">
        <f>IF(B3020,MOD(SIN(Seed*0.5917+C3020*39.3468+D3020*11.135)*24634.6345,1),"")</f>
        <v/>
      </c>
      <c r="H3020">
        <f>IF(B3020,SQRT(-2*LN(F3020))*COS(2*PI()*G3020),"")</f>
        <v/>
      </c>
      <c r="I3020">
        <f>IF(B3020,IF(D3020=0,H3020,Rho*I3019+SQRT(1-Rho^2)*H3020),"")</f>
        <v/>
      </c>
      <c r="J3020">
        <f>IF(B3020,IF(Dist="Normal",DistA+DistB*I3020,DistA+(DistB-DistA)*NORMSDIST(I3020)),"")</f>
        <v/>
      </c>
      <c r="K3020">
        <f>IF(B3020,INDEX(MineScale,C3020),"")</f>
        <v/>
      </c>
      <c r="L3020">
        <f>IF(B3020,INDEX(Dow,1,WEEKDAY(E3020,2)),"")</f>
        <v/>
      </c>
      <c r="M3020">
        <f>IF(B3020,(1+Trend)^D3020,"")</f>
        <v/>
      </c>
      <c r="N3020">
        <f>IF(B3020,EXP(SUMPRODUCT(LN(1+(EvEff-1)*INDEX(Affected,0,C3020)*EXP(-((E3020-EvCenter)^2)/(2*EvSigma^2))))),"")</f>
        <v/>
      </c>
      <c r="O3020">
        <f>IF(B3020,ROUND(MAX(0,J3020*K3020*L3020*M3020*N3020),2),"")</f>
        <v/>
      </c>
    </row>
    <row r="3021">
      <c r="A3021" t="n">
        <v>3020</v>
      </c>
      <c r="B3021">
        <f>A3021&lt;=MineCount*Days</f>
        <v/>
      </c>
      <c r="C3021">
        <f>IF(B3021,INT((A3021-1)/Days)+1,"")</f>
        <v/>
      </c>
      <c r="D3021">
        <f>IF(B3021,MOD(A3021-1,Days),"")</f>
        <v/>
      </c>
      <c r="E3021" s="16">
        <f>IF(B3021,StartDate+D3021,"")</f>
        <v/>
      </c>
      <c r="F3021">
        <f>IF(B3021,MAX(MOD(SIN(Seed*0.1373+C3021*12.9898+D3021*78.233)*43758.5453,1),1E-9),"")</f>
        <v/>
      </c>
      <c r="G3021">
        <f>IF(B3021,MOD(SIN(Seed*0.5917+C3021*39.3468+D3021*11.135)*24634.6345,1),"")</f>
        <v/>
      </c>
      <c r="H3021">
        <f>IF(B3021,SQRT(-2*LN(F3021))*COS(2*PI()*G3021),"")</f>
        <v/>
      </c>
      <c r="I3021">
        <f>IF(B3021,IF(D3021=0,H3021,Rho*I3020+SQRT(1-Rho^2)*H3021),"")</f>
        <v/>
      </c>
      <c r="J3021">
        <f>IF(B3021,IF(Dist="Normal",DistA+DistB*I3021,DistA+(DistB-DistA)*NORMSDIST(I3021)),"")</f>
        <v/>
      </c>
      <c r="K3021">
        <f>IF(B3021,INDEX(MineScale,C3021),"")</f>
        <v/>
      </c>
      <c r="L3021">
        <f>IF(B3021,INDEX(Dow,1,WEEKDAY(E3021,2)),"")</f>
        <v/>
      </c>
      <c r="M3021">
        <f>IF(B3021,(1+Trend)^D3021,"")</f>
        <v/>
      </c>
      <c r="N3021">
        <f>IF(B3021,EXP(SUMPRODUCT(LN(1+(EvEff-1)*INDEX(Affected,0,C3021)*EXP(-((E3021-EvCenter)^2)/(2*EvSigma^2))))),"")</f>
        <v/>
      </c>
      <c r="O3021">
        <f>IF(B3021,ROUND(MAX(0,J3021*K3021*L3021*M3021*N3021),2),"")</f>
        <v/>
      </c>
    </row>
    <row r="3022">
      <c r="A3022" t="n">
        <v>3021</v>
      </c>
      <c r="B3022">
        <f>A3022&lt;=MineCount*Days</f>
        <v/>
      </c>
      <c r="C3022">
        <f>IF(B3022,INT((A3022-1)/Days)+1,"")</f>
        <v/>
      </c>
      <c r="D3022">
        <f>IF(B3022,MOD(A3022-1,Days),"")</f>
        <v/>
      </c>
      <c r="E3022" s="16">
        <f>IF(B3022,StartDate+D3022,"")</f>
        <v/>
      </c>
      <c r="F3022">
        <f>IF(B3022,MAX(MOD(SIN(Seed*0.1373+C3022*12.9898+D3022*78.233)*43758.5453,1),1E-9),"")</f>
        <v/>
      </c>
      <c r="G3022">
        <f>IF(B3022,MOD(SIN(Seed*0.5917+C3022*39.3468+D3022*11.135)*24634.6345,1),"")</f>
        <v/>
      </c>
      <c r="H3022">
        <f>IF(B3022,SQRT(-2*LN(F3022))*COS(2*PI()*G3022),"")</f>
        <v/>
      </c>
      <c r="I3022">
        <f>IF(B3022,IF(D3022=0,H3022,Rho*I3021+SQRT(1-Rho^2)*H3022),"")</f>
        <v/>
      </c>
      <c r="J3022">
        <f>IF(B3022,IF(Dist="Normal",DistA+DistB*I3022,DistA+(DistB-DistA)*NORMSDIST(I3022)),"")</f>
        <v/>
      </c>
      <c r="K3022">
        <f>IF(B3022,INDEX(MineScale,C3022),"")</f>
        <v/>
      </c>
      <c r="L3022">
        <f>IF(B3022,INDEX(Dow,1,WEEKDAY(E3022,2)),"")</f>
        <v/>
      </c>
      <c r="M3022">
        <f>IF(B3022,(1+Trend)^D3022,"")</f>
        <v/>
      </c>
      <c r="N3022">
        <f>IF(B3022,EXP(SUMPRODUCT(LN(1+(EvEff-1)*INDEX(Affected,0,C3022)*EXP(-((E3022-EvCenter)^2)/(2*EvSigma^2))))),"")</f>
        <v/>
      </c>
      <c r="O3022">
        <f>IF(B3022,ROUND(MAX(0,J3022*K3022*L3022*M3022*N3022),2),"")</f>
        <v/>
      </c>
    </row>
    <row r="3023">
      <c r="A3023" t="n">
        <v>3022</v>
      </c>
      <c r="B3023">
        <f>A3023&lt;=MineCount*Days</f>
        <v/>
      </c>
      <c r="C3023">
        <f>IF(B3023,INT((A3023-1)/Days)+1,"")</f>
        <v/>
      </c>
      <c r="D3023">
        <f>IF(B3023,MOD(A3023-1,Days),"")</f>
        <v/>
      </c>
      <c r="E3023" s="16">
        <f>IF(B3023,StartDate+D3023,"")</f>
        <v/>
      </c>
      <c r="F3023">
        <f>IF(B3023,MAX(MOD(SIN(Seed*0.1373+C3023*12.9898+D3023*78.233)*43758.5453,1),1E-9),"")</f>
        <v/>
      </c>
      <c r="G3023">
        <f>IF(B3023,MOD(SIN(Seed*0.5917+C3023*39.3468+D3023*11.135)*24634.6345,1),"")</f>
        <v/>
      </c>
      <c r="H3023">
        <f>IF(B3023,SQRT(-2*LN(F3023))*COS(2*PI()*G3023),"")</f>
        <v/>
      </c>
      <c r="I3023">
        <f>IF(B3023,IF(D3023=0,H3023,Rho*I3022+SQRT(1-Rho^2)*H3023),"")</f>
        <v/>
      </c>
      <c r="J3023">
        <f>IF(B3023,IF(Dist="Normal",DistA+DistB*I3023,DistA+(DistB-DistA)*NORMSDIST(I3023)),"")</f>
        <v/>
      </c>
      <c r="K3023">
        <f>IF(B3023,INDEX(MineScale,C3023),"")</f>
        <v/>
      </c>
      <c r="L3023">
        <f>IF(B3023,INDEX(Dow,1,WEEKDAY(E3023,2)),"")</f>
        <v/>
      </c>
      <c r="M3023">
        <f>IF(B3023,(1+Trend)^D3023,"")</f>
        <v/>
      </c>
      <c r="N3023">
        <f>IF(B3023,EXP(SUMPRODUCT(LN(1+(EvEff-1)*INDEX(Affected,0,C3023)*EXP(-((E3023-EvCenter)^2)/(2*EvSigma^2))))),"")</f>
        <v/>
      </c>
      <c r="O3023">
        <f>IF(B3023,ROUND(MAX(0,J3023*K3023*L3023*M3023*N3023),2),"")</f>
        <v/>
      </c>
    </row>
    <row r="3024">
      <c r="A3024" t="n">
        <v>3023</v>
      </c>
      <c r="B3024">
        <f>A3024&lt;=MineCount*Days</f>
        <v/>
      </c>
      <c r="C3024">
        <f>IF(B3024,INT((A3024-1)/Days)+1,"")</f>
        <v/>
      </c>
      <c r="D3024">
        <f>IF(B3024,MOD(A3024-1,Days),"")</f>
        <v/>
      </c>
      <c r="E3024" s="16">
        <f>IF(B3024,StartDate+D3024,"")</f>
        <v/>
      </c>
      <c r="F3024">
        <f>IF(B3024,MAX(MOD(SIN(Seed*0.1373+C3024*12.9898+D3024*78.233)*43758.5453,1),1E-9),"")</f>
        <v/>
      </c>
      <c r="G3024">
        <f>IF(B3024,MOD(SIN(Seed*0.5917+C3024*39.3468+D3024*11.135)*24634.6345,1),"")</f>
        <v/>
      </c>
      <c r="H3024">
        <f>IF(B3024,SQRT(-2*LN(F3024))*COS(2*PI()*G3024),"")</f>
        <v/>
      </c>
      <c r="I3024">
        <f>IF(B3024,IF(D3024=0,H3024,Rho*I3023+SQRT(1-Rho^2)*H3024),"")</f>
        <v/>
      </c>
      <c r="J3024">
        <f>IF(B3024,IF(Dist="Normal",DistA+DistB*I3024,DistA+(DistB-DistA)*NORMSDIST(I3024)),"")</f>
        <v/>
      </c>
      <c r="K3024">
        <f>IF(B3024,INDEX(MineScale,C3024),"")</f>
        <v/>
      </c>
      <c r="L3024">
        <f>IF(B3024,INDEX(Dow,1,WEEKDAY(E3024,2)),"")</f>
        <v/>
      </c>
      <c r="M3024">
        <f>IF(B3024,(1+Trend)^D3024,"")</f>
        <v/>
      </c>
      <c r="N3024">
        <f>IF(B3024,EXP(SUMPRODUCT(LN(1+(EvEff-1)*INDEX(Affected,0,C3024)*EXP(-((E3024-EvCenter)^2)/(2*EvSigma^2))))),"")</f>
        <v/>
      </c>
      <c r="O3024">
        <f>IF(B3024,ROUND(MAX(0,J3024*K3024*L3024*M3024*N3024),2),"")</f>
        <v/>
      </c>
    </row>
    <row r="3025">
      <c r="A3025" t="n">
        <v>3024</v>
      </c>
      <c r="B3025">
        <f>A3025&lt;=MineCount*Days</f>
        <v/>
      </c>
      <c r="C3025">
        <f>IF(B3025,INT((A3025-1)/Days)+1,"")</f>
        <v/>
      </c>
      <c r="D3025">
        <f>IF(B3025,MOD(A3025-1,Days),"")</f>
        <v/>
      </c>
      <c r="E3025" s="16">
        <f>IF(B3025,StartDate+D3025,"")</f>
        <v/>
      </c>
      <c r="F3025">
        <f>IF(B3025,MAX(MOD(SIN(Seed*0.1373+C3025*12.9898+D3025*78.233)*43758.5453,1),1E-9),"")</f>
        <v/>
      </c>
      <c r="G3025">
        <f>IF(B3025,MOD(SIN(Seed*0.5917+C3025*39.3468+D3025*11.135)*24634.6345,1),"")</f>
        <v/>
      </c>
      <c r="H3025">
        <f>IF(B3025,SQRT(-2*LN(F3025))*COS(2*PI()*G3025),"")</f>
        <v/>
      </c>
      <c r="I3025">
        <f>IF(B3025,IF(D3025=0,H3025,Rho*I3024+SQRT(1-Rho^2)*H3025),"")</f>
        <v/>
      </c>
      <c r="J3025">
        <f>IF(B3025,IF(Dist="Normal",DistA+DistB*I3025,DistA+(DistB-DistA)*NORMSDIST(I3025)),"")</f>
        <v/>
      </c>
      <c r="K3025">
        <f>IF(B3025,INDEX(MineScale,C3025),"")</f>
        <v/>
      </c>
      <c r="L3025">
        <f>IF(B3025,INDEX(Dow,1,WEEKDAY(E3025,2)),"")</f>
        <v/>
      </c>
      <c r="M3025">
        <f>IF(B3025,(1+Trend)^D3025,"")</f>
        <v/>
      </c>
      <c r="N3025">
        <f>IF(B3025,EXP(SUMPRODUCT(LN(1+(EvEff-1)*INDEX(Affected,0,C3025)*EXP(-((E3025-EvCenter)^2)/(2*EvSigma^2))))),"")</f>
        <v/>
      </c>
      <c r="O3025">
        <f>IF(B3025,ROUND(MAX(0,J3025*K3025*L3025*M3025*N3025),2),"")</f>
        <v/>
      </c>
    </row>
    <row r="3026">
      <c r="A3026" t="n">
        <v>3025</v>
      </c>
      <c r="B3026">
        <f>A3026&lt;=MineCount*Days</f>
        <v/>
      </c>
      <c r="C3026">
        <f>IF(B3026,INT((A3026-1)/Days)+1,"")</f>
        <v/>
      </c>
      <c r="D3026">
        <f>IF(B3026,MOD(A3026-1,Days),"")</f>
        <v/>
      </c>
      <c r="E3026" s="16">
        <f>IF(B3026,StartDate+D3026,"")</f>
        <v/>
      </c>
      <c r="F3026">
        <f>IF(B3026,MAX(MOD(SIN(Seed*0.1373+C3026*12.9898+D3026*78.233)*43758.5453,1),1E-9),"")</f>
        <v/>
      </c>
      <c r="G3026">
        <f>IF(B3026,MOD(SIN(Seed*0.5917+C3026*39.3468+D3026*11.135)*24634.6345,1),"")</f>
        <v/>
      </c>
      <c r="H3026">
        <f>IF(B3026,SQRT(-2*LN(F3026))*COS(2*PI()*G3026),"")</f>
        <v/>
      </c>
      <c r="I3026">
        <f>IF(B3026,IF(D3026=0,H3026,Rho*I3025+SQRT(1-Rho^2)*H3026),"")</f>
        <v/>
      </c>
      <c r="J3026">
        <f>IF(B3026,IF(Dist="Normal",DistA+DistB*I3026,DistA+(DistB-DistA)*NORMSDIST(I3026)),"")</f>
        <v/>
      </c>
      <c r="K3026">
        <f>IF(B3026,INDEX(MineScale,C3026),"")</f>
        <v/>
      </c>
      <c r="L3026">
        <f>IF(B3026,INDEX(Dow,1,WEEKDAY(E3026,2)),"")</f>
        <v/>
      </c>
      <c r="M3026">
        <f>IF(B3026,(1+Trend)^D3026,"")</f>
        <v/>
      </c>
      <c r="N3026">
        <f>IF(B3026,EXP(SUMPRODUCT(LN(1+(EvEff-1)*INDEX(Affected,0,C3026)*EXP(-((E3026-EvCenter)^2)/(2*EvSigma^2))))),"")</f>
        <v/>
      </c>
      <c r="O3026">
        <f>IF(B3026,ROUND(MAX(0,J3026*K3026*L3026*M3026*N3026),2),"")</f>
        <v/>
      </c>
    </row>
    <row r="3027">
      <c r="A3027" t="n">
        <v>3026</v>
      </c>
      <c r="B3027">
        <f>A3027&lt;=MineCount*Days</f>
        <v/>
      </c>
      <c r="C3027">
        <f>IF(B3027,INT((A3027-1)/Days)+1,"")</f>
        <v/>
      </c>
      <c r="D3027">
        <f>IF(B3027,MOD(A3027-1,Days),"")</f>
        <v/>
      </c>
      <c r="E3027" s="16">
        <f>IF(B3027,StartDate+D3027,"")</f>
        <v/>
      </c>
      <c r="F3027">
        <f>IF(B3027,MAX(MOD(SIN(Seed*0.1373+C3027*12.9898+D3027*78.233)*43758.5453,1),1E-9),"")</f>
        <v/>
      </c>
      <c r="G3027">
        <f>IF(B3027,MOD(SIN(Seed*0.5917+C3027*39.3468+D3027*11.135)*24634.6345,1),"")</f>
        <v/>
      </c>
      <c r="H3027">
        <f>IF(B3027,SQRT(-2*LN(F3027))*COS(2*PI()*G3027),"")</f>
        <v/>
      </c>
      <c r="I3027">
        <f>IF(B3027,IF(D3027=0,H3027,Rho*I3026+SQRT(1-Rho^2)*H3027),"")</f>
        <v/>
      </c>
      <c r="J3027">
        <f>IF(B3027,IF(Dist="Normal",DistA+DistB*I3027,DistA+(DistB-DistA)*NORMSDIST(I3027)),"")</f>
        <v/>
      </c>
      <c r="K3027">
        <f>IF(B3027,INDEX(MineScale,C3027),"")</f>
        <v/>
      </c>
      <c r="L3027">
        <f>IF(B3027,INDEX(Dow,1,WEEKDAY(E3027,2)),"")</f>
        <v/>
      </c>
      <c r="M3027">
        <f>IF(B3027,(1+Trend)^D3027,"")</f>
        <v/>
      </c>
      <c r="N3027">
        <f>IF(B3027,EXP(SUMPRODUCT(LN(1+(EvEff-1)*INDEX(Affected,0,C3027)*EXP(-((E3027-EvCenter)^2)/(2*EvSigma^2))))),"")</f>
        <v/>
      </c>
      <c r="O3027">
        <f>IF(B3027,ROUND(MAX(0,J3027*K3027*L3027*M3027*N3027),2),"")</f>
        <v/>
      </c>
    </row>
    <row r="3028">
      <c r="A3028" t="n">
        <v>3027</v>
      </c>
      <c r="B3028">
        <f>A3028&lt;=MineCount*Days</f>
        <v/>
      </c>
      <c r="C3028">
        <f>IF(B3028,INT((A3028-1)/Days)+1,"")</f>
        <v/>
      </c>
      <c r="D3028">
        <f>IF(B3028,MOD(A3028-1,Days),"")</f>
        <v/>
      </c>
      <c r="E3028" s="16">
        <f>IF(B3028,StartDate+D3028,"")</f>
        <v/>
      </c>
      <c r="F3028">
        <f>IF(B3028,MAX(MOD(SIN(Seed*0.1373+C3028*12.9898+D3028*78.233)*43758.5453,1),1E-9),"")</f>
        <v/>
      </c>
      <c r="G3028">
        <f>IF(B3028,MOD(SIN(Seed*0.5917+C3028*39.3468+D3028*11.135)*24634.6345,1),"")</f>
        <v/>
      </c>
      <c r="H3028">
        <f>IF(B3028,SQRT(-2*LN(F3028))*COS(2*PI()*G3028),"")</f>
        <v/>
      </c>
      <c r="I3028">
        <f>IF(B3028,IF(D3028=0,H3028,Rho*I3027+SQRT(1-Rho^2)*H3028),"")</f>
        <v/>
      </c>
      <c r="J3028">
        <f>IF(B3028,IF(Dist="Normal",DistA+DistB*I3028,DistA+(DistB-DistA)*NORMSDIST(I3028)),"")</f>
        <v/>
      </c>
      <c r="K3028">
        <f>IF(B3028,INDEX(MineScale,C3028),"")</f>
        <v/>
      </c>
      <c r="L3028">
        <f>IF(B3028,INDEX(Dow,1,WEEKDAY(E3028,2)),"")</f>
        <v/>
      </c>
      <c r="M3028">
        <f>IF(B3028,(1+Trend)^D3028,"")</f>
        <v/>
      </c>
      <c r="N3028">
        <f>IF(B3028,EXP(SUMPRODUCT(LN(1+(EvEff-1)*INDEX(Affected,0,C3028)*EXP(-((E3028-EvCenter)^2)/(2*EvSigma^2))))),"")</f>
        <v/>
      </c>
      <c r="O3028">
        <f>IF(B3028,ROUND(MAX(0,J3028*K3028*L3028*M3028*N3028),2),"")</f>
        <v/>
      </c>
    </row>
    <row r="3029">
      <c r="A3029" t="n">
        <v>3028</v>
      </c>
      <c r="B3029">
        <f>A3029&lt;=MineCount*Days</f>
        <v/>
      </c>
      <c r="C3029">
        <f>IF(B3029,INT((A3029-1)/Days)+1,"")</f>
        <v/>
      </c>
      <c r="D3029">
        <f>IF(B3029,MOD(A3029-1,Days),"")</f>
        <v/>
      </c>
      <c r="E3029" s="16">
        <f>IF(B3029,StartDate+D3029,"")</f>
        <v/>
      </c>
      <c r="F3029">
        <f>IF(B3029,MAX(MOD(SIN(Seed*0.1373+C3029*12.9898+D3029*78.233)*43758.5453,1),1E-9),"")</f>
        <v/>
      </c>
      <c r="G3029">
        <f>IF(B3029,MOD(SIN(Seed*0.5917+C3029*39.3468+D3029*11.135)*24634.6345,1),"")</f>
        <v/>
      </c>
      <c r="H3029">
        <f>IF(B3029,SQRT(-2*LN(F3029))*COS(2*PI()*G3029),"")</f>
        <v/>
      </c>
      <c r="I3029">
        <f>IF(B3029,IF(D3029=0,H3029,Rho*I3028+SQRT(1-Rho^2)*H3029),"")</f>
        <v/>
      </c>
      <c r="J3029">
        <f>IF(B3029,IF(Dist="Normal",DistA+DistB*I3029,DistA+(DistB-DistA)*NORMSDIST(I3029)),"")</f>
        <v/>
      </c>
      <c r="K3029">
        <f>IF(B3029,INDEX(MineScale,C3029),"")</f>
        <v/>
      </c>
      <c r="L3029">
        <f>IF(B3029,INDEX(Dow,1,WEEKDAY(E3029,2)),"")</f>
        <v/>
      </c>
      <c r="M3029">
        <f>IF(B3029,(1+Trend)^D3029,"")</f>
        <v/>
      </c>
      <c r="N3029">
        <f>IF(B3029,EXP(SUMPRODUCT(LN(1+(EvEff-1)*INDEX(Affected,0,C3029)*EXP(-((E3029-EvCenter)^2)/(2*EvSigma^2))))),"")</f>
        <v/>
      </c>
      <c r="O3029">
        <f>IF(B3029,ROUND(MAX(0,J3029*K3029*L3029*M3029*N3029),2),"")</f>
        <v/>
      </c>
    </row>
    <row r="3030">
      <c r="A3030" t="n">
        <v>3029</v>
      </c>
      <c r="B3030">
        <f>A3030&lt;=MineCount*Days</f>
        <v/>
      </c>
      <c r="C3030">
        <f>IF(B3030,INT((A3030-1)/Days)+1,"")</f>
        <v/>
      </c>
      <c r="D3030">
        <f>IF(B3030,MOD(A3030-1,Days),"")</f>
        <v/>
      </c>
      <c r="E3030" s="16">
        <f>IF(B3030,StartDate+D3030,"")</f>
        <v/>
      </c>
      <c r="F3030">
        <f>IF(B3030,MAX(MOD(SIN(Seed*0.1373+C3030*12.9898+D3030*78.233)*43758.5453,1),1E-9),"")</f>
        <v/>
      </c>
      <c r="G3030">
        <f>IF(B3030,MOD(SIN(Seed*0.5917+C3030*39.3468+D3030*11.135)*24634.6345,1),"")</f>
        <v/>
      </c>
      <c r="H3030">
        <f>IF(B3030,SQRT(-2*LN(F3030))*COS(2*PI()*G3030),"")</f>
        <v/>
      </c>
      <c r="I3030">
        <f>IF(B3030,IF(D3030=0,H3030,Rho*I3029+SQRT(1-Rho^2)*H3030),"")</f>
        <v/>
      </c>
      <c r="J3030">
        <f>IF(B3030,IF(Dist="Normal",DistA+DistB*I3030,DistA+(DistB-DistA)*NORMSDIST(I3030)),"")</f>
        <v/>
      </c>
      <c r="K3030">
        <f>IF(B3030,INDEX(MineScale,C3030),"")</f>
        <v/>
      </c>
      <c r="L3030">
        <f>IF(B3030,INDEX(Dow,1,WEEKDAY(E3030,2)),"")</f>
        <v/>
      </c>
      <c r="M3030">
        <f>IF(B3030,(1+Trend)^D3030,"")</f>
        <v/>
      </c>
      <c r="N3030">
        <f>IF(B3030,EXP(SUMPRODUCT(LN(1+(EvEff-1)*INDEX(Affected,0,C3030)*EXP(-((E3030-EvCenter)^2)/(2*EvSigma^2))))),"")</f>
        <v/>
      </c>
      <c r="O3030">
        <f>IF(B3030,ROUND(MAX(0,J3030*K3030*L3030*M3030*N3030),2),"")</f>
        <v/>
      </c>
    </row>
    <row r="3031">
      <c r="A3031" t="n">
        <v>3030</v>
      </c>
      <c r="B3031">
        <f>A3031&lt;=MineCount*Days</f>
        <v/>
      </c>
      <c r="C3031">
        <f>IF(B3031,INT((A3031-1)/Days)+1,"")</f>
        <v/>
      </c>
      <c r="D3031">
        <f>IF(B3031,MOD(A3031-1,Days),"")</f>
        <v/>
      </c>
      <c r="E3031" s="16">
        <f>IF(B3031,StartDate+D3031,"")</f>
        <v/>
      </c>
      <c r="F3031">
        <f>IF(B3031,MAX(MOD(SIN(Seed*0.1373+C3031*12.9898+D3031*78.233)*43758.5453,1),1E-9),"")</f>
        <v/>
      </c>
      <c r="G3031">
        <f>IF(B3031,MOD(SIN(Seed*0.5917+C3031*39.3468+D3031*11.135)*24634.6345,1),"")</f>
        <v/>
      </c>
      <c r="H3031">
        <f>IF(B3031,SQRT(-2*LN(F3031))*COS(2*PI()*G3031),"")</f>
        <v/>
      </c>
      <c r="I3031">
        <f>IF(B3031,IF(D3031=0,H3031,Rho*I3030+SQRT(1-Rho^2)*H3031),"")</f>
        <v/>
      </c>
      <c r="J3031">
        <f>IF(B3031,IF(Dist="Normal",DistA+DistB*I3031,DistA+(DistB-DistA)*NORMSDIST(I3031)),"")</f>
        <v/>
      </c>
      <c r="K3031">
        <f>IF(B3031,INDEX(MineScale,C3031),"")</f>
        <v/>
      </c>
      <c r="L3031">
        <f>IF(B3031,INDEX(Dow,1,WEEKDAY(E3031,2)),"")</f>
        <v/>
      </c>
      <c r="M3031">
        <f>IF(B3031,(1+Trend)^D3031,"")</f>
        <v/>
      </c>
      <c r="N3031">
        <f>IF(B3031,EXP(SUMPRODUCT(LN(1+(EvEff-1)*INDEX(Affected,0,C3031)*EXP(-((E3031-EvCenter)^2)/(2*EvSigma^2))))),"")</f>
        <v/>
      </c>
      <c r="O3031">
        <f>IF(B3031,ROUND(MAX(0,J3031*K3031*L3031*M3031*N3031),2),"")</f>
        <v/>
      </c>
    </row>
    <row r="3032">
      <c r="A3032" t="n">
        <v>3031</v>
      </c>
      <c r="B3032">
        <f>A3032&lt;=MineCount*Days</f>
        <v/>
      </c>
      <c r="C3032">
        <f>IF(B3032,INT((A3032-1)/Days)+1,"")</f>
        <v/>
      </c>
      <c r="D3032">
        <f>IF(B3032,MOD(A3032-1,Days),"")</f>
        <v/>
      </c>
      <c r="E3032" s="16">
        <f>IF(B3032,StartDate+D3032,"")</f>
        <v/>
      </c>
      <c r="F3032">
        <f>IF(B3032,MAX(MOD(SIN(Seed*0.1373+C3032*12.9898+D3032*78.233)*43758.5453,1),1E-9),"")</f>
        <v/>
      </c>
      <c r="G3032">
        <f>IF(B3032,MOD(SIN(Seed*0.5917+C3032*39.3468+D3032*11.135)*24634.6345,1),"")</f>
        <v/>
      </c>
      <c r="H3032">
        <f>IF(B3032,SQRT(-2*LN(F3032))*COS(2*PI()*G3032),"")</f>
        <v/>
      </c>
      <c r="I3032">
        <f>IF(B3032,IF(D3032=0,H3032,Rho*I3031+SQRT(1-Rho^2)*H3032),"")</f>
        <v/>
      </c>
      <c r="J3032">
        <f>IF(B3032,IF(Dist="Normal",DistA+DistB*I3032,DistA+(DistB-DistA)*NORMSDIST(I3032)),"")</f>
        <v/>
      </c>
      <c r="K3032">
        <f>IF(B3032,INDEX(MineScale,C3032),"")</f>
        <v/>
      </c>
      <c r="L3032">
        <f>IF(B3032,INDEX(Dow,1,WEEKDAY(E3032,2)),"")</f>
        <v/>
      </c>
      <c r="M3032">
        <f>IF(B3032,(1+Trend)^D3032,"")</f>
        <v/>
      </c>
      <c r="N3032">
        <f>IF(B3032,EXP(SUMPRODUCT(LN(1+(EvEff-1)*INDEX(Affected,0,C3032)*EXP(-((E3032-EvCenter)^2)/(2*EvSigma^2))))),"")</f>
        <v/>
      </c>
      <c r="O3032">
        <f>IF(B3032,ROUND(MAX(0,J3032*K3032*L3032*M3032*N3032),2),"")</f>
        <v/>
      </c>
    </row>
    <row r="3033">
      <c r="A3033" t="n">
        <v>3032</v>
      </c>
      <c r="B3033">
        <f>A3033&lt;=MineCount*Days</f>
        <v/>
      </c>
      <c r="C3033">
        <f>IF(B3033,INT((A3033-1)/Days)+1,"")</f>
        <v/>
      </c>
      <c r="D3033">
        <f>IF(B3033,MOD(A3033-1,Days),"")</f>
        <v/>
      </c>
      <c r="E3033" s="16">
        <f>IF(B3033,StartDate+D3033,"")</f>
        <v/>
      </c>
      <c r="F3033">
        <f>IF(B3033,MAX(MOD(SIN(Seed*0.1373+C3033*12.9898+D3033*78.233)*43758.5453,1),1E-9),"")</f>
        <v/>
      </c>
      <c r="G3033">
        <f>IF(B3033,MOD(SIN(Seed*0.5917+C3033*39.3468+D3033*11.135)*24634.6345,1),"")</f>
        <v/>
      </c>
      <c r="H3033">
        <f>IF(B3033,SQRT(-2*LN(F3033))*COS(2*PI()*G3033),"")</f>
        <v/>
      </c>
      <c r="I3033">
        <f>IF(B3033,IF(D3033=0,H3033,Rho*I3032+SQRT(1-Rho^2)*H3033),"")</f>
        <v/>
      </c>
      <c r="J3033">
        <f>IF(B3033,IF(Dist="Normal",DistA+DistB*I3033,DistA+(DistB-DistA)*NORMSDIST(I3033)),"")</f>
        <v/>
      </c>
      <c r="K3033">
        <f>IF(B3033,INDEX(MineScale,C3033),"")</f>
        <v/>
      </c>
      <c r="L3033">
        <f>IF(B3033,INDEX(Dow,1,WEEKDAY(E3033,2)),"")</f>
        <v/>
      </c>
      <c r="M3033">
        <f>IF(B3033,(1+Trend)^D3033,"")</f>
        <v/>
      </c>
      <c r="N3033">
        <f>IF(B3033,EXP(SUMPRODUCT(LN(1+(EvEff-1)*INDEX(Affected,0,C3033)*EXP(-((E3033-EvCenter)^2)/(2*EvSigma^2))))),"")</f>
        <v/>
      </c>
      <c r="O3033">
        <f>IF(B3033,ROUND(MAX(0,J3033*K3033*L3033*M3033*N3033),2),"")</f>
        <v/>
      </c>
    </row>
    <row r="3034">
      <c r="A3034" t="n">
        <v>3033</v>
      </c>
      <c r="B3034">
        <f>A3034&lt;=MineCount*Days</f>
        <v/>
      </c>
      <c r="C3034">
        <f>IF(B3034,INT((A3034-1)/Days)+1,"")</f>
        <v/>
      </c>
      <c r="D3034">
        <f>IF(B3034,MOD(A3034-1,Days),"")</f>
        <v/>
      </c>
      <c r="E3034" s="16">
        <f>IF(B3034,StartDate+D3034,"")</f>
        <v/>
      </c>
      <c r="F3034">
        <f>IF(B3034,MAX(MOD(SIN(Seed*0.1373+C3034*12.9898+D3034*78.233)*43758.5453,1),1E-9),"")</f>
        <v/>
      </c>
      <c r="G3034">
        <f>IF(B3034,MOD(SIN(Seed*0.5917+C3034*39.3468+D3034*11.135)*24634.6345,1),"")</f>
        <v/>
      </c>
      <c r="H3034">
        <f>IF(B3034,SQRT(-2*LN(F3034))*COS(2*PI()*G3034),"")</f>
        <v/>
      </c>
      <c r="I3034">
        <f>IF(B3034,IF(D3034=0,H3034,Rho*I3033+SQRT(1-Rho^2)*H3034),"")</f>
        <v/>
      </c>
      <c r="J3034">
        <f>IF(B3034,IF(Dist="Normal",DistA+DistB*I3034,DistA+(DistB-DistA)*NORMSDIST(I3034)),"")</f>
        <v/>
      </c>
      <c r="K3034">
        <f>IF(B3034,INDEX(MineScale,C3034),"")</f>
        <v/>
      </c>
      <c r="L3034">
        <f>IF(B3034,INDEX(Dow,1,WEEKDAY(E3034,2)),"")</f>
        <v/>
      </c>
      <c r="M3034">
        <f>IF(B3034,(1+Trend)^D3034,"")</f>
        <v/>
      </c>
      <c r="N3034">
        <f>IF(B3034,EXP(SUMPRODUCT(LN(1+(EvEff-1)*INDEX(Affected,0,C3034)*EXP(-((E3034-EvCenter)^2)/(2*EvSigma^2))))),"")</f>
        <v/>
      </c>
      <c r="O3034">
        <f>IF(B3034,ROUND(MAX(0,J3034*K3034*L3034*M3034*N3034),2),"")</f>
        <v/>
      </c>
    </row>
    <row r="3035">
      <c r="A3035" t="n">
        <v>3034</v>
      </c>
      <c r="B3035">
        <f>A3035&lt;=MineCount*Days</f>
        <v/>
      </c>
      <c r="C3035">
        <f>IF(B3035,INT((A3035-1)/Days)+1,"")</f>
        <v/>
      </c>
      <c r="D3035">
        <f>IF(B3035,MOD(A3035-1,Days),"")</f>
        <v/>
      </c>
      <c r="E3035" s="16">
        <f>IF(B3035,StartDate+D3035,"")</f>
        <v/>
      </c>
      <c r="F3035">
        <f>IF(B3035,MAX(MOD(SIN(Seed*0.1373+C3035*12.9898+D3035*78.233)*43758.5453,1),1E-9),"")</f>
        <v/>
      </c>
      <c r="G3035">
        <f>IF(B3035,MOD(SIN(Seed*0.5917+C3035*39.3468+D3035*11.135)*24634.6345,1),"")</f>
        <v/>
      </c>
      <c r="H3035">
        <f>IF(B3035,SQRT(-2*LN(F3035))*COS(2*PI()*G3035),"")</f>
        <v/>
      </c>
      <c r="I3035">
        <f>IF(B3035,IF(D3035=0,H3035,Rho*I3034+SQRT(1-Rho^2)*H3035),"")</f>
        <v/>
      </c>
      <c r="J3035">
        <f>IF(B3035,IF(Dist="Normal",DistA+DistB*I3035,DistA+(DistB-DistA)*NORMSDIST(I3035)),"")</f>
        <v/>
      </c>
      <c r="K3035">
        <f>IF(B3035,INDEX(MineScale,C3035),"")</f>
        <v/>
      </c>
      <c r="L3035">
        <f>IF(B3035,INDEX(Dow,1,WEEKDAY(E3035,2)),"")</f>
        <v/>
      </c>
      <c r="M3035">
        <f>IF(B3035,(1+Trend)^D3035,"")</f>
        <v/>
      </c>
      <c r="N3035">
        <f>IF(B3035,EXP(SUMPRODUCT(LN(1+(EvEff-1)*INDEX(Affected,0,C3035)*EXP(-((E3035-EvCenter)^2)/(2*EvSigma^2))))),"")</f>
        <v/>
      </c>
      <c r="O3035">
        <f>IF(B3035,ROUND(MAX(0,J3035*K3035*L3035*M3035*N3035),2),"")</f>
        <v/>
      </c>
    </row>
    <row r="3036">
      <c r="A3036" t="n">
        <v>3035</v>
      </c>
      <c r="B3036">
        <f>A3036&lt;=MineCount*Days</f>
        <v/>
      </c>
      <c r="C3036">
        <f>IF(B3036,INT((A3036-1)/Days)+1,"")</f>
        <v/>
      </c>
      <c r="D3036">
        <f>IF(B3036,MOD(A3036-1,Days),"")</f>
        <v/>
      </c>
      <c r="E3036" s="16">
        <f>IF(B3036,StartDate+D3036,"")</f>
        <v/>
      </c>
      <c r="F3036">
        <f>IF(B3036,MAX(MOD(SIN(Seed*0.1373+C3036*12.9898+D3036*78.233)*43758.5453,1),1E-9),"")</f>
        <v/>
      </c>
      <c r="G3036">
        <f>IF(B3036,MOD(SIN(Seed*0.5917+C3036*39.3468+D3036*11.135)*24634.6345,1),"")</f>
        <v/>
      </c>
      <c r="H3036">
        <f>IF(B3036,SQRT(-2*LN(F3036))*COS(2*PI()*G3036),"")</f>
        <v/>
      </c>
      <c r="I3036">
        <f>IF(B3036,IF(D3036=0,H3036,Rho*I3035+SQRT(1-Rho^2)*H3036),"")</f>
        <v/>
      </c>
      <c r="J3036">
        <f>IF(B3036,IF(Dist="Normal",DistA+DistB*I3036,DistA+(DistB-DistA)*NORMSDIST(I3036)),"")</f>
        <v/>
      </c>
      <c r="K3036">
        <f>IF(B3036,INDEX(MineScale,C3036),"")</f>
        <v/>
      </c>
      <c r="L3036">
        <f>IF(B3036,INDEX(Dow,1,WEEKDAY(E3036,2)),"")</f>
        <v/>
      </c>
      <c r="M3036">
        <f>IF(B3036,(1+Trend)^D3036,"")</f>
        <v/>
      </c>
      <c r="N3036">
        <f>IF(B3036,EXP(SUMPRODUCT(LN(1+(EvEff-1)*INDEX(Affected,0,C3036)*EXP(-((E3036-EvCenter)^2)/(2*EvSigma^2))))),"")</f>
        <v/>
      </c>
      <c r="O3036">
        <f>IF(B3036,ROUND(MAX(0,J3036*K3036*L3036*M3036*N3036),2),"")</f>
        <v/>
      </c>
    </row>
    <row r="3037">
      <c r="A3037" t="n">
        <v>3036</v>
      </c>
      <c r="B3037">
        <f>A3037&lt;=MineCount*Days</f>
        <v/>
      </c>
      <c r="C3037">
        <f>IF(B3037,INT((A3037-1)/Days)+1,"")</f>
        <v/>
      </c>
      <c r="D3037">
        <f>IF(B3037,MOD(A3037-1,Days),"")</f>
        <v/>
      </c>
      <c r="E3037" s="16">
        <f>IF(B3037,StartDate+D3037,"")</f>
        <v/>
      </c>
      <c r="F3037">
        <f>IF(B3037,MAX(MOD(SIN(Seed*0.1373+C3037*12.9898+D3037*78.233)*43758.5453,1),1E-9),"")</f>
        <v/>
      </c>
      <c r="G3037">
        <f>IF(B3037,MOD(SIN(Seed*0.5917+C3037*39.3468+D3037*11.135)*24634.6345,1),"")</f>
        <v/>
      </c>
      <c r="H3037">
        <f>IF(B3037,SQRT(-2*LN(F3037))*COS(2*PI()*G3037),"")</f>
        <v/>
      </c>
      <c r="I3037">
        <f>IF(B3037,IF(D3037=0,H3037,Rho*I3036+SQRT(1-Rho^2)*H3037),"")</f>
        <v/>
      </c>
      <c r="J3037">
        <f>IF(B3037,IF(Dist="Normal",DistA+DistB*I3037,DistA+(DistB-DistA)*NORMSDIST(I3037)),"")</f>
        <v/>
      </c>
      <c r="K3037">
        <f>IF(B3037,INDEX(MineScale,C3037),"")</f>
        <v/>
      </c>
      <c r="L3037">
        <f>IF(B3037,INDEX(Dow,1,WEEKDAY(E3037,2)),"")</f>
        <v/>
      </c>
      <c r="M3037">
        <f>IF(B3037,(1+Trend)^D3037,"")</f>
        <v/>
      </c>
      <c r="N3037">
        <f>IF(B3037,EXP(SUMPRODUCT(LN(1+(EvEff-1)*INDEX(Affected,0,C3037)*EXP(-((E3037-EvCenter)^2)/(2*EvSigma^2))))),"")</f>
        <v/>
      </c>
      <c r="O3037">
        <f>IF(B3037,ROUND(MAX(0,J3037*K3037*L3037*M3037*N3037),2),"")</f>
        <v/>
      </c>
    </row>
    <row r="3038">
      <c r="A3038" t="n">
        <v>3037</v>
      </c>
      <c r="B3038">
        <f>A3038&lt;=MineCount*Days</f>
        <v/>
      </c>
      <c r="C3038">
        <f>IF(B3038,INT((A3038-1)/Days)+1,"")</f>
        <v/>
      </c>
      <c r="D3038">
        <f>IF(B3038,MOD(A3038-1,Days),"")</f>
        <v/>
      </c>
      <c r="E3038" s="16">
        <f>IF(B3038,StartDate+D3038,"")</f>
        <v/>
      </c>
      <c r="F3038">
        <f>IF(B3038,MAX(MOD(SIN(Seed*0.1373+C3038*12.9898+D3038*78.233)*43758.5453,1),1E-9),"")</f>
        <v/>
      </c>
      <c r="G3038">
        <f>IF(B3038,MOD(SIN(Seed*0.5917+C3038*39.3468+D3038*11.135)*24634.6345,1),"")</f>
        <v/>
      </c>
      <c r="H3038">
        <f>IF(B3038,SQRT(-2*LN(F3038))*COS(2*PI()*G3038),"")</f>
        <v/>
      </c>
      <c r="I3038">
        <f>IF(B3038,IF(D3038=0,H3038,Rho*I3037+SQRT(1-Rho^2)*H3038),"")</f>
        <v/>
      </c>
      <c r="J3038">
        <f>IF(B3038,IF(Dist="Normal",DistA+DistB*I3038,DistA+(DistB-DistA)*NORMSDIST(I3038)),"")</f>
        <v/>
      </c>
      <c r="K3038">
        <f>IF(B3038,INDEX(MineScale,C3038),"")</f>
        <v/>
      </c>
      <c r="L3038">
        <f>IF(B3038,INDEX(Dow,1,WEEKDAY(E3038,2)),"")</f>
        <v/>
      </c>
      <c r="M3038">
        <f>IF(B3038,(1+Trend)^D3038,"")</f>
        <v/>
      </c>
      <c r="N3038">
        <f>IF(B3038,EXP(SUMPRODUCT(LN(1+(EvEff-1)*INDEX(Affected,0,C3038)*EXP(-((E3038-EvCenter)^2)/(2*EvSigma^2))))),"")</f>
        <v/>
      </c>
      <c r="O3038">
        <f>IF(B3038,ROUND(MAX(0,J3038*K3038*L3038*M3038*N3038),2),"")</f>
        <v/>
      </c>
    </row>
    <row r="3039">
      <c r="A3039" t="n">
        <v>3038</v>
      </c>
      <c r="B3039">
        <f>A3039&lt;=MineCount*Days</f>
        <v/>
      </c>
      <c r="C3039">
        <f>IF(B3039,INT((A3039-1)/Days)+1,"")</f>
        <v/>
      </c>
      <c r="D3039">
        <f>IF(B3039,MOD(A3039-1,Days),"")</f>
        <v/>
      </c>
      <c r="E3039" s="16">
        <f>IF(B3039,StartDate+D3039,"")</f>
        <v/>
      </c>
      <c r="F3039">
        <f>IF(B3039,MAX(MOD(SIN(Seed*0.1373+C3039*12.9898+D3039*78.233)*43758.5453,1),1E-9),"")</f>
        <v/>
      </c>
      <c r="G3039">
        <f>IF(B3039,MOD(SIN(Seed*0.5917+C3039*39.3468+D3039*11.135)*24634.6345,1),"")</f>
        <v/>
      </c>
      <c r="H3039">
        <f>IF(B3039,SQRT(-2*LN(F3039))*COS(2*PI()*G3039),"")</f>
        <v/>
      </c>
      <c r="I3039">
        <f>IF(B3039,IF(D3039=0,H3039,Rho*I3038+SQRT(1-Rho^2)*H3039),"")</f>
        <v/>
      </c>
      <c r="J3039">
        <f>IF(B3039,IF(Dist="Normal",DistA+DistB*I3039,DistA+(DistB-DistA)*NORMSDIST(I3039)),"")</f>
        <v/>
      </c>
      <c r="K3039">
        <f>IF(B3039,INDEX(MineScale,C3039),"")</f>
        <v/>
      </c>
      <c r="L3039">
        <f>IF(B3039,INDEX(Dow,1,WEEKDAY(E3039,2)),"")</f>
        <v/>
      </c>
      <c r="M3039">
        <f>IF(B3039,(1+Trend)^D3039,"")</f>
        <v/>
      </c>
      <c r="N3039">
        <f>IF(B3039,EXP(SUMPRODUCT(LN(1+(EvEff-1)*INDEX(Affected,0,C3039)*EXP(-((E3039-EvCenter)^2)/(2*EvSigma^2))))),"")</f>
        <v/>
      </c>
      <c r="O3039">
        <f>IF(B3039,ROUND(MAX(0,J3039*K3039*L3039*M3039*N3039),2),"")</f>
        <v/>
      </c>
    </row>
    <row r="3040">
      <c r="A3040" t="n">
        <v>3039</v>
      </c>
      <c r="B3040">
        <f>A3040&lt;=MineCount*Days</f>
        <v/>
      </c>
      <c r="C3040">
        <f>IF(B3040,INT((A3040-1)/Days)+1,"")</f>
        <v/>
      </c>
      <c r="D3040">
        <f>IF(B3040,MOD(A3040-1,Days),"")</f>
        <v/>
      </c>
      <c r="E3040" s="16">
        <f>IF(B3040,StartDate+D3040,"")</f>
        <v/>
      </c>
      <c r="F3040">
        <f>IF(B3040,MAX(MOD(SIN(Seed*0.1373+C3040*12.9898+D3040*78.233)*43758.5453,1),1E-9),"")</f>
        <v/>
      </c>
      <c r="G3040">
        <f>IF(B3040,MOD(SIN(Seed*0.5917+C3040*39.3468+D3040*11.135)*24634.6345,1),"")</f>
        <v/>
      </c>
      <c r="H3040">
        <f>IF(B3040,SQRT(-2*LN(F3040))*COS(2*PI()*G3040),"")</f>
        <v/>
      </c>
      <c r="I3040">
        <f>IF(B3040,IF(D3040=0,H3040,Rho*I3039+SQRT(1-Rho^2)*H3040),"")</f>
        <v/>
      </c>
      <c r="J3040">
        <f>IF(B3040,IF(Dist="Normal",DistA+DistB*I3040,DistA+(DistB-DistA)*NORMSDIST(I3040)),"")</f>
        <v/>
      </c>
      <c r="K3040">
        <f>IF(B3040,INDEX(MineScale,C3040),"")</f>
        <v/>
      </c>
      <c r="L3040">
        <f>IF(B3040,INDEX(Dow,1,WEEKDAY(E3040,2)),"")</f>
        <v/>
      </c>
      <c r="M3040">
        <f>IF(B3040,(1+Trend)^D3040,"")</f>
        <v/>
      </c>
      <c r="N3040">
        <f>IF(B3040,EXP(SUMPRODUCT(LN(1+(EvEff-1)*INDEX(Affected,0,C3040)*EXP(-((E3040-EvCenter)^2)/(2*EvSigma^2))))),"")</f>
        <v/>
      </c>
      <c r="O3040">
        <f>IF(B3040,ROUND(MAX(0,J3040*K3040*L3040*M3040*N3040),2),"")</f>
        <v/>
      </c>
    </row>
    <row r="3041">
      <c r="A3041" t="n">
        <v>3040</v>
      </c>
      <c r="B3041">
        <f>A3041&lt;=MineCount*Days</f>
        <v/>
      </c>
      <c r="C3041">
        <f>IF(B3041,INT((A3041-1)/Days)+1,"")</f>
        <v/>
      </c>
      <c r="D3041">
        <f>IF(B3041,MOD(A3041-1,Days),"")</f>
        <v/>
      </c>
      <c r="E3041" s="16">
        <f>IF(B3041,StartDate+D3041,"")</f>
        <v/>
      </c>
      <c r="F3041">
        <f>IF(B3041,MAX(MOD(SIN(Seed*0.1373+C3041*12.9898+D3041*78.233)*43758.5453,1),1E-9),"")</f>
        <v/>
      </c>
      <c r="G3041">
        <f>IF(B3041,MOD(SIN(Seed*0.5917+C3041*39.3468+D3041*11.135)*24634.6345,1),"")</f>
        <v/>
      </c>
      <c r="H3041">
        <f>IF(B3041,SQRT(-2*LN(F3041))*COS(2*PI()*G3041),"")</f>
        <v/>
      </c>
      <c r="I3041">
        <f>IF(B3041,IF(D3041=0,H3041,Rho*I3040+SQRT(1-Rho^2)*H3041),"")</f>
        <v/>
      </c>
      <c r="J3041">
        <f>IF(B3041,IF(Dist="Normal",DistA+DistB*I3041,DistA+(DistB-DistA)*NORMSDIST(I3041)),"")</f>
        <v/>
      </c>
      <c r="K3041">
        <f>IF(B3041,INDEX(MineScale,C3041),"")</f>
        <v/>
      </c>
      <c r="L3041">
        <f>IF(B3041,INDEX(Dow,1,WEEKDAY(E3041,2)),"")</f>
        <v/>
      </c>
      <c r="M3041">
        <f>IF(B3041,(1+Trend)^D3041,"")</f>
        <v/>
      </c>
      <c r="N3041">
        <f>IF(B3041,EXP(SUMPRODUCT(LN(1+(EvEff-1)*INDEX(Affected,0,C3041)*EXP(-((E3041-EvCenter)^2)/(2*EvSigma^2))))),"")</f>
        <v/>
      </c>
      <c r="O3041">
        <f>IF(B3041,ROUND(MAX(0,J3041*K3041*L3041*M3041*N3041),2),"")</f>
        <v/>
      </c>
    </row>
    <row r="3042">
      <c r="A3042" t="n">
        <v>3041</v>
      </c>
      <c r="B3042">
        <f>A3042&lt;=MineCount*Days</f>
        <v/>
      </c>
      <c r="C3042">
        <f>IF(B3042,INT((A3042-1)/Days)+1,"")</f>
        <v/>
      </c>
      <c r="D3042">
        <f>IF(B3042,MOD(A3042-1,Days),"")</f>
        <v/>
      </c>
      <c r="E3042" s="16">
        <f>IF(B3042,StartDate+D3042,"")</f>
        <v/>
      </c>
      <c r="F3042">
        <f>IF(B3042,MAX(MOD(SIN(Seed*0.1373+C3042*12.9898+D3042*78.233)*43758.5453,1),1E-9),"")</f>
        <v/>
      </c>
      <c r="G3042">
        <f>IF(B3042,MOD(SIN(Seed*0.5917+C3042*39.3468+D3042*11.135)*24634.6345,1),"")</f>
        <v/>
      </c>
      <c r="H3042">
        <f>IF(B3042,SQRT(-2*LN(F3042))*COS(2*PI()*G3042),"")</f>
        <v/>
      </c>
      <c r="I3042">
        <f>IF(B3042,IF(D3042=0,H3042,Rho*I3041+SQRT(1-Rho^2)*H3042),"")</f>
        <v/>
      </c>
      <c r="J3042">
        <f>IF(B3042,IF(Dist="Normal",DistA+DistB*I3042,DistA+(DistB-DistA)*NORMSDIST(I3042)),"")</f>
        <v/>
      </c>
      <c r="K3042">
        <f>IF(B3042,INDEX(MineScale,C3042),"")</f>
        <v/>
      </c>
      <c r="L3042">
        <f>IF(B3042,INDEX(Dow,1,WEEKDAY(E3042,2)),"")</f>
        <v/>
      </c>
      <c r="M3042">
        <f>IF(B3042,(1+Trend)^D3042,"")</f>
        <v/>
      </c>
      <c r="N3042">
        <f>IF(B3042,EXP(SUMPRODUCT(LN(1+(EvEff-1)*INDEX(Affected,0,C3042)*EXP(-((E3042-EvCenter)^2)/(2*EvSigma^2))))),"")</f>
        <v/>
      </c>
      <c r="O3042">
        <f>IF(B3042,ROUND(MAX(0,J3042*K3042*L3042*M3042*N3042),2),"")</f>
        <v/>
      </c>
    </row>
    <row r="3043">
      <c r="A3043" t="n">
        <v>3042</v>
      </c>
      <c r="B3043">
        <f>A3043&lt;=MineCount*Days</f>
        <v/>
      </c>
      <c r="C3043">
        <f>IF(B3043,INT((A3043-1)/Days)+1,"")</f>
        <v/>
      </c>
      <c r="D3043">
        <f>IF(B3043,MOD(A3043-1,Days),"")</f>
        <v/>
      </c>
      <c r="E3043" s="16">
        <f>IF(B3043,StartDate+D3043,"")</f>
        <v/>
      </c>
      <c r="F3043">
        <f>IF(B3043,MAX(MOD(SIN(Seed*0.1373+C3043*12.9898+D3043*78.233)*43758.5453,1),1E-9),"")</f>
        <v/>
      </c>
      <c r="G3043">
        <f>IF(B3043,MOD(SIN(Seed*0.5917+C3043*39.3468+D3043*11.135)*24634.6345,1),"")</f>
        <v/>
      </c>
      <c r="H3043">
        <f>IF(B3043,SQRT(-2*LN(F3043))*COS(2*PI()*G3043),"")</f>
        <v/>
      </c>
      <c r="I3043">
        <f>IF(B3043,IF(D3043=0,H3043,Rho*I3042+SQRT(1-Rho^2)*H3043),"")</f>
        <v/>
      </c>
      <c r="J3043">
        <f>IF(B3043,IF(Dist="Normal",DistA+DistB*I3043,DistA+(DistB-DistA)*NORMSDIST(I3043)),"")</f>
        <v/>
      </c>
      <c r="K3043">
        <f>IF(B3043,INDEX(MineScale,C3043),"")</f>
        <v/>
      </c>
      <c r="L3043">
        <f>IF(B3043,INDEX(Dow,1,WEEKDAY(E3043,2)),"")</f>
        <v/>
      </c>
      <c r="M3043">
        <f>IF(B3043,(1+Trend)^D3043,"")</f>
        <v/>
      </c>
      <c r="N3043">
        <f>IF(B3043,EXP(SUMPRODUCT(LN(1+(EvEff-1)*INDEX(Affected,0,C3043)*EXP(-((E3043-EvCenter)^2)/(2*EvSigma^2))))),"")</f>
        <v/>
      </c>
      <c r="O3043">
        <f>IF(B3043,ROUND(MAX(0,J3043*K3043*L3043*M3043*N3043),2),"")</f>
        <v/>
      </c>
    </row>
    <row r="3044">
      <c r="A3044" t="n">
        <v>3043</v>
      </c>
      <c r="B3044">
        <f>A3044&lt;=MineCount*Days</f>
        <v/>
      </c>
      <c r="C3044">
        <f>IF(B3044,INT((A3044-1)/Days)+1,"")</f>
        <v/>
      </c>
      <c r="D3044">
        <f>IF(B3044,MOD(A3044-1,Days),"")</f>
        <v/>
      </c>
      <c r="E3044" s="16">
        <f>IF(B3044,StartDate+D3044,"")</f>
        <v/>
      </c>
      <c r="F3044">
        <f>IF(B3044,MAX(MOD(SIN(Seed*0.1373+C3044*12.9898+D3044*78.233)*43758.5453,1),1E-9),"")</f>
        <v/>
      </c>
      <c r="G3044">
        <f>IF(B3044,MOD(SIN(Seed*0.5917+C3044*39.3468+D3044*11.135)*24634.6345,1),"")</f>
        <v/>
      </c>
      <c r="H3044">
        <f>IF(B3044,SQRT(-2*LN(F3044))*COS(2*PI()*G3044),"")</f>
        <v/>
      </c>
      <c r="I3044">
        <f>IF(B3044,IF(D3044=0,H3044,Rho*I3043+SQRT(1-Rho^2)*H3044),"")</f>
        <v/>
      </c>
      <c r="J3044">
        <f>IF(B3044,IF(Dist="Normal",DistA+DistB*I3044,DistA+(DistB-DistA)*NORMSDIST(I3044)),"")</f>
        <v/>
      </c>
      <c r="K3044">
        <f>IF(B3044,INDEX(MineScale,C3044),"")</f>
        <v/>
      </c>
      <c r="L3044">
        <f>IF(B3044,INDEX(Dow,1,WEEKDAY(E3044,2)),"")</f>
        <v/>
      </c>
      <c r="M3044">
        <f>IF(B3044,(1+Trend)^D3044,"")</f>
        <v/>
      </c>
      <c r="N3044">
        <f>IF(B3044,EXP(SUMPRODUCT(LN(1+(EvEff-1)*INDEX(Affected,0,C3044)*EXP(-((E3044-EvCenter)^2)/(2*EvSigma^2))))),"")</f>
        <v/>
      </c>
      <c r="O3044">
        <f>IF(B3044,ROUND(MAX(0,J3044*K3044*L3044*M3044*N3044),2),"")</f>
        <v/>
      </c>
    </row>
    <row r="3045">
      <c r="A3045" t="n">
        <v>3044</v>
      </c>
      <c r="B3045">
        <f>A3045&lt;=MineCount*Days</f>
        <v/>
      </c>
      <c r="C3045">
        <f>IF(B3045,INT((A3045-1)/Days)+1,"")</f>
        <v/>
      </c>
      <c r="D3045">
        <f>IF(B3045,MOD(A3045-1,Days),"")</f>
        <v/>
      </c>
      <c r="E3045" s="16">
        <f>IF(B3045,StartDate+D3045,"")</f>
        <v/>
      </c>
      <c r="F3045">
        <f>IF(B3045,MAX(MOD(SIN(Seed*0.1373+C3045*12.9898+D3045*78.233)*43758.5453,1),1E-9),"")</f>
        <v/>
      </c>
      <c r="G3045">
        <f>IF(B3045,MOD(SIN(Seed*0.5917+C3045*39.3468+D3045*11.135)*24634.6345,1),"")</f>
        <v/>
      </c>
      <c r="H3045">
        <f>IF(B3045,SQRT(-2*LN(F3045))*COS(2*PI()*G3045),"")</f>
        <v/>
      </c>
      <c r="I3045">
        <f>IF(B3045,IF(D3045=0,H3045,Rho*I3044+SQRT(1-Rho^2)*H3045),"")</f>
        <v/>
      </c>
      <c r="J3045">
        <f>IF(B3045,IF(Dist="Normal",DistA+DistB*I3045,DistA+(DistB-DistA)*NORMSDIST(I3045)),"")</f>
        <v/>
      </c>
      <c r="K3045">
        <f>IF(B3045,INDEX(MineScale,C3045),"")</f>
        <v/>
      </c>
      <c r="L3045">
        <f>IF(B3045,INDEX(Dow,1,WEEKDAY(E3045,2)),"")</f>
        <v/>
      </c>
      <c r="M3045">
        <f>IF(B3045,(1+Trend)^D3045,"")</f>
        <v/>
      </c>
      <c r="N3045">
        <f>IF(B3045,EXP(SUMPRODUCT(LN(1+(EvEff-1)*INDEX(Affected,0,C3045)*EXP(-((E3045-EvCenter)^2)/(2*EvSigma^2))))),"")</f>
        <v/>
      </c>
      <c r="O3045">
        <f>IF(B3045,ROUND(MAX(0,J3045*K3045*L3045*M3045*N3045),2),"")</f>
        <v/>
      </c>
    </row>
    <row r="3046">
      <c r="A3046" t="n">
        <v>3045</v>
      </c>
      <c r="B3046">
        <f>A3046&lt;=MineCount*Days</f>
        <v/>
      </c>
      <c r="C3046">
        <f>IF(B3046,INT((A3046-1)/Days)+1,"")</f>
        <v/>
      </c>
      <c r="D3046">
        <f>IF(B3046,MOD(A3046-1,Days),"")</f>
        <v/>
      </c>
      <c r="E3046" s="16">
        <f>IF(B3046,StartDate+D3046,"")</f>
        <v/>
      </c>
      <c r="F3046">
        <f>IF(B3046,MAX(MOD(SIN(Seed*0.1373+C3046*12.9898+D3046*78.233)*43758.5453,1),1E-9),"")</f>
        <v/>
      </c>
      <c r="G3046">
        <f>IF(B3046,MOD(SIN(Seed*0.5917+C3046*39.3468+D3046*11.135)*24634.6345,1),"")</f>
        <v/>
      </c>
      <c r="H3046">
        <f>IF(B3046,SQRT(-2*LN(F3046))*COS(2*PI()*G3046),"")</f>
        <v/>
      </c>
      <c r="I3046">
        <f>IF(B3046,IF(D3046=0,H3046,Rho*I3045+SQRT(1-Rho^2)*H3046),"")</f>
        <v/>
      </c>
      <c r="J3046">
        <f>IF(B3046,IF(Dist="Normal",DistA+DistB*I3046,DistA+(DistB-DistA)*NORMSDIST(I3046)),"")</f>
        <v/>
      </c>
      <c r="K3046">
        <f>IF(B3046,INDEX(MineScale,C3046),"")</f>
        <v/>
      </c>
      <c r="L3046">
        <f>IF(B3046,INDEX(Dow,1,WEEKDAY(E3046,2)),"")</f>
        <v/>
      </c>
      <c r="M3046">
        <f>IF(B3046,(1+Trend)^D3046,"")</f>
        <v/>
      </c>
      <c r="N3046">
        <f>IF(B3046,EXP(SUMPRODUCT(LN(1+(EvEff-1)*INDEX(Affected,0,C3046)*EXP(-((E3046-EvCenter)^2)/(2*EvSigma^2))))),"")</f>
        <v/>
      </c>
      <c r="O3046">
        <f>IF(B3046,ROUND(MAX(0,J3046*K3046*L3046*M3046*N3046),2),"")</f>
        <v/>
      </c>
    </row>
    <row r="3047">
      <c r="A3047" t="n">
        <v>3046</v>
      </c>
      <c r="B3047">
        <f>A3047&lt;=MineCount*Days</f>
        <v/>
      </c>
      <c r="C3047">
        <f>IF(B3047,INT((A3047-1)/Days)+1,"")</f>
        <v/>
      </c>
      <c r="D3047">
        <f>IF(B3047,MOD(A3047-1,Days),"")</f>
        <v/>
      </c>
      <c r="E3047" s="16">
        <f>IF(B3047,StartDate+D3047,"")</f>
        <v/>
      </c>
      <c r="F3047">
        <f>IF(B3047,MAX(MOD(SIN(Seed*0.1373+C3047*12.9898+D3047*78.233)*43758.5453,1),1E-9),"")</f>
        <v/>
      </c>
      <c r="G3047">
        <f>IF(B3047,MOD(SIN(Seed*0.5917+C3047*39.3468+D3047*11.135)*24634.6345,1),"")</f>
        <v/>
      </c>
      <c r="H3047">
        <f>IF(B3047,SQRT(-2*LN(F3047))*COS(2*PI()*G3047),"")</f>
        <v/>
      </c>
      <c r="I3047">
        <f>IF(B3047,IF(D3047=0,H3047,Rho*I3046+SQRT(1-Rho^2)*H3047),"")</f>
        <v/>
      </c>
      <c r="J3047">
        <f>IF(B3047,IF(Dist="Normal",DistA+DistB*I3047,DistA+(DistB-DistA)*NORMSDIST(I3047)),"")</f>
        <v/>
      </c>
      <c r="K3047">
        <f>IF(B3047,INDEX(MineScale,C3047),"")</f>
        <v/>
      </c>
      <c r="L3047">
        <f>IF(B3047,INDEX(Dow,1,WEEKDAY(E3047,2)),"")</f>
        <v/>
      </c>
      <c r="M3047">
        <f>IF(B3047,(1+Trend)^D3047,"")</f>
        <v/>
      </c>
      <c r="N3047">
        <f>IF(B3047,EXP(SUMPRODUCT(LN(1+(EvEff-1)*INDEX(Affected,0,C3047)*EXP(-((E3047-EvCenter)^2)/(2*EvSigma^2))))),"")</f>
        <v/>
      </c>
      <c r="O3047">
        <f>IF(B3047,ROUND(MAX(0,J3047*K3047*L3047*M3047*N3047),2),"")</f>
        <v/>
      </c>
    </row>
    <row r="3048">
      <c r="A3048" t="n">
        <v>3047</v>
      </c>
      <c r="B3048">
        <f>A3048&lt;=MineCount*Days</f>
        <v/>
      </c>
      <c r="C3048">
        <f>IF(B3048,INT((A3048-1)/Days)+1,"")</f>
        <v/>
      </c>
      <c r="D3048">
        <f>IF(B3048,MOD(A3048-1,Days),"")</f>
        <v/>
      </c>
      <c r="E3048" s="16">
        <f>IF(B3048,StartDate+D3048,"")</f>
        <v/>
      </c>
      <c r="F3048">
        <f>IF(B3048,MAX(MOD(SIN(Seed*0.1373+C3048*12.9898+D3048*78.233)*43758.5453,1),1E-9),"")</f>
        <v/>
      </c>
      <c r="G3048">
        <f>IF(B3048,MOD(SIN(Seed*0.5917+C3048*39.3468+D3048*11.135)*24634.6345,1),"")</f>
        <v/>
      </c>
      <c r="H3048">
        <f>IF(B3048,SQRT(-2*LN(F3048))*COS(2*PI()*G3048),"")</f>
        <v/>
      </c>
      <c r="I3048">
        <f>IF(B3048,IF(D3048=0,H3048,Rho*I3047+SQRT(1-Rho^2)*H3048),"")</f>
        <v/>
      </c>
      <c r="J3048">
        <f>IF(B3048,IF(Dist="Normal",DistA+DistB*I3048,DistA+(DistB-DistA)*NORMSDIST(I3048)),"")</f>
        <v/>
      </c>
      <c r="K3048">
        <f>IF(B3048,INDEX(MineScale,C3048),"")</f>
        <v/>
      </c>
      <c r="L3048">
        <f>IF(B3048,INDEX(Dow,1,WEEKDAY(E3048,2)),"")</f>
        <v/>
      </c>
      <c r="M3048">
        <f>IF(B3048,(1+Trend)^D3048,"")</f>
        <v/>
      </c>
      <c r="N3048">
        <f>IF(B3048,EXP(SUMPRODUCT(LN(1+(EvEff-1)*INDEX(Affected,0,C3048)*EXP(-((E3048-EvCenter)^2)/(2*EvSigma^2))))),"")</f>
        <v/>
      </c>
      <c r="O3048">
        <f>IF(B3048,ROUND(MAX(0,J3048*K3048*L3048*M3048*N3048),2),"")</f>
        <v/>
      </c>
    </row>
    <row r="3049">
      <c r="A3049" t="n">
        <v>3048</v>
      </c>
      <c r="B3049">
        <f>A3049&lt;=MineCount*Days</f>
        <v/>
      </c>
      <c r="C3049">
        <f>IF(B3049,INT((A3049-1)/Days)+1,"")</f>
        <v/>
      </c>
      <c r="D3049">
        <f>IF(B3049,MOD(A3049-1,Days),"")</f>
        <v/>
      </c>
      <c r="E3049" s="16">
        <f>IF(B3049,StartDate+D3049,"")</f>
        <v/>
      </c>
      <c r="F3049">
        <f>IF(B3049,MAX(MOD(SIN(Seed*0.1373+C3049*12.9898+D3049*78.233)*43758.5453,1),1E-9),"")</f>
        <v/>
      </c>
      <c r="G3049">
        <f>IF(B3049,MOD(SIN(Seed*0.5917+C3049*39.3468+D3049*11.135)*24634.6345,1),"")</f>
        <v/>
      </c>
      <c r="H3049">
        <f>IF(B3049,SQRT(-2*LN(F3049))*COS(2*PI()*G3049),"")</f>
        <v/>
      </c>
      <c r="I3049">
        <f>IF(B3049,IF(D3049=0,H3049,Rho*I3048+SQRT(1-Rho^2)*H3049),"")</f>
        <v/>
      </c>
      <c r="J3049">
        <f>IF(B3049,IF(Dist="Normal",DistA+DistB*I3049,DistA+(DistB-DistA)*NORMSDIST(I3049)),"")</f>
        <v/>
      </c>
      <c r="K3049">
        <f>IF(B3049,INDEX(MineScale,C3049),"")</f>
        <v/>
      </c>
      <c r="L3049">
        <f>IF(B3049,INDEX(Dow,1,WEEKDAY(E3049,2)),"")</f>
        <v/>
      </c>
      <c r="M3049">
        <f>IF(B3049,(1+Trend)^D3049,"")</f>
        <v/>
      </c>
      <c r="N3049">
        <f>IF(B3049,EXP(SUMPRODUCT(LN(1+(EvEff-1)*INDEX(Affected,0,C3049)*EXP(-((E3049-EvCenter)^2)/(2*EvSigma^2))))),"")</f>
        <v/>
      </c>
      <c r="O3049">
        <f>IF(B3049,ROUND(MAX(0,J3049*K3049*L3049*M3049*N3049),2),"")</f>
        <v/>
      </c>
    </row>
    <row r="3050">
      <c r="A3050" t="n">
        <v>3049</v>
      </c>
      <c r="B3050">
        <f>A3050&lt;=MineCount*Days</f>
        <v/>
      </c>
      <c r="C3050">
        <f>IF(B3050,INT((A3050-1)/Days)+1,"")</f>
        <v/>
      </c>
      <c r="D3050">
        <f>IF(B3050,MOD(A3050-1,Days),"")</f>
        <v/>
      </c>
      <c r="E3050" s="16">
        <f>IF(B3050,StartDate+D3050,"")</f>
        <v/>
      </c>
      <c r="F3050">
        <f>IF(B3050,MAX(MOD(SIN(Seed*0.1373+C3050*12.9898+D3050*78.233)*43758.5453,1),1E-9),"")</f>
        <v/>
      </c>
      <c r="G3050">
        <f>IF(B3050,MOD(SIN(Seed*0.5917+C3050*39.3468+D3050*11.135)*24634.6345,1),"")</f>
        <v/>
      </c>
      <c r="H3050">
        <f>IF(B3050,SQRT(-2*LN(F3050))*COS(2*PI()*G3050),"")</f>
        <v/>
      </c>
      <c r="I3050">
        <f>IF(B3050,IF(D3050=0,H3050,Rho*I3049+SQRT(1-Rho^2)*H3050),"")</f>
        <v/>
      </c>
      <c r="J3050">
        <f>IF(B3050,IF(Dist="Normal",DistA+DistB*I3050,DistA+(DistB-DistA)*NORMSDIST(I3050)),"")</f>
        <v/>
      </c>
      <c r="K3050">
        <f>IF(B3050,INDEX(MineScale,C3050),"")</f>
        <v/>
      </c>
      <c r="L3050">
        <f>IF(B3050,INDEX(Dow,1,WEEKDAY(E3050,2)),"")</f>
        <v/>
      </c>
      <c r="M3050">
        <f>IF(B3050,(1+Trend)^D3050,"")</f>
        <v/>
      </c>
      <c r="N3050">
        <f>IF(B3050,EXP(SUMPRODUCT(LN(1+(EvEff-1)*INDEX(Affected,0,C3050)*EXP(-((E3050-EvCenter)^2)/(2*EvSigma^2))))),"")</f>
        <v/>
      </c>
      <c r="O3050">
        <f>IF(B3050,ROUND(MAX(0,J3050*K3050*L3050*M3050*N3050),2),"")</f>
        <v/>
      </c>
    </row>
    <row r="3051">
      <c r="A3051" t="n">
        <v>3050</v>
      </c>
      <c r="B3051">
        <f>A3051&lt;=MineCount*Days</f>
        <v/>
      </c>
      <c r="C3051">
        <f>IF(B3051,INT((A3051-1)/Days)+1,"")</f>
        <v/>
      </c>
      <c r="D3051">
        <f>IF(B3051,MOD(A3051-1,Days),"")</f>
        <v/>
      </c>
      <c r="E3051" s="16">
        <f>IF(B3051,StartDate+D3051,"")</f>
        <v/>
      </c>
      <c r="F3051">
        <f>IF(B3051,MAX(MOD(SIN(Seed*0.1373+C3051*12.9898+D3051*78.233)*43758.5453,1),1E-9),"")</f>
        <v/>
      </c>
      <c r="G3051">
        <f>IF(B3051,MOD(SIN(Seed*0.5917+C3051*39.3468+D3051*11.135)*24634.6345,1),"")</f>
        <v/>
      </c>
      <c r="H3051">
        <f>IF(B3051,SQRT(-2*LN(F3051))*COS(2*PI()*G3051),"")</f>
        <v/>
      </c>
      <c r="I3051">
        <f>IF(B3051,IF(D3051=0,H3051,Rho*I3050+SQRT(1-Rho^2)*H3051),"")</f>
        <v/>
      </c>
      <c r="J3051">
        <f>IF(B3051,IF(Dist="Normal",DistA+DistB*I3051,DistA+(DistB-DistA)*NORMSDIST(I3051)),"")</f>
        <v/>
      </c>
      <c r="K3051">
        <f>IF(B3051,INDEX(MineScale,C3051),"")</f>
        <v/>
      </c>
      <c r="L3051">
        <f>IF(B3051,INDEX(Dow,1,WEEKDAY(E3051,2)),"")</f>
        <v/>
      </c>
      <c r="M3051">
        <f>IF(B3051,(1+Trend)^D3051,"")</f>
        <v/>
      </c>
      <c r="N3051">
        <f>IF(B3051,EXP(SUMPRODUCT(LN(1+(EvEff-1)*INDEX(Affected,0,C3051)*EXP(-((E3051-EvCenter)^2)/(2*EvSigma^2))))),"")</f>
        <v/>
      </c>
      <c r="O3051">
        <f>IF(B3051,ROUND(MAX(0,J3051*K3051*L3051*M3051*N3051),2),"")</f>
        <v/>
      </c>
    </row>
    <row r="3052">
      <c r="A3052" t="n">
        <v>3051</v>
      </c>
      <c r="B3052">
        <f>A3052&lt;=MineCount*Days</f>
        <v/>
      </c>
      <c r="C3052">
        <f>IF(B3052,INT((A3052-1)/Days)+1,"")</f>
        <v/>
      </c>
      <c r="D3052">
        <f>IF(B3052,MOD(A3052-1,Days),"")</f>
        <v/>
      </c>
      <c r="E3052" s="16">
        <f>IF(B3052,StartDate+D3052,"")</f>
        <v/>
      </c>
      <c r="F3052">
        <f>IF(B3052,MAX(MOD(SIN(Seed*0.1373+C3052*12.9898+D3052*78.233)*43758.5453,1),1E-9),"")</f>
        <v/>
      </c>
      <c r="G3052">
        <f>IF(B3052,MOD(SIN(Seed*0.5917+C3052*39.3468+D3052*11.135)*24634.6345,1),"")</f>
        <v/>
      </c>
      <c r="H3052">
        <f>IF(B3052,SQRT(-2*LN(F3052))*COS(2*PI()*G3052),"")</f>
        <v/>
      </c>
      <c r="I3052">
        <f>IF(B3052,IF(D3052=0,H3052,Rho*I3051+SQRT(1-Rho^2)*H3052),"")</f>
        <v/>
      </c>
      <c r="J3052">
        <f>IF(B3052,IF(Dist="Normal",DistA+DistB*I3052,DistA+(DistB-DistA)*NORMSDIST(I3052)),"")</f>
        <v/>
      </c>
      <c r="K3052">
        <f>IF(B3052,INDEX(MineScale,C3052),"")</f>
        <v/>
      </c>
      <c r="L3052">
        <f>IF(B3052,INDEX(Dow,1,WEEKDAY(E3052,2)),"")</f>
        <v/>
      </c>
      <c r="M3052">
        <f>IF(B3052,(1+Trend)^D3052,"")</f>
        <v/>
      </c>
      <c r="N3052">
        <f>IF(B3052,EXP(SUMPRODUCT(LN(1+(EvEff-1)*INDEX(Affected,0,C3052)*EXP(-((E3052-EvCenter)^2)/(2*EvSigma^2))))),"")</f>
        <v/>
      </c>
      <c r="O3052">
        <f>IF(B3052,ROUND(MAX(0,J3052*K3052*L3052*M3052*N3052),2),"")</f>
        <v/>
      </c>
    </row>
    <row r="3053">
      <c r="A3053" t="n">
        <v>3052</v>
      </c>
      <c r="B3053">
        <f>A3053&lt;=MineCount*Days</f>
        <v/>
      </c>
      <c r="C3053">
        <f>IF(B3053,INT((A3053-1)/Days)+1,"")</f>
        <v/>
      </c>
      <c r="D3053">
        <f>IF(B3053,MOD(A3053-1,Days),"")</f>
        <v/>
      </c>
      <c r="E3053" s="16">
        <f>IF(B3053,StartDate+D3053,"")</f>
        <v/>
      </c>
      <c r="F3053">
        <f>IF(B3053,MAX(MOD(SIN(Seed*0.1373+C3053*12.9898+D3053*78.233)*43758.5453,1),1E-9),"")</f>
        <v/>
      </c>
      <c r="G3053">
        <f>IF(B3053,MOD(SIN(Seed*0.5917+C3053*39.3468+D3053*11.135)*24634.6345,1),"")</f>
        <v/>
      </c>
      <c r="H3053">
        <f>IF(B3053,SQRT(-2*LN(F3053))*COS(2*PI()*G3053),"")</f>
        <v/>
      </c>
      <c r="I3053">
        <f>IF(B3053,IF(D3053=0,H3053,Rho*I3052+SQRT(1-Rho^2)*H3053),"")</f>
        <v/>
      </c>
      <c r="J3053">
        <f>IF(B3053,IF(Dist="Normal",DistA+DistB*I3053,DistA+(DistB-DistA)*NORMSDIST(I3053)),"")</f>
        <v/>
      </c>
      <c r="K3053">
        <f>IF(B3053,INDEX(MineScale,C3053),"")</f>
        <v/>
      </c>
      <c r="L3053">
        <f>IF(B3053,INDEX(Dow,1,WEEKDAY(E3053,2)),"")</f>
        <v/>
      </c>
      <c r="M3053">
        <f>IF(B3053,(1+Trend)^D3053,"")</f>
        <v/>
      </c>
      <c r="N3053">
        <f>IF(B3053,EXP(SUMPRODUCT(LN(1+(EvEff-1)*INDEX(Affected,0,C3053)*EXP(-((E3053-EvCenter)^2)/(2*EvSigma^2))))),"")</f>
        <v/>
      </c>
      <c r="O3053">
        <f>IF(B3053,ROUND(MAX(0,J3053*K3053*L3053*M3053*N3053),2),"")</f>
        <v/>
      </c>
    </row>
    <row r="3054">
      <c r="A3054" t="n">
        <v>3053</v>
      </c>
      <c r="B3054">
        <f>A3054&lt;=MineCount*Days</f>
        <v/>
      </c>
      <c r="C3054">
        <f>IF(B3054,INT((A3054-1)/Days)+1,"")</f>
        <v/>
      </c>
      <c r="D3054">
        <f>IF(B3054,MOD(A3054-1,Days),"")</f>
        <v/>
      </c>
      <c r="E3054" s="16">
        <f>IF(B3054,StartDate+D3054,"")</f>
        <v/>
      </c>
      <c r="F3054">
        <f>IF(B3054,MAX(MOD(SIN(Seed*0.1373+C3054*12.9898+D3054*78.233)*43758.5453,1),1E-9),"")</f>
        <v/>
      </c>
      <c r="G3054">
        <f>IF(B3054,MOD(SIN(Seed*0.5917+C3054*39.3468+D3054*11.135)*24634.6345,1),"")</f>
        <v/>
      </c>
      <c r="H3054">
        <f>IF(B3054,SQRT(-2*LN(F3054))*COS(2*PI()*G3054),"")</f>
        <v/>
      </c>
      <c r="I3054">
        <f>IF(B3054,IF(D3054=0,H3054,Rho*I3053+SQRT(1-Rho^2)*H3054),"")</f>
        <v/>
      </c>
      <c r="J3054">
        <f>IF(B3054,IF(Dist="Normal",DistA+DistB*I3054,DistA+(DistB-DistA)*NORMSDIST(I3054)),"")</f>
        <v/>
      </c>
      <c r="K3054">
        <f>IF(B3054,INDEX(MineScale,C3054),"")</f>
        <v/>
      </c>
      <c r="L3054">
        <f>IF(B3054,INDEX(Dow,1,WEEKDAY(E3054,2)),"")</f>
        <v/>
      </c>
      <c r="M3054">
        <f>IF(B3054,(1+Trend)^D3054,"")</f>
        <v/>
      </c>
      <c r="N3054">
        <f>IF(B3054,EXP(SUMPRODUCT(LN(1+(EvEff-1)*INDEX(Affected,0,C3054)*EXP(-((E3054-EvCenter)^2)/(2*EvSigma^2))))),"")</f>
        <v/>
      </c>
      <c r="O3054">
        <f>IF(B3054,ROUND(MAX(0,J3054*K3054*L3054*M3054*N3054),2),"")</f>
        <v/>
      </c>
    </row>
    <row r="3055">
      <c r="A3055" t="n">
        <v>3054</v>
      </c>
      <c r="B3055">
        <f>A3055&lt;=MineCount*Days</f>
        <v/>
      </c>
      <c r="C3055">
        <f>IF(B3055,INT((A3055-1)/Days)+1,"")</f>
        <v/>
      </c>
      <c r="D3055">
        <f>IF(B3055,MOD(A3055-1,Days),"")</f>
        <v/>
      </c>
      <c r="E3055" s="16">
        <f>IF(B3055,StartDate+D3055,"")</f>
        <v/>
      </c>
      <c r="F3055">
        <f>IF(B3055,MAX(MOD(SIN(Seed*0.1373+C3055*12.9898+D3055*78.233)*43758.5453,1),1E-9),"")</f>
        <v/>
      </c>
      <c r="G3055">
        <f>IF(B3055,MOD(SIN(Seed*0.5917+C3055*39.3468+D3055*11.135)*24634.6345,1),"")</f>
        <v/>
      </c>
      <c r="H3055">
        <f>IF(B3055,SQRT(-2*LN(F3055))*COS(2*PI()*G3055),"")</f>
        <v/>
      </c>
      <c r="I3055">
        <f>IF(B3055,IF(D3055=0,H3055,Rho*I3054+SQRT(1-Rho^2)*H3055),"")</f>
        <v/>
      </c>
      <c r="J3055">
        <f>IF(B3055,IF(Dist="Normal",DistA+DistB*I3055,DistA+(DistB-DistA)*NORMSDIST(I3055)),"")</f>
        <v/>
      </c>
      <c r="K3055">
        <f>IF(B3055,INDEX(MineScale,C3055),"")</f>
        <v/>
      </c>
      <c r="L3055">
        <f>IF(B3055,INDEX(Dow,1,WEEKDAY(E3055,2)),"")</f>
        <v/>
      </c>
      <c r="M3055">
        <f>IF(B3055,(1+Trend)^D3055,"")</f>
        <v/>
      </c>
      <c r="N3055">
        <f>IF(B3055,EXP(SUMPRODUCT(LN(1+(EvEff-1)*INDEX(Affected,0,C3055)*EXP(-((E3055-EvCenter)^2)/(2*EvSigma^2))))),"")</f>
        <v/>
      </c>
      <c r="O3055">
        <f>IF(B3055,ROUND(MAX(0,J3055*K3055*L3055*M3055*N3055),2),"")</f>
        <v/>
      </c>
    </row>
    <row r="3056">
      <c r="A3056" t="n">
        <v>3055</v>
      </c>
      <c r="B3056">
        <f>A3056&lt;=MineCount*Days</f>
        <v/>
      </c>
      <c r="C3056">
        <f>IF(B3056,INT((A3056-1)/Days)+1,"")</f>
        <v/>
      </c>
      <c r="D3056">
        <f>IF(B3056,MOD(A3056-1,Days),"")</f>
        <v/>
      </c>
      <c r="E3056" s="16">
        <f>IF(B3056,StartDate+D3056,"")</f>
        <v/>
      </c>
      <c r="F3056">
        <f>IF(B3056,MAX(MOD(SIN(Seed*0.1373+C3056*12.9898+D3056*78.233)*43758.5453,1),1E-9),"")</f>
        <v/>
      </c>
      <c r="G3056">
        <f>IF(B3056,MOD(SIN(Seed*0.5917+C3056*39.3468+D3056*11.135)*24634.6345,1),"")</f>
        <v/>
      </c>
      <c r="H3056">
        <f>IF(B3056,SQRT(-2*LN(F3056))*COS(2*PI()*G3056),"")</f>
        <v/>
      </c>
      <c r="I3056">
        <f>IF(B3056,IF(D3056=0,H3056,Rho*I3055+SQRT(1-Rho^2)*H3056),"")</f>
        <v/>
      </c>
      <c r="J3056">
        <f>IF(B3056,IF(Dist="Normal",DistA+DistB*I3056,DistA+(DistB-DistA)*NORMSDIST(I3056)),"")</f>
        <v/>
      </c>
      <c r="K3056">
        <f>IF(B3056,INDEX(MineScale,C3056),"")</f>
        <v/>
      </c>
      <c r="L3056">
        <f>IF(B3056,INDEX(Dow,1,WEEKDAY(E3056,2)),"")</f>
        <v/>
      </c>
      <c r="M3056">
        <f>IF(B3056,(1+Trend)^D3056,"")</f>
        <v/>
      </c>
      <c r="N3056">
        <f>IF(B3056,EXP(SUMPRODUCT(LN(1+(EvEff-1)*INDEX(Affected,0,C3056)*EXP(-((E3056-EvCenter)^2)/(2*EvSigma^2))))),"")</f>
        <v/>
      </c>
      <c r="O3056">
        <f>IF(B3056,ROUND(MAX(0,J3056*K3056*L3056*M3056*N3056),2),"")</f>
        <v/>
      </c>
    </row>
    <row r="3057">
      <c r="A3057" t="n">
        <v>3056</v>
      </c>
      <c r="B3057">
        <f>A3057&lt;=MineCount*Days</f>
        <v/>
      </c>
      <c r="C3057">
        <f>IF(B3057,INT((A3057-1)/Days)+1,"")</f>
        <v/>
      </c>
      <c r="D3057">
        <f>IF(B3057,MOD(A3057-1,Days),"")</f>
        <v/>
      </c>
      <c r="E3057" s="16">
        <f>IF(B3057,StartDate+D3057,"")</f>
        <v/>
      </c>
      <c r="F3057">
        <f>IF(B3057,MAX(MOD(SIN(Seed*0.1373+C3057*12.9898+D3057*78.233)*43758.5453,1),1E-9),"")</f>
        <v/>
      </c>
      <c r="G3057">
        <f>IF(B3057,MOD(SIN(Seed*0.5917+C3057*39.3468+D3057*11.135)*24634.6345,1),"")</f>
        <v/>
      </c>
      <c r="H3057">
        <f>IF(B3057,SQRT(-2*LN(F3057))*COS(2*PI()*G3057),"")</f>
        <v/>
      </c>
      <c r="I3057">
        <f>IF(B3057,IF(D3057=0,H3057,Rho*I3056+SQRT(1-Rho^2)*H3057),"")</f>
        <v/>
      </c>
      <c r="J3057">
        <f>IF(B3057,IF(Dist="Normal",DistA+DistB*I3057,DistA+(DistB-DistA)*NORMSDIST(I3057)),"")</f>
        <v/>
      </c>
      <c r="K3057">
        <f>IF(B3057,INDEX(MineScale,C3057),"")</f>
        <v/>
      </c>
      <c r="L3057">
        <f>IF(B3057,INDEX(Dow,1,WEEKDAY(E3057,2)),"")</f>
        <v/>
      </c>
      <c r="M3057">
        <f>IF(B3057,(1+Trend)^D3057,"")</f>
        <v/>
      </c>
      <c r="N3057">
        <f>IF(B3057,EXP(SUMPRODUCT(LN(1+(EvEff-1)*INDEX(Affected,0,C3057)*EXP(-((E3057-EvCenter)^2)/(2*EvSigma^2))))),"")</f>
        <v/>
      </c>
      <c r="O3057">
        <f>IF(B3057,ROUND(MAX(0,J3057*K3057*L3057*M3057*N3057),2),"")</f>
        <v/>
      </c>
    </row>
    <row r="3058">
      <c r="A3058" t="n">
        <v>3057</v>
      </c>
      <c r="B3058">
        <f>A3058&lt;=MineCount*Days</f>
        <v/>
      </c>
      <c r="C3058">
        <f>IF(B3058,INT((A3058-1)/Days)+1,"")</f>
        <v/>
      </c>
      <c r="D3058">
        <f>IF(B3058,MOD(A3058-1,Days),"")</f>
        <v/>
      </c>
      <c r="E3058" s="16">
        <f>IF(B3058,StartDate+D3058,"")</f>
        <v/>
      </c>
      <c r="F3058">
        <f>IF(B3058,MAX(MOD(SIN(Seed*0.1373+C3058*12.9898+D3058*78.233)*43758.5453,1),1E-9),"")</f>
        <v/>
      </c>
      <c r="G3058">
        <f>IF(B3058,MOD(SIN(Seed*0.5917+C3058*39.3468+D3058*11.135)*24634.6345,1),"")</f>
        <v/>
      </c>
      <c r="H3058">
        <f>IF(B3058,SQRT(-2*LN(F3058))*COS(2*PI()*G3058),"")</f>
        <v/>
      </c>
      <c r="I3058">
        <f>IF(B3058,IF(D3058=0,H3058,Rho*I3057+SQRT(1-Rho^2)*H3058),"")</f>
        <v/>
      </c>
      <c r="J3058">
        <f>IF(B3058,IF(Dist="Normal",DistA+DistB*I3058,DistA+(DistB-DistA)*NORMSDIST(I3058)),"")</f>
        <v/>
      </c>
      <c r="K3058">
        <f>IF(B3058,INDEX(MineScale,C3058),"")</f>
        <v/>
      </c>
      <c r="L3058">
        <f>IF(B3058,INDEX(Dow,1,WEEKDAY(E3058,2)),"")</f>
        <v/>
      </c>
      <c r="M3058">
        <f>IF(B3058,(1+Trend)^D3058,"")</f>
        <v/>
      </c>
      <c r="N3058">
        <f>IF(B3058,EXP(SUMPRODUCT(LN(1+(EvEff-1)*INDEX(Affected,0,C3058)*EXP(-((E3058-EvCenter)^2)/(2*EvSigma^2))))),"")</f>
        <v/>
      </c>
      <c r="O3058">
        <f>IF(B3058,ROUND(MAX(0,J3058*K3058*L3058*M3058*N3058),2),"")</f>
        <v/>
      </c>
    </row>
    <row r="3059">
      <c r="A3059" t="n">
        <v>3058</v>
      </c>
      <c r="B3059">
        <f>A3059&lt;=MineCount*Days</f>
        <v/>
      </c>
      <c r="C3059">
        <f>IF(B3059,INT((A3059-1)/Days)+1,"")</f>
        <v/>
      </c>
      <c r="D3059">
        <f>IF(B3059,MOD(A3059-1,Days),"")</f>
        <v/>
      </c>
      <c r="E3059" s="16">
        <f>IF(B3059,StartDate+D3059,"")</f>
        <v/>
      </c>
      <c r="F3059">
        <f>IF(B3059,MAX(MOD(SIN(Seed*0.1373+C3059*12.9898+D3059*78.233)*43758.5453,1),1E-9),"")</f>
        <v/>
      </c>
      <c r="G3059">
        <f>IF(B3059,MOD(SIN(Seed*0.5917+C3059*39.3468+D3059*11.135)*24634.6345,1),"")</f>
        <v/>
      </c>
      <c r="H3059">
        <f>IF(B3059,SQRT(-2*LN(F3059))*COS(2*PI()*G3059),"")</f>
        <v/>
      </c>
      <c r="I3059">
        <f>IF(B3059,IF(D3059=0,H3059,Rho*I3058+SQRT(1-Rho^2)*H3059),"")</f>
        <v/>
      </c>
      <c r="J3059">
        <f>IF(B3059,IF(Dist="Normal",DistA+DistB*I3059,DistA+(DistB-DistA)*NORMSDIST(I3059)),"")</f>
        <v/>
      </c>
      <c r="K3059">
        <f>IF(B3059,INDEX(MineScale,C3059),"")</f>
        <v/>
      </c>
      <c r="L3059">
        <f>IF(B3059,INDEX(Dow,1,WEEKDAY(E3059,2)),"")</f>
        <v/>
      </c>
      <c r="M3059">
        <f>IF(B3059,(1+Trend)^D3059,"")</f>
        <v/>
      </c>
      <c r="N3059">
        <f>IF(B3059,EXP(SUMPRODUCT(LN(1+(EvEff-1)*INDEX(Affected,0,C3059)*EXP(-((E3059-EvCenter)^2)/(2*EvSigma^2))))),"")</f>
        <v/>
      </c>
      <c r="O3059">
        <f>IF(B3059,ROUND(MAX(0,J3059*K3059*L3059*M3059*N3059),2),"")</f>
        <v/>
      </c>
    </row>
    <row r="3060">
      <c r="A3060" t="n">
        <v>3059</v>
      </c>
      <c r="B3060">
        <f>A3060&lt;=MineCount*Days</f>
        <v/>
      </c>
      <c r="C3060">
        <f>IF(B3060,INT((A3060-1)/Days)+1,"")</f>
        <v/>
      </c>
      <c r="D3060">
        <f>IF(B3060,MOD(A3060-1,Days),"")</f>
        <v/>
      </c>
      <c r="E3060" s="16">
        <f>IF(B3060,StartDate+D3060,"")</f>
        <v/>
      </c>
      <c r="F3060">
        <f>IF(B3060,MAX(MOD(SIN(Seed*0.1373+C3060*12.9898+D3060*78.233)*43758.5453,1),1E-9),"")</f>
        <v/>
      </c>
      <c r="G3060">
        <f>IF(B3060,MOD(SIN(Seed*0.5917+C3060*39.3468+D3060*11.135)*24634.6345,1),"")</f>
        <v/>
      </c>
      <c r="H3060">
        <f>IF(B3060,SQRT(-2*LN(F3060))*COS(2*PI()*G3060),"")</f>
        <v/>
      </c>
      <c r="I3060">
        <f>IF(B3060,IF(D3060=0,H3060,Rho*I3059+SQRT(1-Rho^2)*H3060),"")</f>
        <v/>
      </c>
      <c r="J3060">
        <f>IF(B3060,IF(Dist="Normal",DistA+DistB*I3060,DistA+(DistB-DistA)*NORMSDIST(I3060)),"")</f>
        <v/>
      </c>
      <c r="K3060">
        <f>IF(B3060,INDEX(MineScale,C3060),"")</f>
        <v/>
      </c>
      <c r="L3060">
        <f>IF(B3060,INDEX(Dow,1,WEEKDAY(E3060,2)),"")</f>
        <v/>
      </c>
      <c r="M3060">
        <f>IF(B3060,(1+Trend)^D3060,"")</f>
        <v/>
      </c>
      <c r="N3060">
        <f>IF(B3060,EXP(SUMPRODUCT(LN(1+(EvEff-1)*INDEX(Affected,0,C3060)*EXP(-((E3060-EvCenter)^2)/(2*EvSigma^2))))),"")</f>
        <v/>
      </c>
      <c r="O3060">
        <f>IF(B3060,ROUND(MAX(0,J3060*K3060*L3060*M3060*N3060),2),"")</f>
        <v/>
      </c>
    </row>
    <row r="3061">
      <c r="A3061" t="n">
        <v>3060</v>
      </c>
      <c r="B3061">
        <f>A3061&lt;=MineCount*Days</f>
        <v/>
      </c>
      <c r="C3061">
        <f>IF(B3061,INT((A3061-1)/Days)+1,"")</f>
        <v/>
      </c>
      <c r="D3061">
        <f>IF(B3061,MOD(A3061-1,Days),"")</f>
        <v/>
      </c>
      <c r="E3061" s="16">
        <f>IF(B3061,StartDate+D3061,"")</f>
        <v/>
      </c>
      <c r="F3061">
        <f>IF(B3061,MAX(MOD(SIN(Seed*0.1373+C3061*12.9898+D3061*78.233)*43758.5453,1),1E-9),"")</f>
        <v/>
      </c>
      <c r="G3061">
        <f>IF(B3061,MOD(SIN(Seed*0.5917+C3061*39.3468+D3061*11.135)*24634.6345,1),"")</f>
        <v/>
      </c>
      <c r="H3061">
        <f>IF(B3061,SQRT(-2*LN(F3061))*COS(2*PI()*G3061),"")</f>
        <v/>
      </c>
      <c r="I3061">
        <f>IF(B3061,IF(D3061=0,H3061,Rho*I3060+SQRT(1-Rho^2)*H3061),"")</f>
        <v/>
      </c>
      <c r="J3061">
        <f>IF(B3061,IF(Dist="Normal",DistA+DistB*I3061,DistA+(DistB-DistA)*NORMSDIST(I3061)),"")</f>
        <v/>
      </c>
      <c r="K3061">
        <f>IF(B3061,INDEX(MineScale,C3061),"")</f>
        <v/>
      </c>
      <c r="L3061">
        <f>IF(B3061,INDEX(Dow,1,WEEKDAY(E3061,2)),"")</f>
        <v/>
      </c>
      <c r="M3061">
        <f>IF(B3061,(1+Trend)^D3061,"")</f>
        <v/>
      </c>
      <c r="N3061">
        <f>IF(B3061,EXP(SUMPRODUCT(LN(1+(EvEff-1)*INDEX(Affected,0,C3061)*EXP(-((E3061-EvCenter)^2)/(2*EvSigma^2))))),"")</f>
        <v/>
      </c>
      <c r="O3061">
        <f>IF(B3061,ROUND(MAX(0,J3061*K3061*L3061*M3061*N3061),2),"")</f>
        <v/>
      </c>
    </row>
    <row r="3062">
      <c r="A3062" t="n">
        <v>3061</v>
      </c>
      <c r="B3062">
        <f>A3062&lt;=MineCount*Days</f>
        <v/>
      </c>
      <c r="C3062">
        <f>IF(B3062,INT((A3062-1)/Days)+1,"")</f>
        <v/>
      </c>
      <c r="D3062">
        <f>IF(B3062,MOD(A3062-1,Days),"")</f>
        <v/>
      </c>
      <c r="E3062" s="16">
        <f>IF(B3062,StartDate+D3062,"")</f>
        <v/>
      </c>
      <c r="F3062">
        <f>IF(B3062,MAX(MOD(SIN(Seed*0.1373+C3062*12.9898+D3062*78.233)*43758.5453,1),1E-9),"")</f>
        <v/>
      </c>
      <c r="G3062">
        <f>IF(B3062,MOD(SIN(Seed*0.5917+C3062*39.3468+D3062*11.135)*24634.6345,1),"")</f>
        <v/>
      </c>
      <c r="H3062">
        <f>IF(B3062,SQRT(-2*LN(F3062))*COS(2*PI()*G3062),"")</f>
        <v/>
      </c>
      <c r="I3062">
        <f>IF(B3062,IF(D3062=0,H3062,Rho*I3061+SQRT(1-Rho^2)*H3062),"")</f>
        <v/>
      </c>
      <c r="J3062">
        <f>IF(B3062,IF(Dist="Normal",DistA+DistB*I3062,DistA+(DistB-DistA)*NORMSDIST(I3062)),"")</f>
        <v/>
      </c>
      <c r="K3062">
        <f>IF(B3062,INDEX(MineScale,C3062),"")</f>
        <v/>
      </c>
      <c r="L3062">
        <f>IF(B3062,INDEX(Dow,1,WEEKDAY(E3062,2)),"")</f>
        <v/>
      </c>
      <c r="M3062">
        <f>IF(B3062,(1+Trend)^D3062,"")</f>
        <v/>
      </c>
      <c r="N3062">
        <f>IF(B3062,EXP(SUMPRODUCT(LN(1+(EvEff-1)*INDEX(Affected,0,C3062)*EXP(-((E3062-EvCenter)^2)/(2*EvSigma^2))))),"")</f>
        <v/>
      </c>
      <c r="O3062">
        <f>IF(B3062,ROUND(MAX(0,J3062*K3062*L3062*M3062*N3062),2),"")</f>
        <v/>
      </c>
    </row>
    <row r="3063">
      <c r="A3063" t="n">
        <v>3062</v>
      </c>
      <c r="B3063">
        <f>A3063&lt;=MineCount*Days</f>
        <v/>
      </c>
      <c r="C3063">
        <f>IF(B3063,INT((A3063-1)/Days)+1,"")</f>
        <v/>
      </c>
      <c r="D3063">
        <f>IF(B3063,MOD(A3063-1,Days),"")</f>
        <v/>
      </c>
      <c r="E3063" s="16">
        <f>IF(B3063,StartDate+D3063,"")</f>
        <v/>
      </c>
      <c r="F3063">
        <f>IF(B3063,MAX(MOD(SIN(Seed*0.1373+C3063*12.9898+D3063*78.233)*43758.5453,1),1E-9),"")</f>
        <v/>
      </c>
      <c r="G3063">
        <f>IF(B3063,MOD(SIN(Seed*0.5917+C3063*39.3468+D3063*11.135)*24634.6345,1),"")</f>
        <v/>
      </c>
      <c r="H3063">
        <f>IF(B3063,SQRT(-2*LN(F3063))*COS(2*PI()*G3063),"")</f>
        <v/>
      </c>
      <c r="I3063">
        <f>IF(B3063,IF(D3063=0,H3063,Rho*I3062+SQRT(1-Rho^2)*H3063),"")</f>
        <v/>
      </c>
      <c r="J3063">
        <f>IF(B3063,IF(Dist="Normal",DistA+DistB*I3063,DistA+(DistB-DistA)*NORMSDIST(I3063)),"")</f>
        <v/>
      </c>
      <c r="K3063">
        <f>IF(B3063,INDEX(MineScale,C3063),"")</f>
        <v/>
      </c>
      <c r="L3063">
        <f>IF(B3063,INDEX(Dow,1,WEEKDAY(E3063,2)),"")</f>
        <v/>
      </c>
      <c r="M3063">
        <f>IF(B3063,(1+Trend)^D3063,"")</f>
        <v/>
      </c>
      <c r="N3063">
        <f>IF(B3063,EXP(SUMPRODUCT(LN(1+(EvEff-1)*INDEX(Affected,0,C3063)*EXP(-((E3063-EvCenter)^2)/(2*EvSigma^2))))),"")</f>
        <v/>
      </c>
      <c r="O3063">
        <f>IF(B3063,ROUND(MAX(0,J3063*K3063*L3063*M3063*N3063),2),"")</f>
        <v/>
      </c>
    </row>
    <row r="3064">
      <c r="A3064" t="n">
        <v>3063</v>
      </c>
      <c r="B3064">
        <f>A3064&lt;=MineCount*Days</f>
        <v/>
      </c>
      <c r="C3064">
        <f>IF(B3064,INT((A3064-1)/Days)+1,"")</f>
        <v/>
      </c>
      <c r="D3064">
        <f>IF(B3064,MOD(A3064-1,Days),"")</f>
        <v/>
      </c>
      <c r="E3064" s="16">
        <f>IF(B3064,StartDate+D3064,"")</f>
        <v/>
      </c>
      <c r="F3064">
        <f>IF(B3064,MAX(MOD(SIN(Seed*0.1373+C3064*12.9898+D3064*78.233)*43758.5453,1),1E-9),"")</f>
        <v/>
      </c>
      <c r="G3064">
        <f>IF(B3064,MOD(SIN(Seed*0.5917+C3064*39.3468+D3064*11.135)*24634.6345,1),"")</f>
        <v/>
      </c>
      <c r="H3064">
        <f>IF(B3064,SQRT(-2*LN(F3064))*COS(2*PI()*G3064),"")</f>
        <v/>
      </c>
      <c r="I3064">
        <f>IF(B3064,IF(D3064=0,H3064,Rho*I3063+SQRT(1-Rho^2)*H3064),"")</f>
        <v/>
      </c>
      <c r="J3064">
        <f>IF(B3064,IF(Dist="Normal",DistA+DistB*I3064,DistA+(DistB-DistA)*NORMSDIST(I3064)),"")</f>
        <v/>
      </c>
      <c r="K3064">
        <f>IF(B3064,INDEX(MineScale,C3064),"")</f>
        <v/>
      </c>
      <c r="L3064">
        <f>IF(B3064,INDEX(Dow,1,WEEKDAY(E3064,2)),"")</f>
        <v/>
      </c>
      <c r="M3064">
        <f>IF(B3064,(1+Trend)^D3064,"")</f>
        <v/>
      </c>
      <c r="N3064">
        <f>IF(B3064,EXP(SUMPRODUCT(LN(1+(EvEff-1)*INDEX(Affected,0,C3064)*EXP(-((E3064-EvCenter)^2)/(2*EvSigma^2))))),"")</f>
        <v/>
      </c>
      <c r="O3064">
        <f>IF(B3064,ROUND(MAX(0,J3064*K3064*L3064*M3064*N3064),2),"")</f>
        <v/>
      </c>
    </row>
    <row r="3065">
      <c r="A3065" t="n">
        <v>3064</v>
      </c>
      <c r="B3065">
        <f>A3065&lt;=MineCount*Days</f>
        <v/>
      </c>
      <c r="C3065">
        <f>IF(B3065,INT((A3065-1)/Days)+1,"")</f>
        <v/>
      </c>
      <c r="D3065">
        <f>IF(B3065,MOD(A3065-1,Days),"")</f>
        <v/>
      </c>
      <c r="E3065" s="16">
        <f>IF(B3065,StartDate+D3065,"")</f>
        <v/>
      </c>
      <c r="F3065">
        <f>IF(B3065,MAX(MOD(SIN(Seed*0.1373+C3065*12.9898+D3065*78.233)*43758.5453,1),1E-9),"")</f>
        <v/>
      </c>
      <c r="G3065">
        <f>IF(B3065,MOD(SIN(Seed*0.5917+C3065*39.3468+D3065*11.135)*24634.6345,1),"")</f>
        <v/>
      </c>
      <c r="H3065">
        <f>IF(B3065,SQRT(-2*LN(F3065))*COS(2*PI()*G3065),"")</f>
        <v/>
      </c>
      <c r="I3065">
        <f>IF(B3065,IF(D3065=0,H3065,Rho*I3064+SQRT(1-Rho^2)*H3065),"")</f>
        <v/>
      </c>
      <c r="J3065">
        <f>IF(B3065,IF(Dist="Normal",DistA+DistB*I3065,DistA+(DistB-DistA)*NORMSDIST(I3065)),"")</f>
        <v/>
      </c>
      <c r="K3065">
        <f>IF(B3065,INDEX(MineScale,C3065),"")</f>
        <v/>
      </c>
      <c r="L3065">
        <f>IF(B3065,INDEX(Dow,1,WEEKDAY(E3065,2)),"")</f>
        <v/>
      </c>
      <c r="M3065">
        <f>IF(B3065,(1+Trend)^D3065,"")</f>
        <v/>
      </c>
      <c r="N3065">
        <f>IF(B3065,EXP(SUMPRODUCT(LN(1+(EvEff-1)*INDEX(Affected,0,C3065)*EXP(-((E3065-EvCenter)^2)/(2*EvSigma^2))))),"")</f>
        <v/>
      </c>
      <c r="O3065">
        <f>IF(B3065,ROUND(MAX(0,J3065*K3065*L3065*M3065*N3065),2),"")</f>
        <v/>
      </c>
    </row>
    <row r="3066">
      <c r="A3066" t="n">
        <v>3065</v>
      </c>
      <c r="B3066">
        <f>A3066&lt;=MineCount*Days</f>
        <v/>
      </c>
      <c r="C3066">
        <f>IF(B3066,INT((A3066-1)/Days)+1,"")</f>
        <v/>
      </c>
      <c r="D3066">
        <f>IF(B3066,MOD(A3066-1,Days),"")</f>
        <v/>
      </c>
      <c r="E3066" s="16">
        <f>IF(B3066,StartDate+D3066,"")</f>
        <v/>
      </c>
      <c r="F3066">
        <f>IF(B3066,MAX(MOD(SIN(Seed*0.1373+C3066*12.9898+D3066*78.233)*43758.5453,1),1E-9),"")</f>
        <v/>
      </c>
      <c r="G3066">
        <f>IF(B3066,MOD(SIN(Seed*0.5917+C3066*39.3468+D3066*11.135)*24634.6345,1),"")</f>
        <v/>
      </c>
      <c r="H3066">
        <f>IF(B3066,SQRT(-2*LN(F3066))*COS(2*PI()*G3066),"")</f>
        <v/>
      </c>
      <c r="I3066">
        <f>IF(B3066,IF(D3066=0,H3066,Rho*I3065+SQRT(1-Rho^2)*H3066),"")</f>
        <v/>
      </c>
      <c r="J3066">
        <f>IF(B3066,IF(Dist="Normal",DistA+DistB*I3066,DistA+(DistB-DistA)*NORMSDIST(I3066)),"")</f>
        <v/>
      </c>
      <c r="K3066">
        <f>IF(B3066,INDEX(MineScale,C3066),"")</f>
        <v/>
      </c>
      <c r="L3066">
        <f>IF(B3066,INDEX(Dow,1,WEEKDAY(E3066,2)),"")</f>
        <v/>
      </c>
      <c r="M3066">
        <f>IF(B3066,(1+Trend)^D3066,"")</f>
        <v/>
      </c>
      <c r="N3066">
        <f>IF(B3066,EXP(SUMPRODUCT(LN(1+(EvEff-1)*INDEX(Affected,0,C3066)*EXP(-((E3066-EvCenter)^2)/(2*EvSigma^2))))),"")</f>
        <v/>
      </c>
      <c r="O3066">
        <f>IF(B3066,ROUND(MAX(0,J3066*K3066*L3066*M3066*N3066),2),"")</f>
        <v/>
      </c>
    </row>
    <row r="3067">
      <c r="A3067" t="n">
        <v>3066</v>
      </c>
      <c r="B3067">
        <f>A3067&lt;=MineCount*Days</f>
        <v/>
      </c>
      <c r="C3067">
        <f>IF(B3067,INT((A3067-1)/Days)+1,"")</f>
        <v/>
      </c>
      <c r="D3067">
        <f>IF(B3067,MOD(A3067-1,Days),"")</f>
        <v/>
      </c>
      <c r="E3067" s="16">
        <f>IF(B3067,StartDate+D3067,"")</f>
        <v/>
      </c>
      <c r="F3067">
        <f>IF(B3067,MAX(MOD(SIN(Seed*0.1373+C3067*12.9898+D3067*78.233)*43758.5453,1),1E-9),"")</f>
        <v/>
      </c>
      <c r="G3067">
        <f>IF(B3067,MOD(SIN(Seed*0.5917+C3067*39.3468+D3067*11.135)*24634.6345,1),"")</f>
        <v/>
      </c>
      <c r="H3067">
        <f>IF(B3067,SQRT(-2*LN(F3067))*COS(2*PI()*G3067),"")</f>
        <v/>
      </c>
      <c r="I3067">
        <f>IF(B3067,IF(D3067=0,H3067,Rho*I3066+SQRT(1-Rho^2)*H3067),"")</f>
        <v/>
      </c>
      <c r="J3067">
        <f>IF(B3067,IF(Dist="Normal",DistA+DistB*I3067,DistA+(DistB-DistA)*NORMSDIST(I3067)),"")</f>
        <v/>
      </c>
      <c r="K3067">
        <f>IF(B3067,INDEX(MineScale,C3067),"")</f>
        <v/>
      </c>
      <c r="L3067">
        <f>IF(B3067,INDEX(Dow,1,WEEKDAY(E3067,2)),"")</f>
        <v/>
      </c>
      <c r="M3067">
        <f>IF(B3067,(1+Trend)^D3067,"")</f>
        <v/>
      </c>
      <c r="N3067">
        <f>IF(B3067,EXP(SUMPRODUCT(LN(1+(EvEff-1)*INDEX(Affected,0,C3067)*EXP(-((E3067-EvCenter)^2)/(2*EvSigma^2))))),"")</f>
        <v/>
      </c>
      <c r="O3067">
        <f>IF(B3067,ROUND(MAX(0,J3067*K3067*L3067*M3067*N3067),2),"")</f>
        <v/>
      </c>
    </row>
    <row r="3068">
      <c r="A3068" t="n">
        <v>3067</v>
      </c>
      <c r="B3068">
        <f>A3068&lt;=MineCount*Days</f>
        <v/>
      </c>
      <c r="C3068">
        <f>IF(B3068,INT((A3068-1)/Days)+1,"")</f>
        <v/>
      </c>
      <c r="D3068">
        <f>IF(B3068,MOD(A3068-1,Days),"")</f>
        <v/>
      </c>
      <c r="E3068" s="16">
        <f>IF(B3068,StartDate+D3068,"")</f>
        <v/>
      </c>
      <c r="F3068">
        <f>IF(B3068,MAX(MOD(SIN(Seed*0.1373+C3068*12.9898+D3068*78.233)*43758.5453,1),1E-9),"")</f>
        <v/>
      </c>
      <c r="G3068">
        <f>IF(B3068,MOD(SIN(Seed*0.5917+C3068*39.3468+D3068*11.135)*24634.6345,1),"")</f>
        <v/>
      </c>
      <c r="H3068">
        <f>IF(B3068,SQRT(-2*LN(F3068))*COS(2*PI()*G3068),"")</f>
        <v/>
      </c>
      <c r="I3068">
        <f>IF(B3068,IF(D3068=0,H3068,Rho*I3067+SQRT(1-Rho^2)*H3068),"")</f>
        <v/>
      </c>
      <c r="J3068">
        <f>IF(B3068,IF(Dist="Normal",DistA+DistB*I3068,DistA+(DistB-DistA)*NORMSDIST(I3068)),"")</f>
        <v/>
      </c>
      <c r="K3068">
        <f>IF(B3068,INDEX(MineScale,C3068),"")</f>
        <v/>
      </c>
      <c r="L3068">
        <f>IF(B3068,INDEX(Dow,1,WEEKDAY(E3068,2)),"")</f>
        <v/>
      </c>
      <c r="M3068">
        <f>IF(B3068,(1+Trend)^D3068,"")</f>
        <v/>
      </c>
      <c r="N3068">
        <f>IF(B3068,EXP(SUMPRODUCT(LN(1+(EvEff-1)*INDEX(Affected,0,C3068)*EXP(-((E3068-EvCenter)^2)/(2*EvSigma^2))))),"")</f>
        <v/>
      </c>
      <c r="O3068">
        <f>IF(B3068,ROUND(MAX(0,J3068*K3068*L3068*M3068*N3068),2),"")</f>
        <v/>
      </c>
    </row>
    <row r="3069">
      <c r="A3069" t="n">
        <v>3068</v>
      </c>
      <c r="B3069">
        <f>A3069&lt;=MineCount*Days</f>
        <v/>
      </c>
      <c r="C3069">
        <f>IF(B3069,INT((A3069-1)/Days)+1,"")</f>
        <v/>
      </c>
      <c r="D3069">
        <f>IF(B3069,MOD(A3069-1,Days),"")</f>
        <v/>
      </c>
      <c r="E3069" s="16">
        <f>IF(B3069,StartDate+D3069,"")</f>
        <v/>
      </c>
      <c r="F3069">
        <f>IF(B3069,MAX(MOD(SIN(Seed*0.1373+C3069*12.9898+D3069*78.233)*43758.5453,1),1E-9),"")</f>
        <v/>
      </c>
      <c r="G3069">
        <f>IF(B3069,MOD(SIN(Seed*0.5917+C3069*39.3468+D3069*11.135)*24634.6345,1),"")</f>
        <v/>
      </c>
      <c r="H3069">
        <f>IF(B3069,SQRT(-2*LN(F3069))*COS(2*PI()*G3069),"")</f>
        <v/>
      </c>
      <c r="I3069">
        <f>IF(B3069,IF(D3069=0,H3069,Rho*I3068+SQRT(1-Rho^2)*H3069),"")</f>
        <v/>
      </c>
      <c r="J3069">
        <f>IF(B3069,IF(Dist="Normal",DistA+DistB*I3069,DistA+(DistB-DistA)*NORMSDIST(I3069)),"")</f>
        <v/>
      </c>
      <c r="K3069">
        <f>IF(B3069,INDEX(MineScale,C3069),"")</f>
        <v/>
      </c>
      <c r="L3069">
        <f>IF(B3069,INDEX(Dow,1,WEEKDAY(E3069,2)),"")</f>
        <v/>
      </c>
      <c r="M3069">
        <f>IF(B3069,(1+Trend)^D3069,"")</f>
        <v/>
      </c>
      <c r="N3069">
        <f>IF(B3069,EXP(SUMPRODUCT(LN(1+(EvEff-1)*INDEX(Affected,0,C3069)*EXP(-((E3069-EvCenter)^2)/(2*EvSigma^2))))),"")</f>
        <v/>
      </c>
      <c r="O3069">
        <f>IF(B3069,ROUND(MAX(0,J3069*K3069*L3069*M3069*N3069),2),"")</f>
        <v/>
      </c>
    </row>
    <row r="3070">
      <c r="A3070" t="n">
        <v>3069</v>
      </c>
      <c r="B3070">
        <f>A3070&lt;=MineCount*Days</f>
        <v/>
      </c>
      <c r="C3070">
        <f>IF(B3070,INT((A3070-1)/Days)+1,"")</f>
        <v/>
      </c>
      <c r="D3070">
        <f>IF(B3070,MOD(A3070-1,Days),"")</f>
        <v/>
      </c>
      <c r="E3070" s="16">
        <f>IF(B3070,StartDate+D3070,"")</f>
        <v/>
      </c>
      <c r="F3070">
        <f>IF(B3070,MAX(MOD(SIN(Seed*0.1373+C3070*12.9898+D3070*78.233)*43758.5453,1),1E-9),"")</f>
        <v/>
      </c>
      <c r="G3070">
        <f>IF(B3070,MOD(SIN(Seed*0.5917+C3070*39.3468+D3070*11.135)*24634.6345,1),"")</f>
        <v/>
      </c>
      <c r="H3070">
        <f>IF(B3070,SQRT(-2*LN(F3070))*COS(2*PI()*G3070),"")</f>
        <v/>
      </c>
      <c r="I3070">
        <f>IF(B3070,IF(D3070=0,H3070,Rho*I3069+SQRT(1-Rho^2)*H3070),"")</f>
        <v/>
      </c>
      <c r="J3070">
        <f>IF(B3070,IF(Dist="Normal",DistA+DistB*I3070,DistA+(DistB-DistA)*NORMSDIST(I3070)),"")</f>
        <v/>
      </c>
      <c r="K3070">
        <f>IF(B3070,INDEX(MineScale,C3070),"")</f>
        <v/>
      </c>
      <c r="L3070">
        <f>IF(B3070,INDEX(Dow,1,WEEKDAY(E3070,2)),"")</f>
        <v/>
      </c>
      <c r="M3070">
        <f>IF(B3070,(1+Trend)^D3070,"")</f>
        <v/>
      </c>
      <c r="N3070">
        <f>IF(B3070,EXP(SUMPRODUCT(LN(1+(EvEff-1)*INDEX(Affected,0,C3070)*EXP(-((E3070-EvCenter)^2)/(2*EvSigma^2))))),"")</f>
        <v/>
      </c>
      <c r="O3070">
        <f>IF(B3070,ROUND(MAX(0,J3070*K3070*L3070*M3070*N3070),2),"")</f>
        <v/>
      </c>
    </row>
    <row r="3071">
      <c r="A3071" t="n">
        <v>3070</v>
      </c>
      <c r="B3071">
        <f>A3071&lt;=MineCount*Days</f>
        <v/>
      </c>
      <c r="C3071">
        <f>IF(B3071,INT((A3071-1)/Days)+1,"")</f>
        <v/>
      </c>
      <c r="D3071">
        <f>IF(B3071,MOD(A3071-1,Days),"")</f>
        <v/>
      </c>
      <c r="E3071" s="16">
        <f>IF(B3071,StartDate+D3071,"")</f>
        <v/>
      </c>
      <c r="F3071">
        <f>IF(B3071,MAX(MOD(SIN(Seed*0.1373+C3071*12.9898+D3071*78.233)*43758.5453,1),1E-9),"")</f>
        <v/>
      </c>
      <c r="G3071">
        <f>IF(B3071,MOD(SIN(Seed*0.5917+C3071*39.3468+D3071*11.135)*24634.6345,1),"")</f>
        <v/>
      </c>
      <c r="H3071">
        <f>IF(B3071,SQRT(-2*LN(F3071))*COS(2*PI()*G3071),"")</f>
        <v/>
      </c>
      <c r="I3071">
        <f>IF(B3071,IF(D3071=0,H3071,Rho*I3070+SQRT(1-Rho^2)*H3071),"")</f>
        <v/>
      </c>
      <c r="J3071">
        <f>IF(B3071,IF(Dist="Normal",DistA+DistB*I3071,DistA+(DistB-DistA)*NORMSDIST(I3071)),"")</f>
        <v/>
      </c>
      <c r="K3071">
        <f>IF(B3071,INDEX(MineScale,C3071),"")</f>
        <v/>
      </c>
      <c r="L3071">
        <f>IF(B3071,INDEX(Dow,1,WEEKDAY(E3071,2)),"")</f>
        <v/>
      </c>
      <c r="M3071">
        <f>IF(B3071,(1+Trend)^D3071,"")</f>
        <v/>
      </c>
      <c r="N3071">
        <f>IF(B3071,EXP(SUMPRODUCT(LN(1+(EvEff-1)*INDEX(Affected,0,C3071)*EXP(-((E3071-EvCenter)^2)/(2*EvSigma^2))))),"")</f>
        <v/>
      </c>
      <c r="O3071">
        <f>IF(B3071,ROUND(MAX(0,J3071*K3071*L3071*M3071*N3071),2),"")</f>
        <v/>
      </c>
    </row>
    <row r="3072">
      <c r="A3072" t="n">
        <v>3071</v>
      </c>
      <c r="B3072">
        <f>A3072&lt;=MineCount*Days</f>
        <v/>
      </c>
      <c r="C3072">
        <f>IF(B3072,INT((A3072-1)/Days)+1,"")</f>
        <v/>
      </c>
      <c r="D3072">
        <f>IF(B3072,MOD(A3072-1,Days),"")</f>
        <v/>
      </c>
      <c r="E3072" s="16">
        <f>IF(B3072,StartDate+D3072,"")</f>
        <v/>
      </c>
      <c r="F3072">
        <f>IF(B3072,MAX(MOD(SIN(Seed*0.1373+C3072*12.9898+D3072*78.233)*43758.5453,1),1E-9),"")</f>
        <v/>
      </c>
      <c r="G3072">
        <f>IF(B3072,MOD(SIN(Seed*0.5917+C3072*39.3468+D3072*11.135)*24634.6345,1),"")</f>
        <v/>
      </c>
      <c r="H3072">
        <f>IF(B3072,SQRT(-2*LN(F3072))*COS(2*PI()*G3072),"")</f>
        <v/>
      </c>
      <c r="I3072">
        <f>IF(B3072,IF(D3072=0,H3072,Rho*I3071+SQRT(1-Rho^2)*H3072),"")</f>
        <v/>
      </c>
      <c r="J3072">
        <f>IF(B3072,IF(Dist="Normal",DistA+DistB*I3072,DistA+(DistB-DistA)*NORMSDIST(I3072)),"")</f>
        <v/>
      </c>
      <c r="K3072">
        <f>IF(B3072,INDEX(MineScale,C3072),"")</f>
        <v/>
      </c>
      <c r="L3072">
        <f>IF(B3072,INDEX(Dow,1,WEEKDAY(E3072,2)),"")</f>
        <v/>
      </c>
      <c r="M3072">
        <f>IF(B3072,(1+Trend)^D3072,"")</f>
        <v/>
      </c>
      <c r="N3072">
        <f>IF(B3072,EXP(SUMPRODUCT(LN(1+(EvEff-1)*INDEX(Affected,0,C3072)*EXP(-((E3072-EvCenter)^2)/(2*EvSigma^2))))),"")</f>
        <v/>
      </c>
      <c r="O3072">
        <f>IF(B3072,ROUND(MAX(0,J3072*K3072*L3072*M3072*N3072),2),"")</f>
        <v/>
      </c>
    </row>
    <row r="3073">
      <c r="A3073" t="n">
        <v>3072</v>
      </c>
      <c r="B3073">
        <f>A3073&lt;=MineCount*Days</f>
        <v/>
      </c>
      <c r="C3073">
        <f>IF(B3073,INT((A3073-1)/Days)+1,"")</f>
        <v/>
      </c>
      <c r="D3073">
        <f>IF(B3073,MOD(A3073-1,Days),"")</f>
        <v/>
      </c>
      <c r="E3073" s="16">
        <f>IF(B3073,StartDate+D3073,"")</f>
        <v/>
      </c>
      <c r="F3073">
        <f>IF(B3073,MAX(MOD(SIN(Seed*0.1373+C3073*12.9898+D3073*78.233)*43758.5453,1),1E-9),"")</f>
        <v/>
      </c>
      <c r="G3073">
        <f>IF(B3073,MOD(SIN(Seed*0.5917+C3073*39.3468+D3073*11.135)*24634.6345,1),"")</f>
        <v/>
      </c>
      <c r="H3073">
        <f>IF(B3073,SQRT(-2*LN(F3073))*COS(2*PI()*G3073),"")</f>
        <v/>
      </c>
      <c r="I3073">
        <f>IF(B3073,IF(D3073=0,H3073,Rho*I3072+SQRT(1-Rho^2)*H3073),"")</f>
        <v/>
      </c>
      <c r="J3073">
        <f>IF(B3073,IF(Dist="Normal",DistA+DistB*I3073,DistA+(DistB-DistA)*NORMSDIST(I3073)),"")</f>
        <v/>
      </c>
      <c r="K3073">
        <f>IF(B3073,INDEX(MineScale,C3073),"")</f>
        <v/>
      </c>
      <c r="L3073">
        <f>IF(B3073,INDEX(Dow,1,WEEKDAY(E3073,2)),"")</f>
        <v/>
      </c>
      <c r="M3073">
        <f>IF(B3073,(1+Trend)^D3073,"")</f>
        <v/>
      </c>
      <c r="N3073">
        <f>IF(B3073,EXP(SUMPRODUCT(LN(1+(EvEff-1)*INDEX(Affected,0,C3073)*EXP(-((E3073-EvCenter)^2)/(2*EvSigma^2))))),"")</f>
        <v/>
      </c>
      <c r="O3073">
        <f>IF(B3073,ROUND(MAX(0,J3073*K3073*L3073*M3073*N3073),2),"")</f>
        <v/>
      </c>
    </row>
    <row r="3074">
      <c r="A3074" t="n">
        <v>3073</v>
      </c>
      <c r="B3074">
        <f>A3074&lt;=MineCount*Days</f>
        <v/>
      </c>
      <c r="C3074">
        <f>IF(B3074,INT((A3074-1)/Days)+1,"")</f>
        <v/>
      </c>
      <c r="D3074">
        <f>IF(B3074,MOD(A3074-1,Days),"")</f>
        <v/>
      </c>
      <c r="E3074" s="16">
        <f>IF(B3074,StartDate+D3074,"")</f>
        <v/>
      </c>
      <c r="F3074">
        <f>IF(B3074,MAX(MOD(SIN(Seed*0.1373+C3074*12.9898+D3074*78.233)*43758.5453,1),1E-9),"")</f>
        <v/>
      </c>
      <c r="G3074">
        <f>IF(B3074,MOD(SIN(Seed*0.5917+C3074*39.3468+D3074*11.135)*24634.6345,1),"")</f>
        <v/>
      </c>
      <c r="H3074">
        <f>IF(B3074,SQRT(-2*LN(F3074))*COS(2*PI()*G3074),"")</f>
        <v/>
      </c>
      <c r="I3074">
        <f>IF(B3074,IF(D3074=0,H3074,Rho*I3073+SQRT(1-Rho^2)*H3074),"")</f>
        <v/>
      </c>
      <c r="J3074">
        <f>IF(B3074,IF(Dist="Normal",DistA+DistB*I3074,DistA+(DistB-DistA)*NORMSDIST(I3074)),"")</f>
        <v/>
      </c>
      <c r="K3074">
        <f>IF(B3074,INDEX(MineScale,C3074),"")</f>
        <v/>
      </c>
      <c r="L3074">
        <f>IF(B3074,INDEX(Dow,1,WEEKDAY(E3074,2)),"")</f>
        <v/>
      </c>
      <c r="M3074">
        <f>IF(B3074,(1+Trend)^D3074,"")</f>
        <v/>
      </c>
      <c r="N3074">
        <f>IF(B3074,EXP(SUMPRODUCT(LN(1+(EvEff-1)*INDEX(Affected,0,C3074)*EXP(-((E3074-EvCenter)^2)/(2*EvSigma^2))))),"")</f>
        <v/>
      </c>
      <c r="O3074">
        <f>IF(B3074,ROUND(MAX(0,J3074*K3074*L3074*M3074*N3074),2),"")</f>
        <v/>
      </c>
    </row>
    <row r="3075">
      <c r="A3075" t="n">
        <v>3074</v>
      </c>
      <c r="B3075">
        <f>A3075&lt;=MineCount*Days</f>
        <v/>
      </c>
      <c r="C3075">
        <f>IF(B3075,INT((A3075-1)/Days)+1,"")</f>
        <v/>
      </c>
      <c r="D3075">
        <f>IF(B3075,MOD(A3075-1,Days),"")</f>
        <v/>
      </c>
      <c r="E3075" s="16">
        <f>IF(B3075,StartDate+D3075,"")</f>
        <v/>
      </c>
      <c r="F3075">
        <f>IF(B3075,MAX(MOD(SIN(Seed*0.1373+C3075*12.9898+D3075*78.233)*43758.5453,1),1E-9),"")</f>
        <v/>
      </c>
      <c r="G3075">
        <f>IF(B3075,MOD(SIN(Seed*0.5917+C3075*39.3468+D3075*11.135)*24634.6345,1),"")</f>
        <v/>
      </c>
      <c r="H3075">
        <f>IF(B3075,SQRT(-2*LN(F3075))*COS(2*PI()*G3075),"")</f>
        <v/>
      </c>
      <c r="I3075">
        <f>IF(B3075,IF(D3075=0,H3075,Rho*I3074+SQRT(1-Rho^2)*H3075),"")</f>
        <v/>
      </c>
      <c r="J3075">
        <f>IF(B3075,IF(Dist="Normal",DistA+DistB*I3075,DistA+(DistB-DistA)*NORMSDIST(I3075)),"")</f>
        <v/>
      </c>
      <c r="K3075">
        <f>IF(B3075,INDEX(MineScale,C3075),"")</f>
        <v/>
      </c>
      <c r="L3075">
        <f>IF(B3075,INDEX(Dow,1,WEEKDAY(E3075,2)),"")</f>
        <v/>
      </c>
      <c r="M3075">
        <f>IF(B3075,(1+Trend)^D3075,"")</f>
        <v/>
      </c>
      <c r="N3075">
        <f>IF(B3075,EXP(SUMPRODUCT(LN(1+(EvEff-1)*INDEX(Affected,0,C3075)*EXP(-((E3075-EvCenter)^2)/(2*EvSigma^2))))),"")</f>
        <v/>
      </c>
      <c r="O3075">
        <f>IF(B3075,ROUND(MAX(0,J3075*K3075*L3075*M3075*N3075),2),"")</f>
        <v/>
      </c>
    </row>
    <row r="3076">
      <c r="A3076" t="n">
        <v>3075</v>
      </c>
      <c r="B3076">
        <f>A3076&lt;=MineCount*Days</f>
        <v/>
      </c>
      <c r="C3076">
        <f>IF(B3076,INT((A3076-1)/Days)+1,"")</f>
        <v/>
      </c>
      <c r="D3076">
        <f>IF(B3076,MOD(A3076-1,Days),"")</f>
        <v/>
      </c>
      <c r="E3076" s="16">
        <f>IF(B3076,StartDate+D3076,"")</f>
        <v/>
      </c>
      <c r="F3076">
        <f>IF(B3076,MAX(MOD(SIN(Seed*0.1373+C3076*12.9898+D3076*78.233)*43758.5453,1),1E-9),"")</f>
        <v/>
      </c>
      <c r="G3076">
        <f>IF(B3076,MOD(SIN(Seed*0.5917+C3076*39.3468+D3076*11.135)*24634.6345,1),"")</f>
        <v/>
      </c>
      <c r="H3076">
        <f>IF(B3076,SQRT(-2*LN(F3076))*COS(2*PI()*G3076),"")</f>
        <v/>
      </c>
      <c r="I3076">
        <f>IF(B3076,IF(D3076=0,H3076,Rho*I3075+SQRT(1-Rho^2)*H3076),"")</f>
        <v/>
      </c>
      <c r="J3076">
        <f>IF(B3076,IF(Dist="Normal",DistA+DistB*I3076,DistA+(DistB-DistA)*NORMSDIST(I3076)),"")</f>
        <v/>
      </c>
      <c r="K3076">
        <f>IF(B3076,INDEX(MineScale,C3076),"")</f>
        <v/>
      </c>
      <c r="L3076">
        <f>IF(B3076,INDEX(Dow,1,WEEKDAY(E3076,2)),"")</f>
        <v/>
      </c>
      <c r="M3076">
        <f>IF(B3076,(1+Trend)^D3076,"")</f>
        <v/>
      </c>
      <c r="N3076">
        <f>IF(B3076,EXP(SUMPRODUCT(LN(1+(EvEff-1)*INDEX(Affected,0,C3076)*EXP(-((E3076-EvCenter)^2)/(2*EvSigma^2))))),"")</f>
        <v/>
      </c>
      <c r="O3076">
        <f>IF(B3076,ROUND(MAX(0,J3076*K3076*L3076*M3076*N3076),2),"")</f>
        <v/>
      </c>
    </row>
    <row r="3077">
      <c r="A3077" t="n">
        <v>3076</v>
      </c>
      <c r="B3077">
        <f>A3077&lt;=MineCount*Days</f>
        <v/>
      </c>
      <c r="C3077">
        <f>IF(B3077,INT((A3077-1)/Days)+1,"")</f>
        <v/>
      </c>
      <c r="D3077">
        <f>IF(B3077,MOD(A3077-1,Days),"")</f>
        <v/>
      </c>
      <c r="E3077" s="16">
        <f>IF(B3077,StartDate+D3077,"")</f>
        <v/>
      </c>
      <c r="F3077">
        <f>IF(B3077,MAX(MOD(SIN(Seed*0.1373+C3077*12.9898+D3077*78.233)*43758.5453,1),1E-9),"")</f>
        <v/>
      </c>
      <c r="G3077">
        <f>IF(B3077,MOD(SIN(Seed*0.5917+C3077*39.3468+D3077*11.135)*24634.6345,1),"")</f>
        <v/>
      </c>
      <c r="H3077">
        <f>IF(B3077,SQRT(-2*LN(F3077))*COS(2*PI()*G3077),"")</f>
        <v/>
      </c>
      <c r="I3077">
        <f>IF(B3077,IF(D3077=0,H3077,Rho*I3076+SQRT(1-Rho^2)*H3077),"")</f>
        <v/>
      </c>
      <c r="J3077">
        <f>IF(B3077,IF(Dist="Normal",DistA+DistB*I3077,DistA+(DistB-DistA)*NORMSDIST(I3077)),"")</f>
        <v/>
      </c>
      <c r="K3077">
        <f>IF(B3077,INDEX(MineScale,C3077),"")</f>
        <v/>
      </c>
      <c r="L3077">
        <f>IF(B3077,INDEX(Dow,1,WEEKDAY(E3077,2)),"")</f>
        <v/>
      </c>
      <c r="M3077">
        <f>IF(B3077,(1+Trend)^D3077,"")</f>
        <v/>
      </c>
      <c r="N3077">
        <f>IF(B3077,EXP(SUMPRODUCT(LN(1+(EvEff-1)*INDEX(Affected,0,C3077)*EXP(-((E3077-EvCenter)^2)/(2*EvSigma^2))))),"")</f>
        <v/>
      </c>
      <c r="O3077">
        <f>IF(B3077,ROUND(MAX(0,J3077*K3077*L3077*M3077*N3077),2),"")</f>
        <v/>
      </c>
    </row>
    <row r="3078">
      <c r="A3078" t="n">
        <v>3077</v>
      </c>
      <c r="B3078">
        <f>A3078&lt;=MineCount*Days</f>
        <v/>
      </c>
      <c r="C3078">
        <f>IF(B3078,INT((A3078-1)/Days)+1,"")</f>
        <v/>
      </c>
      <c r="D3078">
        <f>IF(B3078,MOD(A3078-1,Days),"")</f>
        <v/>
      </c>
      <c r="E3078" s="16">
        <f>IF(B3078,StartDate+D3078,"")</f>
        <v/>
      </c>
      <c r="F3078">
        <f>IF(B3078,MAX(MOD(SIN(Seed*0.1373+C3078*12.9898+D3078*78.233)*43758.5453,1),1E-9),"")</f>
        <v/>
      </c>
      <c r="G3078">
        <f>IF(B3078,MOD(SIN(Seed*0.5917+C3078*39.3468+D3078*11.135)*24634.6345,1),"")</f>
        <v/>
      </c>
      <c r="H3078">
        <f>IF(B3078,SQRT(-2*LN(F3078))*COS(2*PI()*G3078),"")</f>
        <v/>
      </c>
      <c r="I3078">
        <f>IF(B3078,IF(D3078=0,H3078,Rho*I3077+SQRT(1-Rho^2)*H3078),"")</f>
        <v/>
      </c>
      <c r="J3078">
        <f>IF(B3078,IF(Dist="Normal",DistA+DistB*I3078,DistA+(DistB-DistA)*NORMSDIST(I3078)),"")</f>
        <v/>
      </c>
      <c r="K3078">
        <f>IF(B3078,INDEX(MineScale,C3078),"")</f>
        <v/>
      </c>
      <c r="L3078">
        <f>IF(B3078,INDEX(Dow,1,WEEKDAY(E3078,2)),"")</f>
        <v/>
      </c>
      <c r="M3078">
        <f>IF(B3078,(1+Trend)^D3078,"")</f>
        <v/>
      </c>
      <c r="N3078">
        <f>IF(B3078,EXP(SUMPRODUCT(LN(1+(EvEff-1)*INDEX(Affected,0,C3078)*EXP(-((E3078-EvCenter)^2)/(2*EvSigma^2))))),"")</f>
        <v/>
      </c>
      <c r="O3078">
        <f>IF(B3078,ROUND(MAX(0,J3078*K3078*L3078*M3078*N3078),2),"")</f>
        <v/>
      </c>
    </row>
    <row r="3079">
      <c r="A3079" t="n">
        <v>3078</v>
      </c>
      <c r="B3079">
        <f>A3079&lt;=MineCount*Days</f>
        <v/>
      </c>
      <c r="C3079">
        <f>IF(B3079,INT((A3079-1)/Days)+1,"")</f>
        <v/>
      </c>
      <c r="D3079">
        <f>IF(B3079,MOD(A3079-1,Days),"")</f>
        <v/>
      </c>
      <c r="E3079" s="16">
        <f>IF(B3079,StartDate+D3079,"")</f>
        <v/>
      </c>
      <c r="F3079">
        <f>IF(B3079,MAX(MOD(SIN(Seed*0.1373+C3079*12.9898+D3079*78.233)*43758.5453,1),1E-9),"")</f>
        <v/>
      </c>
      <c r="G3079">
        <f>IF(B3079,MOD(SIN(Seed*0.5917+C3079*39.3468+D3079*11.135)*24634.6345,1),"")</f>
        <v/>
      </c>
      <c r="H3079">
        <f>IF(B3079,SQRT(-2*LN(F3079))*COS(2*PI()*G3079),"")</f>
        <v/>
      </c>
      <c r="I3079">
        <f>IF(B3079,IF(D3079=0,H3079,Rho*I3078+SQRT(1-Rho^2)*H3079),"")</f>
        <v/>
      </c>
      <c r="J3079">
        <f>IF(B3079,IF(Dist="Normal",DistA+DistB*I3079,DistA+(DistB-DistA)*NORMSDIST(I3079)),"")</f>
        <v/>
      </c>
      <c r="K3079">
        <f>IF(B3079,INDEX(MineScale,C3079),"")</f>
        <v/>
      </c>
      <c r="L3079">
        <f>IF(B3079,INDEX(Dow,1,WEEKDAY(E3079,2)),"")</f>
        <v/>
      </c>
      <c r="M3079">
        <f>IF(B3079,(1+Trend)^D3079,"")</f>
        <v/>
      </c>
      <c r="N3079">
        <f>IF(B3079,EXP(SUMPRODUCT(LN(1+(EvEff-1)*INDEX(Affected,0,C3079)*EXP(-((E3079-EvCenter)^2)/(2*EvSigma^2))))),"")</f>
        <v/>
      </c>
      <c r="O3079">
        <f>IF(B3079,ROUND(MAX(0,J3079*K3079*L3079*M3079*N3079),2),"")</f>
        <v/>
      </c>
    </row>
    <row r="3080">
      <c r="A3080" t="n">
        <v>3079</v>
      </c>
      <c r="B3080">
        <f>A3080&lt;=MineCount*Days</f>
        <v/>
      </c>
      <c r="C3080">
        <f>IF(B3080,INT((A3080-1)/Days)+1,"")</f>
        <v/>
      </c>
      <c r="D3080">
        <f>IF(B3080,MOD(A3080-1,Days),"")</f>
        <v/>
      </c>
      <c r="E3080" s="16">
        <f>IF(B3080,StartDate+D3080,"")</f>
        <v/>
      </c>
      <c r="F3080">
        <f>IF(B3080,MAX(MOD(SIN(Seed*0.1373+C3080*12.9898+D3080*78.233)*43758.5453,1),1E-9),"")</f>
        <v/>
      </c>
      <c r="G3080">
        <f>IF(B3080,MOD(SIN(Seed*0.5917+C3080*39.3468+D3080*11.135)*24634.6345,1),"")</f>
        <v/>
      </c>
      <c r="H3080">
        <f>IF(B3080,SQRT(-2*LN(F3080))*COS(2*PI()*G3080),"")</f>
        <v/>
      </c>
      <c r="I3080">
        <f>IF(B3080,IF(D3080=0,H3080,Rho*I3079+SQRT(1-Rho^2)*H3080),"")</f>
        <v/>
      </c>
      <c r="J3080">
        <f>IF(B3080,IF(Dist="Normal",DistA+DistB*I3080,DistA+(DistB-DistA)*NORMSDIST(I3080)),"")</f>
        <v/>
      </c>
      <c r="K3080">
        <f>IF(B3080,INDEX(MineScale,C3080),"")</f>
        <v/>
      </c>
      <c r="L3080">
        <f>IF(B3080,INDEX(Dow,1,WEEKDAY(E3080,2)),"")</f>
        <v/>
      </c>
      <c r="M3080">
        <f>IF(B3080,(1+Trend)^D3080,"")</f>
        <v/>
      </c>
      <c r="N3080">
        <f>IF(B3080,EXP(SUMPRODUCT(LN(1+(EvEff-1)*INDEX(Affected,0,C3080)*EXP(-((E3080-EvCenter)^2)/(2*EvSigma^2))))),"")</f>
        <v/>
      </c>
      <c r="O3080">
        <f>IF(B3080,ROUND(MAX(0,J3080*K3080*L3080*M3080*N3080),2),"")</f>
        <v/>
      </c>
    </row>
    <row r="3081">
      <c r="A3081" t="n">
        <v>3080</v>
      </c>
      <c r="B3081">
        <f>A3081&lt;=MineCount*Days</f>
        <v/>
      </c>
      <c r="C3081">
        <f>IF(B3081,INT((A3081-1)/Days)+1,"")</f>
        <v/>
      </c>
      <c r="D3081">
        <f>IF(B3081,MOD(A3081-1,Days),"")</f>
        <v/>
      </c>
      <c r="E3081" s="16">
        <f>IF(B3081,StartDate+D3081,"")</f>
        <v/>
      </c>
      <c r="F3081">
        <f>IF(B3081,MAX(MOD(SIN(Seed*0.1373+C3081*12.9898+D3081*78.233)*43758.5453,1),1E-9),"")</f>
        <v/>
      </c>
      <c r="G3081">
        <f>IF(B3081,MOD(SIN(Seed*0.5917+C3081*39.3468+D3081*11.135)*24634.6345,1),"")</f>
        <v/>
      </c>
      <c r="H3081">
        <f>IF(B3081,SQRT(-2*LN(F3081))*COS(2*PI()*G3081),"")</f>
        <v/>
      </c>
      <c r="I3081">
        <f>IF(B3081,IF(D3081=0,H3081,Rho*I3080+SQRT(1-Rho^2)*H3081),"")</f>
        <v/>
      </c>
      <c r="J3081">
        <f>IF(B3081,IF(Dist="Normal",DistA+DistB*I3081,DistA+(DistB-DistA)*NORMSDIST(I3081)),"")</f>
        <v/>
      </c>
      <c r="K3081">
        <f>IF(B3081,INDEX(MineScale,C3081),"")</f>
        <v/>
      </c>
      <c r="L3081">
        <f>IF(B3081,INDEX(Dow,1,WEEKDAY(E3081,2)),"")</f>
        <v/>
      </c>
      <c r="M3081">
        <f>IF(B3081,(1+Trend)^D3081,"")</f>
        <v/>
      </c>
      <c r="N3081">
        <f>IF(B3081,EXP(SUMPRODUCT(LN(1+(EvEff-1)*INDEX(Affected,0,C3081)*EXP(-((E3081-EvCenter)^2)/(2*EvSigma^2))))),"")</f>
        <v/>
      </c>
      <c r="O3081">
        <f>IF(B3081,ROUND(MAX(0,J3081*K3081*L3081*M3081*N3081),2),"")</f>
        <v/>
      </c>
    </row>
    <row r="3082">
      <c r="A3082" t="n">
        <v>3081</v>
      </c>
      <c r="B3082">
        <f>A3082&lt;=MineCount*Days</f>
        <v/>
      </c>
      <c r="C3082">
        <f>IF(B3082,INT((A3082-1)/Days)+1,"")</f>
        <v/>
      </c>
      <c r="D3082">
        <f>IF(B3082,MOD(A3082-1,Days),"")</f>
        <v/>
      </c>
      <c r="E3082" s="16">
        <f>IF(B3082,StartDate+D3082,"")</f>
        <v/>
      </c>
      <c r="F3082">
        <f>IF(B3082,MAX(MOD(SIN(Seed*0.1373+C3082*12.9898+D3082*78.233)*43758.5453,1),1E-9),"")</f>
        <v/>
      </c>
      <c r="G3082">
        <f>IF(B3082,MOD(SIN(Seed*0.5917+C3082*39.3468+D3082*11.135)*24634.6345,1),"")</f>
        <v/>
      </c>
      <c r="H3082">
        <f>IF(B3082,SQRT(-2*LN(F3082))*COS(2*PI()*G3082),"")</f>
        <v/>
      </c>
      <c r="I3082">
        <f>IF(B3082,IF(D3082=0,H3082,Rho*I3081+SQRT(1-Rho^2)*H3082),"")</f>
        <v/>
      </c>
      <c r="J3082">
        <f>IF(B3082,IF(Dist="Normal",DistA+DistB*I3082,DistA+(DistB-DistA)*NORMSDIST(I3082)),"")</f>
        <v/>
      </c>
      <c r="K3082">
        <f>IF(B3082,INDEX(MineScale,C3082),"")</f>
        <v/>
      </c>
      <c r="L3082">
        <f>IF(B3082,INDEX(Dow,1,WEEKDAY(E3082,2)),"")</f>
        <v/>
      </c>
      <c r="M3082">
        <f>IF(B3082,(1+Trend)^D3082,"")</f>
        <v/>
      </c>
      <c r="N3082">
        <f>IF(B3082,EXP(SUMPRODUCT(LN(1+(EvEff-1)*INDEX(Affected,0,C3082)*EXP(-((E3082-EvCenter)^2)/(2*EvSigma^2))))),"")</f>
        <v/>
      </c>
      <c r="O3082">
        <f>IF(B3082,ROUND(MAX(0,J3082*K3082*L3082*M3082*N3082),2),"")</f>
        <v/>
      </c>
    </row>
    <row r="3083">
      <c r="A3083" t="n">
        <v>3082</v>
      </c>
      <c r="B3083">
        <f>A3083&lt;=MineCount*Days</f>
        <v/>
      </c>
      <c r="C3083">
        <f>IF(B3083,INT((A3083-1)/Days)+1,"")</f>
        <v/>
      </c>
      <c r="D3083">
        <f>IF(B3083,MOD(A3083-1,Days),"")</f>
        <v/>
      </c>
      <c r="E3083" s="16">
        <f>IF(B3083,StartDate+D3083,"")</f>
        <v/>
      </c>
      <c r="F3083">
        <f>IF(B3083,MAX(MOD(SIN(Seed*0.1373+C3083*12.9898+D3083*78.233)*43758.5453,1),1E-9),"")</f>
        <v/>
      </c>
      <c r="G3083">
        <f>IF(B3083,MOD(SIN(Seed*0.5917+C3083*39.3468+D3083*11.135)*24634.6345,1),"")</f>
        <v/>
      </c>
      <c r="H3083">
        <f>IF(B3083,SQRT(-2*LN(F3083))*COS(2*PI()*G3083),"")</f>
        <v/>
      </c>
      <c r="I3083">
        <f>IF(B3083,IF(D3083=0,H3083,Rho*I3082+SQRT(1-Rho^2)*H3083),"")</f>
        <v/>
      </c>
      <c r="J3083">
        <f>IF(B3083,IF(Dist="Normal",DistA+DistB*I3083,DistA+(DistB-DistA)*NORMSDIST(I3083)),"")</f>
        <v/>
      </c>
      <c r="K3083">
        <f>IF(B3083,INDEX(MineScale,C3083),"")</f>
        <v/>
      </c>
      <c r="L3083">
        <f>IF(B3083,INDEX(Dow,1,WEEKDAY(E3083,2)),"")</f>
        <v/>
      </c>
      <c r="M3083">
        <f>IF(B3083,(1+Trend)^D3083,"")</f>
        <v/>
      </c>
      <c r="N3083">
        <f>IF(B3083,EXP(SUMPRODUCT(LN(1+(EvEff-1)*INDEX(Affected,0,C3083)*EXP(-((E3083-EvCenter)^2)/(2*EvSigma^2))))),"")</f>
        <v/>
      </c>
      <c r="O3083">
        <f>IF(B3083,ROUND(MAX(0,J3083*K3083*L3083*M3083*N3083),2),"")</f>
        <v/>
      </c>
    </row>
    <row r="3084">
      <c r="A3084" t="n">
        <v>3083</v>
      </c>
      <c r="B3084">
        <f>A3084&lt;=MineCount*Days</f>
        <v/>
      </c>
      <c r="C3084">
        <f>IF(B3084,INT((A3084-1)/Days)+1,"")</f>
        <v/>
      </c>
      <c r="D3084">
        <f>IF(B3084,MOD(A3084-1,Days),"")</f>
        <v/>
      </c>
      <c r="E3084" s="16">
        <f>IF(B3084,StartDate+D3084,"")</f>
        <v/>
      </c>
      <c r="F3084">
        <f>IF(B3084,MAX(MOD(SIN(Seed*0.1373+C3084*12.9898+D3084*78.233)*43758.5453,1),1E-9),"")</f>
        <v/>
      </c>
      <c r="G3084">
        <f>IF(B3084,MOD(SIN(Seed*0.5917+C3084*39.3468+D3084*11.135)*24634.6345,1),"")</f>
        <v/>
      </c>
      <c r="H3084">
        <f>IF(B3084,SQRT(-2*LN(F3084))*COS(2*PI()*G3084),"")</f>
        <v/>
      </c>
      <c r="I3084">
        <f>IF(B3084,IF(D3084=0,H3084,Rho*I3083+SQRT(1-Rho^2)*H3084),"")</f>
        <v/>
      </c>
      <c r="J3084">
        <f>IF(B3084,IF(Dist="Normal",DistA+DistB*I3084,DistA+(DistB-DistA)*NORMSDIST(I3084)),"")</f>
        <v/>
      </c>
      <c r="K3084">
        <f>IF(B3084,INDEX(MineScale,C3084),"")</f>
        <v/>
      </c>
      <c r="L3084">
        <f>IF(B3084,INDEX(Dow,1,WEEKDAY(E3084,2)),"")</f>
        <v/>
      </c>
      <c r="M3084">
        <f>IF(B3084,(1+Trend)^D3084,"")</f>
        <v/>
      </c>
      <c r="N3084">
        <f>IF(B3084,EXP(SUMPRODUCT(LN(1+(EvEff-1)*INDEX(Affected,0,C3084)*EXP(-((E3084-EvCenter)^2)/(2*EvSigma^2))))),"")</f>
        <v/>
      </c>
      <c r="O3084">
        <f>IF(B3084,ROUND(MAX(0,J3084*K3084*L3084*M3084*N3084),2),"")</f>
        <v/>
      </c>
    </row>
    <row r="3085">
      <c r="A3085" t="n">
        <v>3084</v>
      </c>
      <c r="B3085">
        <f>A3085&lt;=MineCount*Days</f>
        <v/>
      </c>
      <c r="C3085">
        <f>IF(B3085,INT((A3085-1)/Days)+1,"")</f>
        <v/>
      </c>
      <c r="D3085">
        <f>IF(B3085,MOD(A3085-1,Days),"")</f>
        <v/>
      </c>
      <c r="E3085" s="16">
        <f>IF(B3085,StartDate+D3085,"")</f>
        <v/>
      </c>
      <c r="F3085">
        <f>IF(B3085,MAX(MOD(SIN(Seed*0.1373+C3085*12.9898+D3085*78.233)*43758.5453,1),1E-9),"")</f>
        <v/>
      </c>
      <c r="G3085">
        <f>IF(B3085,MOD(SIN(Seed*0.5917+C3085*39.3468+D3085*11.135)*24634.6345,1),"")</f>
        <v/>
      </c>
      <c r="H3085">
        <f>IF(B3085,SQRT(-2*LN(F3085))*COS(2*PI()*G3085),"")</f>
        <v/>
      </c>
      <c r="I3085">
        <f>IF(B3085,IF(D3085=0,H3085,Rho*I3084+SQRT(1-Rho^2)*H3085),"")</f>
        <v/>
      </c>
      <c r="J3085">
        <f>IF(B3085,IF(Dist="Normal",DistA+DistB*I3085,DistA+(DistB-DistA)*NORMSDIST(I3085)),"")</f>
        <v/>
      </c>
      <c r="K3085">
        <f>IF(B3085,INDEX(MineScale,C3085),"")</f>
        <v/>
      </c>
      <c r="L3085">
        <f>IF(B3085,INDEX(Dow,1,WEEKDAY(E3085,2)),"")</f>
        <v/>
      </c>
      <c r="M3085">
        <f>IF(B3085,(1+Trend)^D3085,"")</f>
        <v/>
      </c>
      <c r="N3085">
        <f>IF(B3085,EXP(SUMPRODUCT(LN(1+(EvEff-1)*INDEX(Affected,0,C3085)*EXP(-((E3085-EvCenter)^2)/(2*EvSigma^2))))),"")</f>
        <v/>
      </c>
      <c r="O3085">
        <f>IF(B3085,ROUND(MAX(0,J3085*K3085*L3085*M3085*N3085),2),"")</f>
        <v/>
      </c>
    </row>
    <row r="3086">
      <c r="A3086" t="n">
        <v>3085</v>
      </c>
      <c r="B3086">
        <f>A3086&lt;=MineCount*Days</f>
        <v/>
      </c>
      <c r="C3086">
        <f>IF(B3086,INT((A3086-1)/Days)+1,"")</f>
        <v/>
      </c>
      <c r="D3086">
        <f>IF(B3086,MOD(A3086-1,Days),"")</f>
        <v/>
      </c>
      <c r="E3086" s="16">
        <f>IF(B3086,StartDate+D3086,"")</f>
        <v/>
      </c>
      <c r="F3086">
        <f>IF(B3086,MAX(MOD(SIN(Seed*0.1373+C3086*12.9898+D3086*78.233)*43758.5453,1),1E-9),"")</f>
        <v/>
      </c>
      <c r="G3086">
        <f>IF(B3086,MOD(SIN(Seed*0.5917+C3086*39.3468+D3086*11.135)*24634.6345,1),"")</f>
        <v/>
      </c>
      <c r="H3086">
        <f>IF(B3086,SQRT(-2*LN(F3086))*COS(2*PI()*G3086),"")</f>
        <v/>
      </c>
      <c r="I3086">
        <f>IF(B3086,IF(D3086=0,H3086,Rho*I3085+SQRT(1-Rho^2)*H3086),"")</f>
        <v/>
      </c>
      <c r="J3086">
        <f>IF(B3086,IF(Dist="Normal",DistA+DistB*I3086,DistA+(DistB-DistA)*NORMSDIST(I3086)),"")</f>
        <v/>
      </c>
      <c r="K3086">
        <f>IF(B3086,INDEX(MineScale,C3086),"")</f>
        <v/>
      </c>
      <c r="L3086">
        <f>IF(B3086,INDEX(Dow,1,WEEKDAY(E3086,2)),"")</f>
        <v/>
      </c>
      <c r="M3086">
        <f>IF(B3086,(1+Trend)^D3086,"")</f>
        <v/>
      </c>
      <c r="N3086">
        <f>IF(B3086,EXP(SUMPRODUCT(LN(1+(EvEff-1)*INDEX(Affected,0,C3086)*EXP(-((E3086-EvCenter)^2)/(2*EvSigma^2))))),"")</f>
        <v/>
      </c>
      <c r="O3086">
        <f>IF(B3086,ROUND(MAX(0,J3086*K3086*L3086*M3086*N3086),2),"")</f>
        <v/>
      </c>
    </row>
    <row r="3087">
      <c r="A3087" t="n">
        <v>3086</v>
      </c>
      <c r="B3087">
        <f>A3087&lt;=MineCount*Days</f>
        <v/>
      </c>
      <c r="C3087">
        <f>IF(B3087,INT((A3087-1)/Days)+1,"")</f>
        <v/>
      </c>
      <c r="D3087">
        <f>IF(B3087,MOD(A3087-1,Days),"")</f>
        <v/>
      </c>
      <c r="E3087" s="16">
        <f>IF(B3087,StartDate+D3087,"")</f>
        <v/>
      </c>
      <c r="F3087">
        <f>IF(B3087,MAX(MOD(SIN(Seed*0.1373+C3087*12.9898+D3087*78.233)*43758.5453,1),1E-9),"")</f>
        <v/>
      </c>
      <c r="G3087">
        <f>IF(B3087,MOD(SIN(Seed*0.5917+C3087*39.3468+D3087*11.135)*24634.6345,1),"")</f>
        <v/>
      </c>
      <c r="H3087">
        <f>IF(B3087,SQRT(-2*LN(F3087))*COS(2*PI()*G3087),"")</f>
        <v/>
      </c>
      <c r="I3087">
        <f>IF(B3087,IF(D3087=0,H3087,Rho*I3086+SQRT(1-Rho^2)*H3087),"")</f>
        <v/>
      </c>
      <c r="J3087">
        <f>IF(B3087,IF(Dist="Normal",DistA+DistB*I3087,DistA+(DistB-DistA)*NORMSDIST(I3087)),"")</f>
        <v/>
      </c>
      <c r="K3087">
        <f>IF(B3087,INDEX(MineScale,C3087),"")</f>
        <v/>
      </c>
      <c r="L3087">
        <f>IF(B3087,INDEX(Dow,1,WEEKDAY(E3087,2)),"")</f>
        <v/>
      </c>
      <c r="M3087">
        <f>IF(B3087,(1+Trend)^D3087,"")</f>
        <v/>
      </c>
      <c r="N3087">
        <f>IF(B3087,EXP(SUMPRODUCT(LN(1+(EvEff-1)*INDEX(Affected,0,C3087)*EXP(-((E3087-EvCenter)^2)/(2*EvSigma^2))))),"")</f>
        <v/>
      </c>
      <c r="O3087">
        <f>IF(B3087,ROUND(MAX(0,J3087*K3087*L3087*M3087*N3087),2),"")</f>
        <v/>
      </c>
    </row>
    <row r="3088">
      <c r="A3088" t="n">
        <v>3087</v>
      </c>
      <c r="B3088">
        <f>A3088&lt;=MineCount*Days</f>
        <v/>
      </c>
      <c r="C3088">
        <f>IF(B3088,INT((A3088-1)/Days)+1,"")</f>
        <v/>
      </c>
      <c r="D3088">
        <f>IF(B3088,MOD(A3088-1,Days),"")</f>
        <v/>
      </c>
      <c r="E3088" s="16">
        <f>IF(B3088,StartDate+D3088,"")</f>
        <v/>
      </c>
      <c r="F3088">
        <f>IF(B3088,MAX(MOD(SIN(Seed*0.1373+C3088*12.9898+D3088*78.233)*43758.5453,1),1E-9),"")</f>
        <v/>
      </c>
      <c r="G3088">
        <f>IF(B3088,MOD(SIN(Seed*0.5917+C3088*39.3468+D3088*11.135)*24634.6345,1),"")</f>
        <v/>
      </c>
      <c r="H3088">
        <f>IF(B3088,SQRT(-2*LN(F3088))*COS(2*PI()*G3088),"")</f>
        <v/>
      </c>
      <c r="I3088">
        <f>IF(B3088,IF(D3088=0,H3088,Rho*I3087+SQRT(1-Rho^2)*H3088),"")</f>
        <v/>
      </c>
      <c r="J3088">
        <f>IF(B3088,IF(Dist="Normal",DistA+DistB*I3088,DistA+(DistB-DistA)*NORMSDIST(I3088)),"")</f>
        <v/>
      </c>
      <c r="K3088">
        <f>IF(B3088,INDEX(MineScale,C3088),"")</f>
        <v/>
      </c>
      <c r="L3088">
        <f>IF(B3088,INDEX(Dow,1,WEEKDAY(E3088,2)),"")</f>
        <v/>
      </c>
      <c r="M3088">
        <f>IF(B3088,(1+Trend)^D3088,"")</f>
        <v/>
      </c>
      <c r="N3088">
        <f>IF(B3088,EXP(SUMPRODUCT(LN(1+(EvEff-1)*INDEX(Affected,0,C3088)*EXP(-((E3088-EvCenter)^2)/(2*EvSigma^2))))),"")</f>
        <v/>
      </c>
      <c r="O3088">
        <f>IF(B3088,ROUND(MAX(0,J3088*K3088*L3088*M3088*N3088),2),"")</f>
        <v/>
      </c>
    </row>
    <row r="3089">
      <c r="A3089" t="n">
        <v>3088</v>
      </c>
      <c r="B3089">
        <f>A3089&lt;=MineCount*Days</f>
        <v/>
      </c>
      <c r="C3089">
        <f>IF(B3089,INT((A3089-1)/Days)+1,"")</f>
        <v/>
      </c>
      <c r="D3089">
        <f>IF(B3089,MOD(A3089-1,Days),"")</f>
        <v/>
      </c>
      <c r="E3089" s="16">
        <f>IF(B3089,StartDate+D3089,"")</f>
        <v/>
      </c>
      <c r="F3089">
        <f>IF(B3089,MAX(MOD(SIN(Seed*0.1373+C3089*12.9898+D3089*78.233)*43758.5453,1),1E-9),"")</f>
        <v/>
      </c>
      <c r="G3089">
        <f>IF(B3089,MOD(SIN(Seed*0.5917+C3089*39.3468+D3089*11.135)*24634.6345,1),"")</f>
        <v/>
      </c>
      <c r="H3089">
        <f>IF(B3089,SQRT(-2*LN(F3089))*COS(2*PI()*G3089),"")</f>
        <v/>
      </c>
      <c r="I3089">
        <f>IF(B3089,IF(D3089=0,H3089,Rho*I3088+SQRT(1-Rho^2)*H3089),"")</f>
        <v/>
      </c>
      <c r="J3089">
        <f>IF(B3089,IF(Dist="Normal",DistA+DistB*I3089,DistA+(DistB-DistA)*NORMSDIST(I3089)),"")</f>
        <v/>
      </c>
      <c r="K3089">
        <f>IF(B3089,INDEX(MineScale,C3089),"")</f>
        <v/>
      </c>
      <c r="L3089">
        <f>IF(B3089,INDEX(Dow,1,WEEKDAY(E3089,2)),"")</f>
        <v/>
      </c>
      <c r="M3089">
        <f>IF(B3089,(1+Trend)^D3089,"")</f>
        <v/>
      </c>
      <c r="N3089">
        <f>IF(B3089,EXP(SUMPRODUCT(LN(1+(EvEff-1)*INDEX(Affected,0,C3089)*EXP(-((E3089-EvCenter)^2)/(2*EvSigma^2))))),"")</f>
        <v/>
      </c>
      <c r="O3089">
        <f>IF(B3089,ROUND(MAX(0,J3089*K3089*L3089*M3089*N3089),2),"")</f>
        <v/>
      </c>
    </row>
    <row r="3090">
      <c r="A3090" t="n">
        <v>3089</v>
      </c>
      <c r="B3090">
        <f>A3090&lt;=MineCount*Days</f>
        <v/>
      </c>
      <c r="C3090">
        <f>IF(B3090,INT((A3090-1)/Days)+1,"")</f>
        <v/>
      </c>
      <c r="D3090">
        <f>IF(B3090,MOD(A3090-1,Days),"")</f>
        <v/>
      </c>
      <c r="E3090" s="16">
        <f>IF(B3090,StartDate+D3090,"")</f>
        <v/>
      </c>
      <c r="F3090">
        <f>IF(B3090,MAX(MOD(SIN(Seed*0.1373+C3090*12.9898+D3090*78.233)*43758.5453,1),1E-9),"")</f>
        <v/>
      </c>
      <c r="G3090">
        <f>IF(B3090,MOD(SIN(Seed*0.5917+C3090*39.3468+D3090*11.135)*24634.6345,1),"")</f>
        <v/>
      </c>
      <c r="H3090">
        <f>IF(B3090,SQRT(-2*LN(F3090))*COS(2*PI()*G3090),"")</f>
        <v/>
      </c>
      <c r="I3090">
        <f>IF(B3090,IF(D3090=0,H3090,Rho*I3089+SQRT(1-Rho^2)*H3090),"")</f>
        <v/>
      </c>
      <c r="J3090">
        <f>IF(B3090,IF(Dist="Normal",DistA+DistB*I3090,DistA+(DistB-DistA)*NORMSDIST(I3090)),"")</f>
        <v/>
      </c>
      <c r="K3090">
        <f>IF(B3090,INDEX(MineScale,C3090),"")</f>
        <v/>
      </c>
      <c r="L3090">
        <f>IF(B3090,INDEX(Dow,1,WEEKDAY(E3090,2)),"")</f>
        <v/>
      </c>
      <c r="M3090">
        <f>IF(B3090,(1+Trend)^D3090,"")</f>
        <v/>
      </c>
      <c r="N3090">
        <f>IF(B3090,EXP(SUMPRODUCT(LN(1+(EvEff-1)*INDEX(Affected,0,C3090)*EXP(-((E3090-EvCenter)^2)/(2*EvSigma^2))))),"")</f>
        <v/>
      </c>
      <c r="O3090">
        <f>IF(B3090,ROUND(MAX(0,J3090*K3090*L3090*M3090*N3090),2),"")</f>
        <v/>
      </c>
    </row>
    <row r="3091">
      <c r="A3091" t="n">
        <v>3090</v>
      </c>
      <c r="B3091">
        <f>A3091&lt;=MineCount*Days</f>
        <v/>
      </c>
      <c r="C3091">
        <f>IF(B3091,INT((A3091-1)/Days)+1,"")</f>
        <v/>
      </c>
      <c r="D3091">
        <f>IF(B3091,MOD(A3091-1,Days),"")</f>
        <v/>
      </c>
      <c r="E3091" s="16">
        <f>IF(B3091,StartDate+D3091,"")</f>
        <v/>
      </c>
      <c r="F3091">
        <f>IF(B3091,MAX(MOD(SIN(Seed*0.1373+C3091*12.9898+D3091*78.233)*43758.5453,1),1E-9),"")</f>
        <v/>
      </c>
      <c r="G3091">
        <f>IF(B3091,MOD(SIN(Seed*0.5917+C3091*39.3468+D3091*11.135)*24634.6345,1),"")</f>
        <v/>
      </c>
      <c r="H3091">
        <f>IF(B3091,SQRT(-2*LN(F3091))*COS(2*PI()*G3091),"")</f>
        <v/>
      </c>
      <c r="I3091">
        <f>IF(B3091,IF(D3091=0,H3091,Rho*I3090+SQRT(1-Rho^2)*H3091),"")</f>
        <v/>
      </c>
      <c r="J3091">
        <f>IF(B3091,IF(Dist="Normal",DistA+DistB*I3091,DistA+(DistB-DistA)*NORMSDIST(I3091)),"")</f>
        <v/>
      </c>
      <c r="K3091">
        <f>IF(B3091,INDEX(MineScale,C3091),"")</f>
        <v/>
      </c>
      <c r="L3091">
        <f>IF(B3091,INDEX(Dow,1,WEEKDAY(E3091,2)),"")</f>
        <v/>
      </c>
      <c r="M3091">
        <f>IF(B3091,(1+Trend)^D3091,"")</f>
        <v/>
      </c>
      <c r="N3091">
        <f>IF(B3091,EXP(SUMPRODUCT(LN(1+(EvEff-1)*INDEX(Affected,0,C3091)*EXP(-((E3091-EvCenter)^2)/(2*EvSigma^2))))),"")</f>
        <v/>
      </c>
      <c r="O3091">
        <f>IF(B3091,ROUND(MAX(0,J3091*K3091*L3091*M3091*N3091),2),"")</f>
        <v/>
      </c>
    </row>
    <row r="3092">
      <c r="A3092" t="n">
        <v>3091</v>
      </c>
      <c r="B3092">
        <f>A3092&lt;=MineCount*Days</f>
        <v/>
      </c>
      <c r="C3092">
        <f>IF(B3092,INT((A3092-1)/Days)+1,"")</f>
        <v/>
      </c>
      <c r="D3092">
        <f>IF(B3092,MOD(A3092-1,Days),"")</f>
        <v/>
      </c>
      <c r="E3092" s="16">
        <f>IF(B3092,StartDate+D3092,"")</f>
        <v/>
      </c>
      <c r="F3092">
        <f>IF(B3092,MAX(MOD(SIN(Seed*0.1373+C3092*12.9898+D3092*78.233)*43758.5453,1),1E-9),"")</f>
        <v/>
      </c>
      <c r="G3092">
        <f>IF(B3092,MOD(SIN(Seed*0.5917+C3092*39.3468+D3092*11.135)*24634.6345,1),"")</f>
        <v/>
      </c>
      <c r="H3092">
        <f>IF(B3092,SQRT(-2*LN(F3092))*COS(2*PI()*G3092),"")</f>
        <v/>
      </c>
      <c r="I3092">
        <f>IF(B3092,IF(D3092=0,H3092,Rho*I3091+SQRT(1-Rho^2)*H3092),"")</f>
        <v/>
      </c>
      <c r="J3092">
        <f>IF(B3092,IF(Dist="Normal",DistA+DistB*I3092,DistA+(DistB-DistA)*NORMSDIST(I3092)),"")</f>
        <v/>
      </c>
      <c r="K3092">
        <f>IF(B3092,INDEX(MineScale,C3092),"")</f>
        <v/>
      </c>
      <c r="L3092">
        <f>IF(B3092,INDEX(Dow,1,WEEKDAY(E3092,2)),"")</f>
        <v/>
      </c>
      <c r="M3092">
        <f>IF(B3092,(1+Trend)^D3092,"")</f>
        <v/>
      </c>
      <c r="N3092">
        <f>IF(B3092,EXP(SUMPRODUCT(LN(1+(EvEff-1)*INDEX(Affected,0,C3092)*EXP(-((E3092-EvCenter)^2)/(2*EvSigma^2))))),"")</f>
        <v/>
      </c>
      <c r="O3092">
        <f>IF(B3092,ROUND(MAX(0,J3092*K3092*L3092*M3092*N3092),2),"")</f>
        <v/>
      </c>
    </row>
    <row r="3093">
      <c r="A3093" t="n">
        <v>3092</v>
      </c>
      <c r="B3093">
        <f>A3093&lt;=MineCount*Days</f>
        <v/>
      </c>
      <c r="C3093">
        <f>IF(B3093,INT((A3093-1)/Days)+1,"")</f>
        <v/>
      </c>
      <c r="D3093">
        <f>IF(B3093,MOD(A3093-1,Days),"")</f>
        <v/>
      </c>
      <c r="E3093" s="16">
        <f>IF(B3093,StartDate+D3093,"")</f>
        <v/>
      </c>
      <c r="F3093">
        <f>IF(B3093,MAX(MOD(SIN(Seed*0.1373+C3093*12.9898+D3093*78.233)*43758.5453,1),1E-9),"")</f>
        <v/>
      </c>
      <c r="G3093">
        <f>IF(B3093,MOD(SIN(Seed*0.5917+C3093*39.3468+D3093*11.135)*24634.6345,1),"")</f>
        <v/>
      </c>
      <c r="H3093">
        <f>IF(B3093,SQRT(-2*LN(F3093))*COS(2*PI()*G3093),"")</f>
        <v/>
      </c>
      <c r="I3093">
        <f>IF(B3093,IF(D3093=0,H3093,Rho*I3092+SQRT(1-Rho^2)*H3093),"")</f>
        <v/>
      </c>
      <c r="J3093">
        <f>IF(B3093,IF(Dist="Normal",DistA+DistB*I3093,DistA+(DistB-DistA)*NORMSDIST(I3093)),"")</f>
        <v/>
      </c>
      <c r="K3093">
        <f>IF(B3093,INDEX(MineScale,C3093),"")</f>
        <v/>
      </c>
      <c r="L3093">
        <f>IF(B3093,INDEX(Dow,1,WEEKDAY(E3093,2)),"")</f>
        <v/>
      </c>
      <c r="M3093">
        <f>IF(B3093,(1+Trend)^D3093,"")</f>
        <v/>
      </c>
      <c r="N3093">
        <f>IF(B3093,EXP(SUMPRODUCT(LN(1+(EvEff-1)*INDEX(Affected,0,C3093)*EXP(-((E3093-EvCenter)^2)/(2*EvSigma^2))))),"")</f>
        <v/>
      </c>
      <c r="O3093">
        <f>IF(B3093,ROUND(MAX(0,J3093*K3093*L3093*M3093*N3093),2),"")</f>
        <v/>
      </c>
    </row>
    <row r="3094">
      <c r="A3094" t="n">
        <v>3093</v>
      </c>
      <c r="B3094">
        <f>A3094&lt;=MineCount*Days</f>
        <v/>
      </c>
      <c r="C3094">
        <f>IF(B3094,INT((A3094-1)/Days)+1,"")</f>
        <v/>
      </c>
      <c r="D3094">
        <f>IF(B3094,MOD(A3094-1,Days),"")</f>
        <v/>
      </c>
      <c r="E3094" s="16">
        <f>IF(B3094,StartDate+D3094,"")</f>
        <v/>
      </c>
      <c r="F3094">
        <f>IF(B3094,MAX(MOD(SIN(Seed*0.1373+C3094*12.9898+D3094*78.233)*43758.5453,1),1E-9),"")</f>
        <v/>
      </c>
      <c r="G3094">
        <f>IF(B3094,MOD(SIN(Seed*0.5917+C3094*39.3468+D3094*11.135)*24634.6345,1),"")</f>
        <v/>
      </c>
      <c r="H3094">
        <f>IF(B3094,SQRT(-2*LN(F3094))*COS(2*PI()*G3094),"")</f>
        <v/>
      </c>
      <c r="I3094">
        <f>IF(B3094,IF(D3094=0,H3094,Rho*I3093+SQRT(1-Rho^2)*H3094),"")</f>
        <v/>
      </c>
      <c r="J3094">
        <f>IF(B3094,IF(Dist="Normal",DistA+DistB*I3094,DistA+(DistB-DistA)*NORMSDIST(I3094)),"")</f>
        <v/>
      </c>
      <c r="K3094">
        <f>IF(B3094,INDEX(MineScale,C3094),"")</f>
        <v/>
      </c>
      <c r="L3094">
        <f>IF(B3094,INDEX(Dow,1,WEEKDAY(E3094,2)),"")</f>
        <v/>
      </c>
      <c r="M3094">
        <f>IF(B3094,(1+Trend)^D3094,"")</f>
        <v/>
      </c>
      <c r="N3094">
        <f>IF(B3094,EXP(SUMPRODUCT(LN(1+(EvEff-1)*INDEX(Affected,0,C3094)*EXP(-((E3094-EvCenter)^2)/(2*EvSigma^2))))),"")</f>
        <v/>
      </c>
      <c r="O3094">
        <f>IF(B3094,ROUND(MAX(0,J3094*K3094*L3094*M3094*N3094),2),"")</f>
        <v/>
      </c>
    </row>
    <row r="3095">
      <c r="A3095" t="n">
        <v>3094</v>
      </c>
      <c r="B3095">
        <f>A3095&lt;=MineCount*Days</f>
        <v/>
      </c>
      <c r="C3095">
        <f>IF(B3095,INT((A3095-1)/Days)+1,"")</f>
        <v/>
      </c>
      <c r="D3095">
        <f>IF(B3095,MOD(A3095-1,Days),"")</f>
        <v/>
      </c>
      <c r="E3095" s="16">
        <f>IF(B3095,StartDate+D3095,"")</f>
        <v/>
      </c>
      <c r="F3095">
        <f>IF(B3095,MAX(MOD(SIN(Seed*0.1373+C3095*12.9898+D3095*78.233)*43758.5453,1),1E-9),"")</f>
        <v/>
      </c>
      <c r="G3095">
        <f>IF(B3095,MOD(SIN(Seed*0.5917+C3095*39.3468+D3095*11.135)*24634.6345,1),"")</f>
        <v/>
      </c>
      <c r="H3095">
        <f>IF(B3095,SQRT(-2*LN(F3095))*COS(2*PI()*G3095),"")</f>
        <v/>
      </c>
      <c r="I3095">
        <f>IF(B3095,IF(D3095=0,H3095,Rho*I3094+SQRT(1-Rho^2)*H3095),"")</f>
        <v/>
      </c>
      <c r="J3095">
        <f>IF(B3095,IF(Dist="Normal",DistA+DistB*I3095,DistA+(DistB-DistA)*NORMSDIST(I3095)),"")</f>
        <v/>
      </c>
      <c r="K3095">
        <f>IF(B3095,INDEX(MineScale,C3095),"")</f>
        <v/>
      </c>
      <c r="L3095">
        <f>IF(B3095,INDEX(Dow,1,WEEKDAY(E3095,2)),"")</f>
        <v/>
      </c>
      <c r="M3095">
        <f>IF(B3095,(1+Trend)^D3095,"")</f>
        <v/>
      </c>
      <c r="N3095">
        <f>IF(B3095,EXP(SUMPRODUCT(LN(1+(EvEff-1)*INDEX(Affected,0,C3095)*EXP(-((E3095-EvCenter)^2)/(2*EvSigma^2))))),"")</f>
        <v/>
      </c>
      <c r="O3095">
        <f>IF(B3095,ROUND(MAX(0,J3095*K3095*L3095*M3095*N3095),2),"")</f>
        <v/>
      </c>
    </row>
    <row r="3096">
      <c r="A3096" t="n">
        <v>3095</v>
      </c>
      <c r="B3096">
        <f>A3096&lt;=MineCount*Days</f>
        <v/>
      </c>
      <c r="C3096">
        <f>IF(B3096,INT((A3096-1)/Days)+1,"")</f>
        <v/>
      </c>
      <c r="D3096">
        <f>IF(B3096,MOD(A3096-1,Days),"")</f>
        <v/>
      </c>
      <c r="E3096" s="16">
        <f>IF(B3096,StartDate+D3096,"")</f>
        <v/>
      </c>
      <c r="F3096">
        <f>IF(B3096,MAX(MOD(SIN(Seed*0.1373+C3096*12.9898+D3096*78.233)*43758.5453,1),1E-9),"")</f>
        <v/>
      </c>
      <c r="G3096">
        <f>IF(B3096,MOD(SIN(Seed*0.5917+C3096*39.3468+D3096*11.135)*24634.6345,1),"")</f>
        <v/>
      </c>
      <c r="H3096">
        <f>IF(B3096,SQRT(-2*LN(F3096))*COS(2*PI()*G3096),"")</f>
        <v/>
      </c>
      <c r="I3096">
        <f>IF(B3096,IF(D3096=0,H3096,Rho*I3095+SQRT(1-Rho^2)*H3096),"")</f>
        <v/>
      </c>
      <c r="J3096">
        <f>IF(B3096,IF(Dist="Normal",DistA+DistB*I3096,DistA+(DistB-DistA)*NORMSDIST(I3096)),"")</f>
        <v/>
      </c>
      <c r="K3096">
        <f>IF(B3096,INDEX(MineScale,C3096),"")</f>
        <v/>
      </c>
      <c r="L3096">
        <f>IF(B3096,INDEX(Dow,1,WEEKDAY(E3096,2)),"")</f>
        <v/>
      </c>
      <c r="M3096">
        <f>IF(B3096,(1+Trend)^D3096,"")</f>
        <v/>
      </c>
      <c r="N3096">
        <f>IF(B3096,EXP(SUMPRODUCT(LN(1+(EvEff-1)*INDEX(Affected,0,C3096)*EXP(-((E3096-EvCenter)^2)/(2*EvSigma^2))))),"")</f>
        <v/>
      </c>
      <c r="O3096">
        <f>IF(B3096,ROUND(MAX(0,J3096*K3096*L3096*M3096*N3096),2),"")</f>
        <v/>
      </c>
    </row>
    <row r="3097">
      <c r="A3097" t="n">
        <v>3096</v>
      </c>
      <c r="B3097">
        <f>A3097&lt;=MineCount*Days</f>
        <v/>
      </c>
      <c r="C3097">
        <f>IF(B3097,INT((A3097-1)/Days)+1,"")</f>
        <v/>
      </c>
      <c r="D3097">
        <f>IF(B3097,MOD(A3097-1,Days),"")</f>
        <v/>
      </c>
      <c r="E3097" s="16">
        <f>IF(B3097,StartDate+D3097,"")</f>
        <v/>
      </c>
      <c r="F3097">
        <f>IF(B3097,MAX(MOD(SIN(Seed*0.1373+C3097*12.9898+D3097*78.233)*43758.5453,1),1E-9),"")</f>
        <v/>
      </c>
      <c r="G3097">
        <f>IF(B3097,MOD(SIN(Seed*0.5917+C3097*39.3468+D3097*11.135)*24634.6345,1),"")</f>
        <v/>
      </c>
      <c r="H3097">
        <f>IF(B3097,SQRT(-2*LN(F3097))*COS(2*PI()*G3097),"")</f>
        <v/>
      </c>
      <c r="I3097">
        <f>IF(B3097,IF(D3097=0,H3097,Rho*I3096+SQRT(1-Rho^2)*H3097),"")</f>
        <v/>
      </c>
      <c r="J3097">
        <f>IF(B3097,IF(Dist="Normal",DistA+DistB*I3097,DistA+(DistB-DistA)*NORMSDIST(I3097)),"")</f>
        <v/>
      </c>
      <c r="K3097">
        <f>IF(B3097,INDEX(MineScale,C3097),"")</f>
        <v/>
      </c>
      <c r="L3097">
        <f>IF(B3097,INDEX(Dow,1,WEEKDAY(E3097,2)),"")</f>
        <v/>
      </c>
      <c r="M3097">
        <f>IF(B3097,(1+Trend)^D3097,"")</f>
        <v/>
      </c>
      <c r="N3097">
        <f>IF(B3097,EXP(SUMPRODUCT(LN(1+(EvEff-1)*INDEX(Affected,0,C3097)*EXP(-((E3097-EvCenter)^2)/(2*EvSigma^2))))),"")</f>
        <v/>
      </c>
      <c r="O3097">
        <f>IF(B3097,ROUND(MAX(0,J3097*K3097*L3097*M3097*N3097),2),"")</f>
        <v/>
      </c>
    </row>
    <row r="3098">
      <c r="A3098" t="n">
        <v>3097</v>
      </c>
      <c r="B3098">
        <f>A3098&lt;=MineCount*Days</f>
        <v/>
      </c>
      <c r="C3098">
        <f>IF(B3098,INT((A3098-1)/Days)+1,"")</f>
        <v/>
      </c>
      <c r="D3098">
        <f>IF(B3098,MOD(A3098-1,Days),"")</f>
        <v/>
      </c>
      <c r="E3098" s="16">
        <f>IF(B3098,StartDate+D3098,"")</f>
        <v/>
      </c>
      <c r="F3098">
        <f>IF(B3098,MAX(MOD(SIN(Seed*0.1373+C3098*12.9898+D3098*78.233)*43758.5453,1),1E-9),"")</f>
        <v/>
      </c>
      <c r="G3098">
        <f>IF(B3098,MOD(SIN(Seed*0.5917+C3098*39.3468+D3098*11.135)*24634.6345,1),"")</f>
        <v/>
      </c>
      <c r="H3098">
        <f>IF(B3098,SQRT(-2*LN(F3098))*COS(2*PI()*G3098),"")</f>
        <v/>
      </c>
      <c r="I3098">
        <f>IF(B3098,IF(D3098=0,H3098,Rho*I3097+SQRT(1-Rho^2)*H3098),"")</f>
        <v/>
      </c>
      <c r="J3098">
        <f>IF(B3098,IF(Dist="Normal",DistA+DistB*I3098,DistA+(DistB-DistA)*NORMSDIST(I3098)),"")</f>
        <v/>
      </c>
      <c r="K3098">
        <f>IF(B3098,INDEX(MineScale,C3098),"")</f>
        <v/>
      </c>
      <c r="L3098">
        <f>IF(B3098,INDEX(Dow,1,WEEKDAY(E3098,2)),"")</f>
        <v/>
      </c>
      <c r="M3098">
        <f>IF(B3098,(1+Trend)^D3098,"")</f>
        <v/>
      </c>
      <c r="N3098">
        <f>IF(B3098,EXP(SUMPRODUCT(LN(1+(EvEff-1)*INDEX(Affected,0,C3098)*EXP(-((E3098-EvCenter)^2)/(2*EvSigma^2))))),"")</f>
        <v/>
      </c>
      <c r="O3098">
        <f>IF(B3098,ROUND(MAX(0,J3098*K3098*L3098*M3098*N3098),2),"")</f>
        <v/>
      </c>
    </row>
    <row r="3099">
      <c r="A3099" t="n">
        <v>3098</v>
      </c>
      <c r="B3099">
        <f>A3099&lt;=MineCount*Days</f>
        <v/>
      </c>
      <c r="C3099">
        <f>IF(B3099,INT((A3099-1)/Days)+1,"")</f>
        <v/>
      </c>
      <c r="D3099">
        <f>IF(B3099,MOD(A3099-1,Days),"")</f>
        <v/>
      </c>
      <c r="E3099" s="16">
        <f>IF(B3099,StartDate+D3099,"")</f>
        <v/>
      </c>
      <c r="F3099">
        <f>IF(B3099,MAX(MOD(SIN(Seed*0.1373+C3099*12.9898+D3099*78.233)*43758.5453,1),1E-9),"")</f>
        <v/>
      </c>
      <c r="G3099">
        <f>IF(B3099,MOD(SIN(Seed*0.5917+C3099*39.3468+D3099*11.135)*24634.6345,1),"")</f>
        <v/>
      </c>
      <c r="H3099">
        <f>IF(B3099,SQRT(-2*LN(F3099))*COS(2*PI()*G3099),"")</f>
        <v/>
      </c>
      <c r="I3099">
        <f>IF(B3099,IF(D3099=0,H3099,Rho*I3098+SQRT(1-Rho^2)*H3099),"")</f>
        <v/>
      </c>
      <c r="J3099">
        <f>IF(B3099,IF(Dist="Normal",DistA+DistB*I3099,DistA+(DistB-DistA)*NORMSDIST(I3099)),"")</f>
        <v/>
      </c>
      <c r="K3099">
        <f>IF(B3099,INDEX(MineScale,C3099),"")</f>
        <v/>
      </c>
      <c r="L3099">
        <f>IF(B3099,INDEX(Dow,1,WEEKDAY(E3099,2)),"")</f>
        <v/>
      </c>
      <c r="M3099">
        <f>IF(B3099,(1+Trend)^D3099,"")</f>
        <v/>
      </c>
      <c r="N3099">
        <f>IF(B3099,EXP(SUMPRODUCT(LN(1+(EvEff-1)*INDEX(Affected,0,C3099)*EXP(-((E3099-EvCenter)^2)/(2*EvSigma^2))))),"")</f>
        <v/>
      </c>
      <c r="O3099">
        <f>IF(B3099,ROUND(MAX(0,J3099*K3099*L3099*M3099*N3099),2),"")</f>
        <v/>
      </c>
    </row>
    <row r="3100">
      <c r="A3100" t="n">
        <v>3099</v>
      </c>
      <c r="B3100">
        <f>A3100&lt;=MineCount*Days</f>
        <v/>
      </c>
      <c r="C3100">
        <f>IF(B3100,INT((A3100-1)/Days)+1,"")</f>
        <v/>
      </c>
      <c r="D3100">
        <f>IF(B3100,MOD(A3100-1,Days),"")</f>
        <v/>
      </c>
      <c r="E3100" s="16">
        <f>IF(B3100,StartDate+D3100,"")</f>
        <v/>
      </c>
      <c r="F3100">
        <f>IF(B3100,MAX(MOD(SIN(Seed*0.1373+C3100*12.9898+D3100*78.233)*43758.5453,1),1E-9),"")</f>
        <v/>
      </c>
      <c r="G3100">
        <f>IF(B3100,MOD(SIN(Seed*0.5917+C3100*39.3468+D3100*11.135)*24634.6345,1),"")</f>
        <v/>
      </c>
      <c r="H3100">
        <f>IF(B3100,SQRT(-2*LN(F3100))*COS(2*PI()*G3100),"")</f>
        <v/>
      </c>
      <c r="I3100">
        <f>IF(B3100,IF(D3100=0,H3100,Rho*I3099+SQRT(1-Rho^2)*H3100),"")</f>
        <v/>
      </c>
      <c r="J3100">
        <f>IF(B3100,IF(Dist="Normal",DistA+DistB*I3100,DistA+(DistB-DistA)*NORMSDIST(I3100)),"")</f>
        <v/>
      </c>
      <c r="K3100">
        <f>IF(B3100,INDEX(MineScale,C3100),"")</f>
        <v/>
      </c>
      <c r="L3100">
        <f>IF(B3100,INDEX(Dow,1,WEEKDAY(E3100,2)),"")</f>
        <v/>
      </c>
      <c r="M3100">
        <f>IF(B3100,(1+Trend)^D3100,"")</f>
        <v/>
      </c>
      <c r="N3100">
        <f>IF(B3100,EXP(SUMPRODUCT(LN(1+(EvEff-1)*INDEX(Affected,0,C3100)*EXP(-((E3100-EvCenter)^2)/(2*EvSigma^2))))),"")</f>
        <v/>
      </c>
      <c r="O3100">
        <f>IF(B3100,ROUND(MAX(0,J3100*K3100*L3100*M3100*N3100),2),"")</f>
        <v/>
      </c>
    </row>
    <row r="3101">
      <c r="A3101" t="n">
        <v>3100</v>
      </c>
      <c r="B3101">
        <f>A3101&lt;=MineCount*Days</f>
        <v/>
      </c>
      <c r="C3101">
        <f>IF(B3101,INT((A3101-1)/Days)+1,"")</f>
        <v/>
      </c>
      <c r="D3101">
        <f>IF(B3101,MOD(A3101-1,Days),"")</f>
        <v/>
      </c>
      <c r="E3101" s="16">
        <f>IF(B3101,StartDate+D3101,"")</f>
        <v/>
      </c>
      <c r="F3101">
        <f>IF(B3101,MAX(MOD(SIN(Seed*0.1373+C3101*12.9898+D3101*78.233)*43758.5453,1),1E-9),"")</f>
        <v/>
      </c>
      <c r="G3101">
        <f>IF(B3101,MOD(SIN(Seed*0.5917+C3101*39.3468+D3101*11.135)*24634.6345,1),"")</f>
        <v/>
      </c>
      <c r="H3101">
        <f>IF(B3101,SQRT(-2*LN(F3101))*COS(2*PI()*G3101),"")</f>
        <v/>
      </c>
      <c r="I3101">
        <f>IF(B3101,IF(D3101=0,H3101,Rho*I3100+SQRT(1-Rho^2)*H3101),"")</f>
        <v/>
      </c>
      <c r="J3101">
        <f>IF(B3101,IF(Dist="Normal",DistA+DistB*I3101,DistA+(DistB-DistA)*NORMSDIST(I3101)),"")</f>
        <v/>
      </c>
      <c r="K3101">
        <f>IF(B3101,INDEX(MineScale,C3101),"")</f>
        <v/>
      </c>
      <c r="L3101">
        <f>IF(B3101,INDEX(Dow,1,WEEKDAY(E3101,2)),"")</f>
        <v/>
      </c>
      <c r="M3101">
        <f>IF(B3101,(1+Trend)^D3101,"")</f>
        <v/>
      </c>
      <c r="N3101">
        <f>IF(B3101,EXP(SUMPRODUCT(LN(1+(EvEff-1)*INDEX(Affected,0,C3101)*EXP(-((E3101-EvCenter)^2)/(2*EvSigma^2))))),"")</f>
        <v/>
      </c>
      <c r="O3101">
        <f>IF(B3101,ROUND(MAX(0,J3101*K3101*L3101*M3101*N3101),2),"")</f>
        <v/>
      </c>
    </row>
    <row r="3102">
      <c r="A3102" t="n">
        <v>3101</v>
      </c>
      <c r="B3102">
        <f>A3102&lt;=MineCount*Days</f>
        <v/>
      </c>
      <c r="C3102">
        <f>IF(B3102,INT((A3102-1)/Days)+1,"")</f>
        <v/>
      </c>
      <c r="D3102">
        <f>IF(B3102,MOD(A3102-1,Days),"")</f>
        <v/>
      </c>
      <c r="E3102" s="16">
        <f>IF(B3102,StartDate+D3102,"")</f>
        <v/>
      </c>
      <c r="F3102">
        <f>IF(B3102,MAX(MOD(SIN(Seed*0.1373+C3102*12.9898+D3102*78.233)*43758.5453,1),1E-9),"")</f>
        <v/>
      </c>
      <c r="G3102">
        <f>IF(B3102,MOD(SIN(Seed*0.5917+C3102*39.3468+D3102*11.135)*24634.6345,1),"")</f>
        <v/>
      </c>
      <c r="H3102">
        <f>IF(B3102,SQRT(-2*LN(F3102))*COS(2*PI()*G3102),"")</f>
        <v/>
      </c>
      <c r="I3102">
        <f>IF(B3102,IF(D3102=0,H3102,Rho*I3101+SQRT(1-Rho^2)*H3102),"")</f>
        <v/>
      </c>
      <c r="J3102">
        <f>IF(B3102,IF(Dist="Normal",DistA+DistB*I3102,DistA+(DistB-DistA)*NORMSDIST(I3102)),"")</f>
        <v/>
      </c>
      <c r="K3102">
        <f>IF(B3102,INDEX(MineScale,C3102),"")</f>
        <v/>
      </c>
      <c r="L3102">
        <f>IF(B3102,INDEX(Dow,1,WEEKDAY(E3102,2)),"")</f>
        <v/>
      </c>
      <c r="M3102">
        <f>IF(B3102,(1+Trend)^D3102,"")</f>
        <v/>
      </c>
      <c r="N3102">
        <f>IF(B3102,EXP(SUMPRODUCT(LN(1+(EvEff-1)*INDEX(Affected,0,C3102)*EXP(-((E3102-EvCenter)^2)/(2*EvSigma^2))))),"")</f>
        <v/>
      </c>
      <c r="O3102">
        <f>IF(B3102,ROUND(MAX(0,J3102*K3102*L3102*M3102*N3102),2),"")</f>
        <v/>
      </c>
    </row>
    <row r="3103">
      <c r="A3103" t="n">
        <v>3102</v>
      </c>
      <c r="B3103">
        <f>A3103&lt;=MineCount*Days</f>
        <v/>
      </c>
      <c r="C3103">
        <f>IF(B3103,INT((A3103-1)/Days)+1,"")</f>
        <v/>
      </c>
      <c r="D3103">
        <f>IF(B3103,MOD(A3103-1,Days),"")</f>
        <v/>
      </c>
      <c r="E3103" s="16">
        <f>IF(B3103,StartDate+D3103,"")</f>
        <v/>
      </c>
      <c r="F3103">
        <f>IF(B3103,MAX(MOD(SIN(Seed*0.1373+C3103*12.9898+D3103*78.233)*43758.5453,1),1E-9),"")</f>
        <v/>
      </c>
      <c r="G3103">
        <f>IF(B3103,MOD(SIN(Seed*0.5917+C3103*39.3468+D3103*11.135)*24634.6345,1),"")</f>
        <v/>
      </c>
      <c r="H3103">
        <f>IF(B3103,SQRT(-2*LN(F3103))*COS(2*PI()*G3103),"")</f>
        <v/>
      </c>
      <c r="I3103">
        <f>IF(B3103,IF(D3103=0,H3103,Rho*I3102+SQRT(1-Rho^2)*H3103),"")</f>
        <v/>
      </c>
      <c r="J3103">
        <f>IF(B3103,IF(Dist="Normal",DistA+DistB*I3103,DistA+(DistB-DistA)*NORMSDIST(I3103)),"")</f>
        <v/>
      </c>
      <c r="K3103">
        <f>IF(B3103,INDEX(MineScale,C3103),"")</f>
        <v/>
      </c>
      <c r="L3103">
        <f>IF(B3103,INDEX(Dow,1,WEEKDAY(E3103,2)),"")</f>
        <v/>
      </c>
      <c r="M3103">
        <f>IF(B3103,(1+Trend)^D3103,"")</f>
        <v/>
      </c>
      <c r="N3103">
        <f>IF(B3103,EXP(SUMPRODUCT(LN(1+(EvEff-1)*INDEX(Affected,0,C3103)*EXP(-((E3103-EvCenter)^2)/(2*EvSigma^2))))),"")</f>
        <v/>
      </c>
      <c r="O3103">
        <f>IF(B3103,ROUND(MAX(0,J3103*K3103*L3103*M3103*N3103),2),"")</f>
        <v/>
      </c>
    </row>
    <row r="3104">
      <c r="A3104" t="n">
        <v>3103</v>
      </c>
      <c r="B3104">
        <f>A3104&lt;=MineCount*Days</f>
        <v/>
      </c>
      <c r="C3104">
        <f>IF(B3104,INT((A3104-1)/Days)+1,"")</f>
        <v/>
      </c>
      <c r="D3104">
        <f>IF(B3104,MOD(A3104-1,Days),"")</f>
        <v/>
      </c>
      <c r="E3104" s="16">
        <f>IF(B3104,StartDate+D3104,"")</f>
        <v/>
      </c>
      <c r="F3104">
        <f>IF(B3104,MAX(MOD(SIN(Seed*0.1373+C3104*12.9898+D3104*78.233)*43758.5453,1),1E-9),"")</f>
        <v/>
      </c>
      <c r="G3104">
        <f>IF(B3104,MOD(SIN(Seed*0.5917+C3104*39.3468+D3104*11.135)*24634.6345,1),"")</f>
        <v/>
      </c>
      <c r="H3104">
        <f>IF(B3104,SQRT(-2*LN(F3104))*COS(2*PI()*G3104),"")</f>
        <v/>
      </c>
      <c r="I3104">
        <f>IF(B3104,IF(D3104=0,H3104,Rho*I3103+SQRT(1-Rho^2)*H3104),"")</f>
        <v/>
      </c>
      <c r="J3104">
        <f>IF(B3104,IF(Dist="Normal",DistA+DistB*I3104,DistA+(DistB-DistA)*NORMSDIST(I3104)),"")</f>
        <v/>
      </c>
      <c r="K3104">
        <f>IF(B3104,INDEX(MineScale,C3104),"")</f>
        <v/>
      </c>
      <c r="L3104">
        <f>IF(B3104,INDEX(Dow,1,WEEKDAY(E3104,2)),"")</f>
        <v/>
      </c>
      <c r="M3104">
        <f>IF(B3104,(1+Trend)^D3104,"")</f>
        <v/>
      </c>
      <c r="N3104">
        <f>IF(B3104,EXP(SUMPRODUCT(LN(1+(EvEff-1)*INDEX(Affected,0,C3104)*EXP(-((E3104-EvCenter)^2)/(2*EvSigma^2))))),"")</f>
        <v/>
      </c>
      <c r="O3104">
        <f>IF(B3104,ROUND(MAX(0,J3104*K3104*L3104*M3104*N3104),2),"")</f>
        <v/>
      </c>
    </row>
    <row r="3105">
      <c r="A3105" t="n">
        <v>3104</v>
      </c>
      <c r="B3105">
        <f>A3105&lt;=MineCount*Days</f>
        <v/>
      </c>
      <c r="C3105">
        <f>IF(B3105,INT((A3105-1)/Days)+1,"")</f>
        <v/>
      </c>
      <c r="D3105">
        <f>IF(B3105,MOD(A3105-1,Days),"")</f>
        <v/>
      </c>
      <c r="E3105" s="16">
        <f>IF(B3105,StartDate+D3105,"")</f>
        <v/>
      </c>
      <c r="F3105">
        <f>IF(B3105,MAX(MOD(SIN(Seed*0.1373+C3105*12.9898+D3105*78.233)*43758.5453,1),1E-9),"")</f>
        <v/>
      </c>
      <c r="G3105">
        <f>IF(B3105,MOD(SIN(Seed*0.5917+C3105*39.3468+D3105*11.135)*24634.6345,1),"")</f>
        <v/>
      </c>
      <c r="H3105">
        <f>IF(B3105,SQRT(-2*LN(F3105))*COS(2*PI()*G3105),"")</f>
        <v/>
      </c>
      <c r="I3105">
        <f>IF(B3105,IF(D3105=0,H3105,Rho*I3104+SQRT(1-Rho^2)*H3105),"")</f>
        <v/>
      </c>
      <c r="J3105">
        <f>IF(B3105,IF(Dist="Normal",DistA+DistB*I3105,DistA+(DistB-DistA)*NORMSDIST(I3105)),"")</f>
        <v/>
      </c>
      <c r="K3105">
        <f>IF(B3105,INDEX(MineScale,C3105),"")</f>
        <v/>
      </c>
      <c r="L3105">
        <f>IF(B3105,INDEX(Dow,1,WEEKDAY(E3105,2)),"")</f>
        <v/>
      </c>
      <c r="M3105">
        <f>IF(B3105,(1+Trend)^D3105,"")</f>
        <v/>
      </c>
      <c r="N3105">
        <f>IF(B3105,EXP(SUMPRODUCT(LN(1+(EvEff-1)*INDEX(Affected,0,C3105)*EXP(-((E3105-EvCenter)^2)/(2*EvSigma^2))))),"")</f>
        <v/>
      </c>
      <c r="O3105">
        <f>IF(B3105,ROUND(MAX(0,J3105*K3105*L3105*M3105*N3105),2),"")</f>
        <v/>
      </c>
    </row>
    <row r="3106">
      <c r="A3106" t="n">
        <v>3105</v>
      </c>
      <c r="B3106">
        <f>A3106&lt;=MineCount*Days</f>
        <v/>
      </c>
      <c r="C3106">
        <f>IF(B3106,INT((A3106-1)/Days)+1,"")</f>
        <v/>
      </c>
      <c r="D3106">
        <f>IF(B3106,MOD(A3106-1,Days),"")</f>
        <v/>
      </c>
      <c r="E3106" s="16">
        <f>IF(B3106,StartDate+D3106,"")</f>
        <v/>
      </c>
      <c r="F3106">
        <f>IF(B3106,MAX(MOD(SIN(Seed*0.1373+C3106*12.9898+D3106*78.233)*43758.5453,1),1E-9),"")</f>
        <v/>
      </c>
      <c r="G3106">
        <f>IF(B3106,MOD(SIN(Seed*0.5917+C3106*39.3468+D3106*11.135)*24634.6345,1),"")</f>
        <v/>
      </c>
      <c r="H3106">
        <f>IF(B3106,SQRT(-2*LN(F3106))*COS(2*PI()*G3106),"")</f>
        <v/>
      </c>
      <c r="I3106">
        <f>IF(B3106,IF(D3106=0,H3106,Rho*I3105+SQRT(1-Rho^2)*H3106),"")</f>
        <v/>
      </c>
      <c r="J3106">
        <f>IF(B3106,IF(Dist="Normal",DistA+DistB*I3106,DistA+(DistB-DistA)*NORMSDIST(I3106)),"")</f>
        <v/>
      </c>
      <c r="K3106">
        <f>IF(B3106,INDEX(MineScale,C3106),"")</f>
        <v/>
      </c>
      <c r="L3106">
        <f>IF(B3106,INDEX(Dow,1,WEEKDAY(E3106,2)),"")</f>
        <v/>
      </c>
      <c r="M3106">
        <f>IF(B3106,(1+Trend)^D3106,"")</f>
        <v/>
      </c>
      <c r="N3106">
        <f>IF(B3106,EXP(SUMPRODUCT(LN(1+(EvEff-1)*INDEX(Affected,0,C3106)*EXP(-((E3106-EvCenter)^2)/(2*EvSigma^2))))),"")</f>
        <v/>
      </c>
      <c r="O3106">
        <f>IF(B3106,ROUND(MAX(0,J3106*K3106*L3106*M3106*N3106),2),"")</f>
        <v/>
      </c>
    </row>
    <row r="3107">
      <c r="A3107" t="n">
        <v>3106</v>
      </c>
      <c r="B3107">
        <f>A3107&lt;=MineCount*Days</f>
        <v/>
      </c>
      <c r="C3107">
        <f>IF(B3107,INT((A3107-1)/Days)+1,"")</f>
        <v/>
      </c>
      <c r="D3107">
        <f>IF(B3107,MOD(A3107-1,Days),"")</f>
        <v/>
      </c>
      <c r="E3107" s="16">
        <f>IF(B3107,StartDate+D3107,"")</f>
        <v/>
      </c>
      <c r="F3107">
        <f>IF(B3107,MAX(MOD(SIN(Seed*0.1373+C3107*12.9898+D3107*78.233)*43758.5453,1),1E-9),"")</f>
        <v/>
      </c>
      <c r="G3107">
        <f>IF(B3107,MOD(SIN(Seed*0.5917+C3107*39.3468+D3107*11.135)*24634.6345,1),"")</f>
        <v/>
      </c>
      <c r="H3107">
        <f>IF(B3107,SQRT(-2*LN(F3107))*COS(2*PI()*G3107),"")</f>
        <v/>
      </c>
      <c r="I3107">
        <f>IF(B3107,IF(D3107=0,H3107,Rho*I3106+SQRT(1-Rho^2)*H3107),"")</f>
        <v/>
      </c>
      <c r="J3107">
        <f>IF(B3107,IF(Dist="Normal",DistA+DistB*I3107,DistA+(DistB-DistA)*NORMSDIST(I3107)),"")</f>
        <v/>
      </c>
      <c r="K3107">
        <f>IF(B3107,INDEX(MineScale,C3107),"")</f>
        <v/>
      </c>
      <c r="L3107">
        <f>IF(B3107,INDEX(Dow,1,WEEKDAY(E3107,2)),"")</f>
        <v/>
      </c>
      <c r="M3107">
        <f>IF(B3107,(1+Trend)^D3107,"")</f>
        <v/>
      </c>
      <c r="N3107">
        <f>IF(B3107,EXP(SUMPRODUCT(LN(1+(EvEff-1)*INDEX(Affected,0,C3107)*EXP(-((E3107-EvCenter)^2)/(2*EvSigma^2))))),"")</f>
        <v/>
      </c>
      <c r="O3107">
        <f>IF(B3107,ROUND(MAX(0,J3107*K3107*L3107*M3107*N3107),2),"")</f>
        <v/>
      </c>
    </row>
    <row r="3108">
      <c r="A3108" t="n">
        <v>3107</v>
      </c>
      <c r="B3108">
        <f>A3108&lt;=MineCount*Days</f>
        <v/>
      </c>
      <c r="C3108">
        <f>IF(B3108,INT((A3108-1)/Days)+1,"")</f>
        <v/>
      </c>
      <c r="D3108">
        <f>IF(B3108,MOD(A3108-1,Days),"")</f>
        <v/>
      </c>
      <c r="E3108" s="16">
        <f>IF(B3108,StartDate+D3108,"")</f>
        <v/>
      </c>
      <c r="F3108">
        <f>IF(B3108,MAX(MOD(SIN(Seed*0.1373+C3108*12.9898+D3108*78.233)*43758.5453,1),1E-9),"")</f>
        <v/>
      </c>
      <c r="G3108">
        <f>IF(B3108,MOD(SIN(Seed*0.5917+C3108*39.3468+D3108*11.135)*24634.6345,1),"")</f>
        <v/>
      </c>
      <c r="H3108">
        <f>IF(B3108,SQRT(-2*LN(F3108))*COS(2*PI()*G3108),"")</f>
        <v/>
      </c>
      <c r="I3108">
        <f>IF(B3108,IF(D3108=0,H3108,Rho*I3107+SQRT(1-Rho^2)*H3108),"")</f>
        <v/>
      </c>
      <c r="J3108">
        <f>IF(B3108,IF(Dist="Normal",DistA+DistB*I3108,DistA+(DistB-DistA)*NORMSDIST(I3108)),"")</f>
        <v/>
      </c>
      <c r="K3108">
        <f>IF(B3108,INDEX(MineScale,C3108),"")</f>
        <v/>
      </c>
      <c r="L3108">
        <f>IF(B3108,INDEX(Dow,1,WEEKDAY(E3108,2)),"")</f>
        <v/>
      </c>
      <c r="M3108">
        <f>IF(B3108,(1+Trend)^D3108,"")</f>
        <v/>
      </c>
      <c r="N3108">
        <f>IF(B3108,EXP(SUMPRODUCT(LN(1+(EvEff-1)*INDEX(Affected,0,C3108)*EXP(-((E3108-EvCenter)^2)/(2*EvSigma^2))))),"")</f>
        <v/>
      </c>
      <c r="O3108">
        <f>IF(B3108,ROUND(MAX(0,J3108*K3108*L3108*M3108*N3108),2),"")</f>
        <v/>
      </c>
    </row>
    <row r="3109">
      <c r="A3109" t="n">
        <v>3108</v>
      </c>
      <c r="B3109">
        <f>A3109&lt;=MineCount*Days</f>
        <v/>
      </c>
      <c r="C3109">
        <f>IF(B3109,INT((A3109-1)/Days)+1,"")</f>
        <v/>
      </c>
      <c r="D3109">
        <f>IF(B3109,MOD(A3109-1,Days),"")</f>
        <v/>
      </c>
      <c r="E3109" s="16">
        <f>IF(B3109,StartDate+D3109,"")</f>
        <v/>
      </c>
      <c r="F3109">
        <f>IF(B3109,MAX(MOD(SIN(Seed*0.1373+C3109*12.9898+D3109*78.233)*43758.5453,1),1E-9),"")</f>
        <v/>
      </c>
      <c r="G3109">
        <f>IF(B3109,MOD(SIN(Seed*0.5917+C3109*39.3468+D3109*11.135)*24634.6345,1),"")</f>
        <v/>
      </c>
      <c r="H3109">
        <f>IF(B3109,SQRT(-2*LN(F3109))*COS(2*PI()*G3109),"")</f>
        <v/>
      </c>
      <c r="I3109">
        <f>IF(B3109,IF(D3109=0,H3109,Rho*I3108+SQRT(1-Rho^2)*H3109),"")</f>
        <v/>
      </c>
      <c r="J3109">
        <f>IF(B3109,IF(Dist="Normal",DistA+DistB*I3109,DistA+(DistB-DistA)*NORMSDIST(I3109)),"")</f>
        <v/>
      </c>
      <c r="K3109">
        <f>IF(B3109,INDEX(MineScale,C3109),"")</f>
        <v/>
      </c>
      <c r="L3109">
        <f>IF(B3109,INDEX(Dow,1,WEEKDAY(E3109,2)),"")</f>
        <v/>
      </c>
      <c r="M3109">
        <f>IF(B3109,(1+Trend)^D3109,"")</f>
        <v/>
      </c>
      <c r="N3109">
        <f>IF(B3109,EXP(SUMPRODUCT(LN(1+(EvEff-1)*INDEX(Affected,0,C3109)*EXP(-((E3109-EvCenter)^2)/(2*EvSigma^2))))),"")</f>
        <v/>
      </c>
      <c r="O3109">
        <f>IF(B3109,ROUND(MAX(0,J3109*K3109*L3109*M3109*N3109),2),"")</f>
        <v/>
      </c>
    </row>
    <row r="3110">
      <c r="A3110" t="n">
        <v>3109</v>
      </c>
      <c r="B3110">
        <f>A3110&lt;=MineCount*Days</f>
        <v/>
      </c>
      <c r="C3110">
        <f>IF(B3110,INT((A3110-1)/Days)+1,"")</f>
        <v/>
      </c>
      <c r="D3110">
        <f>IF(B3110,MOD(A3110-1,Days),"")</f>
        <v/>
      </c>
      <c r="E3110" s="16">
        <f>IF(B3110,StartDate+D3110,"")</f>
        <v/>
      </c>
      <c r="F3110">
        <f>IF(B3110,MAX(MOD(SIN(Seed*0.1373+C3110*12.9898+D3110*78.233)*43758.5453,1),1E-9),"")</f>
        <v/>
      </c>
      <c r="G3110">
        <f>IF(B3110,MOD(SIN(Seed*0.5917+C3110*39.3468+D3110*11.135)*24634.6345,1),"")</f>
        <v/>
      </c>
      <c r="H3110">
        <f>IF(B3110,SQRT(-2*LN(F3110))*COS(2*PI()*G3110),"")</f>
        <v/>
      </c>
      <c r="I3110">
        <f>IF(B3110,IF(D3110=0,H3110,Rho*I3109+SQRT(1-Rho^2)*H3110),"")</f>
        <v/>
      </c>
      <c r="J3110">
        <f>IF(B3110,IF(Dist="Normal",DistA+DistB*I3110,DistA+(DistB-DistA)*NORMSDIST(I3110)),"")</f>
        <v/>
      </c>
      <c r="K3110">
        <f>IF(B3110,INDEX(MineScale,C3110),"")</f>
        <v/>
      </c>
      <c r="L3110">
        <f>IF(B3110,INDEX(Dow,1,WEEKDAY(E3110,2)),"")</f>
        <v/>
      </c>
      <c r="M3110">
        <f>IF(B3110,(1+Trend)^D3110,"")</f>
        <v/>
      </c>
      <c r="N3110">
        <f>IF(B3110,EXP(SUMPRODUCT(LN(1+(EvEff-1)*INDEX(Affected,0,C3110)*EXP(-((E3110-EvCenter)^2)/(2*EvSigma^2))))),"")</f>
        <v/>
      </c>
      <c r="O3110">
        <f>IF(B3110,ROUND(MAX(0,J3110*K3110*L3110*M3110*N3110),2),"")</f>
        <v/>
      </c>
    </row>
    <row r="3111">
      <c r="A3111" t="n">
        <v>3110</v>
      </c>
      <c r="B3111">
        <f>A3111&lt;=MineCount*Days</f>
        <v/>
      </c>
      <c r="C3111">
        <f>IF(B3111,INT((A3111-1)/Days)+1,"")</f>
        <v/>
      </c>
      <c r="D3111">
        <f>IF(B3111,MOD(A3111-1,Days),"")</f>
        <v/>
      </c>
      <c r="E3111" s="16">
        <f>IF(B3111,StartDate+D3111,"")</f>
        <v/>
      </c>
      <c r="F3111">
        <f>IF(B3111,MAX(MOD(SIN(Seed*0.1373+C3111*12.9898+D3111*78.233)*43758.5453,1),1E-9),"")</f>
        <v/>
      </c>
      <c r="G3111">
        <f>IF(B3111,MOD(SIN(Seed*0.5917+C3111*39.3468+D3111*11.135)*24634.6345,1),"")</f>
        <v/>
      </c>
      <c r="H3111">
        <f>IF(B3111,SQRT(-2*LN(F3111))*COS(2*PI()*G3111),"")</f>
        <v/>
      </c>
      <c r="I3111">
        <f>IF(B3111,IF(D3111=0,H3111,Rho*I3110+SQRT(1-Rho^2)*H3111),"")</f>
        <v/>
      </c>
      <c r="J3111">
        <f>IF(B3111,IF(Dist="Normal",DistA+DistB*I3111,DistA+(DistB-DistA)*NORMSDIST(I3111)),"")</f>
        <v/>
      </c>
      <c r="K3111">
        <f>IF(B3111,INDEX(MineScale,C3111),"")</f>
        <v/>
      </c>
      <c r="L3111">
        <f>IF(B3111,INDEX(Dow,1,WEEKDAY(E3111,2)),"")</f>
        <v/>
      </c>
      <c r="M3111">
        <f>IF(B3111,(1+Trend)^D3111,"")</f>
        <v/>
      </c>
      <c r="N3111">
        <f>IF(B3111,EXP(SUMPRODUCT(LN(1+(EvEff-1)*INDEX(Affected,0,C3111)*EXP(-((E3111-EvCenter)^2)/(2*EvSigma^2))))),"")</f>
        <v/>
      </c>
      <c r="O3111">
        <f>IF(B3111,ROUND(MAX(0,J3111*K3111*L3111*M3111*N3111),2),"")</f>
        <v/>
      </c>
    </row>
    <row r="3112">
      <c r="A3112" t="n">
        <v>3111</v>
      </c>
      <c r="B3112">
        <f>A3112&lt;=MineCount*Days</f>
        <v/>
      </c>
      <c r="C3112">
        <f>IF(B3112,INT((A3112-1)/Days)+1,"")</f>
        <v/>
      </c>
      <c r="D3112">
        <f>IF(B3112,MOD(A3112-1,Days),"")</f>
        <v/>
      </c>
      <c r="E3112" s="16">
        <f>IF(B3112,StartDate+D3112,"")</f>
        <v/>
      </c>
      <c r="F3112">
        <f>IF(B3112,MAX(MOD(SIN(Seed*0.1373+C3112*12.9898+D3112*78.233)*43758.5453,1),1E-9),"")</f>
        <v/>
      </c>
      <c r="G3112">
        <f>IF(B3112,MOD(SIN(Seed*0.5917+C3112*39.3468+D3112*11.135)*24634.6345,1),"")</f>
        <v/>
      </c>
      <c r="H3112">
        <f>IF(B3112,SQRT(-2*LN(F3112))*COS(2*PI()*G3112),"")</f>
        <v/>
      </c>
      <c r="I3112">
        <f>IF(B3112,IF(D3112=0,H3112,Rho*I3111+SQRT(1-Rho^2)*H3112),"")</f>
        <v/>
      </c>
      <c r="J3112">
        <f>IF(B3112,IF(Dist="Normal",DistA+DistB*I3112,DistA+(DistB-DistA)*NORMSDIST(I3112)),"")</f>
        <v/>
      </c>
      <c r="K3112">
        <f>IF(B3112,INDEX(MineScale,C3112),"")</f>
        <v/>
      </c>
      <c r="L3112">
        <f>IF(B3112,INDEX(Dow,1,WEEKDAY(E3112,2)),"")</f>
        <v/>
      </c>
      <c r="M3112">
        <f>IF(B3112,(1+Trend)^D3112,"")</f>
        <v/>
      </c>
      <c r="N3112">
        <f>IF(B3112,EXP(SUMPRODUCT(LN(1+(EvEff-1)*INDEX(Affected,0,C3112)*EXP(-((E3112-EvCenter)^2)/(2*EvSigma^2))))),"")</f>
        <v/>
      </c>
      <c r="O3112">
        <f>IF(B3112,ROUND(MAX(0,J3112*K3112*L3112*M3112*N3112),2),"")</f>
        <v/>
      </c>
    </row>
    <row r="3113">
      <c r="A3113" t="n">
        <v>3112</v>
      </c>
      <c r="B3113">
        <f>A3113&lt;=MineCount*Days</f>
        <v/>
      </c>
      <c r="C3113">
        <f>IF(B3113,INT((A3113-1)/Days)+1,"")</f>
        <v/>
      </c>
      <c r="D3113">
        <f>IF(B3113,MOD(A3113-1,Days),"")</f>
        <v/>
      </c>
      <c r="E3113" s="16">
        <f>IF(B3113,StartDate+D3113,"")</f>
        <v/>
      </c>
      <c r="F3113">
        <f>IF(B3113,MAX(MOD(SIN(Seed*0.1373+C3113*12.9898+D3113*78.233)*43758.5453,1),1E-9),"")</f>
        <v/>
      </c>
      <c r="G3113">
        <f>IF(B3113,MOD(SIN(Seed*0.5917+C3113*39.3468+D3113*11.135)*24634.6345,1),"")</f>
        <v/>
      </c>
      <c r="H3113">
        <f>IF(B3113,SQRT(-2*LN(F3113))*COS(2*PI()*G3113),"")</f>
        <v/>
      </c>
      <c r="I3113">
        <f>IF(B3113,IF(D3113=0,H3113,Rho*I3112+SQRT(1-Rho^2)*H3113),"")</f>
        <v/>
      </c>
      <c r="J3113">
        <f>IF(B3113,IF(Dist="Normal",DistA+DistB*I3113,DistA+(DistB-DistA)*NORMSDIST(I3113)),"")</f>
        <v/>
      </c>
      <c r="K3113">
        <f>IF(B3113,INDEX(MineScale,C3113),"")</f>
        <v/>
      </c>
      <c r="L3113">
        <f>IF(B3113,INDEX(Dow,1,WEEKDAY(E3113,2)),"")</f>
        <v/>
      </c>
      <c r="M3113">
        <f>IF(B3113,(1+Trend)^D3113,"")</f>
        <v/>
      </c>
      <c r="N3113">
        <f>IF(B3113,EXP(SUMPRODUCT(LN(1+(EvEff-1)*INDEX(Affected,0,C3113)*EXP(-((E3113-EvCenter)^2)/(2*EvSigma^2))))),"")</f>
        <v/>
      </c>
      <c r="O3113">
        <f>IF(B3113,ROUND(MAX(0,J3113*K3113*L3113*M3113*N3113),2),"")</f>
        <v/>
      </c>
    </row>
    <row r="3114">
      <c r="A3114" t="n">
        <v>3113</v>
      </c>
      <c r="B3114">
        <f>A3114&lt;=MineCount*Days</f>
        <v/>
      </c>
      <c r="C3114">
        <f>IF(B3114,INT((A3114-1)/Days)+1,"")</f>
        <v/>
      </c>
      <c r="D3114">
        <f>IF(B3114,MOD(A3114-1,Days),"")</f>
        <v/>
      </c>
      <c r="E3114" s="16">
        <f>IF(B3114,StartDate+D3114,"")</f>
        <v/>
      </c>
      <c r="F3114">
        <f>IF(B3114,MAX(MOD(SIN(Seed*0.1373+C3114*12.9898+D3114*78.233)*43758.5453,1),1E-9),"")</f>
        <v/>
      </c>
      <c r="G3114">
        <f>IF(B3114,MOD(SIN(Seed*0.5917+C3114*39.3468+D3114*11.135)*24634.6345,1),"")</f>
        <v/>
      </c>
      <c r="H3114">
        <f>IF(B3114,SQRT(-2*LN(F3114))*COS(2*PI()*G3114),"")</f>
        <v/>
      </c>
      <c r="I3114">
        <f>IF(B3114,IF(D3114=0,H3114,Rho*I3113+SQRT(1-Rho^2)*H3114),"")</f>
        <v/>
      </c>
      <c r="J3114">
        <f>IF(B3114,IF(Dist="Normal",DistA+DistB*I3114,DistA+(DistB-DistA)*NORMSDIST(I3114)),"")</f>
        <v/>
      </c>
      <c r="K3114">
        <f>IF(B3114,INDEX(MineScale,C3114),"")</f>
        <v/>
      </c>
      <c r="L3114">
        <f>IF(B3114,INDEX(Dow,1,WEEKDAY(E3114,2)),"")</f>
        <v/>
      </c>
      <c r="M3114">
        <f>IF(B3114,(1+Trend)^D3114,"")</f>
        <v/>
      </c>
      <c r="N3114">
        <f>IF(B3114,EXP(SUMPRODUCT(LN(1+(EvEff-1)*INDEX(Affected,0,C3114)*EXP(-((E3114-EvCenter)^2)/(2*EvSigma^2))))),"")</f>
        <v/>
      </c>
      <c r="O3114">
        <f>IF(B3114,ROUND(MAX(0,J3114*K3114*L3114*M3114*N3114),2),"")</f>
        <v/>
      </c>
    </row>
    <row r="3115">
      <c r="A3115" t="n">
        <v>3114</v>
      </c>
      <c r="B3115">
        <f>A3115&lt;=MineCount*Days</f>
        <v/>
      </c>
      <c r="C3115">
        <f>IF(B3115,INT((A3115-1)/Days)+1,"")</f>
        <v/>
      </c>
      <c r="D3115">
        <f>IF(B3115,MOD(A3115-1,Days),"")</f>
        <v/>
      </c>
      <c r="E3115" s="16">
        <f>IF(B3115,StartDate+D3115,"")</f>
        <v/>
      </c>
      <c r="F3115">
        <f>IF(B3115,MAX(MOD(SIN(Seed*0.1373+C3115*12.9898+D3115*78.233)*43758.5453,1),1E-9),"")</f>
        <v/>
      </c>
      <c r="G3115">
        <f>IF(B3115,MOD(SIN(Seed*0.5917+C3115*39.3468+D3115*11.135)*24634.6345,1),"")</f>
        <v/>
      </c>
      <c r="H3115">
        <f>IF(B3115,SQRT(-2*LN(F3115))*COS(2*PI()*G3115),"")</f>
        <v/>
      </c>
      <c r="I3115">
        <f>IF(B3115,IF(D3115=0,H3115,Rho*I3114+SQRT(1-Rho^2)*H3115),"")</f>
        <v/>
      </c>
      <c r="J3115">
        <f>IF(B3115,IF(Dist="Normal",DistA+DistB*I3115,DistA+(DistB-DistA)*NORMSDIST(I3115)),"")</f>
        <v/>
      </c>
      <c r="K3115">
        <f>IF(B3115,INDEX(MineScale,C3115),"")</f>
        <v/>
      </c>
      <c r="L3115">
        <f>IF(B3115,INDEX(Dow,1,WEEKDAY(E3115,2)),"")</f>
        <v/>
      </c>
      <c r="M3115">
        <f>IF(B3115,(1+Trend)^D3115,"")</f>
        <v/>
      </c>
      <c r="N3115">
        <f>IF(B3115,EXP(SUMPRODUCT(LN(1+(EvEff-1)*INDEX(Affected,0,C3115)*EXP(-((E3115-EvCenter)^2)/(2*EvSigma^2))))),"")</f>
        <v/>
      </c>
      <c r="O3115">
        <f>IF(B3115,ROUND(MAX(0,J3115*K3115*L3115*M3115*N3115),2),"")</f>
        <v/>
      </c>
    </row>
    <row r="3116">
      <c r="A3116" t="n">
        <v>3115</v>
      </c>
      <c r="B3116">
        <f>A3116&lt;=MineCount*Days</f>
        <v/>
      </c>
      <c r="C3116">
        <f>IF(B3116,INT((A3116-1)/Days)+1,"")</f>
        <v/>
      </c>
      <c r="D3116">
        <f>IF(B3116,MOD(A3116-1,Days),"")</f>
        <v/>
      </c>
      <c r="E3116" s="16">
        <f>IF(B3116,StartDate+D3116,"")</f>
        <v/>
      </c>
      <c r="F3116">
        <f>IF(B3116,MAX(MOD(SIN(Seed*0.1373+C3116*12.9898+D3116*78.233)*43758.5453,1),1E-9),"")</f>
        <v/>
      </c>
      <c r="G3116">
        <f>IF(B3116,MOD(SIN(Seed*0.5917+C3116*39.3468+D3116*11.135)*24634.6345,1),"")</f>
        <v/>
      </c>
      <c r="H3116">
        <f>IF(B3116,SQRT(-2*LN(F3116))*COS(2*PI()*G3116),"")</f>
        <v/>
      </c>
      <c r="I3116">
        <f>IF(B3116,IF(D3116=0,H3116,Rho*I3115+SQRT(1-Rho^2)*H3116),"")</f>
        <v/>
      </c>
      <c r="J3116">
        <f>IF(B3116,IF(Dist="Normal",DistA+DistB*I3116,DistA+(DistB-DistA)*NORMSDIST(I3116)),"")</f>
        <v/>
      </c>
      <c r="K3116">
        <f>IF(B3116,INDEX(MineScale,C3116),"")</f>
        <v/>
      </c>
      <c r="L3116">
        <f>IF(B3116,INDEX(Dow,1,WEEKDAY(E3116,2)),"")</f>
        <v/>
      </c>
      <c r="M3116">
        <f>IF(B3116,(1+Trend)^D3116,"")</f>
        <v/>
      </c>
      <c r="N3116">
        <f>IF(B3116,EXP(SUMPRODUCT(LN(1+(EvEff-1)*INDEX(Affected,0,C3116)*EXP(-((E3116-EvCenter)^2)/(2*EvSigma^2))))),"")</f>
        <v/>
      </c>
      <c r="O3116">
        <f>IF(B3116,ROUND(MAX(0,J3116*K3116*L3116*M3116*N3116),2),"")</f>
        <v/>
      </c>
    </row>
    <row r="3117">
      <c r="A3117" t="n">
        <v>3116</v>
      </c>
      <c r="B3117">
        <f>A3117&lt;=MineCount*Days</f>
        <v/>
      </c>
      <c r="C3117">
        <f>IF(B3117,INT((A3117-1)/Days)+1,"")</f>
        <v/>
      </c>
      <c r="D3117">
        <f>IF(B3117,MOD(A3117-1,Days),"")</f>
        <v/>
      </c>
      <c r="E3117" s="16">
        <f>IF(B3117,StartDate+D3117,"")</f>
        <v/>
      </c>
      <c r="F3117">
        <f>IF(B3117,MAX(MOD(SIN(Seed*0.1373+C3117*12.9898+D3117*78.233)*43758.5453,1),1E-9),"")</f>
        <v/>
      </c>
      <c r="G3117">
        <f>IF(B3117,MOD(SIN(Seed*0.5917+C3117*39.3468+D3117*11.135)*24634.6345,1),"")</f>
        <v/>
      </c>
      <c r="H3117">
        <f>IF(B3117,SQRT(-2*LN(F3117))*COS(2*PI()*G3117),"")</f>
        <v/>
      </c>
      <c r="I3117">
        <f>IF(B3117,IF(D3117=0,H3117,Rho*I3116+SQRT(1-Rho^2)*H3117),"")</f>
        <v/>
      </c>
      <c r="J3117">
        <f>IF(B3117,IF(Dist="Normal",DistA+DistB*I3117,DistA+(DistB-DistA)*NORMSDIST(I3117)),"")</f>
        <v/>
      </c>
      <c r="K3117">
        <f>IF(B3117,INDEX(MineScale,C3117),"")</f>
        <v/>
      </c>
      <c r="L3117">
        <f>IF(B3117,INDEX(Dow,1,WEEKDAY(E3117,2)),"")</f>
        <v/>
      </c>
      <c r="M3117">
        <f>IF(B3117,(1+Trend)^D3117,"")</f>
        <v/>
      </c>
      <c r="N3117">
        <f>IF(B3117,EXP(SUMPRODUCT(LN(1+(EvEff-1)*INDEX(Affected,0,C3117)*EXP(-((E3117-EvCenter)^2)/(2*EvSigma^2))))),"")</f>
        <v/>
      </c>
      <c r="O3117">
        <f>IF(B3117,ROUND(MAX(0,J3117*K3117*L3117*M3117*N3117),2),"")</f>
        <v/>
      </c>
    </row>
    <row r="3118">
      <c r="A3118" t="n">
        <v>3117</v>
      </c>
      <c r="B3118">
        <f>A3118&lt;=MineCount*Days</f>
        <v/>
      </c>
      <c r="C3118">
        <f>IF(B3118,INT((A3118-1)/Days)+1,"")</f>
        <v/>
      </c>
      <c r="D3118">
        <f>IF(B3118,MOD(A3118-1,Days),"")</f>
        <v/>
      </c>
      <c r="E3118" s="16">
        <f>IF(B3118,StartDate+D3118,"")</f>
        <v/>
      </c>
      <c r="F3118">
        <f>IF(B3118,MAX(MOD(SIN(Seed*0.1373+C3118*12.9898+D3118*78.233)*43758.5453,1),1E-9),"")</f>
        <v/>
      </c>
      <c r="G3118">
        <f>IF(B3118,MOD(SIN(Seed*0.5917+C3118*39.3468+D3118*11.135)*24634.6345,1),"")</f>
        <v/>
      </c>
      <c r="H3118">
        <f>IF(B3118,SQRT(-2*LN(F3118))*COS(2*PI()*G3118),"")</f>
        <v/>
      </c>
      <c r="I3118">
        <f>IF(B3118,IF(D3118=0,H3118,Rho*I3117+SQRT(1-Rho^2)*H3118),"")</f>
        <v/>
      </c>
      <c r="J3118">
        <f>IF(B3118,IF(Dist="Normal",DistA+DistB*I3118,DistA+(DistB-DistA)*NORMSDIST(I3118)),"")</f>
        <v/>
      </c>
      <c r="K3118">
        <f>IF(B3118,INDEX(MineScale,C3118),"")</f>
        <v/>
      </c>
      <c r="L3118">
        <f>IF(B3118,INDEX(Dow,1,WEEKDAY(E3118,2)),"")</f>
        <v/>
      </c>
      <c r="M3118">
        <f>IF(B3118,(1+Trend)^D3118,"")</f>
        <v/>
      </c>
      <c r="N3118">
        <f>IF(B3118,EXP(SUMPRODUCT(LN(1+(EvEff-1)*INDEX(Affected,0,C3118)*EXP(-((E3118-EvCenter)^2)/(2*EvSigma^2))))),"")</f>
        <v/>
      </c>
      <c r="O3118">
        <f>IF(B3118,ROUND(MAX(0,J3118*K3118*L3118*M3118*N3118),2),"")</f>
        <v/>
      </c>
    </row>
    <row r="3119">
      <c r="A3119" t="n">
        <v>3118</v>
      </c>
      <c r="B3119">
        <f>A3119&lt;=MineCount*Days</f>
        <v/>
      </c>
      <c r="C3119">
        <f>IF(B3119,INT((A3119-1)/Days)+1,"")</f>
        <v/>
      </c>
      <c r="D3119">
        <f>IF(B3119,MOD(A3119-1,Days),"")</f>
        <v/>
      </c>
      <c r="E3119" s="16">
        <f>IF(B3119,StartDate+D3119,"")</f>
        <v/>
      </c>
      <c r="F3119">
        <f>IF(B3119,MAX(MOD(SIN(Seed*0.1373+C3119*12.9898+D3119*78.233)*43758.5453,1),1E-9),"")</f>
        <v/>
      </c>
      <c r="G3119">
        <f>IF(B3119,MOD(SIN(Seed*0.5917+C3119*39.3468+D3119*11.135)*24634.6345,1),"")</f>
        <v/>
      </c>
      <c r="H3119">
        <f>IF(B3119,SQRT(-2*LN(F3119))*COS(2*PI()*G3119),"")</f>
        <v/>
      </c>
      <c r="I3119">
        <f>IF(B3119,IF(D3119=0,H3119,Rho*I3118+SQRT(1-Rho^2)*H3119),"")</f>
        <v/>
      </c>
      <c r="J3119">
        <f>IF(B3119,IF(Dist="Normal",DistA+DistB*I3119,DistA+(DistB-DistA)*NORMSDIST(I3119)),"")</f>
        <v/>
      </c>
      <c r="K3119">
        <f>IF(B3119,INDEX(MineScale,C3119),"")</f>
        <v/>
      </c>
      <c r="L3119">
        <f>IF(B3119,INDEX(Dow,1,WEEKDAY(E3119,2)),"")</f>
        <v/>
      </c>
      <c r="M3119">
        <f>IF(B3119,(1+Trend)^D3119,"")</f>
        <v/>
      </c>
      <c r="N3119">
        <f>IF(B3119,EXP(SUMPRODUCT(LN(1+(EvEff-1)*INDEX(Affected,0,C3119)*EXP(-((E3119-EvCenter)^2)/(2*EvSigma^2))))),"")</f>
        <v/>
      </c>
      <c r="O3119">
        <f>IF(B3119,ROUND(MAX(0,J3119*K3119*L3119*M3119*N3119),2),"")</f>
        <v/>
      </c>
    </row>
    <row r="3120">
      <c r="A3120" t="n">
        <v>3119</v>
      </c>
      <c r="B3120">
        <f>A3120&lt;=MineCount*Days</f>
        <v/>
      </c>
      <c r="C3120">
        <f>IF(B3120,INT((A3120-1)/Days)+1,"")</f>
        <v/>
      </c>
      <c r="D3120">
        <f>IF(B3120,MOD(A3120-1,Days),"")</f>
        <v/>
      </c>
      <c r="E3120" s="16">
        <f>IF(B3120,StartDate+D3120,"")</f>
        <v/>
      </c>
      <c r="F3120">
        <f>IF(B3120,MAX(MOD(SIN(Seed*0.1373+C3120*12.9898+D3120*78.233)*43758.5453,1),1E-9),"")</f>
        <v/>
      </c>
      <c r="G3120">
        <f>IF(B3120,MOD(SIN(Seed*0.5917+C3120*39.3468+D3120*11.135)*24634.6345,1),"")</f>
        <v/>
      </c>
      <c r="H3120">
        <f>IF(B3120,SQRT(-2*LN(F3120))*COS(2*PI()*G3120),"")</f>
        <v/>
      </c>
      <c r="I3120">
        <f>IF(B3120,IF(D3120=0,H3120,Rho*I3119+SQRT(1-Rho^2)*H3120),"")</f>
        <v/>
      </c>
      <c r="J3120">
        <f>IF(B3120,IF(Dist="Normal",DistA+DistB*I3120,DistA+(DistB-DistA)*NORMSDIST(I3120)),"")</f>
        <v/>
      </c>
      <c r="K3120">
        <f>IF(B3120,INDEX(MineScale,C3120),"")</f>
        <v/>
      </c>
      <c r="L3120">
        <f>IF(B3120,INDEX(Dow,1,WEEKDAY(E3120,2)),"")</f>
        <v/>
      </c>
      <c r="M3120">
        <f>IF(B3120,(1+Trend)^D3120,"")</f>
        <v/>
      </c>
      <c r="N3120">
        <f>IF(B3120,EXP(SUMPRODUCT(LN(1+(EvEff-1)*INDEX(Affected,0,C3120)*EXP(-((E3120-EvCenter)^2)/(2*EvSigma^2))))),"")</f>
        <v/>
      </c>
      <c r="O3120">
        <f>IF(B3120,ROUND(MAX(0,J3120*K3120*L3120*M3120*N3120),2),"")</f>
        <v/>
      </c>
    </row>
    <row r="3121">
      <c r="A3121" t="n">
        <v>3120</v>
      </c>
      <c r="B3121">
        <f>A3121&lt;=MineCount*Days</f>
        <v/>
      </c>
      <c r="C3121">
        <f>IF(B3121,INT((A3121-1)/Days)+1,"")</f>
        <v/>
      </c>
      <c r="D3121">
        <f>IF(B3121,MOD(A3121-1,Days),"")</f>
        <v/>
      </c>
      <c r="E3121" s="16">
        <f>IF(B3121,StartDate+D3121,"")</f>
        <v/>
      </c>
      <c r="F3121">
        <f>IF(B3121,MAX(MOD(SIN(Seed*0.1373+C3121*12.9898+D3121*78.233)*43758.5453,1),1E-9),"")</f>
        <v/>
      </c>
      <c r="G3121">
        <f>IF(B3121,MOD(SIN(Seed*0.5917+C3121*39.3468+D3121*11.135)*24634.6345,1),"")</f>
        <v/>
      </c>
      <c r="H3121">
        <f>IF(B3121,SQRT(-2*LN(F3121))*COS(2*PI()*G3121),"")</f>
        <v/>
      </c>
      <c r="I3121">
        <f>IF(B3121,IF(D3121=0,H3121,Rho*I3120+SQRT(1-Rho^2)*H3121),"")</f>
        <v/>
      </c>
      <c r="J3121">
        <f>IF(B3121,IF(Dist="Normal",DistA+DistB*I3121,DistA+(DistB-DistA)*NORMSDIST(I3121)),"")</f>
        <v/>
      </c>
      <c r="K3121">
        <f>IF(B3121,INDEX(MineScale,C3121),"")</f>
        <v/>
      </c>
      <c r="L3121">
        <f>IF(B3121,INDEX(Dow,1,WEEKDAY(E3121,2)),"")</f>
        <v/>
      </c>
      <c r="M3121">
        <f>IF(B3121,(1+Trend)^D3121,"")</f>
        <v/>
      </c>
      <c r="N3121">
        <f>IF(B3121,EXP(SUMPRODUCT(LN(1+(EvEff-1)*INDEX(Affected,0,C3121)*EXP(-((E3121-EvCenter)^2)/(2*EvSigma^2))))),"")</f>
        <v/>
      </c>
      <c r="O3121">
        <f>IF(B3121,ROUND(MAX(0,J3121*K3121*L3121*M3121*N3121),2),"")</f>
        <v/>
      </c>
    </row>
    <row r="3122">
      <c r="A3122" t="n">
        <v>3121</v>
      </c>
      <c r="B3122">
        <f>A3122&lt;=MineCount*Days</f>
        <v/>
      </c>
      <c r="C3122">
        <f>IF(B3122,INT((A3122-1)/Days)+1,"")</f>
        <v/>
      </c>
      <c r="D3122">
        <f>IF(B3122,MOD(A3122-1,Days),"")</f>
        <v/>
      </c>
      <c r="E3122" s="16">
        <f>IF(B3122,StartDate+D3122,"")</f>
        <v/>
      </c>
      <c r="F3122">
        <f>IF(B3122,MAX(MOD(SIN(Seed*0.1373+C3122*12.9898+D3122*78.233)*43758.5453,1),1E-9),"")</f>
        <v/>
      </c>
      <c r="G3122">
        <f>IF(B3122,MOD(SIN(Seed*0.5917+C3122*39.3468+D3122*11.135)*24634.6345,1),"")</f>
        <v/>
      </c>
      <c r="H3122">
        <f>IF(B3122,SQRT(-2*LN(F3122))*COS(2*PI()*G3122),"")</f>
        <v/>
      </c>
      <c r="I3122">
        <f>IF(B3122,IF(D3122=0,H3122,Rho*I3121+SQRT(1-Rho^2)*H3122),"")</f>
        <v/>
      </c>
      <c r="J3122">
        <f>IF(B3122,IF(Dist="Normal",DistA+DistB*I3122,DistA+(DistB-DistA)*NORMSDIST(I3122)),"")</f>
        <v/>
      </c>
      <c r="K3122">
        <f>IF(B3122,INDEX(MineScale,C3122),"")</f>
        <v/>
      </c>
      <c r="L3122">
        <f>IF(B3122,INDEX(Dow,1,WEEKDAY(E3122,2)),"")</f>
        <v/>
      </c>
      <c r="M3122">
        <f>IF(B3122,(1+Trend)^D3122,"")</f>
        <v/>
      </c>
      <c r="N3122">
        <f>IF(B3122,EXP(SUMPRODUCT(LN(1+(EvEff-1)*INDEX(Affected,0,C3122)*EXP(-((E3122-EvCenter)^2)/(2*EvSigma^2))))),"")</f>
        <v/>
      </c>
      <c r="O3122">
        <f>IF(B3122,ROUND(MAX(0,J3122*K3122*L3122*M3122*N3122),2),"")</f>
        <v/>
      </c>
    </row>
    <row r="3123">
      <c r="A3123" t="n">
        <v>3122</v>
      </c>
      <c r="B3123">
        <f>A3123&lt;=MineCount*Days</f>
        <v/>
      </c>
      <c r="C3123">
        <f>IF(B3123,INT((A3123-1)/Days)+1,"")</f>
        <v/>
      </c>
      <c r="D3123">
        <f>IF(B3123,MOD(A3123-1,Days),"")</f>
        <v/>
      </c>
      <c r="E3123" s="16">
        <f>IF(B3123,StartDate+D3123,"")</f>
        <v/>
      </c>
      <c r="F3123">
        <f>IF(B3123,MAX(MOD(SIN(Seed*0.1373+C3123*12.9898+D3123*78.233)*43758.5453,1),1E-9),"")</f>
        <v/>
      </c>
      <c r="G3123">
        <f>IF(B3123,MOD(SIN(Seed*0.5917+C3123*39.3468+D3123*11.135)*24634.6345,1),"")</f>
        <v/>
      </c>
      <c r="H3123">
        <f>IF(B3123,SQRT(-2*LN(F3123))*COS(2*PI()*G3123),"")</f>
        <v/>
      </c>
      <c r="I3123">
        <f>IF(B3123,IF(D3123=0,H3123,Rho*I3122+SQRT(1-Rho^2)*H3123),"")</f>
        <v/>
      </c>
      <c r="J3123">
        <f>IF(B3123,IF(Dist="Normal",DistA+DistB*I3123,DistA+(DistB-DistA)*NORMSDIST(I3123)),"")</f>
        <v/>
      </c>
      <c r="K3123">
        <f>IF(B3123,INDEX(MineScale,C3123),"")</f>
        <v/>
      </c>
      <c r="L3123">
        <f>IF(B3123,INDEX(Dow,1,WEEKDAY(E3123,2)),"")</f>
        <v/>
      </c>
      <c r="M3123">
        <f>IF(B3123,(1+Trend)^D3123,"")</f>
        <v/>
      </c>
      <c r="N3123">
        <f>IF(B3123,EXP(SUMPRODUCT(LN(1+(EvEff-1)*INDEX(Affected,0,C3123)*EXP(-((E3123-EvCenter)^2)/(2*EvSigma^2))))),"")</f>
        <v/>
      </c>
      <c r="O3123">
        <f>IF(B3123,ROUND(MAX(0,J3123*K3123*L3123*M3123*N3123),2),"")</f>
        <v/>
      </c>
    </row>
    <row r="3124">
      <c r="A3124" t="n">
        <v>3123</v>
      </c>
      <c r="B3124">
        <f>A3124&lt;=MineCount*Days</f>
        <v/>
      </c>
      <c r="C3124">
        <f>IF(B3124,INT((A3124-1)/Days)+1,"")</f>
        <v/>
      </c>
      <c r="D3124">
        <f>IF(B3124,MOD(A3124-1,Days),"")</f>
        <v/>
      </c>
      <c r="E3124" s="16">
        <f>IF(B3124,StartDate+D3124,"")</f>
        <v/>
      </c>
      <c r="F3124">
        <f>IF(B3124,MAX(MOD(SIN(Seed*0.1373+C3124*12.9898+D3124*78.233)*43758.5453,1),1E-9),"")</f>
        <v/>
      </c>
      <c r="G3124">
        <f>IF(B3124,MOD(SIN(Seed*0.5917+C3124*39.3468+D3124*11.135)*24634.6345,1),"")</f>
        <v/>
      </c>
      <c r="H3124">
        <f>IF(B3124,SQRT(-2*LN(F3124))*COS(2*PI()*G3124),"")</f>
        <v/>
      </c>
      <c r="I3124">
        <f>IF(B3124,IF(D3124=0,H3124,Rho*I3123+SQRT(1-Rho^2)*H3124),"")</f>
        <v/>
      </c>
      <c r="J3124">
        <f>IF(B3124,IF(Dist="Normal",DistA+DistB*I3124,DistA+(DistB-DistA)*NORMSDIST(I3124)),"")</f>
        <v/>
      </c>
      <c r="K3124">
        <f>IF(B3124,INDEX(MineScale,C3124),"")</f>
        <v/>
      </c>
      <c r="L3124">
        <f>IF(B3124,INDEX(Dow,1,WEEKDAY(E3124,2)),"")</f>
        <v/>
      </c>
      <c r="M3124">
        <f>IF(B3124,(1+Trend)^D3124,"")</f>
        <v/>
      </c>
      <c r="N3124">
        <f>IF(B3124,EXP(SUMPRODUCT(LN(1+(EvEff-1)*INDEX(Affected,0,C3124)*EXP(-((E3124-EvCenter)^2)/(2*EvSigma^2))))),"")</f>
        <v/>
      </c>
      <c r="O3124">
        <f>IF(B3124,ROUND(MAX(0,J3124*K3124*L3124*M3124*N3124),2),"")</f>
        <v/>
      </c>
    </row>
    <row r="3125">
      <c r="A3125" t="n">
        <v>3124</v>
      </c>
      <c r="B3125">
        <f>A3125&lt;=MineCount*Days</f>
        <v/>
      </c>
      <c r="C3125">
        <f>IF(B3125,INT((A3125-1)/Days)+1,"")</f>
        <v/>
      </c>
      <c r="D3125">
        <f>IF(B3125,MOD(A3125-1,Days),"")</f>
        <v/>
      </c>
      <c r="E3125" s="16">
        <f>IF(B3125,StartDate+D3125,"")</f>
        <v/>
      </c>
      <c r="F3125">
        <f>IF(B3125,MAX(MOD(SIN(Seed*0.1373+C3125*12.9898+D3125*78.233)*43758.5453,1),1E-9),"")</f>
        <v/>
      </c>
      <c r="G3125">
        <f>IF(B3125,MOD(SIN(Seed*0.5917+C3125*39.3468+D3125*11.135)*24634.6345,1),"")</f>
        <v/>
      </c>
      <c r="H3125">
        <f>IF(B3125,SQRT(-2*LN(F3125))*COS(2*PI()*G3125),"")</f>
        <v/>
      </c>
      <c r="I3125">
        <f>IF(B3125,IF(D3125=0,H3125,Rho*I3124+SQRT(1-Rho^2)*H3125),"")</f>
        <v/>
      </c>
      <c r="J3125">
        <f>IF(B3125,IF(Dist="Normal",DistA+DistB*I3125,DistA+(DistB-DistA)*NORMSDIST(I3125)),"")</f>
        <v/>
      </c>
      <c r="K3125">
        <f>IF(B3125,INDEX(MineScale,C3125),"")</f>
        <v/>
      </c>
      <c r="L3125">
        <f>IF(B3125,INDEX(Dow,1,WEEKDAY(E3125,2)),"")</f>
        <v/>
      </c>
      <c r="M3125">
        <f>IF(B3125,(1+Trend)^D3125,"")</f>
        <v/>
      </c>
      <c r="N3125">
        <f>IF(B3125,EXP(SUMPRODUCT(LN(1+(EvEff-1)*INDEX(Affected,0,C3125)*EXP(-((E3125-EvCenter)^2)/(2*EvSigma^2))))),"")</f>
        <v/>
      </c>
      <c r="O3125">
        <f>IF(B3125,ROUND(MAX(0,J3125*K3125*L3125*M3125*N3125),2),"")</f>
        <v/>
      </c>
    </row>
    <row r="3126">
      <c r="A3126" t="n">
        <v>3125</v>
      </c>
      <c r="B3126">
        <f>A3126&lt;=MineCount*Days</f>
        <v/>
      </c>
      <c r="C3126">
        <f>IF(B3126,INT((A3126-1)/Days)+1,"")</f>
        <v/>
      </c>
      <c r="D3126">
        <f>IF(B3126,MOD(A3126-1,Days),"")</f>
        <v/>
      </c>
      <c r="E3126" s="16">
        <f>IF(B3126,StartDate+D3126,"")</f>
        <v/>
      </c>
      <c r="F3126">
        <f>IF(B3126,MAX(MOD(SIN(Seed*0.1373+C3126*12.9898+D3126*78.233)*43758.5453,1),1E-9),"")</f>
        <v/>
      </c>
      <c r="G3126">
        <f>IF(B3126,MOD(SIN(Seed*0.5917+C3126*39.3468+D3126*11.135)*24634.6345,1),"")</f>
        <v/>
      </c>
      <c r="H3126">
        <f>IF(B3126,SQRT(-2*LN(F3126))*COS(2*PI()*G3126),"")</f>
        <v/>
      </c>
      <c r="I3126">
        <f>IF(B3126,IF(D3126=0,H3126,Rho*I3125+SQRT(1-Rho^2)*H3126),"")</f>
        <v/>
      </c>
      <c r="J3126">
        <f>IF(B3126,IF(Dist="Normal",DistA+DistB*I3126,DistA+(DistB-DistA)*NORMSDIST(I3126)),"")</f>
        <v/>
      </c>
      <c r="K3126">
        <f>IF(B3126,INDEX(MineScale,C3126),"")</f>
        <v/>
      </c>
      <c r="L3126">
        <f>IF(B3126,INDEX(Dow,1,WEEKDAY(E3126,2)),"")</f>
        <v/>
      </c>
      <c r="M3126">
        <f>IF(B3126,(1+Trend)^D3126,"")</f>
        <v/>
      </c>
      <c r="N3126">
        <f>IF(B3126,EXP(SUMPRODUCT(LN(1+(EvEff-1)*INDEX(Affected,0,C3126)*EXP(-((E3126-EvCenter)^2)/(2*EvSigma^2))))),"")</f>
        <v/>
      </c>
      <c r="O3126">
        <f>IF(B3126,ROUND(MAX(0,J3126*K3126*L3126*M3126*N3126),2),"")</f>
        <v/>
      </c>
    </row>
    <row r="3127">
      <c r="A3127" t="n">
        <v>3126</v>
      </c>
      <c r="B3127">
        <f>A3127&lt;=MineCount*Days</f>
        <v/>
      </c>
      <c r="C3127">
        <f>IF(B3127,INT((A3127-1)/Days)+1,"")</f>
        <v/>
      </c>
      <c r="D3127">
        <f>IF(B3127,MOD(A3127-1,Days),"")</f>
        <v/>
      </c>
      <c r="E3127" s="16">
        <f>IF(B3127,StartDate+D3127,"")</f>
        <v/>
      </c>
      <c r="F3127">
        <f>IF(B3127,MAX(MOD(SIN(Seed*0.1373+C3127*12.9898+D3127*78.233)*43758.5453,1),1E-9),"")</f>
        <v/>
      </c>
      <c r="G3127">
        <f>IF(B3127,MOD(SIN(Seed*0.5917+C3127*39.3468+D3127*11.135)*24634.6345,1),"")</f>
        <v/>
      </c>
      <c r="H3127">
        <f>IF(B3127,SQRT(-2*LN(F3127))*COS(2*PI()*G3127),"")</f>
        <v/>
      </c>
      <c r="I3127">
        <f>IF(B3127,IF(D3127=0,H3127,Rho*I3126+SQRT(1-Rho^2)*H3127),"")</f>
        <v/>
      </c>
      <c r="J3127">
        <f>IF(B3127,IF(Dist="Normal",DistA+DistB*I3127,DistA+(DistB-DistA)*NORMSDIST(I3127)),"")</f>
        <v/>
      </c>
      <c r="K3127">
        <f>IF(B3127,INDEX(MineScale,C3127),"")</f>
        <v/>
      </c>
      <c r="L3127">
        <f>IF(B3127,INDEX(Dow,1,WEEKDAY(E3127,2)),"")</f>
        <v/>
      </c>
      <c r="M3127">
        <f>IF(B3127,(1+Trend)^D3127,"")</f>
        <v/>
      </c>
      <c r="N3127">
        <f>IF(B3127,EXP(SUMPRODUCT(LN(1+(EvEff-1)*INDEX(Affected,0,C3127)*EXP(-((E3127-EvCenter)^2)/(2*EvSigma^2))))),"")</f>
        <v/>
      </c>
      <c r="O3127">
        <f>IF(B3127,ROUND(MAX(0,J3127*K3127*L3127*M3127*N3127),2),"")</f>
        <v/>
      </c>
    </row>
    <row r="3128">
      <c r="A3128" t="n">
        <v>3127</v>
      </c>
      <c r="B3128">
        <f>A3128&lt;=MineCount*Days</f>
        <v/>
      </c>
      <c r="C3128">
        <f>IF(B3128,INT((A3128-1)/Days)+1,"")</f>
        <v/>
      </c>
      <c r="D3128">
        <f>IF(B3128,MOD(A3128-1,Days),"")</f>
        <v/>
      </c>
      <c r="E3128" s="16">
        <f>IF(B3128,StartDate+D3128,"")</f>
        <v/>
      </c>
      <c r="F3128">
        <f>IF(B3128,MAX(MOD(SIN(Seed*0.1373+C3128*12.9898+D3128*78.233)*43758.5453,1),1E-9),"")</f>
        <v/>
      </c>
      <c r="G3128">
        <f>IF(B3128,MOD(SIN(Seed*0.5917+C3128*39.3468+D3128*11.135)*24634.6345,1),"")</f>
        <v/>
      </c>
      <c r="H3128">
        <f>IF(B3128,SQRT(-2*LN(F3128))*COS(2*PI()*G3128),"")</f>
        <v/>
      </c>
      <c r="I3128">
        <f>IF(B3128,IF(D3128=0,H3128,Rho*I3127+SQRT(1-Rho^2)*H3128),"")</f>
        <v/>
      </c>
      <c r="J3128">
        <f>IF(B3128,IF(Dist="Normal",DistA+DistB*I3128,DistA+(DistB-DistA)*NORMSDIST(I3128)),"")</f>
        <v/>
      </c>
      <c r="K3128">
        <f>IF(B3128,INDEX(MineScale,C3128),"")</f>
        <v/>
      </c>
      <c r="L3128">
        <f>IF(B3128,INDEX(Dow,1,WEEKDAY(E3128,2)),"")</f>
        <v/>
      </c>
      <c r="M3128">
        <f>IF(B3128,(1+Trend)^D3128,"")</f>
        <v/>
      </c>
      <c r="N3128">
        <f>IF(B3128,EXP(SUMPRODUCT(LN(1+(EvEff-1)*INDEX(Affected,0,C3128)*EXP(-((E3128-EvCenter)^2)/(2*EvSigma^2))))),"")</f>
        <v/>
      </c>
      <c r="O3128">
        <f>IF(B3128,ROUND(MAX(0,J3128*K3128*L3128*M3128*N3128),2),"")</f>
        <v/>
      </c>
    </row>
    <row r="3129">
      <c r="A3129" t="n">
        <v>3128</v>
      </c>
      <c r="B3129">
        <f>A3129&lt;=MineCount*Days</f>
        <v/>
      </c>
      <c r="C3129">
        <f>IF(B3129,INT((A3129-1)/Days)+1,"")</f>
        <v/>
      </c>
      <c r="D3129">
        <f>IF(B3129,MOD(A3129-1,Days),"")</f>
        <v/>
      </c>
      <c r="E3129" s="16">
        <f>IF(B3129,StartDate+D3129,"")</f>
        <v/>
      </c>
      <c r="F3129">
        <f>IF(B3129,MAX(MOD(SIN(Seed*0.1373+C3129*12.9898+D3129*78.233)*43758.5453,1),1E-9),"")</f>
        <v/>
      </c>
      <c r="G3129">
        <f>IF(B3129,MOD(SIN(Seed*0.5917+C3129*39.3468+D3129*11.135)*24634.6345,1),"")</f>
        <v/>
      </c>
      <c r="H3129">
        <f>IF(B3129,SQRT(-2*LN(F3129))*COS(2*PI()*G3129),"")</f>
        <v/>
      </c>
      <c r="I3129">
        <f>IF(B3129,IF(D3129=0,H3129,Rho*I3128+SQRT(1-Rho^2)*H3129),"")</f>
        <v/>
      </c>
      <c r="J3129">
        <f>IF(B3129,IF(Dist="Normal",DistA+DistB*I3129,DistA+(DistB-DistA)*NORMSDIST(I3129)),"")</f>
        <v/>
      </c>
      <c r="K3129">
        <f>IF(B3129,INDEX(MineScale,C3129),"")</f>
        <v/>
      </c>
      <c r="L3129">
        <f>IF(B3129,INDEX(Dow,1,WEEKDAY(E3129,2)),"")</f>
        <v/>
      </c>
      <c r="M3129">
        <f>IF(B3129,(1+Trend)^D3129,"")</f>
        <v/>
      </c>
      <c r="N3129">
        <f>IF(B3129,EXP(SUMPRODUCT(LN(1+(EvEff-1)*INDEX(Affected,0,C3129)*EXP(-((E3129-EvCenter)^2)/(2*EvSigma^2))))),"")</f>
        <v/>
      </c>
      <c r="O3129">
        <f>IF(B3129,ROUND(MAX(0,J3129*K3129*L3129*M3129*N3129),2),"")</f>
        <v/>
      </c>
    </row>
    <row r="3130">
      <c r="A3130" t="n">
        <v>3129</v>
      </c>
      <c r="B3130">
        <f>A3130&lt;=MineCount*Days</f>
        <v/>
      </c>
      <c r="C3130">
        <f>IF(B3130,INT((A3130-1)/Days)+1,"")</f>
        <v/>
      </c>
      <c r="D3130">
        <f>IF(B3130,MOD(A3130-1,Days),"")</f>
        <v/>
      </c>
      <c r="E3130" s="16">
        <f>IF(B3130,StartDate+D3130,"")</f>
        <v/>
      </c>
      <c r="F3130">
        <f>IF(B3130,MAX(MOD(SIN(Seed*0.1373+C3130*12.9898+D3130*78.233)*43758.5453,1),1E-9),"")</f>
        <v/>
      </c>
      <c r="G3130">
        <f>IF(B3130,MOD(SIN(Seed*0.5917+C3130*39.3468+D3130*11.135)*24634.6345,1),"")</f>
        <v/>
      </c>
      <c r="H3130">
        <f>IF(B3130,SQRT(-2*LN(F3130))*COS(2*PI()*G3130),"")</f>
        <v/>
      </c>
      <c r="I3130">
        <f>IF(B3130,IF(D3130=0,H3130,Rho*I3129+SQRT(1-Rho^2)*H3130),"")</f>
        <v/>
      </c>
      <c r="J3130">
        <f>IF(B3130,IF(Dist="Normal",DistA+DistB*I3130,DistA+(DistB-DistA)*NORMSDIST(I3130)),"")</f>
        <v/>
      </c>
      <c r="K3130">
        <f>IF(B3130,INDEX(MineScale,C3130),"")</f>
        <v/>
      </c>
      <c r="L3130">
        <f>IF(B3130,INDEX(Dow,1,WEEKDAY(E3130,2)),"")</f>
        <v/>
      </c>
      <c r="M3130">
        <f>IF(B3130,(1+Trend)^D3130,"")</f>
        <v/>
      </c>
      <c r="N3130">
        <f>IF(B3130,EXP(SUMPRODUCT(LN(1+(EvEff-1)*INDEX(Affected,0,C3130)*EXP(-((E3130-EvCenter)^2)/(2*EvSigma^2))))),"")</f>
        <v/>
      </c>
      <c r="O3130">
        <f>IF(B3130,ROUND(MAX(0,J3130*K3130*L3130*M3130*N3130),2),"")</f>
        <v/>
      </c>
    </row>
    <row r="3131">
      <c r="A3131" t="n">
        <v>3130</v>
      </c>
      <c r="B3131">
        <f>A3131&lt;=MineCount*Days</f>
        <v/>
      </c>
      <c r="C3131">
        <f>IF(B3131,INT((A3131-1)/Days)+1,"")</f>
        <v/>
      </c>
      <c r="D3131">
        <f>IF(B3131,MOD(A3131-1,Days),"")</f>
        <v/>
      </c>
      <c r="E3131" s="16">
        <f>IF(B3131,StartDate+D3131,"")</f>
        <v/>
      </c>
      <c r="F3131">
        <f>IF(B3131,MAX(MOD(SIN(Seed*0.1373+C3131*12.9898+D3131*78.233)*43758.5453,1),1E-9),"")</f>
        <v/>
      </c>
      <c r="G3131">
        <f>IF(B3131,MOD(SIN(Seed*0.5917+C3131*39.3468+D3131*11.135)*24634.6345,1),"")</f>
        <v/>
      </c>
      <c r="H3131">
        <f>IF(B3131,SQRT(-2*LN(F3131))*COS(2*PI()*G3131),"")</f>
        <v/>
      </c>
      <c r="I3131">
        <f>IF(B3131,IF(D3131=0,H3131,Rho*I3130+SQRT(1-Rho^2)*H3131),"")</f>
        <v/>
      </c>
      <c r="J3131">
        <f>IF(B3131,IF(Dist="Normal",DistA+DistB*I3131,DistA+(DistB-DistA)*NORMSDIST(I3131)),"")</f>
        <v/>
      </c>
      <c r="K3131">
        <f>IF(B3131,INDEX(MineScale,C3131),"")</f>
        <v/>
      </c>
      <c r="L3131">
        <f>IF(B3131,INDEX(Dow,1,WEEKDAY(E3131,2)),"")</f>
        <v/>
      </c>
      <c r="M3131">
        <f>IF(B3131,(1+Trend)^D3131,"")</f>
        <v/>
      </c>
      <c r="N3131">
        <f>IF(B3131,EXP(SUMPRODUCT(LN(1+(EvEff-1)*INDEX(Affected,0,C3131)*EXP(-((E3131-EvCenter)^2)/(2*EvSigma^2))))),"")</f>
        <v/>
      </c>
      <c r="O3131">
        <f>IF(B3131,ROUND(MAX(0,J3131*K3131*L3131*M3131*N3131),2),"")</f>
        <v/>
      </c>
    </row>
    <row r="3132">
      <c r="A3132" t="n">
        <v>3131</v>
      </c>
      <c r="B3132">
        <f>A3132&lt;=MineCount*Days</f>
        <v/>
      </c>
      <c r="C3132">
        <f>IF(B3132,INT((A3132-1)/Days)+1,"")</f>
        <v/>
      </c>
      <c r="D3132">
        <f>IF(B3132,MOD(A3132-1,Days),"")</f>
        <v/>
      </c>
      <c r="E3132" s="16">
        <f>IF(B3132,StartDate+D3132,"")</f>
        <v/>
      </c>
      <c r="F3132">
        <f>IF(B3132,MAX(MOD(SIN(Seed*0.1373+C3132*12.9898+D3132*78.233)*43758.5453,1),1E-9),"")</f>
        <v/>
      </c>
      <c r="G3132">
        <f>IF(B3132,MOD(SIN(Seed*0.5917+C3132*39.3468+D3132*11.135)*24634.6345,1),"")</f>
        <v/>
      </c>
      <c r="H3132">
        <f>IF(B3132,SQRT(-2*LN(F3132))*COS(2*PI()*G3132),"")</f>
        <v/>
      </c>
      <c r="I3132">
        <f>IF(B3132,IF(D3132=0,H3132,Rho*I3131+SQRT(1-Rho^2)*H3132),"")</f>
        <v/>
      </c>
      <c r="J3132">
        <f>IF(B3132,IF(Dist="Normal",DistA+DistB*I3132,DistA+(DistB-DistA)*NORMSDIST(I3132)),"")</f>
        <v/>
      </c>
      <c r="K3132">
        <f>IF(B3132,INDEX(MineScale,C3132),"")</f>
        <v/>
      </c>
      <c r="L3132">
        <f>IF(B3132,INDEX(Dow,1,WEEKDAY(E3132,2)),"")</f>
        <v/>
      </c>
      <c r="M3132">
        <f>IF(B3132,(1+Trend)^D3132,"")</f>
        <v/>
      </c>
      <c r="N3132">
        <f>IF(B3132,EXP(SUMPRODUCT(LN(1+(EvEff-1)*INDEX(Affected,0,C3132)*EXP(-((E3132-EvCenter)^2)/(2*EvSigma^2))))),"")</f>
        <v/>
      </c>
      <c r="O3132">
        <f>IF(B3132,ROUND(MAX(0,J3132*K3132*L3132*M3132*N3132),2),"")</f>
        <v/>
      </c>
    </row>
    <row r="3133">
      <c r="A3133" t="n">
        <v>3132</v>
      </c>
      <c r="B3133">
        <f>A3133&lt;=MineCount*Days</f>
        <v/>
      </c>
      <c r="C3133">
        <f>IF(B3133,INT((A3133-1)/Days)+1,"")</f>
        <v/>
      </c>
      <c r="D3133">
        <f>IF(B3133,MOD(A3133-1,Days),"")</f>
        <v/>
      </c>
      <c r="E3133" s="16">
        <f>IF(B3133,StartDate+D3133,"")</f>
        <v/>
      </c>
      <c r="F3133">
        <f>IF(B3133,MAX(MOD(SIN(Seed*0.1373+C3133*12.9898+D3133*78.233)*43758.5453,1),1E-9),"")</f>
        <v/>
      </c>
      <c r="G3133">
        <f>IF(B3133,MOD(SIN(Seed*0.5917+C3133*39.3468+D3133*11.135)*24634.6345,1),"")</f>
        <v/>
      </c>
      <c r="H3133">
        <f>IF(B3133,SQRT(-2*LN(F3133))*COS(2*PI()*G3133),"")</f>
        <v/>
      </c>
      <c r="I3133">
        <f>IF(B3133,IF(D3133=0,H3133,Rho*I3132+SQRT(1-Rho^2)*H3133),"")</f>
        <v/>
      </c>
      <c r="J3133">
        <f>IF(B3133,IF(Dist="Normal",DistA+DistB*I3133,DistA+(DistB-DistA)*NORMSDIST(I3133)),"")</f>
        <v/>
      </c>
      <c r="K3133">
        <f>IF(B3133,INDEX(MineScale,C3133),"")</f>
        <v/>
      </c>
      <c r="L3133">
        <f>IF(B3133,INDEX(Dow,1,WEEKDAY(E3133,2)),"")</f>
        <v/>
      </c>
      <c r="M3133">
        <f>IF(B3133,(1+Trend)^D3133,"")</f>
        <v/>
      </c>
      <c r="N3133">
        <f>IF(B3133,EXP(SUMPRODUCT(LN(1+(EvEff-1)*INDEX(Affected,0,C3133)*EXP(-((E3133-EvCenter)^2)/(2*EvSigma^2))))),"")</f>
        <v/>
      </c>
      <c r="O3133">
        <f>IF(B3133,ROUND(MAX(0,J3133*K3133*L3133*M3133*N3133),2),"")</f>
        <v/>
      </c>
    </row>
    <row r="3134">
      <c r="A3134" t="n">
        <v>3133</v>
      </c>
      <c r="B3134">
        <f>A3134&lt;=MineCount*Days</f>
        <v/>
      </c>
      <c r="C3134">
        <f>IF(B3134,INT((A3134-1)/Days)+1,"")</f>
        <v/>
      </c>
      <c r="D3134">
        <f>IF(B3134,MOD(A3134-1,Days),"")</f>
        <v/>
      </c>
      <c r="E3134" s="16">
        <f>IF(B3134,StartDate+D3134,"")</f>
        <v/>
      </c>
      <c r="F3134">
        <f>IF(B3134,MAX(MOD(SIN(Seed*0.1373+C3134*12.9898+D3134*78.233)*43758.5453,1),1E-9),"")</f>
        <v/>
      </c>
      <c r="G3134">
        <f>IF(B3134,MOD(SIN(Seed*0.5917+C3134*39.3468+D3134*11.135)*24634.6345,1),"")</f>
        <v/>
      </c>
      <c r="H3134">
        <f>IF(B3134,SQRT(-2*LN(F3134))*COS(2*PI()*G3134),"")</f>
        <v/>
      </c>
      <c r="I3134">
        <f>IF(B3134,IF(D3134=0,H3134,Rho*I3133+SQRT(1-Rho^2)*H3134),"")</f>
        <v/>
      </c>
      <c r="J3134">
        <f>IF(B3134,IF(Dist="Normal",DistA+DistB*I3134,DistA+(DistB-DistA)*NORMSDIST(I3134)),"")</f>
        <v/>
      </c>
      <c r="K3134">
        <f>IF(B3134,INDEX(MineScale,C3134),"")</f>
        <v/>
      </c>
      <c r="L3134">
        <f>IF(B3134,INDEX(Dow,1,WEEKDAY(E3134,2)),"")</f>
        <v/>
      </c>
      <c r="M3134">
        <f>IF(B3134,(1+Trend)^D3134,"")</f>
        <v/>
      </c>
      <c r="N3134">
        <f>IF(B3134,EXP(SUMPRODUCT(LN(1+(EvEff-1)*INDEX(Affected,0,C3134)*EXP(-((E3134-EvCenter)^2)/(2*EvSigma^2))))),"")</f>
        <v/>
      </c>
      <c r="O3134">
        <f>IF(B3134,ROUND(MAX(0,J3134*K3134*L3134*M3134*N3134),2),"")</f>
        <v/>
      </c>
    </row>
    <row r="3135">
      <c r="A3135" t="n">
        <v>3134</v>
      </c>
      <c r="B3135">
        <f>A3135&lt;=MineCount*Days</f>
        <v/>
      </c>
      <c r="C3135">
        <f>IF(B3135,INT((A3135-1)/Days)+1,"")</f>
        <v/>
      </c>
      <c r="D3135">
        <f>IF(B3135,MOD(A3135-1,Days),"")</f>
        <v/>
      </c>
      <c r="E3135" s="16">
        <f>IF(B3135,StartDate+D3135,"")</f>
        <v/>
      </c>
      <c r="F3135">
        <f>IF(B3135,MAX(MOD(SIN(Seed*0.1373+C3135*12.9898+D3135*78.233)*43758.5453,1),1E-9),"")</f>
        <v/>
      </c>
      <c r="G3135">
        <f>IF(B3135,MOD(SIN(Seed*0.5917+C3135*39.3468+D3135*11.135)*24634.6345,1),"")</f>
        <v/>
      </c>
      <c r="H3135">
        <f>IF(B3135,SQRT(-2*LN(F3135))*COS(2*PI()*G3135),"")</f>
        <v/>
      </c>
      <c r="I3135">
        <f>IF(B3135,IF(D3135=0,H3135,Rho*I3134+SQRT(1-Rho^2)*H3135),"")</f>
        <v/>
      </c>
      <c r="J3135">
        <f>IF(B3135,IF(Dist="Normal",DistA+DistB*I3135,DistA+(DistB-DistA)*NORMSDIST(I3135)),"")</f>
        <v/>
      </c>
      <c r="K3135">
        <f>IF(B3135,INDEX(MineScale,C3135),"")</f>
        <v/>
      </c>
      <c r="L3135">
        <f>IF(B3135,INDEX(Dow,1,WEEKDAY(E3135,2)),"")</f>
        <v/>
      </c>
      <c r="M3135">
        <f>IF(B3135,(1+Trend)^D3135,"")</f>
        <v/>
      </c>
      <c r="N3135">
        <f>IF(B3135,EXP(SUMPRODUCT(LN(1+(EvEff-1)*INDEX(Affected,0,C3135)*EXP(-((E3135-EvCenter)^2)/(2*EvSigma^2))))),"")</f>
        <v/>
      </c>
      <c r="O3135">
        <f>IF(B3135,ROUND(MAX(0,J3135*K3135*L3135*M3135*N3135),2),"")</f>
        <v/>
      </c>
    </row>
    <row r="3136">
      <c r="A3136" t="n">
        <v>3135</v>
      </c>
      <c r="B3136">
        <f>A3136&lt;=MineCount*Days</f>
        <v/>
      </c>
      <c r="C3136">
        <f>IF(B3136,INT((A3136-1)/Days)+1,"")</f>
        <v/>
      </c>
      <c r="D3136">
        <f>IF(B3136,MOD(A3136-1,Days),"")</f>
        <v/>
      </c>
      <c r="E3136" s="16">
        <f>IF(B3136,StartDate+D3136,"")</f>
        <v/>
      </c>
      <c r="F3136">
        <f>IF(B3136,MAX(MOD(SIN(Seed*0.1373+C3136*12.9898+D3136*78.233)*43758.5453,1),1E-9),"")</f>
        <v/>
      </c>
      <c r="G3136">
        <f>IF(B3136,MOD(SIN(Seed*0.5917+C3136*39.3468+D3136*11.135)*24634.6345,1),"")</f>
        <v/>
      </c>
      <c r="H3136">
        <f>IF(B3136,SQRT(-2*LN(F3136))*COS(2*PI()*G3136),"")</f>
        <v/>
      </c>
      <c r="I3136">
        <f>IF(B3136,IF(D3136=0,H3136,Rho*I3135+SQRT(1-Rho^2)*H3136),"")</f>
        <v/>
      </c>
      <c r="J3136">
        <f>IF(B3136,IF(Dist="Normal",DistA+DistB*I3136,DistA+(DistB-DistA)*NORMSDIST(I3136)),"")</f>
        <v/>
      </c>
      <c r="K3136">
        <f>IF(B3136,INDEX(MineScale,C3136),"")</f>
        <v/>
      </c>
      <c r="L3136">
        <f>IF(B3136,INDEX(Dow,1,WEEKDAY(E3136,2)),"")</f>
        <v/>
      </c>
      <c r="M3136">
        <f>IF(B3136,(1+Trend)^D3136,"")</f>
        <v/>
      </c>
      <c r="N3136">
        <f>IF(B3136,EXP(SUMPRODUCT(LN(1+(EvEff-1)*INDEX(Affected,0,C3136)*EXP(-((E3136-EvCenter)^2)/(2*EvSigma^2))))),"")</f>
        <v/>
      </c>
      <c r="O3136">
        <f>IF(B3136,ROUND(MAX(0,J3136*K3136*L3136*M3136*N3136),2),"")</f>
        <v/>
      </c>
    </row>
    <row r="3137">
      <c r="A3137" t="n">
        <v>3136</v>
      </c>
      <c r="B3137">
        <f>A3137&lt;=MineCount*Days</f>
        <v/>
      </c>
      <c r="C3137">
        <f>IF(B3137,INT((A3137-1)/Days)+1,"")</f>
        <v/>
      </c>
      <c r="D3137">
        <f>IF(B3137,MOD(A3137-1,Days),"")</f>
        <v/>
      </c>
      <c r="E3137" s="16">
        <f>IF(B3137,StartDate+D3137,"")</f>
        <v/>
      </c>
      <c r="F3137">
        <f>IF(B3137,MAX(MOD(SIN(Seed*0.1373+C3137*12.9898+D3137*78.233)*43758.5453,1),1E-9),"")</f>
        <v/>
      </c>
      <c r="G3137">
        <f>IF(B3137,MOD(SIN(Seed*0.5917+C3137*39.3468+D3137*11.135)*24634.6345,1),"")</f>
        <v/>
      </c>
      <c r="H3137">
        <f>IF(B3137,SQRT(-2*LN(F3137))*COS(2*PI()*G3137),"")</f>
        <v/>
      </c>
      <c r="I3137">
        <f>IF(B3137,IF(D3137=0,H3137,Rho*I3136+SQRT(1-Rho^2)*H3137),"")</f>
        <v/>
      </c>
      <c r="J3137">
        <f>IF(B3137,IF(Dist="Normal",DistA+DistB*I3137,DistA+(DistB-DistA)*NORMSDIST(I3137)),"")</f>
        <v/>
      </c>
      <c r="K3137">
        <f>IF(B3137,INDEX(MineScale,C3137),"")</f>
        <v/>
      </c>
      <c r="L3137">
        <f>IF(B3137,INDEX(Dow,1,WEEKDAY(E3137,2)),"")</f>
        <v/>
      </c>
      <c r="M3137">
        <f>IF(B3137,(1+Trend)^D3137,"")</f>
        <v/>
      </c>
      <c r="N3137">
        <f>IF(B3137,EXP(SUMPRODUCT(LN(1+(EvEff-1)*INDEX(Affected,0,C3137)*EXP(-((E3137-EvCenter)^2)/(2*EvSigma^2))))),"")</f>
        <v/>
      </c>
      <c r="O3137">
        <f>IF(B3137,ROUND(MAX(0,J3137*K3137*L3137*M3137*N3137),2),"")</f>
        <v/>
      </c>
    </row>
    <row r="3138">
      <c r="A3138" t="n">
        <v>3137</v>
      </c>
      <c r="B3138">
        <f>A3138&lt;=MineCount*Days</f>
        <v/>
      </c>
      <c r="C3138">
        <f>IF(B3138,INT((A3138-1)/Days)+1,"")</f>
        <v/>
      </c>
      <c r="D3138">
        <f>IF(B3138,MOD(A3138-1,Days),"")</f>
        <v/>
      </c>
      <c r="E3138" s="16">
        <f>IF(B3138,StartDate+D3138,"")</f>
        <v/>
      </c>
      <c r="F3138">
        <f>IF(B3138,MAX(MOD(SIN(Seed*0.1373+C3138*12.9898+D3138*78.233)*43758.5453,1),1E-9),"")</f>
        <v/>
      </c>
      <c r="G3138">
        <f>IF(B3138,MOD(SIN(Seed*0.5917+C3138*39.3468+D3138*11.135)*24634.6345,1),"")</f>
        <v/>
      </c>
      <c r="H3138">
        <f>IF(B3138,SQRT(-2*LN(F3138))*COS(2*PI()*G3138),"")</f>
        <v/>
      </c>
      <c r="I3138">
        <f>IF(B3138,IF(D3138=0,H3138,Rho*I3137+SQRT(1-Rho^2)*H3138),"")</f>
        <v/>
      </c>
      <c r="J3138">
        <f>IF(B3138,IF(Dist="Normal",DistA+DistB*I3138,DistA+(DistB-DistA)*NORMSDIST(I3138)),"")</f>
        <v/>
      </c>
      <c r="K3138">
        <f>IF(B3138,INDEX(MineScale,C3138),"")</f>
        <v/>
      </c>
      <c r="L3138">
        <f>IF(B3138,INDEX(Dow,1,WEEKDAY(E3138,2)),"")</f>
        <v/>
      </c>
      <c r="M3138">
        <f>IF(B3138,(1+Trend)^D3138,"")</f>
        <v/>
      </c>
      <c r="N3138">
        <f>IF(B3138,EXP(SUMPRODUCT(LN(1+(EvEff-1)*INDEX(Affected,0,C3138)*EXP(-((E3138-EvCenter)^2)/(2*EvSigma^2))))),"")</f>
        <v/>
      </c>
      <c r="O3138">
        <f>IF(B3138,ROUND(MAX(0,J3138*K3138*L3138*M3138*N3138),2),"")</f>
        <v/>
      </c>
    </row>
    <row r="3139">
      <c r="A3139" t="n">
        <v>3138</v>
      </c>
      <c r="B3139">
        <f>A3139&lt;=MineCount*Days</f>
        <v/>
      </c>
      <c r="C3139">
        <f>IF(B3139,INT((A3139-1)/Days)+1,"")</f>
        <v/>
      </c>
      <c r="D3139">
        <f>IF(B3139,MOD(A3139-1,Days),"")</f>
        <v/>
      </c>
      <c r="E3139" s="16">
        <f>IF(B3139,StartDate+D3139,"")</f>
        <v/>
      </c>
      <c r="F3139">
        <f>IF(B3139,MAX(MOD(SIN(Seed*0.1373+C3139*12.9898+D3139*78.233)*43758.5453,1),1E-9),"")</f>
        <v/>
      </c>
      <c r="G3139">
        <f>IF(B3139,MOD(SIN(Seed*0.5917+C3139*39.3468+D3139*11.135)*24634.6345,1),"")</f>
        <v/>
      </c>
      <c r="H3139">
        <f>IF(B3139,SQRT(-2*LN(F3139))*COS(2*PI()*G3139),"")</f>
        <v/>
      </c>
      <c r="I3139">
        <f>IF(B3139,IF(D3139=0,H3139,Rho*I3138+SQRT(1-Rho^2)*H3139),"")</f>
        <v/>
      </c>
      <c r="J3139">
        <f>IF(B3139,IF(Dist="Normal",DistA+DistB*I3139,DistA+(DistB-DistA)*NORMSDIST(I3139)),"")</f>
        <v/>
      </c>
      <c r="K3139">
        <f>IF(B3139,INDEX(MineScale,C3139),"")</f>
        <v/>
      </c>
      <c r="L3139">
        <f>IF(B3139,INDEX(Dow,1,WEEKDAY(E3139,2)),"")</f>
        <v/>
      </c>
      <c r="M3139">
        <f>IF(B3139,(1+Trend)^D3139,"")</f>
        <v/>
      </c>
      <c r="N3139">
        <f>IF(B3139,EXP(SUMPRODUCT(LN(1+(EvEff-1)*INDEX(Affected,0,C3139)*EXP(-((E3139-EvCenter)^2)/(2*EvSigma^2))))),"")</f>
        <v/>
      </c>
      <c r="O3139">
        <f>IF(B3139,ROUND(MAX(0,J3139*K3139*L3139*M3139*N3139),2),"")</f>
        <v/>
      </c>
    </row>
    <row r="3140">
      <c r="A3140" t="n">
        <v>3139</v>
      </c>
      <c r="B3140">
        <f>A3140&lt;=MineCount*Days</f>
        <v/>
      </c>
      <c r="C3140">
        <f>IF(B3140,INT((A3140-1)/Days)+1,"")</f>
        <v/>
      </c>
      <c r="D3140">
        <f>IF(B3140,MOD(A3140-1,Days),"")</f>
        <v/>
      </c>
      <c r="E3140" s="16">
        <f>IF(B3140,StartDate+D3140,"")</f>
        <v/>
      </c>
      <c r="F3140">
        <f>IF(B3140,MAX(MOD(SIN(Seed*0.1373+C3140*12.9898+D3140*78.233)*43758.5453,1),1E-9),"")</f>
        <v/>
      </c>
      <c r="G3140">
        <f>IF(B3140,MOD(SIN(Seed*0.5917+C3140*39.3468+D3140*11.135)*24634.6345,1),"")</f>
        <v/>
      </c>
      <c r="H3140">
        <f>IF(B3140,SQRT(-2*LN(F3140))*COS(2*PI()*G3140),"")</f>
        <v/>
      </c>
      <c r="I3140">
        <f>IF(B3140,IF(D3140=0,H3140,Rho*I3139+SQRT(1-Rho^2)*H3140),"")</f>
        <v/>
      </c>
      <c r="J3140">
        <f>IF(B3140,IF(Dist="Normal",DistA+DistB*I3140,DistA+(DistB-DistA)*NORMSDIST(I3140)),"")</f>
        <v/>
      </c>
      <c r="K3140">
        <f>IF(B3140,INDEX(MineScale,C3140),"")</f>
        <v/>
      </c>
      <c r="L3140">
        <f>IF(B3140,INDEX(Dow,1,WEEKDAY(E3140,2)),"")</f>
        <v/>
      </c>
      <c r="M3140">
        <f>IF(B3140,(1+Trend)^D3140,"")</f>
        <v/>
      </c>
      <c r="N3140">
        <f>IF(B3140,EXP(SUMPRODUCT(LN(1+(EvEff-1)*INDEX(Affected,0,C3140)*EXP(-((E3140-EvCenter)^2)/(2*EvSigma^2))))),"")</f>
        <v/>
      </c>
      <c r="O3140">
        <f>IF(B3140,ROUND(MAX(0,J3140*K3140*L3140*M3140*N3140),2),"")</f>
        <v/>
      </c>
    </row>
    <row r="3141">
      <c r="A3141" t="n">
        <v>3140</v>
      </c>
      <c r="B3141">
        <f>A3141&lt;=MineCount*Days</f>
        <v/>
      </c>
      <c r="C3141">
        <f>IF(B3141,INT((A3141-1)/Days)+1,"")</f>
        <v/>
      </c>
      <c r="D3141">
        <f>IF(B3141,MOD(A3141-1,Days),"")</f>
        <v/>
      </c>
      <c r="E3141" s="16">
        <f>IF(B3141,StartDate+D3141,"")</f>
        <v/>
      </c>
      <c r="F3141">
        <f>IF(B3141,MAX(MOD(SIN(Seed*0.1373+C3141*12.9898+D3141*78.233)*43758.5453,1),1E-9),"")</f>
        <v/>
      </c>
      <c r="G3141">
        <f>IF(B3141,MOD(SIN(Seed*0.5917+C3141*39.3468+D3141*11.135)*24634.6345,1),"")</f>
        <v/>
      </c>
      <c r="H3141">
        <f>IF(B3141,SQRT(-2*LN(F3141))*COS(2*PI()*G3141),"")</f>
        <v/>
      </c>
      <c r="I3141">
        <f>IF(B3141,IF(D3141=0,H3141,Rho*I3140+SQRT(1-Rho^2)*H3141),"")</f>
        <v/>
      </c>
      <c r="J3141">
        <f>IF(B3141,IF(Dist="Normal",DistA+DistB*I3141,DistA+(DistB-DistA)*NORMSDIST(I3141)),"")</f>
        <v/>
      </c>
      <c r="K3141">
        <f>IF(B3141,INDEX(MineScale,C3141),"")</f>
        <v/>
      </c>
      <c r="L3141">
        <f>IF(B3141,INDEX(Dow,1,WEEKDAY(E3141,2)),"")</f>
        <v/>
      </c>
      <c r="M3141">
        <f>IF(B3141,(1+Trend)^D3141,"")</f>
        <v/>
      </c>
      <c r="N3141">
        <f>IF(B3141,EXP(SUMPRODUCT(LN(1+(EvEff-1)*INDEX(Affected,0,C3141)*EXP(-((E3141-EvCenter)^2)/(2*EvSigma^2))))),"")</f>
        <v/>
      </c>
      <c r="O3141">
        <f>IF(B3141,ROUND(MAX(0,J3141*K3141*L3141*M3141*N3141),2),"")</f>
        <v/>
      </c>
    </row>
    <row r="3142">
      <c r="A3142" t="n">
        <v>3141</v>
      </c>
      <c r="B3142">
        <f>A3142&lt;=MineCount*Days</f>
        <v/>
      </c>
      <c r="C3142">
        <f>IF(B3142,INT((A3142-1)/Days)+1,"")</f>
        <v/>
      </c>
      <c r="D3142">
        <f>IF(B3142,MOD(A3142-1,Days),"")</f>
        <v/>
      </c>
      <c r="E3142" s="16">
        <f>IF(B3142,StartDate+D3142,"")</f>
        <v/>
      </c>
      <c r="F3142">
        <f>IF(B3142,MAX(MOD(SIN(Seed*0.1373+C3142*12.9898+D3142*78.233)*43758.5453,1),1E-9),"")</f>
        <v/>
      </c>
      <c r="G3142">
        <f>IF(B3142,MOD(SIN(Seed*0.5917+C3142*39.3468+D3142*11.135)*24634.6345,1),"")</f>
        <v/>
      </c>
      <c r="H3142">
        <f>IF(B3142,SQRT(-2*LN(F3142))*COS(2*PI()*G3142),"")</f>
        <v/>
      </c>
      <c r="I3142">
        <f>IF(B3142,IF(D3142=0,H3142,Rho*I3141+SQRT(1-Rho^2)*H3142),"")</f>
        <v/>
      </c>
      <c r="J3142">
        <f>IF(B3142,IF(Dist="Normal",DistA+DistB*I3142,DistA+(DistB-DistA)*NORMSDIST(I3142)),"")</f>
        <v/>
      </c>
      <c r="K3142">
        <f>IF(B3142,INDEX(MineScale,C3142),"")</f>
        <v/>
      </c>
      <c r="L3142">
        <f>IF(B3142,INDEX(Dow,1,WEEKDAY(E3142,2)),"")</f>
        <v/>
      </c>
      <c r="M3142">
        <f>IF(B3142,(1+Trend)^D3142,"")</f>
        <v/>
      </c>
      <c r="N3142">
        <f>IF(B3142,EXP(SUMPRODUCT(LN(1+(EvEff-1)*INDEX(Affected,0,C3142)*EXP(-((E3142-EvCenter)^2)/(2*EvSigma^2))))),"")</f>
        <v/>
      </c>
      <c r="O3142">
        <f>IF(B3142,ROUND(MAX(0,J3142*K3142*L3142*M3142*N3142),2),"")</f>
        <v/>
      </c>
    </row>
    <row r="3143">
      <c r="A3143" t="n">
        <v>3142</v>
      </c>
      <c r="B3143">
        <f>A3143&lt;=MineCount*Days</f>
        <v/>
      </c>
      <c r="C3143">
        <f>IF(B3143,INT((A3143-1)/Days)+1,"")</f>
        <v/>
      </c>
      <c r="D3143">
        <f>IF(B3143,MOD(A3143-1,Days),"")</f>
        <v/>
      </c>
      <c r="E3143" s="16">
        <f>IF(B3143,StartDate+D3143,"")</f>
        <v/>
      </c>
      <c r="F3143">
        <f>IF(B3143,MAX(MOD(SIN(Seed*0.1373+C3143*12.9898+D3143*78.233)*43758.5453,1),1E-9),"")</f>
        <v/>
      </c>
      <c r="G3143">
        <f>IF(B3143,MOD(SIN(Seed*0.5917+C3143*39.3468+D3143*11.135)*24634.6345,1),"")</f>
        <v/>
      </c>
      <c r="H3143">
        <f>IF(B3143,SQRT(-2*LN(F3143))*COS(2*PI()*G3143),"")</f>
        <v/>
      </c>
      <c r="I3143">
        <f>IF(B3143,IF(D3143=0,H3143,Rho*I3142+SQRT(1-Rho^2)*H3143),"")</f>
        <v/>
      </c>
      <c r="J3143">
        <f>IF(B3143,IF(Dist="Normal",DistA+DistB*I3143,DistA+(DistB-DistA)*NORMSDIST(I3143)),"")</f>
        <v/>
      </c>
      <c r="K3143">
        <f>IF(B3143,INDEX(MineScale,C3143),"")</f>
        <v/>
      </c>
      <c r="L3143">
        <f>IF(B3143,INDEX(Dow,1,WEEKDAY(E3143,2)),"")</f>
        <v/>
      </c>
      <c r="M3143">
        <f>IF(B3143,(1+Trend)^D3143,"")</f>
        <v/>
      </c>
      <c r="N3143">
        <f>IF(B3143,EXP(SUMPRODUCT(LN(1+(EvEff-1)*INDEX(Affected,0,C3143)*EXP(-((E3143-EvCenter)^2)/(2*EvSigma^2))))),"")</f>
        <v/>
      </c>
      <c r="O3143">
        <f>IF(B3143,ROUND(MAX(0,J3143*K3143*L3143*M3143*N3143),2),"")</f>
        <v/>
      </c>
    </row>
    <row r="3144">
      <c r="A3144" t="n">
        <v>3143</v>
      </c>
      <c r="B3144">
        <f>A3144&lt;=MineCount*Days</f>
        <v/>
      </c>
      <c r="C3144">
        <f>IF(B3144,INT((A3144-1)/Days)+1,"")</f>
        <v/>
      </c>
      <c r="D3144">
        <f>IF(B3144,MOD(A3144-1,Days),"")</f>
        <v/>
      </c>
      <c r="E3144" s="16">
        <f>IF(B3144,StartDate+D3144,"")</f>
        <v/>
      </c>
      <c r="F3144">
        <f>IF(B3144,MAX(MOD(SIN(Seed*0.1373+C3144*12.9898+D3144*78.233)*43758.5453,1),1E-9),"")</f>
        <v/>
      </c>
      <c r="G3144">
        <f>IF(B3144,MOD(SIN(Seed*0.5917+C3144*39.3468+D3144*11.135)*24634.6345,1),"")</f>
        <v/>
      </c>
      <c r="H3144">
        <f>IF(B3144,SQRT(-2*LN(F3144))*COS(2*PI()*G3144),"")</f>
        <v/>
      </c>
      <c r="I3144">
        <f>IF(B3144,IF(D3144=0,H3144,Rho*I3143+SQRT(1-Rho^2)*H3144),"")</f>
        <v/>
      </c>
      <c r="J3144">
        <f>IF(B3144,IF(Dist="Normal",DistA+DistB*I3144,DistA+(DistB-DistA)*NORMSDIST(I3144)),"")</f>
        <v/>
      </c>
      <c r="K3144">
        <f>IF(B3144,INDEX(MineScale,C3144),"")</f>
        <v/>
      </c>
      <c r="L3144">
        <f>IF(B3144,INDEX(Dow,1,WEEKDAY(E3144,2)),"")</f>
        <v/>
      </c>
      <c r="M3144">
        <f>IF(B3144,(1+Trend)^D3144,"")</f>
        <v/>
      </c>
      <c r="N3144">
        <f>IF(B3144,EXP(SUMPRODUCT(LN(1+(EvEff-1)*INDEX(Affected,0,C3144)*EXP(-((E3144-EvCenter)^2)/(2*EvSigma^2))))),"")</f>
        <v/>
      </c>
      <c r="O3144">
        <f>IF(B3144,ROUND(MAX(0,J3144*K3144*L3144*M3144*N3144),2),"")</f>
        <v/>
      </c>
    </row>
    <row r="3145">
      <c r="A3145" t="n">
        <v>3144</v>
      </c>
      <c r="B3145">
        <f>A3145&lt;=MineCount*Days</f>
        <v/>
      </c>
      <c r="C3145">
        <f>IF(B3145,INT((A3145-1)/Days)+1,"")</f>
        <v/>
      </c>
      <c r="D3145">
        <f>IF(B3145,MOD(A3145-1,Days),"")</f>
        <v/>
      </c>
      <c r="E3145" s="16">
        <f>IF(B3145,StartDate+D3145,"")</f>
        <v/>
      </c>
      <c r="F3145">
        <f>IF(B3145,MAX(MOD(SIN(Seed*0.1373+C3145*12.9898+D3145*78.233)*43758.5453,1),1E-9),"")</f>
        <v/>
      </c>
      <c r="G3145">
        <f>IF(B3145,MOD(SIN(Seed*0.5917+C3145*39.3468+D3145*11.135)*24634.6345,1),"")</f>
        <v/>
      </c>
      <c r="H3145">
        <f>IF(B3145,SQRT(-2*LN(F3145))*COS(2*PI()*G3145),"")</f>
        <v/>
      </c>
      <c r="I3145">
        <f>IF(B3145,IF(D3145=0,H3145,Rho*I3144+SQRT(1-Rho^2)*H3145),"")</f>
        <v/>
      </c>
      <c r="J3145">
        <f>IF(B3145,IF(Dist="Normal",DistA+DistB*I3145,DistA+(DistB-DistA)*NORMSDIST(I3145)),"")</f>
        <v/>
      </c>
      <c r="K3145">
        <f>IF(B3145,INDEX(MineScale,C3145),"")</f>
        <v/>
      </c>
      <c r="L3145">
        <f>IF(B3145,INDEX(Dow,1,WEEKDAY(E3145,2)),"")</f>
        <v/>
      </c>
      <c r="M3145">
        <f>IF(B3145,(1+Trend)^D3145,"")</f>
        <v/>
      </c>
      <c r="N3145">
        <f>IF(B3145,EXP(SUMPRODUCT(LN(1+(EvEff-1)*INDEX(Affected,0,C3145)*EXP(-((E3145-EvCenter)^2)/(2*EvSigma^2))))),"")</f>
        <v/>
      </c>
      <c r="O3145">
        <f>IF(B3145,ROUND(MAX(0,J3145*K3145*L3145*M3145*N3145),2),"")</f>
        <v/>
      </c>
    </row>
    <row r="3146">
      <c r="A3146" t="n">
        <v>3145</v>
      </c>
      <c r="B3146">
        <f>A3146&lt;=MineCount*Days</f>
        <v/>
      </c>
      <c r="C3146">
        <f>IF(B3146,INT((A3146-1)/Days)+1,"")</f>
        <v/>
      </c>
      <c r="D3146">
        <f>IF(B3146,MOD(A3146-1,Days),"")</f>
        <v/>
      </c>
      <c r="E3146" s="16">
        <f>IF(B3146,StartDate+D3146,"")</f>
        <v/>
      </c>
      <c r="F3146">
        <f>IF(B3146,MAX(MOD(SIN(Seed*0.1373+C3146*12.9898+D3146*78.233)*43758.5453,1),1E-9),"")</f>
        <v/>
      </c>
      <c r="G3146">
        <f>IF(B3146,MOD(SIN(Seed*0.5917+C3146*39.3468+D3146*11.135)*24634.6345,1),"")</f>
        <v/>
      </c>
      <c r="H3146">
        <f>IF(B3146,SQRT(-2*LN(F3146))*COS(2*PI()*G3146),"")</f>
        <v/>
      </c>
      <c r="I3146">
        <f>IF(B3146,IF(D3146=0,H3146,Rho*I3145+SQRT(1-Rho^2)*H3146),"")</f>
        <v/>
      </c>
      <c r="J3146">
        <f>IF(B3146,IF(Dist="Normal",DistA+DistB*I3146,DistA+(DistB-DistA)*NORMSDIST(I3146)),"")</f>
        <v/>
      </c>
      <c r="K3146">
        <f>IF(B3146,INDEX(MineScale,C3146),"")</f>
        <v/>
      </c>
      <c r="L3146">
        <f>IF(B3146,INDEX(Dow,1,WEEKDAY(E3146,2)),"")</f>
        <v/>
      </c>
      <c r="M3146">
        <f>IF(B3146,(1+Trend)^D3146,"")</f>
        <v/>
      </c>
      <c r="N3146">
        <f>IF(B3146,EXP(SUMPRODUCT(LN(1+(EvEff-1)*INDEX(Affected,0,C3146)*EXP(-((E3146-EvCenter)^2)/(2*EvSigma^2))))),"")</f>
        <v/>
      </c>
      <c r="O3146">
        <f>IF(B3146,ROUND(MAX(0,J3146*K3146*L3146*M3146*N3146),2),"")</f>
        <v/>
      </c>
    </row>
    <row r="3147">
      <c r="A3147" t="n">
        <v>3146</v>
      </c>
      <c r="B3147">
        <f>A3147&lt;=MineCount*Days</f>
        <v/>
      </c>
      <c r="C3147">
        <f>IF(B3147,INT((A3147-1)/Days)+1,"")</f>
        <v/>
      </c>
      <c r="D3147">
        <f>IF(B3147,MOD(A3147-1,Days),"")</f>
        <v/>
      </c>
      <c r="E3147" s="16">
        <f>IF(B3147,StartDate+D3147,"")</f>
        <v/>
      </c>
      <c r="F3147">
        <f>IF(B3147,MAX(MOD(SIN(Seed*0.1373+C3147*12.9898+D3147*78.233)*43758.5453,1),1E-9),"")</f>
        <v/>
      </c>
      <c r="G3147">
        <f>IF(B3147,MOD(SIN(Seed*0.5917+C3147*39.3468+D3147*11.135)*24634.6345,1),"")</f>
        <v/>
      </c>
      <c r="H3147">
        <f>IF(B3147,SQRT(-2*LN(F3147))*COS(2*PI()*G3147),"")</f>
        <v/>
      </c>
      <c r="I3147">
        <f>IF(B3147,IF(D3147=0,H3147,Rho*I3146+SQRT(1-Rho^2)*H3147),"")</f>
        <v/>
      </c>
      <c r="J3147">
        <f>IF(B3147,IF(Dist="Normal",DistA+DistB*I3147,DistA+(DistB-DistA)*NORMSDIST(I3147)),"")</f>
        <v/>
      </c>
      <c r="K3147">
        <f>IF(B3147,INDEX(MineScale,C3147),"")</f>
        <v/>
      </c>
      <c r="L3147">
        <f>IF(B3147,INDEX(Dow,1,WEEKDAY(E3147,2)),"")</f>
        <v/>
      </c>
      <c r="M3147">
        <f>IF(B3147,(1+Trend)^D3147,"")</f>
        <v/>
      </c>
      <c r="N3147">
        <f>IF(B3147,EXP(SUMPRODUCT(LN(1+(EvEff-1)*INDEX(Affected,0,C3147)*EXP(-((E3147-EvCenter)^2)/(2*EvSigma^2))))),"")</f>
        <v/>
      </c>
      <c r="O3147">
        <f>IF(B3147,ROUND(MAX(0,J3147*K3147*L3147*M3147*N3147),2),"")</f>
        <v/>
      </c>
    </row>
    <row r="3148">
      <c r="A3148" t="n">
        <v>3147</v>
      </c>
      <c r="B3148">
        <f>A3148&lt;=MineCount*Days</f>
        <v/>
      </c>
      <c r="C3148">
        <f>IF(B3148,INT((A3148-1)/Days)+1,"")</f>
        <v/>
      </c>
      <c r="D3148">
        <f>IF(B3148,MOD(A3148-1,Days),"")</f>
        <v/>
      </c>
      <c r="E3148" s="16">
        <f>IF(B3148,StartDate+D3148,"")</f>
        <v/>
      </c>
      <c r="F3148">
        <f>IF(B3148,MAX(MOD(SIN(Seed*0.1373+C3148*12.9898+D3148*78.233)*43758.5453,1),1E-9),"")</f>
        <v/>
      </c>
      <c r="G3148">
        <f>IF(B3148,MOD(SIN(Seed*0.5917+C3148*39.3468+D3148*11.135)*24634.6345,1),"")</f>
        <v/>
      </c>
      <c r="H3148">
        <f>IF(B3148,SQRT(-2*LN(F3148))*COS(2*PI()*G3148),"")</f>
        <v/>
      </c>
      <c r="I3148">
        <f>IF(B3148,IF(D3148=0,H3148,Rho*I3147+SQRT(1-Rho^2)*H3148),"")</f>
        <v/>
      </c>
      <c r="J3148">
        <f>IF(B3148,IF(Dist="Normal",DistA+DistB*I3148,DistA+(DistB-DistA)*NORMSDIST(I3148)),"")</f>
        <v/>
      </c>
      <c r="K3148">
        <f>IF(B3148,INDEX(MineScale,C3148),"")</f>
        <v/>
      </c>
      <c r="L3148">
        <f>IF(B3148,INDEX(Dow,1,WEEKDAY(E3148,2)),"")</f>
        <v/>
      </c>
      <c r="M3148">
        <f>IF(B3148,(1+Trend)^D3148,"")</f>
        <v/>
      </c>
      <c r="N3148">
        <f>IF(B3148,EXP(SUMPRODUCT(LN(1+(EvEff-1)*INDEX(Affected,0,C3148)*EXP(-((E3148-EvCenter)^2)/(2*EvSigma^2))))),"")</f>
        <v/>
      </c>
      <c r="O3148">
        <f>IF(B3148,ROUND(MAX(0,J3148*K3148*L3148*M3148*N3148),2),"")</f>
        <v/>
      </c>
    </row>
    <row r="3149">
      <c r="A3149" t="n">
        <v>3148</v>
      </c>
      <c r="B3149">
        <f>A3149&lt;=MineCount*Days</f>
        <v/>
      </c>
      <c r="C3149">
        <f>IF(B3149,INT((A3149-1)/Days)+1,"")</f>
        <v/>
      </c>
      <c r="D3149">
        <f>IF(B3149,MOD(A3149-1,Days),"")</f>
        <v/>
      </c>
      <c r="E3149" s="16">
        <f>IF(B3149,StartDate+D3149,"")</f>
        <v/>
      </c>
      <c r="F3149">
        <f>IF(B3149,MAX(MOD(SIN(Seed*0.1373+C3149*12.9898+D3149*78.233)*43758.5453,1),1E-9),"")</f>
        <v/>
      </c>
      <c r="G3149">
        <f>IF(B3149,MOD(SIN(Seed*0.5917+C3149*39.3468+D3149*11.135)*24634.6345,1),"")</f>
        <v/>
      </c>
      <c r="H3149">
        <f>IF(B3149,SQRT(-2*LN(F3149))*COS(2*PI()*G3149),"")</f>
        <v/>
      </c>
      <c r="I3149">
        <f>IF(B3149,IF(D3149=0,H3149,Rho*I3148+SQRT(1-Rho^2)*H3149),"")</f>
        <v/>
      </c>
      <c r="J3149">
        <f>IF(B3149,IF(Dist="Normal",DistA+DistB*I3149,DistA+(DistB-DistA)*NORMSDIST(I3149)),"")</f>
        <v/>
      </c>
      <c r="K3149">
        <f>IF(B3149,INDEX(MineScale,C3149),"")</f>
        <v/>
      </c>
      <c r="L3149">
        <f>IF(B3149,INDEX(Dow,1,WEEKDAY(E3149,2)),"")</f>
        <v/>
      </c>
      <c r="M3149">
        <f>IF(B3149,(1+Trend)^D3149,"")</f>
        <v/>
      </c>
      <c r="N3149">
        <f>IF(B3149,EXP(SUMPRODUCT(LN(1+(EvEff-1)*INDEX(Affected,0,C3149)*EXP(-((E3149-EvCenter)^2)/(2*EvSigma^2))))),"")</f>
        <v/>
      </c>
      <c r="O3149">
        <f>IF(B3149,ROUND(MAX(0,J3149*K3149*L3149*M3149*N3149),2),"")</f>
        <v/>
      </c>
    </row>
    <row r="3150">
      <c r="A3150" t="n">
        <v>3149</v>
      </c>
      <c r="B3150">
        <f>A3150&lt;=MineCount*Days</f>
        <v/>
      </c>
      <c r="C3150">
        <f>IF(B3150,INT((A3150-1)/Days)+1,"")</f>
        <v/>
      </c>
      <c r="D3150">
        <f>IF(B3150,MOD(A3150-1,Days),"")</f>
        <v/>
      </c>
      <c r="E3150" s="16">
        <f>IF(B3150,StartDate+D3150,"")</f>
        <v/>
      </c>
      <c r="F3150">
        <f>IF(B3150,MAX(MOD(SIN(Seed*0.1373+C3150*12.9898+D3150*78.233)*43758.5453,1),1E-9),"")</f>
        <v/>
      </c>
      <c r="G3150">
        <f>IF(B3150,MOD(SIN(Seed*0.5917+C3150*39.3468+D3150*11.135)*24634.6345,1),"")</f>
        <v/>
      </c>
      <c r="H3150">
        <f>IF(B3150,SQRT(-2*LN(F3150))*COS(2*PI()*G3150),"")</f>
        <v/>
      </c>
      <c r="I3150">
        <f>IF(B3150,IF(D3150=0,H3150,Rho*I3149+SQRT(1-Rho^2)*H3150),"")</f>
        <v/>
      </c>
      <c r="J3150">
        <f>IF(B3150,IF(Dist="Normal",DistA+DistB*I3150,DistA+(DistB-DistA)*NORMSDIST(I3150)),"")</f>
        <v/>
      </c>
      <c r="K3150">
        <f>IF(B3150,INDEX(MineScale,C3150),"")</f>
        <v/>
      </c>
      <c r="L3150">
        <f>IF(B3150,INDEX(Dow,1,WEEKDAY(E3150,2)),"")</f>
        <v/>
      </c>
      <c r="M3150">
        <f>IF(B3150,(1+Trend)^D3150,"")</f>
        <v/>
      </c>
      <c r="N3150">
        <f>IF(B3150,EXP(SUMPRODUCT(LN(1+(EvEff-1)*INDEX(Affected,0,C3150)*EXP(-((E3150-EvCenter)^2)/(2*EvSigma^2))))),"")</f>
        <v/>
      </c>
      <c r="O3150">
        <f>IF(B3150,ROUND(MAX(0,J3150*K3150*L3150*M3150*N3150),2),"")</f>
        <v/>
      </c>
    </row>
    <row r="3151">
      <c r="A3151" t="n">
        <v>3150</v>
      </c>
      <c r="B3151">
        <f>A3151&lt;=MineCount*Days</f>
        <v/>
      </c>
      <c r="C3151">
        <f>IF(B3151,INT((A3151-1)/Days)+1,"")</f>
        <v/>
      </c>
      <c r="D3151">
        <f>IF(B3151,MOD(A3151-1,Days),"")</f>
        <v/>
      </c>
      <c r="E3151" s="16">
        <f>IF(B3151,StartDate+D3151,"")</f>
        <v/>
      </c>
      <c r="F3151">
        <f>IF(B3151,MAX(MOD(SIN(Seed*0.1373+C3151*12.9898+D3151*78.233)*43758.5453,1),1E-9),"")</f>
        <v/>
      </c>
      <c r="G3151">
        <f>IF(B3151,MOD(SIN(Seed*0.5917+C3151*39.3468+D3151*11.135)*24634.6345,1),"")</f>
        <v/>
      </c>
      <c r="H3151">
        <f>IF(B3151,SQRT(-2*LN(F3151))*COS(2*PI()*G3151),"")</f>
        <v/>
      </c>
      <c r="I3151">
        <f>IF(B3151,IF(D3151=0,H3151,Rho*I3150+SQRT(1-Rho^2)*H3151),"")</f>
        <v/>
      </c>
      <c r="J3151">
        <f>IF(B3151,IF(Dist="Normal",DistA+DistB*I3151,DistA+(DistB-DistA)*NORMSDIST(I3151)),"")</f>
        <v/>
      </c>
      <c r="K3151">
        <f>IF(B3151,INDEX(MineScale,C3151),"")</f>
        <v/>
      </c>
      <c r="L3151">
        <f>IF(B3151,INDEX(Dow,1,WEEKDAY(E3151,2)),"")</f>
        <v/>
      </c>
      <c r="M3151">
        <f>IF(B3151,(1+Trend)^D3151,"")</f>
        <v/>
      </c>
      <c r="N3151">
        <f>IF(B3151,EXP(SUMPRODUCT(LN(1+(EvEff-1)*INDEX(Affected,0,C3151)*EXP(-((E3151-EvCenter)^2)/(2*EvSigma^2))))),"")</f>
        <v/>
      </c>
      <c r="O3151">
        <f>IF(B3151,ROUND(MAX(0,J3151*K3151*L3151*M3151*N3151),2),"")</f>
        <v/>
      </c>
    </row>
    <row r="3152">
      <c r="A3152" t="n">
        <v>3151</v>
      </c>
      <c r="B3152">
        <f>A3152&lt;=MineCount*Days</f>
        <v/>
      </c>
      <c r="C3152">
        <f>IF(B3152,INT((A3152-1)/Days)+1,"")</f>
        <v/>
      </c>
      <c r="D3152">
        <f>IF(B3152,MOD(A3152-1,Days),"")</f>
        <v/>
      </c>
      <c r="E3152" s="16">
        <f>IF(B3152,StartDate+D3152,"")</f>
        <v/>
      </c>
      <c r="F3152">
        <f>IF(B3152,MAX(MOD(SIN(Seed*0.1373+C3152*12.9898+D3152*78.233)*43758.5453,1),1E-9),"")</f>
        <v/>
      </c>
      <c r="G3152">
        <f>IF(B3152,MOD(SIN(Seed*0.5917+C3152*39.3468+D3152*11.135)*24634.6345,1),"")</f>
        <v/>
      </c>
      <c r="H3152">
        <f>IF(B3152,SQRT(-2*LN(F3152))*COS(2*PI()*G3152),"")</f>
        <v/>
      </c>
      <c r="I3152">
        <f>IF(B3152,IF(D3152=0,H3152,Rho*I3151+SQRT(1-Rho^2)*H3152),"")</f>
        <v/>
      </c>
      <c r="J3152">
        <f>IF(B3152,IF(Dist="Normal",DistA+DistB*I3152,DistA+(DistB-DistA)*NORMSDIST(I3152)),"")</f>
        <v/>
      </c>
      <c r="K3152">
        <f>IF(B3152,INDEX(MineScale,C3152),"")</f>
        <v/>
      </c>
      <c r="L3152">
        <f>IF(B3152,INDEX(Dow,1,WEEKDAY(E3152,2)),"")</f>
        <v/>
      </c>
      <c r="M3152">
        <f>IF(B3152,(1+Trend)^D3152,"")</f>
        <v/>
      </c>
      <c r="N3152">
        <f>IF(B3152,EXP(SUMPRODUCT(LN(1+(EvEff-1)*INDEX(Affected,0,C3152)*EXP(-((E3152-EvCenter)^2)/(2*EvSigma^2))))),"")</f>
        <v/>
      </c>
      <c r="O3152">
        <f>IF(B3152,ROUND(MAX(0,J3152*K3152*L3152*M3152*N3152),2),"")</f>
        <v/>
      </c>
    </row>
    <row r="3153">
      <c r="A3153" t="n">
        <v>3152</v>
      </c>
      <c r="B3153">
        <f>A3153&lt;=MineCount*Days</f>
        <v/>
      </c>
      <c r="C3153">
        <f>IF(B3153,INT((A3153-1)/Days)+1,"")</f>
        <v/>
      </c>
      <c r="D3153">
        <f>IF(B3153,MOD(A3153-1,Days),"")</f>
        <v/>
      </c>
      <c r="E3153" s="16">
        <f>IF(B3153,StartDate+D3153,"")</f>
        <v/>
      </c>
      <c r="F3153">
        <f>IF(B3153,MAX(MOD(SIN(Seed*0.1373+C3153*12.9898+D3153*78.233)*43758.5453,1),1E-9),"")</f>
        <v/>
      </c>
      <c r="G3153">
        <f>IF(B3153,MOD(SIN(Seed*0.5917+C3153*39.3468+D3153*11.135)*24634.6345,1),"")</f>
        <v/>
      </c>
      <c r="H3153">
        <f>IF(B3153,SQRT(-2*LN(F3153))*COS(2*PI()*G3153),"")</f>
        <v/>
      </c>
      <c r="I3153">
        <f>IF(B3153,IF(D3153=0,H3153,Rho*I3152+SQRT(1-Rho^2)*H3153),"")</f>
        <v/>
      </c>
      <c r="J3153">
        <f>IF(B3153,IF(Dist="Normal",DistA+DistB*I3153,DistA+(DistB-DistA)*NORMSDIST(I3153)),"")</f>
        <v/>
      </c>
      <c r="K3153">
        <f>IF(B3153,INDEX(MineScale,C3153),"")</f>
        <v/>
      </c>
      <c r="L3153">
        <f>IF(B3153,INDEX(Dow,1,WEEKDAY(E3153,2)),"")</f>
        <v/>
      </c>
      <c r="M3153">
        <f>IF(B3153,(1+Trend)^D3153,"")</f>
        <v/>
      </c>
      <c r="N3153">
        <f>IF(B3153,EXP(SUMPRODUCT(LN(1+(EvEff-1)*INDEX(Affected,0,C3153)*EXP(-((E3153-EvCenter)^2)/(2*EvSigma^2))))),"")</f>
        <v/>
      </c>
      <c r="O3153">
        <f>IF(B3153,ROUND(MAX(0,J3153*K3153*L3153*M3153*N3153),2),"")</f>
        <v/>
      </c>
    </row>
    <row r="3154">
      <c r="A3154" t="n">
        <v>3153</v>
      </c>
      <c r="B3154">
        <f>A3154&lt;=MineCount*Days</f>
        <v/>
      </c>
      <c r="C3154">
        <f>IF(B3154,INT((A3154-1)/Days)+1,"")</f>
        <v/>
      </c>
      <c r="D3154">
        <f>IF(B3154,MOD(A3154-1,Days),"")</f>
        <v/>
      </c>
      <c r="E3154" s="16">
        <f>IF(B3154,StartDate+D3154,"")</f>
        <v/>
      </c>
      <c r="F3154">
        <f>IF(B3154,MAX(MOD(SIN(Seed*0.1373+C3154*12.9898+D3154*78.233)*43758.5453,1),1E-9),"")</f>
        <v/>
      </c>
      <c r="G3154">
        <f>IF(B3154,MOD(SIN(Seed*0.5917+C3154*39.3468+D3154*11.135)*24634.6345,1),"")</f>
        <v/>
      </c>
      <c r="H3154">
        <f>IF(B3154,SQRT(-2*LN(F3154))*COS(2*PI()*G3154),"")</f>
        <v/>
      </c>
      <c r="I3154">
        <f>IF(B3154,IF(D3154=0,H3154,Rho*I3153+SQRT(1-Rho^2)*H3154),"")</f>
        <v/>
      </c>
      <c r="J3154">
        <f>IF(B3154,IF(Dist="Normal",DistA+DistB*I3154,DistA+(DistB-DistA)*NORMSDIST(I3154)),"")</f>
        <v/>
      </c>
      <c r="K3154">
        <f>IF(B3154,INDEX(MineScale,C3154),"")</f>
        <v/>
      </c>
      <c r="L3154">
        <f>IF(B3154,INDEX(Dow,1,WEEKDAY(E3154,2)),"")</f>
        <v/>
      </c>
      <c r="M3154">
        <f>IF(B3154,(1+Trend)^D3154,"")</f>
        <v/>
      </c>
      <c r="N3154">
        <f>IF(B3154,EXP(SUMPRODUCT(LN(1+(EvEff-1)*INDEX(Affected,0,C3154)*EXP(-((E3154-EvCenter)^2)/(2*EvSigma^2))))),"")</f>
        <v/>
      </c>
      <c r="O3154">
        <f>IF(B3154,ROUND(MAX(0,J3154*K3154*L3154*M3154*N3154),2),"")</f>
        <v/>
      </c>
    </row>
    <row r="3155">
      <c r="A3155" t="n">
        <v>3154</v>
      </c>
      <c r="B3155">
        <f>A3155&lt;=MineCount*Days</f>
        <v/>
      </c>
      <c r="C3155">
        <f>IF(B3155,INT((A3155-1)/Days)+1,"")</f>
        <v/>
      </c>
      <c r="D3155">
        <f>IF(B3155,MOD(A3155-1,Days),"")</f>
        <v/>
      </c>
      <c r="E3155" s="16">
        <f>IF(B3155,StartDate+D3155,"")</f>
        <v/>
      </c>
      <c r="F3155">
        <f>IF(B3155,MAX(MOD(SIN(Seed*0.1373+C3155*12.9898+D3155*78.233)*43758.5453,1),1E-9),"")</f>
        <v/>
      </c>
      <c r="G3155">
        <f>IF(B3155,MOD(SIN(Seed*0.5917+C3155*39.3468+D3155*11.135)*24634.6345,1),"")</f>
        <v/>
      </c>
      <c r="H3155">
        <f>IF(B3155,SQRT(-2*LN(F3155))*COS(2*PI()*G3155),"")</f>
        <v/>
      </c>
      <c r="I3155">
        <f>IF(B3155,IF(D3155=0,H3155,Rho*I3154+SQRT(1-Rho^2)*H3155),"")</f>
        <v/>
      </c>
      <c r="J3155">
        <f>IF(B3155,IF(Dist="Normal",DistA+DistB*I3155,DistA+(DistB-DistA)*NORMSDIST(I3155)),"")</f>
        <v/>
      </c>
      <c r="K3155">
        <f>IF(B3155,INDEX(MineScale,C3155),"")</f>
        <v/>
      </c>
      <c r="L3155">
        <f>IF(B3155,INDEX(Dow,1,WEEKDAY(E3155,2)),"")</f>
        <v/>
      </c>
      <c r="M3155">
        <f>IF(B3155,(1+Trend)^D3155,"")</f>
        <v/>
      </c>
      <c r="N3155">
        <f>IF(B3155,EXP(SUMPRODUCT(LN(1+(EvEff-1)*INDEX(Affected,0,C3155)*EXP(-((E3155-EvCenter)^2)/(2*EvSigma^2))))),"")</f>
        <v/>
      </c>
      <c r="O3155">
        <f>IF(B3155,ROUND(MAX(0,J3155*K3155*L3155*M3155*N3155),2),"")</f>
        <v/>
      </c>
    </row>
    <row r="3156">
      <c r="A3156" t="n">
        <v>3155</v>
      </c>
      <c r="B3156">
        <f>A3156&lt;=MineCount*Days</f>
        <v/>
      </c>
      <c r="C3156">
        <f>IF(B3156,INT((A3156-1)/Days)+1,"")</f>
        <v/>
      </c>
      <c r="D3156">
        <f>IF(B3156,MOD(A3156-1,Days),"")</f>
        <v/>
      </c>
      <c r="E3156" s="16">
        <f>IF(B3156,StartDate+D3156,"")</f>
        <v/>
      </c>
      <c r="F3156">
        <f>IF(B3156,MAX(MOD(SIN(Seed*0.1373+C3156*12.9898+D3156*78.233)*43758.5453,1),1E-9),"")</f>
        <v/>
      </c>
      <c r="G3156">
        <f>IF(B3156,MOD(SIN(Seed*0.5917+C3156*39.3468+D3156*11.135)*24634.6345,1),"")</f>
        <v/>
      </c>
      <c r="H3156">
        <f>IF(B3156,SQRT(-2*LN(F3156))*COS(2*PI()*G3156),"")</f>
        <v/>
      </c>
      <c r="I3156">
        <f>IF(B3156,IF(D3156=0,H3156,Rho*I3155+SQRT(1-Rho^2)*H3156),"")</f>
        <v/>
      </c>
      <c r="J3156">
        <f>IF(B3156,IF(Dist="Normal",DistA+DistB*I3156,DistA+(DistB-DistA)*NORMSDIST(I3156)),"")</f>
        <v/>
      </c>
      <c r="K3156">
        <f>IF(B3156,INDEX(MineScale,C3156),"")</f>
        <v/>
      </c>
      <c r="L3156">
        <f>IF(B3156,INDEX(Dow,1,WEEKDAY(E3156,2)),"")</f>
        <v/>
      </c>
      <c r="M3156">
        <f>IF(B3156,(1+Trend)^D3156,"")</f>
        <v/>
      </c>
      <c r="N3156">
        <f>IF(B3156,EXP(SUMPRODUCT(LN(1+(EvEff-1)*INDEX(Affected,0,C3156)*EXP(-((E3156-EvCenter)^2)/(2*EvSigma^2))))),"")</f>
        <v/>
      </c>
      <c r="O3156">
        <f>IF(B3156,ROUND(MAX(0,J3156*K3156*L3156*M3156*N3156),2),"")</f>
        <v/>
      </c>
    </row>
    <row r="3157">
      <c r="A3157" t="n">
        <v>3156</v>
      </c>
      <c r="B3157">
        <f>A3157&lt;=MineCount*Days</f>
        <v/>
      </c>
      <c r="C3157">
        <f>IF(B3157,INT((A3157-1)/Days)+1,"")</f>
        <v/>
      </c>
      <c r="D3157">
        <f>IF(B3157,MOD(A3157-1,Days),"")</f>
        <v/>
      </c>
      <c r="E3157" s="16">
        <f>IF(B3157,StartDate+D3157,"")</f>
        <v/>
      </c>
      <c r="F3157">
        <f>IF(B3157,MAX(MOD(SIN(Seed*0.1373+C3157*12.9898+D3157*78.233)*43758.5453,1),1E-9),"")</f>
        <v/>
      </c>
      <c r="G3157">
        <f>IF(B3157,MOD(SIN(Seed*0.5917+C3157*39.3468+D3157*11.135)*24634.6345,1),"")</f>
        <v/>
      </c>
      <c r="H3157">
        <f>IF(B3157,SQRT(-2*LN(F3157))*COS(2*PI()*G3157),"")</f>
        <v/>
      </c>
      <c r="I3157">
        <f>IF(B3157,IF(D3157=0,H3157,Rho*I3156+SQRT(1-Rho^2)*H3157),"")</f>
        <v/>
      </c>
      <c r="J3157">
        <f>IF(B3157,IF(Dist="Normal",DistA+DistB*I3157,DistA+(DistB-DistA)*NORMSDIST(I3157)),"")</f>
        <v/>
      </c>
      <c r="K3157">
        <f>IF(B3157,INDEX(MineScale,C3157),"")</f>
        <v/>
      </c>
      <c r="L3157">
        <f>IF(B3157,INDEX(Dow,1,WEEKDAY(E3157,2)),"")</f>
        <v/>
      </c>
      <c r="M3157">
        <f>IF(B3157,(1+Trend)^D3157,"")</f>
        <v/>
      </c>
      <c r="N3157">
        <f>IF(B3157,EXP(SUMPRODUCT(LN(1+(EvEff-1)*INDEX(Affected,0,C3157)*EXP(-((E3157-EvCenter)^2)/(2*EvSigma^2))))),"")</f>
        <v/>
      </c>
      <c r="O3157">
        <f>IF(B3157,ROUND(MAX(0,J3157*K3157*L3157*M3157*N3157),2),"")</f>
        <v/>
      </c>
    </row>
    <row r="3158">
      <c r="A3158" t="n">
        <v>3157</v>
      </c>
      <c r="B3158">
        <f>A3158&lt;=MineCount*Days</f>
        <v/>
      </c>
      <c r="C3158">
        <f>IF(B3158,INT((A3158-1)/Days)+1,"")</f>
        <v/>
      </c>
      <c r="D3158">
        <f>IF(B3158,MOD(A3158-1,Days),"")</f>
        <v/>
      </c>
      <c r="E3158" s="16">
        <f>IF(B3158,StartDate+D3158,"")</f>
        <v/>
      </c>
      <c r="F3158">
        <f>IF(B3158,MAX(MOD(SIN(Seed*0.1373+C3158*12.9898+D3158*78.233)*43758.5453,1),1E-9),"")</f>
        <v/>
      </c>
      <c r="G3158">
        <f>IF(B3158,MOD(SIN(Seed*0.5917+C3158*39.3468+D3158*11.135)*24634.6345,1),"")</f>
        <v/>
      </c>
      <c r="H3158">
        <f>IF(B3158,SQRT(-2*LN(F3158))*COS(2*PI()*G3158),"")</f>
        <v/>
      </c>
      <c r="I3158">
        <f>IF(B3158,IF(D3158=0,H3158,Rho*I3157+SQRT(1-Rho^2)*H3158),"")</f>
        <v/>
      </c>
      <c r="J3158">
        <f>IF(B3158,IF(Dist="Normal",DistA+DistB*I3158,DistA+(DistB-DistA)*NORMSDIST(I3158)),"")</f>
        <v/>
      </c>
      <c r="K3158">
        <f>IF(B3158,INDEX(MineScale,C3158),"")</f>
        <v/>
      </c>
      <c r="L3158">
        <f>IF(B3158,INDEX(Dow,1,WEEKDAY(E3158,2)),"")</f>
        <v/>
      </c>
      <c r="M3158">
        <f>IF(B3158,(1+Trend)^D3158,"")</f>
        <v/>
      </c>
      <c r="N3158">
        <f>IF(B3158,EXP(SUMPRODUCT(LN(1+(EvEff-1)*INDEX(Affected,0,C3158)*EXP(-((E3158-EvCenter)^2)/(2*EvSigma^2))))),"")</f>
        <v/>
      </c>
      <c r="O3158">
        <f>IF(B3158,ROUND(MAX(0,J3158*K3158*L3158*M3158*N3158),2),"")</f>
        <v/>
      </c>
    </row>
    <row r="3159">
      <c r="A3159" t="n">
        <v>3158</v>
      </c>
      <c r="B3159">
        <f>A3159&lt;=MineCount*Days</f>
        <v/>
      </c>
      <c r="C3159">
        <f>IF(B3159,INT((A3159-1)/Days)+1,"")</f>
        <v/>
      </c>
      <c r="D3159">
        <f>IF(B3159,MOD(A3159-1,Days),"")</f>
        <v/>
      </c>
      <c r="E3159" s="16">
        <f>IF(B3159,StartDate+D3159,"")</f>
        <v/>
      </c>
      <c r="F3159">
        <f>IF(B3159,MAX(MOD(SIN(Seed*0.1373+C3159*12.9898+D3159*78.233)*43758.5453,1),1E-9),"")</f>
        <v/>
      </c>
      <c r="G3159">
        <f>IF(B3159,MOD(SIN(Seed*0.5917+C3159*39.3468+D3159*11.135)*24634.6345,1),"")</f>
        <v/>
      </c>
      <c r="H3159">
        <f>IF(B3159,SQRT(-2*LN(F3159))*COS(2*PI()*G3159),"")</f>
        <v/>
      </c>
      <c r="I3159">
        <f>IF(B3159,IF(D3159=0,H3159,Rho*I3158+SQRT(1-Rho^2)*H3159),"")</f>
        <v/>
      </c>
      <c r="J3159">
        <f>IF(B3159,IF(Dist="Normal",DistA+DistB*I3159,DistA+(DistB-DistA)*NORMSDIST(I3159)),"")</f>
        <v/>
      </c>
      <c r="K3159">
        <f>IF(B3159,INDEX(MineScale,C3159),"")</f>
        <v/>
      </c>
      <c r="L3159">
        <f>IF(B3159,INDEX(Dow,1,WEEKDAY(E3159,2)),"")</f>
        <v/>
      </c>
      <c r="M3159">
        <f>IF(B3159,(1+Trend)^D3159,"")</f>
        <v/>
      </c>
      <c r="N3159">
        <f>IF(B3159,EXP(SUMPRODUCT(LN(1+(EvEff-1)*INDEX(Affected,0,C3159)*EXP(-((E3159-EvCenter)^2)/(2*EvSigma^2))))),"")</f>
        <v/>
      </c>
      <c r="O3159">
        <f>IF(B3159,ROUND(MAX(0,J3159*K3159*L3159*M3159*N3159),2),"")</f>
        <v/>
      </c>
    </row>
    <row r="3160">
      <c r="A3160" t="n">
        <v>3159</v>
      </c>
      <c r="B3160">
        <f>A3160&lt;=MineCount*Days</f>
        <v/>
      </c>
      <c r="C3160">
        <f>IF(B3160,INT((A3160-1)/Days)+1,"")</f>
        <v/>
      </c>
      <c r="D3160">
        <f>IF(B3160,MOD(A3160-1,Days),"")</f>
        <v/>
      </c>
      <c r="E3160" s="16">
        <f>IF(B3160,StartDate+D3160,"")</f>
        <v/>
      </c>
      <c r="F3160">
        <f>IF(B3160,MAX(MOD(SIN(Seed*0.1373+C3160*12.9898+D3160*78.233)*43758.5453,1),1E-9),"")</f>
        <v/>
      </c>
      <c r="G3160">
        <f>IF(B3160,MOD(SIN(Seed*0.5917+C3160*39.3468+D3160*11.135)*24634.6345,1),"")</f>
        <v/>
      </c>
      <c r="H3160">
        <f>IF(B3160,SQRT(-2*LN(F3160))*COS(2*PI()*G3160),"")</f>
        <v/>
      </c>
      <c r="I3160">
        <f>IF(B3160,IF(D3160=0,H3160,Rho*I3159+SQRT(1-Rho^2)*H3160),"")</f>
        <v/>
      </c>
      <c r="J3160">
        <f>IF(B3160,IF(Dist="Normal",DistA+DistB*I3160,DistA+(DistB-DistA)*NORMSDIST(I3160)),"")</f>
        <v/>
      </c>
      <c r="K3160">
        <f>IF(B3160,INDEX(MineScale,C3160),"")</f>
        <v/>
      </c>
      <c r="L3160">
        <f>IF(B3160,INDEX(Dow,1,WEEKDAY(E3160,2)),"")</f>
        <v/>
      </c>
      <c r="M3160">
        <f>IF(B3160,(1+Trend)^D3160,"")</f>
        <v/>
      </c>
      <c r="N3160">
        <f>IF(B3160,EXP(SUMPRODUCT(LN(1+(EvEff-1)*INDEX(Affected,0,C3160)*EXP(-((E3160-EvCenter)^2)/(2*EvSigma^2))))),"")</f>
        <v/>
      </c>
      <c r="O3160">
        <f>IF(B3160,ROUND(MAX(0,J3160*K3160*L3160*M3160*N3160),2),"")</f>
        <v/>
      </c>
    </row>
    <row r="3161">
      <c r="A3161" t="n">
        <v>3160</v>
      </c>
      <c r="B3161">
        <f>A3161&lt;=MineCount*Days</f>
        <v/>
      </c>
      <c r="C3161">
        <f>IF(B3161,INT((A3161-1)/Days)+1,"")</f>
        <v/>
      </c>
      <c r="D3161">
        <f>IF(B3161,MOD(A3161-1,Days),"")</f>
        <v/>
      </c>
      <c r="E3161" s="16">
        <f>IF(B3161,StartDate+D3161,"")</f>
        <v/>
      </c>
      <c r="F3161">
        <f>IF(B3161,MAX(MOD(SIN(Seed*0.1373+C3161*12.9898+D3161*78.233)*43758.5453,1),1E-9),"")</f>
        <v/>
      </c>
      <c r="G3161">
        <f>IF(B3161,MOD(SIN(Seed*0.5917+C3161*39.3468+D3161*11.135)*24634.6345,1),"")</f>
        <v/>
      </c>
      <c r="H3161">
        <f>IF(B3161,SQRT(-2*LN(F3161))*COS(2*PI()*G3161),"")</f>
        <v/>
      </c>
      <c r="I3161">
        <f>IF(B3161,IF(D3161=0,H3161,Rho*I3160+SQRT(1-Rho^2)*H3161),"")</f>
        <v/>
      </c>
      <c r="J3161">
        <f>IF(B3161,IF(Dist="Normal",DistA+DistB*I3161,DistA+(DistB-DistA)*NORMSDIST(I3161)),"")</f>
        <v/>
      </c>
      <c r="K3161">
        <f>IF(B3161,INDEX(MineScale,C3161),"")</f>
        <v/>
      </c>
      <c r="L3161">
        <f>IF(B3161,INDEX(Dow,1,WEEKDAY(E3161,2)),"")</f>
        <v/>
      </c>
      <c r="M3161">
        <f>IF(B3161,(1+Trend)^D3161,"")</f>
        <v/>
      </c>
      <c r="N3161">
        <f>IF(B3161,EXP(SUMPRODUCT(LN(1+(EvEff-1)*INDEX(Affected,0,C3161)*EXP(-((E3161-EvCenter)^2)/(2*EvSigma^2))))),"")</f>
        <v/>
      </c>
      <c r="O3161">
        <f>IF(B3161,ROUND(MAX(0,J3161*K3161*L3161*M3161*N3161),2),"")</f>
        <v/>
      </c>
    </row>
    <row r="3162">
      <c r="A3162" t="n">
        <v>3161</v>
      </c>
      <c r="B3162">
        <f>A3162&lt;=MineCount*Days</f>
        <v/>
      </c>
      <c r="C3162">
        <f>IF(B3162,INT((A3162-1)/Days)+1,"")</f>
        <v/>
      </c>
      <c r="D3162">
        <f>IF(B3162,MOD(A3162-1,Days),"")</f>
        <v/>
      </c>
      <c r="E3162" s="16">
        <f>IF(B3162,StartDate+D3162,"")</f>
        <v/>
      </c>
      <c r="F3162">
        <f>IF(B3162,MAX(MOD(SIN(Seed*0.1373+C3162*12.9898+D3162*78.233)*43758.5453,1),1E-9),"")</f>
        <v/>
      </c>
      <c r="G3162">
        <f>IF(B3162,MOD(SIN(Seed*0.5917+C3162*39.3468+D3162*11.135)*24634.6345,1),"")</f>
        <v/>
      </c>
      <c r="H3162">
        <f>IF(B3162,SQRT(-2*LN(F3162))*COS(2*PI()*G3162),"")</f>
        <v/>
      </c>
      <c r="I3162">
        <f>IF(B3162,IF(D3162=0,H3162,Rho*I3161+SQRT(1-Rho^2)*H3162),"")</f>
        <v/>
      </c>
      <c r="J3162">
        <f>IF(B3162,IF(Dist="Normal",DistA+DistB*I3162,DistA+(DistB-DistA)*NORMSDIST(I3162)),"")</f>
        <v/>
      </c>
      <c r="K3162">
        <f>IF(B3162,INDEX(MineScale,C3162),"")</f>
        <v/>
      </c>
      <c r="L3162">
        <f>IF(B3162,INDEX(Dow,1,WEEKDAY(E3162,2)),"")</f>
        <v/>
      </c>
      <c r="M3162">
        <f>IF(B3162,(1+Trend)^D3162,"")</f>
        <v/>
      </c>
      <c r="N3162">
        <f>IF(B3162,EXP(SUMPRODUCT(LN(1+(EvEff-1)*INDEX(Affected,0,C3162)*EXP(-((E3162-EvCenter)^2)/(2*EvSigma^2))))),"")</f>
        <v/>
      </c>
      <c r="O3162">
        <f>IF(B3162,ROUND(MAX(0,J3162*K3162*L3162*M3162*N3162),2),"")</f>
        <v/>
      </c>
    </row>
    <row r="3163">
      <c r="A3163" t="n">
        <v>3162</v>
      </c>
      <c r="B3163">
        <f>A3163&lt;=MineCount*Days</f>
        <v/>
      </c>
      <c r="C3163">
        <f>IF(B3163,INT((A3163-1)/Days)+1,"")</f>
        <v/>
      </c>
      <c r="D3163">
        <f>IF(B3163,MOD(A3163-1,Days),"")</f>
        <v/>
      </c>
      <c r="E3163" s="16">
        <f>IF(B3163,StartDate+D3163,"")</f>
        <v/>
      </c>
      <c r="F3163">
        <f>IF(B3163,MAX(MOD(SIN(Seed*0.1373+C3163*12.9898+D3163*78.233)*43758.5453,1),1E-9),"")</f>
        <v/>
      </c>
      <c r="G3163">
        <f>IF(B3163,MOD(SIN(Seed*0.5917+C3163*39.3468+D3163*11.135)*24634.6345,1),"")</f>
        <v/>
      </c>
      <c r="H3163">
        <f>IF(B3163,SQRT(-2*LN(F3163))*COS(2*PI()*G3163),"")</f>
        <v/>
      </c>
      <c r="I3163">
        <f>IF(B3163,IF(D3163=0,H3163,Rho*I3162+SQRT(1-Rho^2)*H3163),"")</f>
        <v/>
      </c>
      <c r="J3163">
        <f>IF(B3163,IF(Dist="Normal",DistA+DistB*I3163,DistA+(DistB-DistA)*NORMSDIST(I3163)),"")</f>
        <v/>
      </c>
      <c r="K3163">
        <f>IF(B3163,INDEX(MineScale,C3163),"")</f>
        <v/>
      </c>
      <c r="L3163">
        <f>IF(B3163,INDEX(Dow,1,WEEKDAY(E3163,2)),"")</f>
        <v/>
      </c>
      <c r="M3163">
        <f>IF(B3163,(1+Trend)^D3163,"")</f>
        <v/>
      </c>
      <c r="N3163">
        <f>IF(B3163,EXP(SUMPRODUCT(LN(1+(EvEff-1)*INDEX(Affected,0,C3163)*EXP(-((E3163-EvCenter)^2)/(2*EvSigma^2))))),"")</f>
        <v/>
      </c>
      <c r="O3163">
        <f>IF(B3163,ROUND(MAX(0,J3163*K3163*L3163*M3163*N3163),2),"")</f>
        <v/>
      </c>
    </row>
    <row r="3164">
      <c r="A3164" t="n">
        <v>3163</v>
      </c>
      <c r="B3164">
        <f>A3164&lt;=MineCount*Days</f>
        <v/>
      </c>
      <c r="C3164">
        <f>IF(B3164,INT((A3164-1)/Days)+1,"")</f>
        <v/>
      </c>
      <c r="D3164">
        <f>IF(B3164,MOD(A3164-1,Days),"")</f>
        <v/>
      </c>
      <c r="E3164" s="16">
        <f>IF(B3164,StartDate+D3164,"")</f>
        <v/>
      </c>
      <c r="F3164">
        <f>IF(B3164,MAX(MOD(SIN(Seed*0.1373+C3164*12.9898+D3164*78.233)*43758.5453,1),1E-9),"")</f>
        <v/>
      </c>
      <c r="G3164">
        <f>IF(B3164,MOD(SIN(Seed*0.5917+C3164*39.3468+D3164*11.135)*24634.6345,1),"")</f>
        <v/>
      </c>
      <c r="H3164">
        <f>IF(B3164,SQRT(-2*LN(F3164))*COS(2*PI()*G3164),"")</f>
        <v/>
      </c>
      <c r="I3164">
        <f>IF(B3164,IF(D3164=0,H3164,Rho*I3163+SQRT(1-Rho^2)*H3164),"")</f>
        <v/>
      </c>
      <c r="J3164">
        <f>IF(B3164,IF(Dist="Normal",DistA+DistB*I3164,DistA+(DistB-DistA)*NORMSDIST(I3164)),"")</f>
        <v/>
      </c>
      <c r="K3164">
        <f>IF(B3164,INDEX(MineScale,C3164),"")</f>
        <v/>
      </c>
      <c r="L3164">
        <f>IF(B3164,INDEX(Dow,1,WEEKDAY(E3164,2)),"")</f>
        <v/>
      </c>
      <c r="M3164">
        <f>IF(B3164,(1+Trend)^D3164,"")</f>
        <v/>
      </c>
      <c r="N3164">
        <f>IF(B3164,EXP(SUMPRODUCT(LN(1+(EvEff-1)*INDEX(Affected,0,C3164)*EXP(-((E3164-EvCenter)^2)/(2*EvSigma^2))))),"")</f>
        <v/>
      </c>
      <c r="O3164">
        <f>IF(B3164,ROUND(MAX(0,J3164*K3164*L3164*M3164*N3164),2),"")</f>
        <v/>
      </c>
    </row>
    <row r="3165">
      <c r="A3165" t="n">
        <v>3164</v>
      </c>
      <c r="B3165">
        <f>A3165&lt;=MineCount*Days</f>
        <v/>
      </c>
      <c r="C3165">
        <f>IF(B3165,INT((A3165-1)/Days)+1,"")</f>
        <v/>
      </c>
      <c r="D3165">
        <f>IF(B3165,MOD(A3165-1,Days),"")</f>
        <v/>
      </c>
      <c r="E3165" s="16">
        <f>IF(B3165,StartDate+D3165,"")</f>
        <v/>
      </c>
      <c r="F3165">
        <f>IF(B3165,MAX(MOD(SIN(Seed*0.1373+C3165*12.9898+D3165*78.233)*43758.5453,1),1E-9),"")</f>
        <v/>
      </c>
      <c r="G3165">
        <f>IF(B3165,MOD(SIN(Seed*0.5917+C3165*39.3468+D3165*11.135)*24634.6345,1),"")</f>
        <v/>
      </c>
      <c r="H3165">
        <f>IF(B3165,SQRT(-2*LN(F3165))*COS(2*PI()*G3165),"")</f>
        <v/>
      </c>
      <c r="I3165">
        <f>IF(B3165,IF(D3165=0,H3165,Rho*I3164+SQRT(1-Rho^2)*H3165),"")</f>
        <v/>
      </c>
      <c r="J3165">
        <f>IF(B3165,IF(Dist="Normal",DistA+DistB*I3165,DistA+(DistB-DistA)*NORMSDIST(I3165)),"")</f>
        <v/>
      </c>
      <c r="K3165">
        <f>IF(B3165,INDEX(MineScale,C3165),"")</f>
        <v/>
      </c>
      <c r="L3165">
        <f>IF(B3165,INDEX(Dow,1,WEEKDAY(E3165,2)),"")</f>
        <v/>
      </c>
      <c r="M3165">
        <f>IF(B3165,(1+Trend)^D3165,"")</f>
        <v/>
      </c>
      <c r="N3165">
        <f>IF(B3165,EXP(SUMPRODUCT(LN(1+(EvEff-1)*INDEX(Affected,0,C3165)*EXP(-((E3165-EvCenter)^2)/(2*EvSigma^2))))),"")</f>
        <v/>
      </c>
      <c r="O3165">
        <f>IF(B3165,ROUND(MAX(0,J3165*K3165*L3165*M3165*N3165),2),"")</f>
        <v/>
      </c>
    </row>
    <row r="3166">
      <c r="A3166" t="n">
        <v>3165</v>
      </c>
      <c r="B3166">
        <f>A3166&lt;=MineCount*Days</f>
        <v/>
      </c>
      <c r="C3166">
        <f>IF(B3166,INT((A3166-1)/Days)+1,"")</f>
        <v/>
      </c>
      <c r="D3166">
        <f>IF(B3166,MOD(A3166-1,Days),"")</f>
        <v/>
      </c>
      <c r="E3166" s="16">
        <f>IF(B3166,StartDate+D3166,"")</f>
        <v/>
      </c>
      <c r="F3166">
        <f>IF(B3166,MAX(MOD(SIN(Seed*0.1373+C3166*12.9898+D3166*78.233)*43758.5453,1),1E-9),"")</f>
        <v/>
      </c>
      <c r="G3166">
        <f>IF(B3166,MOD(SIN(Seed*0.5917+C3166*39.3468+D3166*11.135)*24634.6345,1),"")</f>
        <v/>
      </c>
      <c r="H3166">
        <f>IF(B3166,SQRT(-2*LN(F3166))*COS(2*PI()*G3166),"")</f>
        <v/>
      </c>
      <c r="I3166">
        <f>IF(B3166,IF(D3166=0,H3166,Rho*I3165+SQRT(1-Rho^2)*H3166),"")</f>
        <v/>
      </c>
      <c r="J3166">
        <f>IF(B3166,IF(Dist="Normal",DistA+DistB*I3166,DistA+(DistB-DistA)*NORMSDIST(I3166)),"")</f>
        <v/>
      </c>
      <c r="K3166">
        <f>IF(B3166,INDEX(MineScale,C3166),"")</f>
        <v/>
      </c>
      <c r="L3166">
        <f>IF(B3166,INDEX(Dow,1,WEEKDAY(E3166,2)),"")</f>
        <v/>
      </c>
      <c r="M3166">
        <f>IF(B3166,(1+Trend)^D3166,"")</f>
        <v/>
      </c>
      <c r="N3166">
        <f>IF(B3166,EXP(SUMPRODUCT(LN(1+(EvEff-1)*INDEX(Affected,0,C3166)*EXP(-((E3166-EvCenter)^2)/(2*EvSigma^2))))),"")</f>
        <v/>
      </c>
      <c r="O3166">
        <f>IF(B3166,ROUND(MAX(0,J3166*K3166*L3166*M3166*N3166),2),"")</f>
        <v/>
      </c>
    </row>
    <row r="3167">
      <c r="A3167" t="n">
        <v>3166</v>
      </c>
      <c r="B3167">
        <f>A3167&lt;=MineCount*Days</f>
        <v/>
      </c>
      <c r="C3167">
        <f>IF(B3167,INT((A3167-1)/Days)+1,"")</f>
        <v/>
      </c>
      <c r="D3167">
        <f>IF(B3167,MOD(A3167-1,Days),"")</f>
        <v/>
      </c>
      <c r="E3167" s="16">
        <f>IF(B3167,StartDate+D3167,"")</f>
        <v/>
      </c>
      <c r="F3167">
        <f>IF(B3167,MAX(MOD(SIN(Seed*0.1373+C3167*12.9898+D3167*78.233)*43758.5453,1),1E-9),"")</f>
        <v/>
      </c>
      <c r="G3167">
        <f>IF(B3167,MOD(SIN(Seed*0.5917+C3167*39.3468+D3167*11.135)*24634.6345,1),"")</f>
        <v/>
      </c>
      <c r="H3167">
        <f>IF(B3167,SQRT(-2*LN(F3167))*COS(2*PI()*G3167),"")</f>
        <v/>
      </c>
      <c r="I3167">
        <f>IF(B3167,IF(D3167=0,H3167,Rho*I3166+SQRT(1-Rho^2)*H3167),"")</f>
        <v/>
      </c>
      <c r="J3167">
        <f>IF(B3167,IF(Dist="Normal",DistA+DistB*I3167,DistA+(DistB-DistA)*NORMSDIST(I3167)),"")</f>
        <v/>
      </c>
      <c r="K3167">
        <f>IF(B3167,INDEX(MineScale,C3167),"")</f>
        <v/>
      </c>
      <c r="L3167">
        <f>IF(B3167,INDEX(Dow,1,WEEKDAY(E3167,2)),"")</f>
        <v/>
      </c>
      <c r="M3167">
        <f>IF(B3167,(1+Trend)^D3167,"")</f>
        <v/>
      </c>
      <c r="N3167">
        <f>IF(B3167,EXP(SUMPRODUCT(LN(1+(EvEff-1)*INDEX(Affected,0,C3167)*EXP(-((E3167-EvCenter)^2)/(2*EvSigma^2))))),"")</f>
        <v/>
      </c>
      <c r="O3167">
        <f>IF(B3167,ROUND(MAX(0,J3167*K3167*L3167*M3167*N3167),2),"")</f>
        <v/>
      </c>
    </row>
    <row r="3168">
      <c r="A3168" t="n">
        <v>3167</v>
      </c>
      <c r="B3168">
        <f>A3168&lt;=MineCount*Days</f>
        <v/>
      </c>
      <c r="C3168">
        <f>IF(B3168,INT((A3168-1)/Days)+1,"")</f>
        <v/>
      </c>
      <c r="D3168">
        <f>IF(B3168,MOD(A3168-1,Days),"")</f>
        <v/>
      </c>
      <c r="E3168" s="16">
        <f>IF(B3168,StartDate+D3168,"")</f>
        <v/>
      </c>
      <c r="F3168">
        <f>IF(B3168,MAX(MOD(SIN(Seed*0.1373+C3168*12.9898+D3168*78.233)*43758.5453,1),1E-9),"")</f>
        <v/>
      </c>
      <c r="G3168">
        <f>IF(B3168,MOD(SIN(Seed*0.5917+C3168*39.3468+D3168*11.135)*24634.6345,1),"")</f>
        <v/>
      </c>
      <c r="H3168">
        <f>IF(B3168,SQRT(-2*LN(F3168))*COS(2*PI()*G3168),"")</f>
        <v/>
      </c>
      <c r="I3168">
        <f>IF(B3168,IF(D3168=0,H3168,Rho*I3167+SQRT(1-Rho^2)*H3168),"")</f>
        <v/>
      </c>
      <c r="J3168">
        <f>IF(B3168,IF(Dist="Normal",DistA+DistB*I3168,DistA+(DistB-DistA)*NORMSDIST(I3168)),"")</f>
        <v/>
      </c>
      <c r="K3168">
        <f>IF(B3168,INDEX(MineScale,C3168),"")</f>
        <v/>
      </c>
      <c r="L3168">
        <f>IF(B3168,INDEX(Dow,1,WEEKDAY(E3168,2)),"")</f>
        <v/>
      </c>
      <c r="M3168">
        <f>IF(B3168,(1+Trend)^D3168,"")</f>
        <v/>
      </c>
      <c r="N3168">
        <f>IF(B3168,EXP(SUMPRODUCT(LN(1+(EvEff-1)*INDEX(Affected,0,C3168)*EXP(-((E3168-EvCenter)^2)/(2*EvSigma^2))))),"")</f>
        <v/>
      </c>
      <c r="O3168">
        <f>IF(B3168,ROUND(MAX(0,J3168*K3168*L3168*M3168*N3168),2),"")</f>
        <v/>
      </c>
    </row>
    <row r="3169">
      <c r="A3169" t="n">
        <v>3168</v>
      </c>
      <c r="B3169">
        <f>A3169&lt;=MineCount*Days</f>
        <v/>
      </c>
      <c r="C3169">
        <f>IF(B3169,INT((A3169-1)/Days)+1,"")</f>
        <v/>
      </c>
      <c r="D3169">
        <f>IF(B3169,MOD(A3169-1,Days),"")</f>
        <v/>
      </c>
      <c r="E3169" s="16">
        <f>IF(B3169,StartDate+D3169,"")</f>
        <v/>
      </c>
      <c r="F3169">
        <f>IF(B3169,MAX(MOD(SIN(Seed*0.1373+C3169*12.9898+D3169*78.233)*43758.5453,1),1E-9),"")</f>
        <v/>
      </c>
      <c r="G3169">
        <f>IF(B3169,MOD(SIN(Seed*0.5917+C3169*39.3468+D3169*11.135)*24634.6345,1),"")</f>
        <v/>
      </c>
      <c r="H3169">
        <f>IF(B3169,SQRT(-2*LN(F3169))*COS(2*PI()*G3169),"")</f>
        <v/>
      </c>
      <c r="I3169">
        <f>IF(B3169,IF(D3169=0,H3169,Rho*I3168+SQRT(1-Rho^2)*H3169),"")</f>
        <v/>
      </c>
      <c r="J3169">
        <f>IF(B3169,IF(Dist="Normal",DistA+DistB*I3169,DistA+(DistB-DistA)*NORMSDIST(I3169)),"")</f>
        <v/>
      </c>
      <c r="K3169">
        <f>IF(B3169,INDEX(MineScale,C3169),"")</f>
        <v/>
      </c>
      <c r="L3169">
        <f>IF(B3169,INDEX(Dow,1,WEEKDAY(E3169,2)),"")</f>
        <v/>
      </c>
      <c r="M3169">
        <f>IF(B3169,(1+Trend)^D3169,"")</f>
        <v/>
      </c>
      <c r="N3169">
        <f>IF(B3169,EXP(SUMPRODUCT(LN(1+(EvEff-1)*INDEX(Affected,0,C3169)*EXP(-((E3169-EvCenter)^2)/(2*EvSigma^2))))),"")</f>
        <v/>
      </c>
      <c r="O3169">
        <f>IF(B3169,ROUND(MAX(0,J3169*K3169*L3169*M3169*N3169),2),"")</f>
        <v/>
      </c>
    </row>
    <row r="3170">
      <c r="A3170" t="n">
        <v>3169</v>
      </c>
      <c r="B3170">
        <f>A3170&lt;=MineCount*Days</f>
        <v/>
      </c>
      <c r="C3170">
        <f>IF(B3170,INT((A3170-1)/Days)+1,"")</f>
        <v/>
      </c>
      <c r="D3170">
        <f>IF(B3170,MOD(A3170-1,Days),"")</f>
        <v/>
      </c>
      <c r="E3170" s="16">
        <f>IF(B3170,StartDate+D3170,"")</f>
        <v/>
      </c>
      <c r="F3170">
        <f>IF(B3170,MAX(MOD(SIN(Seed*0.1373+C3170*12.9898+D3170*78.233)*43758.5453,1),1E-9),"")</f>
        <v/>
      </c>
      <c r="G3170">
        <f>IF(B3170,MOD(SIN(Seed*0.5917+C3170*39.3468+D3170*11.135)*24634.6345,1),"")</f>
        <v/>
      </c>
      <c r="H3170">
        <f>IF(B3170,SQRT(-2*LN(F3170))*COS(2*PI()*G3170),"")</f>
        <v/>
      </c>
      <c r="I3170">
        <f>IF(B3170,IF(D3170=0,H3170,Rho*I3169+SQRT(1-Rho^2)*H3170),"")</f>
        <v/>
      </c>
      <c r="J3170">
        <f>IF(B3170,IF(Dist="Normal",DistA+DistB*I3170,DistA+(DistB-DistA)*NORMSDIST(I3170)),"")</f>
        <v/>
      </c>
      <c r="K3170">
        <f>IF(B3170,INDEX(MineScale,C3170),"")</f>
        <v/>
      </c>
      <c r="L3170">
        <f>IF(B3170,INDEX(Dow,1,WEEKDAY(E3170,2)),"")</f>
        <v/>
      </c>
      <c r="M3170">
        <f>IF(B3170,(1+Trend)^D3170,"")</f>
        <v/>
      </c>
      <c r="N3170">
        <f>IF(B3170,EXP(SUMPRODUCT(LN(1+(EvEff-1)*INDEX(Affected,0,C3170)*EXP(-((E3170-EvCenter)^2)/(2*EvSigma^2))))),"")</f>
        <v/>
      </c>
      <c r="O3170">
        <f>IF(B3170,ROUND(MAX(0,J3170*K3170*L3170*M3170*N3170),2),"")</f>
        <v/>
      </c>
    </row>
    <row r="3171">
      <c r="A3171" t="n">
        <v>3170</v>
      </c>
      <c r="B3171">
        <f>A3171&lt;=MineCount*Days</f>
        <v/>
      </c>
      <c r="C3171">
        <f>IF(B3171,INT((A3171-1)/Days)+1,"")</f>
        <v/>
      </c>
      <c r="D3171">
        <f>IF(B3171,MOD(A3171-1,Days),"")</f>
        <v/>
      </c>
      <c r="E3171" s="16">
        <f>IF(B3171,StartDate+D3171,"")</f>
        <v/>
      </c>
      <c r="F3171">
        <f>IF(B3171,MAX(MOD(SIN(Seed*0.1373+C3171*12.9898+D3171*78.233)*43758.5453,1),1E-9),"")</f>
        <v/>
      </c>
      <c r="G3171">
        <f>IF(B3171,MOD(SIN(Seed*0.5917+C3171*39.3468+D3171*11.135)*24634.6345,1),"")</f>
        <v/>
      </c>
      <c r="H3171">
        <f>IF(B3171,SQRT(-2*LN(F3171))*COS(2*PI()*G3171),"")</f>
        <v/>
      </c>
      <c r="I3171">
        <f>IF(B3171,IF(D3171=0,H3171,Rho*I3170+SQRT(1-Rho^2)*H3171),"")</f>
        <v/>
      </c>
      <c r="J3171">
        <f>IF(B3171,IF(Dist="Normal",DistA+DistB*I3171,DistA+(DistB-DistA)*NORMSDIST(I3171)),"")</f>
        <v/>
      </c>
      <c r="K3171">
        <f>IF(B3171,INDEX(MineScale,C3171),"")</f>
        <v/>
      </c>
      <c r="L3171">
        <f>IF(B3171,INDEX(Dow,1,WEEKDAY(E3171,2)),"")</f>
        <v/>
      </c>
      <c r="M3171">
        <f>IF(B3171,(1+Trend)^D3171,"")</f>
        <v/>
      </c>
      <c r="N3171">
        <f>IF(B3171,EXP(SUMPRODUCT(LN(1+(EvEff-1)*INDEX(Affected,0,C3171)*EXP(-((E3171-EvCenter)^2)/(2*EvSigma^2))))),"")</f>
        <v/>
      </c>
      <c r="O3171">
        <f>IF(B3171,ROUND(MAX(0,J3171*K3171*L3171*M3171*N3171),2),"")</f>
        <v/>
      </c>
    </row>
    <row r="3172">
      <c r="A3172" t="n">
        <v>3171</v>
      </c>
      <c r="B3172">
        <f>A3172&lt;=MineCount*Days</f>
        <v/>
      </c>
      <c r="C3172">
        <f>IF(B3172,INT((A3172-1)/Days)+1,"")</f>
        <v/>
      </c>
      <c r="D3172">
        <f>IF(B3172,MOD(A3172-1,Days),"")</f>
        <v/>
      </c>
      <c r="E3172" s="16">
        <f>IF(B3172,StartDate+D3172,"")</f>
        <v/>
      </c>
      <c r="F3172">
        <f>IF(B3172,MAX(MOD(SIN(Seed*0.1373+C3172*12.9898+D3172*78.233)*43758.5453,1),1E-9),"")</f>
        <v/>
      </c>
      <c r="G3172">
        <f>IF(B3172,MOD(SIN(Seed*0.5917+C3172*39.3468+D3172*11.135)*24634.6345,1),"")</f>
        <v/>
      </c>
      <c r="H3172">
        <f>IF(B3172,SQRT(-2*LN(F3172))*COS(2*PI()*G3172),"")</f>
        <v/>
      </c>
      <c r="I3172">
        <f>IF(B3172,IF(D3172=0,H3172,Rho*I3171+SQRT(1-Rho^2)*H3172),"")</f>
        <v/>
      </c>
      <c r="J3172">
        <f>IF(B3172,IF(Dist="Normal",DistA+DistB*I3172,DistA+(DistB-DistA)*NORMSDIST(I3172)),"")</f>
        <v/>
      </c>
      <c r="K3172">
        <f>IF(B3172,INDEX(MineScale,C3172),"")</f>
        <v/>
      </c>
      <c r="L3172">
        <f>IF(B3172,INDEX(Dow,1,WEEKDAY(E3172,2)),"")</f>
        <v/>
      </c>
      <c r="M3172">
        <f>IF(B3172,(1+Trend)^D3172,"")</f>
        <v/>
      </c>
      <c r="N3172">
        <f>IF(B3172,EXP(SUMPRODUCT(LN(1+(EvEff-1)*INDEX(Affected,0,C3172)*EXP(-((E3172-EvCenter)^2)/(2*EvSigma^2))))),"")</f>
        <v/>
      </c>
      <c r="O3172">
        <f>IF(B3172,ROUND(MAX(0,J3172*K3172*L3172*M3172*N3172),2),"")</f>
        <v/>
      </c>
    </row>
    <row r="3173">
      <c r="A3173" t="n">
        <v>3172</v>
      </c>
      <c r="B3173">
        <f>A3173&lt;=MineCount*Days</f>
        <v/>
      </c>
      <c r="C3173">
        <f>IF(B3173,INT((A3173-1)/Days)+1,"")</f>
        <v/>
      </c>
      <c r="D3173">
        <f>IF(B3173,MOD(A3173-1,Days),"")</f>
        <v/>
      </c>
      <c r="E3173" s="16">
        <f>IF(B3173,StartDate+D3173,"")</f>
        <v/>
      </c>
      <c r="F3173">
        <f>IF(B3173,MAX(MOD(SIN(Seed*0.1373+C3173*12.9898+D3173*78.233)*43758.5453,1),1E-9),"")</f>
        <v/>
      </c>
      <c r="G3173">
        <f>IF(B3173,MOD(SIN(Seed*0.5917+C3173*39.3468+D3173*11.135)*24634.6345,1),"")</f>
        <v/>
      </c>
      <c r="H3173">
        <f>IF(B3173,SQRT(-2*LN(F3173))*COS(2*PI()*G3173),"")</f>
        <v/>
      </c>
      <c r="I3173">
        <f>IF(B3173,IF(D3173=0,H3173,Rho*I3172+SQRT(1-Rho^2)*H3173),"")</f>
        <v/>
      </c>
      <c r="J3173">
        <f>IF(B3173,IF(Dist="Normal",DistA+DistB*I3173,DistA+(DistB-DistA)*NORMSDIST(I3173)),"")</f>
        <v/>
      </c>
      <c r="K3173">
        <f>IF(B3173,INDEX(MineScale,C3173),"")</f>
        <v/>
      </c>
      <c r="L3173">
        <f>IF(B3173,INDEX(Dow,1,WEEKDAY(E3173,2)),"")</f>
        <v/>
      </c>
      <c r="M3173">
        <f>IF(B3173,(1+Trend)^D3173,"")</f>
        <v/>
      </c>
      <c r="N3173">
        <f>IF(B3173,EXP(SUMPRODUCT(LN(1+(EvEff-1)*INDEX(Affected,0,C3173)*EXP(-((E3173-EvCenter)^2)/(2*EvSigma^2))))),"")</f>
        <v/>
      </c>
      <c r="O3173">
        <f>IF(B3173,ROUND(MAX(0,J3173*K3173*L3173*M3173*N3173),2),"")</f>
        <v/>
      </c>
    </row>
    <row r="3174">
      <c r="A3174" t="n">
        <v>3173</v>
      </c>
      <c r="B3174">
        <f>A3174&lt;=MineCount*Days</f>
        <v/>
      </c>
      <c r="C3174">
        <f>IF(B3174,INT((A3174-1)/Days)+1,"")</f>
        <v/>
      </c>
      <c r="D3174">
        <f>IF(B3174,MOD(A3174-1,Days),"")</f>
        <v/>
      </c>
      <c r="E3174" s="16">
        <f>IF(B3174,StartDate+D3174,"")</f>
        <v/>
      </c>
      <c r="F3174">
        <f>IF(B3174,MAX(MOD(SIN(Seed*0.1373+C3174*12.9898+D3174*78.233)*43758.5453,1),1E-9),"")</f>
        <v/>
      </c>
      <c r="G3174">
        <f>IF(B3174,MOD(SIN(Seed*0.5917+C3174*39.3468+D3174*11.135)*24634.6345,1),"")</f>
        <v/>
      </c>
      <c r="H3174">
        <f>IF(B3174,SQRT(-2*LN(F3174))*COS(2*PI()*G3174),"")</f>
        <v/>
      </c>
      <c r="I3174">
        <f>IF(B3174,IF(D3174=0,H3174,Rho*I3173+SQRT(1-Rho^2)*H3174),"")</f>
        <v/>
      </c>
      <c r="J3174">
        <f>IF(B3174,IF(Dist="Normal",DistA+DistB*I3174,DistA+(DistB-DistA)*NORMSDIST(I3174)),"")</f>
        <v/>
      </c>
      <c r="K3174">
        <f>IF(B3174,INDEX(MineScale,C3174),"")</f>
        <v/>
      </c>
      <c r="L3174">
        <f>IF(B3174,INDEX(Dow,1,WEEKDAY(E3174,2)),"")</f>
        <v/>
      </c>
      <c r="M3174">
        <f>IF(B3174,(1+Trend)^D3174,"")</f>
        <v/>
      </c>
      <c r="N3174">
        <f>IF(B3174,EXP(SUMPRODUCT(LN(1+(EvEff-1)*INDEX(Affected,0,C3174)*EXP(-((E3174-EvCenter)^2)/(2*EvSigma^2))))),"")</f>
        <v/>
      </c>
      <c r="O3174">
        <f>IF(B3174,ROUND(MAX(0,J3174*K3174*L3174*M3174*N3174),2),"")</f>
        <v/>
      </c>
    </row>
    <row r="3175">
      <c r="A3175" t="n">
        <v>3174</v>
      </c>
      <c r="B3175">
        <f>A3175&lt;=MineCount*Days</f>
        <v/>
      </c>
      <c r="C3175">
        <f>IF(B3175,INT((A3175-1)/Days)+1,"")</f>
        <v/>
      </c>
      <c r="D3175">
        <f>IF(B3175,MOD(A3175-1,Days),"")</f>
        <v/>
      </c>
      <c r="E3175" s="16">
        <f>IF(B3175,StartDate+D3175,"")</f>
        <v/>
      </c>
      <c r="F3175">
        <f>IF(B3175,MAX(MOD(SIN(Seed*0.1373+C3175*12.9898+D3175*78.233)*43758.5453,1),1E-9),"")</f>
        <v/>
      </c>
      <c r="G3175">
        <f>IF(B3175,MOD(SIN(Seed*0.5917+C3175*39.3468+D3175*11.135)*24634.6345,1),"")</f>
        <v/>
      </c>
      <c r="H3175">
        <f>IF(B3175,SQRT(-2*LN(F3175))*COS(2*PI()*G3175),"")</f>
        <v/>
      </c>
      <c r="I3175">
        <f>IF(B3175,IF(D3175=0,H3175,Rho*I3174+SQRT(1-Rho^2)*H3175),"")</f>
        <v/>
      </c>
      <c r="J3175">
        <f>IF(B3175,IF(Dist="Normal",DistA+DistB*I3175,DistA+(DistB-DistA)*NORMSDIST(I3175)),"")</f>
        <v/>
      </c>
      <c r="K3175">
        <f>IF(B3175,INDEX(MineScale,C3175),"")</f>
        <v/>
      </c>
      <c r="L3175">
        <f>IF(B3175,INDEX(Dow,1,WEEKDAY(E3175,2)),"")</f>
        <v/>
      </c>
      <c r="M3175">
        <f>IF(B3175,(1+Trend)^D3175,"")</f>
        <v/>
      </c>
      <c r="N3175">
        <f>IF(B3175,EXP(SUMPRODUCT(LN(1+(EvEff-1)*INDEX(Affected,0,C3175)*EXP(-((E3175-EvCenter)^2)/(2*EvSigma^2))))),"")</f>
        <v/>
      </c>
      <c r="O3175">
        <f>IF(B3175,ROUND(MAX(0,J3175*K3175*L3175*M3175*N3175),2),"")</f>
        <v/>
      </c>
    </row>
    <row r="3176">
      <c r="A3176" t="n">
        <v>3175</v>
      </c>
      <c r="B3176">
        <f>A3176&lt;=MineCount*Days</f>
        <v/>
      </c>
      <c r="C3176">
        <f>IF(B3176,INT((A3176-1)/Days)+1,"")</f>
        <v/>
      </c>
      <c r="D3176">
        <f>IF(B3176,MOD(A3176-1,Days),"")</f>
        <v/>
      </c>
      <c r="E3176" s="16">
        <f>IF(B3176,StartDate+D3176,"")</f>
        <v/>
      </c>
      <c r="F3176">
        <f>IF(B3176,MAX(MOD(SIN(Seed*0.1373+C3176*12.9898+D3176*78.233)*43758.5453,1),1E-9),"")</f>
        <v/>
      </c>
      <c r="G3176">
        <f>IF(B3176,MOD(SIN(Seed*0.5917+C3176*39.3468+D3176*11.135)*24634.6345,1),"")</f>
        <v/>
      </c>
      <c r="H3176">
        <f>IF(B3176,SQRT(-2*LN(F3176))*COS(2*PI()*G3176),"")</f>
        <v/>
      </c>
      <c r="I3176">
        <f>IF(B3176,IF(D3176=0,H3176,Rho*I3175+SQRT(1-Rho^2)*H3176),"")</f>
        <v/>
      </c>
      <c r="J3176">
        <f>IF(B3176,IF(Dist="Normal",DistA+DistB*I3176,DistA+(DistB-DistA)*NORMSDIST(I3176)),"")</f>
        <v/>
      </c>
      <c r="K3176">
        <f>IF(B3176,INDEX(MineScale,C3176),"")</f>
        <v/>
      </c>
      <c r="L3176">
        <f>IF(B3176,INDEX(Dow,1,WEEKDAY(E3176,2)),"")</f>
        <v/>
      </c>
      <c r="M3176">
        <f>IF(B3176,(1+Trend)^D3176,"")</f>
        <v/>
      </c>
      <c r="N3176">
        <f>IF(B3176,EXP(SUMPRODUCT(LN(1+(EvEff-1)*INDEX(Affected,0,C3176)*EXP(-((E3176-EvCenter)^2)/(2*EvSigma^2))))),"")</f>
        <v/>
      </c>
      <c r="O3176">
        <f>IF(B3176,ROUND(MAX(0,J3176*K3176*L3176*M3176*N3176),2),"")</f>
        <v/>
      </c>
    </row>
    <row r="3177">
      <c r="A3177" t="n">
        <v>3176</v>
      </c>
      <c r="B3177">
        <f>A3177&lt;=MineCount*Days</f>
        <v/>
      </c>
      <c r="C3177">
        <f>IF(B3177,INT((A3177-1)/Days)+1,"")</f>
        <v/>
      </c>
      <c r="D3177">
        <f>IF(B3177,MOD(A3177-1,Days),"")</f>
        <v/>
      </c>
      <c r="E3177" s="16">
        <f>IF(B3177,StartDate+D3177,"")</f>
        <v/>
      </c>
      <c r="F3177">
        <f>IF(B3177,MAX(MOD(SIN(Seed*0.1373+C3177*12.9898+D3177*78.233)*43758.5453,1),1E-9),"")</f>
        <v/>
      </c>
      <c r="G3177">
        <f>IF(B3177,MOD(SIN(Seed*0.5917+C3177*39.3468+D3177*11.135)*24634.6345,1),"")</f>
        <v/>
      </c>
      <c r="H3177">
        <f>IF(B3177,SQRT(-2*LN(F3177))*COS(2*PI()*G3177),"")</f>
        <v/>
      </c>
      <c r="I3177">
        <f>IF(B3177,IF(D3177=0,H3177,Rho*I3176+SQRT(1-Rho^2)*H3177),"")</f>
        <v/>
      </c>
      <c r="J3177">
        <f>IF(B3177,IF(Dist="Normal",DistA+DistB*I3177,DistA+(DistB-DistA)*NORMSDIST(I3177)),"")</f>
        <v/>
      </c>
      <c r="K3177">
        <f>IF(B3177,INDEX(MineScale,C3177),"")</f>
        <v/>
      </c>
      <c r="L3177">
        <f>IF(B3177,INDEX(Dow,1,WEEKDAY(E3177,2)),"")</f>
        <v/>
      </c>
      <c r="M3177">
        <f>IF(B3177,(1+Trend)^D3177,"")</f>
        <v/>
      </c>
      <c r="N3177">
        <f>IF(B3177,EXP(SUMPRODUCT(LN(1+(EvEff-1)*INDEX(Affected,0,C3177)*EXP(-((E3177-EvCenter)^2)/(2*EvSigma^2))))),"")</f>
        <v/>
      </c>
      <c r="O3177">
        <f>IF(B3177,ROUND(MAX(0,J3177*K3177*L3177*M3177*N3177),2),"")</f>
        <v/>
      </c>
    </row>
    <row r="3178">
      <c r="A3178" t="n">
        <v>3177</v>
      </c>
      <c r="B3178">
        <f>A3178&lt;=MineCount*Days</f>
        <v/>
      </c>
      <c r="C3178">
        <f>IF(B3178,INT((A3178-1)/Days)+1,"")</f>
        <v/>
      </c>
      <c r="D3178">
        <f>IF(B3178,MOD(A3178-1,Days),"")</f>
        <v/>
      </c>
      <c r="E3178" s="16">
        <f>IF(B3178,StartDate+D3178,"")</f>
        <v/>
      </c>
      <c r="F3178">
        <f>IF(B3178,MAX(MOD(SIN(Seed*0.1373+C3178*12.9898+D3178*78.233)*43758.5453,1),1E-9),"")</f>
        <v/>
      </c>
      <c r="G3178">
        <f>IF(B3178,MOD(SIN(Seed*0.5917+C3178*39.3468+D3178*11.135)*24634.6345,1),"")</f>
        <v/>
      </c>
      <c r="H3178">
        <f>IF(B3178,SQRT(-2*LN(F3178))*COS(2*PI()*G3178),"")</f>
        <v/>
      </c>
      <c r="I3178">
        <f>IF(B3178,IF(D3178=0,H3178,Rho*I3177+SQRT(1-Rho^2)*H3178),"")</f>
        <v/>
      </c>
      <c r="J3178">
        <f>IF(B3178,IF(Dist="Normal",DistA+DistB*I3178,DistA+(DistB-DistA)*NORMSDIST(I3178)),"")</f>
        <v/>
      </c>
      <c r="K3178">
        <f>IF(B3178,INDEX(MineScale,C3178),"")</f>
        <v/>
      </c>
      <c r="L3178">
        <f>IF(B3178,INDEX(Dow,1,WEEKDAY(E3178,2)),"")</f>
        <v/>
      </c>
      <c r="M3178">
        <f>IF(B3178,(1+Trend)^D3178,"")</f>
        <v/>
      </c>
      <c r="N3178">
        <f>IF(B3178,EXP(SUMPRODUCT(LN(1+(EvEff-1)*INDEX(Affected,0,C3178)*EXP(-((E3178-EvCenter)^2)/(2*EvSigma^2))))),"")</f>
        <v/>
      </c>
      <c r="O3178">
        <f>IF(B3178,ROUND(MAX(0,J3178*K3178*L3178*M3178*N3178),2),"")</f>
        <v/>
      </c>
    </row>
    <row r="3179">
      <c r="A3179" t="n">
        <v>3178</v>
      </c>
      <c r="B3179">
        <f>A3179&lt;=MineCount*Days</f>
        <v/>
      </c>
      <c r="C3179">
        <f>IF(B3179,INT((A3179-1)/Days)+1,"")</f>
        <v/>
      </c>
      <c r="D3179">
        <f>IF(B3179,MOD(A3179-1,Days),"")</f>
        <v/>
      </c>
      <c r="E3179" s="16">
        <f>IF(B3179,StartDate+D3179,"")</f>
        <v/>
      </c>
      <c r="F3179">
        <f>IF(B3179,MAX(MOD(SIN(Seed*0.1373+C3179*12.9898+D3179*78.233)*43758.5453,1),1E-9),"")</f>
        <v/>
      </c>
      <c r="G3179">
        <f>IF(B3179,MOD(SIN(Seed*0.5917+C3179*39.3468+D3179*11.135)*24634.6345,1),"")</f>
        <v/>
      </c>
      <c r="H3179">
        <f>IF(B3179,SQRT(-2*LN(F3179))*COS(2*PI()*G3179),"")</f>
        <v/>
      </c>
      <c r="I3179">
        <f>IF(B3179,IF(D3179=0,H3179,Rho*I3178+SQRT(1-Rho^2)*H3179),"")</f>
        <v/>
      </c>
      <c r="J3179">
        <f>IF(B3179,IF(Dist="Normal",DistA+DistB*I3179,DistA+(DistB-DistA)*NORMSDIST(I3179)),"")</f>
        <v/>
      </c>
      <c r="K3179">
        <f>IF(B3179,INDEX(MineScale,C3179),"")</f>
        <v/>
      </c>
      <c r="L3179">
        <f>IF(B3179,INDEX(Dow,1,WEEKDAY(E3179,2)),"")</f>
        <v/>
      </c>
      <c r="M3179">
        <f>IF(B3179,(1+Trend)^D3179,"")</f>
        <v/>
      </c>
      <c r="N3179">
        <f>IF(B3179,EXP(SUMPRODUCT(LN(1+(EvEff-1)*INDEX(Affected,0,C3179)*EXP(-((E3179-EvCenter)^2)/(2*EvSigma^2))))),"")</f>
        <v/>
      </c>
      <c r="O3179">
        <f>IF(B3179,ROUND(MAX(0,J3179*K3179*L3179*M3179*N3179),2),"")</f>
        <v/>
      </c>
    </row>
    <row r="3180">
      <c r="A3180" t="n">
        <v>3179</v>
      </c>
      <c r="B3180">
        <f>A3180&lt;=MineCount*Days</f>
        <v/>
      </c>
      <c r="C3180">
        <f>IF(B3180,INT((A3180-1)/Days)+1,"")</f>
        <v/>
      </c>
      <c r="D3180">
        <f>IF(B3180,MOD(A3180-1,Days),"")</f>
        <v/>
      </c>
      <c r="E3180" s="16">
        <f>IF(B3180,StartDate+D3180,"")</f>
        <v/>
      </c>
      <c r="F3180">
        <f>IF(B3180,MAX(MOD(SIN(Seed*0.1373+C3180*12.9898+D3180*78.233)*43758.5453,1),1E-9),"")</f>
        <v/>
      </c>
      <c r="G3180">
        <f>IF(B3180,MOD(SIN(Seed*0.5917+C3180*39.3468+D3180*11.135)*24634.6345,1),"")</f>
        <v/>
      </c>
      <c r="H3180">
        <f>IF(B3180,SQRT(-2*LN(F3180))*COS(2*PI()*G3180),"")</f>
        <v/>
      </c>
      <c r="I3180">
        <f>IF(B3180,IF(D3180=0,H3180,Rho*I3179+SQRT(1-Rho^2)*H3180),"")</f>
        <v/>
      </c>
      <c r="J3180">
        <f>IF(B3180,IF(Dist="Normal",DistA+DistB*I3180,DistA+(DistB-DistA)*NORMSDIST(I3180)),"")</f>
        <v/>
      </c>
      <c r="K3180">
        <f>IF(B3180,INDEX(MineScale,C3180),"")</f>
        <v/>
      </c>
      <c r="L3180">
        <f>IF(B3180,INDEX(Dow,1,WEEKDAY(E3180,2)),"")</f>
        <v/>
      </c>
      <c r="M3180">
        <f>IF(B3180,(1+Trend)^D3180,"")</f>
        <v/>
      </c>
      <c r="N3180">
        <f>IF(B3180,EXP(SUMPRODUCT(LN(1+(EvEff-1)*INDEX(Affected,0,C3180)*EXP(-((E3180-EvCenter)^2)/(2*EvSigma^2))))),"")</f>
        <v/>
      </c>
      <c r="O3180">
        <f>IF(B3180,ROUND(MAX(0,J3180*K3180*L3180*M3180*N3180),2),"")</f>
        <v/>
      </c>
    </row>
    <row r="3181">
      <c r="A3181" t="n">
        <v>3180</v>
      </c>
      <c r="B3181">
        <f>A3181&lt;=MineCount*Days</f>
        <v/>
      </c>
      <c r="C3181">
        <f>IF(B3181,INT((A3181-1)/Days)+1,"")</f>
        <v/>
      </c>
      <c r="D3181">
        <f>IF(B3181,MOD(A3181-1,Days),"")</f>
        <v/>
      </c>
      <c r="E3181" s="16">
        <f>IF(B3181,StartDate+D3181,"")</f>
        <v/>
      </c>
      <c r="F3181">
        <f>IF(B3181,MAX(MOD(SIN(Seed*0.1373+C3181*12.9898+D3181*78.233)*43758.5453,1),1E-9),"")</f>
        <v/>
      </c>
      <c r="G3181">
        <f>IF(B3181,MOD(SIN(Seed*0.5917+C3181*39.3468+D3181*11.135)*24634.6345,1),"")</f>
        <v/>
      </c>
      <c r="H3181">
        <f>IF(B3181,SQRT(-2*LN(F3181))*COS(2*PI()*G3181),"")</f>
        <v/>
      </c>
      <c r="I3181">
        <f>IF(B3181,IF(D3181=0,H3181,Rho*I3180+SQRT(1-Rho^2)*H3181),"")</f>
        <v/>
      </c>
      <c r="J3181">
        <f>IF(B3181,IF(Dist="Normal",DistA+DistB*I3181,DistA+(DistB-DistA)*NORMSDIST(I3181)),"")</f>
        <v/>
      </c>
      <c r="K3181">
        <f>IF(B3181,INDEX(MineScale,C3181),"")</f>
        <v/>
      </c>
      <c r="L3181">
        <f>IF(B3181,INDEX(Dow,1,WEEKDAY(E3181,2)),"")</f>
        <v/>
      </c>
      <c r="M3181">
        <f>IF(B3181,(1+Trend)^D3181,"")</f>
        <v/>
      </c>
      <c r="N3181">
        <f>IF(B3181,EXP(SUMPRODUCT(LN(1+(EvEff-1)*INDEX(Affected,0,C3181)*EXP(-((E3181-EvCenter)^2)/(2*EvSigma^2))))),"")</f>
        <v/>
      </c>
      <c r="O3181">
        <f>IF(B3181,ROUND(MAX(0,J3181*K3181*L3181*M3181*N3181),2),"")</f>
        <v/>
      </c>
    </row>
    <row r="3182">
      <c r="A3182" t="n">
        <v>3181</v>
      </c>
      <c r="B3182">
        <f>A3182&lt;=MineCount*Days</f>
        <v/>
      </c>
      <c r="C3182">
        <f>IF(B3182,INT((A3182-1)/Days)+1,"")</f>
        <v/>
      </c>
      <c r="D3182">
        <f>IF(B3182,MOD(A3182-1,Days),"")</f>
        <v/>
      </c>
      <c r="E3182" s="16">
        <f>IF(B3182,StartDate+D3182,"")</f>
        <v/>
      </c>
      <c r="F3182">
        <f>IF(B3182,MAX(MOD(SIN(Seed*0.1373+C3182*12.9898+D3182*78.233)*43758.5453,1),1E-9),"")</f>
        <v/>
      </c>
      <c r="G3182">
        <f>IF(B3182,MOD(SIN(Seed*0.5917+C3182*39.3468+D3182*11.135)*24634.6345,1),"")</f>
        <v/>
      </c>
      <c r="H3182">
        <f>IF(B3182,SQRT(-2*LN(F3182))*COS(2*PI()*G3182),"")</f>
        <v/>
      </c>
      <c r="I3182">
        <f>IF(B3182,IF(D3182=0,H3182,Rho*I3181+SQRT(1-Rho^2)*H3182),"")</f>
        <v/>
      </c>
      <c r="J3182">
        <f>IF(B3182,IF(Dist="Normal",DistA+DistB*I3182,DistA+(DistB-DistA)*NORMSDIST(I3182)),"")</f>
        <v/>
      </c>
      <c r="K3182">
        <f>IF(B3182,INDEX(MineScale,C3182),"")</f>
        <v/>
      </c>
      <c r="L3182">
        <f>IF(B3182,INDEX(Dow,1,WEEKDAY(E3182,2)),"")</f>
        <v/>
      </c>
      <c r="M3182">
        <f>IF(B3182,(1+Trend)^D3182,"")</f>
        <v/>
      </c>
      <c r="N3182">
        <f>IF(B3182,EXP(SUMPRODUCT(LN(1+(EvEff-1)*INDEX(Affected,0,C3182)*EXP(-((E3182-EvCenter)^2)/(2*EvSigma^2))))),"")</f>
        <v/>
      </c>
      <c r="O3182">
        <f>IF(B3182,ROUND(MAX(0,J3182*K3182*L3182*M3182*N3182),2),"")</f>
        <v/>
      </c>
    </row>
    <row r="3183">
      <c r="A3183" t="n">
        <v>3182</v>
      </c>
      <c r="B3183">
        <f>A3183&lt;=MineCount*Days</f>
        <v/>
      </c>
      <c r="C3183">
        <f>IF(B3183,INT((A3183-1)/Days)+1,"")</f>
        <v/>
      </c>
      <c r="D3183">
        <f>IF(B3183,MOD(A3183-1,Days),"")</f>
        <v/>
      </c>
      <c r="E3183" s="16">
        <f>IF(B3183,StartDate+D3183,"")</f>
        <v/>
      </c>
      <c r="F3183">
        <f>IF(B3183,MAX(MOD(SIN(Seed*0.1373+C3183*12.9898+D3183*78.233)*43758.5453,1),1E-9),"")</f>
        <v/>
      </c>
      <c r="G3183">
        <f>IF(B3183,MOD(SIN(Seed*0.5917+C3183*39.3468+D3183*11.135)*24634.6345,1),"")</f>
        <v/>
      </c>
      <c r="H3183">
        <f>IF(B3183,SQRT(-2*LN(F3183))*COS(2*PI()*G3183),"")</f>
        <v/>
      </c>
      <c r="I3183">
        <f>IF(B3183,IF(D3183=0,H3183,Rho*I3182+SQRT(1-Rho^2)*H3183),"")</f>
        <v/>
      </c>
      <c r="J3183">
        <f>IF(B3183,IF(Dist="Normal",DistA+DistB*I3183,DistA+(DistB-DistA)*NORMSDIST(I3183)),"")</f>
        <v/>
      </c>
      <c r="K3183">
        <f>IF(B3183,INDEX(MineScale,C3183),"")</f>
        <v/>
      </c>
      <c r="L3183">
        <f>IF(B3183,INDEX(Dow,1,WEEKDAY(E3183,2)),"")</f>
        <v/>
      </c>
      <c r="M3183">
        <f>IF(B3183,(1+Trend)^D3183,"")</f>
        <v/>
      </c>
      <c r="N3183">
        <f>IF(B3183,EXP(SUMPRODUCT(LN(1+(EvEff-1)*INDEX(Affected,0,C3183)*EXP(-((E3183-EvCenter)^2)/(2*EvSigma^2))))),"")</f>
        <v/>
      </c>
      <c r="O3183">
        <f>IF(B3183,ROUND(MAX(0,J3183*K3183*L3183*M3183*N3183),2),"")</f>
        <v/>
      </c>
    </row>
    <row r="3184">
      <c r="A3184" t="n">
        <v>3183</v>
      </c>
      <c r="B3184">
        <f>A3184&lt;=MineCount*Days</f>
        <v/>
      </c>
      <c r="C3184">
        <f>IF(B3184,INT((A3184-1)/Days)+1,"")</f>
        <v/>
      </c>
      <c r="D3184">
        <f>IF(B3184,MOD(A3184-1,Days),"")</f>
        <v/>
      </c>
      <c r="E3184" s="16">
        <f>IF(B3184,StartDate+D3184,"")</f>
        <v/>
      </c>
      <c r="F3184">
        <f>IF(B3184,MAX(MOD(SIN(Seed*0.1373+C3184*12.9898+D3184*78.233)*43758.5453,1),1E-9),"")</f>
        <v/>
      </c>
      <c r="G3184">
        <f>IF(B3184,MOD(SIN(Seed*0.5917+C3184*39.3468+D3184*11.135)*24634.6345,1),"")</f>
        <v/>
      </c>
      <c r="H3184">
        <f>IF(B3184,SQRT(-2*LN(F3184))*COS(2*PI()*G3184),"")</f>
        <v/>
      </c>
      <c r="I3184">
        <f>IF(B3184,IF(D3184=0,H3184,Rho*I3183+SQRT(1-Rho^2)*H3184),"")</f>
        <v/>
      </c>
      <c r="J3184">
        <f>IF(B3184,IF(Dist="Normal",DistA+DistB*I3184,DistA+(DistB-DistA)*NORMSDIST(I3184)),"")</f>
        <v/>
      </c>
      <c r="K3184">
        <f>IF(B3184,INDEX(MineScale,C3184),"")</f>
        <v/>
      </c>
      <c r="L3184">
        <f>IF(B3184,INDEX(Dow,1,WEEKDAY(E3184,2)),"")</f>
        <v/>
      </c>
      <c r="M3184">
        <f>IF(B3184,(1+Trend)^D3184,"")</f>
        <v/>
      </c>
      <c r="N3184">
        <f>IF(B3184,EXP(SUMPRODUCT(LN(1+(EvEff-1)*INDEX(Affected,0,C3184)*EXP(-((E3184-EvCenter)^2)/(2*EvSigma^2))))),"")</f>
        <v/>
      </c>
      <c r="O3184">
        <f>IF(B3184,ROUND(MAX(0,J3184*K3184*L3184*M3184*N3184),2),"")</f>
        <v/>
      </c>
    </row>
    <row r="3185">
      <c r="A3185" t="n">
        <v>3184</v>
      </c>
      <c r="B3185">
        <f>A3185&lt;=MineCount*Days</f>
        <v/>
      </c>
      <c r="C3185">
        <f>IF(B3185,INT((A3185-1)/Days)+1,"")</f>
        <v/>
      </c>
      <c r="D3185">
        <f>IF(B3185,MOD(A3185-1,Days),"")</f>
        <v/>
      </c>
      <c r="E3185" s="16">
        <f>IF(B3185,StartDate+D3185,"")</f>
        <v/>
      </c>
      <c r="F3185">
        <f>IF(B3185,MAX(MOD(SIN(Seed*0.1373+C3185*12.9898+D3185*78.233)*43758.5453,1),1E-9),"")</f>
        <v/>
      </c>
      <c r="G3185">
        <f>IF(B3185,MOD(SIN(Seed*0.5917+C3185*39.3468+D3185*11.135)*24634.6345,1),"")</f>
        <v/>
      </c>
      <c r="H3185">
        <f>IF(B3185,SQRT(-2*LN(F3185))*COS(2*PI()*G3185),"")</f>
        <v/>
      </c>
      <c r="I3185">
        <f>IF(B3185,IF(D3185=0,H3185,Rho*I3184+SQRT(1-Rho^2)*H3185),"")</f>
        <v/>
      </c>
      <c r="J3185">
        <f>IF(B3185,IF(Dist="Normal",DistA+DistB*I3185,DistA+(DistB-DistA)*NORMSDIST(I3185)),"")</f>
        <v/>
      </c>
      <c r="K3185">
        <f>IF(B3185,INDEX(MineScale,C3185),"")</f>
        <v/>
      </c>
      <c r="L3185">
        <f>IF(B3185,INDEX(Dow,1,WEEKDAY(E3185,2)),"")</f>
        <v/>
      </c>
      <c r="M3185">
        <f>IF(B3185,(1+Trend)^D3185,"")</f>
        <v/>
      </c>
      <c r="N3185">
        <f>IF(B3185,EXP(SUMPRODUCT(LN(1+(EvEff-1)*INDEX(Affected,0,C3185)*EXP(-((E3185-EvCenter)^2)/(2*EvSigma^2))))),"")</f>
        <v/>
      </c>
      <c r="O3185">
        <f>IF(B3185,ROUND(MAX(0,J3185*K3185*L3185*M3185*N3185),2),"")</f>
        <v/>
      </c>
    </row>
    <row r="3186">
      <c r="A3186" t="n">
        <v>3185</v>
      </c>
      <c r="B3186">
        <f>A3186&lt;=MineCount*Days</f>
        <v/>
      </c>
      <c r="C3186">
        <f>IF(B3186,INT((A3186-1)/Days)+1,"")</f>
        <v/>
      </c>
      <c r="D3186">
        <f>IF(B3186,MOD(A3186-1,Days),"")</f>
        <v/>
      </c>
      <c r="E3186" s="16">
        <f>IF(B3186,StartDate+D3186,"")</f>
        <v/>
      </c>
      <c r="F3186">
        <f>IF(B3186,MAX(MOD(SIN(Seed*0.1373+C3186*12.9898+D3186*78.233)*43758.5453,1),1E-9),"")</f>
        <v/>
      </c>
      <c r="G3186">
        <f>IF(B3186,MOD(SIN(Seed*0.5917+C3186*39.3468+D3186*11.135)*24634.6345,1),"")</f>
        <v/>
      </c>
      <c r="H3186">
        <f>IF(B3186,SQRT(-2*LN(F3186))*COS(2*PI()*G3186),"")</f>
        <v/>
      </c>
      <c r="I3186">
        <f>IF(B3186,IF(D3186=0,H3186,Rho*I3185+SQRT(1-Rho^2)*H3186),"")</f>
        <v/>
      </c>
      <c r="J3186">
        <f>IF(B3186,IF(Dist="Normal",DistA+DistB*I3186,DistA+(DistB-DistA)*NORMSDIST(I3186)),"")</f>
        <v/>
      </c>
      <c r="K3186">
        <f>IF(B3186,INDEX(MineScale,C3186),"")</f>
        <v/>
      </c>
      <c r="L3186">
        <f>IF(B3186,INDEX(Dow,1,WEEKDAY(E3186,2)),"")</f>
        <v/>
      </c>
      <c r="M3186">
        <f>IF(B3186,(1+Trend)^D3186,"")</f>
        <v/>
      </c>
      <c r="N3186">
        <f>IF(B3186,EXP(SUMPRODUCT(LN(1+(EvEff-1)*INDEX(Affected,0,C3186)*EXP(-((E3186-EvCenter)^2)/(2*EvSigma^2))))),"")</f>
        <v/>
      </c>
      <c r="O3186">
        <f>IF(B3186,ROUND(MAX(0,J3186*K3186*L3186*M3186*N3186),2),"")</f>
        <v/>
      </c>
    </row>
    <row r="3187">
      <c r="A3187" t="n">
        <v>3186</v>
      </c>
      <c r="B3187">
        <f>A3187&lt;=MineCount*Days</f>
        <v/>
      </c>
      <c r="C3187">
        <f>IF(B3187,INT((A3187-1)/Days)+1,"")</f>
        <v/>
      </c>
      <c r="D3187">
        <f>IF(B3187,MOD(A3187-1,Days),"")</f>
        <v/>
      </c>
      <c r="E3187" s="16">
        <f>IF(B3187,StartDate+D3187,"")</f>
        <v/>
      </c>
      <c r="F3187">
        <f>IF(B3187,MAX(MOD(SIN(Seed*0.1373+C3187*12.9898+D3187*78.233)*43758.5453,1),1E-9),"")</f>
        <v/>
      </c>
      <c r="G3187">
        <f>IF(B3187,MOD(SIN(Seed*0.5917+C3187*39.3468+D3187*11.135)*24634.6345,1),"")</f>
        <v/>
      </c>
      <c r="H3187">
        <f>IF(B3187,SQRT(-2*LN(F3187))*COS(2*PI()*G3187),"")</f>
        <v/>
      </c>
      <c r="I3187">
        <f>IF(B3187,IF(D3187=0,H3187,Rho*I3186+SQRT(1-Rho^2)*H3187),"")</f>
        <v/>
      </c>
      <c r="J3187">
        <f>IF(B3187,IF(Dist="Normal",DistA+DistB*I3187,DistA+(DistB-DistA)*NORMSDIST(I3187)),"")</f>
        <v/>
      </c>
      <c r="K3187">
        <f>IF(B3187,INDEX(MineScale,C3187),"")</f>
        <v/>
      </c>
      <c r="L3187">
        <f>IF(B3187,INDEX(Dow,1,WEEKDAY(E3187,2)),"")</f>
        <v/>
      </c>
      <c r="M3187">
        <f>IF(B3187,(1+Trend)^D3187,"")</f>
        <v/>
      </c>
      <c r="N3187">
        <f>IF(B3187,EXP(SUMPRODUCT(LN(1+(EvEff-1)*INDEX(Affected,0,C3187)*EXP(-((E3187-EvCenter)^2)/(2*EvSigma^2))))),"")</f>
        <v/>
      </c>
      <c r="O3187">
        <f>IF(B3187,ROUND(MAX(0,J3187*K3187*L3187*M3187*N3187),2),"")</f>
        <v/>
      </c>
    </row>
    <row r="3188">
      <c r="A3188" t="n">
        <v>3187</v>
      </c>
      <c r="B3188">
        <f>A3188&lt;=MineCount*Days</f>
        <v/>
      </c>
      <c r="C3188">
        <f>IF(B3188,INT((A3188-1)/Days)+1,"")</f>
        <v/>
      </c>
      <c r="D3188">
        <f>IF(B3188,MOD(A3188-1,Days),"")</f>
        <v/>
      </c>
      <c r="E3188" s="16">
        <f>IF(B3188,StartDate+D3188,"")</f>
        <v/>
      </c>
      <c r="F3188">
        <f>IF(B3188,MAX(MOD(SIN(Seed*0.1373+C3188*12.9898+D3188*78.233)*43758.5453,1),1E-9),"")</f>
        <v/>
      </c>
      <c r="G3188">
        <f>IF(B3188,MOD(SIN(Seed*0.5917+C3188*39.3468+D3188*11.135)*24634.6345,1),"")</f>
        <v/>
      </c>
      <c r="H3188">
        <f>IF(B3188,SQRT(-2*LN(F3188))*COS(2*PI()*G3188),"")</f>
        <v/>
      </c>
      <c r="I3188">
        <f>IF(B3188,IF(D3188=0,H3188,Rho*I3187+SQRT(1-Rho^2)*H3188),"")</f>
        <v/>
      </c>
      <c r="J3188">
        <f>IF(B3188,IF(Dist="Normal",DistA+DistB*I3188,DistA+(DistB-DistA)*NORMSDIST(I3188)),"")</f>
        <v/>
      </c>
      <c r="K3188">
        <f>IF(B3188,INDEX(MineScale,C3188),"")</f>
        <v/>
      </c>
      <c r="L3188">
        <f>IF(B3188,INDEX(Dow,1,WEEKDAY(E3188,2)),"")</f>
        <v/>
      </c>
      <c r="M3188">
        <f>IF(B3188,(1+Trend)^D3188,"")</f>
        <v/>
      </c>
      <c r="N3188">
        <f>IF(B3188,EXP(SUMPRODUCT(LN(1+(EvEff-1)*INDEX(Affected,0,C3188)*EXP(-((E3188-EvCenter)^2)/(2*EvSigma^2))))),"")</f>
        <v/>
      </c>
      <c r="O3188">
        <f>IF(B3188,ROUND(MAX(0,J3188*K3188*L3188*M3188*N3188),2),"")</f>
        <v/>
      </c>
    </row>
    <row r="3189">
      <c r="A3189" t="n">
        <v>3188</v>
      </c>
      <c r="B3189">
        <f>A3189&lt;=MineCount*Days</f>
        <v/>
      </c>
      <c r="C3189">
        <f>IF(B3189,INT((A3189-1)/Days)+1,"")</f>
        <v/>
      </c>
      <c r="D3189">
        <f>IF(B3189,MOD(A3189-1,Days),"")</f>
        <v/>
      </c>
      <c r="E3189" s="16">
        <f>IF(B3189,StartDate+D3189,"")</f>
        <v/>
      </c>
      <c r="F3189">
        <f>IF(B3189,MAX(MOD(SIN(Seed*0.1373+C3189*12.9898+D3189*78.233)*43758.5453,1),1E-9),"")</f>
        <v/>
      </c>
      <c r="G3189">
        <f>IF(B3189,MOD(SIN(Seed*0.5917+C3189*39.3468+D3189*11.135)*24634.6345,1),"")</f>
        <v/>
      </c>
      <c r="H3189">
        <f>IF(B3189,SQRT(-2*LN(F3189))*COS(2*PI()*G3189),"")</f>
        <v/>
      </c>
      <c r="I3189">
        <f>IF(B3189,IF(D3189=0,H3189,Rho*I3188+SQRT(1-Rho^2)*H3189),"")</f>
        <v/>
      </c>
      <c r="J3189">
        <f>IF(B3189,IF(Dist="Normal",DistA+DistB*I3189,DistA+(DistB-DistA)*NORMSDIST(I3189)),"")</f>
        <v/>
      </c>
      <c r="K3189">
        <f>IF(B3189,INDEX(MineScale,C3189),"")</f>
        <v/>
      </c>
      <c r="L3189">
        <f>IF(B3189,INDEX(Dow,1,WEEKDAY(E3189,2)),"")</f>
        <v/>
      </c>
      <c r="M3189">
        <f>IF(B3189,(1+Trend)^D3189,"")</f>
        <v/>
      </c>
      <c r="N3189">
        <f>IF(B3189,EXP(SUMPRODUCT(LN(1+(EvEff-1)*INDEX(Affected,0,C3189)*EXP(-((E3189-EvCenter)^2)/(2*EvSigma^2))))),"")</f>
        <v/>
      </c>
      <c r="O3189">
        <f>IF(B3189,ROUND(MAX(0,J3189*K3189*L3189*M3189*N3189),2),"")</f>
        <v/>
      </c>
    </row>
    <row r="3190">
      <c r="A3190" t="n">
        <v>3189</v>
      </c>
      <c r="B3190">
        <f>A3190&lt;=MineCount*Days</f>
        <v/>
      </c>
      <c r="C3190">
        <f>IF(B3190,INT((A3190-1)/Days)+1,"")</f>
        <v/>
      </c>
      <c r="D3190">
        <f>IF(B3190,MOD(A3190-1,Days),"")</f>
        <v/>
      </c>
      <c r="E3190" s="16">
        <f>IF(B3190,StartDate+D3190,"")</f>
        <v/>
      </c>
      <c r="F3190">
        <f>IF(B3190,MAX(MOD(SIN(Seed*0.1373+C3190*12.9898+D3190*78.233)*43758.5453,1),1E-9),"")</f>
        <v/>
      </c>
      <c r="G3190">
        <f>IF(B3190,MOD(SIN(Seed*0.5917+C3190*39.3468+D3190*11.135)*24634.6345,1),"")</f>
        <v/>
      </c>
      <c r="H3190">
        <f>IF(B3190,SQRT(-2*LN(F3190))*COS(2*PI()*G3190),"")</f>
        <v/>
      </c>
      <c r="I3190">
        <f>IF(B3190,IF(D3190=0,H3190,Rho*I3189+SQRT(1-Rho^2)*H3190),"")</f>
        <v/>
      </c>
      <c r="J3190">
        <f>IF(B3190,IF(Dist="Normal",DistA+DistB*I3190,DistA+(DistB-DistA)*NORMSDIST(I3190)),"")</f>
        <v/>
      </c>
      <c r="K3190">
        <f>IF(B3190,INDEX(MineScale,C3190),"")</f>
        <v/>
      </c>
      <c r="L3190">
        <f>IF(B3190,INDEX(Dow,1,WEEKDAY(E3190,2)),"")</f>
        <v/>
      </c>
      <c r="M3190">
        <f>IF(B3190,(1+Trend)^D3190,"")</f>
        <v/>
      </c>
      <c r="N3190">
        <f>IF(B3190,EXP(SUMPRODUCT(LN(1+(EvEff-1)*INDEX(Affected,0,C3190)*EXP(-((E3190-EvCenter)^2)/(2*EvSigma^2))))),"")</f>
        <v/>
      </c>
      <c r="O3190">
        <f>IF(B3190,ROUND(MAX(0,J3190*K3190*L3190*M3190*N3190),2),"")</f>
        <v/>
      </c>
    </row>
    <row r="3191">
      <c r="A3191" t="n">
        <v>3190</v>
      </c>
      <c r="B3191">
        <f>A3191&lt;=MineCount*Days</f>
        <v/>
      </c>
      <c r="C3191">
        <f>IF(B3191,INT((A3191-1)/Days)+1,"")</f>
        <v/>
      </c>
      <c r="D3191">
        <f>IF(B3191,MOD(A3191-1,Days),"")</f>
        <v/>
      </c>
      <c r="E3191" s="16">
        <f>IF(B3191,StartDate+D3191,"")</f>
        <v/>
      </c>
      <c r="F3191">
        <f>IF(B3191,MAX(MOD(SIN(Seed*0.1373+C3191*12.9898+D3191*78.233)*43758.5453,1),1E-9),"")</f>
        <v/>
      </c>
      <c r="G3191">
        <f>IF(B3191,MOD(SIN(Seed*0.5917+C3191*39.3468+D3191*11.135)*24634.6345,1),"")</f>
        <v/>
      </c>
      <c r="H3191">
        <f>IF(B3191,SQRT(-2*LN(F3191))*COS(2*PI()*G3191),"")</f>
        <v/>
      </c>
      <c r="I3191">
        <f>IF(B3191,IF(D3191=0,H3191,Rho*I3190+SQRT(1-Rho^2)*H3191),"")</f>
        <v/>
      </c>
      <c r="J3191">
        <f>IF(B3191,IF(Dist="Normal",DistA+DistB*I3191,DistA+(DistB-DistA)*NORMSDIST(I3191)),"")</f>
        <v/>
      </c>
      <c r="K3191">
        <f>IF(B3191,INDEX(MineScale,C3191),"")</f>
        <v/>
      </c>
      <c r="L3191">
        <f>IF(B3191,INDEX(Dow,1,WEEKDAY(E3191,2)),"")</f>
        <v/>
      </c>
      <c r="M3191">
        <f>IF(B3191,(1+Trend)^D3191,"")</f>
        <v/>
      </c>
      <c r="N3191">
        <f>IF(B3191,EXP(SUMPRODUCT(LN(1+(EvEff-1)*INDEX(Affected,0,C3191)*EXP(-((E3191-EvCenter)^2)/(2*EvSigma^2))))),"")</f>
        <v/>
      </c>
      <c r="O3191">
        <f>IF(B3191,ROUND(MAX(0,J3191*K3191*L3191*M3191*N3191),2),"")</f>
        <v/>
      </c>
    </row>
    <row r="3192">
      <c r="A3192" t="n">
        <v>3191</v>
      </c>
      <c r="B3192">
        <f>A3192&lt;=MineCount*Days</f>
        <v/>
      </c>
      <c r="C3192">
        <f>IF(B3192,INT((A3192-1)/Days)+1,"")</f>
        <v/>
      </c>
      <c r="D3192">
        <f>IF(B3192,MOD(A3192-1,Days),"")</f>
        <v/>
      </c>
      <c r="E3192" s="16">
        <f>IF(B3192,StartDate+D3192,"")</f>
        <v/>
      </c>
      <c r="F3192">
        <f>IF(B3192,MAX(MOD(SIN(Seed*0.1373+C3192*12.9898+D3192*78.233)*43758.5453,1),1E-9),"")</f>
        <v/>
      </c>
      <c r="G3192">
        <f>IF(B3192,MOD(SIN(Seed*0.5917+C3192*39.3468+D3192*11.135)*24634.6345,1),"")</f>
        <v/>
      </c>
      <c r="H3192">
        <f>IF(B3192,SQRT(-2*LN(F3192))*COS(2*PI()*G3192),"")</f>
        <v/>
      </c>
      <c r="I3192">
        <f>IF(B3192,IF(D3192=0,H3192,Rho*I3191+SQRT(1-Rho^2)*H3192),"")</f>
        <v/>
      </c>
      <c r="J3192">
        <f>IF(B3192,IF(Dist="Normal",DistA+DistB*I3192,DistA+(DistB-DistA)*NORMSDIST(I3192)),"")</f>
        <v/>
      </c>
      <c r="K3192">
        <f>IF(B3192,INDEX(MineScale,C3192),"")</f>
        <v/>
      </c>
      <c r="L3192">
        <f>IF(B3192,INDEX(Dow,1,WEEKDAY(E3192,2)),"")</f>
        <v/>
      </c>
      <c r="M3192">
        <f>IF(B3192,(1+Trend)^D3192,"")</f>
        <v/>
      </c>
      <c r="N3192">
        <f>IF(B3192,EXP(SUMPRODUCT(LN(1+(EvEff-1)*INDEX(Affected,0,C3192)*EXP(-((E3192-EvCenter)^2)/(2*EvSigma^2))))),"")</f>
        <v/>
      </c>
      <c r="O3192">
        <f>IF(B3192,ROUND(MAX(0,J3192*K3192*L3192*M3192*N3192),2),"")</f>
        <v/>
      </c>
    </row>
    <row r="3193">
      <c r="A3193" t="n">
        <v>3192</v>
      </c>
      <c r="B3193">
        <f>A3193&lt;=MineCount*Days</f>
        <v/>
      </c>
      <c r="C3193">
        <f>IF(B3193,INT((A3193-1)/Days)+1,"")</f>
        <v/>
      </c>
      <c r="D3193">
        <f>IF(B3193,MOD(A3193-1,Days),"")</f>
        <v/>
      </c>
      <c r="E3193" s="16">
        <f>IF(B3193,StartDate+D3193,"")</f>
        <v/>
      </c>
      <c r="F3193">
        <f>IF(B3193,MAX(MOD(SIN(Seed*0.1373+C3193*12.9898+D3193*78.233)*43758.5453,1),1E-9),"")</f>
        <v/>
      </c>
      <c r="G3193">
        <f>IF(B3193,MOD(SIN(Seed*0.5917+C3193*39.3468+D3193*11.135)*24634.6345,1),"")</f>
        <v/>
      </c>
      <c r="H3193">
        <f>IF(B3193,SQRT(-2*LN(F3193))*COS(2*PI()*G3193),"")</f>
        <v/>
      </c>
      <c r="I3193">
        <f>IF(B3193,IF(D3193=0,H3193,Rho*I3192+SQRT(1-Rho^2)*H3193),"")</f>
        <v/>
      </c>
      <c r="J3193">
        <f>IF(B3193,IF(Dist="Normal",DistA+DistB*I3193,DistA+(DistB-DistA)*NORMSDIST(I3193)),"")</f>
        <v/>
      </c>
      <c r="K3193">
        <f>IF(B3193,INDEX(MineScale,C3193),"")</f>
        <v/>
      </c>
      <c r="L3193">
        <f>IF(B3193,INDEX(Dow,1,WEEKDAY(E3193,2)),"")</f>
        <v/>
      </c>
      <c r="M3193">
        <f>IF(B3193,(1+Trend)^D3193,"")</f>
        <v/>
      </c>
      <c r="N3193">
        <f>IF(B3193,EXP(SUMPRODUCT(LN(1+(EvEff-1)*INDEX(Affected,0,C3193)*EXP(-((E3193-EvCenter)^2)/(2*EvSigma^2))))),"")</f>
        <v/>
      </c>
      <c r="O3193">
        <f>IF(B3193,ROUND(MAX(0,J3193*K3193*L3193*M3193*N3193),2),"")</f>
        <v/>
      </c>
    </row>
    <row r="3194">
      <c r="A3194" t="n">
        <v>3193</v>
      </c>
      <c r="B3194">
        <f>A3194&lt;=MineCount*Days</f>
        <v/>
      </c>
      <c r="C3194">
        <f>IF(B3194,INT((A3194-1)/Days)+1,"")</f>
        <v/>
      </c>
      <c r="D3194">
        <f>IF(B3194,MOD(A3194-1,Days),"")</f>
        <v/>
      </c>
      <c r="E3194" s="16">
        <f>IF(B3194,StartDate+D3194,"")</f>
        <v/>
      </c>
      <c r="F3194">
        <f>IF(B3194,MAX(MOD(SIN(Seed*0.1373+C3194*12.9898+D3194*78.233)*43758.5453,1),1E-9),"")</f>
        <v/>
      </c>
      <c r="G3194">
        <f>IF(B3194,MOD(SIN(Seed*0.5917+C3194*39.3468+D3194*11.135)*24634.6345,1),"")</f>
        <v/>
      </c>
      <c r="H3194">
        <f>IF(B3194,SQRT(-2*LN(F3194))*COS(2*PI()*G3194),"")</f>
        <v/>
      </c>
      <c r="I3194">
        <f>IF(B3194,IF(D3194=0,H3194,Rho*I3193+SQRT(1-Rho^2)*H3194),"")</f>
        <v/>
      </c>
      <c r="J3194">
        <f>IF(B3194,IF(Dist="Normal",DistA+DistB*I3194,DistA+(DistB-DistA)*NORMSDIST(I3194)),"")</f>
        <v/>
      </c>
      <c r="K3194">
        <f>IF(B3194,INDEX(MineScale,C3194),"")</f>
        <v/>
      </c>
      <c r="L3194">
        <f>IF(B3194,INDEX(Dow,1,WEEKDAY(E3194,2)),"")</f>
        <v/>
      </c>
      <c r="M3194">
        <f>IF(B3194,(1+Trend)^D3194,"")</f>
        <v/>
      </c>
      <c r="N3194">
        <f>IF(B3194,EXP(SUMPRODUCT(LN(1+(EvEff-1)*INDEX(Affected,0,C3194)*EXP(-((E3194-EvCenter)^2)/(2*EvSigma^2))))),"")</f>
        <v/>
      </c>
      <c r="O3194">
        <f>IF(B3194,ROUND(MAX(0,J3194*K3194*L3194*M3194*N3194),2),"")</f>
        <v/>
      </c>
    </row>
    <row r="3195">
      <c r="A3195" t="n">
        <v>3194</v>
      </c>
      <c r="B3195">
        <f>A3195&lt;=MineCount*Days</f>
        <v/>
      </c>
      <c r="C3195">
        <f>IF(B3195,INT((A3195-1)/Days)+1,"")</f>
        <v/>
      </c>
      <c r="D3195">
        <f>IF(B3195,MOD(A3195-1,Days),"")</f>
        <v/>
      </c>
      <c r="E3195" s="16">
        <f>IF(B3195,StartDate+D3195,"")</f>
        <v/>
      </c>
      <c r="F3195">
        <f>IF(B3195,MAX(MOD(SIN(Seed*0.1373+C3195*12.9898+D3195*78.233)*43758.5453,1),1E-9),"")</f>
        <v/>
      </c>
      <c r="G3195">
        <f>IF(B3195,MOD(SIN(Seed*0.5917+C3195*39.3468+D3195*11.135)*24634.6345,1),"")</f>
        <v/>
      </c>
      <c r="H3195">
        <f>IF(B3195,SQRT(-2*LN(F3195))*COS(2*PI()*G3195),"")</f>
        <v/>
      </c>
      <c r="I3195">
        <f>IF(B3195,IF(D3195=0,H3195,Rho*I3194+SQRT(1-Rho^2)*H3195),"")</f>
        <v/>
      </c>
      <c r="J3195">
        <f>IF(B3195,IF(Dist="Normal",DistA+DistB*I3195,DistA+(DistB-DistA)*NORMSDIST(I3195)),"")</f>
        <v/>
      </c>
      <c r="K3195">
        <f>IF(B3195,INDEX(MineScale,C3195),"")</f>
        <v/>
      </c>
      <c r="L3195">
        <f>IF(B3195,INDEX(Dow,1,WEEKDAY(E3195,2)),"")</f>
        <v/>
      </c>
      <c r="M3195">
        <f>IF(B3195,(1+Trend)^D3195,"")</f>
        <v/>
      </c>
      <c r="N3195">
        <f>IF(B3195,EXP(SUMPRODUCT(LN(1+(EvEff-1)*INDEX(Affected,0,C3195)*EXP(-((E3195-EvCenter)^2)/(2*EvSigma^2))))),"")</f>
        <v/>
      </c>
      <c r="O3195">
        <f>IF(B3195,ROUND(MAX(0,J3195*K3195*L3195*M3195*N3195),2),"")</f>
        <v/>
      </c>
    </row>
    <row r="3196">
      <c r="A3196" t="n">
        <v>3195</v>
      </c>
      <c r="B3196">
        <f>A3196&lt;=MineCount*Days</f>
        <v/>
      </c>
      <c r="C3196">
        <f>IF(B3196,INT((A3196-1)/Days)+1,"")</f>
        <v/>
      </c>
      <c r="D3196">
        <f>IF(B3196,MOD(A3196-1,Days),"")</f>
        <v/>
      </c>
      <c r="E3196" s="16">
        <f>IF(B3196,StartDate+D3196,"")</f>
        <v/>
      </c>
      <c r="F3196">
        <f>IF(B3196,MAX(MOD(SIN(Seed*0.1373+C3196*12.9898+D3196*78.233)*43758.5453,1),1E-9),"")</f>
        <v/>
      </c>
      <c r="G3196">
        <f>IF(B3196,MOD(SIN(Seed*0.5917+C3196*39.3468+D3196*11.135)*24634.6345,1),"")</f>
        <v/>
      </c>
      <c r="H3196">
        <f>IF(B3196,SQRT(-2*LN(F3196))*COS(2*PI()*G3196),"")</f>
        <v/>
      </c>
      <c r="I3196">
        <f>IF(B3196,IF(D3196=0,H3196,Rho*I3195+SQRT(1-Rho^2)*H3196),"")</f>
        <v/>
      </c>
      <c r="J3196">
        <f>IF(B3196,IF(Dist="Normal",DistA+DistB*I3196,DistA+(DistB-DistA)*NORMSDIST(I3196)),"")</f>
        <v/>
      </c>
      <c r="K3196">
        <f>IF(B3196,INDEX(MineScale,C3196),"")</f>
        <v/>
      </c>
      <c r="L3196">
        <f>IF(B3196,INDEX(Dow,1,WEEKDAY(E3196,2)),"")</f>
        <v/>
      </c>
      <c r="M3196">
        <f>IF(B3196,(1+Trend)^D3196,"")</f>
        <v/>
      </c>
      <c r="N3196">
        <f>IF(B3196,EXP(SUMPRODUCT(LN(1+(EvEff-1)*INDEX(Affected,0,C3196)*EXP(-((E3196-EvCenter)^2)/(2*EvSigma^2))))),"")</f>
        <v/>
      </c>
      <c r="O3196">
        <f>IF(B3196,ROUND(MAX(0,J3196*K3196*L3196*M3196*N3196),2),"")</f>
        <v/>
      </c>
    </row>
    <row r="3197">
      <c r="A3197" t="n">
        <v>3196</v>
      </c>
      <c r="B3197">
        <f>A3197&lt;=MineCount*Days</f>
        <v/>
      </c>
      <c r="C3197">
        <f>IF(B3197,INT((A3197-1)/Days)+1,"")</f>
        <v/>
      </c>
      <c r="D3197">
        <f>IF(B3197,MOD(A3197-1,Days),"")</f>
        <v/>
      </c>
      <c r="E3197" s="16">
        <f>IF(B3197,StartDate+D3197,"")</f>
        <v/>
      </c>
      <c r="F3197">
        <f>IF(B3197,MAX(MOD(SIN(Seed*0.1373+C3197*12.9898+D3197*78.233)*43758.5453,1),1E-9),"")</f>
        <v/>
      </c>
      <c r="G3197">
        <f>IF(B3197,MOD(SIN(Seed*0.5917+C3197*39.3468+D3197*11.135)*24634.6345,1),"")</f>
        <v/>
      </c>
      <c r="H3197">
        <f>IF(B3197,SQRT(-2*LN(F3197))*COS(2*PI()*G3197),"")</f>
        <v/>
      </c>
      <c r="I3197">
        <f>IF(B3197,IF(D3197=0,H3197,Rho*I3196+SQRT(1-Rho^2)*H3197),"")</f>
        <v/>
      </c>
      <c r="J3197">
        <f>IF(B3197,IF(Dist="Normal",DistA+DistB*I3197,DistA+(DistB-DistA)*NORMSDIST(I3197)),"")</f>
        <v/>
      </c>
      <c r="K3197">
        <f>IF(B3197,INDEX(MineScale,C3197),"")</f>
        <v/>
      </c>
      <c r="L3197">
        <f>IF(B3197,INDEX(Dow,1,WEEKDAY(E3197,2)),"")</f>
        <v/>
      </c>
      <c r="M3197">
        <f>IF(B3197,(1+Trend)^D3197,"")</f>
        <v/>
      </c>
      <c r="N3197">
        <f>IF(B3197,EXP(SUMPRODUCT(LN(1+(EvEff-1)*INDEX(Affected,0,C3197)*EXP(-((E3197-EvCenter)^2)/(2*EvSigma^2))))),"")</f>
        <v/>
      </c>
      <c r="O3197">
        <f>IF(B3197,ROUND(MAX(0,J3197*K3197*L3197*M3197*N3197),2),"")</f>
        <v/>
      </c>
    </row>
    <row r="3198">
      <c r="A3198" t="n">
        <v>3197</v>
      </c>
      <c r="B3198">
        <f>A3198&lt;=MineCount*Days</f>
        <v/>
      </c>
      <c r="C3198">
        <f>IF(B3198,INT((A3198-1)/Days)+1,"")</f>
        <v/>
      </c>
      <c r="D3198">
        <f>IF(B3198,MOD(A3198-1,Days),"")</f>
        <v/>
      </c>
      <c r="E3198" s="16">
        <f>IF(B3198,StartDate+D3198,"")</f>
        <v/>
      </c>
      <c r="F3198">
        <f>IF(B3198,MAX(MOD(SIN(Seed*0.1373+C3198*12.9898+D3198*78.233)*43758.5453,1),1E-9),"")</f>
        <v/>
      </c>
      <c r="G3198">
        <f>IF(B3198,MOD(SIN(Seed*0.5917+C3198*39.3468+D3198*11.135)*24634.6345,1),"")</f>
        <v/>
      </c>
      <c r="H3198">
        <f>IF(B3198,SQRT(-2*LN(F3198))*COS(2*PI()*G3198),"")</f>
        <v/>
      </c>
      <c r="I3198">
        <f>IF(B3198,IF(D3198=0,H3198,Rho*I3197+SQRT(1-Rho^2)*H3198),"")</f>
        <v/>
      </c>
      <c r="J3198">
        <f>IF(B3198,IF(Dist="Normal",DistA+DistB*I3198,DistA+(DistB-DistA)*NORMSDIST(I3198)),"")</f>
        <v/>
      </c>
      <c r="K3198">
        <f>IF(B3198,INDEX(MineScale,C3198),"")</f>
        <v/>
      </c>
      <c r="L3198">
        <f>IF(B3198,INDEX(Dow,1,WEEKDAY(E3198,2)),"")</f>
        <v/>
      </c>
      <c r="M3198">
        <f>IF(B3198,(1+Trend)^D3198,"")</f>
        <v/>
      </c>
      <c r="N3198">
        <f>IF(B3198,EXP(SUMPRODUCT(LN(1+(EvEff-1)*INDEX(Affected,0,C3198)*EXP(-((E3198-EvCenter)^2)/(2*EvSigma^2))))),"")</f>
        <v/>
      </c>
      <c r="O3198">
        <f>IF(B3198,ROUND(MAX(0,J3198*K3198*L3198*M3198*N3198),2),"")</f>
        <v/>
      </c>
    </row>
    <row r="3199">
      <c r="A3199" t="n">
        <v>3198</v>
      </c>
      <c r="B3199">
        <f>A3199&lt;=MineCount*Days</f>
        <v/>
      </c>
      <c r="C3199">
        <f>IF(B3199,INT((A3199-1)/Days)+1,"")</f>
        <v/>
      </c>
      <c r="D3199">
        <f>IF(B3199,MOD(A3199-1,Days),"")</f>
        <v/>
      </c>
      <c r="E3199" s="16">
        <f>IF(B3199,StartDate+D3199,"")</f>
        <v/>
      </c>
      <c r="F3199">
        <f>IF(B3199,MAX(MOD(SIN(Seed*0.1373+C3199*12.9898+D3199*78.233)*43758.5453,1),1E-9),"")</f>
        <v/>
      </c>
      <c r="G3199">
        <f>IF(B3199,MOD(SIN(Seed*0.5917+C3199*39.3468+D3199*11.135)*24634.6345,1),"")</f>
        <v/>
      </c>
      <c r="H3199">
        <f>IF(B3199,SQRT(-2*LN(F3199))*COS(2*PI()*G3199),"")</f>
        <v/>
      </c>
      <c r="I3199">
        <f>IF(B3199,IF(D3199=0,H3199,Rho*I3198+SQRT(1-Rho^2)*H3199),"")</f>
        <v/>
      </c>
      <c r="J3199">
        <f>IF(B3199,IF(Dist="Normal",DistA+DistB*I3199,DistA+(DistB-DistA)*NORMSDIST(I3199)),"")</f>
        <v/>
      </c>
      <c r="K3199">
        <f>IF(B3199,INDEX(MineScale,C3199),"")</f>
        <v/>
      </c>
      <c r="L3199">
        <f>IF(B3199,INDEX(Dow,1,WEEKDAY(E3199,2)),"")</f>
        <v/>
      </c>
      <c r="M3199">
        <f>IF(B3199,(1+Trend)^D3199,"")</f>
        <v/>
      </c>
      <c r="N3199">
        <f>IF(B3199,EXP(SUMPRODUCT(LN(1+(EvEff-1)*INDEX(Affected,0,C3199)*EXP(-((E3199-EvCenter)^2)/(2*EvSigma^2))))),"")</f>
        <v/>
      </c>
      <c r="O3199">
        <f>IF(B3199,ROUND(MAX(0,J3199*K3199*L3199*M3199*N3199),2),"")</f>
        <v/>
      </c>
    </row>
    <row r="3200">
      <c r="A3200" t="n">
        <v>3199</v>
      </c>
      <c r="B3200">
        <f>A3200&lt;=MineCount*Days</f>
        <v/>
      </c>
      <c r="C3200">
        <f>IF(B3200,INT((A3200-1)/Days)+1,"")</f>
        <v/>
      </c>
      <c r="D3200">
        <f>IF(B3200,MOD(A3200-1,Days),"")</f>
        <v/>
      </c>
      <c r="E3200" s="16">
        <f>IF(B3200,StartDate+D3200,"")</f>
        <v/>
      </c>
      <c r="F3200">
        <f>IF(B3200,MAX(MOD(SIN(Seed*0.1373+C3200*12.9898+D3200*78.233)*43758.5453,1),1E-9),"")</f>
        <v/>
      </c>
      <c r="G3200">
        <f>IF(B3200,MOD(SIN(Seed*0.5917+C3200*39.3468+D3200*11.135)*24634.6345,1),"")</f>
        <v/>
      </c>
      <c r="H3200">
        <f>IF(B3200,SQRT(-2*LN(F3200))*COS(2*PI()*G3200),"")</f>
        <v/>
      </c>
      <c r="I3200">
        <f>IF(B3200,IF(D3200=0,H3200,Rho*I3199+SQRT(1-Rho^2)*H3200),"")</f>
        <v/>
      </c>
      <c r="J3200">
        <f>IF(B3200,IF(Dist="Normal",DistA+DistB*I3200,DistA+(DistB-DistA)*NORMSDIST(I3200)),"")</f>
        <v/>
      </c>
      <c r="K3200">
        <f>IF(B3200,INDEX(MineScale,C3200),"")</f>
        <v/>
      </c>
      <c r="L3200">
        <f>IF(B3200,INDEX(Dow,1,WEEKDAY(E3200,2)),"")</f>
        <v/>
      </c>
      <c r="M3200">
        <f>IF(B3200,(1+Trend)^D3200,"")</f>
        <v/>
      </c>
      <c r="N3200">
        <f>IF(B3200,EXP(SUMPRODUCT(LN(1+(EvEff-1)*INDEX(Affected,0,C3200)*EXP(-((E3200-EvCenter)^2)/(2*EvSigma^2))))),"")</f>
        <v/>
      </c>
      <c r="O3200">
        <f>IF(B3200,ROUND(MAX(0,J3200*K3200*L3200*M3200*N3200),2),"")</f>
        <v/>
      </c>
    </row>
    <row r="3201">
      <c r="A3201" t="n">
        <v>3200</v>
      </c>
      <c r="B3201">
        <f>A3201&lt;=MineCount*Days</f>
        <v/>
      </c>
      <c r="C3201">
        <f>IF(B3201,INT((A3201-1)/Days)+1,"")</f>
        <v/>
      </c>
      <c r="D3201">
        <f>IF(B3201,MOD(A3201-1,Days),"")</f>
        <v/>
      </c>
      <c r="E3201" s="16">
        <f>IF(B3201,StartDate+D3201,"")</f>
        <v/>
      </c>
      <c r="F3201">
        <f>IF(B3201,MAX(MOD(SIN(Seed*0.1373+C3201*12.9898+D3201*78.233)*43758.5453,1),1E-9),"")</f>
        <v/>
      </c>
      <c r="G3201">
        <f>IF(B3201,MOD(SIN(Seed*0.5917+C3201*39.3468+D3201*11.135)*24634.6345,1),"")</f>
        <v/>
      </c>
      <c r="H3201">
        <f>IF(B3201,SQRT(-2*LN(F3201))*COS(2*PI()*G3201),"")</f>
        <v/>
      </c>
      <c r="I3201">
        <f>IF(B3201,IF(D3201=0,H3201,Rho*I3200+SQRT(1-Rho^2)*H3201),"")</f>
        <v/>
      </c>
      <c r="J3201">
        <f>IF(B3201,IF(Dist="Normal",DistA+DistB*I3201,DistA+(DistB-DistA)*NORMSDIST(I3201)),"")</f>
        <v/>
      </c>
      <c r="K3201">
        <f>IF(B3201,INDEX(MineScale,C3201),"")</f>
        <v/>
      </c>
      <c r="L3201">
        <f>IF(B3201,INDEX(Dow,1,WEEKDAY(E3201,2)),"")</f>
        <v/>
      </c>
      <c r="M3201">
        <f>IF(B3201,(1+Trend)^D3201,"")</f>
        <v/>
      </c>
      <c r="N3201">
        <f>IF(B3201,EXP(SUMPRODUCT(LN(1+(EvEff-1)*INDEX(Affected,0,C3201)*EXP(-((E3201-EvCenter)^2)/(2*EvSigma^2))))),"")</f>
        <v/>
      </c>
      <c r="O3201">
        <f>IF(B3201,ROUND(MAX(0,J3201*K3201*L3201*M3201*N3201),2),"")</f>
        <v/>
      </c>
    </row>
    <row r="3202">
      <c r="A3202" t="n">
        <v>3201</v>
      </c>
      <c r="B3202">
        <f>A3202&lt;=MineCount*Days</f>
        <v/>
      </c>
      <c r="C3202">
        <f>IF(B3202,INT((A3202-1)/Days)+1,"")</f>
        <v/>
      </c>
      <c r="D3202">
        <f>IF(B3202,MOD(A3202-1,Days),"")</f>
        <v/>
      </c>
      <c r="E3202" s="16">
        <f>IF(B3202,StartDate+D3202,"")</f>
        <v/>
      </c>
      <c r="F3202">
        <f>IF(B3202,MAX(MOD(SIN(Seed*0.1373+C3202*12.9898+D3202*78.233)*43758.5453,1),1E-9),"")</f>
        <v/>
      </c>
      <c r="G3202">
        <f>IF(B3202,MOD(SIN(Seed*0.5917+C3202*39.3468+D3202*11.135)*24634.6345,1),"")</f>
        <v/>
      </c>
      <c r="H3202">
        <f>IF(B3202,SQRT(-2*LN(F3202))*COS(2*PI()*G3202),"")</f>
        <v/>
      </c>
      <c r="I3202">
        <f>IF(B3202,IF(D3202=0,H3202,Rho*I3201+SQRT(1-Rho^2)*H3202),"")</f>
        <v/>
      </c>
      <c r="J3202">
        <f>IF(B3202,IF(Dist="Normal",DistA+DistB*I3202,DistA+(DistB-DistA)*NORMSDIST(I3202)),"")</f>
        <v/>
      </c>
      <c r="K3202">
        <f>IF(B3202,INDEX(MineScale,C3202),"")</f>
        <v/>
      </c>
      <c r="L3202">
        <f>IF(B3202,INDEX(Dow,1,WEEKDAY(E3202,2)),"")</f>
        <v/>
      </c>
      <c r="M3202">
        <f>IF(B3202,(1+Trend)^D3202,"")</f>
        <v/>
      </c>
      <c r="N3202">
        <f>IF(B3202,EXP(SUMPRODUCT(LN(1+(EvEff-1)*INDEX(Affected,0,C3202)*EXP(-((E3202-EvCenter)^2)/(2*EvSigma^2))))),"")</f>
        <v/>
      </c>
      <c r="O3202">
        <f>IF(B3202,ROUND(MAX(0,J3202*K3202*L3202*M3202*N3202),2),"")</f>
        <v/>
      </c>
    </row>
    <row r="3203">
      <c r="A3203" t="n">
        <v>3202</v>
      </c>
      <c r="B3203">
        <f>A3203&lt;=MineCount*Days</f>
        <v/>
      </c>
      <c r="C3203">
        <f>IF(B3203,INT((A3203-1)/Days)+1,"")</f>
        <v/>
      </c>
      <c r="D3203">
        <f>IF(B3203,MOD(A3203-1,Days),"")</f>
        <v/>
      </c>
      <c r="E3203" s="16">
        <f>IF(B3203,StartDate+D3203,"")</f>
        <v/>
      </c>
      <c r="F3203">
        <f>IF(B3203,MAX(MOD(SIN(Seed*0.1373+C3203*12.9898+D3203*78.233)*43758.5453,1),1E-9),"")</f>
        <v/>
      </c>
      <c r="G3203">
        <f>IF(B3203,MOD(SIN(Seed*0.5917+C3203*39.3468+D3203*11.135)*24634.6345,1),"")</f>
        <v/>
      </c>
      <c r="H3203">
        <f>IF(B3203,SQRT(-2*LN(F3203))*COS(2*PI()*G3203),"")</f>
        <v/>
      </c>
      <c r="I3203">
        <f>IF(B3203,IF(D3203=0,H3203,Rho*I3202+SQRT(1-Rho^2)*H3203),"")</f>
        <v/>
      </c>
      <c r="J3203">
        <f>IF(B3203,IF(Dist="Normal",DistA+DistB*I3203,DistA+(DistB-DistA)*NORMSDIST(I3203)),"")</f>
        <v/>
      </c>
      <c r="K3203">
        <f>IF(B3203,INDEX(MineScale,C3203),"")</f>
        <v/>
      </c>
      <c r="L3203">
        <f>IF(B3203,INDEX(Dow,1,WEEKDAY(E3203,2)),"")</f>
        <v/>
      </c>
      <c r="M3203">
        <f>IF(B3203,(1+Trend)^D3203,"")</f>
        <v/>
      </c>
      <c r="N3203">
        <f>IF(B3203,EXP(SUMPRODUCT(LN(1+(EvEff-1)*INDEX(Affected,0,C3203)*EXP(-((E3203-EvCenter)^2)/(2*EvSigma^2))))),"")</f>
        <v/>
      </c>
      <c r="O3203">
        <f>IF(B3203,ROUND(MAX(0,J3203*K3203*L3203*M3203*N3203),2),"")</f>
        <v/>
      </c>
    </row>
    <row r="3204">
      <c r="A3204" t="n">
        <v>3203</v>
      </c>
      <c r="B3204">
        <f>A3204&lt;=MineCount*Days</f>
        <v/>
      </c>
      <c r="C3204">
        <f>IF(B3204,INT((A3204-1)/Days)+1,"")</f>
        <v/>
      </c>
      <c r="D3204">
        <f>IF(B3204,MOD(A3204-1,Days),"")</f>
        <v/>
      </c>
      <c r="E3204" s="16">
        <f>IF(B3204,StartDate+D3204,"")</f>
        <v/>
      </c>
      <c r="F3204">
        <f>IF(B3204,MAX(MOD(SIN(Seed*0.1373+C3204*12.9898+D3204*78.233)*43758.5453,1),1E-9),"")</f>
        <v/>
      </c>
      <c r="G3204">
        <f>IF(B3204,MOD(SIN(Seed*0.5917+C3204*39.3468+D3204*11.135)*24634.6345,1),"")</f>
        <v/>
      </c>
      <c r="H3204">
        <f>IF(B3204,SQRT(-2*LN(F3204))*COS(2*PI()*G3204),"")</f>
        <v/>
      </c>
      <c r="I3204">
        <f>IF(B3204,IF(D3204=0,H3204,Rho*I3203+SQRT(1-Rho^2)*H3204),"")</f>
        <v/>
      </c>
      <c r="J3204">
        <f>IF(B3204,IF(Dist="Normal",DistA+DistB*I3204,DistA+(DistB-DistA)*NORMSDIST(I3204)),"")</f>
        <v/>
      </c>
      <c r="K3204">
        <f>IF(B3204,INDEX(MineScale,C3204),"")</f>
        <v/>
      </c>
      <c r="L3204">
        <f>IF(B3204,INDEX(Dow,1,WEEKDAY(E3204,2)),"")</f>
        <v/>
      </c>
      <c r="M3204">
        <f>IF(B3204,(1+Trend)^D3204,"")</f>
        <v/>
      </c>
      <c r="N3204">
        <f>IF(B3204,EXP(SUMPRODUCT(LN(1+(EvEff-1)*INDEX(Affected,0,C3204)*EXP(-((E3204-EvCenter)^2)/(2*EvSigma^2))))),"")</f>
        <v/>
      </c>
      <c r="O3204">
        <f>IF(B3204,ROUND(MAX(0,J3204*K3204*L3204*M3204*N3204),2),"")</f>
        <v/>
      </c>
    </row>
    <row r="3205">
      <c r="A3205" t="n">
        <v>3204</v>
      </c>
      <c r="B3205">
        <f>A3205&lt;=MineCount*Days</f>
        <v/>
      </c>
      <c r="C3205">
        <f>IF(B3205,INT((A3205-1)/Days)+1,"")</f>
        <v/>
      </c>
      <c r="D3205">
        <f>IF(B3205,MOD(A3205-1,Days),"")</f>
        <v/>
      </c>
      <c r="E3205" s="16">
        <f>IF(B3205,StartDate+D3205,"")</f>
        <v/>
      </c>
      <c r="F3205">
        <f>IF(B3205,MAX(MOD(SIN(Seed*0.1373+C3205*12.9898+D3205*78.233)*43758.5453,1),1E-9),"")</f>
        <v/>
      </c>
      <c r="G3205">
        <f>IF(B3205,MOD(SIN(Seed*0.5917+C3205*39.3468+D3205*11.135)*24634.6345,1),"")</f>
        <v/>
      </c>
      <c r="H3205">
        <f>IF(B3205,SQRT(-2*LN(F3205))*COS(2*PI()*G3205),"")</f>
        <v/>
      </c>
      <c r="I3205">
        <f>IF(B3205,IF(D3205=0,H3205,Rho*I3204+SQRT(1-Rho^2)*H3205),"")</f>
        <v/>
      </c>
      <c r="J3205">
        <f>IF(B3205,IF(Dist="Normal",DistA+DistB*I3205,DistA+(DistB-DistA)*NORMSDIST(I3205)),"")</f>
        <v/>
      </c>
      <c r="K3205">
        <f>IF(B3205,INDEX(MineScale,C3205),"")</f>
        <v/>
      </c>
      <c r="L3205">
        <f>IF(B3205,INDEX(Dow,1,WEEKDAY(E3205,2)),"")</f>
        <v/>
      </c>
      <c r="M3205">
        <f>IF(B3205,(1+Trend)^D3205,"")</f>
        <v/>
      </c>
      <c r="N3205">
        <f>IF(B3205,EXP(SUMPRODUCT(LN(1+(EvEff-1)*INDEX(Affected,0,C3205)*EXP(-((E3205-EvCenter)^2)/(2*EvSigma^2))))),"")</f>
        <v/>
      </c>
      <c r="O3205">
        <f>IF(B3205,ROUND(MAX(0,J3205*K3205*L3205*M3205*N3205),2),"")</f>
        <v/>
      </c>
    </row>
    <row r="3206">
      <c r="A3206" t="n">
        <v>3205</v>
      </c>
      <c r="B3206">
        <f>A3206&lt;=MineCount*Days</f>
        <v/>
      </c>
      <c r="C3206">
        <f>IF(B3206,INT((A3206-1)/Days)+1,"")</f>
        <v/>
      </c>
      <c r="D3206">
        <f>IF(B3206,MOD(A3206-1,Days),"")</f>
        <v/>
      </c>
      <c r="E3206" s="16">
        <f>IF(B3206,StartDate+D3206,"")</f>
        <v/>
      </c>
      <c r="F3206">
        <f>IF(B3206,MAX(MOD(SIN(Seed*0.1373+C3206*12.9898+D3206*78.233)*43758.5453,1),1E-9),"")</f>
        <v/>
      </c>
      <c r="G3206">
        <f>IF(B3206,MOD(SIN(Seed*0.5917+C3206*39.3468+D3206*11.135)*24634.6345,1),"")</f>
        <v/>
      </c>
      <c r="H3206">
        <f>IF(B3206,SQRT(-2*LN(F3206))*COS(2*PI()*G3206),"")</f>
        <v/>
      </c>
      <c r="I3206">
        <f>IF(B3206,IF(D3206=0,H3206,Rho*I3205+SQRT(1-Rho^2)*H3206),"")</f>
        <v/>
      </c>
      <c r="J3206">
        <f>IF(B3206,IF(Dist="Normal",DistA+DistB*I3206,DistA+(DistB-DistA)*NORMSDIST(I3206)),"")</f>
        <v/>
      </c>
      <c r="K3206">
        <f>IF(B3206,INDEX(MineScale,C3206),"")</f>
        <v/>
      </c>
      <c r="L3206">
        <f>IF(B3206,INDEX(Dow,1,WEEKDAY(E3206,2)),"")</f>
        <v/>
      </c>
      <c r="M3206">
        <f>IF(B3206,(1+Trend)^D3206,"")</f>
        <v/>
      </c>
      <c r="N3206">
        <f>IF(B3206,EXP(SUMPRODUCT(LN(1+(EvEff-1)*INDEX(Affected,0,C3206)*EXP(-((E3206-EvCenter)^2)/(2*EvSigma^2))))),"")</f>
        <v/>
      </c>
      <c r="O3206">
        <f>IF(B3206,ROUND(MAX(0,J3206*K3206*L3206*M3206*N3206),2),"")</f>
        <v/>
      </c>
    </row>
    <row r="3207">
      <c r="A3207" t="n">
        <v>3206</v>
      </c>
      <c r="B3207">
        <f>A3207&lt;=MineCount*Days</f>
        <v/>
      </c>
      <c r="C3207">
        <f>IF(B3207,INT((A3207-1)/Days)+1,"")</f>
        <v/>
      </c>
      <c r="D3207">
        <f>IF(B3207,MOD(A3207-1,Days),"")</f>
        <v/>
      </c>
      <c r="E3207" s="16">
        <f>IF(B3207,StartDate+D3207,"")</f>
        <v/>
      </c>
      <c r="F3207">
        <f>IF(B3207,MAX(MOD(SIN(Seed*0.1373+C3207*12.9898+D3207*78.233)*43758.5453,1),1E-9),"")</f>
        <v/>
      </c>
      <c r="G3207">
        <f>IF(B3207,MOD(SIN(Seed*0.5917+C3207*39.3468+D3207*11.135)*24634.6345,1),"")</f>
        <v/>
      </c>
      <c r="H3207">
        <f>IF(B3207,SQRT(-2*LN(F3207))*COS(2*PI()*G3207),"")</f>
        <v/>
      </c>
      <c r="I3207">
        <f>IF(B3207,IF(D3207=0,H3207,Rho*I3206+SQRT(1-Rho^2)*H3207),"")</f>
        <v/>
      </c>
      <c r="J3207">
        <f>IF(B3207,IF(Dist="Normal",DistA+DistB*I3207,DistA+(DistB-DistA)*NORMSDIST(I3207)),"")</f>
        <v/>
      </c>
      <c r="K3207">
        <f>IF(B3207,INDEX(MineScale,C3207),"")</f>
        <v/>
      </c>
      <c r="L3207">
        <f>IF(B3207,INDEX(Dow,1,WEEKDAY(E3207,2)),"")</f>
        <v/>
      </c>
      <c r="M3207">
        <f>IF(B3207,(1+Trend)^D3207,"")</f>
        <v/>
      </c>
      <c r="N3207">
        <f>IF(B3207,EXP(SUMPRODUCT(LN(1+(EvEff-1)*INDEX(Affected,0,C3207)*EXP(-((E3207-EvCenter)^2)/(2*EvSigma^2))))),"")</f>
        <v/>
      </c>
      <c r="O3207">
        <f>IF(B3207,ROUND(MAX(0,J3207*K3207*L3207*M3207*N3207),2),"")</f>
        <v/>
      </c>
    </row>
    <row r="3208">
      <c r="A3208" t="n">
        <v>3207</v>
      </c>
      <c r="B3208">
        <f>A3208&lt;=MineCount*Days</f>
        <v/>
      </c>
      <c r="C3208">
        <f>IF(B3208,INT((A3208-1)/Days)+1,"")</f>
        <v/>
      </c>
      <c r="D3208">
        <f>IF(B3208,MOD(A3208-1,Days),"")</f>
        <v/>
      </c>
      <c r="E3208" s="16">
        <f>IF(B3208,StartDate+D3208,"")</f>
        <v/>
      </c>
      <c r="F3208">
        <f>IF(B3208,MAX(MOD(SIN(Seed*0.1373+C3208*12.9898+D3208*78.233)*43758.5453,1),1E-9),"")</f>
        <v/>
      </c>
      <c r="G3208">
        <f>IF(B3208,MOD(SIN(Seed*0.5917+C3208*39.3468+D3208*11.135)*24634.6345,1),"")</f>
        <v/>
      </c>
      <c r="H3208">
        <f>IF(B3208,SQRT(-2*LN(F3208))*COS(2*PI()*G3208),"")</f>
        <v/>
      </c>
      <c r="I3208">
        <f>IF(B3208,IF(D3208=0,H3208,Rho*I3207+SQRT(1-Rho^2)*H3208),"")</f>
        <v/>
      </c>
      <c r="J3208">
        <f>IF(B3208,IF(Dist="Normal",DistA+DistB*I3208,DistA+(DistB-DistA)*NORMSDIST(I3208)),"")</f>
        <v/>
      </c>
      <c r="K3208">
        <f>IF(B3208,INDEX(MineScale,C3208),"")</f>
        <v/>
      </c>
      <c r="L3208">
        <f>IF(B3208,INDEX(Dow,1,WEEKDAY(E3208,2)),"")</f>
        <v/>
      </c>
      <c r="M3208">
        <f>IF(B3208,(1+Trend)^D3208,"")</f>
        <v/>
      </c>
      <c r="N3208">
        <f>IF(B3208,EXP(SUMPRODUCT(LN(1+(EvEff-1)*INDEX(Affected,0,C3208)*EXP(-((E3208-EvCenter)^2)/(2*EvSigma^2))))),"")</f>
        <v/>
      </c>
      <c r="O3208">
        <f>IF(B3208,ROUND(MAX(0,J3208*K3208*L3208*M3208*N3208),2),"")</f>
        <v/>
      </c>
    </row>
    <row r="3209">
      <c r="A3209" t="n">
        <v>3208</v>
      </c>
      <c r="B3209">
        <f>A3209&lt;=MineCount*Days</f>
        <v/>
      </c>
      <c r="C3209">
        <f>IF(B3209,INT((A3209-1)/Days)+1,"")</f>
        <v/>
      </c>
      <c r="D3209">
        <f>IF(B3209,MOD(A3209-1,Days),"")</f>
        <v/>
      </c>
      <c r="E3209" s="16">
        <f>IF(B3209,StartDate+D3209,"")</f>
        <v/>
      </c>
      <c r="F3209">
        <f>IF(B3209,MAX(MOD(SIN(Seed*0.1373+C3209*12.9898+D3209*78.233)*43758.5453,1),1E-9),"")</f>
        <v/>
      </c>
      <c r="G3209">
        <f>IF(B3209,MOD(SIN(Seed*0.5917+C3209*39.3468+D3209*11.135)*24634.6345,1),"")</f>
        <v/>
      </c>
      <c r="H3209">
        <f>IF(B3209,SQRT(-2*LN(F3209))*COS(2*PI()*G3209),"")</f>
        <v/>
      </c>
      <c r="I3209">
        <f>IF(B3209,IF(D3209=0,H3209,Rho*I3208+SQRT(1-Rho^2)*H3209),"")</f>
        <v/>
      </c>
      <c r="J3209">
        <f>IF(B3209,IF(Dist="Normal",DistA+DistB*I3209,DistA+(DistB-DistA)*NORMSDIST(I3209)),"")</f>
        <v/>
      </c>
      <c r="K3209">
        <f>IF(B3209,INDEX(MineScale,C3209),"")</f>
        <v/>
      </c>
      <c r="L3209">
        <f>IF(B3209,INDEX(Dow,1,WEEKDAY(E3209,2)),"")</f>
        <v/>
      </c>
      <c r="M3209">
        <f>IF(B3209,(1+Trend)^D3209,"")</f>
        <v/>
      </c>
      <c r="N3209">
        <f>IF(B3209,EXP(SUMPRODUCT(LN(1+(EvEff-1)*INDEX(Affected,0,C3209)*EXP(-((E3209-EvCenter)^2)/(2*EvSigma^2))))),"")</f>
        <v/>
      </c>
      <c r="O3209">
        <f>IF(B3209,ROUND(MAX(0,J3209*K3209*L3209*M3209*N3209),2),"")</f>
        <v/>
      </c>
    </row>
    <row r="3210">
      <c r="A3210" t="n">
        <v>3209</v>
      </c>
      <c r="B3210">
        <f>A3210&lt;=MineCount*Days</f>
        <v/>
      </c>
      <c r="C3210">
        <f>IF(B3210,INT((A3210-1)/Days)+1,"")</f>
        <v/>
      </c>
      <c r="D3210">
        <f>IF(B3210,MOD(A3210-1,Days),"")</f>
        <v/>
      </c>
      <c r="E3210" s="16">
        <f>IF(B3210,StartDate+D3210,"")</f>
        <v/>
      </c>
      <c r="F3210">
        <f>IF(B3210,MAX(MOD(SIN(Seed*0.1373+C3210*12.9898+D3210*78.233)*43758.5453,1),1E-9),"")</f>
        <v/>
      </c>
      <c r="G3210">
        <f>IF(B3210,MOD(SIN(Seed*0.5917+C3210*39.3468+D3210*11.135)*24634.6345,1),"")</f>
        <v/>
      </c>
      <c r="H3210">
        <f>IF(B3210,SQRT(-2*LN(F3210))*COS(2*PI()*G3210),"")</f>
        <v/>
      </c>
      <c r="I3210">
        <f>IF(B3210,IF(D3210=0,H3210,Rho*I3209+SQRT(1-Rho^2)*H3210),"")</f>
        <v/>
      </c>
      <c r="J3210">
        <f>IF(B3210,IF(Dist="Normal",DistA+DistB*I3210,DistA+(DistB-DistA)*NORMSDIST(I3210)),"")</f>
        <v/>
      </c>
      <c r="K3210">
        <f>IF(B3210,INDEX(MineScale,C3210),"")</f>
        <v/>
      </c>
      <c r="L3210">
        <f>IF(B3210,INDEX(Dow,1,WEEKDAY(E3210,2)),"")</f>
        <v/>
      </c>
      <c r="M3210">
        <f>IF(B3210,(1+Trend)^D3210,"")</f>
        <v/>
      </c>
      <c r="N3210">
        <f>IF(B3210,EXP(SUMPRODUCT(LN(1+(EvEff-1)*INDEX(Affected,0,C3210)*EXP(-((E3210-EvCenter)^2)/(2*EvSigma^2))))),"")</f>
        <v/>
      </c>
      <c r="O3210">
        <f>IF(B3210,ROUND(MAX(0,J3210*K3210*L3210*M3210*N3210),2),"")</f>
        <v/>
      </c>
    </row>
    <row r="3211">
      <c r="A3211" t="n">
        <v>3210</v>
      </c>
      <c r="B3211">
        <f>A3211&lt;=MineCount*Days</f>
        <v/>
      </c>
      <c r="C3211">
        <f>IF(B3211,INT((A3211-1)/Days)+1,"")</f>
        <v/>
      </c>
      <c r="D3211">
        <f>IF(B3211,MOD(A3211-1,Days),"")</f>
        <v/>
      </c>
      <c r="E3211" s="16">
        <f>IF(B3211,StartDate+D3211,"")</f>
        <v/>
      </c>
      <c r="F3211">
        <f>IF(B3211,MAX(MOD(SIN(Seed*0.1373+C3211*12.9898+D3211*78.233)*43758.5453,1),1E-9),"")</f>
        <v/>
      </c>
      <c r="G3211">
        <f>IF(B3211,MOD(SIN(Seed*0.5917+C3211*39.3468+D3211*11.135)*24634.6345,1),"")</f>
        <v/>
      </c>
      <c r="H3211">
        <f>IF(B3211,SQRT(-2*LN(F3211))*COS(2*PI()*G3211),"")</f>
        <v/>
      </c>
      <c r="I3211">
        <f>IF(B3211,IF(D3211=0,H3211,Rho*I3210+SQRT(1-Rho^2)*H3211),"")</f>
        <v/>
      </c>
      <c r="J3211">
        <f>IF(B3211,IF(Dist="Normal",DistA+DistB*I3211,DistA+(DistB-DistA)*NORMSDIST(I3211)),"")</f>
        <v/>
      </c>
      <c r="K3211">
        <f>IF(B3211,INDEX(MineScale,C3211),"")</f>
        <v/>
      </c>
      <c r="L3211">
        <f>IF(B3211,INDEX(Dow,1,WEEKDAY(E3211,2)),"")</f>
        <v/>
      </c>
      <c r="M3211">
        <f>IF(B3211,(1+Trend)^D3211,"")</f>
        <v/>
      </c>
      <c r="N3211">
        <f>IF(B3211,EXP(SUMPRODUCT(LN(1+(EvEff-1)*INDEX(Affected,0,C3211)*EXP(-((E3211-EvCenter)^2)/(2*EvSigma^2))))),"")</f>
        <v/>
      </c>
      <c r="O3211">
        <f>IF(B3211,ROUND(MAX(0,J3211*K3211*L3211*M3211*N3211),2),"")</f>
        <v/>
      </c>
    </row>
    <row r="3212">
      <c r="A3212" t="n">
        <v>3211</v>
      </c>
      <c r="B3212">
        <f>A3212&lt;=MineCount*Days</f>
        <v/>
      </c>
      <c r="C3212">
        <f>IF(B3212,INT((A3212-1)/Days)+1,"")</f>
        <v/>
      </c>
      <c r="D3212">
        <f>IF(B3212,MOD(A3212-1,Days),"")</f>
        <v/>
      </c>
      <c r="E3212" s="16">
        <f>IF(B3212,StartDate+D3212,"")</f>
        <v/>
      </c>
      <c r="F3212">
        <f>IF(B3212,MAX(MOD(SIN(Seed*0.1373+C3212*12.9898+D3212*78.233)*43758.5453,1),1E-9),"")</f>
        <v/>
      </c>
      <c r="G3212">
        <f>IF(B3212,MOD(SIN(Seed*0.5917+C3212*39.3468+D3212*11.135)*24634.6345,1),"")</f>
        <v/>
      </c>
      <c r="H3212">
        <f>IF(B3212,SQRT(-2*LN(F3212))*COS(2*PI()*G3212),"")</f>
        <v/>
      </c>
      <c r="I3212">
        <f>IF(B3212,IF(D3212=0,H3212,Rho*I3211+SQRT(1-Rho^2)*H3212),"")</f>
        <v/>
      </c>
      <c r="J3212">
        <f>IF(B3212,IF(Dist="Normal",DistA+DistB*I3212,DistA+(DistB-DistA)*NORMSDIST(I3212)),"")</f>
        <v/>
      </c>
      <c r="K3212">
        <f>IF(B3212,INDEX(MineScale,C3212),"")</f>
        <v/>
      </c>
      <c r="L3212">
        <f>IF(B3212,INDEX(Dow,1,WEEKDAY(E3212,2)),"")</f>
        <v/>
      </c>
      <c r="M3212">
        <f>IF(B3212,(1+Trend)^D3212,"")</f>
        <v/>
      </c>
      <c r="N3212">
        <f>IF(B3212,EXP(SUMPRODUCT(LN(1+(EvEff-1)*INDEX(Affected,0,C3212)*EXP(-((E3212-EvCenter)^2)/(2*EvSigma^2))))),"")</f>
        <v/>
      </c>
      <c r="O3212">
        <f>IF(B3212,ROUND(MAX(0,J3212*K3212*L3212*M3212*N3212),2),"")</f>
        <v/>
      </c>
    </row>
    <row r="3213">
      <c r="A3213" t="n">
        <v>3212</v>
      </c>
      <c r="B3213">
        <f>A3213&lt;=MineCount*Days</f>
        <v/>
      </c>
      <c r="C3213">
        <f>IF(B3213,INT((A3213-1)/Days)+1,"")</f>
        <v/>
      </c>
      <c r="D3213">
        <f>IF(B3213,MOD(A3213-1,Days),"")</f>
        <v/>
      </c>
      <c r="E3213" s="16">
        <f>IF(B3213,StartDate+D3213,"")</f>
        <v/>
      </c>
      <c r="F3213">
        <f>IF(B3213,MAX(MOD(SIN(Seed*0.1373+C3213*12.9898+D3213*78.233)*43758.5453,1),1E-9),"")</f>
        <v/>
      </c>
      <c r="G3213">
        <f>IF(B3213,MOD(SIN(Seed*0.5917+C3213*39.3468+D3213*11.135)*24634.6345,1),"")</f>
        <v/>
      </c>
      <c r="H3213">
        <f>IF(B3213,SQRT(-2*LN(F3213))*COS(2*PI()*G3213),"")</f>
        <v/>
      </c>
      <c r="I3213">
        <f>IF(B3213,IF(D3213=0,H3213,Rho*I3212+SQRT(1-Rho^2)*H3213),"")</f>
        <v/>
      </c>
      <c r="J3213">
        <f>IF(B3213,IF(Dist="Normal",DistA+DistB*I3213,DistA+(DistB-DistA)*NORMSDIST(I3213)),"")</f>
        <v/>
      </c>
      <c r="K3213">
        <f>IF(B3213,INDEX(MineScale,C3213),"")</f>
        <v/>
      </c>
      <c r="L3213">
        <f>IF(B3213,INDEX(Dow,1,WEEKDAY(E3213,2)),"")</f>
        <v/>
      </c>
      <c r="M3213">
        <f>IF(B3213,(1+Trend)^D3213,"")</f>
        <v/>
      </c>
      <c r="N3213">
        <f>IF(B3213,EXP(SUMPRODUCT(LN(1+(EvEff-1)*INDEX(Affected,0,C3213)*EXP(-((E3213-EvCenter)^2)/(2*EvSigma^2))))),"")</f>
        <v/>
      </c>
      <c r="O3213">
        <f>IF(B3213,ROUND(MAX(0,J3213*K3213*L3213*M3213*N3213),2),"")</f>
        <v/>
      </c>
    </row>
    <row r="3214">
      <c r="A3214" t="n">
        <v>3213</v>
      </c>
      <c r="B3214">
        <f>A3214&lt;=MineCount*Days</f>
        <v/>
      </c>
      <c r="C3214">
        <f>IF(B3214,INT((A3214-1)/Days)+1,"")</f>
        <v/>
      </c>
      <c r="D3214">
        <f>IF(B3214,MOD(A3214-1,Days),"")</f>
        <v/>
      </c>
      <c r="E3214" s="16">
        <f>IF(B3214,StartDate+D3214,"")</f>
        <v/>
      </c>
      <c r="F3214">
        <f>IF(B3214,MAX(MOD(SIN(Seed*0.1373+C3214*12.9898+D3214*78.233)*43758.5453,1),1E-9),"")</f>
        <v/>
      </c>
      <c r="G3214">
        <f>IF(B3214,MOD(SIN(Seed*0.5917+C3214*39.3468+D3214*11.135)*24634.6345,1),"")</f>
        <v/>
      </c>
      <c r="H3214">
        <f>IF(B3214,SQRT(-2*LN(F3214))*COS(2*PI()*G3214),"")</f>
        <v/>
      </c>
      <c r="I3214">
        <f>IF(B3214,IF(D3214=0,H3214,Rho*I3213+SQRT(1-Rho^2)*H3214),"")</f>
        <v/>
      </c>
      <c r="J3214">
        <f>IF(B3214,IF(Dist="Normal",DistA+DistB*I3214,DistA+(DistB-DistA)*NORMSDIST(I3214)),"")</f>
        <v/>
      </c>
      <c r="K3214">
        <f>IF(B3214,INDEX(MineScale,C3214),"")</f>
        <v/>
      </c>
      <c r="L3214">
        <f>IF(B3214,INDEX(Dow,1,WEEKDAY(E3214,2)),"")</f>
        <v/>
      </c>
      <c r="M3214">
        <f>IF(B3214,(1+Trend)^D3214,"")</f>
        <v/>
      </c>
      <c r="N3214">
        <f>IF(B3214,EXP(SUMPRODUCT(LN(1+(EvEff-1)*INDEX(Affected,0,C3214)*EXP(-((E3214-EvCenter)^2)/(2*EvSigma^2))))),"")</f>
        <v/>
      </c>
      <c r="O3214">
        <f>IF(B3214,ROUND(MAX(0,J3214*K3214*L3214*M3214*N3214),2),"")</f>
        <v/>
      </c>
    </row>
    <row r="3215">
      <c r="A3215" t="n">
        <v>3214</v>
      </c>
      <c r="B3215">
        <f>A3215&lt;=MineCount*Days</f>
        <v/>
      </c>
      <c r="C3215">
        <f>IF(B3215,INT((A3215-1)/Days)+1,"")</f>
        <v/>
      </c>
      <c r="D3215">
        <f>IF(B3215,MOD(A3215-1,Days),"")</f>
        <v/>
      </c>
      <c r="E3215" s="16">
        <f>IF(B3215,StartDate+D3215,"")</f>
        <v/>
      </c>
      <c r="F3215">
        <f>IF(B3215,MAX(MOD(SIN(Seed*0.1373+C3215*12.9898+D3215*78.233)*43758.5453,1),1E-9),"")</f>
        <v/>
      </c>
      <c r="G3215">
        <f>IF(B3215,MOD(SIN(Seed*0.5917+C3215*39.3468+D3215*11.135)*24634.6345,1),"")</f>
        <v/>
      </c>
      <c r="H3215">
        <f>IF(B3215,SQRT(-2*LN(F3215))*COS(2*PI()*G3215),"")</f>
        <v/>
      </c>
      <c r="I3215">
        <f>IF(B3215,IF(D3215=0,H3215,Rho*I3214+SQRT(1-Rho^2)*H3215),"")</f>
        <v/>
      </c>
      <c r="J3215">
        <f>IF(B3215,IF(Dist="Normal",DistA+DistB*I3215,DistA+(DistB-DistA)*NORMSDIST(I3215)),"")</f>
        <v/>
      </c>
      <c r="K3215">
        <f>IF(B3215,INDEX(MineScale,C3215),"")</f>
        <v/>
      </c>
      <c r="L3215">
        <f>IF(B3215,INDEX(Dow,1,WEEKDAY(E3215,2)),"")</f>
        <v/>
      </c>
      <c r="M3215">
        <f>IF(B3215,(1+Trend)^D3215,"")</f>
        <v/>
      </c>
      <c r="N3215">
        <f>IF(B3215,EXP(SUMPRODUCT(LN(1+(EvEff-1)*INDEX(Affected,0,C3215)*EXP(-((E3215-EvCenter)^2)/(2*EvSigma^2))))),"")</f>
        <v/>
      </c>
      <c r="O3215">
        <f>IF(B3215,ROUND(MAX(0,J3215*K3215*L3215*M3215*N3215),2),"")</f>
        <v/>
      </c>
    </row>
    <row r="3216">
      <c r="A3216" t="n">
        <v>3215</v>
      </c>
      <c r="B3216">
        <f>A3216&lt;=MineCount*Days</f>
        <v/>
      </c>
      <c r="C3216">
        <f>IF(B3216,INT((A3216-1)/Days)+1,"")</f>
        <v/>
      </c>
      <c r="D3216">
        <f>IF(B3216,MOD(A3216-1,Days),"")</f>
        <v/>
      </c>
      <c r="E3216" s="16">
        <f>IF(B3216,StartDate+D3216,"")</f>
        <v/>
      </c>
      <c r="F3216">
        <f>IF(B3216,MAX(MOD(SIN(Seed*0.1373+C3216*12.9898+D3216*78.233)*43758.5453,1),1E-9),"")</f>
        <v/>
      </c>
      <c r="G3216">
        <f>IF(B3216,MOD(SIN(Seed*0.5917+C3216*39.3468+D3216*11.135)*24634.6345,1),"")</f>
        <v/>
      </c>
      <c r="H3216">
        <f>IF(B3216,SQRT(-2*LN(F3216))*COS(2*PI()*G3216),"")</f>
        <v/>
      </c>
      <c r="I3216">
        <f>IF(B3216,IF(D3216=0,H3216,Rho*I3215+SQRT(1-Rho^2)*H3216),"")</f>
        <v/>
      </c>
      <c r="J3216">
        <f>IF(B3216,IF(Dist="Normal",DistA+DistB*I3216,DistA+(DistB-DistA)*NORMSDIST(I3216)),"")</f>
        <v/>
      </c>
      <c r="K3216">
        <f>IF(B3216,INDEX(MineScale,C3216),"")</f>
        <v/>
      </c>
      <c r="L3216">
        <f>IF(B3216,INDEX(Dow,1,WEEKDAY(E3216,2)),"")</f>
        <v/>
      </c>
      <c r="M3216">
        <f>IF(B3216,(1+Trend)^D3216,"")</f>
        <v/>
      </c>
      <c r="N3216">
        <f>IF(B3216,EXP(SUMPRODUCT(LN(1+(EvEff-1)*INDEX(Affected,0,C3216)*EXP(-((E3216-EvCenter)^2)/(2*EvSigma^2))))),"")</f>
        <v/>
      </c>
      <c r="O3216">
        <f>IF(B3216,ROUND(MAX(0,J3216*K3216*L3216*M3216*N3216),2),"")</f>
        <v/>
      </c>
    </row>
    <row r="3217">
      <c r="A3217" t="n">
        <v>3216</v>
      </c>
      <c r="B3217">
        <f>A3217&lt;=MineCount*Days</f>
        <v/>
      </c>
      <c r="C3217">
        <f>IF(B3217,INT((A3217-1)/Days)+1,"")</f>
        <v/>
      </c>
      <c r="D3217">
        <f>IF(B3217,MOD(A3217-1,Days),"")</f>
        <v/>
      </c>
      <c r="E3217" s="16">
        <f>IF(B3217,StartDate+D3217,"")</f>
        <v/>
      </c>
      <c r="F3217">
        <f>IF(B3217,MAX(MOD(SIN(Seed*0.1373+C3217*12.9898+D3217*78.233)*43758.5453,1),1E-9),"")</f>
        <v/>
      </c>
      <c r="G3217">
        <f>IF(B3217,MOD(SIN(Seed*0.5917+C3217*39.3468+D3217*11.135)*24634.6345,1),"")</f>
        <v/>
      </c>
      <c r="H3217">
        <f>IF(B3217,SQRT(-2*LN(F3217))*COS(2*PI()*G3217),"")</f>
        <v/>
      </c>
      <c r="I3217">
        <f>IF(B3217,IF(D3217=0,H3217,Rho*I3216+SQRT(1-Rho^2)*H3217),"")</f>
        <v/>
      </c>
      <c r="J3217">
        <f>IF(B3217,IF(Dist="Normal",DistA+DistB*I3217,DistA+(DistB-DistA)*NORMSDIST(I3217)),"")</f>
        <v/>
      </c>
      <c r="K3217">
        <f>IF(B3217,INDEX(MineScale,C3217),"")</f>
        <v/>
      </c>
      <c r="L3217">
        <f>IF(B3217,INDEX(Dow,1,WEEKDAY(E3217,2)),"")</f>
        <v/>
      </c>
      <c r="M3217">
        <f>IF(B3217,(1+Trend)^D3217,"")</f>
        <v/>
      </c>
      <c r="N3217">
        <f>IF(B3217,EXP(SUMPRODUCT(LN(1+(EvEff-1)*INDEX(Affected,0,C3217)*EXP(-((E3217-EvCenter)^2)/(2*EvSigma^2))))),"")</f>
        <v/>
      </c>
      <c r="O3217">
        <f>IF(B3217,ROUND(MAX(0,J3217*K3217*L3217*M3217*N3217),2),"")</f>
        <v/>
      </c>
    </row>
    <row r="3218">
      <c r="A3218" t="n">
        <v>3217</v>
      </c>
      <c r="B3218">
        <f>A3218&lt;=MineCount*Days</f>
        <v/>
      </c>
      <c r="C3218">
        <f>IF(B3218,INT((A3218-1)/Days)+1,"")</f>
        <v/>
      </c>
      <c r="D3218">
        <f>IF(B3218,MOD(A3218-1,Days),"")</f>
        <v/>
      </c>
      <c r="E3218" s="16">
        <f>IF(B3218,StartDate+D3218,"")</f>
        <v/>
      </c>
      <c r="F3218">
        <f>IF(B3218,MAX(MOD(SIN(Seed*0.1373+C3218*12.9898+D3218*78.233)*43758.5453,1),1E-9),"")</f>
        <v/>
      </c>
      <c r="G3218">
        <f>IF(B3218,MOD(SIN(Seed*0.5917+C3218*39.3468+D3218*11.135)*24634.6345,1),"")</f>
        <v/>
      </c>
      <c r="H3218">
        <f>IF(B3218,SQRT(-2*LN(F3218))*COS(2*PI()*G3218),"")</f>
        <v/>
      </c>
      <c r="I3218">
        <f>IF(B3218,IF(D3218=0,H3218,Rho*I3217+SQRT(1-Rho^2)*H3218),"")</f>
        <v/>
      </c>
      <c r="J3218">
        <f>IF(B3218,IF(Dist="Normal",DistA+DistB*I3218,DistA+(DistB-DistA)*NORMSDIST(I3218)),"")</f>
        <v/>
      </c>
      <c r="K3218">
        <f>IF(B3218,INDEX(MineScale,C3218),"")</f>
        <v/>
      </c>
      <c r="L3218">
        <f>IF(B3218,INDEX(Dow,1,WEEKDAY(E3218,2)),"")</f>
        <v/>
      </c>
      <c r="M3218">
        <f>IF(B3218,(1+Trend)^D3218,"")</f>
        <v/>
      </c>
      <c r="N3218">
        <f>IF(B3218,EXP(SUMPRODUCT(LN(1+(EvEff-1)*INDEX(Affected,0,C3218)*EXP(-((E3218-EvCenter)^2)/(2*EvSigma^2))))),"")</f>
        <v/>
      </c>
      <c r="O3218">
        <f>IF(B3218,ROUND(MAX(0,J3218*K3218*L3218*M3218*N3218),2),"")</f>
        <v/>
      </c>
    </row>
    <row r="3219">
      <c r="A3219" t="n">
        <v>3218</v>
      </c>
      <c r="B3219">
        <f>A3219&lt;=MineCount*Days</f>
        <v/>
      </c>
      <c r="C3219">
        <f>IF(B3219,INT((A3219-1)/Days)+1,"")</f>
        <v/>
      </c>
      <c r="D3219">
        <f>IF(B3219,MOD(A3219-1,Days),"")</f>
        <v/>
      </c>
      <c r="E3219" s="16">
        <f>IF(B3219,StartDate+D3219,"")</f>
        <v/>
      </c>
      <c r="F3219">
        <f>IF(B3219,MAX(MOD(SIN(Seed*0.1373+C3219*12.9898+D3219*78.233)*43758.5453,1),1E-9),"")</f>
        <v/>
      </c>
      <c r="G3219">
        <f>IF(B3219,MOD(SIN(Seed*0.5917+C3219*39.3468+D3219*11.135)*24634.6345,1),"")</f>
        <v/>
      </c>
      <c r="H3219">
        <f>IF(B3219,SQRT(-2*LN(F3219))*COS(2*PI()*G3219),"")</f>
        <v/>
      </c>
      <c r="I3219">
        <f>IF(B3219,IF(D3219=0,H3219,Rho*I3218+SQRT(1-Rho^2)*H3219),"")</f>
        <v/>
      </c>
      <c r="J3219">
        <f>IF(B3219,IF(Dist="Normal",DistA+DistB*I3219,DistA+(DistB-DistA)*NORMSDIST(I3219)),"")</f>
        <v/>
      </c>
      <c r="K3219">
        <f>IF(B3219,INDEX(MineScale,C3219),"")</f>
        <v/>
      </c>
      <c r="L3219">
        <f>IF(B3219,INDEX(Dow,1,WEEKDAY(E3219,2)),"")</f>
        <v/>
      </c>
      <c r="M3219">
        <f>IF(B3219,(1+Trend)^D3219,"")</f>
        <v/>
      </c>
      <c r="N3219">
        <f>IF(B3219,EXP(SUMPRODUCT(LN(1+(EvEff-1)*INDEX(Affected,0,C3219)*EXP(-((E3219-EvCenter)^2)/(2*EvSigma^2))))),"")</f>
        <v/>
      </c>
      <c r="O3219">
        <f>IF(B3219,ROUND(MAX(0,J3219*K3219*L3219*M3219*N3219),2),"")</f>
        <v/>
      </c>
    </row>
    <row r="3220">
      <c r="A3220" t="n">
        <v>3219</v>
      </c>
      <c r="B3220">
        <f>A3220&lt;=MineCount*Days</f>
        <v/>
      </c>
      <c r="C3220">
        <f>IF(B3220,INT((A3220-1)/Days)+1,"")</f>
        <v/>
      </c>
      <c r="D3220">
        <f>IF(B3220,MOD(A3220-1,Days),"")</f>
        <v/>
      </c>
      <c r="E3220" s="16">
        <f>IF(B3220,StartDate+D3220,"")</f>
        <v/>
      </c>
      <c r="F3220">
        <f>IF(B3220,MAX(MOD(SIN(Seed*0.1373+C3220*12.9898+D3220*78.233)*43758.5453,1),1E-9),"")</f>
        <v/>
      </c>
      <c r="G3220">
        <f>IF(B3220,MOD(SIN(Seed*0.5917+C3220*39.3468+D3220*11.135)*24634.6345,1),"")</f>
        <v/>
      </c>
      <c r="H3220">
        <f>IF(B3220,SQRT(-2*LN(F3220))*COS(2*PI()*G3220),"")</f>
        <v/>
      </c>
      <c r="I3220">
        <f>IF(B3220,IF(D3220=0,H3220,Rho*I3219+SQRT(1-Rho^2)*H3220),"")</f>
        <v/>
      </c>
      <c r="J3220">
        <f>IF(B3220,IF(Dist="Normal",DistA+DistB*I3220,DistA+(DistB-DistA)*NORMSDIST(I3220)),"")</f>
        <v/>
      </c>
      <c r="K3220">
        <f>IF(B3220,INDEX(MineScale,C3220),"")</f>
        <v/>
      </c>
      <c r="L3220">
        <f>IF(B3220,INDEX(Dow,1,WEEKDAY(E3220,2)),"")</f>
        <v/>
      </c>
      <c r="M3220">
        <f>IF(B3220,(1+Trend)^D3220,"")</f>
        <v/>
      </c>
      <c r="N3220">
        <f>IF(B3220,EXP(SUMPRODUCT(LN(1+(EvEff-1)*INDEX(Affected,0,C3220)*EXP(-((E3220-EvCenter)^2)/(2*EvSigma^2))))),"")</f>
        <v/>
      </c>
      <c r="O3220">
        <f>IF(B3220,ROUND(MAX(0,J3220*K3220*L3220*M3220*N3220),2),"")</f>
        <v/>
      </c>
    </row>
    <row r="3221">
      <c r="A3221" t="n">
        <v>3220</v>
      </c>
      <c r="B3221">
        <f>A3221&lt;=MineCount*Days</f>
        <v/>
      </c>
      <c r="C3221">
        <f>IF(B3221,INT((A3221-1)/Days)+1,"")</f>
        <v/>
      </c>
      <c r="D3221">
        <f>IF(B3221,MOD(A3221-1,Days),"")</f>
        <v/>
      </c>
      <c r="E3221" s="16">
        <f>IF(B3221,StartDate+D3221,"")</f>
        <v/>
      </c>
      <c r="F3221">
        <f>IF(B3221,MAX(MOD(SIN(Seed*0.1373+C3221*12.9898+D3221*78.233)*43758.5453,1),1E-9),"")</f>
        <v/>
      </c>
      <c r="G3221">
        <f>IF(B3221,MOD(SIN(Seed*0.5917+C3221*39.3468+D3221*11.135)*24634.6345,1),"")</f>
        <v/>
      </c>
      <c r="H3221">
        <f>IF(B3221,SQRT(-2*LN(F3221))*COS(2*PI()*G3221),"")</f>
        <v/>
      </c>
      <c r="I3221">
        <f>IF(B3221,IF(D3221=0,H3221,Rho*I3220+SQRT(1-Rho^2)*H3221),"")</f>
        <v/>
      </c>
      <c r="J3221">
        <f>IF(B3221,IF(Dist="Normal",DistA+DistB*I3221,DistA+(DistB-DistA)*NORMSDIST(I3221)),"")</f>
        <v/>
      </c>
      <c r="K3221">
        <f>IF(B3221,INDEX(MineScale,C3221),"")</f>
        <v/>
      </c>
      <c r="L3221">
        <f>IF(B3221,INDEX(Dow,1,WEEKDAY(E3221,2)),"")</f>
        <v/>
      </c>
      <c r="M3221">
        <f>IF(B3221,(1+Trend)^D3221,"")</f>
        <v/>
      </c>
      <c r="N3221">
        <f>IF(B3221,EXP(SUMPRODUCT(LN(1+(EvEff-1)*INDEX(Affected,0,C3221)*EXP(-((E3221-EvCenter)^2)/(2*EvSigma^2))))),"")</f>
        <v/>
      </c>
      <c r="O3221">
        <f>IF(B3221,ROUND(MAX(0,J3221*K3221*L3221*M3221*N3221),2),"")</f>
        <v/>
      </c>
    </row>
    <row r="3222">
      <c r="A3222" t="n">
        <v>3221</v>
      </c>
      <c r="B3222">
        <f>A3222&lt;=MineCount*Days</f>
        <v/>
      </c>
      <c r="C3222">
        <f>IF(B3222,INT((A3222-1)/Days)+1,"")</f>
        <v/>
      </c>
      <c r="D3222">
        <f>IF(B3222,MOD(A3222-1,Days),"")</f>
        <v/>
      </c>
      <c r="E3222" s="16">
        <f>IF(B3222,StartDate+D3222,"")</f>
        <v/>
      </c>
      <c r="F3222">
        <f>IF(B3222,MAX(MOD(SIN(Seed*0.1373+C3222*12.9898+D3222*78.233)*43758.5453,1),1E-9),"")</f>
        <v/>
      </c>
      <c r="G3222">
        <f>IF(B3222,MOD(SIN(Seed*0.5917+C3222*39.3468+D3222*11.135)*24634.6345,1),"")</f>
        <v/>
      </c>
      <c r="H3222">
        <f>IF(B3222,SQRT(-2*LN(F3222))*COS(2*PI()*G3222),"")</f>
        <v/>
      </c>
      <c r="I3222">
        <f>IF(B3222,IF(D3222=0,H3222,Rho*I3221+SQRT(1-Rho^2)*H3222),"")</f>
        <v/>
      </c>
      <c r="J3222">
        <f>IF(B3222,IF(Dist="Normal",DistA+DistB*I3222,DistA+(DistB-DistA)*NORMSDIST(I3222)),"")</f>
        <v/>
      </c>
      <c r="K3222">
        <f>IF(B3222,INDEX(MineScale,C3222),"")</f>
        <v/>
      </c>
      <c r="L3222">
        <f>IF(B3222,INDEX(Dow,1,WEEKDAY(E3222,2)),"")</f>
        <v/>
      </c>
      <c r="M3222">
        <f>IF(B3222,(1+Trend)^D3222,"")</f>
        <v/>
      </c>
      <c r="N3222">
        <f>IF(B3222,EXP(SUMPRODUCT(LN(1+(EvEff-1)*INDEX(Affected,0,C3222)*EXP(-((E3222-EvCenter)^2)/(2*EvSigma^2))))),"")</f>
        <v/>
      </c>
      <c r="O3222">
        <f>IF(B3222,ROUND(MAX(0,J3222*K3222*L3222*M3222*N3222),2),"")</f>
        <v/>
      </c>
    </row>
    <row r="3223">
      <c r="A3223" t="n">
        <v>3222</v>
      </c>
      <c r="B3223">
        <f>A3223&lt;=MineCount*Days</f>
        <v/>
      </c>
      <c r="C3223">
        <f>IF(B3223,INT((A3223-1)/Days)+1,"")</f>
        <v/>
      </c>
      <c r="D3223">
        <f>IF(B3223,MOD(A3223-1,Days),"")</f>
        <v/>
      </c>
      <c r="E3223" s="16">
        <f>IF(B3223,StartDate+D3223,"")</f>
        <v/>
      </c>
      <c r="F3223">
        <f>IF(B3223,MAX(MOD(SIN(Seed*0.1373+C3223*12.9898+D3223*78.233)*43758.5453,1),1E-9),"")</f>
        <v/>
      </c>
      <c r="G3223">
        <f>IF(B3223,MOD(SIN(Seed*0.5917+C3223*39.3468+D3223*11.135)*24634.6345,1),"")</f>
        <v/>
      </c>
      <c r="H3223">
        <f>IF(B3223,SQRT(-2*LN(F3223))*COS(2*PI()*G3223),"")</f>
        <v/>
      </c>
      <c r="I3223">
        <f>IF(B3223,IF(D3223=0,H3223,Rho*I3222+SQRT(1-Rho^2)*H3223),"")</f>
        <v/>
      </c>
      <c r="J3223">
        <f>IF(B3223,IF(Dist="Normal",DistA+DistB*I3223,DistA+(DistB-DistA)*NORMSDIST(I3223)),"")</f>
        <v/>
      </c>
      <c r="K3223">
        <f>IF(B3223,INDEX(MineScale,C3223),"")</f>
        <v/>
      </c>
      <c r="L3223">
        <f>IF(B3223,INDEX(Dow,1,WEEKDAY(E3223,2)),"")</f>
        <v/>
      </c>
      <c r="M3223">
        <f>IF(B3223,(1+Trend)^D3223,"")</f>
        <v/>
      </c>
      <c r="N3223">
        <f>IF(B3223,EXP(SUMPRODUCT(LN(1+(EvEff-1)*INDEX(Affected,0,C3223)*EXP(-((E3223-EvCenter)^2)/(2*EvSigma^2))))),"")</f>
        <v/>
      </c>
      <c r="O3223">
        <f>IF(B3223,ROUND(MAX(0,J3223*K3223*L3223*M3223*N3223),2),"")</f>
        <v/>
      </c>
    </row>
    <row r="3224">
      <c r="A3224" t="n">
        <v>3223</v>
      </c>
      <c r="B3224">
        <f>A3224&lt;=MineCount*Days</f>
        <v/>
      </c>
      <c r="C3224">
        <f>IF(B3224,INT((A3224-1)/Days)+1,"")</f>
        <v/>
      </c>
      <c r="D3224">
        <f>IF(B3224,MOD(A3224-1,Days),"")</f>
        <v/>
      </c>
      <c r="E3224" s="16">
        <f>IF(B3224,StartDate+D3224,"")</f>
        <v/>
      </c>
      <c r="F3224">
        <f>IF(B3224,MAX(MOD(SIN(Seed*0.1373+C3224*12.9898+D3224*78.233)*43758.5453,1),1E-9),"")</f>
        <v/>
      </c>
      <c r="G3224">
        <f>IF(B3224,MOD(SIN(Seed*0.5917+C3224*39.3468+D3224*11.135)*24634.6345,1),"")</f>
        <v/>
      </c>
      <c r="H3224">
        <f>IF(B3224,SQRT(-2*LN(F3224))*COS(2*PI()*G3224),"")</f>
        <v/>
      </c>
      <c r="I3224">
        <f>IF(B3224,IF(D3224=0,H3224,Rho*I3223+SQRT(1-Rho^2)*H3224),"")</f>
        <v/>
      </c>
      <c r="J3224">
        <f>IF(B3224,IF(Dist="Normal",DistA+DistB*I3224,DistA+(DistB-DistA)*NORMSDIST(I3224)),"")</f>
        <v/>
      </c>
      <c r="K3224">
        <f>IF(B3224,INDEX(MineScale,C3224),"")</f>
        <v/>
      </c>
      <c r="L3224">
        <f>IF(B3224,INDEX(Dow,1,WEEKDAY(E3224,2)),"")</f>
        <v/>
      </c>
      <c r="M3224">
        <f>IF(B3224,(1+Trend)^D3224,"")</f>
        <v/>
      </c>
      <c r="N3224">
        <f>IF(B3224,EXP(SUMPRODUCT(LN(1+(EvEff-1)*INDEX(Affected,0,C3224)*EXP(-((E3224-EvCenter)^2)/(2*EvSigma^2))))),"")</f>
        <v/>
      </c>
      <c r="O3224">
        <f>IF(B3224,ROUND(MAX(0,J3224*K3224*L3224*M3224*N3224),2),"")</f>
        <v/>
      </c>
    </row>
    <row r="3225">
      <c r="A3225" t="n">
        <v>3224</v>
      </c>
      <c r="B3225">
        <f>A3225&lt;=MineCount*Days</f>
        <v/>
      </c>
      <c r="C3225">
        <f>IF(B3225,INT((A3225-1)/Days)+1,"")</f>
        <v/>
      </c>
      <c r="D3225">
        <f>IF(B3225,MOD(A3225-1,Days),"")</f>
        <v/>
      </c>
      <c r="E3225" s="16">
        <f>IF(B3225,StartDate+D3225,"")</f>
        <v/>
      </c>
      <c r="F3225">
        <f>IF(B3225,MAX(MOD(SIN(Seed*0.1373+C3225*12.9898+D3225*78.233)*43758.5453,1),1E-9),"")</f>
        <v/>
      </c>
      <c r="G3225">
        <f>IF(B3225,MOD(SIN(Seed*0.5917+C3225*39.3468+D3225*11.135)*24634.6345,1),"")</f>
        <v/>
      </c>
      <c r="H3225">
        <f>IF(B3225,SQRT(-2*LN(F3225))*COS(2*PI()*G3225),"")</f>
        <v/>
      </c>
      <c r="I3225">
        <f>IF(B3225,IF(D3225=0,H3225,Rho*I3224+SQRT(1-Rho^2)*H3225),"")</f>
        <v/>
      </c>
      <c r="J3225">
        <f>IF(B3225,IF(Dist="Normal",DistA+DistB*I3225,DistA+(DistB-DistA)*NORMSDIST(I3225)),"")</f>
        <v/>
      </c>
      <c r="K3225">
        <f>IF(B3225,INDEX(MineScale,C3225),"")</f>
        <v/>
      </c>
      <c r="L3225">
        <f>IF(B3225,INDEX(Dow,1,WEEKDAY(E3225,2)),"")</f>
        <v/>
      </c>
      <c r="M3225">
        <f>IF(B3225,(1+Trend)^D3225,"")</f>
        <v/>
      </c>
      <c r="N3225">
        <f>IF(B3225,EXP(SUMPRODUCT(LN(1+(EvEff-1)*INDEX(Affected,0,C3225)*EXP(-((E3225-EvCenter)^2)/(2*EvSigma^2))))),"")</f>
        <v/>
      </c>
      <c r="O3225">
        <f>IF(B3225,ROUND(MAX(0,J3225*K3225*L3225*M3225*N3225),2),"")</f>
        <v/>
      </c>
    </row>
    <row r="3226">
      <c r="A3226" t="n">
        <v>3225</v>
      </c>
      <c r="B3226">
        <f>A3226&lt;=MineCount*Days</f>
        <v/>
      </c>
      <c r="C3226">
        <f>IF(B3226,INT((A3226-1)/Days)+1,"")</f>
        <v/>
      </c>
      <c r="D3226">
        <f>IF(B3226,MOD(A3226-1,Days),"")</f>
        <v/>
      </c>
      <c r="E3226" s="16">
        <f>IF(B3226,StartDate+D3226,"")</f>
        <v/>
      </c>
      <c r="F3226">
        <f>IF(B3226,MAX(MOD(SIN(Seed*0.1373+C3226*12.9898+D3226*78.233)*43758.5453,1),1E-9),"")</f>
        <v/>
      </c>
      <c r="G3226">
        <f>IF(B3226,MOD(SIN(Seed*0.5917+C3226*39.3468+D3226*11.135)*24634.6345,1),"")</f>
        <v/>
      </c>
      <c r="H3226">
        <f>IF(B3226,SQRT(-2*LN(F3226))*COS(2*PI()*G3226),"")</f>
        <v/>
      </c>
      <c r="I3226">
        <f>IF(B3226,IF(D3226=0,H3226,Rho*I3225+SQRT(1-Rho^2)*H3226),"")</f>
        <v/>
      </c>
      <c r="J3226">
        <f>IF(B3226,IF(Dist="Normal",DistA+DistB*I3226,DistA+(DistB-DistA)*NORMSDIST(I3226)),"")</f>
        <v/>
      </c>
      <c r="K3226">
        <f>IF(B3226,INDEX(MineScale,C3226),"")</f>
        <v/>
      </c>
      <c r="L3226">
        <f>IF(B3226,INDEX(Dow,1,WEEKDAY(E3226,2)),"")</f>
        <v/>
      </c>
      <c r="M3226">
        <f>IF(B3226,(1+Trend)^D3226,"")</f>
        <v/>
      </c>
      <c r="N3226">
        <f>IF(B3226,EXP(SUMPRODUCT(LN(1+(EvEff-1)*INDEX(Affected,0,C3226)*EXP(-((E3226-EvCenter)^2)/(2*EvSigma^2))))),"")</f>
        <v/>
      </c>
      <c r="O3226">
        <f>IF(B3226,ROUND(MAX(0,J3226*K3226*L3226*M3226*N3226),2),"")</f>
        <v/>
      </c>
    </row>
    <row r="3227">
      <c r="A3227" t="n">
        <v>3226</v>
      </c>
      <c r="B3227">
        <f>A3227&lt;=MineCount*Days</f>
        <v/>
      </c>
      <c r="C3227">
        <f>IF(B3227,INT((A3227-1)/Days)+1,"")</f>
        <v/>
      </c>
      <c r="D3227">
        <f>IF(B3227,MOD(A3227-1,Days),"")</f>
        <v/>
      </c>
      <c r="E3227" s="16">
        <f>IF(B3227,StartDate+D3227,"")</f>
        <v/>
      </c>
      <c r="F3227">
        <f>IF(B3227,MAX(MOD(SIN(Seed*0.1373+C3227*12.9898+D3227*78.233)*43758.5453,1),1E-9),"")</f>
        <v/>
      </c>
      <c r="G3227">
        <f>IF(B3227,MOD(SIN(Seed*0.5917+C3227*39.3468+D3227*11.135)*24634.6345,1),"")</f>
        <v/>
      </c>
      <c r="H3227">
        <f>IF(B3227,SQRT(-2*LN(F3227))*COS(2*PI()*G3227),"")</f>
        <v/>
      </c>
      <c r="I3227">
        <f>IF(B3227,IF(D3227=0,H3227,Rho*I3226+SQRT(1-Rho^2)*H3227),"")</f>
        <v/>
      </c>
      <c r="J3227">
        <f>IF(B3227,IF(Dist="Normal",DistA+DistB*I3227,DistA+(DistB-DistA)*NORMSDIST(I3227)),"")</f>
        <v/>
      </c>
      <c r="K3227">
        <f>IF(B3227,INDEX(MineScale,C3227),"")</f>
        <v/>
      </c>
      <c r="L3227">
        <f>IF(B3227,INDEX(Dow,1,WEEKDAY(E3227,2)),"")</f>
        <v/>
      </c>
      <c r="M3227">
        <f>IF(B3227,(1+Trend)^D3227,"")</f>
        <v/>
      </c>
      <c r="N3227">
        <f>IF(B3227,EXP(SUMPRODUCT(LN(1+(EvEff-1)*INDEX(Affected,0,C3227)*EXP(-((E3227-EvCenter)^2)/(2*EvSigma^2))))),"")</f>
        <v/>
      </c>
      <c r="O3227">
        <f>IF(B3227,ROUND(MAX(0,J3227*K3227*L3227*M3227*N3227),2),"")</f>
        <v/>
      </c>
    </row>
    <row r="3228">
      <c r="A3228" t="n">
        <v>3227</v>
      </c>
      <c r="B3228">
        <f>A3228&lt;=MineCount*Days</f>
        <v/>
      </c>
      <c r="C3228">
        <f>IF(B3228,INT((A3228-1)/Days)+1,"")</f>
        <v/>
      </c>
      <c r="D3228">
        <f>IF(B3228,MOD(A3228-1,Days),"")</f>
        <v/>
      </c>
      <c r="E3228" s="16">
        <f>IF(B3228,StartDate+D3228,"")</f>
        <v/>
      </c>
      <c r="F3228">
        <f>IF(B3228,MAX(MOD(SIN(Seed*0.1373+C3228*12.9898+D3228*78.233)*43758.5453,1),1E-9),"")</f>
        <v/>
      </c>
      <c r="G3228">
        <f>IF(B3228,MOD(SIN(Seed*0.5917+C3228*39.3468+D3228*11.135)*24634.6345,1),"")</f>
        <v/>
      </c>
      <c r="H3228">
        <f>IF(B3228,SQRT(-2*LN(F3228))*COS(2*PI()*G3228),"")</f>
        <v/>
      </c>
      <c r="I3228">
        <f>IF(B3228,IF(D3228=0,H3228,Rho*I3227+SQRT(1-Rho^2)*H3228),"")</f>
        <v/>
      </c>
      <c r="J3228">
        <f>IF(B3228,IF(Dist="Normal",DistA+DistB*I3228,DistA+(DistB-DistA)*NORMSDIST(I3228)),"")</f>
        <v/>
      </c>
      <c r="K3228">
        <f>IF(B3228,INDEX(MineScale,C3228),"")</f>
        <v/>
      </c>
      <c r="L3228">
        <f>IF(B3228,INDEX(Dow,1,WEEKDAY(E3228,2)),"")</f>
        <v/>
      </c>
      <c r="M3228">
        <f>IF(B3228,(1+Trend)^D3228,"")</f>
        <v/>
      </c>
      <c r="N3228">
        <f>IF(B3228,EXP(SUMPRODUCT(LN(1+(EvEff-1)*INDEX(Affected,0,C3228)*EXP(-((E3228-EvCenter)^2)/(2*EvSigma^2))))),"")</f>
        <v/>
      </c>
      <c r="O3228">
        <f>IF(B3228,ROUND(MAX(0,J3228*K3228*L3228*M3228*N3228),2),"")</f>
        <v/>
      </c>
    </row>
    <row r="3229">
      <c r="A3229" t="n">
        <v>3228</v>
      </c>
      <c r="B3229">
        <f>A3229&lt;=MineCount*Days</f>
        <v/>
      </c>
      <c r="C3229">
        <f>IF(B3229,INT((A3229-1)/Days)+1,"")</f>
        <v/>
      </c>
      <c r="D3229">
        <f>IF(B3229,MOD(A3229-1,Days),"")</f>
        <v/>
      </c>
      <c r="E3229" s="16">
        <f>IF(B3229,StartDate+D3229,"")</f>
        <v/>
      </c>
      <c r="F3229">
        <f>IF(B3229,MAX(MOD(SIN(Seed*0.1373+C3229*12.9898+D3229*78.233)*43758.5453,1),1E-9),"")</f>
        <v/>
      </c>
      <c r="G3229">
        <f>IF(B3229,MOD(SIN(Seed*0.5917+C3229*39.3468+D3229*11.135)*24634.6345,1),"")</f>
        <v/>
      </c>
      <c r="H3229">
        <f>IF(B3229,SQRT(-2*LN(F3229))*COS(2*PI()*G3229),"")</f>
        <v/>
      </c>
      <c r="I3229">
        <f>IF(B3229,IF(D3229=0,H3229,Rho*I3228+SQRT(1-Rho^2)*H3229),"")</f>
        <v/>
      </c>
      <c r="J3229">
        <f>IF(B3229,IF(Dist="Normal",DistA+DistB*I3229,DistA+(DistB-DistA)*NORMSDIST(I3229)),"")</f>
        <v/>
      </c>
      <c r="K3229">
        <f>IF(B3229,INDEX(MineScale,C3229),"")</f>
        <v/>
      </c>
      <c r="L3229">
        <f>IF(B3229,INDEX(Dow,1,WEEKDAY(E3229,2)),"")</f>
        <v/>
      </c>
      <c r="M3229">
        <f>IF(B3229,(1+Trend)^D3229,"")</f>
        <v/>
      </c>
      <c r="N3229">
        <f>IF(B3229,EXP(SUMPRODUCT(LN(1+(EvEff-1)*INDEX(Affected,0,C3229)*EXP(-((E3229-EvCenter)^2)/(2*EvSigma^2))))),"")</f>
        <v/>
      </c>
      <c r="O3229">
        <f>IF(B3229,ROUND(MAX(0,J3229*K3229*L3229*M3229*N3229),2),"")</f>
        <v/>
      </c>
    </row>
    <row r="3230">
      <c r="A3230" t="n">
        <v>3229</v>
      </c>
      <c r="B3230">
        <f>A3230&lt;=MineCount*Days</f>
        <v/>
      </c>
      <c r="C3230">
        <f>IF(B3230,INT((A3230-1)/Days)+1,"")</f>
        <v/>
      </c>
      <c r="D3230">
        <f>IF(B3230,MOD(A3230-1,Days),"")</f>
        <v/>
      </c>
      <c r="E3230" s="16">
        <f>IF(B3230,StartDate+D3230,"")</f>
        <v/>
      </c>
      <c r="F3230">
        <f>IF(B3230,MAX(MOD(SIN(Seed*0.1373+C3230*12.9898+D3230*78.233)*43758.5453,1),1E-9),"")</f>
        <v/>
      </c>
      <c r="G3230">
        <f>IF(B3230,MOD(SIN(Seed*0.5917+C3230*39.3468+D3230*11.135)*24634.6345,1),"")</f>
        <v/>
      </c>
      <c r="H3230">
        <f>IF(B3230,SQRT(-2*LN(F3230))*COS(2*PI()*G3230),"")</f>
        <v/>
      </c>
      <c r="I3230">
        <f>IF(B3230,IF(D3230=0,H3230,Rho*I3229+SQRT(1-Rho^2)*H3230),"")</f>
        <v/>
      </c>
      <c r="J3230">
        <f>IF(B3230,IF(Dist="Normal",DistA+DistB*I3230,DistA+(DistB-DistA)*NORMSDIST(I3230)),"")</f>
        <v/>
      </c>
      <c r="K3230">
        <f>IF(B3230,INDEX(MineScale,C3230),"")</f>
        <v/>
      </c>
      <c r="L3230">
        <f>IF(B3230,INDEX(Dow,1,WEEKDAY(E3230,2)),"")</f>
        <v/>
      </c>
      <c r="M3230">
        <f>IF(B3230,(1+Trend)^D3230,"")</f>
        <v/>
      </c>
      <c r="N3230">
        <f>IF(B3230,EXP(SUMPRODUCT(LN(1+(EvEff-1)*INDEX(Affected,0,C3230)*EXP(-((E3230-EvCenter)^2)/(2*EvSigma^2))))),"")</f>
        <v/>
      </c>
      <c r="O3230">
        <f>IF(B3230,ROUND(MAX(0,J3230*K3230*L3230*M3230*N3230),2),"")</f>
        <v/>
      </c>
    </row>
    <row r="3231">
      <c r="A3231" t="n">
        <v>3230</v>
      </c>
      <c r="B3231">
        <f>A3231&lt;=MineCount*Days</f>
        <v/>
      </c>
      <c r="C3231">
        <f>IF(B3231,INT((A3231-1)/Days)+1,"")</f>
        <v/>
      </c>
      <c r="D3231">
        <f>IF(B3231,MOD(A3231-1,Days),"")</f>
        <v/>
      </c>
      <c r="E3231" s="16">
        <f>IF(B3231,StartDate+D3231,"")</f>
        <v/>
      </c>
      <c r="F3231">
        <f>IF(B3231,MAX(MOD(SIN(Seed*0.1373+C3231*12.9898+D3231*78.233)*43758.5453,1),1E-9),"")</f>
        <v/>
      </c>
      <c r="G3231">
        <f>IF(B3231,MOD(SIN(Seed*0.5917+C3231*39.3468+D3231*11.135)*24634.6345,1),"")</f>
        <v/>
      </c>
      <c r="H3231">
        <f>IF(B3231,SQRT(-2*LN(F3231))*COS(2*PI()*G3231),"")</f>
        <v/>
      </c>
      <c r="I3231">
        <f>IF(B3231,IF(D3231=0,H3231,Rho*I3230+SQRT(1-Rho^2)*H3231),"")</f>
        <v/>
      </c>
      <c r="J3231">
        <f>IF(B3231,IF(Dist="Normal",DistA+DistB*I3231,DistA+(DistB-DistA)*NORMSDIST(I3231)),"")</f>
        <v/>
      </c>
      <c r="K3231">
        <f>IF(B3231,INDEX(MineScale,C3231),"")</f>
        <v/>
      </c>
      <c r="L3231">
        <f>IF(B3231,INDEX(Dow,1,WEEKDAY(E3231,2)),"")</f>
        <v/>
      </c>
      <c r="M3231">
        <f>IF(B3231,(1+Trend)^D3231,"")</f>
        <v/>
      </c>
      <c r="N3231">
        <f>IF(B3231,EXP(SUMPRODUCT(LN(1+(EvEff-1)*INDEX(Affected,0,C3231)*EXP(-((E3231-EvCenter)^2)/(2*EvSigma^2))))),"")</f>
        <v/>
      </c>
      <c r="O3231">
        <f>IF(B3231,ROUND(MAX(0,J3231*K3231*L3231*M3231*N3231),2),"")</f>
        <v/>
      </c>
    </row>
    <row r="3232">
      <c r="A3232" t="n">
        <v>3231</v>
      </c>
      <c r="B3232">
        <f>A3232&lt;=MineCount*Days</f>
        <v/>
      </c>
      <c r="C3232">
        <f>IF(B3232,INT((A3232-1)/Days)+1,"")</f>
        <v/>
      </c>
      <c r="D3232">
        <f>IF(B3232,MOD(A3232-1,Days),"")</f>
        <v/>
      </c>
      <c r="E3232" s="16">
        <f>IF(B3232,StartDate+D3232,"")</f>
        <v/>
      </c>
      <c r="F3232">
        <f>IF(B3232,MAX(MOD(SIN(Seed*0.1373+C3232*12.9898+D3232*78.233)*43758.5453,1),1E-9),"")</f>
        <v/>
      </c>
      <c r="G3232">
        <f>IF(B3232,MOD(SIN(Seed*0.5917+C3232*39.3468+D3232*11.135)*24634.6345,1),"")</f>
        <v/>
      </c>
      <c r="H3232">
        <f>IF(B3232,SQRT(-2*LN(F3232))*COS(2*PI()*G3232),"")</f>
        <v/>
      </c>
      <c r="I3232">
        <f>IF(B3232,IF(D3232=0,H3232,Rho*I3231+SQRT(1-Rho^2)*H3232),"")</f>
        <v/>
      </c>
      <c r="J3232">
        <f>IF(B3232,IF(Dist="Normal",DistA+DistB*I3232,DistA+(DistB-DistA)*NORMSDIST(I3232)),"")</f>
        <v/>
      </c>
      <c r="K3232">
        <f>IF(B3232,INDEX(MineScale,C3232),"")</f>
        <v/>
      </c>
      <c r="L3232">
        <f>IF(B3232,INDEX(Dow,1,WEEKDAY(E3232,2)),"")</f>
        <v/>
      </c>
      <c r="M3232">
        <f>IF(B3232,(1+Trend)^D3232,"")</f>
        <v/>
      </c>
      <c r="N3232">
        <f>IF(B3232,EXP(SUMPRODUCT(LN(1+(EvEff-1)*INDEX(Affected,0,C3232)*EXP(-((E3232-EvCenter)^2)/(2*EvSigma^2))))),"")</f>
        <v/>
      </c>
      <c r="O3232">
        <f>IF(B3232,ROUND(MAX(0,J3232*K3232*L3232*M3232*N3232),2),"")</f>
        <v/>
      </c>
    </row>
    <row r="3233">
      <c r="A3233" t="n">
        <v>3232</v>
      </c>
      <c r="B3233">
        <f>A3233&lt;=MineCount*Days</f>
        <v/>
      </c>
      <c r="C3233">
        <f>IF(B3233,INT((A3233-1)/Days)+1,"")</f>
        <v/>
      </c>
      <c r="D3233">
        <f>IF(B3233,MOD(A3233-1,Days),"")</f>
        <v/>
      </c>
      <c r="E3233" s="16">
        <f>IF(B3233,StartDate+D3233,"")</f>
        <v/>
      </c>
      <c r="F3233">
        <f>IF(B3233,MAX(MOD(SIN(Seed*0.1373+C3233*12.9898+D3233*78.233)*43758.5453,1),1E-9),"")</f>
        <v/>
      </c>
      <c r="G3233">
        <f>IF(B3233,MOD(SIN(Seed*0.5917+C3233*39.3468+D3233*11.135)*24634.6345,1),"")</f>
        <v/>
      </c>
      <c r="H3233">
        <f>IF(B3233,SQRT(-2*LN(F3233))*COS(2*PI()*G3233),"")</f>
        <v/>
      </c>
      <c r="I3233">
        <f>IF(B3233,IF(D3233=0,H3233,Rho*I3232+SQRT(1-Rho^2)*H3233),"")</f>
        <v/>
      </c>
      <c r="J3233">
        <f>IF(B3233,IF(Dist="Normal",DistA+DistB*I3233,DistA+(DistB-DistA)*NORMSDIST(I3233)),"")</f>
        <v/>
      </c>
      <c r="K3233">
        <f>IF(B3233,INDEX(MineScale,C3233),"")</f>
        <v/>
      </c>
      <c r="L3233">
        <f>IF(B3233,INDEX(Dow,1,WEEKDAY(E3233,2)),"")</f>
        <v/>
      </c>
      <c r="M3233">
        <f>IF(B3233,(1+Trend)^D3233,"")</f>
        <v/>
      </c>
      <c r="N3233">
        <f>IF(B3233,EXP(SUMPRODUCT(LN(1+(EvEff-1)*INDEX(Affected,0,C3233)*EXP(-((E3233-EvCenter)^2)/(2*EvSigma^2))))),"")</f>
        <v/>
      </c>
      <c r="O3233">
        <f>IF(B3233,ROUND(MAX(0,J3233*K3233*L3233*M3233*N3233),2),"")</f>
        <v/>
      </c>
    </row>
    <row r="3234">
      <c r="A3234" t="n">
        <v>3233</v>
      </c>
      <c r="B3234">
        <f>A3234&lt;=MineCount*Days</f>
        <v/>
      </c>
      <c r="C3234">
        <f>IF(B3234,INT((A3234-1)/Days)+1,"")</f>
        <v/>
      </c>
      <c r="D3234">
        <f>IF(B3234,MOD(A3234-1,Days),"")</f>
        <v/>
      </c>
      <c r="E3234" s="16">
        <f>IF(B3234,StartDate+D3234,"")</f>
        <v/>
      </c>
      <c r="F3234">
        <f>IF(B3234,MAX(MOD(SIN(Seed*0.1373+C3234*12.9898+D3234*78.233)*43758.5453,1),1E-9),"")</f>
        <v/>
      </c>
      <c r="G3234">
        <f>IF(B3234,MOD(SIN(Seed*0.5917+C3234*39.3468+D3234*11.135)*24634.6345,1),"")</f>
        <v/>
      </c>
      <c r="H3234">
        <f>IF(B3234,SQRT(-2*LN(F3234))*COS(2*PI()*G3234),"")</f>
        <v/>
      </c>
      <c r="I3234">
        <f>IF(B3234,IF(D3234=0,H3234,Rho*I3233+SQRT(1-Rho^2)*H3234),"")</f>
        <v/>
      </c>
      <c r="J3234">
        <f>IF(B3234,IF(Dist="Normal",DistA+DistB*I3234,DistA+(DistB-DistA)*NORMSDIST(I3234)),"")</f>
        <v/>
      </c>
      <c r="K3234">
        <f>IF(B3234,INDEX(MineScale,C3234),"")</f>
        <v/>
      </c>
      <c r="L3234">
        <f>IF(B3234,INDEX(Dow,1,WEEKDAY(E3234,2)),"")</f>
        <v/>
      </c>
      <c r="M3234">
        <f>IF(B3234,(1+Trend)^D3234,"")</f>
        <v/>
      </c>
      <c r="N3234">
        <f>IF(B3234,EXP(SUMPRODUCT(LN(1+(EvEff-1)*INDEX(Affected,0,C3234)*EXP(-((E3234-EvCenter)^2)/(2*EvSigma^2))))),"")</f>
        <v/>
      </c>
      <c r="O3234">
        <f>IF(B3234,ROUND(MAX(0,J3234*K3234*L3234*M3234*N3234),2),"")</f>
        <v/>
      </c>
    </row>
    <row r="3235">
      <c r="A3235" t="n">
        <v>3234</v>
      </c>
      <c r="B3235">
        <f>A3235&lt;=MineCount*Days</f>
        <v/>
      </c>
      <c r="C3235">
        <f>IF(B3235,INT((A3235-1)/Days)+1,"")</f>
        <v/>
      </c>
      <c r="D3235">
        <f>IF(B3235,MOD(A3235-1,Days),"")</f>
        <v/>
      </c>
      <c r="E3235" s="16">
        <f>IF(B3235,StartDate+D3235,"")</f>
        <v/>
      </c>
      <c r="F3235">
        <f>IF(B3235,MAX(MOD(SIN(Seed*0.1373+C3235*12.9898+D3235*78.233)*43758.5453,1),1E-9),"")</f>
        <v/>
      </c>
      <c r="G3235">
        <f>IF(B3235,MOD(SIN(Seed*0.5917+C3235*39.3468+D3235*11.135)*24634.6345,1),"")</f>
        <v/>
      </c>
      <c r="H3235">
        <f>IF(B3235,SQRT(-2*LN(F3235))*COS(2*PI()*G3235),"")</f>
        <v/>
      </c>
      <c r="I3235">
        <f>IF(B3235,IF(D3235=0,H3235,Rho*I3234+SQRT(1-Rho^2)*H3235),"")</f>
        <v/>
      </c>
      <c r="J3235">
        <f>IF(B3235,IF(Dist="Normal",DistA+DistB*I3235,DistA+(DistB-DistA)*NORMSDIST(I3235)),"")</f>
        <v/>
      </c>
      <c r="K3235">
        <f>IF(B3235,INDEX(MineScale,C3235),"")</f>
        <v/>
      </c>
      <c r="L3235">
        <f>IF(B3235,INDEX(Dow,1,WEEKDAY(E3235,2)),"")</f>
        <v/>
      </c>
      <c r="M3235">
        <f>IF(B3235,(1+Trend)^D3235,"")</f>
        <v/>
      </c>
      <c r="N3235">
        <f>IF(B3235,EXP(SUMPRODUCT(LN(1+(EvEff-1)*INDEX(Affected,0,C3235)*EXP(-((E3235-EvCenter)^2)/(2*EvSigma^2))))),"")</f>
        <v/>
      </c>
      <c r="O3235">
        <f>IF(B3235,ROUND(MAX(0,J3235*K3235*L3235*M3235*N3235),2),"")</f>
        <v/>
      </c>
    </row>
    <row r="3236">
      <c r="A3236" t="n">
        <v>3235</v>
      </c>
      <c r="B3236">
        <f>A3236&lt;=MineCount*Days</f>
        <v/>
      </c>
      <c r="C3236">
        <f>IF(B3236,INT((A3236-1)/Days)+1,"")</f>
        <v/>
      </c>
      <c r="D3236">
        <f>IF(B3236,MOD(A3236-1,Days),"")</f>
        <v/>
      </c>
      <c r="E3236" s="16">
        <f>IF(B3236,StartDate+D3236,"")</f>
        <v/>
      </c>
      <c r="F3236">
        <f>IF(B3236,MAX(MOD(SIN(Seed*0.1373+C3236*12.9898+D3236*78.233)*43758.5453,1),1E-9),"")</f>
        <v/>
      </c>
      <c r="G3236">
        <f>IF(B3236,MOD(SIN(Seed*0.5917+C3236*39.3468+D3236*11.135)*24634.6345,1),"")</f>
        <v/>
      </c>
      <c r="H3236">
        <f>IF(B3236,SQRT(-2*LN(F3236))*COS(2*PI()*G3236),"")</f>
        <v/>
      </c>
      <c r="I3236">
        <f>IF(B3236,IF(D3236=0,H3236,Rho*I3235+SQRT(1-Rho^2)*H3236),"")</f>
        <v/>
      </c>
      <c r="J3236">
        <f>IF(B3236,IF(Dist="Normal",DistA+DistB*I3236,DistA+(DistB-DistA)*NORMSDIST(I3236)),"")</f>
        <v/>
      </c>
      <c r="K3236">
        <f>IF(B3236,INDEX(MineScale,C3236),"")</f>
        <v/>
      </c>
      <c r="L3236">
        <f>IF(B3236,INDEX(Dow,1,WEEKDAY(E3236,2)),"")</f>
        <v/>
      </c>
      <c r="M3236">
        <f>IF(B3236,(1+Trend)^D3236,"")</f>
        <v/>
      </c>
      <c r="N3236">
        <f>IF(B3236,EXP(SUMPRODUCT(LN(1+(EvEff-1)*INDEX(Affected,0,C3236)*EXP(-((E3236-EvCenter)^2)/(2*EvSigma^2))))),"")</f>
        <v/>
      </c>
      <c r="O3236">
        <f>IF(B3236,ROUND(MAX(0,J3236*K3236*L3236*M3236*N3236),2),"")</f>
        <v/>
      </c>
    </row>
    <row r="3237">
      <c r="A3237" t="n">
        <v>3236</v>
      </c>
      <c r="B3237">
        <f>A3237&lt;=MineCount*Days</f>
        <v/>
      </c>
      <c r="C3237">
        <f>IF(B3237,INT((A3237-1)/Days)+1,"")</f>
        <v/>
      </c>
      <c r="D3237">
        <f>IF(B3237,MOD(A3237-1,Days),"")</f>
        <v/>
      </c>
      <c r="E3237" s="16">
        <f>IF(B3237,StartDate+D3237,"")</f>
        <v/>
      </c>
      <c r="F3237">
        <f>IF(B3237,MAX(MOD(SIN(Seed*0.1373+C3237*12.9898+D3237*78.233)*43758.5453,1),1E-9),"")</f>
        <v/>
      </c>
      <c r="G3237">
        <f>IF(B3237,MOD(SIN(Seed*0.5917+C3237*39.3468+D3237*11.135)*24634.6345,1),"")</f>
        <v/>
      </c>
      <c r="H3237">
        <f>IF(B3237,SQRT(-2*LN(F3237))*COS(2*PI()*G3237),"")</f>
        <v/>
      </c>
      <c r="I3237">
        <f>IF(B3237,IF(D3237=0,H3237,Rho*I3236+SQRT(1-Rho^2)*H3237),"")</f>
        <v/>
      </c>
      <c r="J3237">
        <f>IF(B3237,IF(Dist="Normal",DistA+DistB*I3237,DistA+(DistB-DistA)*NORMSDIST(I3237)),"")</f>
        <v/>
      </c>
      <c r="K3237">
        <f>IF(B3237,INDEX(MineScale,C3237),"")</f>
        <v/>
      </c>
      <c r="L3237">
        <f>IF(B3237,INDEX(Dow,1,WEEKDAY(E3237,2)),"")</f>
        <v/>
      </c>
      <c r="M3237">
        <f>IF(B3237,(1+Trend)^D3237,"")</f>
        <v/>
      </c>
      <c r="N3237">
        <f>IF(B3237,EXP(SUMPRODUCT(LN(1+(EvEff-1)*INDEX(Affected,0,C3237)*EXP(-((E3237-EvCenter)^2)/(2*EvSigma^2))))),"")</f>
        <v/>
      </c>
      <c r="O3237">
        <f>IF(B3237,ROUND(MAX(0,J3237*K3237*L3237*M3237*N3237),2),"")</f>
        <v/>
      </c>
    </row>
    <row r="3238">
      <c r="A3238" t="n">
        <v>3237</v>
      </c>
      <c r="B3238">
        <f>A3238&lt;=MineCount*Days</f>
        <v/>
      </c>
      <c r="C3238">
        <f>IF(B3238,INT((A3238-1)/Days)+1,"")</f>
        <v/>
      </c>
      <c r="D3238">
        <f>IF(B3238,MOD(A3238-1,Days),"")</f>
        <v/>
      </c>
      <c r="E3238" s="16">
        <f>IF(B3238,StartDate+D3238,"")</f>
        <v/>
      </c>
      <c r="F3238">
        <f>IF(B3238,MAX(MOD(SIN(Seed*0.1373+C3238*12.9898+D3238*78.233)*43758.5453,1),1E-9),"")</f>
        <v/>
      </c>
      <c r="G3238">
        <f>IF(B3238,MOD(SIN(Seed*0.5917+C3238*39.3468+D3238*11.135)*24634.6345,1),"")</f>
        <v/>
      </c>
      <c r="H3238">
        <f>IF(B3238,SQRT(-2*LN(F3238))*COS(2*PI()*G3238),"")</f>
        <v/>
      </c>
      <c r="I3238">
        <f>IF(B3238,IF(D3238=0,H3238,Rho*I3237+SQRT(1-Rho^2)*H3238),"")</f>
        <v/>
      </c>
      <c r="J3238">
        <f>IF(B3238,IF(Dist="Normal",DistA+DistB*I3238,DistA+(DistB-DistA)*NORMSDIST(I3238)),"")</f>
        <v/>
      </c>
      <c r="K3238">
        <f>IF(B3238,INDEX(MineScale,C3238),"")</f>
        <v/>
      </c>
      <c r="L3238">
        <f>IF(B3238,INDEX(Dow,1,WEEKDAY(E3238,2)),"")</f>
        <v/>
      </c>
      <c r="M3238">
        <f>IF(B3238,(1+Trend)^D3238,"")</f>
        <v/>
      </c>
      <c r="N3238">
        <f>IF(B3238,EXP(SUMPRODUCT(LN(1+(EvEff-1)*INDEX(Affected,0,C3238)*EXP(-((E3238-EvCenter)^2)/(2*EvSigma^2))))),"")</f>
        <v/>
      </c>
      <c r="O3238">
        <f>IF(B3238,ROUND(MAX(0,J3238*K3238*L3238*M3238*N3238),2),"")</f>
        <v/>
      </c>
    </row>
    <row r="3239">
      <c r="A3239" t="n">
        <v>3238</v>
      </c>
      <c r="B3239">
        <f>A3239&lt;=MineCount*Days</f>
        <v/>
      </c>
      <c r="C3239">
        <f>IF(B3239,INT((A3239-1)/Days)+1,"")</f>
        <v/>
      </c>
      <c r="D3239">
        <f>IF(B3239,MOD(A3239-1,Days),"")</f>
        <v/>
      </c>
      <c r="E3239" s="16">
        <f>IF(B3239,StartDate+D3239,"")</f>
        <v/>
      </c>
      <c r="F3239">
        <f>IF(B3239,MAX(MOD(SIN(Seed*0.1373+C3239*12.9898+D3239*78.233)*43758.5453,1),1E-9),"")</f>
        <v/>
      </c>
      <c r="G3239">
        <f>IF(B3239,MOD(SIN(Seed*0.5917+C3239*39.3468+D3239*11.135)*24634.6345,1),"")</f>
        <v/>
      </c>
      <c r="H3239">
        <f>IF(B3239,SQRT(-2*LN(F3239))*COS(2*PI()*G3239),"")</f>
        <v/>
      </c>
      <c r="I3239">
        <f>IF(B3239,IF(D3239=0,H3239,Rho*I3238+SQRT(1-Rho^2)*H3239),"")</f>
        <v/>
      </c>
      <c r="J3239">
        <f>IF(B3239,IF(Dist="Normal",DistA+DistB*I3239,DistA+(DistB-DistA)*NORMSDIST(I3239)),"")</f>
        <v/>
      </c>
      <c r="K3239">
        <f>IF(B3239,INDEX(MineScale,C3239),"")</f>
        <v/>
      </c>
      <c r="L3239">
        <f>IF(B3239,INDEX(Dow,1,WEEKDAY(E3239,2)),"")</f>
        <v/>
      </c>
      <c r="M3239">
        <f>IF(B3239,(1+Trend)^D3239,"")</f>
        <v/>
      </c>
      <c r="N3239">
        <f>IF(B3239,EXP(SUMPRODUCT(LN(1+(EvEff-1)*INDEX(Affected,0,C3239)*EXP(-((E3239-EvCenter)^2)/(2*EvSigma^2))))),"")</f>
        <v/>
      </c>
      <c r="O3239">
        <f>IF(B3239,ROUND(MAX(0,J3239*K3239*L3239*M3239*N3239),2),"")</f>
        <v/>
      </c>
    </row>
    <row r="3240">
      <c r="A3240" t="n">
        <v>3239</v>
      </c>
      <c r="B3240">
        <f>A3240&lt;=MineCount*Days</f>
        <v/>
      </c>
      <c r="C3240">
        <f>IF(B3240,INT((A3240-1)/Days)+1,"")</f>
        <v/>
      </c>
      <c r="D3240">
        <f>IF(B3240,MOD(A3240-1,Days),"")</f>
        <v/>
      </c>
      <c r="E3240" s="16">
        <f>IF(B3240,StartDate+D3240,"")</f>
        <v/>
      </c>
      <c r="F3240">
        <f>IF(B3240,MAX(MOD(SIN(Seed*0.1373+C3240*12.9898+D3240*78.233)*43758.5453,1),1E-9),"")</f>
        <v/>
      </c>
      <c r="G3240">
        <f>IF(B3240,MOD(SIN(Seed*0.5917+C3240*39.3468+D3240*11.135)*24634.6345,1),"")</f>
        <v/>
      </c>
      <c r="H3240">
        <f>IF(B3240,SQRT(-2*LN(F3240))*COS(2*PI()*G3240),"")</f>
        <v/>
      </c>
      <c r="I3240">
        <f>IF(B3240,IF(D3240=0,H3240,Rho*I3239+SQRT(1-Rho^2)*H3240),"")</f>
        <v/>
      </c>
      <c r="J3240">
        <f>IF(B3240,IF(Dist="Normal",DistA+DistB*I3240,DistA+(DistB-DistA)*NORMSDIST(I3240)),"")</f>
        <v/>
      </c>
      <c r="K3240">
        <f>IF(B3240,INDEX(MineScale,C3240),"")</f>
        <v/>
      </c>
      <c r="L3240">
        <f>IF(B3240,INDEX(Dow,1,WEEKDAY(E3240,2)),"")</f>
        <v/>
      </c>
      <c r="M3240">
        <f>IF(B3240,(1+Trend)^D3240,"")</f>
        <v/>
      </c>
      <c r="N3240">
        <f>IF(B3240,EXP(SUMPRODUCT(LN(1+(EvEff-1)*INDEX(Affected,0,C3240)*EXP(-((E3240-EvCenter)^2)/(2*EvSigma^2))))),"")</f>
        <v/>
      </c>
      <c r="O3240">
        <f>IF(B3240,ROUND(MAX(0,J3240*K3240*L3240*M3240*N3240),2),"")</f>
        <v/>
      </c>
    </row>
    <row r="3241">
      <c r="A3241" t="n">
        <v>3240</v>
      </c>
      <c r="B3241">
        <f>A3241&lt;=MineCount*Days</f>
        <v/>
      </c>
      <c r="C3241">
        <f>IF(B3241,INT((A3241-1)/Days)+1,"")</f>
        <v/>
      </c>
      <c r="D3241">
        <f>IF(B3241,MOD(A3241-1,Days),"")</f>
        <v/>
      </c>
      <c r="E3241" s="16">
        <f>IF(B3241,StartDate+D3241,"")</f>
        <v/>
      </c>
      <c r="F3241">
        <f>IF(B3241,MAX(MOD(SIN(Seed*0.1373+C3241*12.9898+D3241*78.233)*43758.5453,1),1E-9),"")</f>
        <v/>
      </c>
      <c r="G3241">
        <f>IF(B3241,MOD(SIN(Seed*0.5917+C3241*39.3468+D3241*11.135)*24634.6345,1),"")</f>
        <v/>
      </c>
      <c r="H3241">
        <f>IF(B3241,SQRT(-2*LN(F3241))*COS(2*PI()*G3241),"")</f>
        <v/>
      </c>
      <c r="I3241">
        <f>IF(B3241,IF(D3241=0,H3241,Rho*I3240+SQRT(1-Rho^2)*H3241),"")</f>
        <v/>
      </c>
      <c r="J3241">
        <f>IF(B3241,IF(Dist="Normal",DistA+DistB*I3241,DistA+(DistB-DistA)*NORMSDIST(I3241)),"")</f>
        <v/>
      </c>
      <c r="K3241">
        <f>IF(B3241,INDEX(MineScale,C3241),"")</f>
        <v/>
      </c>
      <c r="L3241">
        <f>IF(B3241,INDEX(Dow,1,WEEKDAY(E3241,2)),"")</f>
        <v/>
      </c>
      <c r="M3241">
        <f>IF(B3241,(1+Trend)^D3241,"")</f>
        <v/>
      </c>
      <c r="N3241">
        <f>IF(B3241,EXP(SUMPRODUCT(LN(1+(EvEff-1)*INDEX(Affected,0,C3241)*EXP(-((E3241-EvCenter)^2)/(2*EvSigma^2))))),"")</f>
        <v/>
      </c>
      <c r="O3241">
        <f>IF(B3241,ROUND(MAX(0,J3241*K3241*L3241*M3241*N3241),2),"")</f>
        <v/>
      </c>
    </row>
    <row r="3242">
      <c r="A3242" t="n">
        <v>3241</v>
      </c>
      <c r="B3242">
        <f>A3242&lt;=MineCount*Days</f>
        <v/>
      </c>
      <c r="C3242">
        <f>IF(B3242,INT((A3242-1)/Days)+1,"")</f>
        <v/>
      </c>
      <c r="D3242">
        <f>IF(B3242,MOD(A3242-1,Days),"")</f>
        <v/>
      </c>
      <c r="E3242" s="16">
        <f>IF(B3242,StartDate+D3242,"")</f>
        <v/>
      </c>
      <c r="F3242">
        <f>IF(B3242,MAX(MOD(SIN(Seed*0.1373+C3242*12.9898+D3242*78.233)*43758.5453,1),1E-9),"")</f>
        <v/>
      </c>
      <c r="G3242">
        <f>IF(B3242,MOD(SIN(Seed*0.5917+C3242*39.3468+D3242*11.135)*24634.6345,1),"")</f>
        <v/>
      </c>
      <c r="H3242">
        <f>IF(B3242,SQRT(-2*LN(F3242))*COS(2*PI()*G3242),"")</f>
        <v/>
      </c>
      <c r="I3242">
        <f>IF(B3242,IF(D3242=0,H3242,Rho*I3241+SQRT(1-Rho^2)*H3242),"")</f>
        <v/>
      </c>
      <c r="J3242">
        <f>IF(B3242,IF(Dist="Normal",DistA+DistB*I3242,DistA+(DistB-DistA)*NORMSDIST(I3242)),"")</f>
        <v/>
      </c>
      <c r="K3242">
        <f>IF(B3242,INDEX(MineScale,C3242),"")</f>
        <v/>
      </c>
      <c r="L3242">
        <f>IF(B3242,INDEX(Dow,1,WEEKDAY(E3242,2)),"")</f>
        <v/>
      </c>
      <c r="M3242">
        <f>IF(B3242,(1+Trend)^D3242,"")</f>
        <v/>
      </c>
      <c r="N3242">
        <f>IF(B3242,EXP(SUMPRODUCT(LN(1+(EvEff-1)*INDEX(Affected,0,C3242)*EXP(-((E3242-EvCenter)^2)/(2*EvSigma^2))))),"")</f>
        <v/>
      </c>
      <c r="O3242">
        <f>IF(B3242,ROUND(MAX(0,J3242*K3242*L3242*M3242*N3242),2),"")</f>
        <v/>
      </c>
    </row>
    <row r="3243">
      <c r="A3243" t="n">
        <v>3242</v>
      </c>
      <c r="B3243">
        <f>A3243&lt;=MineCount*Days</f>
        <v/>
      </c>
      <c r="C3243">
        <f>IF(B3243,INT((A3243-1)/Days)+1,"")</f>
        <v/>
      </c>
      <c r="D3243">
        <f>IF(B3243,MOD(A3243-1,Days),"")</f>
        <v/>
      </c>
      <c r="E3243" s="16">
        <f>IF(B3243,StartDate+D3243,"")</f>
        <v/>
      </c>
      <c r="F3243">
        <f>IF(B3243,MAX(MOD(SIN(Seed*0.1373+C3243*12.9898+D3243*78.233)*43758.5453,1),1E-9),"")</f>
        <v/>
      </c>
      <c r="G3243">
        <f>IF(B3243,MOD(SIN(Seed*0.5917+C3243*39.3468+D3243*11.135)*24634.6345,1),"")</f>
        <v/>
      </c>
      <c r="H3243">
        <f>IF(B3243,SQRT(-2*LN(F3243))*COS(2*PI()*G3243),"")</f>
        <v/>
      </c>
      <c r="I3243">
        <f>IF(B3243,IF(D3243=0,H3243,Rho*I3242+SQRT(1-Rho^2)*H3243),"")</f>
        <v/>
      </c>
      <c r="J3243">
        <f>IF(B3243,IF(Dist="Normal",DistA+DistB*I3243,DistA+(DistB-DistA)*NORMSDIST(I3243)),"")</f>
        <v/>
      </c>
      <c r="K3243">
        <f>IF(B3243,INDEX(MineScale,C3243),"")</f>
        <v/>
      </c>
      <c r="L3243">
        <f>IF(B3243,INDEX(Dow,1,WEEKDAY(E3243,2)),"")</f>
        <v/>
      </c>
      <c r="M3243">
        <f>IF(B3243,(1+Trend)^D3243,"")</f>
        <v/>
      </c>
      <c r="N3243">
        <f>IF(B3243,EXP(SUMPRODUCT(LN(1+(EvEff-1)*INDEX(Affected,0,C3243)*EXP(-((E3243-EvCenter)^2)/(2*EvSigma^2))))),"")</f>
        <v/>
      </c>
      <c r="O3243">
        <f>IF(B3243,ROUND(MAX(0,J3243*K3243*L3243*M3243*N3243),2),"")</f>
        <v/>
      </c>
    </row>
    <row r="3244">
      <c r="A3244" t="n">
        <v>3243</v>
      </c>
      <c r="B3244">
        <f>A3244&lt;=MineCount*Days</f>
        <v/>
      </c>
      <c r="C3244">
        <f>IF(B3244,INT((A3244-1)/Days)+1,"")</f>
        <v/>
      </c>
      <c r="D3244">
        <f>IF(B3244,MOD(A3244-1,Days),"")</f>
        <v/>
      </c>
      <c r="E3244" s="16">
        <f>IF(B3244,StartDate+D3244,"")</f>
        <v/>
      </c>
      <c r="F3244">
        <f>IF(B3244,MAX(MOD(SIN(Seed*0.1373+C3244*12.9898+D3244*78.233)*43758.5453,1),1E-9),"")</f>
        <v/>
      </c>
      <c r="G3244">
        <f>IF(B3244,MOD(SIN(Seed*0.5917+C3244*39.3468+D3244*11.135)*24634.6345,1),"")</f>
        <v/>
      </c>
      <c r="H3244">
        <f>IF(B3244,SQRT(-2*LN(F3244))*COS(2*PI()*G3244),"")</f>
        <v/>
      </c>
      <c r="I3244">
        <f>IF(B3244,IF(D3244=0,H3244,Rho*I3243+SQRT(1-Rho^2)*H3244),"")</f>
        <v/>
      </c>
      <c r="J3244">
        <f>IF(B3244,IF(Dist="Normal",DistA+DistB*I3244,DistA+(DistB-DistA)*NORMSDIST(I3244)),"")</f>
        <v/>
      </c>
      <c r="K3244">
        <f>IF(B3244,INDEX(MineScale,C3244),"")</f>
        <v/>
      </c>
      <c r="L3244">
        <f>IF(B3244,INDEX(Dow,1,WEEKDAY(E3244,2)),"")</f>
        <v/>
      </c>
      <c r="M3244">
        <f>IF(B3244,(1+Trend)^D3244,"")</f>
        <v/>
      </c>
      <c r="N3244">
        <f>IF(B3244,EXP(SUMPRODUCT(LN(1+(EvEff-1)*INDEX(Affected,0,C3244)*EXP(-((E3244-EvCenter)^2)/(2*EvSigma^2))))),"")</f>
        <v/>
      </c>
      <c r="O3244">
        <f>IF(B3244,ROUND(MAX(0,J3244*K3244*L3244*M3244*N3244),2),"")</f>
        <v/>
      </c>
    </row>
    <row r="3245">
      <c r="A3245" t="n">
        <v>3244</v>
      </c>
      <c r="B3245">
        <f>A3245&lt;=MineCount*Days</f>
        <v/>
      </c>
      <c r="C3245">
        <f>IF(B3245,INT((A3245-1)/Days)+1,"")</f>
        <v/>
      </c>
      <c r="D3245">
        <f>IF(B3245,MOD(A3245-1,Days),"")</f>
        <v/>
      </c>
      <c r="E3245" s="16">
        <f>IF(B3245,StartDate+D3245,"")</f>
        <v/>
      </c>
      <c r="F3245">
        <f>IF(B3245,MAX(MOD(SIN(Seed*0.1373+C3245*12.9898+D3245*78.233)*43758.5453,1),1E-9),"")</f>
        <v/>
      </c>
      <c r="G3245">
        <f>IF(B3245,MOD(SIN(Seed*0.5917+C3245*39.3468+D3245*11.135)*24634.6345,1),"")</f>
        <v/>
      </c>
      <c r="H3245">
        <f>IF(B3245,SQRT(-2*LN(F3245))*COS(2*PI()*G3245),"")</f>
        <v/>
      </c>
      <c r="I3245">
        <f>IF(B3245,IF(D3245=0,H3245,Rho*I3244+SQRT(1-Rho^2)*H3245),"")</f>
        <v/>
      </c>
      <c r="J3245">
        <f>IF(B3245,IF(Dist="Normal",DistA+DistB*I3245,DistA+(DistB-DistA)*NORMSDIST(I3245)),"")</f>
        <v/>
      </c>
      <c r="K3245">
        <f>IF(B3245,INDEX(MineScale,C3245),"")</f>
        <v/>
      </c>
      <c r="L3245">
        <f>IF(B3245,INDEX(Dow,1,WEEKDAY(E3245,2)),"")</f>
        <v/>
      </c>
      <c r="M3245">
        <f>IF(B3245,(1+Trend)^D3245,"")</f>
        <v/>
      </c>
      <c r="N3245">
        <f>IF(B3245,EXP(SUMPRODUCT(LN(1+(EvEff-1)*INDEX(Affected,0,C3245)*EXP(-((E3245-EvCenter)^2)/(2*EvSigma^2))))),"")</f>
        <v/>
      </c>
      <c r="O3245">
        <f>IF(B3245,ROUND(MAX(0,J3245*K3245*L3245*M3245*N3245),2),"")</f>
        <v/>
      </c>
    </row>
    <row r="3246">
      <c r="A3246" t="n">
        <v>3245</v>
      </c>
      <c r="B3246">
        <f>A3246&lt;=MineCount*Days</f>
        <v/>
      </c>
      <c r="C3246">
        <f>IF(B3246,INT((A3246-1)/Days)+1,"")</f>
        <v/>
      </c>
      <c r="D3246">
        <f>IF(B3246,MOD(A3246-1,Days),"")</f>
        <v/>
      </c>
      <c r="E3246" s="16">
        <f>IF(B3246,StartDate+D3246,"")</f>
        <v/>
      </c>
      <c r="F3246">
        <f>IF(B3246,MAX(MOD(SIN(Seed*0.1373+C3246*12.9898+D3246*78.233)*43758.5453,1),1E-9),"")</f>
        <v/>
      </c>
      <c r="G3246">
        <f>IF(B3246,MOD(SIN(Seed*0.5917+C3246*39.3468+D3246*11.135)*24634.6345,1),"")</f>
        <v/>
      </c>
      <c r="H3246">
        <f>IF(B3246,SQRT(-2*LN(F3246))*COS(2*PI()*G3246),"")</f>
        <v/>
      </c>
      <c r="I3246">
        <f>IF(B3246,IF(D3246=0,H3246,Rho*I3245+SQRT(1-Rho^2)*H3246),"")</f>
        <v/>
      </c>
      <c r="J3246">
        <f>IF(B3246,IF(Dist="Normal",DistA+DistB*I3246,DistA+(DistB-DistA)*NORMSDIST(I3246)),"")</f>
        <v/>
      </c>
      <c r="K3246">
        <f>IF(B3246,INDEX(MineScale,C3246),"")</f>
        <v/>
      </c>
      <c r="L3246">
        <f>IF(B3246,INDEX(Dow,1,WEEKDAY(E3246,2)),"")</f>
        <v/>
      </c>
      <c r="M3246">
        <f>IF(B3246,(1+Trend)^D3246,"")</f>
        <v/>
      </c>
      <c r="N3246">
        <f>IF(B3246,EXP(SUMPRODUCT(LN(1+(EvEff-1)*INDEX(Affected,0,C3246)*EXP(-((E3246-EvCenter)^2)/(2*EvSigma^2))))),"")</f>
        <v/>
      </c>
      <c r="O3246">
        <f>IF(B3246,ROUND(MAX(0,J3246*K3246*L3246*M3246*N3246),2),"")</f>
        <v/>
      </c>
    </row>
    <row r="3247">
      <c r="A3247" t="n">
        <v>3246</v>
      </c>
      <c r="B3247">
        <f>A3247&lt;=MineCount*Days</f>
        <v/>
      </c>
      <c r="C3247">
        <f>IF(B3247,INT((A3247-1)/Days)+1,"")</f>
        <v/>
      </c>
      <c r="D3247">
        <f>IF(B3247,MOD(A3247-1,Days),"")</f>
        <v/>
      </c>
      <c r="E3247" s="16">
        <f>IF(B3247,StartDate+D3247,"")</f>
        <v/>
      </c>
      <c r="F3247">
        <f>IF(B3247,MAX(MOD(SIN(Seed*0.1373+C3247*12.9898+D3247*78.233)*43758.5453,1),1E-9),"")</f>
        <v/>
      </c>
      <c r="G3247">
        <f>IF(B3247,MOD(SIN(Seed*0.5917+C3247*39.3468+D3247*11.135)*24634.6345,1),"")</f>
        <v/>
      </c>
      <c r="H3247">
        <f>IF(B3247,SQRT(-2*LN(F3247))*COS(2*PI()*G3247),"")</f>
        <v/>
      </c>
      <c r="I3247">
        <f>IF(B3247,IF(D3247=0,H3247,Rho*I3246+SQRT(1-Rho^2)*H3247),"")</f>
        <v/>
      </c>
      <c r="J3247">
        <f>IF(B3247,IF(Dist="Normal",DistA+DistB*I3247,DistA+(DistB-DistA)*NORMSDIST(I3247)),"")</f>
        <v/>
      </c>
      <c r="K3247">
        <f>IF(B3247,INDEX(MineScale,C3247),"")</f>
        <v/>
      </c>
      <c r="L3247">
        <f>IF(B3247,INDEX(Dow,1,WEEKDAY(E3247,2)),"")</f>
        <v/>
      </c>
      <c r="M3247">
        <f>IF(B3247,(1+Trend)^D3247,"")</f>
        <v/>
      </c>
      <c r="N3247">
        <f>IF(B3247,EXP(SUMPRODUCT(LN(1+(EvEff-1)*INDEX(Affected,0,C3247)*EXP(-((E3247-EvCenter)^2)/(2*EvSigma^2))))),"")</f>
        <v/>
      </c>
      <c r="O3247">
        <f>IF(B3247,ROUND(MAX(0,J3247*K3247*L3247*M3247*N3247),2),"")</f>
        <v/>
      </c>
    </row>
    <row r="3248">
      <c r="A3248" t="n">
        <v>3247</v>
      </c>
      <c r="B3248">
        <f>A3248&lt;=MineCount*Days</f>
        <v/>
      </c>
      <c r="C3248">
        <f>IF(B3248,INT((A3248-1)/Days)+1,"")</f>
        <v/>
      </c>
      <c r="D3248">
        <f>IF(B3248,MOD(A3248-1,Days),"")</f>
        <v/>
      </c>
      <c r="E3248" s="16">
        <f>IF(B3248,StartDate+D3248,"")</f>
        <v/>
      </c>
      <c r="F3248">
        <f>IF(B3248,MAX(MOD(SIN(Seed*0.1373+C3248*12.9898+D3248*78.233)*43758.5453,1),1E-9),"")</f>
        <v/>
      </c>
      <c r="G3248">
        <f>IF(B3248,MOD(SIN(Seed*0.5917+C3248*39.3468+D3248*11.135)*24634.6345,1),"")</f>
        <v/>
      </c>
      <c r="H3248">
        <f>IF(B3248,SQRT(-2*LN(F3248))*COS(2*PI()*G3248),"")</f>
        <v/>
      </c>
      <c r="I3248">
        <f>IF(B3248,IF(D3248=0,H3248,Rho*I3247+SQRT(1-Rho^2)*H3248),"")</f>
        <v/>
      </c>
      <c r="J3248">
        <f>IF(B3248,IF(Dist="Normal",DistA+DistB*I3248,DistA+(DistB-DistA)*NORMSDIST(I3248)),"")</f>
        <v/>
      </c>
      <c r="K3248">
        <f>IF(B3248,INDEX(MineScale,C3248),"")</f>
        <v/>
      </c>
      <c r="L3248">
        <f>IF(B3248,INDEX(Dow,1,WEEKDAY(E3248,2)),"")</f>
        <v/>
      </c>
      <c r="M3248">
        <f>IF(B3248,(1+Trend)^D3248,"")</f>
        <v/>
      </c>
      <c r="N3248">
        <f>IF(B3248,EXP(SUMPRODUCT(LN(1+(EvEff-1)*INDEX(Affected,0,C3248)*EXP(-((E3248-EvCenter)^2)/(2*EvSigma^2))))),"")</f>
        <v/>
      </c>
      <c r="O3248">
        <f>IF(B3248,ROUND(MAX(0,J3248*K3248*L3248*M3248*N3248),2),"")</f>
        <v/>
      </c>
    </row>
    <row r="3249">
      <c r="A3249" t="n">
        <v>3248</v>
      </c>
      <c r="B3249">
        <f>A3249&lt;=MineCount*Days</f>
        <v/>
      </c>
      <c r="C3249">
        <f>IF(B3249,INT((A3249-1)/Days)+1,"")</f>
        <v/>
      </c>
      <c r="D3249">
        <f>IF(B3249,MOD(A3249-1,Days),"")</f>
        <v/>
      </c>
      <c r="E3249" s="16">
        <f>IF(B3249,StartDate+D3249,"")</f>
        <v/>
      </c>
      <c r="F3249">
        <f>IF(B3249,MAX(MOD(SIN(Seed*0.1373+C3249*12.9898+D3249*78.233)*43758.5453,1),1E-9),"")</f>
        <v/>
      </c>
      <c r="G3249">
        <f>IF(B3249,MOD(SIN(Seed*0.5917+C3249*39.3468+D3249*11.135)*24634.6345,1),"")</f>
        <v/>
      </c>
      <c r="H3249">
        <f>IF(B3249,SQRT(-2*LN(F3249))*COS(2*PI()*G3249),"")</f>
        <v/>
      </c>
      <c r="I3249">
        <f>IF(B3249,IF(D3249=0,H3249,Rho*I3248+SQRT(1-Rho^2)*H3249),"")</f>
        <v/>
      </c>
      <c r="J3249">
        <f>IF(B3249,IF(Dist="Normal",DistA+DistB*I3249,DistA+(DistB-DistA)*NORMSDIST(I3249)),"")</f>
        <v/>
      </c>
      <c r="K3249">
        <f>IF(B3249,INDEX(MineScale,C3249),"")</f>
        <v/>
      </c>
      <c r="L3249">
        <f>IF(B3249,INDEX(Dow,1,WEEKDAY(E3249,2)),"")</f>
        <v/>
      </c>
      <c r="M3249">
        <f>IF(B3249,(1+Trend)^D3249,"")</f>
        <v/>
      </c>
      <c r="N3249">
        <f>IF(B3249,EXP(SUMPRODUCT(LN(1+(EvEff-1)*INDEX(Affected,0,C3249)*EXP(-((E3249-EvCenter)^2)/(2*EvSigma^2))))),"")</f>
        <v/>
      </c>
      <c r="O3249">
        <f>IF(B3249,ROUND(MAX(0,J3249*K3249*L3249*M3249*N3249),2),"")</f>
        <v/>
      </c>
    </row>
    <row r="3250">
      <c r="A3250" t="n">
        <v>3249</v>
      </c>
      <c r="B3250">
        <f>A3250&lt;=MineCount*Days</f>
        <v/>
      </c>
      <c r="C3250">
        <f>IF(B3250,INT((A3250-1)/Days)+1,"")</f>
        <v/>
      </c>
      <c r="D3250">
        <f>IF(B3250,MOD(A3250-1,Days),"")</f>
        <v/>
      </c>
      <c r="E3250" s="16">
        <f>IF(B3250,StartDate+D3250,"")</f>
        <v/>
      </c>
      <c r="F3250">
        <f>IF(B3250,MAX(MOD(SIN(Seed*0.1373+C3250*12.9898+D3250*78.233)*43758.5453,1),1E-9),"")</f>
        <v/>
      </c>
      <c r="G3250">
        <f>IF(B3250,MOD(SIN(Seed*0.5917+C3250*39.3468+D3250*11.135)*24634.6345,1),"")</f>
        <v/>
      </c>
      <c r="H3250">
        <f>IF(B3250,SQRT(-2*LN(F3250))*COS(2*PI()*G3250),"")</f>
        <v/>
      </c>
      <c r="I3250">
        <f>IF(B3250,IF(D3250=0,H3250,Rho*I3249+SQRT(1-Rho^2)*H3250),"")</f>
        <v/>
      </c>
      <c r="J3250">
        <f>IF(B3250,IF(Dist="Normal",DistA+DistB*I3250,DistA+(DistB-DistA)*NORMSDIST(I3250)),"")</f>
        <v/>
      </c>
      <c r="K3250">
        <f>IF(B3250,INDEX(MineScale,C3250),"")</f>
        <v/>
      </c>
      <c r="L3250">
        <f>IF(B3250,INDEX(Dow,1,WEEKDAY(E3250,2)),"")</f>
        <v/>
      </c>
      <c r="M3250">
        <f>IF(B3250,(1+Trend)^D3250,"")</f>
        <v/>
      </c>
      <c r="N3250">
        <f>IF(B3250,EXP(SUMPRODUCT(LN(1+(EvEff-1)*INDEX(Affected,0,C3250)*EXP(-((E3250-EvCenter)^2)/(2*EvSigma^2))))),"")</f>
        <v/>
      </c>
      <c r="O3250">
        <f>IF(B3250,ROUND(MAX(0,J3250*K3250*L3250*M3250*N3250),2),"")</f>
        <v/>
      </c>
    </row>
    <row r="3251">
      <c r="A3251" t="n">
        <v>3250</v>
      </c>
      <c r="B3251">
        <f>A3251&lt;=MineCount*Days</f>
        <v/>
      </c>
      <c r="C3251">
        <f>IF(B3251,INT((A3251-1)/Days)+1,"")</f>
        <v/>
      </c>
      <c r="D3251">
        <f>IF(B3251,MOD(A3251-1,Days),"")</f>
        <v/>
      </c>
      <c r="E3251" s="16">
        <f>IF(B3251,StartDate+D3251,"")</f>
        <v/>
      </c>
      <c r="F3251">
        <f>IF(B3251,MAX(MOD(SIN(Seed*0.1373+C3251*12.9898+D3251*78.233)*43758.5453,1),1E-9),"")</f>
        <v/>
      </c>
      <c r="G3251">
        <f>IF(B3251,MOD(SIN(Seed*0.5917+C3251*39.3468+D3251*11.135)*24634.6345,1),"")</f>
        <v/>
      </c>
      <c r="H3251">
        <f>IF(B3251,SQRT(-2*LN(F3251))*COS(2*PI()*G3251),"")</f>
        <v/>
      </c>
      <c r="I3251">
        <f>IF(B3251,IF(D3251=0,H3251,Rho*I3250+SQRT(1-Rho^2)*H3251),"")</f>
        <v/>
      </c>
      <c r="J3251">
        <f>IF(B3251,IF(Dist="Normal",DistA+DistB*I3251,DistA+(DistB-DistA)*NORMSDIST(I3251)),"")</f>
        <v/>
      </c>
      <c r="K3251">
        <f>IF(B3251,INDEX(MineScale,C3251),"")</f>
        <v/>
      </c>
      <c r="L3251">
        <f>IF(B3251,INDEX(Dow,1,WEEKDAY(E3251,2)),"")</f>
        <v/>
      </c>
      <c r="M3251">
        <f>IF(B3251,(1+Trend)^D3251,"")</f>
        <v/>
      </c>
      <c r="N3251">
        <f>IF(B3251,EXP(SUMPRODUCT(LN(1+(EvEff-1)*INDEX(Affected,0,C3251)*EXP(-((E3251-EvCenter)^2)/(2*EvSigma^2))))),"")</f>
        <v/>
      </c>
      <c r="O3251">
        <f>IF(B3251,ROUND(MAX(0,J3251*K3251*L3251*M3251*N3251),2),"")</f>
        <v/>
      </c>
    </row>
    <row r="3252">
      <c r="A3252" t="n">
        <v>3251</v>
      </c>
      <c r="B3252">
        <f>A3252&lt;=MineCount*Days</f>
        <v/>
      </c>
      <c r="C3252">
        <f>IF(B3252,INT((A3252-1)/Days)+1,"")</f>
        <v/>
      </c>
      <c r="D3252">
        <f>IF(B3252,MOD(A3252-1,Days),"")</f>
        <v/>
      </c>
      <c r="E3252" s="16">
        <f>IF(B3252,StartDate+D3252,"")</f>
        <v/>
      </c>
      <c r="F3252">
        <f>IF(B3252,MAX(MOD(SIN(Seed*0.1373+C3252*12.9898+D3252*78.233)*43758.5453,1),1E-9),"")</f>
        <v/>
      </c>
      <c r="G3252">
        <f>IF(B3252,MOD(SIN(Seed*0.5917+C3252*39.3468+D3252*11.135)*24634.6345,1),"")</f>
        <v/>
      </c>
      <c r="H3252">
        <f>IF(B3252,SQRT(-2*LN(F3252))*COS(2*PI()*G3252),"")</f>
        <v/>
      </c>
      <c r="I3252">
        <f>IF(B3252,IF(D3252=0,H3252,Rho*I3251+SQRT(1-Rho^2)*H3252),"")</f>
        <v/>
      </c>
      <c r="J3252">
        <f>IF(B3252,IF(Dist="Normal",DistA+DistB*I3252,DistA+(DistB-DistA)*NORMSDIST(I3252)),"")</f>
        <v/>
      </c>
      <c r="K3252">
        <f>IF(B3252,INDEX(MineScale,C3252),"")</f>
        <v/>
      </c>
      <c r="L3252">
        <f>IF(B3252,INDEX(Dow,1,WEEKDAY(E3252,2)),"")</f>
        <v/>
      </c>
      <c r="M3252">
        <f>IF(B3252,(1+Trend)^D3252,"")</f>
        <v/>
      </c>
      <c r="N3252">
        <f>IF(B3252,EXP(SUMPRODUCT(LN(1+(EvEff-1)*INDEX(Affected,0,C3252)*EXP(-((E3252-EvCenter)^2)/(2*EvSigma^2))))),"")</f>
        <v/>
      </c>
      <c r="O3252">
        <f>IF(B3252,ROUND(MAX(0,J3252*K3252*L3252*M3252*N3252),2),"")</f>
        <v/>
      </c>
    </row>
    <row r="3253">
      <c r="A3253" t="n">
        <v>3252</v>
      </c>
      <c r="B3253">
        <f>A3253&lt;=MineCount*Days</f>
        <v/>
      </c>
      <c r="C3253">
        <f>IF(B3253,INT((A3253-1)/Days)+1,"")</f>
        <v/>
      </c>
      <c r="D3253">
        <f>IF(B3253,MOD(A3253-1,Days),"")</f>
        <v/>
      </c>
      <c r="E3253" s="16">
        <f>IF(B3253,StartDate+D3253,"")</f>
        <v/>
      </c>
      <c r="F3253">
        <f>IF(B3253,MAX(MOD(SIN(Seed*0.1373+C3253*12.9898+D3253*78.233)*43758.5453,1),1E-9),"")</f>
        <v/>
      </c>
      <c r="G3253">
        <f>IF(B3253,MOD(SIN(Seed*0.5917+C3253*39.3468+D3253*11.135)*24634.6345,1),"")</f>
        <v/>
      </c>
      <c r="H3253">
        <f>IF(B3253,SQRT(-2*LN(F3253))*COS(2*PI()*G3253),"")</f>
        <v/>
      </c>
      <c r="I3253">
        <f>IF(B3253,IF(D3253=0,H3253,Rho*I3252+SQRT(1-Rho^2)*H3253),"")</f>
        <v/>
      </c>
      <c r="J3253">
        <f>IF(B3253,IF(Dist="Normal",DistA+DistB*I3253,DistA+(DistB-DistA)*NORMSDIST(I3253)),"")</f>
        <v/>
      </c>
      <c r="K3253">
        <f>IF(B3253,INDEX(MineScale,C3253),"")</f>
        <v/>
      </c>
      <c r="L3253">
        <f>IF(B3253,INDEX(Dow,1,WEEKDAY(E3253,2)),"")</f>
        <v/>
      </c>
      <c r="M3253">
        <f>IF(B3253,(1+Trend)^D3253,"")</f>
        <v/>
      </c>
      <c r="N3253">
        <f>IF(B3253,EXP(SUMPRODUCT(LN(1+(EvEff-1)*INDEX(Affected,0,C3253)*EXP(-((E3253-EvCenter)^2)/(2*EvSigma^2))))),"")</f>
        <v/>
      </c>
      <c r="O3253">
        <f>IF(B3253,ROUND(MAX(0,J3253*K3253*L3253*M3253*N3253),2),"")</f>
        <v/>
      </c>
    </row>
    <row r="3254">
      <c r="A3254" t="n">
        <v>3253</v>
      </c>
      <c r="B3254">
        <f>A3254&lt;=MineCount*Days</f>
        <v/>
      </c>
      <c r="C3254">
        <f>IF(B3254,INT((A3254-1)/Days)+1,"")</f>
        <v/>
      </c>
      <c r="D3254">
        <f>IF(B3254,MOD(A3254-1,Days),"")</f>
        <v/>
      </c>
      <c r="E3254" s="16">
        <f>IF(B3254,StartDate+D3254,"")</f>
        <v/>
      </c>
      <c r="F3254">
        <f>IF(B3254,MAX(MOD(SIN(Seed*0.1373+C3254*12.9898+D3254*78.233)*43758.5453,1),1E-9),"")</f>
        <v/>
      </c>
      <c r="G3254">
        <f>IF(B3254,MOD(SIN(Seed*0.5917+C3254*39.3468+D3254*11.135)*24634.6345,1),"")</f>
        <v/>
      </c>
      <c r="H3254">
        <f>IF(B3254,SQRT(-2*LN(F3254))*COS(2*PI()*G3254),"")</f>
        <v/>
      </c>
      <c r="I3254">
        <f>IF(B3254,IF(D3254=0,H3254,Rho*I3253+SQRT(1-Rho^2)*H3254),"")</f>
        <v/>
      </c>
      <c r="J3254">
        <f>IF(B3254,IF(Dist="Normal",DistA+DistB*I3254,DistA+(DistB-DistA)*NORMSDIST(I3254)),"")</f>
        <v/>
      </c>
      <c r="K3254">
        <f>IF(B3254,INDEX(MineScale,C3254),"")</f>
        <v/>
      </c>
      <c r="L3254">
        <f>IF(B3254,INDEX(Dow,1,WEEKDAY(E3254,2)),"")</f>
        <v/>
      </c>
      <c r="M3254">
        <f>IF(B3254,(1+Trend)^D3254,"")</f>
        <v/>
      </c>
      <c r="N3254">
        <f>IF(B3254,EXP(SUMPRODUCT(LN(1+(EvEff-1)*INDEX(Affected,0,C3254)*EXP(-((E3254-EvCenter)^2)/(2*EvSigma^2))))),"")</f>
        <v/>
      </c>
      <c r="O3254">
        <f>IF(B3254,ROUND(MAX(0,J3254*K3254*L3254*M3254*N3254),2),"")</f>
        <v/>
      </c>
    </row>
    <row r="3255">
      <c r="A3255" t="n">
        <v>3254</v>
      </c>
      <c r="B3255">
        <f>A3255&lt;=MineCount*Days</f>
        <v/>
      </c>
      <c r="C3255">
        <f>IF(B3255,INT((A3255-1)/Days)+1,"")</f>
        <v/>
      </c>
      <c r="D3255">
        <f>IF(B3255,MOD(A3255-1,Days),"")</f>
        <v/>
      </c>
      <c r="E3255" s="16">
        <f>IF(B3255,StartDate+D3255,"")</f>
        <v/>
      </c>
      <c r="F3255">
        <f>IF(B3255,MAX(MOD(SIN(Seed*0.1373+C3255*12.9898+D3255*78.233)*43758.5453,1),1E-9),"")</f>
        <v/>
      </c>
      <c r="G3255">
        <f>IF(B3255,MOD(SIN(Seed*0.5917+C3255*39.3468+D3255*11.135)*24634.6345,1),"")</f>
        <v/>
      </c>
      <c r="H3255">
        <f>IF(B3255,SQRT(-2*LN(F3255))*COS(2*PI()*G3255),"")</f>
        <v/>
      </c>
      <c r="I3255">
        <f>IF(B3255,IF(D3255=0,H3255,Rho*I3254+SQRT(1-Rho^2)*H3255),"")</f>
        <v/>
      </c>
      <c r="J3255">
        <f>IF(B3255,IF(Dist="Normal",DistA+DistB*I3255,DistA+(DistB-DistA)*NORMSDIST(I3255)),"")</f>
        <v/>
      </c>
      <c r="K3255">
        <f>IF(B3255,INDEX(MineScale,C3255),"")</f>
        <v/>
      </c>
      <c r="L3255">
        <f>IF(B3255,INDEX(Dow,1,WEEKDAY(E3255,2)),"")</f>
        <v/>
      </c>
      <c r="M3255">
        <f>IF(B3255,(1+Trend)^D3255,"")</f>
        <v/>
      </c>
      <c r="N3255">
        <f>IF(B3255,EXP(SUMPRODUCT(LN(1+(EvEff-1)*INDEX(Affected,0,C3255)*EXP(-((E3255-EvCenter)^2)/(2*EvSigma^2))))),"")</f>
        <v/>
      </c>
      <c r="O3255">
        <f>IF(B3255,ROUND(MAX(0,J3255*K3255*L3255*M3255*N3255),2),"")</f>
        <v/>
      </c>
    </row>
    <row r="3256">
      <c r="A3256" t="n">
        <v>3255</v>
      </c>
      <c r="B3256">
        <f>A3256&lt;=MineCount*Days</f>
        <v/>
      </c>
      <c r="C3256">
        <f>IF(B3256,INT((A3256-1)/Days)+1,"")</f>
        <v/>
      </c>
      <c r="D3256">
        <f>IF(B3256,MOD(A3256-1,Days),"")</f>
        <v/>
      </c>
      <c r="E3256" s="16">
        <f>IF(B3256,StartDate+D3256,"")</f>
        <v/>
      </c>
      <c r="F3256">
        <f>IF(B3256,MAX(MOD(SIN(Seed*0.1373+C3256*12.9898+D3256*78.233)*43758.5453,1),1E-9),"")</f>
        <v/>
      </c>
      <c r="G3256">
        <f>IF(B3256,MOD(SIN(Seed*0.5917+C3256*39.3468+D3256*11.135)*24634.6345,1),"")</f>
        <v/>
      </c>
      <c r="H3256">
        <f>IF(B3256,SQRT(-2*LN(F3256))*COS(2*PI()*G3256),"")</f>
        <v/>
      </c>
      <c r="I3256">
        <f>IF(B3256,IF(D3256=0,H3256,Rho*I3255+SQRT(1-Rho^2)*H3256),"")</f>
        <v/>
      </c>
      <c r="J3256">
        <f>IF(B3256,IF(Dist="Normal",DistA+DistB*I3256,DistA+(DistB-DistA)*NORMSDIST(I3256)),"")</f>
        <v/>
      </c>
      <c r="K3256">
        <f>IF(B3256,INDEX(MineScale,C3256),"")</f>
        <v/>
      </c>
      <c r="L3256">
        <f>IF(B3256,INDEX(Dow,1,WEEKDAY(E3256,2)),"")</f>
        <v/>
      </c>
      <c r="M3256">
        <f>IF(B3256,(1+Trend)^D3256,"")</f>
        <v/>
      </c>
      <c r="N3256">
        <f>IF(B3256,EXP(SUMPRODUCT(LN(1+(EvEff-1)*INDEX(Affected,0,C3256)*EXP(-((E3256-EvCenter)^2)/(2*EvSigma^2))))),"")</f>
        <v/>
      </c>
      <c r="O3256">
        <f>IF(B3256,ROUND(MAX(0,J3256*K3256*L3256*M3256*N3256),2),"")</f>
        <v/>
      </c>
    </row>
    <row r="3257">
      <c r="A3257" t="n">
        <v>3256</v>
      </c>
      <c r="B3257">
        <f>A3257&lt;=MineCount*Days</f>
        <v/>
      </c>
      <c r="C3257">
        <f>IF(B3257,INT((A3257-1)/Days)+1,"")</f>
        <v/>
      </c>
      <c r="D3257">
        <f>IF(B3257,MOD(A3257-1,Days),"")</f>
        <v/>
      </c>
      <c r="E3257" s="16">
        <f>IF(B3257,StartDate+D3257,"")</f>
        <v/>
      </c>
      <c r="F3257">
        <f>IF(B3257,MAX(MOD(SIN(Seed*0.1373+C3257*12.9898+D3257*78.233)*43758.5453,1),1E-9),"")</f>
        <v/>
      </c>
      <c r="G3257">
        <f>IF(B3257,MOD(SIN(Seed*0.5917+C3257*39.3468+D3257*11.135)*24634.6345,1),"")</f>
        <v/>
      </c>
      <c r="H3257">
        <f>IF(B3257,SQRT(-2*LN(F3257))*COS(2*PI()*G3257),"")</f>
        <v/>
      </c>
      <c r="I3257">
        <f>IF(B3257,IF(D3257=0,H3257,Rho*I3256+SQRT(1-Rho^2)*H3257),"")</f>
        <v/>
      </c>
      <c r="J3257">
        <f>IF(B3257,IF(Dist="Normal",DistA+DistB*I3257,DistA+(DistB-DistA)*NORMSDIST(I3257)),"")</f>
        <v/>
      </c>
      <c r="K3257">
        <f>IF(B3257,INDEX(MineScale,C3257),"")</f>
        <v/>
      </c>
      <c r="L3257">
        <f>IF(B3257,INDEX(Dow,1,WEEKDAY(E3257,2)),"")</f>
        <v/>
      </c>
      <c r="M3257">
        <f>IF(B3257,(1+Trend)^D3257,"")</f>
        <v/>
      </c>
      <c r="N3257">
        <f>IF(B3257,EXP(SUMPRODUCT(LN(1+(EvEff-1)*INDEX(Affected,0,C3257)*EXP(-((E3257-EvCenter)^2)/(2*EvSigma^2))))),"")</f>
        <v/>
      </c>
      <c r="O3257">
        <f>IF(B3257,ROUND(MAX(0,J3257*K3257*L3257*M3257*N3257),2),"")</f>
        <v/>
      </c>
    </row>
    <row r="3258">
      <c r="A3258" t="n">
        <v>3257</v>
      </c>
      <c r="B3258">
        <f>A3258&lt;=MineCount*Days</f>
        <v/>
      </c>
      <c r="C3258">
        <f>IF(B3258,INT((A3258-1)/Days)+1,"")</f>
        <v/>
      </c>
      <c r="D3258">
        <f>IF(B3258,MOD(A3258-1,Days),"")</f>
        <v/>
      </c>
      <c r="E3258" s="16">
        <f>IF(B3258,StartDate+D3258,"")</f>
        <v/>
      </c>
      <c r="F3258">
        <f>IF(B3258,MAX(MOD(SIN(Seed*0.1373+C3258*12.9898+D3258*78.233)*43758.5453,1),1E-9),"")</f>
        <v/>
      </c>
      <c r="G3258">
        <f>IF(B3258,MOD(SIN(Seed*0.5917+C3258*39.3468+D3258*11.135)*24634.6345,1),"")</f>
        <v/>
      </c>
      <c r="H3258">
        <f>IF(B3258,SQRT(-2*LN(F3258))*COS(2*PI()*G3258),"")</f>
        <v/>
      </c>
      <c r="I3258">
        <f>IF(B3258,IF(D3258=0,H3258,Rho*I3257+SQRT(1-Rho^2)*H3258),"")</f>
        <v/>
      </c>
      <c r="J3258">
        <f>IF(B3258,IF(Dist="Normal",DistA+DistB*I3258,DistA+(DistB-DistA)*NORMSDIST(I3258)),"")</f>
        <v/>
      </c>
      <c r="K3258">
        <f>IF(B3258,INDEX(MineScale,C3258),"")</f>
        <v/>
      </c>
      <c r="L3258">
        <f>IF(B3258,INDEX(Dow,1,WEEKDAY(E3258,2)),"")</f>
        <v/>
      </c>
      <c r="M3258">
        <f>IF(B3258,(1+Trend)^D3258,"")</f>
        <v/>
      </c>
      <c r="N3258">
        <f>IF(B3258,EXP(SUMPRODUCT(LN(1+(EvEff-1)*INDEX(Affected,0,C3258)*EXP(-((E3258-EvCenter)^2)/(2*EvSigma^2))))),"")</f>
        <v/>
      </c>
      <c r="O3258">
        <f>IF(B3258,ROUND(MAX(0,J3258*K3258*L3258*M3258*N3258),2),"")</f>
        <v/>
      </c>
    </row>
    <row r="3259">
      <c r="A3259" t="n">
        <v>3258</v>
      </c>
      <c r="B3259">
        <f>A3259&lt;=MineCount*Days</f>
        <v/>
      </c>
      <c r="C3259">
        <f>IF(B3259,INT((A3259-1)/Days)+1,"")</f>
        <v/>
      </c>
      <c r="D3259">
        <f>IF(B3259,MOD(A3259-1,Days),"")</f>
        <v/>
      </c>
      <c r="E3259" s="16">
        <f>IF(B3259,StartDate+D3259,"")</f>
        <v/>
      </c>
      <c r="F3259">
        <f>IF(B3259,MAX(MOD(SIN(Seed*0.1373+C3259*12.9898+D3259*78.233)*43758.5453,1),1E-9),"")</f>
        <v/>
      </c>
      <c r="G3259">
        <f>IF(B3259,MOD(SIN(Seed*0.5917+C3259*39.3468+D3259*11.135)*24634.6345,1),"")</f>
        <v/>
      </c>
      <c r="H3259">
        <f>IF(B3259,SQRT(-2*LN(F3259))*COS(2*PI()*G3259),"")</f>
        <v/>
      </c>
      <c r="I3259">
        <f>IF(B3259,IF(D3259=0,H3259,Rho*I3258+SQRT(1-Rho^2)*H3259),"")</f>
        <v/>
      </c>
      <c r="J3259">
        <f>IF(B3259,IF(Dist="Normal",DistA+DistB*I3259,DistA+(DistB-DistA)*NORMSDIST(I3259)),"")</f>
        <v/>
      </c>
      <c r="K3259">
        <f>IF(B3259,INDEX(MineScale,C3259),"")</f>
        <v/>
      </c>
      <c r="L3259">
        <f>IF(B3259,INDEX(Dow,1,WEEKDAY(E3259,2)),"")</f>
        <v/>
      </c>
      <c r="M3259">
        <f>IF(B3259,(1+Trend)^D3259,"")</f>
        <v/>
      </c>
      <c r="N3259">
        <f>IF(B3259,EXP(SUMPRODUCT(LN(1+(EvEff-1)*INDEX(Affected,0,C3259)*EXP(-((E3259-EvCenter)^2)/(2*EvSigma^2))))),"")</f>
        <v/>
      </c>
      <c r="O3259">
        <f>IF(B3259,ROUND(MAX(0,J3259*K3259*L3259*M3259*N3259),2),"")</f>
        <v/>
      </c>
    </row>
    <row r="3260">
      <c r="A3260" t="n">
        <v>3259</v>
      </c>
      <c r="B3260">
        <f>A3260&lt;=MineCount*Days</f>
        <v/>
      </c>
      <c r="C3260">
        <f>IF(B3260,INT((A3260-1)/Days)+1,"")</f>
        <v/>
      </c>
      <c r="D3260">
        <f>IF(B3260,MOD(A3260-1,Days),"")</f>
        <v/>
      </c>
      <c r="E3260" s="16">
        <f>IF(B3260,StartDate+D3260,"")</f>
        <v/>
      </c>
      <c r="F3260">
        <f>IF(B3260,MAX(MOD(SIN(Seed*0.1373+C3260*12.9898+D3260*78.233)*43758.5453,1),1E-9),"")</f>
        <v/>
      </c>
      <c r="G3260">
        <f>IF(B3260,MOD(SIN(Seed*0.5917+C3260*39.3468+D3260*11.135)*24634.6345,1),"")</f>
        <v/>
      </c>
      <c r="H3260">
        <f>IF(B3260,SQRT(-2*LN(F3260))*COS(2*PI()*G3260),"")</f>
        <v/>
      </c>
      <c r="I3260">
        <f>IF(B3260,IF(D3260=0,H3260,Rho*I3259+SQRT(1-Rho^2)*H3260),"")</f>
        <v/>
      </c>
      <c r="J3260">
        <f>IF(B3260,IF(Dist="Normal",DistA+DistB*I3260,DistA+(DistB-DistA)*NORMSDIST(I3260)),"")</f>
        <v/>
      </c>
      <c r="K3260">
        <f>IF(B3260,INDEX(MineScale,C3260),"")</f>
        <v/>
      </c>
      <c r="L3260">
        <f>IF(B3260,INDEX(Dow,1,WEEKDAY(E3260,2)),"")</f>
        <v/>
      </c>
      <c r="M3260">
        <f>IF(B3260,(1+Trend)^D3260,"")</f>
        <v/>
      </c>
      <c r="N3260">
        <f>IF(B3260,EXP(SUMPRODUCT(LN(1+(EvEff-1)*INDEX(Affected,0,C3260)*EXP(-((E3260-EvCenter)^2)/(2*EvSigma^2))))),"")</f>
        <v/>
      </c>
      <c r="O3260">
        <f>IF(B3260,ROUND(MAX(0,J3260*K3260*L3260*M3260*N3260),2),"")</f>
        <v/>
      </c>
    </row>
    <row r="3261">
      <c r="A3261" t="n">
        <v>3260</v>
      </c>
      <c r="B3261">
        <f>A3261&lt;=MineCount*Days</f>
        <v/>
      </c>
      <c r="C3261">
        <f>IF(B3261,INT((A3261-1)/Days)+1,"")</f>
        <v/>
      </c>
      <c r="D3261">
        <f>IF(B3261,MOD(A3261-1,Days),"")</f>
        <v/>
      </c>
      <c r="E3261" s="16">
        <f>IF(B3261,StartDate+D3261,"")</f>
        <v/>
      </c>
      <c r="F3261">
        <f>IF(B3261,MAX(MOD(SIN(Seed*0.1373+C3261*12.9898+D3261*78.233)*43758.5453,1),1E-9),"")</f>
        <v/>
      </c>
      <c r="G3261">
        <f>IF(B3261,MOD(SIN(Seed*0.5917+C3261*39.3468+D3261*11.135)*24634.6345,1),"")</f>
        <v/>
      </c>
      <c r="H3261">
        <f>IF(B3261,SQRT(-2*LN(F3261))*COS(2*PI()*G3261),"")</f>
        <v/>
      </c>
      <c r="I3261">
        <f>IF(B3261,IF(D3261=0,H3261,Rho*I3260+SQRT(1-Rho^2)*H3261),"")</f>
        <v/>
      </c>
      <c r="J3261">
        <f>IF(B3261,IF(Dist="Normal",DistA+DistB*I3261,DistA+(DistB-DistA)*NORMSDIST(I3261)),"")</f>
        <v/>
      </c>
      <c r="K3261">
        <f>IF(B3261,INDEX(MineScale,C3261),"")</f>
        <v/>
      </c>
      <c r="L3261">
        <f>IF(B3261,INDEX(Dow,1,WEEKDAY(E3261,2)),"")</f>
        <v/>
      </c>
      <c r="M3261">
        <f>IF(B3261,(1+Trend)^D3261,"")</f>
        <v/>
      </c>
      <c r="N3261">
        <f>IF(B3261,EXP(SUMPRODUCT(LN(1+(EvEff-1)*INDEX(Affected,0,C3261)*EXP(-((E3261-EvCenter)^2)/(2*EvSigma^2))))),"")</f>
        <v/>
      </c>
      <c r="O3261">
        <f>IF(B3261,ROUND(MAX(0,J3261*K3261*L3261*M3261*N3261),2),"")</f>
        <v/>
      </c>
    </row>
    <row r="3262">
      <c r="A3262" t="n">
        <v>3261</v>
      </c>
      <c r="B3262">
        <f>A3262&lt;=MineCount*Days</f>
        <v/>
      </c>
      <c r="C3262">
        <f>IF(B3262,INT((A3262-1)/Days)+1,"")</f>
        <v/>
      </c>
      <c r="D3262">
        <f>IF(B3262,MOD(A3262-1,Days),"")</f>
        <v/>
      </c>
      <c r="E3262" s="16">
        <f>IF(B3262,StartDate+D3262,"")</f>
        <v/>
      </c>
      <c r="F3262">
        <f>IF(B3262,MAX(MOD(SIN(Seed*0.1373+C3262*12.9898+D3262*78.233)*43758.5453,1),1E-9),"")</f>
        <v/>
      </c>
      <c r="G3262">
        <f>IF(B3262,MOD(SIN(Seed*0.5917+C3262*39.3468+D3262*11.135)*24634.6345,1),"")</f>
        <v/>
      </c>
      <c r="H3262">
        <f>IF(B3262,SQRT(-2*LN(F3262))*COS(2*PI()*G3262),"")</f>
        <v/>
      </c>
      <c r="I3262">
        <f>IF(B3262,IF(D3262=0,H3262,Rho*I3261+SQRT(1-Rho^2)*H3262),"")</f>
        <v/>
      </c>
      <c r="J3262">
        <f>IF(B3262,IF(Dist="Normal",DistA+DistB*I3262,DistA+(DistB-DistA)*NORMSDIST(I3262)),"")</f>
        <v/>
      </c>
      <c r="K3262">
        <f>IF(B3262,INDEX(MineScale,C3262),"")</f>
        <v/>
      </c>
      <c r="L3262">
        <f>IF(B3262,INDEX(Dow,1,WEEKDAY(E3262,2)),"")</f>
        <v/>
      </c>
      <c r="M3262">
        <f>IF(B3262,(1+Trend)^D3262,"")</f>
        <v/>
      </c>
      <c r="N3262">
        <f>IF(B3262,EXP(SUMPRODUCT(LN(1+(EvEff-1)*INDEX(Affected,0,C3262)*EXP(-((E3262-EvCenter)^2)/(2*EvSigma^2))))),"")</f>
        <v/>
      </c>
      <c r="O3262">
        <f>IF(B3262,ROUND(MAX(0,J3262*K3262*L3262*M3262*N3262),2),"")</f>
        <v/>
      </c>
    </row>
    <row r="3263">
      <c r="A3263" t="n">
        <v>3262</v>
      </c>
      <c r="B3263">
        <f>A3263&lt;=MineCount*Days</f>
        <v/>
      </c>
      <c r="C3263">
        <f>IF(B3263,INT((A3263-1)/Days)+1,"")</f>
        <v/>
      </c>
      <c r="D3263">
        <f>IF(B3263,MOD(A3263-1,Days),"")</f>
        <v/>
      </c>
      <c r="E3263" s="16">
        <f>IF(B3263,StartDate+D3263,"")</f>
        <v/>
      </c>
      <c r="F3263">
        <f>IF(B3263,MAX(MOD(SIN(Seed*0.1373+C3263*12.9898+D3263*78.233)*43758.5453,1),1E-9),"")</f>
        <v/>
      </c>
      <c r="G3263">
        <f>IF(B3263,MOD(SIN(Seed*0.5917+C3263*39.3468+D3263*11.135)*24634.6345,1),"")</f>
        <v/>
      </c>
      <c r="H3263">
        <f>IF(B3263,SQRT(-2*LN(F3263))*COS(2*PI()*G3263),"")</f>
        <v/>
      </c>
      <c r="I3263">
        <f>IF(B3263,IF(D3263=0,H3263,Rho*I3262+SQRT(1-Rho^2)*H3263),"")</f>
        <v/>
      </c>
      <c r="J3263">
        <f>IF(B3263,IF(Dist="Normal",DistA+DistB*I3263,DistA+(DistB-DistA)*NORMSDIST(I3263)),"")</f>
        <v/>
      </c>
      <c r="K3263">
        <f>IF(B3263,INDEX(MineScale,C3263),"")</f>
        <v/>
      </c>
      <c r="L3263">
        <f>IF(B3263,INDEX(Dow,1,WEEKDAY(E3263,2)),"")</f>
        <v/>
      </c>
      <c r="M3263">
        <f>IF(B3263,(1+Trend)^D3263,"")</f>
        <v/>
      </c>
      <c r="N3263">
        <f>IF(B3263,EXP(SUMPRODUCT(LN(1+(EvEff-1)*INDEX(Affected,0,C3263)*EXP(-((E3263-EvCenter)^2)/(2*EvSigma^2))))),"")</f>
        <v/>
      </c>
      <c r="O3263">
        <f>IF(B3263,ROUND(MAX(0,J3263*K3263*L3263*M3263*N3263),2),"")</f>
        <v/>
      </c>
    </row>
    <row r="3264">
      <c r="A3264" t="n">
        <v>3263</v>
      </c>
      <c r="B3264">
        <f>A3264&lt;=MineCount*Days</f>
        <v/>
      </c>
      <c r="C3264">
        <f>IF(B3264,INT((A3264-1)/Days)+1,"")</f>
        <v/>
      </c>
      <c r="D3264">
        <f>IF(B3264,MOD(A3264-1,Days),"")</f>
        <v/>
      </c>
      <c r="E3264" s="16">
        <f>IF(B3264,StartDate+D3264,"")</f>
        <v/>
      </c>
      <c r="F3264">
        <f>IF(B3264,MAX(MOD(SIN(Seed*0.1373+C3264*12.9898+D3264*78.233)*43758.5453,1),1E-9),"")</f>
        <v/>
      </c>
      <c r="G3264">
        <f>IF(B3264,MOD(SIN(Seed*0.5917+C3264*39.3468+D3264*11.135)*24634.6345,1),"")</f>
        <v/>
      </c>
      <c r="H3264">
        <f>IF(B3264,SQRT(-2*LN(F3264))*COS(2*PI()*G3264),"")</f>
        <v/>
      </c>
      <c r="I3264">
        <f>IF(B3264,IF(D3264=0,H3264,Rho*I3263+SQRT(1-Rho^2)*H3264),"")</f>
        <v/>
      </c>
      <c r="J3264">
        <f>IF(B3264,IF(Dist="Normal",DistA+DistB*I3264,DistA+(DistB-DistA)*NORMSDIST(I3264)),"")</f>
        <v/>
      </c>
      <c r="K3264">
        <f>IF(B3264,INDEX(MineScale,C3264),"")</f>
        <v/>
      </c>
      <c r="L3264">
        <f>IF(B3264,INDEX(Dow,1,WEEKDAY(E3264,2)),"")</f>
        <v/>
      </c>
      <c r="M3264">
        <f>IF(B3264,(1+Trend)^D3264,"")</f>
        <v/>
      </c>
      <c r="N3264">
        <f>IF(B3264,EXP(SUMPRODUCT(LN(1+(EvEff-1)*INDEX(Affected,0,C3264)*EXP(-((E3264-EvCenter)^2)/(2*EvSigma^2))))),"")</f>
        <v/>
      </c>
      <c r="O3264">
        <f>IF(B3264,ROUND(MAX(0,J3264*K3264*L3264*M3264*N3264),2),"")</f>
        <v/>
      </c>
    </row>
    <row r="3265">
      <c r="A3265" t="n">
        <v>3264</v>
      </c>
      <c r="B3265">
        <f>A3265&lt;=MineCount*Days</f>
        <v/>
      </c>
      <c r="C3265">
        <f>IF(B3265,INT((A3265-1)/Days)+1,"")</f>
        <v/>
      </c>
      <c r="D3265">
        <f>IF(B3265,MOD(A3265-1,Days),"")</f>
        <v/>
      </c>
      <c r="E3265" s="16">
        <f>IF(B3265,StartDate+D3265,"")</f>
        <v/>
      </c>
      <c r="F3265">
        <f>IF(B3265,MAX(MOD(SIN(Seed*0.1373+C3265*12.9898+D3265*78.233)*43758.5453,1),1E-9),"")</f>
        <v/>
      </c>
      <c r="G3265">
        <f>IF(B3265,MOD(SIN(Seed*0.5917+C3265*39.3468+D3265*11.135)*24634.6345,1),"")</f>
        <v/>
      </c>
      <c r="H3265">
        <f>IF(B3265,SQRT(-2*LN(F3265))*COS(2*PI()*G3265),"")</f>
        <v/>
      </c>
      <c r="I3265">
        <f>IF(B3265,IF(D3265=0,H3265,Rho*I3264+SQRT(1-Rho^2)*H3265),"")</f>
        <v/>
      </c>
      <c r="J3265">
        <f>IF(B3265,IF(Dist="Normal",DistA+DistB*I3265,DistA+(DistB-DistA)*NORMSDIST(I3265)),"")</f>
        <v/>
      </c>
      <c r="K3265">
        <f>IF(B3265,INDEX(MineScale,C3265),"")</f>
        <v/>
      </c>
      <c r="L3265">
        <f>IF(B3265,INDEX(Dow,1,WEEKDAY(E3265,2)),"")</f>
        <v/>
      </c>
      <c r="M3265">
        <f>IF(B3265,(1+Trend)^D3265,"")</f>
        <v/>
      </c>
      <c r="N3265">
        <f>IF(B3265,EXP(SUMPRODUCT(LN(1+(EvEff-1)*INDEX(Affected,0,C3265)*EXP(-((E3265-EvCenter)^2)/(2*EvSigma^2))))),"")</f>
        <v/>
      </c>
      <c r="O3265">
        <f>IF(B3265,ROUND(MAX(0,J3265*K3265*L3265*M3265*N3265),2),"")</f>
        <v/>
      </c>
    </row>
    <row r="3266">
      <c r="A3266" t="n">
        <v>3265</v>
      </c>
      <c r="B3266">
        <f>A3266&lt;=MineCount*Days</f>
        <v/>
      </c>
      <c r="C3266">
        <f>IF(B3266,INT((A3266-1)/Days)+1,"")</f>
        <v/>
      </c>
      <c r="D3266">
        <f>IF(B3266,MOD(A3266-1,Days),"")</f>
        <v/>
      </c>
      <c r="E3266" s="16">
        <f>IF(B3266,StartDate+D3266,"")</f>
        <v/>
      </c>
      <c r="F3266">
        <f>IF(B3266,MAX(MOD(SIN(Seed*0.1373+C3266*12.9898+D3266*78.233)*43758.5453,1),1E-9),"")</f>
        <v/>
      </c>
      <c r="G3266">
        <f>IF(B3266,MOD(SIN(Seed*0.5917+C3266*39.3468+D3266*11.135)*24634.6345,1),"")</f>
        <v/>
      </c>
      <c r="H3266">
        <f>IF(B3266,SQRT(-2*LN(F3266))*COS(2*PI()*G3266),"")</f>
        <v/>
      </c>
      <c r="I3266">
        <f>IF(B3266,IF(D3266=0,H3266,Rho*I3265+SQRT(1-Rho^2)*H3266),"")</f>
        <v/>
      </c>
      <c r="J3266">
        <f>IF(B3266,IF(Dist="Normal",DistA+DistB*I3266,DistA+(DistB-DistA)*NORMSDIST(I3266)),"")</f>
        <v/>
      </c>
      <c r="K3266">
        <f>IF(B3266,INDEX(MineScale,C3266),"")</f>
        <v/>
      </c>
      <c r="L3266">
        <f>IF(B3266,INDEX(Dow,1,WEEKDAY(E3266,2)),"")</f>
        <v/>
      </c>
      <c r="M3266">
        <f>IF(B3266,(1+Trend)^D3266,"")</f>
        <v/>
      </c>
      <c r="N3266">
        <f>IF(B3266,EXP(SUMPRODUCT(LN(1+(EvEff-1)*INDEX(Affected,0,C3266)*EXP(-((E3266-EvCenter)^2)/(2*EvSigma^2))))),"")</f>
        <v/>
      </c>
      <c r="O3266">
        <f>IF(B3266,ROUND(MAX(0,J3266*K3266*L3266*M3266*N3266),2),"")</f>
        <v/>
      </c>
    </row>
    <row r="3267">
      <c r="A3267" t="n">
        <v>3266</v>
      </c>
      <c r="B3267">
        <f>A3267&lt;=MineCount*Days</f>
        <v/>
      </c>
      <c r="C3267">
        <f>IF(B3267,INT((A3267-1)/Days)+1,"")</f>
        <v/>
      </c>
      <c r="D3267">
        <f>IF(B3267,MOD(A3267-1,Days),"")</f>
        <v/>
      </c>
      <c r="E3267" s="16">
        <f>IF(B3267,StartDate+D3267,"")</f>
        <v/>
      </c>
      <c r="F3267">
        <f>IF(B3267,MAX(MOD(SIN(Seed*0.1373+C3267*12.9898+D3267*78.233)*43758.5453,1),1E-9),"")</f>
        <v/>
      </c>
      <c r="G3267">
        <f>IF(B3267,MOD(SIN(Seed*0.5917+C3267*39.3468+D3267*11.135)*24634.6345,1),"")</f>
        <v/>
      </c>
      <c r="H3267">
        <f>IF(B3267,SQRT(-2*LN(F3267))*COS(2*PI()*G3267),"")</f>
        <v/>
      </c>
      <c r="I3267">
        <f>IF(B3267,IF(D3267=0,H3267,Rho*I3266+SQRT(1-Rho^2)*H3267),"")</f>
        <v/>
      </c>
      <c r="J3267">
        <f>IF(B3267,IF(Dist="Normal",DistA+DistB*I3267,DistA+(DistB-DistA)*NORMSDIST(I3267)),"")</f>
        <v/>
      </c>
      <c r="K3267">
        <f>IF(B3267,INDEX(MineScale,C3267),"")</f>
        <v/>
      </c>
      <c r="L3267">
        <f>IF(B3267,INDEX(Dow,1,WEEKDAY(E3267,2)),"")</f>
        <v/>
      </c>
      <c r="M3267">
        <f>IF(B3267,(1+Trend)^D3267,"")</f>
        <v/>
      </c>
      <c r="N3267">
        <f>IF(B3267,EXP(SUMPRODUCT(LN(1+(EvEff-1)*INDEX(Affected,0,C3267)*EXP(-((E3267-EvCenter)^2)/(2*EvSigma^2))))),"")</f>
        <v/>
      </c>
      <c r="O3267">
        <f>IF(B3267,ROUND(MAX(0,J3267*K3267*L3267*M3267*N3267),2),"")</f>
        <v/>
      </c>
    </row>
    <row r="3268">
      <c r="A3268" t="n">
        <v>3267</v>
      </c>
      <c r="B3268">
        <f>A3268&lt;=MineCount*Days</f>
        <v/>
      </c>
      <c r="C3268">
        <f>IF(B3268,INT((A3268-1)/Days)+1,"")</f>
        <v/>
      </c>
      <c r="D3268">
        <f>IF(B3268,MOD(A3268-1,Days),"")</f>
        <v/>
      </c>
      <c r="E3268" s="16">
        <f>IF(B3268,StartDate+D3268,"")</f>
        <v/>
      </c>
      <c r="F3268">
        <f>IF(B3268,MAX(MOD(SIN(Seed*0.1373+C3268*12.9898+D3268*78.233)*43758.5453,1),1E-9),"")</f>
        <v/>
      </c>
      <c r="G3268">
        <f>IF(B3268,MOD(SIN(Seed*0.5917+C3268*39.3468+D3268*11.135)*24634.6345,1),"")</f>
        <v/>
      </c>
      <c r="H3268">
        <f>IF(B3268,SQRT(-2*LN(F3268))*COS(2*PI()*G3268),"")</f>
        <v/>
      </c>
      <c r="I3268">
        <f>IF(B3268,IF(D3268=0,H3268,Rho*I3267+SQRT(1-Rho^2)*H3268),"")</f>
        <v/>
      </c>
      <c r="J3268">
        <f>IF(B3268,IF(Dist="Normal",DistA+DistB*I3268,DistA+(DistB-DistA)*NORMSDIST(I3268)),"")</f>
        <v/>
      </c>
      <c r="K3268">
        <f>IF(B3268,INDEX(MineScale,C3268),"")</f>
        <v/>
      </c>
      <c r="L3268">
        <f>IF(B3268,INDEX(Dow,1,WEEKDAY(E3268,2)),"")</f>
        <v/>
      </c>
      <c r="M3268">
        <f>IF(B3268,(1+Trend)^D3268,"")</f>
        <v/>
      </c>
      <c r="N3268">
        <f>IF(B3268,EXP(SUMPRODUCT(LN(1+(EvEff-1)*INDEX(Affected,0,C3268)*EXP(-((E3268-EvCenter)^2)/(2*EvSigma^2))))),"")</f>
        <v/>
      </c>
      <c r="O3268">
        <f>IF(B3268,ROUND(MAX(0,J3268*K3268*L3268*M3268*N3268),2),"")</f>
        <v/>
      </c>
    </row>
    <row r="3269">
      <c r="A3269" t="n">
        <v>3268</v>
      </c>
      <c r="B3269">
        <f>A3269&lt;=MineCount*Days</f>
        <v/>
      </c>
      <c r="C3269">
        <f>IF(B3269,INT((A3269-1)/Days)+1,"")</f>
        <v/>
      </c>
      <c r="D3269">
        <f>IF(B3269,MOD(A3269-1,Days),"")</f>
        <v/>
      </c>
      <c r="E3269" s="16">
        <f>IF(B3269,StartDate+D3269,"")</f>
        <v/>
      </c>
      <c r="F3269">
        <f>IF(B3269,MAX(MOD(SIN(Seed*0.1373+C3269*12.9898+D3269*78.233)*43758.5453,1),1E-9),"")</f>
        <v/>
      </c>
      <c r="G3269">
        <f>IF(B3269,MOD(SIN(Seed*0.5917+C3269*39.3468+D3269*11.135)*24634.6345,1),"")</f>
        <v/>
      </c>
      <c r="H3269">
        <f>IF(B3269,SQRT(-2*LN(F3269))*COS(2*PI()*G3269),"")</f>
        <v/>
      </c>
      <c r="I3269">
        <f>IF(B3269,IF(D3269=0,H3269,Rho*I3268+SQRT(1-Rho^2)*H3269),"")</f>
        <v/>
      </c>
      <c r="J3269">
        <f>IF(B3269,IF(Dist="Normal",DistA+DistB*I3269,DistA+(DistB-DistA)*NORMSDIST(I3269)),"")</f>
        <v/>
      </c>
      <c r="K3269">
        <f>IF(B3269,INDEX(MineScale,C3269),"")</f>
        <v/>
      </c>
      <c r="L3269">
        <f>IF(B3269,INDEX(Dow,1,WEEKDAY(E3269,2)),"")</f>
        <v/>
      </c>
      <c r="M3269">
        <f>IF(B3269,(1+Trend)^D3269,"")</f>
        <v/>
      </c>
      <c r="N3269">
        <f>IF(B3269,EXP(SUMPRODUCT(LN(1+(EvEff-1)*INDEX(Affected,0,C3269)*EXP(-((E3269-EvCenter)^2)/(2*EvSigma^2))))),"")</f>
        <v/>
      </c>
      <c r="O3269">
        <f>IF(B3269,ROUND(MAX(0,J3269*K3269*L3269*M3269*N3269),2),"")</f>
        <v/>
      </c>
    </row>
    <row r="3270">
      <c r="A3270" t="n">
        <v>3269</v>
      </c>
      <c r="B3270">
        <f>A3270&lt;=MineCount*Days</f>
        <v/>
      </c>
      <c r="C3270">
        <f>IF(B3270,INT((A3270-1)/Days)+1,"")</f>
        <v/>
      </c>
      <c r="D3270">
        <f>IF(B3270,MOD(A3270-1,Days),"")</f>
        <v/>
      </c>
      <c r="E3270" s="16">
        <f>IF(B3270,StartDate+D3270,"")</f>
        <v/>
      </c>
      <c r="F3270">
        <f>IF(B3270,MAX(MOD(SIN(Seed*0.1373+C3270*12.9898+D3270*78.233)*43758.5453,1),1E-9),"")</f>
        <v/>
      </c>
      <c r="G3270">
        <f>IF(B3270,MOD(SIN(Seed*0.5917+C3270*39.3468+D3270*11.135)*24634.6345,1),"")</f>
        <v/>
      </c>
      <c r="H3270">
        <f>IF(B3270,SQRT(-2*LN(F3270))*COS(2*PI()*G3270),"")</f>
        <v/>
      </c>
      <c r="I3270">
        <f>IF(B3270,IF(D3270=0,H3270,Rho*I3269+SQRT(1-Rho^2)*H3270),"")</f>
        <v/>
      </c>
      <c r="J3270">
        <f>IF(B3270,IF(Dist="Normal",DistA+DistB*I3270,DistA+(DistB-DistA)*NORMSDIST(I3270)),"")</f>
        <v/>
      </c>
      <c r="K3270">
        <f>IF(B3270,INDEX(MineScale,C3270),"")</f>
        <v/>
      </c>
      <c r="L3270">
        <f>IF(B3270,INDEX(Dow,1,WEEKDAY(E3270,2)),"")</f>
        <v/>
      </c>
      <c r="M3270">
        <f>IF(B3270,(1+Trend)^D3270,"")</f>
        <v/>
      </c>
      <c r="N3270">
        <f>IF(B3270,EXP(SUMPRODUCT(LN(1+(EvEff-1)*INDEX(Affected,0,C3270)*EXP(-((E3270-EvCenter)^2)/(2*EvSigma^2))))),"")</f>
        <v/>
      </c>
      <c r="O3270">
        <f>IF(B3270,ROUND(MAX(0,J3270*K3270*L3270*M3270*N3270),2),"")</f>
        <v/>
      </c>
    </row>
    <row r="3271">
      <c r="A3271" t="n">
        <v>3270</v>
      </c>
      <c r="B3271">
        <f>A3271&lt;=MineCount*Days</f>
        <v/>
      </c>
      <c r="C3271">
        <f>IF(B3271,INT((A3271-1)/Days)+1,"")</f>
        <v/>
      </c>
      <c r="D3271">
        <f>IF(B3271,MOD(A3271-1,Days),"")</f>
        <v/>
      </c>
      <c r="E3271" s="16">
        <f>IF(B3271,StartDate+D3271,"")</f>
        <v/>
      </c>
      <c r="F3271">
        <f>IF(B3271,MAX(MOD(SIN(Seed*0.1373+C3271*12.9898+D3271*78.233)*43758.5453,1),1E-9),"")</f>
        <v/>
      </c>
      <c r="G3271">
        <f>IF(B3271,MOD(SIN(Seed*0.5917+C3271*39.3468+D3271*11.135)*24634.6345,1),"")</f>
        <v/>
      </c>
      <c r="H3271">
        <f>IF(B3271,SQRT(-2*LN(F3271))*COS(2*PI()*G3271),"")</f>
        <v/>
      </c>
      <c r="I3271">
        <f>IF(B3271,IF(D3271=0,H3271,Rho*I3270+SQRT(1-Rho^2)*H3271),"")</f>
        <v/>
      </c>
      <c r="J3271">
        <f>IF(B3271,IF(Dist="Normal",DistA+DistB*I3271,DistA+(DistB-DistA)*NORMSDIST(I3271)),"")</f>
        <v/>
      </c>
      <c r="K3271">
        <f>IF(B3271,INDEX(MineScale,C3271),"")</f>
        <v/>
      </c>
      <c r="L3271">
        <f>IF(B3271,INDEX(Dow,1,WEEKDAY(E3271,2)),"")</f>
        <v/>
      </c>
      <c r="M3271">
        <f>IF(B3271,(1+Trend)^D3271,"")</f>
        <v/>
      </c>
      <c r="N3271">
        <f>IF(B3271,EXP(SUMPRODUCT(LN(1+(EvEff-1)*INDEX(Affected,0,C3271)*EXP(-((E3271-EvCenter)^2)/(2*EvSigma^2))))),"")</f>
        <v/>
      </c>
      <c r="O3271">
        <f>IF(B3271,ROUND(MAX(0,J3271*K3271*L3271*M3271*N3271),2),"")</f>
        <v/>
      </c>
    </row>
    <row r="3272">
      <c r="A3272" t="n">
        <v>3271</v>
      </c>
      <c r="B3272">
        <f>A3272&lt;=MineCount*Days</f>
        <v/>
      </c>
      <c r="C3272">
        <f>IF(B3272,INT((A3272-1)/Days)+1,"")</f>
        <v/>
      </c>
      <c r="D3272">
        <f>IF(B3272,MOD(A3272-1,Days),"")</f>
        <v/>
      </c>
      <c r="E3272" s="16">
        <f>IF(B3272,StartDate+D3272,"")</f>
        <v/>
      </c>
      <c r="F3272">
        <f>IF(B3272,MAX(MOD(SIN(Seed*0.1373+C3272*12.9898+D3272*78.233)*43758.5453,1),1E-9),"")</f>
        <v/>
      </c>
      <c r="G3272">
        <f>IF(B3272,MOD(SIN(Seed*0.5917+C3272*39.3468+D3272*11.135)*24634.6345,1),"")</f>
        <v/>
      </c>
      <c r="H3272">
        <f>IF(B3272,SQRT(-2*LN(F3272))*COS(2*PI()*G3272),"")</f>
        <v/>
      </c>
      <c r="I3272">
        <f>IF(B3272,IF(D3272=0,H3272,Rho*I3271+SQRT(1-Rho^2)*H3272),"")</f>
        <v/>
      </c>
      <c r="J3272">
        <f>IF(B3272,IF(Dist="Normal",DistA+DistB*I3272,DistA+(DistB-DistA)*NORMSDIST(I3272)),"")</f>
        <v/>
      </c>
      <c r="K3272">
        <f>IF(B3272,INDEX(MineScale,C3272),"")</f>
        <v/>
      </c>
      <c r="L3272">
        <f>IF(B3272,INDEX(Dow,1,WEEKDAY(E3272,2)),"")</f>
        <v/>
      </c>
      <c r="M3272">
        <f>IF(B3272,(1+Trend)^D3272,"")</f>
        <v/>
      </c>
      <c r="N3272">
        <f>IF(B3272,EXP(SUMPRODUCT(LN(1+(EvEff-1)*INDEX(Affected,0,C3272)*EXP(-((E3272-EvCenter)^2)/(2*EvSigma^2))))),"")</f>
        <v/>
      </c>
      <c r="O3272">
        <f>IF(B3272,ROUND(MAX(0,J3272*K3272*L3272*M3272*N3272),2),"")</f>
        <v/>
      </c>
    </row>
    <row r="3273">
      <c r="A3273" t="n">
        <v>3272</v>
      </c>
      <c r="B3273">
        <f>A3273&lt;=MineCount*Days</f>
        <v/>
      </c>
      <c r="C3273">
        <f>IF(B3273,INT((A3273-1)/Days)+1,"")</f>
        <v/>
      </c>
      <c r="D3273">
        <f>IF(B3273,MOD(A3273-1,Days),"")</f>
        <v/>
      </c>
      <c r="E3273" s="16">
        <f>IF(B3273,StartDate+D3273,"")</f>
        <v/>
      </c>
      <c r="F3273">
        <f>IF(B3273,MAX(MOD(SIN(Seed*0.1373+C3273*12.9898+D3273*78.233)*43758.5453,1),1E-9),"")</f>
        <v/>
      </c>
      <c r="G3273">
        <f>IF(B3273,MOD(SIN(Seed*0.5917+C3273*39.3468+D3273*11.135)*24634.6345,1),"")</f>
        <v/>
      </c>
      <c r="H3273">
        <f>IF(B3273,SQRT(-2*LN(F3273))*COS(2*PI()*G3273),"")</f>
        <v/>
      </c>
      <c r="I3273">
        <f>IF(B3273,IF(D3273=0,H3273,Rho*I3272+SQRT(1-Rho^2)*H3273),"")</f>
        <v/>
      </c>
      <c r="J3273">
        <f>IF(B3273,IF(Dist="Normal",DistA+DistB*I3273,DistA+(DistB-DistA)*NORMSDIST(I3273)),"")</f>
        <v/>
      </c>
      <c r="K3273">
        <f>IF(B3273,INDEX(MineScale,C3273),"")</f>
        <v/>
      </c>
      <c r="L3273">
        <f>IF(B3273,INDEX(Dow,1,WEEKDAY(E3273,2)),"")</f>
        <v/>
      </c>
      <c r="M3273">
        <f>IF(B3273,(1+Trend)^D3273,"")</f>
        <v/>
      </c>
      <c r="N3273">
        <f>IF(B3273,EXP(SUMPRODUCT(LN(1+(EvEff-1)*INDEX(Affected,0,C3273)*EXP(-((E3273-EvCenter)^2)/(2*EvSigma^2))))),"")</f>
        <v/>
      </c>
      <c r="O3273">
        <f>IF(B3273,ROUND(MAX(0,J3273*K3273*L3273*M3273*N3273),2),"")</f>
        <v/>
      </c>
    </row>
    <row r="3274">
      <c r="A3274" t="n">
        <v>3273</v>
      </c>
      <c r="B3274">
        <f>A3274&lt;=MineCount*Days</f>
        <v/>
      </c>
      <c r="C3274">
        <f>IF(B3274,INT((A3274-1)/Days)+1,"")</f>
        <v/>
      </c>
      <c r="D3274">
        <f>IF(B3274,MOD(A3274-1,Days),"")</f>
        <v/>
      </c>
      <c r="E3274" s="16">
        <f>IF(B3274,StartDate+D3274,"")</f>
        <v/>
      </c>
      <c r="F3274">
        <f>IF(B3274,MAX(MOD(SIN(Seed*0.1373+C3274*12.9898+D3274*78.233)*43758.5453,1),1E-9),"")</f>
        <v/>
      </c>
      <c r="G3274">
        <f>IF(B3274,MOD(SIN(Seed*0.5917+C3274*39.3468+D3274*11.135)*24634.6345,1),"")</f>
        <v/>
      </c>
      <c r="H3274">
        <f>IF(B3274,SQRT(-2*LN(F3274))*COS(2*PI()*G3274),"")</f>
        <v/>
      </c>
      <c r="I3274">
        <f>IF(B3274,IF(D3274=0,H3274,Rho*I3273+SQRT(1-Rho^2)*H3274),"")</f>
        <v/>
      </c>
      <c r="J3274">
        <f>IF(B3274,IF(Dist="Normal",DistA+DistB*I3274,DistA+(DistB-DistA)*NORMSDIST(I3274)),"")</f>
        <v/>
      </c>
      <c r="K3274">
        <f>IF(B3274,INDEX(MineScale,C3274),"")</f>
        <v/>
      </c>
      <c r="L3274">
        <f>IF(B3274,INDEX(Dow,1,WEEKDAY(E3274,2)),"")</f>
        <v/>
      </c>
      <c r="M3274">
        <f>IF(B3274,(1+Trend)^D3274,"")</f>
        <v/>
      </c>
      <c r="N3274">
        <f>IF(B3274,EXP(SUMPRODUCT(LN(1+(EvEff-1)*INDEX(Affected,0,C3274)*EXP(-((E3274-EvCenter)^2)/(2*EvSigma^2))))),"")</f>
        <v/>
      </c>
      <c r="O3274">
        <f>IF(B3274,ROUND(MAX(0,J3274*K3274*L3274*M3274*N3274),2),"")</f>
        <v/>
      </c>
    </row>
    <row r="3275">
      <c r="A3275" t="n">
        <v>3274</v>
      </c>
      <c r="B3275">
        <f>A3275&lt;=MineCount*Days</f>
        <v/>
      </c>
      <c r="C3275">
        <f>IF(B3275,INT((A3275-1)/Days)+1,"")</f>
        <v/>
      </c>
      <c r="D3275">
        <f>IF(B3275,MOD(A3275-1,Days),"")</f>
        <v/>
      </c>
      <c r="E3275" s="16">
        <f>IF(B3275,StartDate+D3275,"")</f>
        <v/>
      </c>
      <c r="F3275">
        <f>IF(B3275,MAX(MOD(SIN(Seed*0.1373+C3275*12.9898+D3275*78.233)*43758.5453,1),1E-9),"")</f>
        <v/>
      </c>
      <c r="G3275">
        <f>IF(B3275,MOD(SIN(Seed*0.5917+C3275*39.3468+D3275*11.135)*24634.6345,1),"")</f>
        <v/>
      </c>
      <c r="H3275">
        <f>IF(B3275,SQRT(-2*LN(F3275))*COS(2*PI()*G3275),"")</f>
        <v/>
      </c>
      <c r="I3275">
        <f>IF(B3275,IF(D3275=0,H3275,Rho*I3274+SQRT(1-Rho^2)*H3275),"")</f>
        <v/>
      </c>
      <c r="J3275">
        <f>IF(B3275,IF(Dist="Normal",DistA+DistB*I3275,DistA+(DistB-DistA)*NORMSDIST(I3275)),"")</f>
        <v/>
      </c>
      <c r="K3275">
        <f>IF(B3275,INDEX(MineScale,C3275),"")</f>
        <v/>
      </c>
      <c r="L3275">
        <f>IF(B3275,INDEX(Dow,1,WEEKDAY(E3275,2)),"")</f>
        <v/>
      </c>
      <c r="M3275">
        <f>IF(B3275,(1+Trend)^D3275,"")</f>
        <v/>
      </c>
      <c r="N3275">
        <f>IF(B3275,EXP(SUMPRODUCT(LN(1+(EvEff-1)*INDEX(Affected,0,C3275)*EXP(-((E3275-EvCenter)^2)/(2*EvSigma^2))))),"")</f>
        <v/>
      </c>
      <c r="O3275">
        <f>IF(B3275,ROUND(MAX(0,J3275*K3275*L3275*M3275*N3275),2),"")</f>
        <v/>
      </c>
    </row>
    <row r="3276">
      <c r="A3276" t="n">
        <v>3275</v>
      </c>
      <c r="B3276">
        <f>A3276&lt;=MineCount*Days</f>
        <v/>
      </c>
      <c r="C3276">
        <f>IF(B3276,INT((A3276-1)/Days)+1,"")</f>
        <v/>
      </c>
      <c r="D3276">
        <f>IF(B3276,MOD(A3276-1,Days),"")</f>
        <v/>
      </c>
      <c r="E3276" s="16">
        <f>IF(B3276,StartDate+D3276,"")</f>
        <v/>
      </c>
      <c r="F3276">
        <f>IF(B3276,MAX(MOD(SIN(Seed*0.1373+C3276*12.9898+D3276*78.233)*43758.5453,1),1E-9),"")</f>
        <v/>
      </c>
      <c r="G3276">
        <f>IF(B3276,MOD(SIN(Seed*0.5917+C3276*39.3468+D3276*11.135)*24634.6345,1),"")</f>
        <v/>
      </c>
      <c r="H3276">
        <f>IF(B3276,SQRT(-2*LN(F3276))*COS(2*PI()*G3276),"")</f>
        <v/>
      </c>
      <c r="I3276">
        <f>IF(B3276,IF(D3276=0,H3276,Rho*I3275+SQRT(1-Rho^2)*H3276),"")</f>
        <v/>
      </c>
      <c r="J3276">
        <f>IF(B3276,IF(Dist="Normal",DistA+DistB*I3276,DistA+(DistB-DistA)*NORMSDIST(I3276)),"")</f>
        <v/>
      </c>
      <c r="K3276">
        <f>IF(B3276,INDEX(MineScale,C3276),"")</f>
        <v/>
      </c>
      <c r="L3276">
        <f>IF(B3276,INDEX(Dow,1,WEEKDAY(E3276,2)),"")</f>
        <v/>
      </c>
      <c r="M3276">
        <f>IF(B3276,(1+Trend)^D3276,"")</f>
        <v/>
      </c>
      <c r="N3276">
        <f>IF(B3276,EXP(SUMPRODUCT(LN(1+(EvEff-1)*INDEX(Affected,0,C3276)*EXP(-((E3276-EvCenter)^2)/(2*EvSigma^2))))),"")</f>
        <v/>
      </c>
      <c r="O3276">
        <f>IF(B3276,ROUND(MAX(0,J3276*K3276*L3276*M3276*N3276),2),"")</f>
        <v/>
      </c>
    </row>
    <row r="3277">
      <c r="A3277" t="n">
        <v>3276</v>
      </c>
      <c r="B3277">
        <f>A3277&lt;=MineCount*Days</f>
        <v/>
      </c>
      <c r="C3277">
        <f>IF(B3277,INT((A3277-1)/Days)+1,"")</f>
        <v/>
      </c>
      <c r="D3277">
        <f>IF(B3277,MOD(A3277-1,Days),"")</f>
        <v/>
      </c>
      <c r="E3277" s="16">
        <f>IF(B3277,StartDate+D3277,"")</f>
        <v/>
      </c>
      <c r="F3277">
        <f>IF(B3277,MAX(MOD(SIN(Seed*0.1373+C3277*12.9898+D3277*78.233)*43758.5453,1),1E-9),"")</f>
        <v/>
      </c>
      <c r="G3277">
        <f>IF(B3277,MOD(SIN(Seed*0.5917+C3277*39.3468+D3277*11.135)*24634.6345,1),"")</f>
        <v/>
      </c>
      <c r="H3277">
        <f>IF(B3277,SQRT(-2*LN(F3277))*COS(2*PI()*G3277),"")</f>
        <v/>
      </c>
      <c r="I3277">
        <f>IF(B3277,IF(D3277=0,H3277,Rho*I3276+SQRT(1-Rho^2)*H3277),"")</f>
        <v/>
      </c>
      <c r="J3277">
        <f>IF(B3277,IF(Dist="Normal",DistA+DistB*I3277,DistA+(DistB-DistA)*NORMSDIST(I3277)),"")</f>
        <v/>
      </c>
      <c r="K3277">
        <f>IF(B3277,INDEX(MineScale,C3277),"")</f>
        <v/>
      </c>
      <c r="L3277">
        <f>IF(B3277,INDEX(Dow,1,WEEKDAY(E3277,2)),"")</f>
        <v/>
      </c>
      <c r="M3277">
        <f>IF(B3277,(1+Trend)^D3277,"")</f>
        <v/>
      </c>
      <c r="N3277">
        <f>IF(B3277,EXP(SUMPRODUCT(LN(1+(EvEff-1)*INDEX(Affected,0,C3277)*EXP(-((E3277-EvCenter)^2)/(2*EvSigma^2))))),"")</f>
        <v/>
      </c>
      <c r="O3277">
        <f>IF(B3277,ROUND(MAX(0,J3277*K3277*L3277*M3277*N3277),2),"")</f>
        <v/>
      </c>
    </row>
    <row r="3278">
      <c r="A3278" t="n">
        <v>3277</v>
      </c>
      <c r="B3278">
        <f>A3278&lt;=MineCount*Days</f>
        <v/>
      </c>
      <c r="C3278">
        <f>IF(B3278,INT((A3278-1)/Days)+1,"")</f>
        <v/>
      </c>
      <c r="D3278">
        <f>IF(B3278,MOD(A3278-1,Days),"")</f>
        <v/>
      </c>
      <c r="E3278" s="16">
        <f>IF(B3278,StartDate+D3278,"")</f>
        <v/>
      </c>
      <c r="F3278">
        <f>IF(B3278,MAX(MOD(SIN(Seed*0.1373+C3278*12.9898+D3278*78.233)*43758.5453,1),1E-9),"")</f>
        <v/>
      </c>
      <c r="G3278">
        <f>IF(B3278,MOD(SIN(Seed*0.5917+C3278*39.3468+D3278*11.135)*24634.6345,1),"")</f>
        <v/>
      </c>
      <c r="H3278">
        <f>IF(B3278,SQRT(-2*LN(F3278))*COS(2*PI()*G3278),"")</f>
        <v/>
      </c>
      <c r="I3278">
        <f>IF(B3278,IF(D3278=0,H3278,Rho*I3277+SQRT(1-Rho^2)*H3278),"")</f>
        <v/>
      </c>
      <c r="J3278">
        <f>IF(B3278,IF(Dist="Normal",DistA+DistB*I3278,DistA+(DistB-DistA)*NORMSDIST(I3278)),"")</f>
        <v/>
      </c>
      <c r="K3278">
        <f>IF(B3278,INDEX(MineScale,C3278),"")</f>
        <v/>
      </c>
      <c r="L3278">
        <f>IF(B3278,INDEX(Dow,1,WEEKDAY(E3278,2)),"")</f>
        <v/>
      </c>
      <c r="M3278">
        <f>IF(B3278,(1+Trend)^D3278,"")</f>
        <v/>
      </c>
      <c r="N3278">
        <f>IF(B3278,EXP(SUMPRODUCT(LN(1+(EvEff-1)*INDEX(Affected,0,C3278)*EXP(-((E3278-EvCenter)^2)/(2*EvSigma^2))))),"")</f>
        <v/>
      </c>
      <c r="O3278">
        <f>IF(B3278,ROUND(MAX(0,J3278*K3278*L3278*M3278*N3278),2),"")</f>
        <v/>
      </c>
    </row>
    <row r="3279">
      <c r="A3279" t="n">
        <v>3278</v>
      </c>
      <c r="B3279">
        <f>A3279&lt;=MineCount*Days</f>
        <v/>
      </c>
      <c r="C3279">
        <f>IF(B3279,INT((A3279-1)/Days)+1,"")</f>
        <v/>
      </c>
      <c r="D3279">
        <f>IF(B3279,MOD(A3279-1,Days),"")</f>
        <v/>
      </c>
      <c r="E3279" s="16">
        <f>IF(B3279,StartDate+D3279,"")</f>
        <v/>
      </c>
      <c r="F3279">
        <f>IF(B3279,MAX(MOD(SIN(Seed*0.1373+C3279*12.9898+D3279*78.233)*43758.5453,1),1E-9),"")</f>
        <v/>
      </c>
      <c r="G3279">
        <f>IF(B3279,MOD(SIN(Seed*0.5917+C3279*39.3468+D3279*11.135)*24634.6345,1),"")</f>
        <v/>
      </c>
      <c r="H3279">
        <f>IF(B3279,SQRT(-2*LN(F3279))*COS(2*PI()*G3279),"")</f>
        <v/>
      </c>
      <c r="I3279">
        <f>IF(B3279,IF(D3279=0,H3279,Rho*I3278+SQRT(1-Rho^2)*H3279),"")</f>
        <v/>
      </c>
      <c r="J3279">
        <f>IF(B3279,IF(Dist="Normal",DistA+DistB*I3279,DistA+(DistB-DistA)*NORMSDIST(I3279)),"")</f>
        <v/>
      </c>
      <c r="K3279">
        <f>IF(B3279,INDEX(MineScale,C3279),"")</f>
        <v/>
      </c>
      <c r="L3279">
        <f>IF(B3279,INDEX(Dow,1,WEEKDAY(E3279,2)),"")</f>
        <v/>
      </c>
      <c r="M3279">
        <f>IF(B3279,(1+Trend)^D3279,"")</f>
        <v/>
      </c>
      <c r="N3279">
        <f>IF(B3279,EXP(SUMPRODUCT(LN(1+(EvEff-1)*INDEX(Affected,0,C3279)*EXP(-((E3279-EvCenter)^2)/(2*EvSigma^2))))),"")</f>
        <v/>
      </c>
      <c r="O3279">
        <f>IF(B3279,ROUND(MAX(0,J3279*K3279*L3279*M3279*N3279),2),"")</f>
        <v/>
      </c>
    </row>
    <row r="3280">
      <c r="A3280" t="n">
        <v>3279</v>
      </c>
      <c r="B3280">
        <f>A3280&lt;=MineCount*Days</f>
        <v/>
      </c>
      <c r="C3280">
        <f>IF(B3280,INT((A3280-1)/Days)+1,"")</f>
        <v/>
      </c>
      <c r="D3280">
        <f>IF(B3280,MOD(A3280-1,Days),"")</f>
        <v/>
      </c>
      <c r="E3280" s="16">
        <f>IF(B3280,StartDate+D3280,"")</f>
        <v/>
      </c>
      <c r="F3280">
        <f>IF(B3280,MAX(MOD(SIN(Seed*0.1373+C3280*12.9898+D3280*78.233)*43758.5453,1),1E-9),"")</f>
        <v/>
      </c>
      <c r="G3280">
        <f>IF(B3280,MOD(SIN(Seed*0.5917+C3280*39.3468+D3280*11.135)*24634.6345,1),"")</f>
        <v/>
      </c>
      <c r="H3280">
        <f>IF(B3280,SQRT(-2*LN(F3280))*COS(2*PI()*G3280),"")</f>
        <v/>
      </c>
      <c r="I3280">
        <f>IF(B3280,IF(D3280=0,H3280,Rho*I3279+SQRT(1-Rho^2)*H3280),"")</f>
        <v/>
      </c>
      <c r="J3280">
        <f>IF(B3280,IF(Dist="Normal",DistA+DistB*I3280,DistA+(DistB-DistA)*NORMSDIST(I3280)),"")</f>
        <v/>
      </c>
      <c r="K3280">
        <f>IF(B3280,INDEX(MineScale,C3280),"")</f>
        <v/>
      </c>
      <c r="L3280">
        <f>IF(B3280,INDEX(Dow,1,WEEKDAY(E3280,2)),"")</f>
        <v/>
      </c>
      <c r="M3280">
        <f>IF(B3280,(1+Trend)^D3280,"")</f>
        <v/>
      </c>
      <c r="N3280">
        <f>IF(B3280,EXP(SUMPRODUCT(LN(1+(EvEff-1)*INDEX(Affected,0,C3280)*EXP(-((E3280-EvCenter)^2)/(2*EvSigma^2))))),"")</f>
        <v/>
      </c>
      <c r="O3280">
        <f>IF(B3280,ROUND(MAX(0,J3280*K3280*L3280*M3280*N3280),2),"")</f>
        <v/>
      </c>
    </row>
    <row r="3281">
      <c r="A3281" t="n">
        <v>3280</v>
      </c>
      <c r="B3281">
        <f>A3281&lt;=MineCount*Days</f>
        <v/>
      </c>
      <c r="C3281">
        <f>IF(B3281,INT((A3281-1)/Days)+1,"")</f>
        <v/>
      </c>
      <c r="D3281">
        <f>IF(B3281,MOD(A3281-1,Days),"")</f>
        <v/>
      </c>
      <c r="E3281" s="16">
        <f>IF(B3281,StartDate+D3281,"")</f>
        <v/>
      </c>
      <c r="F3281">
        <f>IF(B3281,MAX(MOD(SIN(Seed*0.1373+C3281*12.9898+D3281*78.233)*43758.5453,1),1E-9),"")</f>
        <v/>
      </c>
      <c r="G3281">
        <f>IF(B3281,MOD(SIN(Seed*0.5917+C3281*39.3468+D3281*11.135)*24634.6345,1),"")</f>
        <v/>
      </c>
      <c r="H3281">
        <f>IF(B3281,SQRT(-2*LN(F3281))*COS(2*PI()*G3281),"")</f>
        <v/>
      </c>
      <c r="I3281">
        <f>IF(B3281,IF(D3281=0,H3281,Rho*I3280+SQRT(1-Rho^2)*H3281),"")</f>
        <v/>
      </c>
      <c r="J3281">
        <f>IF(B3281,IF(Dist="Normal",DistA+DistB*I3281,DistA+(DistB-DistA)*NORMSDIST(I3281)),"")</f>
        <v/>
      </c>
      <c r="K3281">
        <f>IF(B3281,INDEX(MineScale,C3281),"")</f>
        <v/>
      </c>
      <c r="L3281">
        <f>IF(B3281,INDEX(Dow,1,WEEKDAY(E3281,2)),"")</f>
        <v/>
      </c>
      <c r="M3281">
        <f>IF(B3281,(1+Trend)^D3281,"")</f>
        <v/>
      </c>
      <c r="N3281">
        <f>IF(B3281,EXP(SUMPRODUCT(LN(1+(EvEff-1)*INDEX(Affected,0,C3281)*EXP(-((E3281-EvCenter)^2)/(2*EvSigma^2))))),"")</f>
        <v/>
      </c>
      <c r="O3281">
        <f>IF(B3281,ROUND(MAX(0,J3281*K3281*L3281*M3281*N3281),2),"")</f>
        <v/>
      </c>
    </row>
    <row r="3282">
      <c r="A3282" t="n">
        <v>3281</v>
      </c>
      <c r="B3282">
        <f>A3282&lt;=MineCount*Days</f>
        <v/>
      </c>
      <c r="C3282">
        <f>IF(B3282,INT((A3282-1)/Days)+1,"")</f>
        <v/>
      </c>
      <c r="D3282">
        <f>IF(B3282,MOD(A3282-1,Days),"")</f>
        <v/>
      </c>
      <c r="E3282" s="16">
        <f>IF(B3282,StartDate+D3282,"")</f>
        <v/>
      </c>
      <c r="F3282">
        <f>IF(B3282,MAX(MOD(SIN(Seed*0.1373+C3282*12.9898+D3282*78.233)*43758.5453,1),1E-9),"")</f>
        <v/>
      </c>
      <c r="G3282">
        <f>IF(B3282,MOD(SIN(Seed*0.5917+C3282*39.3468+D3282*11.135)*24634.6345,1),"")</f>
        <v/>
      </c>
      <c r="H3282">
        <f>IF(B3282,SQRT(-2*LN(F3282))*COS(2*PI()*G3282),"")</f>
        <v/>
      </c>
      <c r="I3282">
        <f>IF(B3282,IF(D3282=0,H3282,Rho*I3281+SQRT(1-Rho^2)*H3282),"")</f>
        <v/>
      </c>
      <c r="J3282">
        <f>IF(B3282,IF(Dist="Normal",DistA+DistB*I3282,DistA+(DistB-DistA)*NORMSDIST(I3282)),"")</f>
        <v/>
      </c>
      <c r="K3282">
        <f>IF(B3282,INDEX(MineScale,C3282),"")</f>
        <v/>
      </c>
      <c r="L3282">
        <f>IF(B3282,INDEX(Dow,1,WEEKDAY(E3282,2)),"")</f>
        <v/>
      </c>
      <c r="M3282">
        <f>IF(B3282,(1+Trend)^D3282,"")</f>
        <v/>
      </c>
      <c r="N3282">
        <f>IF(B3282,EXP(SUMPRODUCT(LN(1+(EvEff-1)*INDEX(Affected,0,C3282)*EXP(-((E3282-EvCenter)^2)/(2*EvSigma^2))))),"")</f>
        <v/>
      </c>
      <c r="O3282">
        <f>IF(B3282,ROUND(MAX(0,J3282*K3282*L3282*M3282*N3282),2),"")</f>
        <v/>
      </c>
    </row>
    <row r="3283">
      <c r="A3283" t="n">
        <v>3282</v>
      </c>
      <c r="B3283">
        <f>A3283&lt;=MineCount*Days</f>
        <v/>
      </c>
      <c r="C3283">
        <f>IF(B3283,INT((A3283-1)/Days)+1,"")</f>
        <v/>
      </c>
      <c r="D3283">
        <f>IF(B3283,MOD(A3283-1,Days),"")</f>
        <v/>
      </c>
      <c r="E3283" s="16">
        <f>IF(B3283,StartDate+D3283,"")</f>
        <v/>
      </c>
      <c r="F3283">
        <f>IF(B3283,MAX(MOD(SIN(Seed*0.1373+C3283*12.9898+D3283*78.233)*43758.5453,1),1E-9),"")</f>
        <v/>
      </c>
      <c r="G3283">
        <f>IF(B3283,MOD(SIN(Seed*0.5917+C3283*39.3468+D3283*11.135)*24634.6345,1),"")</f>
        <v/>
      </c>
      <c r="H3283">
        <f>IF(B3283,SQRT(-2*LN(F3283))*COS(2*PI()*G3283),"")</f>
        <v/>
      </c>
      <c r="I3283">
        <f>IF(B3283,IF(D3283=0,H3283,Rho*I3282+SQRT(1-Rho^2)*H3283),"")</f>
        <v/>
      </c>
      <c r="J3283">
        <f>IF(B3283,IF(Dist="Normal",DistA+DistB*I3283,DistA+(DistB-DistA)*NORMSDIST(I3283)),"")</f>
        <v/>
      </c>
      <c r="K3283">
        <f>IF(B3283,INDEX(MineScale,C3283),"")</f>
        <v/>
      </c>
      <c r="L3283">
        <f>IF(B3283,INDEX(Dow,1,WEEKDAY(E3283,2)),"")</f>
        <v/>
      </c>
      <c r="M3283">
        <f>IF(B3283,(1+Trend)^D3283,"")</f>
        <v/>
      </c>
      <c r="N3283">
        <f>IF(B3283,EXP(SUMPRODUCT(LN(1+(EvEff-1)*INDEX(Affected,0,C3283)*EXP(-((E3283-EvCenter)^2)/(2*EvSigma^2))))),"")</f>
        <v/>
      </c>
      <c r="O3283">
        <f>IF(B3283,ROUND(MAX(0,J3283*K3283*L3283*M3283*N3283),2),"")</f>
        <v/>
      </c>
    </row>
    <row r="3284">
      <c r="A3284" t="n">
        <v>3283</v>
      </c>
      <c r="B3284">
        <f>A3284&lt;=MineCount*Days</f>
        <v/>
      </c>
      <c r="C3284">
        <f>IF(B3284,INT((A3284-1)/Days)+1,"")</f>
        <v/>
      </c>
      <c r="D3284">
        <f>IF(B3284,MOD(A3284-1,Days),"")</f>
        <v/>
      </c>
      <c r="E3284" s="16">
        <f>IF(B3284,StartDate+D3284,"")</f>
        <v/>
      </c>
      <c r="F3284">
        <f>IF(B3284,MAX(MOD(SIN(Seed*0.1373+C3284*12.9898+D3284*78.233)*43758.5453,1),1E-9),"")</f>
        <v/>
      </c>
      <c r="G3284">
        <f>IF(B3284,MOD(SIN(Seed*0.5917+C3284*39.3468+D3284*11.135)*24634.6345,1),"")</f>
        <v/>
      </c>
      <c r="H3284">
        <f>IF(B3284,SQRT(-2*LN(F3284))*COS(2*PI()*G3284),"")</f>
        <v/>
      </c>
      <c r="I3284">
        <f>IF(B3284,IF(D3284=0,H3284,Rho*I3283+SQRT(1-Rho^2)*H3284),"")</f>
        <v/>
      </c>
      <c r="J3284">
        <f>IF(B3284,IF(Dist="Normal",DistA+DistB*I3284,DistA+(DistB-DistA)*NORMSDIST(I3284)),"")</f>
        <v/>
      </c>
      <c r="K3284">
        <f>IF(B3284,INDEX(MineScale,C3284),"")</f>
        <v/>
      </c>
      <c r="L3284">
        <f>IF(B3284,INDEX(Dow,1,WEEKDAY(E3284,2)),"")</f>
        <v/>
      </c>
      <c r="M3284">
        <f>IF(B3284,(1+Trend)^D3284,"")</f>
        <v/>
      </c>
      <c r="N3284">
        <f>IF(B3284,EXP(SUMPRODUCT(LN(1+(EvEff-1)*INDEX(Affected,0,C3284)*EXP(-((E3284-EvCenter)^2)/(2*EvSigma^2))))),"")</f>
        <v/>
      </c>
      <c r="O3284">
        <f>IF(B3284,ROUND(MAX(0,J3284*K3284*L3284*M3284*N3284),2),"")</f>
        <v/>
      </c>
    </row>
    <row r="3285">
      <c r="A3285" t="n">
        <v>3284</v>
      </c>
      <c r="B3285">
        <f>A3285&lt;=MineCount*Days</f>
        <v/>
      </c>
      <c r="C3285">
        <f>IF(B3285,INT((A3285-1)/Days)+1,"")</f>
        <v/>
      </c>
      <c r="D3285">
        <f>IF(B3285,MOD(A3285-1,Days),"")</f>
        <v/>
      </c>
      <c r="E3285" s="16">
        <f>IF(B3285,StartDate+D3285,"")</f>
        <v/>
      </c>
      <c r="F3285">
        <f>IF(B3285,MAX(MOD(SIN(Seed*0.1373+C3285*12.9898+D3285*78.233)*43758.5453,1),1E-9),"")</f>
        <v/>
      </c>
      <c r="G3285">
        <f>IF(B3285,MOD(SIN(Seed*0.5917+C3285*39.3468+D3285*11.135)*24634.6345,1),"")</f>
        <v/>
      </c>
      <c r="H3285">
        <f>IF(B3285,SQRT(-2*LN(F3285))*COS(2*PI()*G3285),"")</f>
        <v/>
      </c>
      <c r="I3285">
        <f>IF(B3285,IF(D3285=0,H3285,Rho*I3284+SQRT(1-Rho^2)*H3285),"")</f>
        <v/>
      </c>
      <c r="J3285">
        <f>IF(B3285,IF(Dist="Normal",DistA+DistB*I3285,DistA+(DistB-DistA)*NORMSDIST(I3285)),"")</f>
        <v/>
      </c>
      <c r="K3285">
        <f>IF(B3285,INDEX(MineScale,C3285),"")</f>
        <v/>
      </c>
      <c r="L3285">
        <f>IF(B3285,INDEX(Dow,1,WEEKDAY(E3285,2)),"")</f>
        <v/>
      </c>
      <c r="M3285">
        <f>IF(B3285,(1+Trend)^D3285,"")</f>
        <v/>
      </c>
      <c r="N3285">
        <f>IF(B3285,EXP(SUMPRODUCT(LN(1+(EvEff-1)*INDEX(Affected,0,C3285)*EXP(-((E3285-EvCenter)^2)/(2*EvSigma^2))))),"")</f>
        <v/>
      </c>
      <c r="O3285">
        <f>IF(B3285,ROUND(MAX(0,J3285*K3285*L3285*M3285*N3285),2),"")</f>
        <v/>
      </c>
    </row>
    <row r="3286">
      <c r="A3286" t="n">
        <v>3285</v>
      </c>
      <c r="B3286">
        <f>A3286&lt;=MineCount*Days</f>
        <v/>
      </c>
      <c r="C3286">
        <f>IF(B3286,INT((A3286-1)/Days)+1,"")</f>
        <v/>
      </c>
      <c r="D3286">
        <f>IF(B3286,MOD(A3286-1,Days),"")</f>
        <v/>
      </c>
      <c r="E3286" s="16">
        <f>IF(B3286,StartDate+D3286,"")</f>
        <v/>
      </c>
      <c r="F3286">
        <f>IF(B3286,MAX(MOD(SIN(Seed*0.1373+C3286*12.9898+D3286*78.233)*43758.5453,1),1E-9),"")</f>
        <v/>
      </c>
      <c r="G3286">
        <f>IF(B3286,MOD(SIN(Seed*0.5917+C3286*39.3468+D3286*11.135)*24634.6345,1),"")</f>
        <v/>
      </c>
      <c r="H3286">
        <f>IF(B3286,SQRT(-2*LN(F3286))*COS(2*PI()*G3286),"")</f>
        <v/>
      </c>
      <c r="I3286">
        <f>IF(B3286,IF(D3286=0,H3286,Rho*I3285+SQRT(1-Rho^2)*H3286),"")</f>
        <v/>
      </c>
      <c r="J3286">
        <f>IF(B3286,IF(Dist="Normal",DistA+DistB*I3286,DistA+(DistB-DistA)*NORMSDIST(I3286)),"")</f>
        <v/>
      </c>
      <c r="K3286">
        <f>IF(B3286,INDEX(MineScale,C3286),"")</f>
        <v/>
      </c>
      <c r="L3286">
        <f>IF(B3286,INDEX(Dow,1,WEEKDAY(E3286,2)),"")</f>
        <v/>
      </c>
      <c r="M3286">
        <f>IF(B3286,(1+Trend)^D3286,"")</f>
        <v/>
      </c>
      <c r="N3286">
        <f>IF(B3286,EXP(SUMPRODUCT(LN(1+(EvEff-1)*INDEX(Affected,0,C3286)*EXP(-((E3286-EvCenter)^2)/(2*EvSigma^2))))),"")</f>
        <v/>
      </c>
      <c r="O3286">
        <f>IF(B3286,ROUND(MAX(0,J3286*K3286*L3286*M3286*N3286),2),"")</f>
        <v/>
      </c>
    </row>
    <row r="3287">
      <c r="A3287" t="n">
        <v>3286</v>
      </c>
      <c r="B3287">
        <f>A3287&lt;=MineCount*Days</f>
        <v/>
      </c>
      <c r="C3287">
        <f>IF(B3287,INT((A3287-1)/Days)+1,"")</f>
        <v/>
      </c>
      <c r="D3287">
        <f>IF(B3287,MOD(A3287-1,Days),"")</f>
        <v/>
      </c>
      <c r="E3287" s="16">
        <f>IF(B3287,StartDate+D3287,"")</f>
        <v/>
      </c>
      <c r="F3287">
        <f>IF(B3287,MAX(MOD(SIN(Seed*0.1373+C3287*12.9898+D3287*78.233)*43758.5453,1),1E-9),"")</f>
        <v/>
      </c>
      <c r="G3287">
        <f>IF(B3287,MOD(SIN(Seed*0.5917+C3287*39.3468+D3287*11.135)*24634.6345,1),"")</f>
        <v/>
      </c>
      <c r="H3287">
        <f>IF(B3287,SQRT(-2*LN(F3287))*COS(2*PI()*G3287),"")</f>
        <v/>
      </c>
      <c r="I3287">
        <f>IF(B3287,IF(D3287=0,H3287,Rho*I3286+SQRT(1-Rho^2)*H3287),"")</f>
        <v/>
      </c>
      <c r="J3287">
        <f>IF(B3287,IF(Dist="Normal",DistA+DistB*I3287,DistA+(DistB-DistA)*NORMSDIST(I3287)),"")</f>
        <v/>
      </c>
      <c r="K3287">
        <f>IF(B3287,INDEX(MineScale,C3287),"")</f>
        <v/>
      </c>
      <c r="L3287">
        <f>IF(B3287,INDEX(Dow,1,WEEKDAY(E3287,2)),"")</f>
        <v/>
      </c>
      <c r="M3287">
        <f>IF(B3287,(1+Trend)^D3287,"")</f>
        <v/>
      </c>
      <c r="N3287">
        <f>IF(B3287,EXP(SUMPRODUCT(LN(1+(EvEff-1)*INDEX(Affected,0,C3287)*EXP(-((E3287-EvCenter)^2)/(2*EvSigma^2))))),"")</f>
        <v/>
      </c>
      <c r="O3287">
        <f>IF(B3287,ROUND(MAX(0,J3287*K3287*L3287*M3287*N3287),2),"")</f>
        <v/>
      </c>
    </row>
    <row r="3288">
      <c r="A3288" t="n">
        <v>3287</v>
      </c>
      <c r="B3288">
        <f>A3288&lt;=MineCount*Days</f>
        <v/>
      </c>
      <c r="C3288">
        <f>IF(B3288,INT((A3288-1)/Days)+1,"")</f>
        <v/>
      </c>
      <c r="D3288">
        <f>IF(B3288,MOD(A3288-1,Days),"")</f>
        <v/>
      </c>
      <c r="E3288" s="16">
        <f>IF(B3288,StartDate+D3288,"")</f>
        <v/>
      </c>
      <c r="F3288">
        <f>IF(B3288,MAX(MOD(SIN(Seed*0.1373+C3288*12.9898+D3288*78.233)*43758.5453,1),1E-9),"")</f>
        <v/>
      </c>
      <c r="G3288">
        <f>IF(B3288,MOD(SIN(Seed*0.5917+C3288*39.3468+D3288*11.135)*24634.6345,1),"")</f>
        <v/>
      </c>
      <c r="H3288">
        <f>IF(B3288,SQRT(-2*LN(F3288))*COS(2*PI()*G3288),"")</f>
        <v/>
      </c>
      <c r="I3288">
        <f>IF(B3288,IF(D3288=0,H3288,Rho*I3287+SQRT(1-Rho^2)*H3288),"")</f>
        <v/>
      </c>
      <c r="J3288">
        <f>IF(B3288,IF(Dist="Normal",DistA+DistB*I3288,DistA+(DistB-DistA)*NORMSDIST(I3288)),"")</f>
        <v/>
      </c>
      <c r="K3288">
        <f>IF(B3288,INDEX(MineScale,C3288),"")</f>
        <v/>
      </c>
      <c r="L3288">
        <f>IF(B3288,INDEX(Dow,1,WEEKDAY(E3288,2)),"")</f>
        <v/>
      </c>
      <c r="M3288">
        <f>IF(B3288,(1+Trend)^D3288,"")</f>
        <v/>
      </c>
      <c r="N3288">
        <f>IF(B3288,EXP(SUMPRODUCT(LN(1+(EvEff-1)*INDEX(Affected,0,C3288)*EXP(-((E3288-EvCenter)^2)/(2*EvSigma^2))))),"")</f>
        <v/>
      </c>
      <c r="O3288">
        <f>IF(B3288,ROUND(MAX(0,J3288*K3288*L3288*M3288*N3288),2),"")</f>
        <v/>
      </c>
    </row>
    <row r="3289">
      <c r="A3289" t="n">
        <v>3288</v>
      </c>
      <c r="B3289">
        <f>A3289&lt;=MineCount*Days</f>
        <v/>
      </c>
      <c r="C3289">
        <f>IF(B3289,INT((A3289-1)/Days)+1,"")</f>
        <v/>
      </c>
      <c r="D3289">
        <f>IF(B3289,MOD(A3289-1,Days),"")</f>
        <v/>
      </c>
      <c r="E3289" s="16">
        <f>IF(B3289,StartDate+D3289,"")</f>
        <v/>
      </c>
      <c r="F3289">
        <f>IF(B3289,MAX(MOD(SIN(Seed*0.1373+C3289*12.9898+D3289*78.233)*43758.5453,1),1E-9),"")</f>
        <v/>
      </c>
      <c r="G3289">
        <f>IF(B3289,MOD(SIN(Seed*0.5917+C3289*39.3468+D3289*11.135)*24634.6345,1),"")</f>
        <v/>
      </c>
      <c r="H3289">
        <f>IF(B3289,SQRT(-2*LN(F3289))*COS(2*PI()*G3289),"")</f>
        <v/>
      </c>
      <c r="I3289">
        <f>IF(B3289,IF(D3289=0,H3289,Rho*I3288+SQRT(1-Rho^2)*H3289),"")</f>
        <v/>
      </c>
      <c r="J3289">
        <f>IF(B3289,IF(Dist="Normal",DistA+DistB*I3289,DistA+(DistB-DistA)*NORMSDIST(I3289)),"")</f>
        <v/>
      </c>
      <c r="K3289">
        <f>IF(B3289,INDEX(MineScale,C3289),"")</f>
        <v/>
      </c>
      <c r="L3289">
        <f>IF(B3289,INDEX(Dow,1,WEEKDAY(E3289,2)),"")</f>
        <v/>
      </c>
      <c r="M3289">
        <f>IF(B3289,(1+Trend)^D3289,"")</f>
        <v/>
      </c>
      <c r="N3289">
        <f>IF(B3289,EXP(SUMPRODUCT(LN(1+(EvEff-1)*INDEX(Affected,0,C3289)*EXP(-((E3289-EvCenter)^2)/(2*EvSigma^2))))),"")</f>
        <v/>
      </c>
      <c r="O3289">
        <f>IF(B3289,ROUND(MAX(0,J3289*K3289*L3289*M3289*N3289),2),"")</f>
        <v/>
      </c>
    </row>
    <row r="3290">
      <c r="A3290" t="n">
        <v>3289</v>
      </c>
      <c r="B3290">
        <f>A3290&lt;=MineCount*Days</f>
        <v/>
      </c>
      <c r="C3290">
        <f>IF(B3290,INT((A3290-1)/Days)+1,"")</f>
        <v/>
      </c>
      <c r="D3290">
        <f>IF(B3290,MOD(A3290-1,Days),"")</f>
        <v/>
      </c>
      <c r="E3290" s="16">
        <f>IF(B3290,StartDate+D3290,"")</f>
        <v/>
      </c>
      <c r="F3290">
        <f>IF(B3290,MAX(MOD(SIN(Seed*0.1373+C3290*12.9898+D3290*78.233)*43758.5453,1),1E-9),"")</f>
        <v/>
      </c>
      <c r="G3290">
        <f>IF(B3290,MOD(SIN(Seed*0.5917+C3290*39.3468+D3290*11.135)*24634.6345,1),"")</f>
        <v/>
      </c>
      <c r="H3290">
        <f>IF(B3290,SQRT(-2*LN(F3290))*COS(2*PI()*G3290),"")</f>
        <v/>
      </c>
      <c r="I3290">
        <f>IF(B3290,IF(D3290=0,H3290,Rho*I3289+SQRT(1-Rho^2)*H3290),"")</f>
        <v/>
      </c>
      <c r="J3290">
        <f>IF(B3290,IF(Dist="Normal",DistA+DistB*I3290,DistA+(DistB-DistA)*NORMSDIST(I3290)),"")</f>
        <v/>
      </c>
      <c r="K3290">
        <f>IF(B3290,INDEX(MineScale,C3290),"")</f>
        <v/>
      </c>
      <c r="L3290">
        <f>IF(B3290,INDEX(Dow,1,WEEKDAY(E3290,2)),"")</f>
        <v/>
      </c>
      <c r="M3290">
        <f>IF(B3290,(1+Trend)^D3290,"")</f>
        <v/>
      </c>
      <c r="N3290">
        <f>IF(B3290,EXP(SUMPRODUCT(LN(1+(EvEff-1)*INDEX(Affected,0,C3290)*EXP(-((E3290-EvCenter)^2)/(2*EvSigma^2))))),"")</f>
        <v/>
      </c>
      <c r="O3290">
        <f>IF(B3290,ROUND(MAX(0,J3290*K3290*L3290*M3290*N3290),2),"")</f>
        <v/>
      </c>
    </row>
    <row r="3291">
      <c r="A3291" t="n">
        <v>3290</v>
      </c>
      <c r="B3291">
        <f>A3291&lt;=MineCount*Days</f>
        <v/>
      </c>
      <c r="C3291">
        <f>IF(B3291,INT((A3291-1)/Days)+1,"")</f>
        <v/>
      </c>
      <c r="D3291">
        <f>IF(B3291,MOD(A3291-1,Days),"")</f>
        <v/>
      </c>
      <c r="E3291" s="16">
        <f>IF(B3291,StartDate+D3291,"")</f>
        <v/>
      </c>
      <c r="F3291">
        <f>IF(B3291,MAX(MOD(SIN(Seed*0.1373+C3291*12.9898+D3291*78.233)*43758.5453,1),1E-9),"")</f>
        <v/>
      </c>
      <c r="G3291">
        <f>IF(B3291,MOD(SIN(Seed*0.5917+C3291*39.3468+D3291*11.135)*24634.6345,1),"")</f>
        <v/>
      </c>
      <c r="H3291">
        <f>IF(B3291,SQRT(-2*LN(F3291))*COS(2*PI()*G3291),"")</f>
        <v/>
      </c>
      <c r="I3291">
        <f>IF(B3291,IF(D3291=0,H3291,Rho*I3290+SQRT(1-Rho^2)*H3291),"")</f>
        <v/>
      </c>
      <c r="J3291">
        <f>IF(B3291,IF(Dist="Normal",DistA+DistB*I3291,DistA+(DistB-DistA)*NORMSDIST(I3291)),"")</f>
        <v/>
      </c>
      <c r="K3291">
        <f>IF(B3291,INDEX(MineScale,C3291),"")</f>
        <v/>
      </c>
      <c r="L3291">
        <f>IF(B3291,INDEX(Dow,1,WEEKDAY(E3291,2)),"")</f>
        <v/>
      </c>
      <c r="M3291">
        <f>IF(B3291,(1+Trend)^D3291,"")</f>
        <v/>
      </c>
      <c r="N3291">
        <f>IF(B3291,EXP(SUMPRODUCT(LN(1+(EvEff-1)*INDEX(Affected,0,C3291)*EXP(-((E3291-EvCenter)^2)/(2*EvSigma^2))))),"")</f>
        <v/>
      </c>
      <c r="O3291">
        <f>IF(B3291,ROUND(MAX(0,J3291*K3291*L3291*M3291*N3291),2),"")</f>
        <v/>
      </c>
    </row>
    <row r="3292">
      <c r="A3292" t="n">
        <v>3291</v>
      </c>
      <c r="B3292">
        <f>A3292&lt;=MineCount*Days</f>
        <v/>
      </c>
      <c r="C3292">
        <f>IF(B3292,INT((A3292-1)/Days)+1,"")</f>
        <v/>
      </c>
      <c r="D3292">
        <f>IF(B3292,MOD(A3292-1,Days),"")</f>
        <v/>
      </c>
      <c r="E3292" s="16">
        <f>IF(B3292,StartDate+D3292,"")</f>
        <v/>
      </c>
      <c r="F3292">
        <f>IF(B3292,MAX(MOD(SIN(Seed*0.1373+C3292*12.9898+D3292*78.233)*43758.5453,1),1E-9),"")</f>
        <v/>
      </c>
      <c r="G3292">
        <f>IF(B3292,MOD(SIN(Seed*0.5917+C3292*39.3468+D3292*11.135)*24634.6345,1),"")</f>
        <v/>
      </c>
      <c r="H3292">
        <f>IF(B3292,SQRT(-2*LN(F3292))*COS(2*PI()*G3292),"")</f>
        <v/>
      </c>
      <c r="I3292">
        <f>IF(B3292,IF(D3292=0,H3292,Rho*I3291+SQRT(1-Rho^2)*H3292),"")</f>
        <v/>
      </c>
      <c r="J3292">
        <f>IF(B3292,IF(Dist="Normal",DistA+DistB*I3292,DistA+(DistB-DistA)*NORMSDIST(I3292)),"")</f>
        <v/>
      </c>
      <c r="K3292">
        <f>IF(B3292,INDEX(MineScale,C3292),"")</f>
        <v/>
      </c>
      <c r="L3292">
        <f>IF(B3292,INDEX(Dow,1,WEEKDAY(E3292,2)),"")</f>
        <v/>
      </c>
      <c r="M3292">
        <f>IF(B3292,(1+Trend)^D3292,"")</f>
        <v/>
      </c>
      <c r="N3292">
        <f>IF(B3292,EXP(SUMPRODUCT(LN(1+(EvEff-1)*INDEX(Affected,0,C3292)*EXP(-((E3292-EvCenter)^2)/(2*EvSigma^2))))),"")</f>
        <v/>
      </c>
      <c r="O3292">
        <f>IF(B3292,ROUND(MAX(0,J3292*K3292*L3292*M3292*N3292),2),"")</f>
        <v/>
      </c>
    </row>
    <row r="3293">
      <c r="A3293" t="n">
        <v>3292</v>
      </c>
      <c r="B3293">
        <f>A3293&lt;=MineCount*Days</f>
        <v/>
      </c>
      <c r="C3293">
        <f>IF(B3293,INT((A3293-1)/Days)+1,"")</f>
        <v/>
      </c>
      <c r="D3293">
        <f>IF(B3293,MOD(A3293-1,Days),"")</f>
        <v/>
      </c>
      <c r="E3293" s="16">
        <f>IF(B3293,StartDate+D3293,"")</f>
        <v/>
      </c>
      <c r="F3293">
        <f>IF(B3293,MAX(MOD(SIN(Seed*0.1373+C3293*12.9898+D3293*78.233)*43758.5453,1),1E-9),"")</f>
        <v/>
      </c>
      <c r="G3293">
        <f>IF(B3293,MOD(SIN(Seed*0.5917+C3293*39.3468+D3293*11.135)*24634.6345,1),"")</f>
        <v/>
      </c>
      <c r="H3293">
        <f>IF(B3293,SQRT(-2*LN(F3293))*COS(2*PI()*G3293),"")</f>
        <v/>
      </c>
      <c r="I3293">
        <f>IF(B3293,IF(D3293=0,H3293,Rho*I3292+SQRT(1-Rho^2)*H3293),"")</f>
        <v/>
      </c>
      <c r="J3293">
        <f>IF(B3293,IF(Dist="Normal",DistA+DistB*I3293,DistA+(DistB-DistA)*NORMSDIST(I3293)),"")</f>
        <v/>
      </c>
      <c r="K3293">
        <f>IF(B3293,INDEX(MineScale,C3293),"")</f>
        <v/>
      </c>
      <c r="L3293">
        <f>IF(B3293,INDEX(Dow,1,WEEKDAY(E3293,2)),"")</f>
        <v/>
      </c>
      <c r="M3293">
        <f>IF(B3293,(1+Trend)^D3293,"")</f>
        <v/>
      </c>
      <c r="N3293">
        <f>IF(B3293,EXP(SUMPRODUCT(LN(1+(EvEff-1)*INDEX(Affected,0,C3293)*EXP(-((E3293-EvCenter)^2)/(2*EvSigma^2))))),"")</f>
        <v/>
      </c>
      <c r="O3293">
        <f>IF(B3293,ROUND(MAX(0,J3293*K3293*L3293*M3293*N3293),2),"")</f>
        <v/>
      </c>
    </row>
    <row r="3294">
      <c r="A3294" t="n">
        <v>3293</v>
      </c>
      <c r="B3294">
        <f>A3294&lt;=MineCount*Days</f>
        <v/>
      </c>
      <c r="C3294">
        <f>IF(B3294,INT((A3294-1)/Days)+1,"")</f>
        <v/>
      </c>
      <c r="D3294">
        <f>IF(B3294,MOD(A3294-1,Days),"")</f>
        <v/>
      </c>
      <c r="E3294" s="16">
        <f>IF(B3294,StartDate+D3294,"")</f>
        <v/>
      </c>
      <c r="F3294">
        <f>IF(B3294,MAX(MOD(SIN(Seed*0.1373+C3294*12.9898+D3294*78.233)*43758.5453,1),1E-9),"")</f>
        <v/>
      </c>
      <c r="G3294">
        <f>IF(B3294,MOD(SIN(Seed*0.5917+C3294*39.3468+D3294*11.135)*24634.6345,1),"")</f>
        <v/>
      </c>
      <c r="H3294">
        <f>IF(B3294,SQRT(-2*LN(F3294))*COS(2*PI()*G3294),"")</f>
        <v/>
      </c>
      <c r="I3294">
        <f>IF(B3294,IF(D3294=0,H3294,Rho*I3293+SQRT(1-Rho^2)*H3294),"")</f>
        <v/>
      </c>
      <c r="J3294">
        <f>IF(B3294,IF(Dist="Normal",DistA+DistB*I3294,DistA+(DistB-DistA)*NORMSDIST(I3294)),"")</f>
        <v/>
      </c>
      <c r="K3294">
        <f>IF(B3294,INDEX(MineScale,C3294),"")</f>
        <v/>
      </c>
      <c r="L3294">
        <f>IF(B3294,INDEX(Dow,1,WEEKDAY(E3294,2)),"")</f>
        <v/>
      </c>
      <c r="M3294">
        <f>IF(B3294,(1+Trend)^D3294,"")</f>
        <v/>
      </c>
      <c r="N3294">
        <f>IF(B3294,EXP(SUMPRODUCT(LN(1+(EvEff-1)*INDEX(Affected,0,C3294)*EXP(-((E3294-EvCenter)^2)/(2*EvSigma^2))))),"")</f>
        <v/>
      </c>
      <c r="O3294">
        <f>IF(B3294,ROUND(MAX(0,J3294*K3294*L3294*M3294*N3294),2),"")</f>
        <v/>
      </c>
    </row>
    <row r="3295">
      <c r="A3295" t="n">
        <v>3294</v>
      </c>
      <c r="B3295">
        <f>A3295&lt;=MineCount*Days</f>
        <v/>
      </c>
      <c r="C3295">
        <f>IF(B3295,INT((A3295-1)/Days)+1,"")</f>
        <v/>
      </c>
      <c r="D3295">
        <f>IF(B3295,MOD(A3295-1,Days),"")</f>
        <v/>
      </c>
      <c r="E3295" s="16">
        <f>IF(B3295,StartDate+D3295,"")</f>
        <v/>
      </c>
      <c r="F3295">
        <f>IF(B3295,MAX(MOD(SIN(Seed*0.1373+C3295*12.9898+D3295*78.233)*43758.5453,1),1E-9),"")</f>
        <v/>
      </c>
      <c r="G3295">
        <f>IF(B3295,MOD(SIN(Seed*0.5917+C3295*39.3468+D3295*11.135)*24634.6345,1),"")</f>
        <v/>
      </c>
      <c r="H3295">
        <f>IF(B3295,SQRT(-2*LN(F3295))*COS(2*PI()*G3295),"")</f>
        <v/>
      </c>
      <c r="I3295">
        <f>IF(B3295,IF(D3295=0,H3295,Rho*I3294+SQRT(1-Rho^2)*H3295),"")</f>
        <v/>
      </c>
      <c r="J3295">
        <f>IF(B3295,IF(Dist="Normal",DistA+DistB*I3295,DistA+(DistB-DistA)*NORMSDIST(I3295)),"")</f>
        <v/>
      </c>
      <c r="K3295">
        <f>IF(B3295,INDEX(MineScale,C3295),"")</f>
        <v/>
      </c>
      <c r="L3295">
        <f>IF(B3295,INDEX(Dow,1,WEEKDAY(E3295,2)),"")</f>
        <v/>
      </c>
      <c r="M3295">
        <f>IF(B3295,(1+Trend)^D3295,"")</f>
        <v/>
      </c>
      <c r="N3295">
        <f>IF(B3295,EXP(SUMPRODUCT(LN(1+(EvEff-1)*INDEX(Affected,0,C3295)*EXP(-((E3295-EvCenter)^2)/(2*EvSigma^2))))),"")</f>
        <v/>
      </c>
      <c r="O3295">
        <f>IF(B3295,ROUND(MAX(0,J3295*K3295*L3295*M3295*N3295),2),"")</f>
        <v/>
      </c>
    </row>
    <row r="3296">
      <c r="A3296" t="n">
        <v>3295</v>
      </c>
      <c r="B3296">
        <f>A3296&lt;=MineCount*Days</f>
        <v/>
      </c>
      <c r="C3296">
        <f>IF(B3296,INT((A3296-1)/Days)+1,"")</f>
        <v/>
      </c>
      <c r="D3296">
        <f>IF(B3296,MOD(A3296-1,Days),"")</f>
        <v/>
      </c>
      <c r="E3296" s="16">
        <f>IF(B3296,StartDate+D3296,"")</f>
        <v/>
      </c>
      <c r="F3296">
        <f>IF(B3296,MAX(MOD(SIN(Seed*0.1373+C3296*12.9898+D3296*78.233)*43758.5453,1),1E-9),"")</f>
        <v/>
      </c>
      <c r="G3296">
        <f>IF(B3296,MOD(SIN(Seed*0.5917+C3296*39.3468+D3296*11.135)*24634.6345,1),"")</f>
        <v/>
      </c>
      <c r="H3296">
        <f>IF(B3296,SQRT(-2*LN(F3296))*COS(2*PI()*G3296),"")</f>
        <v/>
      </c>
      <c r="I3296">
        <f>IF(B3296,IF(D3296=0,H3296,Rho*I3295+SQRT(1-Rho^2)*H3296),"")</f>
        <v/>
      </c>
      <c r="J3296">
        <f>IF(B3296,IF(Dist="Normal",DistA+DistB*I3296,DistA+(DistB-DistA)*NORMSDIST(I3296)),"")</f>
        <v/>
      </c>
      <c r="K3296">
        <f>IF(B3296,INDEX(MineScale,C3296),"")</f>
        <v/>
      </c>
      <c r="L3296">
        <f>IF(B3296,INDEX(Dow,1,WEEKDAY(E3296,2)),"")</f>
        <v/>
      </c>
      <c r="M3296">
        <f>IF(B3296,(1+Trend)^D3296,"")</f>
        <v/>
      </c>
      <c r="N3296">
        <f>IF(B3296,EXP(SUMPRODUCT(LN(1+(EvEff-1)*INDEX(Affected,0,C3296)*EXP(-((E3296-EvCenter)^2)/(2*EvSigma^2))))),"")</f>
        <v/>
      </c>
      <c r="O3296">
        <f>IF(B3296,ROUND(MAX(0,J3296*K3296*L3296*M3296*N3296),2),"")</f>
        <v/>
      </c>
    </row>
    <row r="3297">
      <c r="A3297" t="n">
        <v>3296</v>
      </c>
      <c r="B3297">
        <f>A3297&lt;=MineCount*Days</f>
        <v/>
      </c>
      <c r="C3297">
        <f>IF(B3297,INT((A3297-1)/Days)+1,"")</f>
        <v/>
      </c>
      <c r="D3297">
        <f>IF(B3297,MOD(A3297-1,Days),"")</f>
        <v/>
      </c>
      <c r="E3297" s="16">
        <f>IF(B3297,StartDate+D3297,"")</f>
        <v/>
      </c>
      <c r="F3297">
        <f>IF(B3297,MAX(MOD(SIN(Seed*0.1373+C3297*12.9898+D3297*78.233)*43758.5453,1),1E-9),"")</f>
        <v/>
      </c>
      <c r="G3297">
        <f>IF(B3297,MOD(SIN(Seed*0.5917+C3297*39.3468+D3297*11.135)*24634.6345,1),"")</f>
        <v/>
      </c>
      <c r="H3297">
        <f>IF(B3297,SQRT(-2*LN(F3297))*COS(2*PI()*G3297),"")</f>
        <v/>
      </c>
      <c r="I3297">
        <f>IF(B3297,IF(D3297=0,H3297,Rho*I3296+SQRT(1-Rho^2)*H3297),"")</f>
        <v/>
      </c>
      <c r="J3297">
        <f>IF(B3297,IF(Dist="Normal",DistA+DistB*I3297,DistA+(DistB-DistA)*NORMSDIST(I3297)),"")</f>
        <v/>
      </c>
      <c r="K3297">
        <f>IF(B3297,INDEX(MineScale,C3297),"")</f>
        <v/>
      </c>
      <c r="L3297">
        <f>IF(B3297,INDEX(Dow,1,WEEKDAY(E3297,2)),"")</f>
        <v/>
      </c>
      <c r="M3297">
        <f>IF(B3297,(1+Trend)^D3297,"")</f>
        <v/>
      </c>
      <c r="N3297">
        <f>IF(B3297,EXP(SUMPRODUCT(LN(1+(EvEff-1)*INDEX(Affected,0,C3297)*EXP(-((E3297-EvCenter)^2)/(2*EvSigma^2))))),"")</f>
        <v/>
      </c>
      <c r="O3297">
        <f>IF(B3297,ROUND(MAX(0,J3297*K3297*L3297*M3297*N3297),2),"")</f>
        <v/>
      </c>
    </row>
    <row r="3298">
      <c r="A3298" t="n">
        <v>3297</v>
      </c>
      <c r="B3298">
        <f>A3298&lt;=MineCount*Days</f>
        <v/>
      </c>
      <c r="C3298">
        <f>IF(B3298,INT((A3298-1)/Days)+1,"")</f>
        <v/>
      </c>
      <c r="D3298">
        <f>IF(B3298,MOD(A3298-1,Days),"")</f>
        <v/>
      </c>
      <c r="E3298" s="16">
        <f>IF(B3298,StartDate+D3298,"")</f>
        <v/>
      </c>
      <c r="F3298">
        <f>IF(B3298,MAX(MOD(SIN(Seed*0.1373+C3298*12.9898+D3298*78.233)*43758.5453,1),1E-9),"")</f>
        <v/>
      </c>
      <c r="G3298">
        <f>IF(B3298,MOD(SIN(Seed*0.5917+C3298*39.3468+D3298*11.135)*24634.6345,1),"")</f>
        <v/>
      </c>
      <c r="H3298">
        <f>IF(B3298,SQRT(-2*LN(F3298))*COS(2*PI()*G3298),"")</f>
        <v/>
      </c>
      <c r="I3298">
        <f>IF(B3298,IF(D3298=0,H3298,Rho*I3297+SQRT(1-Rho^2)*H3298),"")</f>
        <v/>
      </c>
      <c r="J3298">
        <f>IF(B3298,IF(Dist="Normal",DistA+DistB*I3298,DistA+(DistB-DistA)*NORMSDIST(I3298)),"")</f>
        <v/>
      </c>
      <c r="K3298">
        <f>IF(B3298,INDEX(MineScale,C3298),"")</f>
        <v/>
      </c>
      <c r="L3298">
        <f>IF(B3298,INDEX(Dow,1,WEEKDAY(E3298,2)),"")</f>
        <v/>
      </c>
      <c r="M3298">
        <f>IF(B3298,(1+Trend)^D3298,"")</f>
        <v/>
      </c>
      <c r="N3298">
        <f>IF(B3298,EXP(SUMPRODUCT(LN(1+(EvEff-1)*INDEX(Affected,0,C3298)*EXP(-((E3298-EvCenter)^2)/(2*EvSigma^2))))),"")</f>
        <v/>
      </c>
      <c r="O3298">
        <f>IF(B3298,ROUND(MAX(0,J3298*K3298*L3298*M3298*N3298),2),"")</f>
        <v/>
      </c>
    </row>
    <row r="3299">
      <c r="A3299" t="n">
        <v>3298</v>
      </c>
      <c r="B3299">
        <f>A3299&lt;=MineCount*Days</f>
        <v/>
      </c>
      <c r="C3299">
        <f>IF(B3299,INT((A3299-1)/Days)+1,"")</f>
        <v/>
      </c>
      <c r="D3299">
        <f>IF(B3299,MOD(A3299-1,Days),"")</f>
        <v/>
      </c>
      <c r="E3299" s="16">
        <f>IF(B3299,StartDate+D3299,"")</f>
        <v/>
      </c>
      <c r="F3299">
        <f>IF(B3299,MAX(MOD(SIN(Seed*0.1373+C3299*12.9898+D3299*78.233)*43758.5453,1),1E-9),"")</f>
        <v/>
      </c>
      <c r="G3299">
        <f>IF(B3299,MOD(SIN(Seed*0.5917+C3299*39.3468+D3299*11.135)*24634.6345,1),"")</f>
        <v/>
      </c>
      <c r="H3299">
        <f>IF(B3299,SQRT(-2*LN(F3299))*COS(2*PI()*G3299),"")</f>
        <v/>
      </c>
      <c r="I3299">
        <f>IF(B3299,IF(D3299=0,H3299,Rho*I3298+SQRT(1-Rho^2)*H3299),"")</f>
        <v/>
      </c>
      <c r="J3299">
        <f>IF(B3299,IF(Dist="Normal",DistA+DistB*I3299,DistA+(DistB-DistA)*NORMSDIST(I3299)),"")</f>
        <v/>
      </c>
      <c r="K3299">
        <f>IF(B3299,INDEX(MineScale,C3299),"")</f>
        <v/>
      </c>
      <c r="L3299">
        <f>IF(B3299,INDEX(Dow,1,WEEKDAY(E3299,2)),"")</f>
        <v/>
      </c>
      <c r="M3299">
        <f>IF(B3299,(1+Trend)^D3299,"")</f>
        <v/>
      </c>
      <c r="N3299">
        <f>IF(B3299,EXP(SUMPRODUCT(LN(1+(EvEff-1)*INDEX(Affected,0,C3299)*EXP(-((E3299-EvCenter)^2)/(2*EvSigma^2))))),"")</f>
        <v/>
      </c>
      <c r="O3299">
        <f>IF(B3299,ROUND(MAX(0,J3299*K3299*L3299*M3299*N3299),2),"")</f>
        <v/>
      </c>
    </row>
    <row r="3300">
      <c r="A3300" t="n">
        <v>3299</v>
      </c>
      <c r="B3300">
        <f>A3300&lt;=MineCount*Days</f>
        <v/>
      </c>
      <c r="C3300">
        <f>IF(B3300,INT((A3300-1)/Days)+1,"")</f>
        <v/>
      </c>
      <c r="D3300">
        <f>IF(B3300,MOD(A3300-1,Days),"")</f>
        <v/>
      </c>
      <c r="E3300" s="16">
        <f>IF(B3300,StartDate+D3300,"")</f>
        <v/>
      </c>
      <c r="F3300">
        <f>IF(B3300,MAX(MOD(SIN(Seed*0.1373+C3300*12.9898+D3300*78.233)*43758.5453,1),1E-9),"")</f>
        <v/>
      </c>
      <c r="G3300">
        <f>IF(B3300,MOD(SIN(Seed*0.5917+C3300*39.3468+D3300*11.135)*24634.6345,1),"")</f>
        <v/>
      </c>
      <c r="H3300">
        <f>IF(B3300,SQRT(-2*LN(F3300))*COS(2*PI()*G3300),"")</f>
        <v/>
      </c>
      <c r="I3300">
        <f>IF(B3300,IF(D3300=0,H3300,Rho*I3299+SQRT(1-Rho^2)*H3300),"")</f>
        <v/>
      </c>
      <c r="J3300">
        <f>IF(B3300,IF(Dist="Normal",DistA+DistB*I3300,DistA+(DistB-DistA)*NORMSDIST(I3300)),"")</f>
        <v/>
      </c>
      <c r="K3300">
        <f>IF(B3300,INDEX(MineScale,C3300),"")</f>
        <v/>
      </c>
      <c r="L3300">
        <f>IF(B3300,INDEX(Dow,1,WEEKDAY(E3300,2)),"")</f>
        <v/>
      </c>
      <c r="M3300">
        <f>IF(B3300,(1+Trend)^D3300,"")</f>
        <v/>
      </c>
      <c r="N3300">
        <f>IF(B3300,EXP(SUMPRODUCT(LN(1+(EvEff-1)*INDEX(Affected,0,C3300)*EXP(-((E3300-EvCenter)^2)/(2*EvSigma^2))))),"")</f>
        <v/>
      </c>
      <c r="O3300">
        <f>IF(B3300,ROUND(MAX(0,J3300*K3300*L3300*M3300*N3300),2),"")</f>
        <v/>
      </c>
    </row>
    <row r="3301">
      <c r="A3301" t="n">
        <v>3300</v>
      </c>
      <c r="B3301">
        <f>A3301&lt;=MineCount*Days</f>
        <v/>
      </c>
      <c r="C3301">
        <f>IF(B3301,INT((A3301-1)/Days)+1,"")</f>
        <v/>
      </c>
      <c r="D3301">
        <f>IF(B3301,MOD(A3301-1,Days),"")</f>
        <v/>
      </c>
      <c r="E3301" s="16">
        <f>IF(B3301,StartDate+D3301,"")</f>
        <v/>
      </c>
      <c r="F3301">
        <f>IF(B3301,MAX(MOD(SIN(Seed*0.1373+C3301*12.9898+D3301*78.233)*43758.5453,1),1E-9),"")</f>
        <v/>
      </c>
      <c r="G3301">
        <f>IF(B3301,MOD(SIN(Seed*0.5917+C3301*39.3468+D3301*11.135)*24634.6345,1),"")</f>
        <v/>
      </c>
      <c r="H3301">
        <f>IF(B3301,SQRT(-2*LN(F3301))*COS(2*PI()*G3301),"")</f>
        <v/>
      </c>
      <c r="I3301">
        <f>IF(B3301,IF(D3301=0,H3301,Rho*I3300+SQRT(1-Rho^2)*H3301),"")</f>
        <v/>
      </c>
      <c r="J3301">
        <f>IF(B3301,IF(Dist="Normal",DistA+DistB*I3301,DistA+(DistB-DistA)*NORMSDIST(I3301)),"")</f>
        <v/>
      </c>
      <c r="K3301">
        <f>IF(B3301,INDEX(MineScale,C3301),"")</f>
        <v/>
      </c>
      <c r="L3301">
        <f>IF(B3301,INDEX(Dow,1,WEEKDAY(E3301,2)),"")</f>
        <v/>
      </c>
      <c r="M3301">
        <f>IF(B3301,(1+Trend)^D3301,"")</f>
        <v/>
      </c>
      <c r="N3301">
        <f>IF(B3301,EXP(SUMPRODUCT(LN(1+(EvEff-1)*INDEX(Affected,0,C3301)*EXP(-((E3301-EvCenter)^2)/(2*EvSigma^2))))),"")</f>
        <v/>
      </c>
      <c r="O3301">
        <f>IF(B3301,ROUND(MAX(0,J3301*K3301*L3301*M3301*N3301),2),"")</f>
        <v/>
      </c>
    </row>
    <row r="3302">
      <c r="A3302" t="n">
        <v>3301</v>
      </c>
      <c r="B3302">
        <f>A3302&lt;=MineCount*Days</f>
        <v/>
      </c>
      <c r="C3302">
        <f>IF(B3302,INT((A3302-1)/Days)+1,"")</f>
        <v/>
      </c>
      <c r="D3302">
        <f>IF(B3302,MOD(A3302-1,Days),"")</f>
        <v/>
      </c>
      <c r="E3302" s="16">
        <f>IF(B3302,StartDate+D3302,"")</f>
        <v/>
      </c>
      <c r="F3302">
        <f>IF(B3302,MAX(MOD(SIN(Seed*0.1373+C3302*12.9898+D3302*78.233)*43758.5453,1),1E-9),"")</f>
        <v/>
      </c>
      <c r="G3302">
        <f>IF(B3302,MOD(SIN(Seed*0.5917+C3302*39.3468+D3302*11.135)*24634.6345,1),"")</f>
        <v/>
      </c>
      <c r="H3302">
        <f>IF(B3302,SQRT(-2*LN(F3302))*COS(2*PI()*G3302),"")</f>
        <v/>
      </c>
      <c r="I3302">
        <f>IF(B3302,IF(D3302=0,H3302,Rho*I3301+SQRT(1-Rho^2)*H3302),"")</f>
        <v/>
      </c>
      <c r="J3302">
        <f>IF(B3302,IF(Dist="Normal",DistA+DistB*I3302,DistA+(DistB-DistA)*NORMSDIST(I3302)),"")</f>
        <v/>
      </c>
      <c r="K3302">
        <f>IF(B3302,INDEX(MineScale,C3302),"")</f>
        <v/>
      </c>
      <c r="L3302">
        <f>IF(B3302,INDEX(Dow,1,WEEKDAY(E3302,2)),"")</f>
        <v/>
      </c>
      <c r="M3302">
        <f>IF(B3302,(1+Trend)^D3302,"")</f>
        <v/>
      </c>
      <c r="N3302">
        <f>IF(B3302,EXP(SUMPRODUCT(LN(1+(EvEff-1)*INDEX(Affected,0,C3302)*EXP(-((E3302-EvCenter)^2)/(2*EvSigma^2))))),"")</f>
        <v/>
      </c>
      <c r="O3302">
        <f>IF(B3302,ROUND(MAX(0,J3302*K3302*L3302*M3302*N3302),2),"")</f>
        <v/>
      </c>
    </row>
    <row r="3303">
      <c r="A3303" t="n">
        <v>3302</v>
      </c>
      <c r="B3303">
        <f>A3303&lt;=MineCount*Days</f>
        <v/>
      </c>
      <c r="C3303">
        <f>IF(B3303,INT((A3303-1)/Days)+1,"")</f>
        <v/>
      </c>
      <c r="D3303">
        <f>IF(B3303,MOD(A3303-1,Days),"")</f>
        <v/>
      </c>
      <c r="E3303" s="16">
        <f>IF(B3303,StartDate+D3303,"")</f>
        <v/>
      </c>
      <c r="F3303">
        <f>IF(B3303,MAX(MOD(SIN(Seed*0.1373+C3303*12.9898+D3303*78.233)*43758.5453,1),1E-9),"")</f>
        <v/>
      </c>
      <c r="G3303">
        <f>IF(B3303,MOD(SIN(Seed*0.5917+C3303*39.3468+D3303*11.135)*24634.6345,1),"")</f>
        <v/>
      </c>
      <c r="H3303">
        <f>IF(B3303,SQRT(-2*LN(F3303))*COS(2*PI()*G3303),"")</f>
        <v/>
      </c>
      <c r="I3303">
        <f>IF(B3303,IF(D3303=0,H3303,Rho*I3302+SQRT(1-Rho^2)*H3303),"")</f>
        <v/>
      </c>
      <c r="J3303">
        <f>IF(B3303,IF(Dist="Normal",DistA+DistB*I3303,DistA+(DistB-DistA)*NORMSDIST(I3303)),"")</f>
        <v/>
      </c>
      <c r="K3303">
        <f>IF(B3303,INDEX(MineScale,C3303),"")</f>
        <v/>
      </c>
      <c r="L3303">
        <f>IF(B3303,INDEX(Dow,1,WEEKDAY(E3303,2)),"")</f>
        <v/>
      </c>
      <c r="M3303">
        <f>IF(B3303,(1+Trend)^D3303,"")</f>
        <v/>
      </c>
      <c r="N3303">
        <f>IF(B3303,EXP(SUMPRODUCT(LN(1+(EvEff-1)*INDEX(Affected,0,C3303)*EXP(-((E3303-EvCenter)^2)/(2*EvSigma^2))))),"")</f>
        <v/>
      </c>
      <c r="O3303">
        <f>IF(B3303,ROUND(MAX(0,J3303*K3303*L3303*M3303*N3303),2),"")</f>
        <v/>
      </c>
    </row>
    <row r="3304">
      <c r="A3304" t="n">
        <v>3303</v>
      </c>
      <c r="B3304">
        <f>A3304&lt;=MineCount*Days</f>
        <v/>
      </c>
      <c r="C3304">
        <f>IF(B3304,INT((A3304-1)/Days)+1,"")</f>
        <v/>
      </c>
      <c r="D3304">
        <f>IF(B3304,MOD(A3304-1,Days),"")</f>
        <v/>
      </c>
      <c r="E3304" s="16">
        <f>IF(B3304,StartDate+D3304,"")</f>
        <v/>
      </c>
      <c r="F3304">
        <f>IF(B3304,MAX(MOD(SIN(Seed*0.1373+C3304*12.9898+D3304*78.233)*43758.5453,1),1E-9),"")</f>
        <v/>
      </c>
      <c r="G3304">
        <f>IF(B3304,MOD(SIN(Seed*0.5917+C3304*39.3468+D3304*11.135)*24634.6345,1),"")</f>
        <v/>
      </c>
      <c r="H3304">
        <f>IF(B3304,SQRT(-2*LN(F3304))*COS(2*PI()*G3304),"")</f>
        <v/>
      </c>
      <c r="I3304">
        <f>IF(B3304,IF(D3304=0,H3304,Rho*I3303+SQRT(1-Rho^2)*H3304),"")</f>
        <v/>
      </c>
      <c r="J3304">
        <f>IF(B3304,IF(Dist="Normal",DistA+DistB*I3304,DistA+(DistB-DistA)*NORMSDIST(I3304)),"")</f>
        <v/>
      </c>
      <c r="K3304">
        <f>IF(B3304,INDEX(MineScale,C3304),"")</f>
        <v/>
      </c>
      <c r="L3304">
        <f>IF(B3304,INDEX(Dow,1,WEEKDAY(E3304,2)),"")</f>
        <v/>
      </c>
      <c r="M3304">
        <f>IF(B3304,(1+Trend)^D3304,"")</f>
        <v/>
      </c>
      <c r="N3304">
        <f>IF(B3304,EXP(SUMPRODUCT(LN(1+(EvEff-1)*INDEX(Affected,0,C3304)*EXP(-((E3304-EvCenter)^2)/(2*EvSigma^2))))),"")</f>
        <v/>
      </c>
      <c r="O3304">
        <f>IF(B3304,ROUND(MAX(0,J3304*K3304*L3304*M3304*N3304),2),"")</f>
        <v/>
      </c>
    </row>
    <row r="3305">
      <c r="A3305" t="n">
        <v>3304</v>
      </c>
      <c r="B3305">
        <f>A3305&lt;=MineCount*Days</f>
        <v/>
      </c>
      <c r="C3305">
        <f>IF(B3305,INT((A3305-1)/Days)+1,"")</f>
        <v/>
      </c>
      <c r="D3305">
        <f>IF(B3305,MOD(A3305-1,Days),"")</f>
        <v/>
      </c>
      <c r="E3305" s="16">
        <f>IF(B3305,StartDate+D3305,"")</f>
        <v/>
      </c>
      <c r="F3305">
        <f>IF(B3305,MAX(MOD(SIN(Seed*0.1373+C3305*12.9898+D3305*78.233)*43758.5453,1),1E-9),"")</f>
        <v/>
      </c>
      <c r="G3305">
        <f>IF(B3305,MOD(SIN(Seed*0.5917+C3305*39.3468+D3305*11.135)*24634.6345,1),"")</f>
        <v/>
      </c>
      <c r="H3305">
        <f>IF(B3305,SQRT(-2*LN(F3305))*COS(2*PI()*G3305),"")</f>
        <v/>
      </c>
      <c r="I3305">
        <f>IF(B3305,IF(D3305=0,H3305,Rho*I3304+SQRT(1-Rho^2)*H3305),"")</f>
        <v/>
      </c>
      <c r="J3305">
        <f>IF(B3305,IF(Dist="Normal",DistA+DistB*I3305,DistA+(DistB-DistA)*NORMSDIST(I3305)),"")</f>
        <v/>
      </c>
      <c r="K3305">
        <f>IF(B3305,INDEX(MineScale,C3305),"")</f>
        <v/>
      </c>
      <c r="L3305">
        <f>IF(B3305,INDEX(Dow,1,WEEKDAY(E3305,2)),"")</f>
        <v/>
      </c>
      <c r="M3305">
        <f>IF(B3305,(1+Trend)^D3305,"")</f>
        <v/>
      </c>
      <c r="N3305">
        <f>IF(B3305,EXP(SUMPRODUCT(LN(1+(EvEff-1)*INDEX(Affected,0,C3305)*EXP(-((E3305-EvCenter)^2)/(2*EvSigma^2))))),"")</f>
        <v/>
      </c>
      <c r="O3305">
        <f>IF(B3305,ROUND(MAX(0,J3305*K3305*L3305*M3305*N3305),2),"")</f>
        <v/>
      </c>
    </row>
    <row r="3306">
      <c r="A3306" t="n">
        <v>3305</v>
      </c>
      <c r="B3306">
        <f>A3306&lt;=MineCount*Days</f>
        <v/>
      </c>
      <c r="C3306">
        <f>IF(B3306,INT((A3306-1)/Days)+1,"")</f>
        <v/>
      </c>
      <c r="D3306">
        <f>IF(B3306,MOD(A3306-1,Days),"")</f>
        <v/>
      </c>
      <c r="E3306" s="16">
        <f>IF(B3306,StartDate+D3306,"")</f>
        <v/>
      </c>
      <c r="F3306">
        <f>IF(B3306,MAX(MOD(SIN(Seed*0.1373+C3306*12.9898+D3306*78.233)*43758.5453,1),1E-9),"")</f>
        <v/>
      </c>
      <c r="G3306">
        <f>IF(B3306,MOD(SIN(Seed*0.5917+C3306*39.3468+D3306*11.135)*24634.6345,1),"")</f>
        <v/>
      </c>
      <c r="H3306">
        <f>IF(B3306,SQRT(-2*LN(F3306))*COS(2*PI()*G3306),"")</f>
        <v/>
      </c>
      <c r="I3306">
        <f>IF(B3306,IF(D3306=0,H3306,Rho*I3305+SQRT(1-Rho^2)*H3306),"")</f>
        <v/>
      </c>
      <c r="J3306">
        <f>IF(B3306,IF(Dist="Normal",DistA+DistB*I3306,DistA+(DistB-DistA)*NORMSDIST(I3306)),"")</f>
        <v/>
      </c>
      <c r="K3306">
        <f>IF(B3306,INDEX(MineScale,C3306),"")</f>
        <v/>
      </c>
      <c r="L3306">
        <f>IF(B3306,INDEX(Dow,1,WEEKDAY(E3306,2)),"")</f>
        <v/>
      </c>
      <c r="M3306">
        <f>IF(B3306,(1+Trend)^D3306,"")</f>
        <v/>
      </c>
      <c r="N3306">
        <f>IF(B3306,EXP(SUMPRODUCT(LN(1+(EvEff-1)*INDEX(Affected,0,C3306)*EXP(-((E3306-EvCenter)^2)/(2*EvSigma^2))))),"")</f>
        <v/>
      </c>
      <c r="O3306">
        <f>IF(B3306,ROUND(MAX(0,J3306*K3306*L3306*M3306*N3306),2),"")</f>
        <v/>
      </c>
    </row>
    <row r="3307">
      <c r="A3307" t="n">
        <v>3306</v>
      </c>
      <c r="B3307">
        <f>A3307&lt;=MineCount*Days</f>
        <v/>
      </c>
      <c r="C3307">
        <f>IF(B3307,INT((A3307-1)/Days)+1,"")</f>
        <v/>
      </c>
      <c r="D3307">
        <f>IF(B3307,MOD(A3307-1,Days),"")</f>
        <v/>
      </c>
      <c r="E3307" s="16">
        <f>IF(B3307,StartDate+D3307,"")</f>
        <v/>
      </c>
      <c r="F3307">
        <f>IF(B3307,MAX(MOD(SIN(Seed*0.1373+C3307*12.9898+D3307*78.233)*43758.5453,1),1E-9),"")</f>
        <v/>
      </c>
      <c r="G3307">
        <f>IF(B3307,MOD(SIN(Seed*0.5917+C3307*39.3468+D3307*11.135)*24634.6345,1),"")</f>
        <v/>
      </c>
      <c r="H3307">
        <f>IF(B3307,SQRT(-2*LN(F3307))*COS(2*PI()*G3307),"")</f>
        <v/>
      </c>
      <c r="I3307">
        <f>IF(B3307,IF(D3307=0,H3307,Rho*I3306+SQRT(1-Rho^2)*H3307),"")</f>
        <v/>
      </c>
      <c r="J3307">
        <f>IF(B3307,IF(Dist="Normal",DistA+DistB*I3307,DistA+(DistB-DistA)*NORMSDIST(I3307)),"")</f>
        <v/>
      </c>
      <c r="K3307">
        <f>IF(B3307,INDEX(MineScale,C3307),"")</f>
        <v/>
      </c>
      <c r="L3307">
        <f>IF(B3307,INDEX(Dow,1,WEEKDAY(E3307,2)),"")</f>
        <v/>
      </c>
      <c r="M3307">
        <f>IF(B3307,(1+Trend)^D3307,"")</f>
        <v/>
      </c>
      <c r="N3307">
        <f>IF(B3307,EXP(SUMPRODUCT(LN(1+(EvEff-1)*INDEX(Affected,0,C3307)*EXP(-((E3307-EvCenter)^2)/(2*EvSigma^2))))),"")</f>
        <v/>
      </c>
      <c r="O3307">
        <f>IF(B3307,ROUND(MAX(0,J3307*K3307*L3307*M3307*N3307),2),"")</f>
        <v/>
      </c>
    </row>
    <row r="3308">
      <c r="A3308" t="n">
        <v>3307</v>
      </c>
      <c r="B3308">
        <f>A3308&lt;=MineCount*Days</f>
        <v/>
      </c>
      <c r="C3308">
        <f>IF(B3308,INT((A3308-1)/Days)+1,"")</f>
        <v/>
      </c>
      <c r="D3308">
        <f>IF(B3308,MOD(A3308-1,Days),"")</f>
        <v/>
      </c>
      <c r="E3308" s="16">
        <f>IF(B3308,StartDate+D3308,"")</f>
        <v/>
      </c>
      <c r="F3308">
        <f>IF(B3308,MAX(MOD(SIN(Seed*0.1373+C3308*12.9898+D3308*78.233)*43758.5453,1),1E-9),"")</f>
        <v/>
      </c>
      <c r="G3308">
        <f>IF(B3308,MOD(SIN(Seed*0.5917+C3308*39.3468+D3308*11.135)*24634.6345,1),"")</f>
        <v/>
      </c>
      <c r="H3308">
        <f>IF(B3308,SQRT(-2*LN(F3308))*COS(2*PI()*G3308),"")</f>
        <v/>
      </c>
      <c r="I3308">
        <f>IF(B3308,IF(D3308=0,H3308,Rho*I3307+SQRT(1-Rho^2)*H3308),"")</f>
        <v/>
      </c>
      <c r="J3308">
        <f>IF(B3308,IF(Dist="Normal",DistA+DistB*I3308,DistA+(DistB-DistA)*NORMSDIST(I3308)),"")</f>
        <v/>
      </c>
      <c r="K3308">
        <f>IF(B3308,INDEX(MineScale,C3308),"")</f>
        <v/>
      </c>
      <c r="L3308">
        <f>IF(B3308,INDEX(Dow,1,WEEKDAY(E3308,2)),"")</f>
        <v/>
      </c>
      <c r="M3308">
        <f>IF(B3308,(1+Trend)^D3308,"")</f>
        <v/>
      </c>
      <c r="N3308">
        <f>IF(B3308,EXP(SUMPRODUCT(LN(1+(EvEff-1)*INDEX(Affected,0,C3308)*EXP(-((E3308-EvCenter)^2)/(2*EvSigma^2))))),"")</f>
        <v/>
      </c>
      <c r="O3308">
        <f>IF(B3308,ROUND(MAX(0,J3308*K3308*L3308*M3308*N3308),2),"")</f>
        <v/>
      </c>
    </row>
    <row r="3309">
      <c r="A3309" t="n">
        <v>3308</v>
      </c>
      <c r="B3309">
        <f>A3309&lt;=MineCount*Days</f>
        <v/>
      </c>
      <c r="C3309">
        <f>IF(B3309,INT((A3309-1)/Days)+1,"")</f>
        <v/>
      </c>
      <c r="D3309">
        <f>IF(B3309,MOD(A3309-1,Days),"")</f>
        <v/>
      </c>
      <c r="E3309" s="16">
        <f>IF(B3309,StartDate+D3309,"")</f>
        <v/>
      </c>
      <c r="F3309">
        <f>IF(B3309,MAX(MOD(SIN(Seed*0.1373+C3309*12.9898+D3309*78.233)*43758.5453,1),1E-9),"")</f>
        <v/>
      </c>
      <c r="G3309">
        <f>IF(B3309,MOD(SIN(Seed*0.5917+C3309*39.3468+D3309*11.135)*24634.6345,1),"")</f>
        <v/>
      </c>
      <c r="H3309">
        <f>IF(B3309,SQRT(-2*LN(F3309))*COS(2*PI()*G3309),"")</f>
        <v/>
      </c>
      <c r="I3309">
        <f>IF(B3309,IF(D3309=0,H3309,Rho*I3308+SQRT(1-Rho^2)*H3309),"")</f>
        <v/>
      </c>
      <c r="J3309">
        <f>IF(B3309,IF(Dist="Normal",DistA+DistB*I3309,DistA+(DistB-DistA)*NORMSDIST(I3309)),"")</f>
        <v/>
      </c>
      <c r="K3309">
        <f>IF(B3309,INDEX(MineScale,C3309),"")</f>
        <v/>
      </c>
      <c r="L3309">
        <f>IF(B3309,INDEX(Dow,1,WEEKDAY(E3309,2)),"")</f>
        <v/>
      </c>
      <c r="M3309">
        <f>IF(B3309,(1+Trend)^D3309,"")</f>
        <v/>
      </c>
      <c r="N3309">
        <f>IF(B3309,EXP(SUMPRODUCT(LN(1+(EvEff-1)*INDEX(Affected,0,C3309)*EXP(-((E3309-EvCenter)^2)/(2*EvSigma^2))))),"")</f>
        <v/>
      </c>
      <c r="O3309">
        <f>IF(B3309,ROUND(MAX(0,J3309*K3309*L3309*M3309*N3309),2),"")</f>
        <v/>
      </c>
    </row>
    <row r="3310">
      <c r="A3310" t="n">
        <v>3309</v>
      </c>
      <c r="B3310">
        <f>A3310&lt;=MineCount*Days</f>
        <v/>
      </c>
      <c r="C3310">
        <f>IF(B3310,INT((A3310-1)/Days)+1,"")</f>
        <v/>
      </c>
      <c r="D3310">
        <f>IF(B3310,MOD(A3310-1,Days),"")</f>
        <v/>
      </c>
      <c r="E3310" s="16">
        <f>IF(B3310,StartDate+D3310,"")</f>
        <v/>
      </c>
      <c r="F3310">
        <f>IF(B3310,MAX(MOD(SIN(Seed*0.1373+C3310*12.9898+D3310*78.233)*43758.5453,1),1E-9),"")</f>
        <v/>
      </c>
      <c r="G3310">
        <f>IF(B3310,MOD(SIN(Seed*0.5917+C3310*39.3468+D3310*11.135)*24634.6345,1),"")</f>
        <v/>
      </c>
      <c r="H3310">
        <f>IF(B3310,SQRT(-2*LN(F3310))*COS(2*PI()*G3310),"")</f>
        <v/>
      </c>
      <c r="I3310">
        <f>IF(B3310,IF(D3310=0,H3310,Rho*I3309+SQRT(1-Rho^2)*H3310),"")</f>
        <v/>
      </c>
      <c r="J3310">
        <f>IF(B3310,IF(Dist="Normal",DistA+DistB*I3310,DistA+(DistB-DistA)*NORMSDIST(I3310)),"")</f>
        <v/>
      </c>
      <c r="K3310">
        <f>IF(B3310,INDEX(MineScale,C3310),"")</f>
        <v/>
      </c>
      <c r="L3310">
        <f>IF(B3310,INDEX(Dow,1,WEEKDAY(E3310,2)),"")</f>
        <v/>
      </c>
      <c r="M3310">
        <f>IF(B3310,(1+Trend)^D3310,"")</f>
        <v/>
      </c>
      <c r="N3310">
        <f>IF(B3310,EXP(SUMPRODUCT(LN(1+(EvEff-1)*INDEX(Affected,0,C3310)*EXP(-((E3310-EvCenter)^2)/(2*EvSigma^2))))),"")</f>
        <v/>
      </c>
      <c r="O3310">
        <f>IF(B3310,ROUND(MAX(0,J3310*K3310*L3310*M3310*N3310),2),"")</f>
        <v/>
      </c>
    </row>
    <row r="3311">
      <c r="A3311" t="n">
        <v>3310</v>
      </c>
      <c r="B3311">
        <f>A3311&lt;=MineCount*Days</f>
        <v/>
      </c>
      <c r="C3311">
        <f>IF(B3311,INT((A3311-1)/Days)+1,"")</f>
        <v/>
      </c>
      <c r="D3311">
        <f>IF(B3311,MOD(A3311-1,Days),"")</f>
        <v/>
      </c>
      <c r="E3311" s="16">
        <f>IF(B3311,StartDate+D3311,"")</f>
        <v/>
      </c>
      <c r="F3311">
        <f>IF(B3311,MAX(MOD(SIN(Seed*0.1373+C3311*12.9898+D3311*78.233)*43758.5453,1),1E-9),"")</f>
        <v/>
      </c>
      <c r="G3311">
        <f>IF(B3311,MOD(SIN(Seed*0.5917+C3311*39.3468+D3311*11.135)*24634.6345,1),"")</f>
        <v/>
      </c>
      <c r="H3311">
        <f>IF(B3311,SQRT(-2*LN(F3311))*COS(2*PI()*G3311),"")</f>
        <v/>
      </c>
      <c r="I3311">
        <f>IF(B3311,IF(D3311=0,H3311,Rho*I3310+SQRT(1-Rho^2)*H3311),"")</f>
        <v/>
      </c>
      <c r="J3311">
        <f>IF(B3311,IF(Dist="Normal",DistA+DistB*I3311,DistA+(DistB-DistA)*NORMSDIST(I3311)),"")</f>
        <v/>
      </c>
      <c r="K3311">
        <f>IF(B3311,INDEX(MineScale,C3311),"")</f>
        <v/>
      </c>
      <c r="L3311">
        <f>IF(B3311,INDEX(Dow,1,WEEKDAY(E3311,2)),"")</f>
        <v/>
      </c>
      <c r="M3311">
        <f>IF(B3311,(1+Trend)^D3311,"")</f>
        <v/>
      </c>
      <c r="N3311">
        <f>IF(B3311,EXP(SUMPRODUCT(LN(1+(EvEff-1)*INDEX(Affected,0,C3311)*EXP(-((E3311-EvCenter)^2)/(2*EvSigma^2))))),"")</f>
        <v/>
      </c>
      <c r="O3311">
        <f>IF(B3311,ROUND(MAX(0,J3311*K3311*L3311*M3311*N3311),2),"")</f>
        <v/>
      </c>
    </row>
    <row r="3312">
      <c r="A3312" t="n">
        <v>3311</v>
      </c>
      <c r="B3312">
        <f>A3312&lt;=MineCount*Days</f>
        <v/>
      </c>
      <c r="C3312">
        <f>IF(B3312,INT((A3312-1)/Days)+1,"")</f>
        <v/>
      </c>
      <c r="D3312">
        <f>IF(B3312,MOD(A3312-1,Days),"")</f>
        <v/>
      </c>
      <c r="E3312" s="16">
        <f>IF(B3312,StartDate+D3312,"")</f>
        <v/>
      </c>
      <c r="F3312">
        <f>IF(B3312,MAX(MOD(SIN(Seed*0.1373+C3312*12.9898+D3312*78.233)*43758.5453,1),1E-9),"")</f>
        <v/>
      </c>
      <c r="G3312">
        <f>IF(B3312,MOD(SIN(Seed*0.5917+C3312*39.3468+D3312*11.135)*24634.6345,1),"")</f>
        <v/>
      </c>
      <c r="H3312">
        <f>IF(B3312,SQRT(-2*LN(F3312))*COS(2*PI()*G3312),"")</f>
        <v/>
      </c>
      <c r="I3312">
        <f>IF(B3312,IF(D3312=0,H3312,Rho*I3311+SQRT(1-Rho^2)*H3312),"")</f>
        <v/>
      </c>
      <c r="J3312">
        <f>IF(B3312,IF(Dist="Normal",DistA+DistB*I3312,DistA+(DistB-DistA)*NORMSDIST(I3312)),"")</f>
        <v/>
      </c>
      <c r="K3312">
        <f>IF(B3312,INDEX(MineScale,C3312),"")</f>
        <v/>
      </c>
      <c r="L3312">
        <f>IF(B3312,INDEX(Dow,1,WEEKDAY(E3312,2)),"")</f>
        <v/>
      </c>
      <c r="M3312">
        <f>IF(B3312,(1+Trend)^D3312,"")</f>
        <v/>
      </c>
      <c r="N3312">
        <f>IF(B3312,EXP(SUMPRODUCT(LN(1+(EvEff-1)*INDEX(Affected,0,C3312)*EXP(-((E3312-EvCenter)^2)/(2*EvSigma^2))))),"")</f>
        <v/>
      </c>
      <c r="O3312">
        <f>IF(B3312,ROUND(MAX(0,J3312*K3312*L3312*M3312*N3312),2),"")</f>
        <v/>
      </c>
    </row>
    <row r="3313">
      <c r="A3313" t="n">
        <v>3312</v>
      </c>
      <c r="B3313">
        <f>A3313&lt;=MineCount*Days</f>
        <v/>
      </c>
      <c r="C3313">
        <f>IF(B3313,INT((A3313-1)/Days)+1,"")</f>
        <v/>
      </c>
      <c r="D3313">
        <f>IF(B3313,MOD(A3313-1,Days),"")</f>
        <v/>
      </c>
      <c r="E3313" s="16">
        <f>IF(B3313,StartDate+D3313,"")</f>
        <v/>
      </c>
      <c r="F3313">
        <f>IF(B3313,MAX(MOD(SIN(Seed*0.1373+C3313*12.9898+D3313*78.233)*43758.5453,1),1E-9),"")</f>
        <v/>
      </c>
      <c r="G3313">
        <f>IF(B3313,MOD(SIN(Seed*0.5917+C3313*39.3468+D3313*11.135)*24634.6345,1),"")</f>
        <v/>
      </c>
      <c r="H3313">
        <f>IF(B3313,SQRT(-2*LN(F3313))*COS(2*PI()*G3313),"")</f>
        <v/>
      </c>
      <c r="I3313">
        <f>IF(B3313,IF(D3313=0,H3313,Rho*I3312+SQRT(1-Rho^2)*H3313),"")</f>
        <v/>
      </c>
      <c r="J3313">
        <f>IF(B3313,IF(Dist="Normal",DistA+DistB*I3313,DistA+(DistB-DistA)*NORMSDIST(I3313)),"")</f>
        <v/>
      </c>
      <c r="K3313">
        <f>IF(B3313,INDEX(MineScale,C3313),"")</f>
        <v/>
      </c>
      <c r="L3313">
        <f>IF(B3313,INDEX(Dow,1,WEEKDAY(E3313,2)),"")</f>
        <v/>
      </c>
      <c r="M3313">
        <f>IF(B3313,(1+Trend)^D3313,"")</f>
        <v/>
      </c>
      <c r="N3313">
        <f>IF(B3313,EXP(SUMPRODUCT(LN(1+(EvEff-1)*INDEX(Affected,0,C3313)*EXP(-((E3313-EvCenter)^2)/(2*EvSigma^2))))),"")</f>
        <v/>
      </c>
      <c r="O3313">
        <f>IF(B3313,ROUND(MAX(0,J3313*K3313*L3313*M3313*N3313),2),"")</f>
        <v/>
      </c>
    </row>
    <row r="3314">
      <c r="A3314" t="n">
        <v>3313</v>
      </c>
      <c r="B3314">
        <f>A3314&lt;=MineCount*Days</f>
        <v/>
      </c>
      <c r="C3314">
        <f>IF(B3314,INT((A3314-1)/Days)+1,"")</f>
        <v/>
      </c>
      <c r="D3314">
        <f>IF(B3314,MOD(A3314-1,Days),"")</f>
        <v/>
      </c>
      <c r="E3314" s="16">
        <f>IF(B3314,StartDate+D3314,"")</f>
        <v/>
      </c>
      <c r="F3314">
        <f>IF(B3314,MAX(MOD(SIN(Seed*0.1373+C3314*12.9898+D3314*78.233)*43758.5453,1),1E-9),"")</f>
        <v/>
      </c>
      <c r="G3314">
        <f>IF(B3314,MOD(SIN(Seed*0.5917+C3314*39.3468+D3314*11.135)*24634.6345,1),"")</f>
        <v/>
      </c>
      <c r="H3314">
        <f>IF(B3314,SQRT(-2*LN(F3314))*COS(2*PI()*G3314),"")</f>
        <v/>
      </c>
      <c r="I3314">
        <f>IF(B3314,IF(D3314=0,H3314,Rho*I3313+SQRT(1-Rho^2)*H3314),"")</f>
        <v/>
      </c>
      <c r="J3314">
        <f>IF(B3314,IF(Dist="Normal",DistA+DistB*I3314,DistA+(DistB-DistA)*NORMSDIST(I3314)),"")</f>
        <v/>
      </c>
      <c r="K3314">
        <f>IF(B3314,INDEX(MineScale,C3314),"")</f>
        <v/>
      </c>
      <c r="L3314">
        <f>IF(B3314,INDEX(Dow,1,WEEKDAY(E3314,2)),"")</f>
        <v/>
      </c>
      <c r="M3314">
        <f>IF(B3314,(1+Trend)^D3314,"")</f>
        <v/>
      </c>
      <c r="N3314">
        <f>IF(B3314,EXP(SUMPRODUCT(LN(1+(EvEff-1)*INDEX(Affected,0,C3314)*EXP(-((E3314-EvCenter)^2)/(2*EvSigma^2))))),"")</f>
        <v/>
      </c>
      <c r="O3314">
        <f>IF(B3314,ROUND(MAX(0,J3314*K3314*L3314*M3314*N3314),2),"")</f>
        <v/>
      </c>
    </row>
    <row r="3315">
      <c r="A3315" t="n">
        <v>3314</v>
      </c>
      <c r="B3315">
        <f>A3315&lt;=MineCount*Days</f>
        <v/>
      </c>
      <c r="C3315">
        <f>IF(B3315,INT((A3315-1)/Days)+1,"")</f>
        <v/>
      </c>
      <c r="D3315">
        <f>IF(B3315,MOD(A3315-1,Days),"")</f>
        <v/>
      </c>
      <c r="E3315" s="16">
        <f>IF(B3315,StartDate+D3315,"")</f>
        <v/>
      </c>
      <c r="F3315">
        <f>IF(B3315,MAX(MOD(SIN(Seed*0.1373+C3315*12.9898+D3315*78.233)*43758.5453,1),1E-9),"")</f>
        <v/>
      </c>
      <c r="G3315">
        <f>IF(B3315,MOD(SIN(Seed*0.5917+C3315*39.3468+D3315*11.135)*24634.6345,1),"")</f>
        <v/>
      </c>
      <c r="H3315">
        <f>IF(B3315,SQRT(-2*LN(F3315))*COS(2*PI()*G3315),"")</f>
        <v/>
      </c>
      <c r="I3315">
        <f>IF(B3315,IF(D3315=0,H3315,Rho*I3314+SQRT(1-Rho^2)*H3315),"")</f>
        <v/>
      </c>
      <c r="J3315">
        <f>IF(B3315,IF(Dist="Normal",DistA+DistB*I3315,DistA+(DistB-DistA)*NORMSDIST(I3315)),"")</f>
        <v/>
      </c>
      <c r="K3315">
        <f>IF(B3315,INDEX(MineScale,C3315),"")</f>
        <v/>
      </c>
      <c r="L3315">
        <f>IF(B3315,INDEX(Dow,1,WEEKDAY(E3315,2)),"")</f>
        <v/>
      </c>
      <c r="M3315">
        <f>IF(B3315,(1+Trend)^D3315,"")</f>
        <v/>
      </c>
      <c r="N3315">
        <f>IF(B3315,EXP(SUMPRODUCT(LN(1+(EvEff-1)*INDEX(Affected,0,C3315)*EXP(-((E3315-EvCenter)^2)/(2*EvSigma^2))))),"")</f>
        <v/>
      </c>
      <c r="O3315">
        <f>IF(B3315,ROUND(MAX(0,J3315*K3315*L3315*M3315*N3315),2),"")</f>
        <v/>
      </c>
    </row>
    <row r="3316">
      <c r="A3316" t="n">
        <v>3315</v>
      </c>
      <c r="B3316">
        <f>A3316&lt;=MineCount*Days</f>
        <v/>
      </c>
      <c r="C3316">
        <f>IF(B3316,INT((A3316-1)/Days)+1,"")</f>
        <v/>
      </c>
      <c r="D3316">
        <f>IF(B3316,MOD(A3316-1,Days),"")</f>
        <v/>
      </c>
      <c r="E3316" s="16">
        <f>IF(B3316,StartDate+D3316,"")</f>
        <v/>
      </c>
      <c r="F3316">
        <f>IF(B3316,MAX(MOD(SIN(Seed*0.1373+C3316*12.9898+D3316*78.233)*43758.5453,1),1E-9),"")</f>
        <v/>
      </c>
      <c r="G3316">
        <f>IF(B3316,MOD(SIN(Seed*0.5917+C3316*39.3468+D3316*11.135)*24634.6345,1),"")</f>
        <v/>
      </c>
      <c r="H3316">
        <f>IF(B3316,SQRT(-2*LN(F3316))*COS(2*PI()*G3316),"")</f>
        <v/>
      </c>
      <c r="I3316">
        <f>IF(B3316,IF(D3316=0,H3316,Rho*I3315+SQRT(1-Rho^2)*H3316),"")</f>
        <v/>
      </c>
      <c r="J3316">
        <f>IF(B3316,IF(Dist="Normal",DistA+DistB*I3316,DistA+(DistB-DistA)*NORMSDIST(I3316)),"")</f>
        <v/>
      </c>
      <c r="K3316">
        <f>IF(B3316,INDEX(MineScale,C3316),"")</f>
        <v/>
      </c>
      <c r="L3316">
        <f>IF(B3316,INDEX(Dow,1,WEEKDAY(E3316,2)),"")</f>
        <v/>
      </c>
      <c r="M3316">
        <f>IF(B3316,(1+Trend)^D3316,"")</f>
        <v/>
      </c>
      <c r="N3316">
        <f>IF(B3316,EXP(SUMPRODUCT(LN(1+(EvEff-1)*INDEX(Affected,0,C3316)*EXP(-((E3316-EvCenter)^2)/(2*EvSigma^2))))),"")</f>
        <v/>
      </c>
      <c r="O3316">
        <f>IF(B3316,ROUND(MAX(0,J3316*K3316*L3316*M3316*N3316),2),"")</f>
        <v/>
      </c>
    </row>
    <row r="3317">
      <c r="A3317" t="n">
        <v>3316</v>
      </c>
      <c r="B3317">
        <f>A3317&lt;=MineCount*Days</f>
        <v/>
      </c>
      <c r="C3317">
        <f>IF(B3317,INT((A3317-1)/Days)+1,"")</f>
        <v/>
      </c>
      <c r="D3317">
        <f>IF(B3317,MOD(A3317-1,Days),"")</f>
        <v/>
      </c>
      <c r="E3317" s="16">
        <f>IF(B3317,StartDate+D3317,"")</f>
        <v/>
      </c>
      <c r="F3317">
        <f>IF(B3317,MAX(MOD(SIN(Seed*0.1373+C3317*12.9898+D3317*78.233)*43758.5453,1),1E-9),"")</f>
        <v/>
      </c>
      <c r="G3317">
        <f>IF(B3317,MOD(SIN(Seed*0.5917+C3317*39.3468+D3317*11.135)*24634.6345,1),"")</f>
        <v/>
      </c>
      <c r="H3317">
        <f>IF(B3317,SQRT(-2*LN(F3317))*COS(2*PI()*G3317),"")</f>
        <v/>
      </c>
      <c r="I3317">
        <f>IF(B3317,IF(D3317=0,H3317,Rho*I3316+SQRT(1-Rho^2)*H3317),"")</f>
        <v/>
      </c>
      <c r="J3317">
        <f>IF(B3317,IF(Dist="Normal",DistA+DistB*I3317,DistA+(DistB-DistA)*NORMSDIST(I3317)),"")</f>
        <v/>
      </c>
      <c r="K3317">
        <f>IF(B3317,INDEX(MineScale,C3317),"")</f>
        <v/>
      </c>
      <c r="L3317">
        <f>IF(B3317,INDEX(Dow,1,WEEKDAY(E3317,2)),"")</f>
        <v/>
      </c>
      <c r="M3317">
        <f>IF(B3317,(1+Trend)^D3317,"")</f>
        <v/>
      </c>
      <c r="N3317">
        <f>IF(B3317,EXP(SUMPRODUCT(LN(1+(EvEff-1)*INDEX(Affected,0,C3317)*EXP(-((E3317-EvCenter)^2)/(2*EvSigma^2))))),"")</f>
        <v/>
      </c>
      <c r="O3317">
        <f>IF(B3317,ROUND(MAX(0,J3317*K3317*L3317*M3317*N3317),2),"")</f>
        <v/>
      </c>
    </row>
    <row r="3318">
      <c r="A3318" t="n">
        <v>3317</v>
      </c>
      <c r="B3318">
        <f>A3318&lt;=MineCount*Days</f>
        <v/>
      </c>
      <c r="C3318">
        <f>IF(B3318,INT((A3318-1)/Days)+1,"")</f>
        <v/>
      </c>
      <c r="D3318">
        <f>IF(B3318,MOD(A3318-1,Days),"")</f>
        <v/>
      </c>
      <c r="E3318" s="16">
        <f>IF(B3318,StartDate+D3318,"")</f>
        <v/>
      </c>
      <c r="F3318">
        <f>IF(B3318,MAX(MOD(SIN(Seed*0.1373+C3318*12.9898+D3318*78.233)*43758.5453,1),1E-9),"")</f>
        <v/>
      </c>
      <c r="G3318">
        <f>IF(B3318,MOD(SIN(Seed*0.5917+C3318*39.3468+D3318*11.135)*24634.6345,1),"")</f>
        <v/>
      </c>
      <c r="H3318">
        <f>IF(B3318,SQRT(-2*LN(F3318))*COS(2*PI()*G3318),"")</f>
        <v/>
      </c>
      <c r="I3318">
        <f>IF(B3318,IF(D3318=0,H3318,Rho*I3317+SQRT(1-Rho^2)*H3318),"")</f>
        <v/>
      </c>
      <c r="J3318">
        <f>IF(B3318,IF(Dist="Normal",DistA+DistB*I3318,DistA+(DistB-DistA)*NORMSDIST(I3318)),"")</f>
        <v/>
      </c>
      <c r="K3318">
        <f>IF(B3318,INDEX(MineScale,C3318),"")</f>
        <v/>
      </c>
      <c r="L3318">
        <f>IF(B3318,INDEX(Dow,1,WEEKDAY(E3318,2)),"")</f>
        <v/>
      </c>
      <c r="M3318">
        <f>IF(B3318,(1+Trend)^D3318,"")</f>
        <v/>
      </c>
      <c r="N3318">
        <f>IF(B3318,EXP(SUMPRODUCT(LN(1+(EvEff-1)*INDEX(Affected,0,C3318)*EXP(-((E3318-EvCenter)^2)/(2*EvSigma^2))))),"")</f>
        <v/>
      </c>
      <c r="O3318">
        <f>IF(B3318,ROUND(MAX(0,J3318*K3318*L3318*M3318*N3318),2),"")</f>
        <v/>
      </c>
    </row>
    <row r="3319">
      <c r="A3319" t="n">
        <v>3318</v>
      </c>
      <c r="B3319">
        <f>A3319&lt;=MineCount*Days</f>
        <v/>
      </c>
      <c r="C3319">
        <f>IF(B3319,INT((A3319-1)/Days)+1,"")</f>
        <v/>
      </c>
      <c r="D3319">
        <f>IF(B3319,MOD(A3319-1,Days),"")</f>
        <v/>
      </c>
      <c r="E3319" s="16">
        <f>IF(B3319,StartDate+D3319,"")</f>
        <v/>
      </c>
      <c r="F3319">
        <f>IF(B3319,MAX(MOD(SIN(Seed*0.1373+C3319*12.9898+D3319*78.233)*43758.5453,1),1E-9),"")</f>
        <v/>
      </c>
      <c r="G3319">
        <f>IF(B3319,MOD(SIN(Seed*0.5917+C3319*39.3468+D3319*11.135)*24634.6345,1),"")</f>
        <v/>
      </c>
      <c r="H3319">
        <f>IF(B3319,SQRT(-2*LN(F3319))*COS(2*PI()*G3319),"")</f>
        <v/>
      </c>
      <c r="I3319">
        <f>IF(B3319,IF(D3319=0,H3319,Rho*I3318+SQRT(1-Rho^2)*H3319),"")</f>
        <v/>
      </c>
      <c r="J3319">
        <f>IF(B3319,IF(Dist="Normal",DistA+DistB*I3319,DistA+(DistB-DistA)*NORMSDIST(I3319)),"")</f>
        <v/>
      </c>
      <c r="K3319">
        <f>IF(B3319,INDEX(MineScale,C3319),"")</f>
        <v/>
      </c>
      <c r="L3319">
        <f>IF(B3319,INDEX(Dow,1,WEEKDAY(E3319,2)),"")</f>
        <v/>
      </c>
      <c r="M3319">
        <f>IF(B3319,(1+Trend)^D3319,"")</f>
        <v/>
      </c>
      <c r="N3319">
        <f>IF(B3319,EXP(SUMPRODUCT(LN(1+(EvEff-1)*INDEX(Affected,0,C3319)*EXP(-((E3319-EvCenter)^2)/(2*EvSigma^2))))),"")</f>
        <v/>
      </c>
      <c r="O3319">
        <f>IF(B3319,ROUND(MAX(0,J3319*K3319*L3319*M3319*N3319),2),"")</f>
        <v/>
      </c>
    </row>
    <row r="3320">
      <c r="A3320" t="n">
        <v>3319</v>
      </c>
      <c r="B3320">
        <f>A3320&lt;=MineCount*Days</f>
        <v/>
      </c>
      <c r="C3320">
        <f>IF(B3320,INT((A3320-1)/Days)+1,"")</f>
        <v/>
      </c>
      <c r="D3320">
        <f>IF(B3320,MOD(A3320-1,Days),"")</f>
        <v/>
      </c>
      <c r="E3320" s="16">
        <f>IF(B3320,StartDate+D3320,"")</f>
        <v/>
      </c>
      <c r="F3320">
        <f>IF(B3320,MAX(MOD(SIN(Seed*0.1373+C3320*12.9898+D3320*78.233)*43758.5453,1),1E-9),"")</f>
        <v/>
      </c>
      <c r="G3320">
        <f>IF(B3320,MOD(SIN(Seed*0.5917+C3320*39.3468+D3320*11.135)*24634.6345,1),"")</f>
        <v/>
      </c>
      <c r="H3320">
        <f>IF(B3320,SQRT(-2*LN(F3320))*COS(2*PI()*G3320),"")</f>
        <v/>
      </c>
      <c r="I3320">
        <f>IF(B3320,IF(D3320=0,H3320,Rho*I3319+SQRT(1-Rho^2)*H3320),"")</f>
        <v/>
      </c>
      <c r="J3320">
        <f>IF(B3320,IF(Dist="Normal",DistA+DistB*I3320,DistA+(DistB-DistA)*NORMSDIST(I3320)),"")</f>
        <v/>
      </c>
      <c r="K3320">
        <f>IF(B3320,INDEX(MineScale,C3320),"")</f>
        <v/>
      </c>
      <c r="L3320">
        <f>IF(B3320,INDEX(Dow,1,WEEKDAY(E3320,2)),"")</f>
        <v/>
      </c>
      <c r="M3320">
        <f>IF(B3320,(1+Trend)^D3320,"")</f>
        <v/>
      </c>
      <c r="N3320">
        <f>IF(B3320,EXP(SUMPRODUCT(LN(1+(EvEff-1)*INDEX(Affected,0,C3320)*EXP(-((E3320-EvCenter)^2)/(2*EvSigma^2))))),"")</f>
        <v/>
      </c>
      <c r="O3320">
        <f>IF(B3320,ROUND(MAX(0,J3320*K3320*L3320*M3320*N3320),2),"")</f>
        <v/>
      </c>
    </row>
    <row r="3321">
      <c r="A3321" t="n">
        <v>3320</v>
      </c>
      <c r="B3321">
        <f>A3321&lt;=MineCount*Days</f>
        <v/>
      </c>
      <c r="C3321">
        <f>IF(B3321,INT((A3321-1)/Days)+1,"")</f>
        <v/>
      </c>
      <c r="D3321">
        <f>IF(B3321,MOD(A3321-1,Days),"")</f>
        <v/>
      </c>
      <c r="E3321" s="16">
        <f>IF(B3321,StartDate+D3321,"")</f>
        <v/>
      </c>
      <c r="F3321">
        <f>IF(B3321,MAX(MOD(SIN(Seed*0.1373+C3321*12.9898+D3321*78.233)*43758.5453,1),1E-9),"")</f>
        <v/>
      </c>
      <c r="G3321">
        <f>IF(B3321,MOD(SIN(Seed*0.5917+C3321*39.3468+D3321*11.135)*24634.6345,1),"")</f>
        <v/>
      </c>
      <c r="H3321">
        <f>IF(B3321,SQRT(-2*LN(F3321))*COS(2*PI()*G3321),"")</f>
        <v/>
      </c>
      <c r="I3321">
        <f>IF(B3321,IF(D3321=0,H3321,Rho*I3320+SQRT(1-Rho^2)*H3321),"")</f>
        <v/>
      </c>
      <c r="J3321">
        <f>IF(B3321,IF(Dist="Normal",DistA+DistB*I3321,DistA+(DistB-DistA)*NORMSDIST(I3321)),"")</f>
        <v/>
      </c>
      <c r="K3321">
        <f>IF(B3321,INDEX(MineScale,C3321),"")</f>
        <v/>
      </c>
      <c r="L3321">
        <f>IF(B3321,INDEX(Dow,1,WEEKDAY(E3321,2)),"")</f>
        <v/>
      </c>
      <c r="M3321">
        <f>IF(B3321,(1+Trend)^D3321,"")</f>
        <v/>
      </c>
      <c r="N3321">
        <f>IF(B3321,EXP(SUMPRODUCT(LN(1+(EvEff-1)*INDEX(Affected,0,C3321)*EXP(-((E3321-EvCenter)^2)/(2*EvSigma^2))))),"")</f>
        <v/>
      </c>
      <c r="O3321">
        <f>IF(B3321,ROUND(MAX(0,J3321*K3321*L3321*M3321*N3321),2),"")</f>
        <v/>
      </c>
    </row>
    <row r="3322">
      <c r="A3322" t="n">
        <v>3321</v>
      </c>
      <c r="B3322">
        <f>A3322&lt;=MineCount*Days</f>
        <v/>
      </c>
      <c r="C3322">
        <f>IF(B3322,INT((A3322-1)/Days)+1,"")</f>
        <v/>
      </c>
      <c r="D3322">
        <f>IF(B3322,MOD(A3322-1,Days),"")</f>
        <v/>
      </c>
      <c r="E3322" s="16">
        <f>IF(B3322,StartDate+D3322,"")</f>
        <v/>
      </c>
      <c r="F3322">
        <f>IF(B3322,MAX(MOD(SIN(Seed*0.1373+C3322*12.9898+D3322*78.233)*43758.5453,1),1E-9),"")</f>
        <v/>
      </c>
      <c r="G3322">
        <f>IF(B3322,MOD(SIN(Seed*0.5917+C3322*39.3468+D3322*11.135)*24634.6345,1),"")</f>
        <v/>
      </c>
      <c r="H3322">
        <f>IF(B3322,SQRT(-2*LN(F3322))*COS(2*PI()*G3322),"")</f>
        <v/>
      </c>
      <c r="I3322">
        <f>IF(B3322,IF(D3322=0,H3322,Rho*I3321+SQRT(1-Rho^2)*H3322),"")</f>
        <v/>
      </c>
      <c r="J3322">
        <f>IF(B3322,IF(Dist="Normal",DistA+DistB*I3322,DistA+(DistB-DistA)*NORMSDIST(I3322)),"")</f>
        <v/>
      </c>
      <c r="K3322">
        <f>IF(B3322,INDEX(MineScale,C3322),"")</f>
        <v/>
      </c>
      <c r="L3322">
        <f>IF(B3322,INDEX(Dow,1,WEEKDAY(E3322,2)),"")</f>
        <v/>
      </c>
      <c r="M3322">
        <f>IF(B3322,(1+Trend)^D3322,"")</f>
        <v/>
      </c>
      <c r="N3322">
        <f>IF(B3322,EXP(SUMPRODUCT(LN(1+(EvEff-1)*INDEX(Affected,0,C3322)*EXP(-((E3322-EvCenter)^2)/(2*EvSigma^2))))),"")</f>
        <v/>
      </c>
      <c r="O3322">
        <f>IF(B3322,ROUND(MAX(0,J3322*K3322*L3322*M3322*N3322),2),"")</f>
        <v/>
      </c>
    </row>
    <row r="3323">
      <c r="A3323" t="n">
        <v>3322</v>
      </c>
      <c r="B3323">
        <f>A3323&lt;=MineCount*Days</f>
        <v/>
      </c>
      <c r="C3323">
        <f>IF(B3323,INT((A3323-1)/Days)+1,"")</f>
        <v/>
      </c>
      <c r="D3323">
        <f>IF(B3323,MOD(A3323-1,Days),"")</f>
        <v/>
      </c>
      <c r="E3323" s="16">
        <f>IF(B3323,StartDate+D3323,"")</f>
        <v/>
      </c>
      <c r="F3323">
        <f>IF(B3323,MAX(MOD(SIN(Seed*0.1373+C3323*12.9898+D3323*78.233)*43758.5453,1),1E-9),"")</f>
        <v/>
      </c>
      <c r="G3323">
        <f>IF(B3323,MOD(SIN(Seed*0.5917+C3323*39.3468+D3323*11.135)*24634.6345,1),"")</f>
        <v/>
      </c>
      <c r="H3323">
        <f>IF(B3323,SQRT(-2*LN(F3323))*COS(2*PI()*G3323),"")</f>
        <v/>
      </c>
      <c r="I3323">
        <f>IF(B3323,IF(D3323=0,H3323,Rho*I3322+SQRT(1-Rho^2)*H3323),"")</f>
        <v/>
      </c>
      <c r="J3323">
        <f>IF(B3323,IF(Dist="Normal",DistA+DistB*I3323,DistA+(DistB-DistA)*NORMSDIST(I3323)),"")</f>
        <v/>
      </c>
      <c r="K3323">
        <f>IF(B3323,INDEX(MineScale,C3323),"")</f>
        <v/>
      </c>
      <c r="L3323">
        <f>IF(B3323,INDEX(Dow,1,WEEKDAY(E3323,2)),"")</f>
        <v/>
      </c>
      <c r="M3323">
        <f>IF(B3323,(1+Trend)^D3323,"")</f>
        <v/>
      </c>
      <c r="N3323">
        <f>IF(B3323,EXP(SUMPRODUCT(LN(1+(EvEff-1)*INDEX(Affected,0,C3323)*EXP(-((E3323-EvCenter)^2)/(2*EvSigma^2))))),"")</f>
        <v/>
      </c>
      <c r="O3323">
        <f>IF(B3323,ROUND(MAX(0,J3323*K3323*L3323*M3323*N3323),2),"")</f>
        <v/>
      </c>
    </row>
    <row r="3324">
      <c r="A3324" t="n">
        <v>3323</v>
      </c>
      <c r="B3324">
        <f>A3324&lt;=MineCount*Days</f>
        <v/>
      </c>
      <c r="C3324">
        <f>IF(B3324,INT((A3324-1)/Days)+1,"")</f>
        <v/>
      </c>
      <c r="D3324">
        <f>IF(B3324,MOD(A3324-1,Days),"")</f>
        <v/>
      </c>
      <c r="E3324" s="16">
        <f>IF(B3324,StartDate+D3324,"")</f>
        <v/>
      </c>
      <c r="F3324">
        <f>IF(B3324,MAX(MOD(SIN(Seed*0.1373+C3324*12.9898+D3324*78.233)*43758.5453,1),1E-9),"")</f>
        <v/>
      </c>
      <c r="G3324">
        <f>IF(B3324,MOD(SIN(Seed*0.5917+C3324*39.3468+D3324*11.135)*24634.6345,1),"")</f>
        <v/>
      </c>
      <c r="H3324">
        <f>IF(B3324,SQRT(-2*LN(F3324))*COS(2*PI()*G3324),"")</f>
        <v/>
      </c>
      <c r="I3324">
        <f>IF(B3324,IF(D3324=0,H3324,Rho*I3323+SQRT(1-Rho^2)*H3324),"")</f>
        <v/>
      </c>
      <c r="J3324">
        <f>IF(B3324,IF(Dist="Normal",DistA+DistB*I3324,DistA+(DistB-DistA)*NORMSDIST(I3324)),"")</f>
        <v/>
      </c>
      <c r="K3324">
        <f>IF(B3324,INDEX(MineScale,C3324),"")</f>
        <v/>
      </c>
      <c r="L3324">
        <f>IF(B3324,INDEX(Dow,1,WEEKDAY(E3324,2)),"")</f>
        <v/>
      </c>
      <c r="M3324">
        <f>IF(B3324,(1+Trend)^D3324,"")</f>
        <v/>
      </c>
      <c r="N3324">
        <f>IF(B3324,EXP(SUMPRODUCT(LN(1+(EvEff-1)*INDEX(Affected,0,C3324)*EXP(-((E3324-EvCenter)^2)/(2*EvSigma^2))))),"")</f>
        <v/>
      </c>
      <c r="O3324">
        <f>IF(B3324,ROUND(MAX(0,J3324*K3324*L3324*M3324*N3324),2),"")</f>
        <v/>
      </c>
    </row>
    <row r="3325">
      <c r="A3325" t="n">
        <v>3324</v>
      </c>
      <c r="B3325">
        <f>A3325&lt;=MineCount*Days</f>
        <v/>
      </c>
      <c r="C3325">
        <f>IF(B3325,INT((A3325-1)/Days)+1,"")</f>
        <v/>
      </c>
      <c r="D3325">
        <f>IF(B3325,MOD(A3325-1,Days),"")</f>
        <v/>
      </c>
      <c r="E3325" s="16">
        <f>IF(B3325,StartDate+D3325,"")</f>
        <v/>
      </c>
      <c r="F3325">
        <f>IF(B3325,MAX(MOD(SIN(Seed*0.1373+C3325*12.9898+D3325*78.233)*43758.5453,1),1E-9),"")</f>
        <v/>
      </c>
      <c r="G3325">
        <f>IF(B3325,MOD(SIN(Seed*0.5917+C3325*39.3468+D3325*11.135)*24634.6345,1),"")</f>
        <v/>
      </c>
      <c r="H3325">
        <f>IF(B3325,SQRT(-2*LN(F3325))*COS(2*PI()*G3325),"")</f>
        <v/>
      </c>
      <c r="I3325">
        <f>IF(B3325,IF(D3325=0,H3325,Rho*I3324+SQRT(1-Rho^2)*H3325),"")</f>
        <v/>
      </c>
      <c r="J3325">
        <f>IF(B3325,IF(Dist="Normal",DistA+DistB*I3325,DistA+(DistB-DistA)*NORMSDIST(I3325)),"")</f>
        <v/>
      </c>
      <c r="K3325">
        <f>IF(B3325,INDEX(MineScale,C3325),"")</f>
        <v/>
      </c>
      <c r="L3325">
        <f>IF(B3325,INDEX(Dow,1,WEEKDAY(E3325,2)),"")</f>
        <v/>
      </c>
      <c r="M3325">
        <f>IF(B3325,(1+Trend)^D3325,"")</f>
        <v/>
      </c>
      <c r="N3325">
        <f>IF(B3325,EXP(SUMPRODUCT(LN(1+(EvEff-1)*INDEX(Affected,0,C3325)*EXP(-((E3325-EvCenter)^2)/(2*EvSigma^2))))),"")</f>
        <v/>
      </c>
      <c r="O3325">
        <f>IF(B3325,ROUND(MAX(0,J3325*K3325*L3325*M3325*N3325),2),"")</f>
        <v/>
      </c>
    </row>
    <row r="3326">
      <c r="A3326" t="n">
        <v>3325</v>
      </c>
      <c r="B3326">
        <f>A3326&lt;=MineCount*Days</f>
        <v/>
      </c>
      <c r="C3326">
        <f>IF(B3326,INT((A3326-1)/Days)+1,"")</f>
        <v/>
      </c>
      <c r="D3326">
        <f>IF(B3326,MOD(A3326-1,Days),"")</f>
        <v/>
      </c>
      <c r="E3326" s="16">
        <f>IF(B3326,StartDate+D3326,"")</f>
        <v/>
      </c>
      <c r="F3326">
        <f>IF(B3326,MAX(MOD(SIN(Seed*0.1373+C3326*12.9898+D3326*78.233)*43758.5453,1),1E-9),"")</f>
        <v/>
      </c>
      <c r="G3326">
        <f>IF(B3326,MOD(SIN(Seed*0.5917+C3326*39.3468+D3326*11.135)*24634.6345,1),"")</f>
        <v/>
      </c>
      <c r="H3326">
        <f>IF(B3326,SQRT(-2*LN(F3326))*COS(2*PI()*G3326),"")</f>
        <v/>
      </c>
      <c r="I3326">
        <f>IF(B3326,IF(D3326=0,H3326,Rho*I3325+SQRT(1-Rho^2)*H3326),"")</f>
        <v/>
      </c>
      <c r="J3326">
        <f>IF(B3326,IF(Dist="Normal",DistA+DistB*I3326,DistA+(DistB-DistA)*NORMSDIST(I3326)),"")</f>
        <v/>
      </c>
      <c r="K3326">
        <f>IF(B3326,INDEX(MineScale,C3326),"")</f>
        <v/>
      </c>
      <c r="L3326">
        <f>IF(B3326,INDEX(Dow,1,WEEKDAY(E3326,2)),"")</f>
        <v/>
      </c>
      <c r="M3326">
        <f>IF(B3326,(1+Trend)^D3326,"")</f>
        <v/>
      </c>
      <c r="N3326">
        <f>IF(B3326,EXP(SUMPRODUCT(LN(1+(EvEff-1)*INDEX(Affected,0,C3326)*EXP(-((E3326-EvCenter)^2)/(2*EvSigma^2))))),"")</f>
        <v/>
      </c>
      <c r="O3326">
        <f>IF(B3326,ROUND(MAX(0,J3326*K3326*L3326*M3326*N3326),2),"")</f>
        <v/>
      </c>
    </row>
    <row r="3327">
      <c r="A3327" t="n">
        <v>3326</v>
      </c>
      <c r="B3327">
        <f>A3327&lt;=MineCount*Days</f>
        <v/>
      </c>
      <c r="C3327">
        <f>IF(B3327,INT((A3327-1)/Days)+1,"")</f>
        <v/>
      </c>
      <c r="D3327">
        <f>IF(B3327,MOD(A3327-1,Days),"")</f>
        <v/>
      </c>
      <c r="E3327" s="16">
        <f>IF(B3327,StartDate+D3327,"")</f>
        <v/>
      </c>
      <c r="F3327">
        <f>IF(B3327,MAX(MOD(SIN(Seed*0.1373+C3327*12.9898+D3327*78.233)*43758.5453,1),1E-9),"")</f>
        <v/>
      </c>
      <c r="G3327">
        <f>IF(B3327,MOD(SIN(Seed*0.5917+C3327*39.3468+D3327*11.135)*24634.6345,1),"")</f>
        <v/>
      </c>
      <c r="H3327">
        <f>IF(B3327,SQRT(-2*LN(F3327))*COS(2*PI()*G3327),"")</f>
        <v/>
      </c>
      <c r="I3327">
        <f>IF(B3327,IF(D3327=0,H3327,Rho*I3326+SQRT(1-Rho^2)*H3327),"")</f>
        <v/>
      </c>
      <c r="J3327">
        <f>IF(B3327,IF(Dist="Normal",DistA+DistB*I3327,DistA+(DistB-DistA)*NORMSDIST(I3327)),"")</f>
        <v/>
      </c>
      <c r="K3327">
        <f>IF(B3327,INDEX(MineScale,C3327),"")</f>
        <v/>
      </c>
      <c r="L3327">
        <f>IF(B3327,INDEX(Dow,1,WEEKDAY(E3327,2)),"")</f>
        <v/>
      </c>
      <c r="M3327">
        <f>IF(B3327,(1+Trend)^D3327,"")</f>
        <v/>
      </c>
      <c r="N3327">
        <f>IF(B3327,EXP(SUMPRODUCT(LN(1+(EvEff-1)*INDEX(Affected,0,C3327)*EXP(-((E3327-EvCenter)^2)/(2*EvSigma^2))))),"")</f>
        <v/>
      </c>
      <c r="O3327">
        <f>IF(B3327,ROUND(MAX(0,J3327*K3327*L3327*M3327*N3327),2),"")</f>
        <v/>
      </c>
    </row>
    <row r="3328">
      <c r="A3328" t="n">
        <v>3327</v>
      </c>
      <c r="B3328">
        <f>A3328&lt;=MineCount*Days</f>
        <v/>
      </c>
      <c r="C3328">
        <f>IF(B3328,INT((A3328-1)/Days)+1,"")</f>
        <v/>
      </c>
      <c r="D3328">
        <f>IF(B3328,MOD(A3328-1,Days),"")</f>
        <v/>
      </c>
      <c r="E3328" s="16">
        <f>IF(B3328,StartDate+D3328,"")</f>
        <v/>
      </c>
      <c r="F3328">
        <f>IF(B3328,MAX(MOD(SIN(Seed*0.1373+C3328*12.9898+D3328*78.233)*43758.5453,1),1E-9),"")</f>
        <v/>
      </c>
      <c r="G3328">
        <f>IF(B3328,MOD(SIN(Seed*0.5917+C3328*39.3468+D3328*11.135)*24634.6345,1),"")</f>
        <v/>
      </c>
      <c r="H3328">
        <f>IF(B3328,SQRT(-2*LN(F3328))*COS(2*PI()*G3328),"")</f>
        <v/>
      </c>
      <c r="I3328">
        <f>IF(B3328,IF(D3328=0,H3328,Rho*I3327+SQRT(1-Rho^2)*H3328),"")</f>
        <v/>
      </c>
      <c r="J3328">
        <f>IF(B3328,IF(Dist="Normal",DistA+DistB*I3328,DistA+(DistB-DistA)*NORMSDIST(I3328)),"")</f>
        <v/>
      </c>
      <c r="K3328">
        <f>IF(B3328,INDEX(MineScale,C3328),"")</f>
        <v/>
      </c>
      <c r="L3328">
        <f>IF(B3328,INDEX(Dow,1,WEEKDAY(E3328,2)),"")</f>
        <v/>
      </c>
      <c r="M3328">
        <f>IF(B3328,(1+Trend)^D3328,"")</f>
        <v/>
      </c>
      <c r="N3328">
        <f>IF(B3328,EXP(SUMPRODUCT(LN(1+(EvEff-1)*INDEX(Affected,0,C3328)*EXP(-((E3328-EvCenter)^2)/(2*EvSigma^2))))),"")</f>
        <v/>
      </c>
      <c r="O3328">
        <f>IF(B3328,ROUND(MAX(0,J3328*K3328*L3328*M3328*N3328),2),"")</f>
        <v/>
      </c>
    </row>
    <row r="3329">
      <c r="A3329" t="n">
        <v>3328</v>
      </c>
      <c r="B3329">
        <f>A3329&lt;=MineCount*Days</f>
        <v/>
      </c>
      <c r="C3329">
        <f>IF(B3329,INT((A3329-1)/Days)+1,"")</f>
        <v/>
      </c>
      <c r="D3329">
        <f>IF(B3329,MOD(A3329-1,Days),"")</f>
        <v/>
      </c>
      <c r="E3329" s="16">
        <f>IF(B3329,StartDate+D3329,"")</f>
        <v/>
      </c>
      <c r="F3329">
        <f>IF(B3329,MAX(MOD(SIN(Seed*0.1373+C3329*12.9898+D3329*78.233)*43758.5453,1),1E-9),"")</f>
        <v/>
      </c>
      <c r="G3329">
        <f>IF(B3329,MOD(SIN(Seed*0.5917+C3329*39.3468+D3329*11.135)*24634.6345,1),"")</f>
        <v/>
      </c>
      <c r="H3329">
        <f>IF(B3329,SQRT(-2*LN(F3329))*COS(2*PI()*G3329),"")</f>
        <v/>
      </c>
      <c r="I3329">
        <f>IF(B3329,IF(D3329=0,H3329,Rho*I3328+SQRT(1-Rho^2)*H3329),"")</f>
        <v/>
      </c>
      <c r="J3329">
        <f>IF(B3329,IF(Dist="Normal",DistA+DistB*I3329,DistA+(DistB-DistA)*NORMSDIST(I3329)),"")</f>
        <v/>
      </c>
      <c r="K3329">
        <f>IF(B3329,INDEX(MineScale,C3329),"")</f>
        <v/>
      </c>
      <c r="L3329">
        <f>IF(B3329,INDEX(Dow,1,WEEKDAY(E3329,2)),"")</f>
        <v/>
      </c>
      <c r="M3329">
        <f>IF(B3329,(1+Trend)^D3329,"")</f>
        <v/>
      </c>
      <c r="N3329">
        <f>IF(B3329,EXP(SUMPRODUCT(LN(1+(EvEff-1)*INDEX(Affected,0,C3329)*EXP(-((E3329-EvCenter)^2)/(2*EvSigma^2))))),"")</f>
        <v/>
      </c>
      <c r="O3329">
        <f>IF(B3329,ROUND(MAX(0,J3329*K3329*L3329*M3329*N3329),2),"")</f>
        <v/>
      </c>
    </row>
    <row r="3330">
      <c r="A3330" t="n">
        <v>3329</v>
      </c>
      <c r="B3330">
        <f>A3330&lt;=MineCount*Days</f>
        <v/>
      </c>
      <c r="C3330">
        <f>IF(B3330,INT((A3330-1)/Days)+1,"")</f>
        <v/>
      </c>
      <c r="D3330">
        <f>IF(B3330,MOD(A3330-1,Days),"")</f>
        <v/>
      </c>
      <c r="E3330" s="16">
        <f>IF(B3330,StartDate+D3330,"")</f>
        <v/>
      </c>
      <c r="F3330">
        <f>IF(B3330,MAX(MOD(SIN(Seed*0.1373+C3330*12.9898+D3330*78.233)*43758.5453,1),1E-9),"")</f>
        <v/>
      </c>
      <c r="G3330">
        <f>IF(B3330,MOD(SIN(Seed*0.5917+C3330*39.3468+D3330*11.135)*24634.6345,1),"")</f>
        <v/>
      </c>
      <c r="H3330">
        <f>IF(B3330,SQRT(-2*LN(F3330))*COS(2*PI()*G3330),"")</f>
        <v/>
      </c>
      <c r="I3330">
        <f>IF(B3330,IF(D3330=0,H3330,Rho*I3329+SQRT(1-Rho^2)*H3330),"")</f>
        <v/>
      </c>
      <c r="J3330">
        <f>IF(B3330,IF(Dist="Normal",DistA+DistB*I3330,DistA+(DistB-DistA)*NORMSDIST(I3330)),"")</f>
        <v/>
      </c>
      <c r="K3330">
        <f>IF(B3330,INDEX(MineScale,C3330),"")</f>
        <v/>
      </c>
      <c r="L3330">
        <f>IF(B3330,INDEX(Dow,1,WEEKDAY(E3330,2)),"")</f>
        <v/>
      </c>
      <c r="M3330">
        <f>IF(B3330,(1+Trend)^D3330,"")</f>
        <v/>
      </c>
      <c r="N3330">
        <f>IF(B3330,EXP(SUMPRODUCT(LN(1+(EvEff-1)*INDEX(Affected,0,C3330)*EXP(-((E3330-EvCenter)^2)/(2*EvSigma^2))))),"")</f>
        <v/>
      </c>
      <c r="O3330">
        <f>IF(B3330,ROUND(MAX(0,J3330*K3330*L3330*M3330*N3330),2),"")</f>
        <v/>
      </c>
    </row>
    <row r="3331">
      <c r="A3331" t="n">
        <v>3330</v>
      </c>
      <c r="B3331">
        <f>A3331&lt;=MineCount*Days</f>
        <v/>
      </c>
      <c r="C3331">
        <f>IF(B3331,INT((A3331-1)/Days)+1,"")</f>
        <v/>
      </c>
      <c r="D3331">
        <f>IF(B3331,MOD(A3331-1,Days),"")</f>
        <v/>
      </c>
      <c r="E3331" s="16">
        <f>IF(B3331,StartDate+D3331,"")</f>
        <v/>
      </c>
      <c r="F3331">
        <f>IF(B3331,MAX(MOD(SIN(Seed*0.1373+C3331*12.9898+D3331*78.233)*43758.5453,1),1E-9),"")</f>
        <v/>
      </c>
      <c r="G3331">
        <f>IF(B3331,MOD(SIN(Seed*0.5917+C3331*39.3468+D3331*11.135)*24634.6345,1),"")</f>
        <v/>
      </c>
      <c r="H3331">
        <f>IF(B3331,SQRT(-2*LN(F3331))*COS(2*PI()*G3331),"")</f>
        <v/>
      </c>
      <c r="I3331">
        <f>IF(B3331,IF(D3331=0,H3331,Rho*I3330+SQRT(1-Rho^2)*H3331),"")</f>
        <v/>
      </c>
      <c r="J3331">
        <f>IF(B3331,IF(Dist="Normal",DistA+DistB*I3331,DistA+(DistB-DistA)*NORMSDIST(I3331)),"")</f>
        <v/>
      </c>
      <c r="K3331">
        <f>IF(B3331,INDEX(MineScale,C3331),"")</f>
        <v/>
      </c>
      <c r="L3331">
        <f>IF(B3331,INDEX(Dow,1,WEEKDAY(E3331,2)),"")</f>
        <v/>
      </c>
      <c r="M3331">
        <f>IF(B3331,(1+Trend)^D3331,"")</f>
        <v/>
      </c>
      <c r="N3331">
        <f>IF(B3331,EXP(SUMPRODUCT(LN(1+(EvEff-1)*INDEX(Affected,0,C3331)*EXP(-((E3331-EvCenter)^2)/(2*EvSigma^2))))),"")</f>
        <v/>
      </c>
      <c r="O3331">
        <f>IF(B3331,ROUND(MAX(0,J3331*K3331*L3331*M3331*N3331),2),"")</f>
        <v/>
      </c>
    </row>
    <row r="3332">
      <c r="A3332" t="n">
        <v>3331</v>
      </c>
      <c r="B3332">
        <f>A3332&lt;=MineCount*Days</f>
        <v/>
      </c>
      <c r="C3332">
        <f>IF(B3332,INT((A3332-1)/Days)+1,"")</f>
        <v/>
      </c>
      <c r="D3332">
        <f>IF(B3332,MOD(A3332-1,Days),"")</f>
        <v/>
      </c>
      <c r="E3332" s="16">
        <f>IF(B3332,StartDate+D3332,"")</f>
        <v/>
      </c>
      <c r="F3332">
        <f>IF(B3332,MAX(MOD(SIN(Seed*0.1373+C3332*12.9898+D3332*78.233)*43758.5453,1),1E-9),"")</f>
        <v/>
      </c>
      <c r="G3332">
        <f>IF(B3332,MOD(SIN(Seed*0.5917+C3332*39.3468+D3332*11.135)*24634.6345,1),"")</f>
        <v/>
      </c>
      <c r="H3332">
        <f>IF(B3332,SQRT(-2*LN(F3332))*COS(2*PI()*G3332),"")</f>
        <v/>
      </c>
      <c r="I3332">
        <f>IF(B3332,IF(D3332=0,H3332,Rho*I3331+SQRT(1-Rho^2)*H3332),"")</f>
        <v/>
      </c>
      <c r="J3332">
        <f>IF(B3332,IF(Dist="Normal",DistA+DistB*I3332,DistA+(DistB-DistA)*NORMSDIST(I3332)),"")</f>
        <v/>
      </c>
      <c r="K3332">
        <f>IF(B3332,INDEX(MineScale,C3332),"")</f>
        <v/>
      </c>
      <c r="L3332">
        <f>IF(B3332,INDEX(Dow,1,WEEKDAY(E3332,2)),"")</f>
        <v/>
      </c>
      <c r="M3332">
        <f>IF(B3332,(1+Trend)^D3332,"")</f>
        <v/>
      </c>
      <c r="N3332">
        <f>IF(B3332,EXP(SUMPRODUCT(LN(1+(EvEff-1)*INDEX(Affected,0,C3332)*EXP(-((E3332-EvCenter)^2)/(2*EvSigma^2))))),"")</f>
        <v/>
      </c>
      <c r="O3332">
        <f>IF(B3332,ROUND(MAX(0,J3332*K3332*L3332*M3332*N3332),2),"")</f>
        <v/>
      </c>
    </row>
    <row r="3333">
      <c r="A3333" t="n">
        <v>3332</v>
      </c>
      <c r="B3333">
        <f>A3333&lt;=MineCount*Days</f>
        <v/>
      </c>
      <c r="C3333">
        <f>IF(B3333,INT((A3333-1)/Days)+1,"")</f>
        <v/>
      </c>
      <c r="D3333">
        <f>IF(B3333,MOD(A3333-1,Days),"")</f>
        <v/>
      </c>
      <c r="E3333" s="16">
        <f>IF(B3333,StartDate+D3333,"")</f>
        <v/>
      </c>
      <c r="F3333">
        <f>IF(B3333,MAX(MOD(SIN(Seed*0.1373+C3333*12.9898+D3333*78.233)*43758.5453,1),1E-9),"")</f>
        <v/>
      </c>
      <c r="G3333">
        <f>IF(B3333,MOD(SIN(Seed*0.5917+C3333*39.3468+D3333*11.135)*24634.6345,1),"")</f>
        <v/>
      </c>
      <c r="H3333">
        <f>IF(B3333,SQRT(-2*LN(F3333))*COS(2*PI()*G3333),"")</f>
        <v/>
      </c>
      <c r="I3333">
        <f>IF(B3333,IF(D3333=0,H3333,Rho*I3332+SQRT(1-Rho^2)*H3333),"")</f>
        <v/>
      </c>
      <c r="J3333">
        <f>IF(B3333,IF(Dist="Normal",DistA+DistB*I3333,DistA+(DistB-DistA)*NORMSDIST(I3333)),"")</f>
        <v/>
      </c>
      <c r="K3333">
        <f>IF(B3333,INDEX(MineScale,C3333),"")</f>
        <v/>
      </c>
      <c r="L3333">
        <f>IF(B3333,INDEX(Dow,1,WEEKDAY(E3333,2)),"")</f>
        <v/>
      </c>
      <c r="M3333">
        <f>IF(B3333,(1+Trend)^D3333,"")</f>
        <v/>
      </c>
      <c r="N3333">
        <f>IF(B3333,EXP(SUMPRODUCT(LN(1+(EvEff-1)*INDEX(Affected,0,C3333)*EXP(-((E3333-EvCenter)^2)/(2*EvSigma^2))))),"")</f>
        <v/>
      </c>
      <c r="O3333">
        <f>IF(B3333,ROUND(MAX(0,J3333*K3333*L3333*M3333*N3333),2),"")</f>
        <v/>
      </c>
    </row>
    <row r="3334">
      <c r="A3334" t="n">
        <v>3333</v>
      </c>
      <c r="B3334">
        <f>A3334&lt;=MineCount*Days</f>
        <v/>
      </c>
      <c r="C3334">
        <f>IF(B3334,INT((A3334-1)/Days)+1,"")</f>
        <v/>
      </c>
      <c r="D3334">
        <f>IF(B3334,MOD(A3334-1,Days),"")</f>
        <v/>
      </c>
      <c r="E3334" s="16">
        <f>IF(B3334,StartDate+D3334,"")</f>
        <v/>
      </c>
      <c r="F3334">
        <f>IF(B3334,MAX(MOD(SIN(Seed*0.1373+C3334*12.9898+D3334*78.233)*43758.5453,1),1E-9),"")</f>
        <v/>
      </c>
      <c r="G3334">
        <f>IF(B3334,MOD(SIN(Seed*0.5917+C3334*39.3468+D3334*11.135)*24634.6345,1),"")</f>
        <v/>
      </c>
      <c r="H3334">
        <f>IF(B3334,SQRT(-2*LN(F3334))*COS(2*PI()*G3334),"")</f>
        <v/>
      </c>
      <c r="I3334">
        <f>IF(B3334,IF(D3334=0,H3334,Rho*I3333+SQRT(1-Rho^2)*H3334),"")</f>
        <v/>
      </c>
      <c r="J3334">
        <f>IF(B3334,IF(Dist="Normal",DistA+DistB*I3334,DistA+(DistB-DistA)*NORMSDIST(I3334)),"")</f>
        <v/>
      </c>
      <c r="K3334">
        <f>IF(B3334,INDEX(MineScale,C3334),"")</f>
        <v/>
      </c>
      <c r="L3334">
        <f>IF(B3334,INDEX(Dow,1,WEEKDAY(E3334,2)),"")</f>
        <v/>
      </c>
      <c r="M3334">
        <f>IF(B3334,(1+Trend)^D3334,"")</f>
        <v/>
      </c>
      <c r="N3334">
        <f>IF(B3334,EXP(SUMPRODUCT(LN(1+(EvEff-1)*INDEX(Affected,0,C3334)*EXP(-((E3334-EvCenter)^2)/(2*EvSigma^2))))),"")</f>
        <v/>
      </c>
      <c r="O3334">
        <f>IF(B3334,ROUND(MAX(0,J3334*K3334*L3334*M3334*N3334),2),"")</f>
        <v/>
      </c>
    </row>
    <row r="3335">
      <c r="A3335" t="n">
        <v>3334</v>
      </c>
      <c r="B3335">
        <f>A3335&lt;=MineCount*Days</f>
        <v/>
      </c>
      <c r="C3335">
        <f>IF(B3335,INT((A3335-1)/Days)+1,"")</f>
        <v/>
      </c>
      <c r="D3335">
        <f>IF(B3335,MOD(A3335-1,Days),"")</f>
        <v/>
      </c>
      <c r="E3335" s="16">
        <f>IF(B3335,StartDate+D3335,"")</f>
        <v/>
      </c>
      <c r="F3335">
        <f>IF(B3335,MAX(MOD(SIN(Seed*0.1373+C3335*12.9898+D3335*78.233)*43758.5453,1),1E-9),"")</f>
        <v/>
      </c>
      <c r="G3335">
        <f>IF(B3335,MOD(SIN(Seed*0.5917+C3335*39.3468+D3335*11.135)*24634.6345,1),"")</f>
        <v/>
      </c>
      <c r="H3335">
        <f>IF(B3335,SQRT(-2*LN(F3335))*COS(2*PI()*G3335),"")</f>
        <v/>
      </c>
      <c r="I3335">
        <f>IF(B3335,IF(D3335=0,H3335,Rho*I3334+SQRT(1-Rho^2)*H3335),"")</f>
        <v/>
      </c>
      <c r="J3335">
        <f>IF(B3335,IF(Dist="Normal",DistA+DistB*I3335,DistA+(DistB-DistA)*NORMSDIST(I3335)),"")</f>
        <v/>
      </c>
      <c r="K3335">
        <f>IF(B3335,INDEX(MineScale,C3335),"")</f>
        <v/>
      </c>
      <c r="L3335">
        <f>IF(B3335,INDEX(Dow,1,WEEKDAY(E3335,2)),"")</f>
        <v/>
      </c>
      <c r="M3335">
        <f>IF(B3335,(1+Trend)^D3335,"")</f>
        <v/>
      </c>
      <c r="N3335">
        <f>IF(B3335,EXP(SUMPRODUCT(LN(1+(EvEff-1)*INDEX(Affected,0,C3335)*EXP(-((E3335-EvCenter)^2)/(2*EvSigma^2))))),"")</f>
        <v/>
      </c>
      <c r="O3335">
        <f>IF(B3335,ROUND(MAX(0,J3335*K3335*L3335*M3335*N3335),2),"")</f>
        <v/>
      </c>
    </row>
    <row r="3336">
      <c r="A3336" t="n">
        <v>3335</v>
      </c>
      <c r="B3336">
        <f>A3336&lt;=MineCount*Days</f>
        <v/>
      </c>
      <c r="C3336">
        <f>IF(B3336,INT((A3336-1)/Days)+1,"")</f>
        <v/>
      </c>
      <c r="D3336">
        <f>IF(B3336,MOD(A3336-1,Days),"")</f>
        <v/>
      </c>
      <c r="E3336" s="16">
        <f>IF(B3336,StartDate+D3336,"")</f>
        <v/>
      </c>
      <c r="F3336">
        <f>IF(B3336,MAX(MOD(SIN(Seed*0.1373+C3336*12.9898+D3336*78.233)*43758.5453,1),1E-9),"")</f>
        <v/>
      </c>
      <c r="G3336">
        <f>IF(B3336,MOD(SIN(Seed*0.5917+C3336*39.3468+D3336*11.135)*24634.6345,1),"")</f>
        <v/>
      </c>
      <c r="H3336">
        <f>IF(B3336,SQRT(-2*LN(F3336))*COS(2*PI()*G3336),"")</f>
        <v/>
      </c>
      <c r="I3336">
        <f>IF(B3336,IF(D3336=0,H3336,Rho*I3335+SQRT(1-Rho^2)*H3336),"")</f>
        <v/>
      </c>
      <c r="J3336">
        <f>IF(B3336,IF(Dist="Normal",DistA+DistB*I3336,DistA+(DistB-DistA)*NORMSDIST(I3336)),"")</f>
        <v/>
      </c>
      <c r="K3336">
        <f>IF(B3336,INDEX(MineScale,C3336),"")</f>
        <v/>
      </c>
      <c r="L3336">
        <f>IF(B3336,INDEX(Dow,1,WEEKDAY(E3336,2)),"")</f>
        <v/>
      </c>
      <c r="M3336">
        <f>IF(B3336,(1+Trend)^D3336,"")</f>
        <v/>
      </c>
      <c r="N3336">
        <f>IF(B3336,EXP(SUMPRODUCT(LN(1+(EvEff-1)*INDEX(Affected,0,C3336)*EXP(-((E3336-EvCenter)^2)/(2*EvSigma^2))))),"")</f>
        <v/>
      </c>
      <c r="O3336">
        <f>IF(B3336,ROUND(MAX(0,J3336*K3336*L3336*M3336*N3336),2),"")</f>
        <v/>
      </c>
    </row>
    <row r="3337">
      <c r="A3337" t="n">
        <v>3336</v>
      </c>
      <c r="B3337">
        <f>A3337&lt;=MineCount*Days</f>
        <v/>
      </c>
      <c r="C3337">
        <f>IF(B3337,INT((A3337-1)/Days)+1,"")</f>
        <v/>
      </c>
      <c r="D3337">
        <f>IF(B3337,MOD(A3337-1,Days),"")</f>
        <v/>
      </c>
      <c r="E3337" s="16">
        <f>IF(B3337,StartDate+D3337,"")</f>
        <v/>
      </c>
      <c r="F3337">
        <f>IF(B3337,MAX(MOD(SIN(Seed*0.1373+C3337*12.9898+D3337*78.233)*43758.5453,1),1E-9),"")</f>
        <v/>
      </c>
      <c r="G3337">
        <f>IF(B3337,MOD(SIN(Seed*0.5917+C3337*39.3468+D3337*11.135)*24634.6345,1),"")</f>
        <v/>
      </c>
      <c r="H3337">
        <f>IF(B3337,SQRT(-2*LN(F3337))*COS(2*PI()*G3337),"")</f>
        <v/>
      </c>
      <c r="I3337">
        <f>IF(B3337,IF(D3337=0,H3337,Rho*I3336+SQRT(1-Rho^2)*H3337),"")</f>
        <v/>
      </c>
      <c r="J3337">
        <f>IF(B3337,IF(Dist="Normal",DistA+DistB*I3337,DistA+(DistB-DistA)*NORMSDIST(I3337)),"")</f>
        <v/>
      </c>
      <c r="K3337">
        <f>IF(B3337,INDEX(MineScale,C3337),"")</f>
        <v/>
      </c>
      <c r="L3337">
        <f>IF(B3337,INDEX(Dow,1,WEEKDAY(E3337,2)),"")</f>
        <v/>
      </c>
      <c r="M3337">
        <f>IF(B3337,(1+Trend)^D3337,"")</f>
        <v/>
      </c>
      <c r="N3337">
        <f>IF(B3337,EXP(SUMPRODUCT(LN(1+(EvEff-1)*INDEX(Affected,0,C3337)*EXP(-((E3337-EvCenter)^2)/(2*EvSigma^2))))),"")</f>
        <v/>
      </c>
      <c r="O3337">
        <f>IF(B3337,ROUND(MAX(0,J3337*K3337*L3337*M3337*N3337),2),"")</f>
        <v/>
      </c>
    </row>
    <row r="3338">
      <c r="A3338" t="n">
        <v>3337</v>
      </c>
      <c r="B3338">
        <f>A3338&lt;=MineCount*Days</f>
        <v/>
      </c>
      <c r="C3338">
        <f>IF(B3338,INT((A3338-1)/Days)+1,"")</f>
        <v/>
      </c>
      <c r="D3338">
        <f>IF(B3338,MOD(A3338-1,Days),"")</f>
        <v/>
      </c>
      <c r="E3338" s="16">
        <f>IF(B3338,StartDate+D3338,"")</f>
        <v/>
      </c>
      <c r="F3338">
        <f>IF(B3338,MAX(MOD(SIN(Seed*0.1373+C3338*12.9898+D3338*78.233)*43758.5453,1),1E-9),"")</f>
        <v/>
      </c>
      <c r="G3338">
        <f>IF(B3338,MOD(SIN(Seed*0.5917+C3338*39.3468+D3338*11.135)*24634.6345,1),"")</f>
        <v/>
      </c>
      <c r="H3338">
        <f>IF(B3338,SQRT(-2*LN(F3338))*COS(2*PI()*G3338),"")</f>
        <v/>
      </c>
      <c r="I3338">
        <f>IF(B3338,IF(D3338=0,H3338,Rho*I3337+SQRT(1-Rho^2)*H3338),"")</f>
        <v/>
      </c>
      <c r="J3338">
        <f>IF(B3338,IF(Dist="Normal",DistA+DistB*I3338,DistA+(DistB-DistA)*NORMSDIST(I3338)),"")</f>
        <v/>
      </c>
      <c r="K3338">
        <f>IF(B3338,INDEX(MineScale,C3338),"")</f>
        <v/>
      </c>
      <c r="L3338">
        <f>IF(B3338,INDEX(Dow,1,WEEKDAY(E3338,2)),"")</f>
        <v/>
      </c>
      <c r="M3338">
        <f>IF(B3338,(1+Trend)^D3338,"")</f>
        <v/>
      </c>
      <c r="N3338">
        <f>IF(B3338,EXP(SUMPRODUCT(LN(1+(EvEff-1)*INDEX(Affected,0,C3338)*EXP(-((E3338-EvCenter)^2)/(2*EvSigma^2))))),"")</f>
        <v/>
      </c>
      <c r="O3338">
        <f>IF(B3338,ROUND(MAX(0,J3338*K3338*L3338*M3338*N3338),2),"")</f>
        <v/>
      </c>
    </row>
    <row r="3339">
      <c r="A3339" t="n">
        <v>3338</v>
      </c>
      <c r="B3339">
        <f>A3339&lt;=MineCount*Days</f>
        <v/>
      </c>
      <c r="C3339">
        <f>IF(B3339,INT((A3339-1)/Days)+1,"")</f>
        <v/>
      </c>
      <c r="D3339">
        <f>IF(B3339,MOD(A3339-1,Days),"")</f>
        <v/>
      </c>
      <c r="E3339" s="16">
        <f>IF(B3339,StartDate+D3339,"")</f>
        <v/>
      </c>
      <c r="F3339">
        <f>IF(B3339,MAX(MOD(SIN(Seed*0.1373+C3339*12.9898+D3339*78.233)*43758.5453,1),1E-9),"")</f>
        <v/>
      </c>
      <c r="G3339">
        <f>IF(B3339,MOD(SIN(Seed*0.5917+C3339*39.3468+D3339*11.135)*24634.6345,1),"")</f>
        <v/>
      </c>
      <c r="H3339">
        <f>IF(B3339,SQRT(-2*LN(F3339))*COS(2*PI()*G3339),"")</f>
        <v/>
      </c>
      <c r="I3339">
        <f>IF(B3339,IF(D3339=0,H3339,Rho*I3338+SQRT(1-Rho^2)*H3339),"")</f>
        <v/>
      </c>
      <c r="J3339">
        <f>IF(B3339,IF(Dist="Normal",DistA+DistB*I3339,DistA+(DistB-DistA)*NORMSDIST(I3339)),"")</f>
        <v/>
      </c>
      <c r="K3339">
        <f>IF(B3339,INDEX(MineScale,C3339),"")</f>
        <v/>
      </c>
      <c r="L3339">
        <f>IF(B3339,INDEX(Dow,1,WEEKDAY(E3339,2)),"")</f>
        <v/>
      </c>
      <c r="M3339">
        <f>IF(B3339,(1+Trend)^D3339,"")</f>
        <v/>
      </c>
      <c r="N3339">
        <f>IF(B3339,EXP(SUMPRODUCT(LN(1+(EvEff-1)*INDEX(Affected,0,C3339)*EXP(-((E3339-EvCenter)^2)/(2*EvSigma^2))))),"")</f>
        <v/>
      </c>
      <c r="O3339">
        <f>IF(B3339,ROUND(MAX(0,J3339*K3339*L3339*M3339*N3339),2),"")</f>
        <v/>
      </c>
    </row>
    <row r="3340">
      <c r="A3340" t="n">
        <v>3339</v>
      </c>
      <c r="B3340">
        <f>A3340&lt;=MineCount*Days</f>
        <v/>
      </c>
      <c r="C3340">
        <f>IF(B3340,INT((A3340-1)/Days)+1,"")</f>
        <v/>
      </c>
      <c r="D3340">
        <f>IF(B3340,MOD(A3340-1,Days),"")</f>
        <v/>
      </c>
      <c r="E3340" s="16">
        <f>IF(B3340,StartDate+D3340,"")</f>
        <v/>
      </c>
      <c r="F3340">
        <f>IF(B3340,MAX(MOD(SIN(Seed*0.1373+C3340*12.9898+D3340*78.233)*43758.5453,1),1E-9),"")</f>
        <v/>
      </c>
      <c r="G3340">
        <f>IF(B3340,MOD(SIN(Seed*0.5917+C3340*39.3468+D3340*11.135)*24634.6345,1),"")</f>
        <v/>
      </c>
      <c r="H3340">
        <f>IF(B3340,SQRT(-2*LN(F3340))*COS(2*PI()*G3340),"")</f>
        <v/>
      </c>
      <c r="I3340">
        <f>IF(B3340,IF(D3340=0,H3340,Rho*I3339+SQRT(1-Rho^2)*H3340),"")</f>
        <v/>
      </c>
      <c r="J3340">
        <f>IF(B3340,IF(Dist="Normal",DistA+DistB*I3340,DistA+(DistB-DistA)*NORMSDIST(I3340)),"")</f>
        <v/>
      </c>
      <c r="K3340">
        <f>IF(B3340,INDEX(MineScale,C3340),"")</f>
        <v/>
      </c>
      <c r="L3340">
        <f>IF(B3340,INDEX(Dow,1,WEEKDAY(E3340,2)),"")</f>
        <v/>
      </c>
      <c r="M3340">
        <f>IF(B3340,(1+Trend)^D3340,"")</f>
        <v/>
      </c>
      <c r="N3340">
        <f>IF(B3340,EXP(SUMPRODUCT(LN(1+(EvEff-1)*INDEX(Affected,0,C3340)*EXP(-((E3340-EvCenter)^2)/(2*EvSigma^2))))),"")</f>
        <v/>
      </c>
      <c r="O3340">
        <f>IF(B3340,ROUND(MAX(0,J3340*K3340*L3340*M3340*N3340),2),"")</f>
        <v/>
      </c>
    </row>
    <row r="3341">
      <c r="A3341" t="n">
        <v>3340</v>
      </c>
      <c r="B3341">
        <f>A3341&lt;=MineCount*Days</f>
        <v/>
      </c>
      <c r="C3341">
        <f>IF(B3341,INT((A3341-1)/Days)+1,"")</f>
        <v/>
      </c>
      <c r="D3341">
        <f>IF(B3341,MOD(A3341-1,Days),"")</f>
        <v/>
      </c>
      <c r="E3341" s="16">
        <f>IF(B3341,StartDate+D3341,"")</f>
        <v/>
      </c>
      <c r="F3341">
        <f>IF(B3341,MAX(MOD(SIN(Seed*0.1373+C3341*12.9898+D3341*78.233)*43758.5453,1),1E-9),"")</f>
        <v/>
      </c>
      <c r="G3341">
        <f>IF(B3341,MOD(SIN(Seed*0.5917+C3341*39.3468+D3341*11.135)*24634.6345,1),"")</f>
        <v/>
      </c>
      <c r="H3341">
        <f>IF(B3341,SQRT(-2*LN(F3341))*COS(2*PI()*G3341),"")</f>
        <v/>
      </c>
      <c r="I3341">
        <f>IF(B3341,IF(D3341=0,H3341,Rho*I3340+SQRT(1-Rho^2)*H3341),"")</f>
        <v/>
      </c>
      <c r="J3341">
        <f>IF(B3341,IF(Dist="Normal",DistA+DistB*I3341,DistA+(DistB-DistA)*NORMSDIST(I3341)),"")</f>
        <v/>
      </c>
      <c r="K3341">
        <f>IF(B3341,INDEX(MineScale,C3341),"")</f>
        <v/>
      </c>
      <c r="L3341">
        <f>IF(B3341,INDEX(Dow,1,WEEKDAY(E3341,2)),"")</f>
        <v/>
      </c>
      <c r="M3341">
        <f>IF(B3341,(1+Trend)^D3341,"")</f>
        <v/>
      </c>
      <c r="N3341">
        <f>IF(B3341,EXP(SUMPRODUCT(LN(1+(EvEff-1)*INDEX(Affected,0,C3341)*EXP(-((E3341-EvCenter)^2)/(2*EvSigma^2))))),"")</f>
        <v/>
      </c>
      <c r="O3341">
        <f>IF(B3341,ROUND(MAX(0,J3341*K3341*L3341*M3341*N3341),2),"")</f>
        <v/>
      </c>
    </row>
    <row r="3342">
      <c r="A3342" t="n">
        <v>3341</v>
      </c>
      <c r="B3342">
        <f>A3342&lt;=MineCount*Days</f>
        <v/>
      </c>
      <c r="C3342">
        <f>IF(B3342,INT((A3342-1)/Days)+1,"")</f>
        <v/>
      </c>
      <c r="D3342">
        <f>IF(B3342,MOD(A3342-1,Days),"")</f>
        <v/>
      </c>
      <c r="E3342" s="16">
        <f>IF(B3342,StartDate+D3342,"")</f>
        <v/>
      </c>
      <c r="F3342">
        <f>IF(B3342,MAX(MOD(SIN(Seed*0.1373+C3342*12.9898+D3342*78.233)*43758.5453,1),1E-9),"")</f>
        <v/>
      </c>
      <c r="G3342">
        <f>IF(B3342,MOD(SIN(Seed*0.5917+C3342*39.3468+D3342*11.135)*24634.6345,1),"")</f>
        <v/>
      </c>
      <c r="H3342">
        <f>IF(B3342,SQRT(-2*LN(F3342))*COS(2*PI()*G3342),"")</f>
        <v/>
      </c>
      <c r="I3342">
        <f>IF(B3342,IF(D3342=0,H3342,Rho*I3341+SQRT(1-Rho^2)*H3342),"")</f>
        <v/>
      </c>
      <c r="J3342">
        <f>IF(B3342,IF(Dist="Normal",DistA+DistB*I3342,DistA+(DistB-DistA)*NORMSDIST(I3342)),"")</f>
        <v/>
      </c>
      <c r="K3342">
        <f>IF(B3342,INDEX(MineScale,C3342),"")</f>
        <v/>
      </c>
      <c r="L3342">
        <f>IF(B3342,INDEX(Dow,1,WEEKDAY(E3342,2)),"")</f>
        <v/>
      </c>
      <c r="M3342">
        <f>IF(B3342,(1+Trend)^D3342,"")</f>
        <v/>
      </c>
      <c r="N3342">
        <f>IF(B3342,EXP(SUMPRODUCT(LN(1+(EvEff-1)*INDEX(Affected,0,C3342)*EXP(-((E3342-EvCenter)^2)/(2*EvSigma^2))))),"")</f>
        <v/>
      </c>
      <c r="O3342">
        <f>IF(B3342,ROUND(MAX(0,J3342*K3342*L3342*M3342*N3342),2),"")</f>
        <v/>
      </c>
    </row>
    <row r="3343">
      <c r="A3343" t="n">
        <v>3342</v>
      </c>
      <c r="B3343">
        <f>A3343&lt;=MineCount*Days</f>
        <v/>
      </c>
      <c r="C3343">
        <f>IF(B3343,INT((A3343-1)/Days)+1,"")</f>
        <v/>
      </c>
      <c r="D3343">
        <f>IF(B3343,MOD(A3343-1,Days),"")</f>
        <v/>
      </c>
      <c r="E3343" s="16">
        <f>IF(B3343,StartDate+D3343,"")</f>
        <v/>
      </c>
      <c r="F3343">
        <f>IF(B3343,MAX(MOD(SIN(Seed*0.1373+C3343*12.9898+D3343*78.233)*43758.5453,1),1E-9),"")</f>
        <v/>
      </c>
      <c r="G3343">
        <f>IF(B3343,MOD(SIN(Seed*0.5917+C3343*39.3468+D3343*11.135)*24634.6345,1),"")</f>
        <v/>
      </c>
      <c r="H3343">
        <f>IF(B3343,SQRT(-2*LN(F3343))*COS(2*PI()*G3343),"")</f>
        <v/>
      </c>
      <c r="I3343">
        <f>IF(B3343,IF(D3343=0,H3343,Rho*I3342+SQRT(1-Rho^2)*H3343),"")</f>
        <v/>
      </c>
      <c r="J3343">
        <f>IF(B3343,IF(Dist="Normal",DistA+DistB*I3343,DistA+(DistB-DistA)*NORMSDIST(I3343)),"")</f>
        <v/>
      </c>
      <c r="K3343">
        <f>IF(B3343,INDEX(MineScale,C3343),"")</f>
        <v/>
      </c>
      <c r="L3343">
        <f>IF(B3343,INDEX(Dow,1,WEEKDAY(E3343,2)),"")</f>
        <v/>
      </c>
      <c r="M3343">
        <f>IF(B3343,(1+Trend)^D3343,"")</f>
        <v/>
      </c>
      <c r="N3343">
        <f>IF(B3343,EXP(SUMPRODUCT(LN(1+(EvEff-1)*INDEX(Affected,0,C3343)*EXP(-((E3343-EvCenter)^2)/(2*EvSigma^2))))),"")</f>
        <v/>
      </c>
      <c r="O3343">
        <f>IF(B3343,ROUND(MAX(0,J3343*K3343*L3343*M3343*N3343),2),"")</f>
        <v/>
      </c>
    </row>
    <row r="3344">
      <c r="A3344" t="n">
        <v>3343</v>
      </c>
      <c r="B3344">
        <f>A3344&lt;=MineCount*Days</f>
        <v/>
      </c>
      <c r="C3344">
        <f>IF(B3344,INT((A3344-1)/Days)+1,"")</f>
        <v/>
      </c>
      <c r="D3344">
        <f>IF(B3344,MOD(A3344-1,Days),"")</f>
        <v/>
      </c>
      <c r="E3344" s="16">
        <f>IF(B3344,StartDate+D3344,"")</f>
        <v/>
      </c>
      <c r="F3344">
        <f>IF(B3344,MAX(MOD(SIN(Seed*0.1373+C3344*12.9898+D3344*78.233)*43758.5453,1),1E-9),"")</f>
        <v/>
      </c>
      <c r="G3344">
        <f>IF(B3344,MOD(SIN(Seed*0.5917+C3344*39.3468+D3344*11.135)*24634.6345,1),"")</f>
        <v/>
      </c>
      <c r="H3344">
        <f>IF(B3344,SQRT(-2*LN(F3344))*COS(2*PI()*G3344),"")</f>
        <v/>
      </c>
      <c r="I3344">
        <f>IF(B3344,IF(D3344=0,H3344,Rho*I3343+SQRT(1-Rho^2)*H3344),"")</f>
        <v/>
      </c>
      <c r="J3344">
        <f>IF(B3344,IF(Dist="Normal",DistA+DistB*I3344,DistA+(DistB-DistA)*NORMSDIST(I3344)),"")</f>
        <v/>
      </c>
      <c r="K3344">
        <f>IF(B3344,INDEX(MineScale,C3344),"")</f>
        <v/>
      </c>
      <c r="L3344">
        <f>IF(B3344,INDEX(Dow,1,WEEKDAY(E3344,2)),"")</f>
        <v/>
      </c>
      <c r="M3344">
        <f>IF(B3344,(1+Trend)^D3344,"")</f>
        <v/>
      </c>
      <c r="N3344">
        <f>IF(B3344,EXP(SUMPRODUCT(LN(1+(EvEff-1)*INDEX(Affected,0,C3344)*EXP(-((E3344-EvCenter)^2)/(2*EvSigma^2))))),"")</f>
        <v/>
      </c>
      <c r="O3344">
        <f>IF(B3344,ROUND(MAX(0,J3344*K3344*L3344*M3344*N3344),2),"")</f>
        <v/>
      </c>
    </row>
    <row r="3345">
      <c r="A3345" t="n">
        <v>3344</v>
      </c>
      <c r="B3345">
        <f>A3345&lt;=MineCount*Days</f>
        <v/>
      </c>
      <c r="C3345">
        <f>IF(B3345,INT((A3345-1)/Days)+1,"")</f>
        <v/>
      </c>
      <c r="D3345">
        <f>IF(B3345,MOD(A3345-1,Days),"")</f>
        <v/>
      </c>
      <c r="E3345" s="16">
        <f>IF(B3345,StartDate+D3345,"")</f>
        <v/>
      </c>
      <c r="F3345">
        <f>IF(B3345,MAX(MOD(SIN(Seed*0.1373+C3345*12.9898+D3345*78.233)*43758.5453,1),1E-9),"")</f>
        <v/>
      </c>
      <c r="G3345">
        <f>IF(B3345,MOD(SIN(Seed*0.5917+C3345*39.3468+D3345*11.135)*24634.6345,1),"")</f>
        <v/>
      </c>
      <c r="H3345">
        <f>IF(B3345,SQRT(-2*LN(F3345))*COS(2*PI()*G3345),"")</f>
        <v/>
      </c>
      <c r="I3345">
        <f>IF(B3345,IF(D3345=0,H3345,Rho*I3344+SQRT(1-Rho^2)*H3345),"")</f>
        <v/>
      </c>
      <c r="J3345">
        <f>IF(B3345,IF(Dist="Normal",DistA+DistB*I3345,DistA+(DistB-DistA)*NORMSDIST(I3345)),"")</f>
        <v/>
      </c>
      <c r="K3345">
        <f>IF(B3345,INDEX(MineScale,C3345),"")</f>
        <v/>
      </c>
      <c r="L3345">
        <f>IF(B3345,INDEX(Dow,1,WEEKDAY(E3345,2)),"")</f>
        <v/>
      </c>
      <c r="M3345">
        <f>IF(B3345,(1+Trend)^D3345,"")</f>
        <v/>
      </c>
      <c r="N3345">
        <f>IF(B3345,EXP(SUMPRODUCT(LN(1+(EvEff-1)*INDEX(Affected,0,C3345)*EXP(-((E3345-EvCenter)^2)/(2*EvSigma^2))))),"")</f>
        <v/>
      </c>
      <c r="O3345">
        <f>IF(B3345,ROUND(MAX(0,J3345*K3345*L3345*M3345*N3345),2),"")</f>
        <v/>
      </c>
    </row>
    <row r="3346">
      <c r="A3346" t="n">
        <v>3345</v>
      </c>
      <c r="B3346">
        <f>A3346&lt;=MineCount*Days</f>
        <v/>
      </c>
      <c r="C3346">
        <f>IF(B3346,INT((A3346-1)/Days)+1,"")</f>
        <v/>
      </c>
      <c r="D3346">
        <f>IF(B3346,MOD(A3346-1,Days),"")</f>
        <v/>
      </c>
      <c r="E3346" s="16">
        <f>IF(B3346,StartDate+D3346,"")</f>
        <v/>
      </c>
      <c r="F3346">
        <f>IF(B3346,MAX(MOD(SIN(Seed*0.1373+C3346*12.9898+D3346*78.233)*43758.5453,1),1E-9),"")</f>
        <v/>
      </c>
      <c r="G3346">
        <f>IF(B3346,MOD(SIN(Seed*0.5917+C3346*39.3468+D3346*11.135)*24634.6345,1),"")</f>
        <v/>
      </c>
      <c r="H3346">
        <f>IF(B3346,SQRT(-2*LN(F3346))*COS(2*PI()*G3346),"")</f>
        <v/>
      </c>
      <c r="I3346">
        <f>IF(B3346,IF(D3346=0,H3346,Rho*I3345+SQRT(1-Rho^2)*H3346),"")</f>
        <v/>
      </c>
      <c r="J3346">
        <f>IF(B3346,IF(Dist="Normal",DistA+DistB*I3346,DistA+(DistB-DistA)*NORMSDIST(I3346)),"")</f>
        <v/>
      </c>
      <c r="K3346">
        <f>IF(B3346,INDEX(MineScale,C3346),"")</f>
        <v/>
      </c>
      <c r="L3346">
        <f>IF(B3346,INDEX(Dow,1,WEEKDAY(E3346,2)),"")</f>
        <v/>
      </c>
      <c r="M3346">
        <f>IF(B3346,(1+Trend)^D3346,"")</f>
        <v/>
      </c>
      <c r="N3346">
        <f>IF(B3346,EXP(SUMPRODUCT(LN(1+(EvEff-1)*INDEX(Affected,0,C3346)*EXP(-((E3346-EvCenter)^2)/(2*EvSigma^2))))),"")</f>
        <v/>
      </c>
      <c r="O3346">
        <f>IF(B3346,ROUND(MAX(0,J3346*K3346*L3346*M3346*N3346),2),"")</f>
        <v/>
      </c>
    </row>
    <row r="3347">
      <c r="A3347" t="n">
        <v>3346</v>
      </c>
      <c r="B3347">
        <f>A3347&lt;=MineCount*Days</f>
        <v/>
      </c>
      <c r="C3347">
        <f>IF(B3347,INT((A3347-1)/Days)+1,"")</f>
        <v/>
      </c>
      <c r="D3347">
        <f>IF(B3347,MOD(A3347-1,Days),"")</f>
        <v/>
      </c>
      <c r="E3347" s="16">
        <f>IF(B3347,StartDate+D3347,"")</f>
        <v/>
      </c>
      <c r="F3347">
        <f>IF(B3347,MAX(MOD(SIN(Seed*0.1373+C3347*12.9898+D3347*78.233)*43758.5453,1),1E-9),"")</f>
        <v/>
      </c>
      <c r="G3347">
        <f>IF(B3347,MOD(SIN(Seed*0.5917+C3347*39.3468+D3347*11.135)*24634.6345,1),"")</f>
        <v/>
      </c>
      <c r="H3347">
        <f>IF(B3347,SQRT(-2*LN(F3347))*COS(2*PI()*G3347),"")</f>
        <v/>
      </c>
      <c r="I3347">
        <f>IF(B3347,IF(D3347=0,H3347,Rho*I3346+SQRT(1-Rho^2)*H3347),"")</f>
        <v/>
      </c>
      <c r="J3347">
        <f>IF(B3347,IF(Dist="Normal",DistA+DistB*I3347,DistA+(DistB-DistA)*NORMSDIST(I3347)),"")</f>
        <v/>
      </c>
      <c r="K3347">
        <f>IF(B3347,INDEX(MineScale,C3347),"")</f>
        <v/>
      </c>
      <c r="L3347">
        <f>IF(B3347,INDEX(Dow,1,WEEKDAY(E3347,2)),"")</f>
        <v/>
      </c>
      <c r="M3347">
        <f>IF(B3347,(1+Trend)^D3347,"")</f>
        <v/>
      </c>
      <c r="N3347">
        <f>IF(B3347,EXP(SUMPRODUCT(LN(1+(EvEff-1)*INDEX(Affected,0,C3347)*EXP(-((E3347-EvCenter)^2)/(2*EvSigma^2))))),"")</f>
        <v/>
      </c>
      <c r="O3347">
        <f>IF(B3347,ROUND(MAX(0,J3347*K3347*L3347*M3347*N3347),2),"")</f>
        <v/>
      </c>
    </row>
    <row r="3348">
      <c r="A3348" t="n">
        <v>3347</v>
      </c>
      <c r="B3348">
        <f>A3348&lt;=MineCount*Days</f>
        <v/>
      </c>
      <c r="C3348">
        <f>IF(B3348,INT((A3348-1)/Days)+1,"")</f>
        <v/>
      </c>
      <c r="D3348">
        <f>IF(B3348,MOD(A3348-1,Days),"")</f>
        <v/>
      </c>
      <c r="E3348" s="16">
        <f>IF(B3348,StartDate+D3348,"")</f>
        <v/>
      </c>
      <c r="F3348">
        <f>IF(B3348,MAX(MOD(SIN(Seed*0.1373+C3348*12.9898+D3348*78.233)*43758.5453,1),1E-9),"")</f>
        <v/>
      </c>
      <c r="G3348">
        <f>IF(B3348,MOD(SIN(Seed*0.5917+C3348*39.3468+D3348*11.135)*24634.6345,1),"")</f>
        <v/>
      </c>
      <c r="H3348">
        <f>IF(B3348,SQRT(-2*LN(F3348))*COS(2*PI()*G3348),"")</f>
        <v/>
      </c>
      <c r="I3348">
        <f>IF(B3348,IF(D3348=0,H3348,Rho*I3347+SQRT(1-Rho^2)*H3348),"")</f>
        <v/>
      </c>
      <c r="J3348">
        <f>IF(B3348,IF(Dist="Normal",DistA+DistB*I3348,DistA+(DistB-DistA)*NORMSDIST(I3348)),"")</f>
        <v/>
      </c>
      <c r="K3348">
        <f>IF(B3348,INDEX(MineScale,C3348),"")</f>
        <v/>
      </c>
      <c r="L3348">
        <f>IF(B3348,INDEX(Dow,1,WEEKDAY(E3348,2)),"")</f>
        <v/>
      </c>
      <c r="M3348">
        <f>IF(B3348,(1+Trend)^D3348,"")</f>
        <v/>
      </c>
      <c r="N3348">
        <f>IF(B3348,EXP(SUMPRODUCT(LN(1+(EvEff-1)*INDEX(Affected,0,C3348)*EXP(-((E3348-EvCenter)^2)/(2*EvSigma^2))))),"")</f>
        <v/>
      </c>
      <c r="O3348">
        <f>IF(B3348,ROUND(MAX(0,J3348*K3348*L3348*M3348*N3348),2),"")</f>
        <v/>
      </c>
    </row>
    <row r="3349">
      <c r="A3349" t="n">
        <v>3348</v>
      </c>
      <c r="B3349">
        <f>A3349&lt;=MineCount*Days</f>
        <v/>
      </c>
      <c r="C3349">
        <f>IF(B3349,INT((A3349-1)/Days)+1,"")</f>
        <v/>
      </c>
      <c r="D3349">
        <f>IF(B3349,MOD(A3349-1,Days),"")</f>
        <v/>
      </c>
      <c r="E3349" s="16">
        <f>IF(B3349,StartDate+D3349,"")</f>
        <v/>
      </c>
      <c r="F3349">
        <f>IF(B3349,MAX(MOD(SIN(Seed*0.1373+C3349*12.9898+D3349*78.233)*43758.5453,1),1E-9),"")</f>
        <v/>
      </c>
      <c r="G3349">
        <f>IF(B3349,MOD(SIN(Seed*0.5917+C3349*39.3468+D3349*11.135)*24634.6345,1),"")</f>
        <v/>
      </c>
      <c r="H3349">
        <f>IF(B3349,SQRT(-2*LN(F3349))*COS(2*PI()*G3349),"")</f>
        <v/>
      </c>
      <c r="I3349">
        <f>IF(B3349,IF(D3349=0,H3349,Rho*I3348+SQRT(1-Rho^2)*H3349),"")</f>
        <v/>
      </c>
      <c r="J3349">
        <f>IF(B3349,IF(Dist="Normal",DistA+DistB*I3349,DistA+(DistB-DistA)*NORMSDIST(I3349)),"")</f>
        <v/>
      </c>
      <c r="K3349">
        <f>IF(B3349,INDEX(MineScale,C3349),"")</f>
        <v/>
      </c>
      <c r="L3349">
        <f>IF(B3349,INDEX(Dow,1,WEEKDAY(E3349,2)),"")</f>
        <v/>
      </c>
      <c r="M3349">
        <f>IF(B3349,(1+Trend)^D3349,"")</f>
        <v/>
      </c>
      <c r="N3349">
        <f>IF(B3349,EXP(SUMPRODUCT(LN(1+(EvEff-1)*INDEX(Affected,0,C3349)*EXP(-((E3349-EvCenter)^2)/(2*EvSigma^2))))),"")</f>
        <v/>
      </c>
      <c r="O3349">
        <f>IF(B3349,ROUND(MAX(0,J3349*K3349*L3349*M3349*N3349),2),"")</f>
        <v/>
      </c>
    </row>
    <row r="3350">
      <c r="A3350" t="n">
        <v>3349</v>
      </c>
      <c r="B3350">
        <f>A3350&lt;=MineCount*Days</f>
        <v/>
      </c>
      <c r="C3350">
        <f>IF(B3350,INT((A3350-1)/Days)+1,"")</f>
        <v/>
      </c>
      <c r="D3350">
        <f>IF(B3350,MOD(A3350-1,Days),"")</f>
        <v/>
      </c>
      <c r="E3350" s="16">
        <f>IF(B3350,StartDate+D3350,"")</f>
        <v/>
      </c>
      <c r="F3350">
        <f>IF(B3350,MAX(MOD(SIN(Seed*0.1373+C3350*12.9898+D3350*78.233)*43758.5453,1),1E-9),"")</f>
        <v/>
      </c>
      <c r="G3350">
        <f>IF(B3350,MOD(SIN(Seed*0.5917+C3350*39.3468+D3350*11.135)*24634.6345,1),"")</f>
        <v/>
      </c>
      <c r="H3350">
        <f>IF(B3350,SQRT(-2*LN(F3350))*COS(2*PI()*G3350),"")</f>
        <v/>
      </c>
      <c r="I3350">
        <f>IF(B3350,IF(D3350=0,H3350,Rho*I3349+SQRT(1-Rho^2)*H3350),"")</f>
        <v/>
      </c>
      <c r="J3350">
        <f>IF(B3350,IF(Dist="Normal",DistA+DistB*I3350,DistA+(DistB-DistA)*NORMSDIST(I3350)),"")</f>
        <v/>
      </c>
      <c r="K3350">
        <f>IF(B3350,INDEX(MineScale,C3350),"")</f>
        <v/>
      </c>
      <c r="L3350">
        <f>IF(B3350,INDEX(Dow,1,WEEKDAY(E3350,2)),"")</f>
        <v/>
      </c>
      <c r="M3350">
        <f>IF(B3350,(1+Trend)^D3350,"")</f>
        <v/>
      </c>
      <c r="N3350">
        <f>IF(B3350,EXP(SUMPRODUCT(LN(1+(EvEff-1)*INDEX(Affected,0,C3350)*EXP(-((E3350-EvCenter)^2)/(2*EvSigma^2))))),"")</f>
        <v/>
      </c>
      <c r="O3350">
        <f>IF(B3350,ROUND(MAX(0,J3350*K3350*L3350*M3350*N3350),2),"")</f>
        <v/>
      </c>
    </row>
    <row r="3351">
      <c r="A3351" t="n">
        <v>3350</v>
      </c>
      <c r="B3351">
        <f>A3351&lt;=MineCount*Days</f>
        <v/>
      </c>
      <c r="C3351">
        <f>IF(B3351,INT((A3351-1)/Days)+1,"")</f>
        <v/>
      </c>
      <c r="D3351">
        <f>IF(B3351,MOD(A3351-1,Days),"")</f>
        <v/>
      </c>
      <c r="E3351" s="16">
        <f>IF(B3351,StartDate+D3351,"")</f>
        <v/>
      </c>
      <c r="F3351">
        <f>IF(B3351,MAX(MOD(SIN(Seed*0.1373+C3351*12.9898+D3351*78.233)*43758.5453,1),1E-9),"")</f>
        <v/>
      </c>
      <c r="G3351">
        <f>IF(B3351,MOD(SIN(Seed*0.5917+C3351*39.3468+D3351*11.135)*24634.6345,1),"")</f>
        <v/>
      </c>
      <c r="H3351">
        <f>IF(B3351,SQRT(-2*LN(F3351))*COS(2*PI()*G3351),"")</f>
        <v/>
      </c>
      <c r="I3351">
        <f>IF(B3351,IF(D3351=0,H3351,Rho*I3350+SQRT(1-Rho^2)*H3351),"")</f>
        <v/>
      </c>
      <c r="J3351">
        <f>IF(B3351,IF(Dist="Normal",DistA+DistB*I3351,DistA+(DistB-DistA)*NORMSDIST(I3351)),"")</f>
        <v/>
      </c>
      <c r="K3351">
        <f>IF(B3351,INDEX(MineScale,C3351),"")</f>
        <v/>
      </c>
      <c r="L3351">
        <f>IF(B3351,INDEX(Dow,1,WEEKDAY(E3351,2)),"")</f>
        <v/>
      </c>
      <c r="M3351">
        <f>IF(B3351,(1+Trend)^D3351,"")</f>
        <v/>
      </c>
      <c r="N3351">
        <f>IF(B3351,EXP(SUMPRODUCT(LN(1+(EvEff-1)*INDEX(Affected,0,C3351)*EXP(-((E3351-EvCenter)^2)/(2*EvSigma^2))))),"")</f>
        <v/>
      </c>
      <c r="O3351">
        <f>IF(B3351,ROUND(MAX(0,J3351*K3351*L3351*M3351*N3351),2),"")</f>
        <v/>
      </c>
    </row>
    <row r="3352">
      <c r="A3352" t="n">
        <v>3351</v>
      </c>
      <c r="B3352">
        <f>A3352&lt;=MineCount*Days</f>
        <v/>
      </c>
      <c r="C3352">
        <f>IF(B3352,INT((A3352-1)/Days)+1,"")</f>
        <v/>
      </c>
      <c r="D3352">
        <f>IF(B3352,MOD(A3352-1,Days),"")</f>
        <v/>
      </c>
      <c r="E3352" s="16">
        <f>IF(B3352,StartDate+D3352,"")</f>
        <v/>
      </c>
      <c r="F3352">
        <f>IF(B3352,MAX(MOD(SIN(Seed*0.1373+C3352*12.9898+D3352*78.233)*43758.5453,1),1E-9),"")</f>
        <v/>
      </c>
      <c r="G3352">
        <f>IF(B3352,MOD(SIN(Seed*0.5917+C3352*39.3468+D3352*11.135)*24634.6345,1),"")</f>
        <v/>
      </c>
      <c r="H3352">
        <f>IF(B3352,SQRT(-2*LN(F3352))*COS(2*PI()*G3352),"")</f>
        <v/>
      </c>
      <c r="I3352">
        <f>IF(B3352,IF(D3352=0,H3352,Rho*I3351+SQRT(1-Rho^2)*H3352),"")</f>
        <v/>
      </c>
      <c r="J3352">
        <f>IF(B3352,IF(Dist="Normal",DistA+DistB*I3352,DistA+(DistB-DistA)*NORMSDIST(I3352)),"")</f>
        <v/>
      </c>
      <c r="K3352">
        <f>IF(B3352,INDEX(MineScale,C3352),"")</f>
        <v/>
      </c>
      <c r="L3352">
        <f>IF(B3352,INDEX(Dow,1,WEEKDAY(E3352,2)),"")</f>
        <v/>
      </c>
      <c r="M3352">
        <f>IF(B3352,(1+Trend)^D3352,"")</f>
        <v/>
      </c>
      <c r="N3352">
        <f>IF(B3352,EXP(SUMPRODUCT(LN(1+(EvEff-1)*INDEX(Affected,0,C3352)*EXP(-((E3352-EvCenter)^2)/(2*EvSigma^2))))),"")</f>
        <v/>
      </c>
      <c r="O3352">
        <f>IF(B3352,ROUND(MAX(0,J3352*K3352*L3352*M3352*N3352),2),"")</f>
        <v/>
      </c>
    </row>
    <row r="3353">
      <c r="A3353" t="n">
        <v>3352</v>
      </c>
      <c r="B3353">
        <f>A3353&lt;=MineCount*Days</f>
        <v/>
      </c>
      <c r="C3353">
        <f>IF(B3353,INT((A3353-1)/Days)+1,"")</f>
        <v/>
      </c>
      <c r="D3353">
        <f>IF(B3353,MOD(A3353-1,Days),"")</f>
        <v/>
      </c>
      <c r="E3353" s="16">
        <f>IF(B3353,StartDate+D3353,"")</f>
        <v/>
      </c>
      <c r="F3353">
        <f>IF(B3353,MAX(MOD(SIN(Seed*0.1373+C3353*12.9898+D3353*78.233)*43758.5453,1),1E-9),"")</f>
        <v/>
      </c>
      <c r="G3353">
        <f>IF(B3353,MOD(SIN(Seed*0.5917+C3353*39.3468+D3353*11.135)*24634.6345,1),"")</f>
        <v/>
      </c>
      <c r="H3353">
        <f>IF(B3353,SQRT(-2*LN(F3353))*COS(2*PI()*G3353),"")</f>
        <v/>
      </c>
      <c r="I3353">
        <f>IF(B3353,IF(D3353=0,H3353,Rho*I3352+SQRT(1-Rho^2)*H3353),"")</f>
        <v/>
      </c>
      <c r="J3353">
        <f>IF(B3353,IF(Dist="Normal",DistA+DistB*I3353,DistA+(DistB-DistA)*NORMSDIST(I3353)),"")</f>
        <v/>
      </c>
      <c r="K3353">
        <f>IF(B3353,INDEX(MineScale,C3353),"")</f>
        <v/>
      </c>
      <c r="L3353">
        <f>IF(B3353,INDEX(Dow,1,WEEKDAY(E3353,2)),"")</f>
        <v/>
      </c>
      <c r="M3353">
        <f>IF(B3353,(1+Trend)^D3353,"")</f>
        <v/>
      </c>
      <c r="N3353">
        <f>IF(B3353,EXP(SUMPRODUCT(LN(1+(EvEff-1)*INDEX(Affected,0,C3353)*EXP(-((E3353-EvCenter)^2)/(2*EvSigma^2))))),"")</f>
        <v/>
      </c>
      <c r="O3353">
        <f>IF(B3353,ROUND(MAX(0,J3353*K3353*L3353*M3353*N3353),2),"")</f>
        <v/>
      </c>
    </row>
    <row r="3354">
      <c r="A3354" t="n">
        <v>3353</v>
      </c>
      <c r="B3354">
        <f>A3354&lt;=MineCount*Days</f>
        <v/>
      </c>
      <c r="C3354">
        <f>IF(B3354,INT((A3354-1)/Days)+1,"")</f>
        <v/>
      </c>
      <c r="D3354">
        <f>IF(B3354,MOD(A3354-1,Days),"")</f>
        <v/>
      </c>
      <c r="E3354" s="16">
        <f>IF(B3354,StartDate+D3354,"")</f>
        <v/>
      </c>
      <c r="F3354">
        <f>IF(B3354,MAX(MOD(SIN(Seed*0.1373+C3354*12.9898+D3354*78.233)*43758.5453,1),1E-9),"")</f>
        <v/>
      </c>
      <c r="G3354">
        <f>IF(B3354,MOD(SIN(Seed*0.5917+C3354*39.3468+D3354*11.135)*24634.6345,1),"")</f>
        <v/>
      </c>
      <c r="H3354">
        <f>IF(B3354,SQRT(-2*LN(F3354))*COS(2*PI()*G3354),"")</f>
        <v/>
      </c>
      <c r="I3354">
        <f>IF(B3354,IF(D3354=0,H3354,Rho*I3353+SQRT(1-Rho^2)*H3354),"")</f>
        <v/>
      </c>
      <c r="J3354">
        <f>IF(B3354,IF(Dist="Normal",DistA+DistB*I3354,DistA+(DistB-DistA)*NORMSDIST(I3354)),"")</f>
        <v/>
      </c>
      <c r="K3354">
        <f>IF(B3354,INDEX(MineScale,C3354),"")</f>
        <v/>
      </c>
      <c r="L3354">
        <f>IF(B3354,INDEX(Dow,1,WEEKDAY(E3354,2)),"")</f>
        <v/>
      </c>
      <c r="M3354">
        <f>IF(B3354,(1+Trend)^D3354,"")</f>
        <v/>
      </c>
      <c r="N3354">
        <f>IF(B3354,EXP(SUMPRODUCT(LN(1+(EvEff-1)*INDEX(Affected,0,C3354)*EXP(-((E3354-EvCenter)^2)/(2*EvSigma^2))))),"")</f>
        <v/>
      </c>
      <c r="O3354">
        <f>IF(B3354,ROUND(MAX(0,J3354*K3354*L3354*M3354*N3354),2),"")</f>
        <v/>
      </c>
    </row>
    <row r="3355">
      <c r="A3355" t="n">
        <v>3354</v>
      </c>
      <c r="B3355">
        <f>A3355&lt;=MineCount*Days</f>
        <v/>
      </c>
      <c r="C3355">
        <f>IF(B3355,INT((A3355-1)/Days)+1,"")</f>
        <v/>
      </c>
      <c r="D3355">
        <f>IF(B3355,MOD(A3355-1,Days),"")</f>
        <v/>
      </c>
      <c r="E3355" s="16">
        <f>IF(B3355,StartDate+D3355,"")</f>
        <v/>
      </c>
      <c r="F3355">
        <f>IF(B3355,MAX(MOD(SIN(Seed*0.1373+C3355*12.9898+D3355*78.233)*43758.5453,1),1E-9),"")</f>
        <v/>
      </c>
      <c r="G3355">
        <f>IF(B3355,MOD(SIN(Seed*0.5917+C3355*39.3468+D3355*11.135)*24634.6345,1),"")</f>
        <v/>
      </c>
      <c r="H3355">
        <f>IF(B3355,SQRT(-2*LN(F3355))*COS(2*PI()*G3355),"")</f>
        <v/>
      </c>
      <c r="I3355">
        <f>IF(B3355,IF(D3355=0,H3355,Rho*I3354+SQRT(1-Rho^2)*H3355),"")</f>
        <v/>
      </c>
      <c r="J3355">
        <f>IF(B3355,IF(Dist="Normal",DistA+DistB*I3355,DistA+(DistB-DistA)*NORMSDIST(I3355)),"")</f>
        <v/>
      </c>
      <c r="K3355">
        <f>IF(B3355,INDEX(MineScale,C3355),"")</f>
        <v/>
      </c>
      <c r="L3355">
        <f>IF(B3355,INDEX(Dow,1,WEEKDAY(E3355,2)),"")</f>
        <v/>
      </c>
      <c r="M3355">
        <f>IF(B3355,(1+Trend)^D3355,"")</f>
        <v/>
      </c>
      <c r="N3355">
        <f>IF(B3355,EXP(SUMPRODUCT(LN(1+(EvEff-1)*INDEX(Affected,0,C3355)*EXP(-((E3355-EvCenter)^2)/(2*EvSigma^2))))),"")</f>
        <v/>
      </c>
      <c r="O3355">
        <f>IF(B3355,ROUND(MAX(0,J3355*K3355*L3355*M3355*N3355),2),"")</f>
        <v/>
      </c>
    </row>
    <row r="3356">
      <c r="A3356" t="n">
        <v>3355</v>
      </c>
      <c r="B3356">
        <f>A3356&lt;=MineCount*Days</f>
        <v/>
      </c>
      <c r="C3356">
        <f>IF(B3356,INT((A3356-1)/Days)+1,"")</f>
        <v/>
      </c>
      <c r="D3356">
        <f>IF(B3356,MOD(A3356-1,Days),"")</f>
        <v/>
      </c>
      <c r="E3356" s="16">
        <f>IF(B3356,StartDate+D3356,"")</f>
        <v/>
      </c>
      <c r="F3356">
        <f>IF(B3356,MAX(MOD(SIN(Seed*0.1373+C3356*12.9898+D3356*78.233)*43758.5453,1),1E-9),"")</f>
        <v/>
      </c>
      <c r="G3356">
        <f>IF(B3356,MOD(SIN(Seed*0.5917+C3356*39.3468+D3356*11.135)*24634.6345,1),"")</f>
        <v/>
      </c>
      <c r="H3356">
        <f>IF(B3356,SQRT(-2*LN(F3356))*COS(2*PI()*G3356),"")</f>
        <v/>
      </c>
      <c r="I3356">
        <f>IF(B3356,IF(D3356=0,H3356,Rho*I3355+SQRT(1-Rho^2)*H3356),"")</f>
        <v/>
      </c>
      <c r="J3356">
        <f>IF(B3356,IF(Dist="Normal",DistA+DistB*I3356,DistA+(DistB-DistA)*NORMSDIST(I3356)),"")</f>
        <v/>
      </c>
      <c r="K3356">
        <f>IF(B3356,INDEX(MineScale,C3356),"")</f>
        <v/>
      </c>
      <c r="L3356">
        <f>IF(B3356,INDEX(Dow,1,WEEKDAY(E3356,2)),"")</f>
        <v/>
      </c>
      <c r="M3356">
        <f>IF(B3356,(1+Trend)^D3356,"")</f>
        <v/>
      </c>
      <c r="N3356">
        <f>IF(B3356,EXP(SUMPRODUCT(LN(1+(EvEff-1)*INDEX(Affected,0,C3356)*EXP(-((E3356-EvCenter)^2)/(2*EvSigma^2))))),"")</f>
        <v/>
      </c>
      <c r="O3356">
        <f>IF(B3356,ROUND(MAX(0,J3356*K3356*L3356*M3356*N3356),2),"")</f>
        <v/>
      </c>
    </row>
    <row r="3357">
      <c r="A3357" t="n">
        <v>3356</v>
      </c>
      <c r="B3357">
        <f>A3357&lt;=MineCount*Days</f>
        <v/>
      </c>
      <c r="C3357">
        <f>IF(B3357,INT((A3357-1)/Days)+1,"")</f>
        <v/>
      </c>
      <c r="D3357">
        <f>IF(B3357,MOD(A3357-1,Days),"")</f>
        <v/>
      </c>
      <c r="E3357" s="16">
        <f>IF(B3357,StartDate+D3357,"")</f>
        <v/>
      </c>
      <c r="F3357">
        <f>IF(B3357,MAX(MOD(SIN(Seed*0.1373+C3357*12.9898+D3357*78.233)*43758.5453,1),1E-9),"")</f>
        <v/>
      </c>
      <c r="G3357">
        <f>IF(B3357,MOD(SIN(Seed*0.5917+C3357*39.3468+D3357*11.135)*24634.6345,1),"")</f>
        <v/>
      </c>
      <c r="H3357">
        <f>IF(B3357,SQRT(-2*LN(F3357))*COS(2*PI()*G3357),"")</f>
        <v/>
      </c>
      <c r="I3357">
        <f>IF(B3357,IF(D3357=0,H3357,Rho*I3356+SQRT(1-Rho^2)*H3357),"")</f>
        <v/>
      </c>
      <c r="J3357">
        <f>IF(B3357,IF(Dist="Normal",DistA+DistB*I3357,DistA+(DistB-DistA)*NORMSDIST(I3357)),"")</f>
        <v/>
      </c>
      <c r="K3357">
        <f>IF(B3357,INDEX(MineScale,C3357),"")</f>
        <v/>
      </c>
      <c r="L3357">
        <f>IF(B3357,INDEX(Dow,1,WEEKDAY(E3357,2)),"")</f>
        <v/>
      </c>
      <c r="M3357">
        <f>IF(B3357,(1+Trend)^D3357,"")</f>
        <v/>
      </c>
      <c r="N3357">
        <f>IF(B3357,EXP(SUMPRODUCT(LN(1+(EvEff-1)*INDEX(Affected,0,C3357)*EXP(-((E3357-EvCenter)^2)/(2*EvSigma^2))))),"")</f>
        <v/>
      </c>
      <c r="O3357">
        <f>IF(B3357,ROUND(MAX(0,J3357*K3357*L3357*M3357*N3357),2),"")</f>
        <v/>
      </c>
    </row>
    <row r="3358">
      <c r="A3358" t="n">
        <v>3357</v>
      </c>
      <c r="B3358">
        <f>A3358&lt;=MineCount*Days</f>
        <v/>
      </c>
      <c r="C3358">
        <f>IF(B3358,INT((A3358-1)/Days)+1,"")</f>
        <v/>
      </c>
      <c r="D3358">
        <f>IF(B3358,MOD(A3358-1,Days),"")</f>
        <v/>
      </c>
      <c r="E3358" s="16">
        <f>IF(B3358,StartDate+D3358,"")</f>
        <v/>
      </c>
      <c r="F3358">
        <f>IF(B3358,MAX(MOD(SIN(Seed*0.1373+C3358*12.9898+D3358*78.233)*43758.5453,1),1E-9),"")</f>
        <v/>
      </c>
      <c r="G3358">
        <f>IF(B3358,MOD(SIN(Seed*0.5917+C3358*39.3468+D3358*11.135)*24634.6345,1),"")</f>
        <v/>
      </c>
      <c r="H3358">
        <f>IF(B3358,SQRT(-2*LN(F3358))*COS(2*PI()*G3358),"")</f>
        <v/>
      </c>
      <c r="I3358">
        <f>IF(B3358,IF(D3358=0,H3358,Rho*I3357+SQRT(1-Rho^2)*H3358),"")</f>
        <v/>
      </c>
      <c r="J3358">
        <f>IF(B3358,IF(Dist="Normal",DistA+DistB*I3358,DistA+(DistB-DistA)*NORMSDIST(I3358)),"")</f>
        <v/>
      </c>
      <c r="K3358">
        <f>IF(B3358,INDEX(MineScale,C3358),"")</f>
        <v/>
      </c>
      <c r="L3358">
        <f>IF(B3358,INDEX(Dow,1,WEEKDAY(E3358,2)),"")</f>
        <v/>
      </c>
      <c r="M3358">
        <f>IF(B3358,(1+Trend)^D3358,"")</f>
        <v/>
      </c>
      <c r="N3358">
        <f>IF(B3358,EXP(SUMPRODUCT(LN(1+(EvEff-1)*INDEX(Affected,0,C3358)*EXP(-((E3358-EvCenter)^2)/(2*EvSigma^2))))),"")</f>
        <v/>
      </c>
      <c r="O3358">
        <f>IF(B3358,ROUND(MAX(0,J3358*K3358*L3358*M3358*N3358),2),"")</f>
        <v/>
      </c>
    </row>
    <row r="3359">
      <c r="A3359" t="n">
        <v>3358</v>
      </c>
      <c r="B3359">
        <f>A3359&lt;=MineCount*Days</f>
        <v/>
      </c>
      <c r="C3359">
        <f>IF(B3359,INT((A3359-1)/Days)+1,"")</f>
        <v/>
      </c>
      <c r="D3359">
        <f>IF(B3359,MOD(A3359-1,Days),"")</f>
        <v/>
      </c>
      <c r="E3359" s="16">
        <f>IF(B3359,StartDate+D3359,"")</f>
        <v/>
      </c>
      <c r="F3359">
        <f>IF(B3359,MAX(MOD(SIN(Seed*0.1373+C3359*12.9898+D3359*78.233)*43758.5453,1),1E-9),"")</f>
        <v/>
      </c>
      <c r="G3359">
        <f>IF(B3359,MOD(SIN(Seed*0.5917+C3359*39.3468+D3359*11.135)*24634.6345,1),"")</f>
        <v/>
      </c>
      <c r="H3359">
        <f>IF(B3359,SQRT(-2*LN(F3359))*COS(2*PI()*G3359),"")</f>
        <v/>
      </c>
      <c r="I3359">
        <f>IF(B3359,IF(D3359=0,H3359,Rho*I3358+SQRT(1-Rho^2)*H3359),"")</f>
        <v/>
      </c>
      <c r="J3359">
        <f>IF(B3359,IF(Dist="Normal",DistA+DistB*I3359,DistA+(DistB-DistA)*NORMSDIST(I3359)),"")</f>
        <v/>
      </c>
      <c r="K3359">
        <f>IF(B3359,INDEX(MineScale,C3359),"")</f>
        <v/>
      </c>
      <c r="L3359">
        <f>IF(B3359,INDEX(Dow,1,WEEKDAY(E3359,2)),"")</f>
        <v/>
      </c>
      <c r="M3359">
        <f>IF(B3359,(1+Trend)^D3359,"")</f>
        <v/>
      </c>
      <c r="N3359">
        <f>IF(B3359,EXP(SUMPRODUCT(LN(1+(EvEff-1)*INDEX(Affected,0,C3359)*EXP(-((E3359-EvCenter)^2)/(2*EvSigma^2))))),"")</f>
        <v/>
      </c>
      <c r="O3359">
        <f>IF(B3359,ROUND(MAX(0,J3359*K3359*L3359*M3359*N3359),2),"")</f>
        <v/>
      </c>
    </row>
    <row r="3360">
      <c r="A3360" t="n">
        <v>3359</v>
      </c>
      <c r="B3360">
        <f>A3360&lt;=MineCount*Days</f>
        <v/>
      </c>
      <c r="C3360">
        <f>IF(B3360,INT((A3360-1)/Days)+1,"")</f>
        <v/>
      </c>
      <c r="D3360">
        <f>IF(B3360,MOD(A3360-1,Days),"")</f>
        <v/>
      </c>
      <c r="E3360" s="16">
        <f>IF(B3360,StartDate+D3360,"")</f>
        <v/>
      </c>
      <c r="F3360">
        <f>IF(B3360,MAX(MOD(SIN(Seed*0.1373+C3360*12.9898+D3360*78.233)*43758.5453,1),1E-9),"")</f>
        <v/>
      </c>
      <c r="G3360">
        <f>IF(B3360,MOD(SIN(Seed*0.5917+C3360*39.3468+D3360*11.135)*24634.6345,1),"")</f>
        <v/>
      </c>
      <c r="H3360">
        <f>IF(B3360,SQRT(-2*LN(F3360))*COS(2*PI()*G3360),"")</f>
        <v/>
      </c>
      <c r="I3360">
        <f>IF(B3360,IF(D3360=0,H3360,Rho*I3359+SQRT(1-Rho^2)*H3360),"")</f>
        <v/>
      </c>
      <c r="J3360">
        <f>IF(B3360,IF(Dist="Normal",DistA+DistB*I3360,DistA+(DistB-DistA)*NORMSDIST(I3360)),"")</f>
        <v/>
      </c>
      <c r="K3360">
        <f>IF(B3360,INDEX(MineScale,C3360),"")</f>
        <v/>
      </c>
      <c r="L3360">
        <f>IF(B3360,INDEX(Dow,1,WEEKDAY(E3360,2)),"")</f>
        <v/>
      </c>
      <c r="M3360">
        <f>IF(B3360,(1+Trend)^D3360,"")</f>
        <v/>
      </c>
      <c r="N3360">
        <f>IF(B3360,EXP(SUMPRODUCT(LN(1+(EvEff-1)*INDEX(Affected,0,C3360)*EXP(-((E3360-EvCenter)^2)/(2*EvSigma^2))))),"")</f>
        <v/>
      </c>
      <c r="O3360">
        <f>IF(B3360,ROUND(MAX(0,J3360*K3360*L3360*M3360*N3360),2),"")</f>
        <v/>
      </c>
    </row>
    <row r="3361">
      <c r="A3361" t="n">
        <v>3360</v>
      </c>
      <c r="B3361">
        <f>A3361&lt;=MineCount*Days</f>
        <v/>
      </c>
      <c r="C3361">
        <f>IF(B3361,INT((A3361-1)/Days)+1,"")</f>
        <v/>
      </c>
      <c r="D3361">
        <f>IF(B3361,MOD(A3361-1,Days),"")</f>
        <v/>
      </c>
      <c r="E3361" s="16">
        <f>IF(B3361,StartDate+D3361,"")</f>
        <v/>
      </c>
      <c r="F3361">
        <f>IF(B3361,MAX(MOD(SIN(Seed*0.1373+C3361*12.9898+D3361*78.233)*43758.5453,1),1E-9),"")</f>
        <v/>
      </c>
      <c r="G3361">
        <f>IF(B3361,MOD(SIN(Seed*0.5917+C3361*39.3468+D3361*11.135)*24634.6345,1),"")</f>
        <v/>
      </c>
      <c r="H3361">
        <f>IF(B3361,SQRT(-2*LN(F3361))*COS(2*PI()*G3361),"")</f>
        <v/>
      </c>
      <c r="I3361">
        <f>IF(B3361,IF(D3361=0,H3361,Rho*I3360+SQRT(1-Rho^2)*H3361),"")</f>
        <v/>
      </c>
      <c r="J3361">
        <f>IF(B3361,IF(Dist="Normal",DistA+DistB*I3361,DistA+(DistB-DistA)*NORMSDIST(I3361)),"")</f>
        <v/>
      </c>
      <c r="K3361">
        <f>IF(B3361,INDEX(MineScale,C3361),"")</f>
        <v/>
      </c>
      <c r="L3361">
        <f>IF(B3361,INDEX(Dow,1,WEEKDAY(E3361,2)),"")</f>
        <v/>
      </c>
      <c r="M3361">
        <f>IF(B3361,(1+Trend)^D3361,"")</f>
        <v/>
      </c>
      <c r="N3361">
        <f>IF(B3361,EXP(SUMPRODUCT(LN(1+(EvEff-1)*INDEX(Affected,0,C3361)*EXP(-((E3361-EvCenter)^2)/(2*EvSigma^2))))),"")</f>
        <v/>
      </c>
      <c r="O3361">
        <f>IF(B3361,ROUND(MAX(0,J3361*K3361*L3361*M3361*N3361),2),"")</f>
        <v/>
      </c>
    </row>
    <row r="3362">
      <c r="A3362" t="n">
        <v>3361</v>
      </c>
      <c r="B3362">
        <f>A3362&lt;=MineCount*Days</f>
        <v/>
      </c>
      <c r="C3362">
        <f>IF(B3362,INT((A3362-1)/Days)+1,"")</f>
        <v/>
      </c>
      <c r="D3362">
        <f>IF(B3362,MOD(A3362-1,Days),"")</f>
        <v/>
      </c>
      <c r="E3362" s="16">
        <f>IF(B3362,StartDate+D3362,"")</f>
        <v/>
      </c>
      <c r="F3362">
        <f>IF(B3362,MAX(MOD(SIN(Seed*0.1373+C3362*12.9898+D3362*78.233)*43758.5453,1),1E-9),"")</f>
        <v/>
      </c>
      <c r="G3362">
        <f>IF(B3362,MOD(SIN(Seed*0.5917+C3362*39.3468+D3362*11.135)*24634.6345,1),"")</f>
        <v/>
      </c>
      <c r="H3362">
        <f>IF(B3362,SQRT(-2*LN(F3362))*COS(2*PI()*G3362),"")</f>
        <v/>
      </c>
      <c r="I3362">
        <f>IF(B3362,IF(D3362=0,H3362,Rho*I3361+SQRT(1-Rho^2)*H3362),"")</f>
        <v/>
      </c>
      <c r="J3362">
        <f>IF(B3362,IF(Dist="Normal",DistA+DistB*I3362,DistA+(DistB-DistA)*NORMSDIST(I3362)),"")</f>
        <v/>
      </c>
      <c r="K3362">
        <f>IF(B3362,INDEX(MineScale,C3362),"")</f>
        <v/>
      </c>
      <c r="L3362">
        <f>IF(B3362,INDEX(Dow,1,WEEKDAY(E3362,2)),"")</f>
        <v/>
      </c>
      <c r="M3362">
        <f>IF(B3362,(1+Trend)^D3362,"")</f>
        <v/>
      </c>
      <c r="N3362">
        <f>IF(B3362,EXP(SUMPRODUCT(LN(1+(EvEff-1)*INDEX(Affected,0,C3362)*EXP(-((E3362-EvCenter)^2)/(2*EvSigma^2))))),"")</f>
        <v/>
      </c>
      <c r="O3362">
        <f>IF(B3362,ROUND(MAX(0,J3362*K3362*L3362*M3362*N3362),2),"")</f>
        <v/>
      </c>
    </row>
    <row r="3363">
      <c r="A3363" t="n">
        <v>3362</v>
      </c>
      <c r="B3363">
        <f>A3363&lt;=MineCount*Days</f>
        <v/>
      </c>
      <c r="C3363">
        <f>IF(B3363,INT((A3363-1)/Days)+1,"")</f>
        <v/>
      </c>
      <c r="D3363">
        <f>IF(B3363,MOD(A3363-1,Days),"")</f>
        <v/>
      </c>
      <c r="E3363" s="16">
        <f>IF(B3363,StartDate+D3363,"")</f>
        <v/>
      </c>
      <c r="F3363">
        <f>IF(B3363,MAX(MOD(SIN(Seed*0.1373+C3363*12.9898+D3363*78.233)*43758.5453,1),1E-9),"")</f>
        <v/>
      </c>
      <c r="G3363">
        <f>IF(B3363,MOD(SIN(Seed*0.5917+C3363*39.3468+D3363*11.135)*24634.6345,1),"")</f>
        <v/>
      </c>
      <c r="H3363">
        <f>IF(B3363,SQRT(-2*LN(F3363))*COS(2*PI()*G3363),"")</f>
        <v/>
      </c>
      <c r="I3363">
        <f>IF(B3363,IF(D3363=0,H3363,Rho*I3362+SQRT(1-Rho^2)*H3363),"")</f>
        <v/>
      </c>
      <c r="J3363">
        <f>IF(B3363,IF(Dist="Normal",DistA+DistB*I3363,DistA+(DistB-DistA)*NORMSDIST(I3363)),"")</f>
        <v/>
      </c>
      <c r="K3363">
        <f>IF(B3363,INDEX(MineScale,C3363),"")</f>
        <v/>
      </c>
      <c r="L3363">
        <f>IF(B3363,INDEX(Dow,1,WEEKDAY(E3363,2)),"")</f>
        <v/>
      </c>
      <c r="M3363">
        <f>IF(B3363,(1+Trend)^D3363,"")</f>
        <v/>
      </c>
      <c r="N3363">
        <f>IF(B3363,EXP(SUMPRODUCT(LN(1+(EvEff-1)*INDEX(Affected,0,C3363)*EXP(-((E3363-EvCenter)^2)/(2*EvSigma^2))))),"")</f>
        <v/>
      </c>
      <c r="O3363">
        <f>IF(B3363,ROUND(MAX(0,J3363*K3363*L3363*M3363*N3363),2),"")</f>
        <v/>
      </c>
    </row>
    <row r="3364">
      <c r="A3364" t="n">
        <v>3363</v>
      </c>
      <c r="B3364">
        <f>A3364&lt;=MineCount*Days</f>
        <v/>
      </c>
      <c r="C3364">
        <f>IF(B3364,INT((A3364-1)/Days)+1,"")</f>
        <v/>
      </c>
      <c r="D3364">
        <f>IF(B3364,MOD(A3364-1,Days),"")</f>
        <v/>
      </c>
      <c r="E3364" s="16">
        <f>IF(B3364,StartDate+D3364,"")</f>
        <v/>
      </c>
      <c r="F3364">
        <f>IF(B3364,MAX(MOD(SIN(Seed*0.1373+C3364*12.9898+D3364*78.233)*43758.5453,1),1E-9),"")</f>
        <v/>
      </c>
      <c r="G3364">
        <f>IF(B3364,MOD(SIN(Seed*0.5917+C3364*39.3468+D3364*11.135)*24634.6345,1),"")</f>
        <v/>
      </c>
      <c r="H3364">
        <f>IF(B3364,SQRT(-2*LN(F3364))*COS(2*PI()*G3364),"")</f>
        <v/>
      </c>
      <c r="I3364">
        <f>IF(B3364,IF(D3364=0,H3364,Rho*I3363+SQRT(1-Rho^2)*H3364),"")</f>
        <v/>
      </c>
      <c r="J3364">
        <f>IF(B3364,IF(Dist="Normal",DistA+DistB*I3364,DistA+(DistB-DistA)*NORMSDIST(I3364)),"")</f>
        <v/>
      </c>
      <c r="K3364">
        <f>IF(B3364,INDEX(MineScale,C3364),"")</f>
        <v/>
      </c>
      <c r="L3364">
        <f>IF(B3364,INDEX(Dow,1,WEEKDAY(E3364,2)),"")</f>
        <v/>
      </c>
      <c r="M3364">
        <f>IF(B3364,(1+Trend)^D3364,"")</f>
        <v/>
      </c>
      <c r="N3364">
        <f>IF(B3364,EXP(SUMPRODUCT(LN(1+(EvEff-1)*INDEX(Affected,0,C3364)*EXP(-((E3364-EvCenter)^2)/(2*EvSigma^2))))),"")</f>
        <v/>
      </c>
      <c r="O3364">
        <f>IF(B3364,ROUND(MAX(0,J3364*K3364*L3364*M3364*N3364),2),"")</f>
        <v/>
      </c>
    </row>
    <row r="3365">
      <c r="A3365" t="n">
        <v>3364</v>
      </c>
      <c r="B3365">
        <f>A3365&lt;=MineCount*Days</f>
        <v/>
      </c>
      <c r="C3365">
        <f>IF(B3365,INT((A3365-1)/Days)+1,"")</f>
        <v/>
      </c>
      <c r="D3365">
        <f>IF(B3365,MOD(A3365-1,Days),"")</f>
        <v/>
      </c>
      <c r="E3365" s="16">
        <f>IF(B3365,StartDate+D3365,"")</f>
        <v/>
      </c>
      <c r="F3365">
        <f>IF(B3365,MAX(MOD(SIN(Seed*0.1373+C3365*12.9898+D3365*78.233)*43758.5453,1),1E-9),"")</f>
        <v/>
      </c>
      <c r="G3365">
        <f>IF(B3365,MOD(SIN(Seed*0.5917+C3365*39.3468+D3365*11.135)*24634.6345,1),"")</f>
        <v/>
      </c>
      <c r="H3365">
        <f>IF(B3365,SQRT(-2*LN(F3365))*COS(2*PI()*G3365),"")</f>
        <v/>
      </c>
      <c r="I3365">
        <f>IF(B3365,IF(D3365=0,H3365,Rho*I3364+SQRT(1-Rho^2)*H3365),"")</f>
        <v/>
      </c>
      <c r="J3365">
        <f>IF(B3365,IF(Dist="Normal",DistA+DistB*I3365,DistA+(DistB-DistA)*NORMSDIST(I3365)),"")</f>
        <v/>
      </c>
      <c r="K3365">
        <f>IF(B3365,INDEX(MineScale,C3365),"")</f>
        <v/>
      </c>
      <c r="L3365">
        <f>IF(B3365,INDEX(Dow,1,WEEKDAY(E3365,2)),"")</f>
        <v/>
      </c>
      <c r="M3365">
        <f>IF(B3365,(1+Trend)^D3365,"")</f>
        <v/>
      </c>
      <c r="N3365">
        <f>IF(B3365,EXP(SUMPRODUCT(LN(1+(EvEff-1)*INDEX(Affected,0,C3365)*EXP(-((E3365-EvCenter)^2)/(2*EvSigma^2))))),"")</f>
        <v/>
      </c>
      <c r="O3365">
        <f>IF(B3365,ROUND(MAX(0,J3365*K3365*L3365*M3365*N3365),2),"")</f>
        <v/>
      </c>
    </row>
    <row r="3366">
      <c r="A3366" t="n">
        <v>3365</v>
      </c>
      <c r="B3366">
        <f>A3366&lt;=MineCount*Days</f>
        <v/>
      </c>
      <c r="C3366">
        <f>IF(B3366,INT((A3366-1)/Days)+1,"")</f>
        <v/>
      </c>
      <c r="D3366">
        <f>IF(B3366,MOD(A3366-1,Days),"")</f>
        <v/>
      </c>
      <c r="E3366" s="16">
        <f>IF(B3366,StartDate+D3366,"")</f>
        <v/>
      </c>
      <c r="F3366">
        <f>IF(B3366,MAX(MOD(SIN(Seed*0.1373+C3366*12.9898+D3366*78.233)*43758.5453,1),1E-9),"")</f>
        <v/>
      </c>
      <c r="G3366">
        <f>IF(B3366,MOD(SIN(Seed*0.5917+C3366*39.3468+D3366*11.135)*24634.6345,1),"")</f>
        <v/>
      </c>
      <c r="H3366">
        <f>IF(B3366,SQRT(-2*LN(F3366))*COS(2*PI()*G3366),"")</f>
        <v/>
      </c>
      <c r="I3366">
        <f>IF(B3366,IF(D3366=0,H3366,Rho*I3365+SQRT(1-Rho^2)*H3366),"")</f>
        <v/>
      </c>
      <c r="J3366">
        <f>IF(B3366,IF(Dist="Normal",DistA+DistB*I3366,DistA+(DistB-DistA)*NORMSDIST(I3366)),"")</f>
        <v/>
      </c>
      <c r="K3366">
        <f>IF(B3366,INDEX(MineScale,C3366),"")</f>
        <v/>
      </c>
      <c r="L3366">
        <f>IF(B3366,INDEX(Dow,1,WEEKDAY(E3366,2)),"")</f>
        <v/>
      </c>
      <c r="M3366">
        <f>IF(B3366,(1+Trend)^D3366,"")</f>
        <v/>
      </c>
      <c r="N3366">
        <f>IF(B3366,EXP(SUMPRODUCT(LN(1+(EvEff-1)*INDEX(Affected,0,C3366)*EXP(-((E3366-EvCenter)^2)/(2*EvSigma^2))))),"")</f>
        <v/>
      </c>
      <c r="O3366">
        <f>IF(B3366,ROUND(MAX(0,J3366*K3366*L3366*M3366*N3366),2),"")</f>
        <v/>
      </c>
    </row>
    <row r="3367">
      <c r="A3367" t="n">
        <v>3366</v>
      </c>
      <c r="B3367">
        <f>A3367&lt;=MineCount*Days</f>
        <v/>
      </c>
      <c r="C3367">
        <f>IF(B3367,INT((A3367-1)/Days)+1,"")</f>
        <v/>
      </c>
      <c r="D3367">
        <f>IF(B3367,MOD(A3367-1,Days),"")</f>
        <v/>
      </c>
      <c r="E3367" s="16">
        <f>IF(B3367,StartDate+D3367,"")</f>
        <v/>
      </c>
      <c r="F3367">
        <f>IF(B3367,MAX(MOD(SIN(Seed*0.1373+C3367*12.9898+D3367*78.233)*43758.5453,1),1E-9),"")</f>
        <v/>
      </c>
      <c r="G3367">
        <f>IF(B3367,MOD(SIN(Seed*0.5917+C3367*39.3468+D3367*11.135)*24634.6345,1),"")</f>
        <v/>
      </c>
      <c r="H3367">
        <f>IF(B3367,SQRT(-2*LN(F3367))*COS(2*PI()*G3367),"")</f>
        <v/>
      </c>
      <c r="I3367">
        <f>IF(B3367,IF(D3367=0,H3367,Rho*I3366+SQRT(1-Rho^2)*H3367),"")</f>
        <v/>
      </c>
      <c r="J3367">
        <f>IF(B3367,IF(Dist="Normal",DistA+DistB*I3367,DistA+(DistB-DistA)*NORMSDIST(I3367)),"")</f>
        <v/>
      </c>
      <c r="K3367">
        <f>IF(B3367,INDEX(MineScale,C3367),"")</f>
        <v/>
      </c>
      <c r="L3367">
        <f>IF(B3367,INDEX(Dow,1,WEEKDAY(E3367,2)),"")</f>
        <v/>
      </c>
      <c r="M3367">
        <f>IF(B3367,(1+Trend)^D3367,"")</f>
        <v/>
      </c>
      <c r="N3367">
        <f>IF(B3367,EXP(SUMPRODUCT(LN(1+(EvEff-1)*INDEX(Affected,0,C3367)*EXP(-((E3367-EvCenter)^2)/(2*EvSigma^2))))),"")</f>
        <v/>
      </c>
      <c r="O3367">
        <f>IF(B3367,ROUND(MAX(0,J3367*K3367*L3367*M3367*N3367),2),"")</f>
        <v/>
      </c>
    </row>
    <row r="3368">
      <c r="A3368" t="n">
        <v>3367</v>
      </c>
      <c r="B3368">
        <f>A3368&lt;=MineCount*Days</f>
        <v/>
      </c>
      <c r="C3368">
        <f>IF(B3368,INT((A3368-1)/Days)+1,"")</f>
        <v/>
      </c>
      <c r="D3368">
        <f>IF(B3368,MOD(A3368-1,Days),"")</f>
        <v/>
      </c>
      <c r="E3368" s="16">
        <f>IF(B3368,StartDate+D3368,"")</f>
        <v/>
      </c>
      <c r="F3368">
        <f>IF(B3368,MAX(MOD(SIN(Seed*0.1373+C3368*12.9898+D3368*78.233)*43758.5453,1),1E-9),"")</f>
        <v/>
      </c>
      <c r="G3368">
        <f>IF(B3368,MOD(SIN(Seed*0.5917+C3368*39.3468+D3368*11.135)*24634.6345,1),"")</f>
        <v/>
      </c>
      <c r="H3368">
        <f>IF(B3368,SQRT(-2*LN(F3368))*COS(2*PI()*G3368),"")</f>
        <v/>
      </c>
      <c r="I3368">
        <f>IF(B3368,IF(D3368=0,H3368,Rho*I3367+SQRT(1-Rho^2)*H3368),"")</f>
        <v/>
      </c>
      <c r="J3368">
        <f>IF(B3368,IF(Dist="Normal",DistA+DistB*I3368,DistA+(DistB-DistA)*NORMSDIST(I3368)),"")</f>
        <v/>
      </c>
      <c r="K3368">
        <f>IF(B3368,INDEX(MineScale,C3368),"")</f>
        <v/>
      </c>
      <c r="L3368">
        <f>IF(B3368,INDEX(Dow,1,WEEKDAY(E3368,2)),"")</f>
        <v/>
      </c>
      <c r="M3368">
        <f>IF(B3368,(1+Trend)^D3368,"")</f>
        <v/>
      </c>
      <c r="N3368">
        <f>IF(B3368,EXP(SUMPRODUCT(LN(1+(EvEff-1)*INDEX(Affected,0,C3368)*EXP(-((E3368-EvCenter)^2)/(2*EvSigma^2))))),"")</f>
        <v/>
      </c>
      <c r="O3368">
        <f>IF(B3368,ROUND(MAX(0,J3368*K3368*L3368*M3368*N3368),2),"")</f>
        <v/>
      </c>
    </row>
    <row r="3369">
      <c r="A3369" t="n">
        <v>3368</v>
      </c>
      <c r="B3369">
        <f>A3369&lt;=MineCount*Days</f>
        <v/>
      </c>
      <c r="C3369">
        <f>IF(B3369,INT((A3369-1)/Days)+1,"")</f>
        <v/>
      </c>
      <c r="D3369">
        <f>IF(B3369,MOD(A3369-1,Days),"")</f>
        <v/>
      </c>
      <c r="E3369" s="16">
        <f>IF(B3369,StartDate+D3369,"")</f>
        <v/>
      </c>
      <c r="F3369">
        <f>IF(B3369,MAX(MOD(SIN(Seed*0.1373+C3369*12.9898+D3369*78.233)*43758.5453,1),1E-9),"")</f>
        <v/>
      </c>
      <c r="G3369">
        <f>IF(B3369,MOD(SIN(Seed*0.5917+C3369*39.3468+D3369*11.135)*24634.6345,1),"")</f>
        <v/>
      </c>
      <c r="H3369">
        <f>IF(B3369,SQRT(-2*LN(F3369))*COS(2*PI()*G3369),"")</f>
        <v/>
      </c>
      <c r="I3369">
        <f>IF(B3369,IF(D3369=0,H3369,Rho*I3368+SQRT(1-Rho^2)*H3369),"")</f>
        <v/>
      </c>
      <c r="J3369">
        <f>IF(B3369,IF(Dist="Normal",DistA+DistB*I3369,DistA+(DistB-DistA)*NORMSDIST(I3369)),"")</f>
        <v/>
      </c>
      <c r="K3369">
        <f>IF(B3369,INDEX(MineScale,C3369),"")</f>
        <v/>
      </c>
      <c r="L3369">
        <f>IF(B3369,INDEX(Dow,1,WEEKDAY(E3369,2)),"")</f>
        <v/>
      </c>
      <c r="M3369">
        <f>IF(B3369,(1+Trend)^D3369,"")</f>
        <v/>
      </c>
      <c r="N3369">
        <f>IF(B3369,EXP(SUMPRODUCT(LN(1+(EvEff-1)*INDEX(Affected,0,C3369)*EXP(-((E3369-EvCenter)^2)/(2*EvSigma^2))))),"")</f>
        <v/>
      </c>
      <c r="O3369">
        <f>IF(B3369,ROUND(MAX(0,J3369*K3369*L3369*M3369*N3369),2),"")</f>
        <v/>
      </c>
    </row>
    <row r="3370">
      <c r="A3370" t="n">
        <v>3369</v>
      </c>
      <c r="B3370">
        <f>A3370&lt;=MineCount*Days</f>
        <v/>
      </c>
      <c r="C3370">
        <f>IF(B3370,INT((A3370-1)/Days)+1,"")</f>
        <v/>
      </c>
      <c r="D3370">
        <f>IF(B3370,MOD(A3370-1,Days),"")</f>
        <v/>
      </c>
      <c r="E3370" s="16">
        <f>IF(B3370,StartDate+D3370,"")</f>
        <v/>
      </c>
      <c r="F3370">
        <f>IF(B3370,MAX(MOD(SIN(Seed*0.1373+C3370*12.9898+D3370*78.233)*43758.5453,1),1E-9),"")</f>
        <v/>
      </c>
      <c r="G3370">
        <f>IF(B3370,MOD(SIN(Seed*0.5917+C3370*39.3468+D3370*11.135)*24634.6345,1),"")</f>
        <v/>
      </c>
      <c r="H3370">
        <f>IF(B3370,SQRT(-2*LN(F3370))*COS(2*PI()*G3370),"")</f>
        <v/>
      </c>
      <c r="I3370">
        <f>IF(B3370,IF(D3370=0,H3370,Rho*I3369+SQRT(1-Rho^2)*H3370),"")</f>
        <v/>
      </c>
      <c r="J3370">
        <f>IF(B3370,IF(Dist="Normal",DistA+DistB*I3370,DistA+(DistB-DistA)*NORMSDIST(I3370)),"")</f>
        <v/>
      </c>
      <c r="K3370">
        <f>IF(B3370,INDEX(MineScale,C3370),"")</f>
        <v/>
      </c>
      <c r="L3370">
        <f>IF(B3370,INDEX(Dow,1,WEEKDAY(E3370,2)),"")</f>
        <v/>
      </c>
      <c r="M3370">
        <f>IF(B3370,(1+Trend)^D3370,"")</f>
        <v/>
      </c>
      <c r="N3370">
        <f>IF(B3370,EXP(SUMPRODUCT(LN(1+(EvEff-1)*INDEX(Affected,0,C3370)*EXP(-((E3370-EvCenter)^2)/(2*EvSigma^2))))),"")</f>
        <v/>
      </c>
      <c r="O3370">
        <f>IF(B3370,ROUND(MAX(0,J3370*K3370*L3370*M3370*N3370),2),"")</f>
        <v/>
      </c>
    </row>
    <row r="3371">
      <c r="A3371" t="n">
        <v>3370</v>
      </c>
      <c r="B3371">
        <f>A3371&lt;=MineCount*Days</f>
        <v/>
      </c>
      <c r="C3371">
        <f>IF(B3371,INT((A3371-1)/Days)+1,"")</f>
        <v/>
      </c>
      <c r="D3371">
        <f>IF(B3371,MOD(A3371-1,Days),"")</f>
        <v/>
      </c>
      <c r="E3371" s="16">
        <f>IF(B3371,StartDate+D3371,"")</f>
        <v/>
      </c>
      <c r="F3371">
        <f>IF(B3371,MAX(MOD(SIN(Seed*0.1373+C3371*12.9898+D3371*78.233)*43758.5453,1),1E-9),"")</f>
        <v/>
      </c>
      <c r="G3371">
        <f>IF(B3371,MOD(SIN(Seed*0.5917+C3371*39.3468+D3371*11.135)*24634.6345,1),"")</f>
        <v/>
      </c>
      <c r="H3371">
        <f>IF(B3371,SQRT(-2*LN(F3371))*COS(2*PI()*G3371),"")</f>
        <v/>
      </c>
      <c r="I3371">
        <f>IF(B3371,IF(D3371=0,H3371,Rho*I3370+SQRT(1-Rho^2)*H3371),"")</f>
        <v/>
      </c>
      <c r="J3371">
        <f>IF(B3371,IF(Dist="Normal",DistA+DistB*I3371,DistA+(DistB-DistA)*NORMSDIST(I3371)),"")</f>
        <v/>
      </c>
      <c r="K3371">
        <f>IF(B3371,INDEX(MineScale,C3371),"")</f>
        <v/>
      </c>
      <c r="L3371">
        <f>IF(B3371,INDEX(Dow,1,WEEKDAY(E3371,2)),"")</f>
        <v/>
      </c>
      <c r="M3371">
        <f>IF(B3371,(1+Trend)^D3371,"")</f>
        <v/>
      </c>
      <c r="N3371">
        <f>IF(B3371,EXP(SUMPRODUCT(LN(1+(EvEff-1)*INDEX(Affected,0,C3371)*EXP(-((E3371-EvCenter)^2)/(2*EvSigma^2))))),"")</f>
        <v/>
      </c>
      <c r="O3371">
        <f>IF(B3371,ROUND(MAX(0,J3371*K3371*L3371*M3371*N3371),2),"")</f>
        <v/>
      </c>
    </row>
    <row r="3372">
      <c r="A3372" t="n">
        <v>3371</v>
      </c>
      <c r="B3372">
        <f>A3372&lt;=MineCount*Days</f>
        <v/>
      </c>
      <c r="C3372">
        <f>IF(B3372,INT((A3372-1)/Days)+1,"")</f>
        <v/>
      </c>
      <c r="D3372">
        <f>IF(B3372,MOD(A3372-1,Days),"")</f>
        <v/>
      </c>
      <c r="E3372" s="16">
        <f>IF(B3372,StartDate+D3372,"")</f>
        <v/>
      </c>
      <c r="F3372">
        <f>IF(B3372,MAX(MOD(SIN(Seed*0.1373+C3372*12.9898+D3372*78.233)*43758.5453,1),1E-9),"")</f>
        <v/>
      </c>
      <c r="G3372">
        <f>IF(B3372,MOD(SIN(Seed*0.5917+C3372*39.3468+D3372*11.135)*24634.6345,1),"")</f>
        <v/>
      </c>
      <c r="H3372">
        <f>IF(B3372,SQRT(-2*LN(F3372))*COS(2*PI()*G3372),"")</f>
        <v/>
      </c>
      <c r="I3372">
        <f>IF(B3372,IF(D3372=0,H3372,Rho*I3371+SQRT(1-Rho^2)*H3372),"")</f>
        <v/>
      </c>
      <c r="J3372">
        <f>IF(B3372,IF(Dist="Normal",DistA+DistB*I3372,DistA+(DistB-DistA)*NORMSDIST(I3372)),"")</f>
        <v/>
      </c>
      <c r="K3372">
        <f>IF(B3372,INDEX(MineScale,C3372),"")</f>
        <v/>
      </c>
      <c r="L3372">
        <f>IF(B3372,INDEX(Dow,1,WEEKDAY(E3372,2)),"")</f>
        <v/>
      </c>
      <c r="M3372">
        <f>IF(B3372,(1+Trend)^D3372,"")</f>
        <v/>
      </c>
      <c r="N3372">
        <f>IF(B3372,EXP(SUMPRODUCT(LN(1+(EvEff-1)*INDEX(Affected,0,C3372)*EXP(-((E3372-EvCenter)^2)/(2*EvSigma^2))))),"")</f>
        <v/>
      </c>
      <c r="O3372">
        <f>IF(B3372,ROUND(MAX(0,J3372*K3372*L3372*M3372*N3372),2),"")</f>
        <v/>
      </c>
    </row>
    <row r="3373">
      <c r="A3373" t="n">
        <v>3372</v>
      </c>
      <c r="B3373">
        <f>A3373&lt;=MineCount*Days</f>
        <v/>
      </c>
      <c r="C3373">
        <f>IF(B3373,INT((A3373-1)/Days)+1,"")</f>
        <v/>
      </c>
      <c r="D3373">
        <f>IF(B3373,MOD(A3373-1,Days),"")</f>
        <v/>
      </c>
      <c r="E3373" s="16">
        <f>IF(B3373,StartDate+D3373,"")</f>
        <v/>
      </c>
      <c r="F3373">
        <f>IF(B3373,MAX(MOD(SIN(Seed*0.1373+C3373*12.9898+D3373*78.233)*43758.5453,1),1E-9),"")</f>
        <v/>
      </c>
      <c r="G3373">
        <f>IF(B3373,MOD(SIN(Seed*0.5917+C3373*39.3468+D3373*11.135)*24634.6345,1),"")</f>
        <v/>
      </c>
      <c r="H3373">
        <f>IF(B3373,SQRT(-2*LN(F3373))*COS(2*PI()*G3373),"")</f>
        <v/>
      </c>
      <c r="I3373">
        <f>IF(B3373,IF(D3373=0,H3373,Rho*I3372+SQRT(1-Rho^2)*H3373),"")</f>
        <v/>
      </c>
      <c r="J3373">
        <f>IF(B3373,IF(Dist="Normal",DistA+DistB*I3373,DistA+(DistB-DistA)*NORMSDIST(I3373)),"")</f>
        <v/>
      </c>
      <c r="K3373">
        <f>IF(B3373,INDEX(MineScale,C3373),"")</f>
        <v/>
      </c>
      <c r="L3373">
        <f>IF(B3373,INDEX(Dow,1,WEEKDAY(E3373,2)),"")</f>
        <v/>
      </c>
      <c r="M3373">
        <f>IF(B3373,(1+Trend)^D3373,"")</f>
        <v/>
      </c>
      <c r="N3373">
        <f>IF(B3373,EXP(SUMPRODUCT(LN(1+(EvEff-1)*INDEX(Affected,0,C3373)*EXP(-((E3373-EvCenter)^2)/(2*EvSigma^2))))),"")</f>
        <v/>
      </c>
      <c r="O3373">
        <f>IF(B3373,ROUND(MAX(0,J3373*K3373*L3373*M3373*N3373),2),"")</f>
        <v/>
      </c>
    </row>
    <row r="3374">
      <c r="A3374" t="n">
        <v>3373</v>
      </c>
      <c r="B3374">
        <f>A3374&lt;=MineCount*Days</f>
        <v/>
      </c>
      <c r="C3374">
        <f>IF(B3374,INT((A3374-1)/Days)+1,"")</f>
        <v/>
      </c>
      <c r="D3374">
        <f>IF(B3374,MOD(A3374-1,Days),"")</f>
        <v/>
      </c>
      <c r="E3374" s="16">
        <f>IF(B3374,StartDate+D3374,"")</f>
        <v/>
      </c>
      <c r="F3374">
        <f>IF(B3374,MAX(MOD(SIN(Seed*0.1373+C3374*12.9898+D3374*78.233)*43758.5453,1),1E-9),"")</f>
        <v/>
      </c>
      <c r="G3374">
        <f>IF(B3374,MOD(SIN(Seed*0.5917+C3374*39.3468+D3374*11.135)*24634.6345,1),"")</f>
        <v/>
      </c>
      <c r="H3374">
        <f>IF(B3374,SQRT(-2*LN(F3374))*COS(2*PI()*G3374),"")</f>
        <v/>
      </c>
      <c r="I3374">
        <f>IF(B3374,IF(D3374=0,H3374,Rho*I3373+SQRT(1-Rho^2)*H3374),"")</f>
        <v/>
      </c>
      <c r="J3374">
        <f>IF(B3374,IF(Dist="Normal",DistA+DistB*I3374,DistA+(DistB-DistA)*NORMSDIST(I3374)),"")</f>
        <v/>
      </c>
      <c r="K3374">
        <f>IF(B3374,INDEX(MineScale,C3374),"")</f>
        <v/>
      </c>
      <c r="L3374">
        <f>IF(B3374,INDEX(Dow,1,WEEKDAY(E3374,2)),"")</f>
        <v/>
      </c>
      <c r="M3374">
        <f>IF(B3374,(1+Trend)^D3374,"")</f>
        <v/>
      </c>
      <c r="N3374">
        <f>IF(B3374,EXP(SUMPRODUCT(LN(1+(EvEff-1)*INDEX(Affected,0,C3374)*EXP(-((E3374-EvCenter)^2)/(2*EvSigma^2))))),"")</f>
        <v/>
      </c>
      <c r="O3374">
        <f>IF(B3374,ROUND(MAX(0,J3374*K3374*L3374*M3374*N3374),2),"")</f>
        <v/>
      </c>
    </row>
    <row r="3375">
      <c r="A3375" t="n">
        <v>3374</v>
      </c>
      <c r="B3375">
        <f>A3375&lt;=MineCount*Days</f>
        <v/>
      </c>
      <c r="C3375">
        <f>IF(B3375,INT((A3375-1)/Days)+1,"")</f>
        <v/>
      </c>
      <c r="D3375">
        <f>IF(B3375,MOD(A3375-1,Days),"")</f>
        <v/>
      </c>
      <c r="E3375" s="16">
        <f>IF(B3375,StartDate+D3375,"")</f>
        <v/>
      </c>
      <c r="F3375">
        <f>IF(B3375,MAX(MOD(SIN(Seed*0.1373+C3375*12.9898+D3375*78.233)*43758.5453,1),1E-9),"")</f>
        <v/>
      </c>
      <c r="G3375">
        <f>IF(B3375,MOD(SIN(Seed*0.5917+C3375*39.3468+D3375*11.135)*24634.6345,1),"")</f>
        <v/>
      </c>
      <c r="H3375">
        <f>IF(B3375,SQRT(-2*LN(F3375))*COS(2*PI()*G3375),"")</f>
        <v/>
      </c>
      <c r="I3375">
        <f>IF(B3375,IF(D3375=0,H3375,Rho*I3374+SQRT(1-Rho^2)*H3375),"")</f>
        <v/>
      </c>
      <c r="J3375">
        <f>IF(B3375,IF(Dist="Normal",DistA+DistB*I3375,DistA+(DistB-DistA)*NORMSDIST(I3375)),"")</f>
        <v/>
      </c>
      <c r="K3375">
        <f>IF(B3375,INDEX(MineScale,C3375),"")</f>
        <v/>
      </c>
      <c r="L3375">
        <f>IF(B3375,INDEX(Dow,1,WEEKDAY(E3375,2)),"")</f>
        <v/>
      </c>
      <c r="M3375">
        <f>IF(B3375,(1+Trend)^D3375,"")</f>
        <v/>
      </c>
      <c r="N3375">
        <f>IF(B3375,EXP(SUMPRODUCT(LN(1+(EvEff-1)*INDEX(Affected,0,C3375)*EXP(-((E3375-EvCenter)^2)/(2*EvSigma^2))))),"")</f>
        <v/>
      </c>
      <c r="O3375">
        <f>IF(B3375,ROUND(MAX(0,J3375*K3375*L3375*M3375*N3375),2),"")</f>
        <v/>
      </c>
    </row>
    <row r="3376">
      <c r="A3376" t="n">
        <v>3375</v>
      </c>
      <c r="B3376">
        <f>A3376&lt;=MineCount*Days</f>
        <v/>
      </c>
      <c r="C3376">
        <f>IF(B3376,INT((A3376-1)/Days)+1,"")</f>
        <v/>
      </c>
      <c r="D3376">
        <f>IF(B3376,MOD(A3376-1,Days),"")</f>
        <v/>
      </c>
      <c r="E3376" s="16">
        <f>IF(B3376,StartDate+D3376,"")</f>
        <v/>
      </c>
      <c r="F3376">
        <f>IF(B3376,MAX(MOD(SIN(Seed*0.1373+C3376*12.9898+D3376*78.233)*43758.5453,1),1E-9),"")</f>
        <v/>
      </c>
      <c r="G3376">
        <f>IF(B3376,MOD(SIN(Seed*0.5917+C3376*39.3468+D3376*11.135)*24634.6345,1),"")</f>
        <v/>
      </c>
      <c r="H3376">
        <f>IF(B3376,SQRT(-2*LN(F3376))*COS(2*PI()*G3376),"")</f>
        <v/>
      </c>
      <c r="I3376">
        <f>IF(B3376,IF(D3376=0,H3376,Rho*I3375+SQRT(1-Rho^2)*H3376),"")</f>
        <v/>
      </c>
      <c r="J3376">
        <f>IF(B3376,IF(Dist="Normal",DistA+DistB*I3376,DistA+(DistB-DistA)*NORMSDIST(I3376)),"")</f>
        <v/>
      </c>
      <c r="K3376">
        <f>IF(B3376,INDEX(MineScale,C3376),"")</f>
        <v/>
      </c>
      <c r="L3376">
        <f>IF(B3376,INDEX(Dow,1,WEEKDAY(E3376,2)),"")</f>
        <v/>
      </c>
      <c r="M3376">
        <f>IF(B3376,(1+Trend)^D3376,"")</f>
        <v/>
      </c>
      <c r="N3376">
        <f>IF(B3376,EXP(SUMPRODUCT(LN(1+(EvEff-1)*INDEX(Affected,0,C3376)*EXP(-((E3376-EvCenter)^2)/(2*EvSigma^2))))),"")</f>
        <v/>
      </c>
      <c r="O3376">
        <f>IF(B3376,ROUND(MAX(0,J3376*K3376*L3376*M3376*N3376),2),"")</f>
        <v/>
      </c>
    </row>
    <row r="3377">
      <c r="A3377" t="n">
        <v>3376</v>
      </c>
      <c r="B3377">
        <f>A3377&lt;=MineCount*Days</f>
        <v/>
      </c>
      <c r="C3377">
        <f>IF(B3377,INT((A3377-1)/Days)+1,"")</f>
        <v/>
      </c>
      <c r="D3377">
        <f>IF(B3377,MOD(A3377-1,Days),"")</f>
        <v/>
      </c>
      <c r="E3377" s="16">
        <f>IF(B3377,StartDate+D3377,"")</f>
        <v/>
      </c>
      <c r="F3377">
        <f>IF(B3377,MAX(MOD(SIN(Seed*0.1373+C3377*12.9898+D3377*78.233)*43758.5453,1),1E-9),"")</f>
        <v/>
      </c>
      <c r="G3377">
        <f>IF(B3377,MOD(SIN(Seed*0.5917+C3377*39.3468+D3377*11.135)*24634.6345,1),"")</f>
        <v/>
      </c>
      <c r="H3377">
        <f>IF(B3377,SQRT(-2*LN(F3377))*COS(2*PI()*G3377),"")</f>
        <v/>
      </c>
      <c r="I3377">
        <f>IF(B3377,IF(D3377=0,H3377,Rho*I3376+SQRT(1-Rho^2)*H3377),"")</f>
        <v/>
      </c>
      <c r="J3377">
        <f>IF(B3377,IF(Dist="Normal",DistA+DistB*I3377,DistA+(DistB-DistA)*NORMSDIST(I3377)),"")</f>
        <v/>
      </c>
      <c r="K3377">
        <f>IF(B3377,INDEX(MineScale,C3377),"")</f>
        <v/>
      </c>
      <c r="L3377">
        <f>IF(B3377,INDEX(Dow,1,WEEKDAY(E3377,2)),"")</f>
        <v/>
      </c>
      <c r="M3377">
        <f>IF(B3377,(1+Trend)^D3377,"")</f>
        <v/>
      </c>
      <c r="N3377">
        <f>IF(B3377,EXP(SUMPRODUCT(LN(1+(EvEff-1)*INDEX(Affected,0,C3377)*EXP(-((E3377-EvCenter)^2)/(2*EvSigma^2))))),"")</f>
        <v/>
      </c>
      <c r="O3377">
        <f>IF(B3377,ROUND(MAX(0,J3377*K3377*L3377*M3377*N3377),2),"")</f>
        <v/>
      </c>
    </row>
    <row r="3378">
      <c r="A3378" t="n">
        <v>3377</v>
      </c>
      <c r="B3378">
        <f>A3378&lt;=MineCount*Days</f>
        <v/>
      </c>
      <c r="C3378">
        <f>IF(B3378,INT((A3378-1)/Days)+1,"")</f>
        <v/>
      </c>
      <c r="D3378">
        <f>IF(B3378,MOD(A3378-1,Days),"")</f>
        <v/>
      </c>
      <c r="E3378" s="16">
        <f>IF(B3378,StartDate+D3378,"")</f>
        <v/>
      </c>
      <c r="F3378">
        <f>IF(B3378,MAX(MOD(SIN(Seed*0.1373+C3378*12.9898+D3378*78.233)*43758.5453,1),1E-9),"")</f>
        <v/>
      </c>
      <c r="G3378">
        <f>IF(B3378,MOD(SIN(Seed*0.5917+C3378*39.3468+D3378*11.135)*24634.6345,1),"")</f>
        <v/>
      </c>
      <c r="H3378">
        <f>IF(B3378,SQRT(-2*LN(F3378))*COS(2*PI()*G3378),"")</f>
        <v/>
      </c>
      <c r="I3378">
        <f>IF(B3378,IF(D3378=0,H3378,Rho*I3377+SQRT(1-Rho^2)*H3378),"")</f>
        <v/>
      </c>
      <c r="J3378">
        <f>IF(B3378,IF(Dist="Normal",DistA+DistB*I3378,DistA+(DistB-DistA)*NORMSDIST(I3378)),"")</f>
        <v/>
      </c>
      <c r="K3378">
        <f>IF(B3378,INDEX(MineScale,C3378),"")</f>
        <v/>
      </c>
      <c r="L3378">
        <f>IF(B3378,INDEX(Dow,1,WEEKDAY(E3378,2)),"")</f>
        <v/>
      </c>
      <c r="M3378">
        <f>IF(B3378,(1+Trend)^D3378,"")</f>
        <v/>
      </c>
      <c r="N3378">
        <f>IF(B3378,EXP(SUMPRODUCT(LN(1+(EvEff-1)*INDEX(Affected,0,C3378)*EXP(-((E3378-EvCenter)^2)/(2*EvSigma^2))))),"")</f>
        <v/>
      </c>
      <c r="O3378">
        <f>IF(B3378,ROUND(MAX(0,J3378*K3378*L3378*M3378*N3378),2),"")</f>
        <v/>
      </c>
    </row>
    <row r="3379">
      <c r="A3379" t="n">
        <v>3378</v>
      </c>
      <c r="B3379">
        <f>A3379&lt;=MineCount*Days</f>
        <v/>
      </c>
      <c r="C3379">
        <f>IF(B3379,INT((A3379-1)/Days)+1,"")</f>
        <v/>
      </c>
      <c r="D3379">
        <f>IF(B3379,MOD(A3379-1,Days),"")</f>
        <v/>
      </c>
      <c r="E3379" s="16">
        <f>IF(B3379,StartDate+D3379,"")</f>
        <v/>
      </c>
      <c r="F3379">
        <f>IF(B3379,MAX(MOD(SIN(Seed*0.1373+C3379*12.9898+D3379*78.233)*43758.5453,1),1E-9),"")</f>
        <v/>
      </c>
      <c r="G3379">
        <f>IF(B3379,MOD(SIN(Seed*0.5917+C3379*39.3468+D3379*11.135)*24634.6345,1),"")</f>
        <v/>
      </c>
      <c r="H3379">
        <f>IF(B3379,SQRT(-2*LN(F3379))*COS(2*PI()*G3379),"")</f>
        <v/>
      </c>
      <c r="I3379">
        <f>IF(B3379,IF(D3379=0,H3379,Rho*I3378+SQRT(1-Rho^2)*H3379),"")</f>
        <v/>
      </c>
      <c r="J3379">
        <f>IF(B3379,IF(Dist="Normal",DistA+DistB*I3379,DistA+(DistB-DistA)*NORMSDIST(I3379)),"")</f>
        <v/>
      </c>
      <c r="K3379">
        <f>IF(B3379,INDEX(MineScale,C3379),"")</f>
        <v/>
      </c>
      <c r="L3379">
        <f>IF(B3379,INDEX(Dow,1,WEEKDAY(E3379,2)),"")</f>
        <v/>
      </c>
      <c r="M3379">
        <f>IF(B3379,(1+Trend)^D3379,"")</f>
        <v/>
      </c>
      <c r="N3379">
        <f>IF(B3379,EXP(SUMPRODUCT(LN(1+(EvEff-1)*INDEX(Affected,0,C3379)*EXP(-((E3379-EvCenter)^2)/(2*EvSigma^2))))),"")</f>
        <v/>
      </c>
      <c r="O3379">
        <f>IF(B3379,ROUND(MAX(0,J3379*K3379*L3379*M3379*N3379),2),"")</f>
        <v/>
      </c>
    </row>
    <row r="3380">
      <c r="A3380" t="n">
        <v>3379</v>
      </c>
      <c r="B3380">
        <f>A3380&lt;=MineCount*Days</f>
        <v/>
      </c>
      <c r="C3380">
        <f>IF(B3380,INT((A3380-1)/Days)+1,"")</f>
        <v/>
      </c>
      <c r="D3380">
        <f>IF(B3380,MOD(A3380-1,Days),"")</f>
        <v/>
      </c>
      <c r="E3380" s="16">
        <f>IF(B3380,StartDate+D3380,"")</f>
        <v/>
      </c>
      <c r="F3380">
        <f>IF(B3380,MAX(MOD(SIN(Seed*0.1373+C3380*12.9898+D3380*78.233)*43758.5453,1),1E-9),"")</f>
        <v/>
      </c>
      <c r="G3380">
        <f>IF(B3380,MOD(SIN(Seed*0.5917+C3380*39.3468+D3380*11.135)*24634.6345,1),"")</f>
        <v/>
      </c>
      <c r="H3380">
        <f>IF(B3380,SQRT(-2*LN(F3380))*COS(2*PI()*G3380),"")</f>
        <v/>
      </c>
      <c r="I3380">
        <f>IF(B3380,IF(D3380=0,H3380,Rho*I3379+SQRT(1-Rho^2)*H3380),"")</f>
        <v/>
      </c>
      <c r="J3380">
        <f>IF(B3380,IF(Dist="Normal",DistA+DistB*I3380,DistA+(DistB-DistA)*NORMSDIST(I3380)),"")</f>
        <v/>
      </c>
      <c r="K3380">
        <f>IF(B3380,INDEX(MineScale,C3380),"")</f>
        <v/>
      </c>
      <c r="L3380">
        <f>IF(B3380,INDEX(Dow,1,WEEKDAY(E3380,2)),"")</f>
        <v/>
      </c>
      <c r="M3380">
        <f>IF(B3380,(1+Trend)^D3380,"")</f>
        <v/>
      </c>
      <c r="N3380">
        <f>IF(B3380,EXP(SUMPRODUCT(LN(1+(EvEff-1)*INDEX(Affected,0,C3380)*EXP(-((E3380-EvCenter)^2)/(2*EvSigma^2))))),"")</f>
        <v/>
      </c>
      <c r="O3380">
        <f>IF(B3380,ROUND(MAX(0,J3380*K3380*L3380*M3380*N3380),2),"")</f>
        <v/>
      </c>
    </row>
    <row r="3381">
      <c r="A3381" t="n">
        <v>3380</v>
      </c>
      <c r="B3381">
        <f>A3381&lt;=MineCount*Days</f>
        <v/>
      </c>
      <c r="C3381">
        <f>IF(B3381,INT((A3381-1)/Days)+1,"")</f>
        <v/>
      </c>
      <c r="D3381">
        <f>IF(B3381,MOD(A3381-1,Days),"")</f>
        <v/>
      </c>
      <c r="E3381" s="16">
        <f>IF(B3381,StartDate+D3381,"")</f>
        <v/>
      </c>
      <c r="F3381">
        <f>IF(B3381,MAX(MOD(SIN(Seed*0.1373+C3381*12.9898+D3381*78.233)*43758.5453,1),1E-9),"")</f>
        <v/>
      </c>
      <c r="G3381">
        <f>IF(B3381,MOD(SIN(Seed*0.5917+C3381*39.3468+D3381*11.135)*24634.6345,1),"")</f>
        <v/>
      </c>
      <c r="H3381">
        <f>IF(B3381,SQRT(-2*LN(F3381))*COS(2*PI()*G3381),"")</f>
        <v/>
      </c>
      <c r="I3381">
        <f>IF(B3381,IF(D3381=0,H3381,Rho*I3380+SQRT(1-Rho^2)*H3381),"")</f>
        <v/>
      </c>
      <c r="J3381">
        <f>IF(B3381,IF(Dist="Normal",DistA+DistB*I3381,DistA+(DistB-DistA)*NORMSDIST(I3381)),"")</f>
        <v/>
      </c>
      <c r="K3381">
        <f>IF(B3381,INDEX(MineScale,C3381),"")</f>
        <v/>
      </c>
      <c r="L3381">
        <f>IF(B3381,INDEX(Dow,1,WEEKDAY(E3381,2)),"")</f>
        <v/>
      </c>
      <c r="M3381">
        <f>IF(B3381,(1+Trend)^D3381,"")</f>
        <v/>
      </c>
      <c r="N3381">
        <f>IF(B3381,EXP(SUMPRODUCT(LN(1+(EvEff-1)*INDEX(Affected,0,C3381)*EXP(-((E3381-EvCenter)^2)/(2*EvSigma^2))))),"")</f>
        <v/>
      </c>
      <c r="O3381">
        <f>IF(B3381,ROUND(MAX(0,J3381*K3381*L3381*M3381*N3381),2),"")</f>
        <v/>
      </c>
    </row>
    <row r="3382">
      <c r="A3382" t="n">
        <v>3381</v>
      </c>
      <c r="B3382">
        <f>A3382&lt;=MineCount*Days</f>
        <v/>
      </c>
      <c r="C3382">
        <f>IF(B3382,INT((A3382-1)/Days)+1,"")</f>
        <v/>
      </c>
      <c r="D3382">
        <f>IF(B3382,MOD(A3382-1,Days),"")</f>
        <v/>
      </c>
      <c r="E3382" s="16">
        <f>IF(B3382,StartDate+D3382,"")</f>
        <v/>
      </c>
      <c r="F3382">
        <f>IF(B3382,MAX(MOD(SIN(Seed*0.1373+C3382*12.9898+D3382*78.233)*43758.5453,1),1E-9),"")</f>
        <v/>
      </c>
      <c r="G3382">
        <f>IF(B3382,MOD(SIN(Seed*0.5917+C3382*39.3468+D3382*11.135)*24634.6345,1),"")</f>
        <v/>
      </c>
      <c r="H3382">
        <f>IF(B3382,SQRT(-2*LN(F3382))*COS(2*PI()*G3382),"")</f>
        <v/>
      </c>
      <c r="I3382">
        <f>IF(B3382,IF(D3382=0,H3382,Rho*I3381+SQRT(1-Rho^2)*H3382),"")</f>
        <v/>
      </c>
      <c r="J3382">
        <f>IF(B3382,IF(Dist="Normal",DistA+DistB*I3382,DistA+(DistB-DistA)*NORMSDIST(I3382)),"")</f>
        <v/>
      </c>
      <c r="K3382">
        <f>IF(B3382,INDEX(MineScale,C3382),"")</f>
        <v/>
      </c>
      <c r="L3382">
        <f>IF(B3382,INDEX(Dow,1,WEEKDAY(E3382,2)),"")</f>
        <v/>
      </c>
      <c r="M3382">
        <f>IF(B3382,(1+Trend)^D3382,"")</f>
        <v/>
      </c>
      <c r="N3382">
        <f>IF(B3382,EXP(SUMPRODUCT(LN(1+(EvEff-1)*INDEX(Affected,0,C3382)*EXP(-((E3382-EvCenter)^2)/(2*EvSigma^2))))),"")</f>
        <v/>
      </c>
      <c r="O3382">
        <f>IF(B3382,ROUND(MAX(0,J3382*K3382*L3382*M3382*N3382),2),"")</f>
        <v/>
      </c>
    </row>
    <row r="3383">
      <c r="A3383" t="n">
        <v>3382</v>
      </c>
      <c r="B3383">
        <f>A3383&lt;=MineCount*Days</f>
        <v/>
      </c>
      <c r="C3383">
        <f>IF(B3383,INT((A3383-1)/Days)+1,"")</f>
        <v/>
      </c>
      <c r="D3383">
        <f>IF(B3383,MOD(A3383-1,Days),"")</f>
        <v/>
      </c>
      <c r="E3383" s="16">
        <f>IF(B3383,StartDate+D3383,"")</f>
        <v/>
      </c>
      <c r="F3383">
        <f>IF(B3383,MAX(MOD(SIN(Seed*0.1373+C3383*12.9898+D3383*78.233)*43758.5453,1),1E-9),"")</f>
        <v/>
      </c>
      <c r="G3383">
        <f>IF(B3383,MOD(SIN(Seed*0.5917+C3383*39.3468+D3383*11.135)*24634.6345,1),"")</f>
        <v/>
      </c>
      <c r="H3383">
        <f>IF(B3383,SQRT(-2*LN(F3383))*COS(2*PI()*G3383),"")</f>
        <v/>
      </c>
      <c r="I3383">
        <f>IF(B3383,IF(D3383=0,H3383,Rho*I3382+SQRT(1-Rho^2)*H3383),"")</f>
        <v/>
      </c>
      <c r="J3383">
        <f>IF(B3383,IF(Dist="Normal",DistA+DistB*I3383,DistA+(DistB-DistA)*NORMSDIST(I3383)),"")</f>
        <v/>
      </c>
      <c r="K3383">
        <f>IF(B3383,INDEX(MineScale,C3383),"")</f>
        <v/>
      </c>
      <c r="L3383">
        <f>IF(B3383,INDEX(Dow,1,WEEKDAY(E3383,2)),"")</f>
        <v/>
      </c>
      <c r="M3383">
        <f>IF(B3383,(1+Trend)^D3383,"")</f>
        <v/>
      </c>
      <c r="N3383">
        <f>IF(B3383,EXP(SUMPRODUCT(LN(1+(EvEff-1)*INDEX(Affected,0,C3383)*EXP(-((E3383-EvCenter)^2)/(2*EvSigma^2))))),"")</f>
        <v/>
      </c>
      <c r="O3383">
        <f>IF(B3383,ROUND(MAX(0,J3383*K3383*L3383*M3383*N3383),2),"")</f>
        <v/>
      </c>
    </row>
    <row r="3384">
      <c r="A3384" t="n">
        <v>3383</v>
      </c>
      <c r="B3384">
        <f>A3384&lt;=MineCount*Days</f>
        <v/>
      </c>
      <c r="C3384">
        <f>IF(B3384,INT((A3384-1)/Days)+1,"")</f>
        <v/>
      </c>
      <c r="D3384">
        <f>IF(B3384,MOD(A3384-1,Days),"")</f>
        <v/>
      </c>
      <c r="E3384" s="16">
        <f>IF(B3384,StartDate+D3384,"")</f>
        <v/>
      </c>
      <c r="F3384">
        <f>IF(B3384,MAX(MOD(SIN(Seed*0.1373+C3384*12.9898+D3384*78.233)*43758.5453,1),1E-9),"")</f>
        <v/>
      </c>
      <c r="G3384">
        <f>IF(B3384,MOD(SIN(Seed*0.5917+C3384*39.3468+D3384*11.135)*24634.6345,1),"")</f>
        <v/>
      </c>
      <c r="H3384">
        <f>IF(B3384,SQRT(-2*LN(F3384))*COS(2*PI()*G3384),"")</f>
        <v/>
      </c>
      <c r="I3384">
        <f>IF(B3384,IF(D3384=0,H3384,Rho*I3383+SQRT(1-Rho^2)*H3384),"")</f>
        <v/>
      </c>
      <c r="J3384">
        <f>IF(B3384,IF(Dist="Normal",DistA+DistB*I3384,DistA+(DistB-DistA)*NORMSDIST(I3384)),"")</f>
        <v/>
      </c>
      <c r="K3384">
        <f>IF(B3384,INDEX(MineScale,C3384),"")</f>
        <v/>
      </c>
      <c r="L3384">
        <f>IF(B3384,INDEX(Dow,1,WEEKDAY(E3384,2)),"")</f>
        <v/>
      </c>
      <c r="M3384">
        <f>IF(B3384,(1+Trend)^D3384,"")</f>
        <v/>
      </c>
      <c r="N3384">
        <f>IF(B3384,EXP(SUMPRODUCT(LN(1+(EvEff-1)*INDEX(Affected,0,C3384)*EXP(-((E3384-EvCenter)^2)/(2*EvSigma^2))))),"")</f>
        <v/>
      </c>
      <c r="O3384">
        <f>IF(B3384,ROUND(MAX(0,J3384*K3384*L3384*M3384*N3384),2),"")</f>
        <v/>
      </c>
    </row>
    <row r="3385">
      <c r="A3385" t="n">
        <v>3384</v>
      </c>
      <c r="B3385">
        <f>A3385&lt;=MineCount*Days</f>
        <v/>
      </c>
      <c r="C3385">
        <f>IF(B3385,INT((A3385-1)/Days)+1,"")</f>
        <v/>
      </c>
      <c r="D3385">
        <f>IF(B3385,MOD(A3385-1,Days),"")</f>
        <v/>
      </c>
      <c r="E3385" s="16">
        <f>IF(B3385,StartDate+D3385,"")</f>
        <v/>
      </c>
      <c r="F3385">
        <f>IF(B3385,MAX(MOD(SIN(Seed*0.1373+C3385*12.9898+D3385*78.233)*43758.5453,1),1E-9),"")</f>
        <v/>
      </c>
      <c r="G3385">
        <f>IF(B3385,MOD(SIN(Seed*0.5917+C3385*39.3468+D3385*11.135)*24634.6345,1),"")</f>
        <v/>
      </c>
      <c r="H3385">
        <f>IF(B3385,SQRT(-2*LN(F3385))*COS(2*PI()*G3385),"")</f>
        <v/>
      </c>
      <c r="I3385">
        <f>IF(B3385,IF(D3385=0,H3385,Rho*I3384+SQRT(1-Rho^2)*H3385),"")</f>
        <v/>
      </c>
      <c r="J3385">
        <f>IF(B3385,IF(Dist="Normal",DistA+DistB*I3385,DistA+(DistB-DistA)*NORMSDIST(I3385)),"")</f>
        <v/>
      </c>
      <c r="K3385">
        <f>IF(B3385,INDEX(MineScale,C3385),"")</f>
        <v/>
      </c>
      <c r="L3385">
        <f>IF(B3385,INDEX(Dow,1,WEEKDAY(E3385,2)),"")</f>
        <v/>
      </c>
      <c r="M3385">
        <f>IF(B3385,(1+Trend)^D3385,"")</f>
        <v/>
      </c>
      <c r="N3385">
        <f>IF(B3385,EXP(SUMPRODUCT(LN(1+(EvEff-1)*INDEX(Affected,0,C3385)*EXP(-((E3385-EvCenter)^2)/(2*EvSigma^2))))),"")</f>
        <v/>
      </c>
      <c r="O3385">
        <f>IF(B3385,ROUND(MAX(0,J3385*K3385*L3385*M3385*N3385),2),"")</f>
        <v/>
      </c>
    </row>
    <row r="3386">
      <c r="A3386" t="n">
        <v>3385</v>
      </c>
      <c r="B3386">
        <f>A3386&lt;=MineCount*Days</f>
        <v/>
      </c>
      <c r="C3386">
        <f>IF(B3386,INT((A3386-1)/Days)+1,"")</f>
        <v/>
      </c>
      <c r="D3386">
        <f>IF(B3386,MOD(A3386-1,Days),"")</f>
        <v/>
      </c>
      <c r="E3386" s="16">
        <f>IF(B3386,StartDate+D3386,"")</f>
        <v/>
      </c>
      <c r="F3386">
        <f>IF(B3386,MAX(MOD(SIN(Seed*0.1373+C3386*12.9898+D3386*78.233)*43758.5453,1),1E-9),"")</f>
        <v/>
      </c>
      <c r="G3386">
        <f>IF(B3386,MOD(SIN(Seed*0.5917+C3386*39.3468+D3386*11.135)*24634.6345,1),"")</f>
        <v/>
      </c>
      <c r="H3386">
        <f>IF(B3386,SQRT(-2*LN(F3386))*COS(2*PI()*G3386),"")</f>
        <v/>
      </c>
      <c r="I3386">
        <f>IF(B3386,IF(D3386=0,H3386,Rho*I3385+SQRT(1-Rho^2)*H3386),"")</f>
        <v/>
      </c>
      <c r="J3386">
        <f>IF(B3386,IF(Dist="Normal",DistA+DistB*I3386,DistA+(DistB-DistA)*NORMSDIST(I3386)),"")</f>
        <v/>
      </c>
      <c r="K3386">
        <f>IF(B3386,INDEX(MineScale,C3386),"")</f>
        <v/>
      </c>
      <c r="L3386">
        <f>IF(B3386,INDEX(Dow,1,WEEKDAY(E3386,2)),"")</f>
        <v/>
      </c>
      <c r="M3386">
        <f>IF(B3386,(1+Trend)^D3386,"")</f>
        <v/>
      </c>
      <c r="N3386">
        <f>IF(B3386,EXP(SUMPRODUCT(LN(1+(EvEff-1)*INDEX(Affected,0,C3386)*EXP(-((E3386-EvCenter)^2)/(2*EvSigma^2))))),"")</f>
        <v/>
      </c>
      <c r="O3386">
        <f>IF(B3386,ROUND(MAX(0,J3386*K3386*L3386*M3386*N3386),2),"")</f>
        <v/>
      </c>
    </row>
    <row r="3387">
      <c r="A3387" t="n">
        <v>3386</v>
      </c>
      <c r="B3387">
        <f>A3387&lt;=MineCount*Days</f>
        <v/>
      </c>
      <c r="C3387">
        <f>IF(B3387,INT((A3387-1)/Days)+1,"")</f>
        <v/>
      </c>
      <c r="D3387">
        <f>IF(B3387,MOD(A3387-1,Days),"")</f>
        <v/>
      </c>
      <c r="E3387" s="16">
        <f>IF(B3387,StartDate+D3387,"")</f>
        <v/>
      </c>
      <c r="F3387">
        <f>IF(B3387,MAX(MOD(SIN(Seed*0.1373+C3387*12.9898+D3387*78.233)*43758.5453,1),1E-9),"")</f>
        <v/>
      </c>
      <c r="G3387">
        <f>IF(B3387,MOD(SIN(Seed*0.5917+C3387*39.3468+D3387*11.135)*24634.6345,1),"")</f>
        <v/>
      </c>
      <c r="H3387">
        <f>IF(B3387,SQRT(-2*LN(F3387))*COS(2*PI()*G3387),"")</f>
        <v/>
      </c>
      <c r="I3387">
        <f>IF(B3387,IF(D3387=0,H3387,Rho*I3386+SQRT(1-Rho^2)*H3387),"")</f>
        <v/>
      </c>
      <c r="J3387">
        <f>IF(B3387,IF(Dist="Normal",DistA+DistB*I3387,DistA+(DistB-DistA)*NORMSDIST(I3387)),"")</f>
        <v/>
      </c>
      <c r="K3387">
        <f>IF(B3387,INDEX(MineScale,C3387),"")</f>
        <v/>
      </c>
      <c r="L3387">
        <f>IF(B3387,INDEX(Dow,1,WEEKDAY(E3387,2)),"")</f>
        <v/>
      </c>
      <c r="M3387">
        <f>IF(B3387,(1+Trend)^D3387,"")</f>
        <v/>
      </c>
      <c r="N3387">
        <f>IF(B3387,EXP(SUMPRODUCT(LN(1+(EvEff-1)*INDEX(Affected,0,C3387)*EXP(-((E3387-EvCenter)^2)/(2*EvSigma^2))))),"")</f>
        <v/>
      </c>
      <c r="O3387">
        <f>IF(B3387,ROUND(MAX(0,J3387*K3387*L3387*M3387*N3387),2),"")</f>
        <v/>
      </c>
    </row>
    <row r="3388">
      <c r="A3388" t="n">
        <v>3387</v>
      </c>
      <c r="B3388">
        <f>A3388&lt;=MineCount*Days</f>
        <v/>
      </c>
      <c r="C3388">
        <f>IF(B3388,INT((A3388-1)/Days)+1,"")</f>
        <v/>
      </c>
      <c r="D3388">
        <f>IF(B3388,MOD(A3388-1,Days),"")</f>
        <v/>
      </c>
      <c r="E3388" s="16">
        <f>IF(B3388,StartDate+D3388,"")</f>
        <v/>
      </c>
      <c r="F3388">
        <f>IF(B3388,MAX(MOD(SIN(Seed*0.1373+C3388*12.9898+D3388*78.233)*43758.5453,1),1E-9),"")</f>
        <v/>
      </c>
      <c r="G3388">
        <f>IF(B3388,MOD(SIN(Seed*0.5917+C3388*39.3468+D3388*11.135)*24634.6345,1),"")</f>
        <v/>
      </c>
      <c r="H3388">
        <f>IF(B3388,SQRT(-2*LN(F3388))*COS(2*PI()*G3388),"")</f>
        <v/>
      </c>
      <c r="I3388">
        <f>IF(B3388,IF(D3388=0,H3388,Rho*I3387+SQRT(1-Rho^2)*H3388),"")</f>
        <v/>
      </c>
      <c r="J3388">
        <f>IF(B3388,IF(Dist="Normal",DistA+DistB*I3388,DistA+(DistB-DistA)*NORMSDIST(I3388)),"")</f>
        <v/>
      </c>
      <c r="K3388">
        <f>IF(B3388,INDEX(MineScale,C3388),"")</f>
        <v/>
      </c>
      <c r="L3388">
        <f>IF(B3388,INDEX(Dow,1,WEEKDAY(E3388,2)),"")</f>
        <v/>
      </c>
      <c r="M3388">
        <f>IF(B3388,(1+Trend)^D3388,"")</f>
        <v/>
      </c>
      <c r="N3388">
        <f>IF(B3388,EXP(SUMPRODUCT(LN(1+(EvEff-1)*INDEX(Affected,0,C3388)*EXP(-((E3388-EvCenter)^2)/(2*EvSigma^2))))),"")</f>
        <v/>
      </c>
      <c r="O3388">
        <f>IF(B3388,ROUND(MAX(0,J3388*K3388*L3388*M3388*N3388),2),"")</f>
        <v/>
      </c>
    </row>
    <row r="3389">
      <c r="A3389" t="n">
        <v>3388</v>
      </c>
      <c r="B3389">
        <f>A3389&lt;=MineCount*Days</f>
        <v/>
      </c>
      <c r="C3389">
        <f>IF(B3389,INT((A3389-1)/Days)+1,"")</f>
        <v/>
      </c>
      <c r="D3389">
        <f>IF(B3389,MOD(A3389-1,Days),"")</f>
        <v/>
      </c>
      <c r="E3389" s="16">
        <f>IF(B3389,StartDate+D3389,"")</f>
        <v/>
      </c>
      <c r="F3389">
        <f>IF(B3389,MAX(MOD(SIN(Seed*0.1373+C3389*12.9898+D3389*78.233)*43758.5453,1),1E-9),"")</f>
        <v/>
      </c>
      <c r="G3389">
        <f>IF(B3389,MOD(SIN(Seed*0.5917+C3389*39.3468+D3389*11.135)*24634.6345,1),"")</f>
        <v/>
      </c>
      <c r="H3389">
        <f>IF(B3389,SQRT(-2*LN(F3389))*COS(2*PI()*G3389),"")</f>
        <v/>
      </c>
      <c r="I3389">
        <f>IF(B3389,IF(D3389=0,H3389,Rho*I3388+SQRT(1-Rho^2)*H3389),"")</f>
        <v/>
      </c>
      <c r="J3389">
        <f>IF(B3389,IF(Dist="Normal",DistA+DistB*I3389,DistA+(DistB-DistA)*NORMSDIST(I3389)),"")</f>
        <v/>
      </c>
      <c r="K3389">
        <f>IF(B3389,INDEX(MineScale,C3389),"")</f>
        <v/>
      </c>
      <c r="L3389">
        <f>IF(B3389,INDEX(Dow,1,WEEKDAY(E3389,2)),"")</f>
        <v/>
      </c>
      <c r="M3389">
        <f>IF(B3389,(1+Trend)^D3389,"")</f>
        <v/>
      </c>
      <c r="N3389">
        <f>IF(B3389,EXP(SUMPRODUCT(LN(1+(EvEff-1)*INDEX(Affected,0,C3389)*EXP(-((E3389-EvCenter)^2)/(2*EvSigma^2))))),"")</f>
        <v/>
      </c>
      <c r="O3389">
        <f>IF(B3389,ROUND(MAX(0,J3389*K3389*L3389*M3389*N3389),2),"")</f>
        <v/>
      </c>
    </row>
    <row r="3390">
      <c r="A3390" t="n">
        <v>3389</v>
      </c>
      <c r="B3390">
        <f>A3390&lt;=MineCount*Days</f>
        <v/>
      </c>
      <c r="C3390">
        <f>IF(B3390,INT((A3390-1)/Days)+1,"")</f>
        <v/>
      </c>
      <c r="D3390">
        <f>IF(B3390,MOD(A3390-1,Days),"")</f>
        <v/>
      </c>
      <c r="E3390" s="16">
        <f>IF(B3390,StartDate+D3390,"")</f>
        <v/>
      </c>
      <c r="F3390">
        <f>IF(B3390,MAX(MOD(SIN(Seed*0.1373+C3390*12.9898+D3390*78.233)*43758.5453,1),1E-9),"")</f>
        <v/>
      </c>
      <c r="G3390">
        <f>IF(B3390,MOD(SIN(Seed*0.5917+C3390*39.3468+D3390*11.135)*24634.6345,1),"")</f>
        <v/>
      </c>
      <c r="H3390">
        <f>IF(B3390,SQRT(-2*LN(F3390))*COS(2*PI()*G3390),"")</f>
        <v/>
      </c>
      <c r="I3390">
        <f>IF(B3390,IF(D3390=0,H3390,Rho*I3389+SQRT(1-Rho^2)*H3390),"")</f>
        <v/>
      </c>
      <c r="J3390">
        <f>IF(B3390,IF(Dist="Normal",DistA+DistB*I3390,DistA+(DistB-DistA)*NORMSDIST(I3390)),"")</f>
        <v/>
      </c>
      <c r="K3390">
        <f>IF(B3390,INDEX(MineScale,C3390),"")</f>
        <v/>
      </c>
      <c r="L3390">
        <f>IF(B3390,INDEX(Dow,1,WEEKDAY(E3390,2)),"")</f>
        <v/>
      </c>
      <c r="M3390">
        <f>IF(B3390,(1+Trend)^D3390,"")</f>
        <v/>
      </c>
      <c r="N3390">
        <f>IF(B3390,EXP(SUMPRODUCT(LN(1+(EvEff-1)*INDEX(Affected,0,C3390)*EXP(-((E3390-EvCenter)^2)/(2*EvSigma^2))))),"")</f>
        <v/>
      </c>
      <c r="O3390">
        <f>IF(B3390,ROUND(MAX(0,J3390*K3390*L3390*M3390*N3390),2),"")</f>
        <v/>
      </c>
    </row>
    <row r="3391">
      <c r="A3391" t="n">
        <v>3390</v>
      </c>
      <c r="B3391">
        <f>A3391&lt;=MineCount*Days</f>
        <v/>
      </c>
      <c r="C3391">
        <f>IF(B3391,INT((A3391-1)/Days)+1,"")</f>
        <v/>
      </c>
      <c r="D3391">
        <f>IF(B3391,MOD(A3391-1,Days),"")</f>
        <v/>
      </c>
      <c r="E3391" s="16">
        <f>IF(B3391,StartDate+D3391,"")</f>
        <v/>
      </c>
      <c r="F3391">
        <f>IF(B3391,MAX(MOD(SIN(Seed*0.1373+C3391*12.9898+D3391*78.233)*43758.5453,1),1E-9),"")</f>
        <v/>
      </c>
      <c r="G3391">
        <f>IF(B3391,MOD(SIN(Seed*0.5917+C3391*39.3468+D3391*11.135)*24634.6345,1),"")</f>
        <v/>
      </c>
      <c r="H3391">
        <f>IF(B3391,SQRT(-2*LN(F3391))*COS(2*PI()*G3391),"")</f>
        <v/>
      </c>
      <c r="I3391">
        <f>IF(B3391,IF(D3391=0,H3391,Rho*I3390+SQRT(1-Rho^2)*H3391),"")</f>
        <v/>
      </c>
      <c r="J3391">
        <f>IF(B3391,IF(Dist="Normal",DistA+DistB*I3391,DistA+(DistB-DistA)*NORMSDIST(I3391)),"")</f>
        <v/>
      </c>
      <c r="K3391">
        <f>IF(B3391,INDEX(MineScale,C3391),"")</f>
        <v/>
      </c>
      <c r="L3391">
        <f>IF(B3391,INDEX(Dow,1,WEEKDAY(E3391,2)),"")</f>
        <v/>
      </c>
      <c r="M3391">
        <f>IF(B3391,(1+Trend)^D3391,"")</f>
        <v/>
      </c>
      <c r="N3391">
        <f>IF(B3391,EXP(SUMPRODUCT(LN(1+(EvEff-1)*INDEX(Affected,0,C3391)*EXP(-((E3391-EvCenter)^2)/(2*EvSigma^2))))),"")</f>
        <v/>
      </c>
      <c r="O3391">
        <f>IF(B3391,ROUND(MAX(0,J3391*K3391*L3391*M3391*N3391),2),"")</f>
        <v/>
      </c>
    </row>
    <row r="3392">
      <c r="A3392" t="n">
        <v>3391</v>
      </c>
      <c r="B3392">
        <f>A3392&lt;=MineCount*Days</f>
        <v/>
      </c>
      <c r="C3392">
        <f>IF(B3392,INT((A3392-1)/Days)+1,"")</f>
        <v/>
      </c>
      <c r="D3392">
        <f>IF(B3392,MOD(A3392-1,Days),"")</f>
        <v/>
      </c>
      <c r="E3392" s="16">
        <f>IF(B3392,StartDate+D3392,"")</f>
        <v/>
      </c>
      <c r="F3392">
        <f>IF(B3392,MAX(MOD(SIN(Seed*0.1373+C3392*12.9898+D3392*78.233)*43758.5453,1),1E-9),"")</f>
        <v/>
      </c>
      <c r="G3392">
        <f>IF(B3392,MOD(SIN(Seed*0.5917+C3392*39.3468+D3392*11.135)*24634.6345,1),"")</f>
        <v/>
      </c>
      <c r="H3392">
        <f>IF(B3392,SQRT(-2*LN(F3392))*COS(2*PI()*G3392),"")</f>
        <v/>
      </c>
      <c r="I3392">
        <f>IF(B3392,IF(D3392=0,H3392,Rho*I3391+SQRT(1-Rho^2)*H3392),"")</f>
        <v/>
      </c>
      <c r="J3392">
        <f>IF(B3392,IF(Dist="Normal",DistA+DistB*I3392,DistA+(DistB-DistA)*NORMSDIST(I3392)),"")</f>
        <v/>
      </c>
      <c r="K3392">
        <f>IF(B3392,INDEX(MineScale,C3392),"")</f>
        <v/>
      </c>
      <c r="L3392">
        <f>IF(B3392,INDEX(Dow,1,WEEKDAY(E3392,2)),"")</f>
        <v/>
      </c>
      <c r="M3392">
        <f>IF(B3392,(1+Trend)^D3392,"")</f>
        <v/>
      </c>
      <c r="N3392">
        <f>IF(B3392,EXP(SUMPRODUCT(LN(1+(EvEff-1)*INDEX(Affected,0,C3392)*EXP(-((E3392-EvCenter)^2)/(2*EvSigma^2))))),"")</f>
        <v/>
      </c>
      <c r="O3392">
        <f>IF(B3392,ROUND(MAX(0,J3392*K3392*L3392*M3392*N3392),2),"")</f>
        <v/>
      </c>
    </row>
    <row r="3393">
      <c r="A3393" t="n">
        <v>3392</v>
      </c>
      <c r="B3393">
        <f>A3393&lt;=MineCount*Days</f>
        <v/>
      </c>
      <c r="C3393">
        <f>IF(B3393,INT((A3393-1)/Days)+1,"")</f>
        <v/>
      </c>
      <c r="D3393">
        <f>IF(B3393,MOD(A3393-1,Days),"")</f>
        <v/>
      </c>
      <c r="E3393" s="16">
        <f>IF(B3393,StartDate+D3393,"")</f>
        <v/>
      </c>
      <c r="F3393">
        <f>IF(B3393,MAX(MOD(SIN(Seed*0.1373+C3393*12.9898+D3393*78.233)*43758.5453,1),1E-9),"")</f>
        <v/>
      </c>
      <c r="G3393">
        <f>IF(B3393,MOD(SIN(Seed*0.5917+C3393*39.3468+D3393*11.135)*24634.6345,1),"")</f>
        <v/>
      </c>
      <c r="H3393">
        <f>IF(B3393,SQRT(-2*LN(F3393))*COS(2*PI()*G3393),"")</f>
        <v/>
      </c>
      <c r="I3393">
        <f>IF(B3393,IF(D3393=0,H3393,Rho*I3392+SQRT(1-Rho^2)*H3393),"")</f>
        <v/>
      </c>
      <c r="J3393">
        <f>IF(B3393,IF(Dist="Normal",DistA+DistB*I3393,DistA+(DistB-DistA)*NORMSDIST(I3393)),"")</f>
        <v/>
      </c>
      <c r="K3393">
        <f>IF(B3393,INDEX(MineScale,C3393),"")</f>
        <v/>
      </c>
      <c r="L3393">
        <f>IF(B3393,INDEX(Dow,1,WEEKDAY(E3393,2)),"")</f>
        <v/>
      </c>
      <c r="M3393">
        <f>IF(B3393,(1+Trend)^D3393,"")</f>
        <v/>
      </c>
      <c r="N3393">
        <f>IF(B3393,EXP(SUMPRODUCT(LN(1+(EvEff-1)*INDEX(Affected,0,C3393)*EXP(-((E3393-EvCenter)^2)/(2*EvSigma^2))))),"")</f>
        <v/>
      </c>
      <c r="O3393">
        <f>IF(B3393,ROUND(MAX(0,J3393*K3393*L3393*M3393*N3393),2),"")</f>
        <v/>
      </c>
    </row>
    <row r="3394">
      <c r="A3394" t="n">
        <v>3393</v>
      </c>
      <c r="B3394">
        <f>A3394&lt;=MineCount*Days</f>
        <v/>
      </c>
      <c r="C3394">
        <f>IF(B3394,INT((A3394-1)/Days)+1,"")</f>
        <v/>
      </c>
      <c r="D3394">
        <f>IF(B3394,MOD(A3394-1,Days),"")</f>
        <v/>
      </c>
      <c r="E3394" s="16">
        <f>IF(B3394,StartDate+D3394,"")</f>
        <v/>
      </c>
      <c r="F3394">
        <f>IF(B3394,MAX(MOD(SIN(Seed*0.1373+C3394*12.9898+D3394*78.233)*43758.5453,1),1E-9),"")</f>
        <v/>
      </c>
      <c r="G3394">
        <f>IF(B3394,MOD(SIN(Seed*0.5917+C3394*39.3468+D3394*11.135)*24634.6345,1),"")</f>
        <v/>
      </c>
      <c r="H3394">
        <f>IF(B3394,SQRT(-2*LN(F3394))*COS(2*PI()*G3394),"")</f>
        <v/>
      </c>
      <c r="I3394">
        <f>IF(B3394,IF(D3394=0,H3394,Rho*I3393+SQRT(1-Rho^2)*H3394),"")</f>
        <v/>
      </c>
      <c r="J3394">
        <f>IF(B3394,IF(Dist="Normal",DistA+DistB*I3394,DistA+(DistB-DistA)*NORMSDIST(I3394)),"")</f>
        <v/>
      </c>
      <c r="K3394">
        <f>IF(B3394,INDEX(MineScale,C3394),"")</f>
        <v/>
      </c>
      <c r="L3394">
        <f>IF(B3394,INDEX(Dow,1,WEEKDAY(E3394,2)),"")</f>
        <v/>
      </c>
      <c r="M3394">
        <f>IF(B3394,(1+Trend)^D3394,"")</f>
        <v/>
      </c>
      <c r="N3394">
        <f>IF(B3394,EXP(SUMPRODUCT(LN(1+(EvEff-1)*INDEX(Affected,0,C3394)*EXP(-((E3394-EvCenter)^2)/(2*EvSigma^2))))),"")</f>
        <v/>
      </c>
      <c r="O3394">
        <f>IF(B3394,ROUND(MAX(0,J3394*K3394*L3394*M3394*N3394),2),"")</f>
        <v/>
      </c>
    </row>
    <row r="3395">
      <c r="A3395" t="n">
        <v>3394</v>
      </c>
      <c r="B3395">
        <f>A3395&lt;=MineCount*Days</f>
        <v/>
      </c>
      <c r="C3395">
        <f>IF(B3395,INT((A3395-1)/Days)+1,"")</f>
        <v/>
      </c>
      <c r="D3395">
        <f>IF(B3395,MOD(A3395-1,Days),"")</f>
        <v/>
      </c>
      <c r="E3395" s="16">
        <f>IF(B3395,StartDate+D3395,"")</f>
        <v/>
      </c>
      <c r="F3395">
        <f>IF(B3395,MAX(MOD(SIN(Seed*0.1373+C3395*12.9898+D3395*78.233)*43758.5453,1),1E-9),"")</f>
        <v/>
      </c>
      <c r="G3395">
        <f>IF(B3395,MOD(SIN(Seed*0.5917+C3395*39.3468+D3395*11.135)*24634.6345,1),"")</f>
        <v/>
      </c>
      <c r="H3395">
        <f>IF(B3395,SQRT(-2*LN(F3395))*COS(2*PI()*G3395),"")</f>
        <v/>
      </c>
      <c r="I3395">
        <f>IF(B3395,IF(D3395=0,H3395,Rho*I3394+SQRT(1-Rho^2)*H3395),"")</f>
        <v/>
      </c>
      <c r="J3395">
        <f>IF(B3395,IF(Dist="Normal",DistA+DistB*I3395,DistA+(DistB-DistA)*NORMSDIST(I3395)),"")</f>
        <v/>
      </c>
      <c r="K3395">
        <f>IF(B3395,INDEX(MineScale,C3395),"")</f>
        <v/>
      </c>
      <c r="L3395">
        <f>IF(B3395,INDEX(Dow,1,WEEKDAY(E3395,2)),"")</f>
        <v/>
      </c>
      <c r="M3395">
        <f>IF(B3395,(1+Trend)^D3395,"")</f>
        <v/>
      </c>
      <c r="N3395">
        <f>IF(B3395,EXP(SUMPRODUCT(LN(1+(EvEff-1)*INDEX(Affected,0,C3395)*EXP(-((E3395-EvCenter)^2)/(2*EvSigma^2))))),"")</f>
        <v/>
      </c>
      <c r="O3395">
        <f>IF(B3395,ROUND(MAX(0,J3395*K3395*L3395*M3395*N3395),2),"")</f>
        <v/>
      </c>
    </row>
    <row r="3396">
      <c r="A3396" t="n">
        <v>3395</v>
      </c>
      <c r="B3396">
        <f>A3396&lt;=MineCount*Days</f>
        <v/>
      </c>
      <c r="C3396">
        <f>IF(B3396,INT((A3396-1)/Days)+1,"")</f>
        <v/>
      </c>
      <c r="D3396">
        <f>IF(B3396,MOD(A3396-1,Days),"")</f>
        <v/>
      </c>
      <c r="E3396" s="16">
        <f>IF(B3396,StartDate+D3396,"")</f>
        <v/>
      </c>
      <c r="F3396">
        <f>IF(B3396,MAX(MOD(SIN(Seed*0.1373+C3396*12.9898+D3396*78.233)*43758.5453,1),1E-9),"")</f>
        <v/>
      </c>
      <c r="G3396">
        <f>IF(B3396,MOD(SIN(Seed*0.5917+C3396*39.3468+D3396*11.135)*24634.6345,1),"")</f>
        <v/>
      </c>
      <c r="H3396">
        <f>IF(B3396,SQRT(-2*LN(F3396))*COS(2*PI()*G3396),"")</f>
        <v/>
      </c>
      <c r="I3396">
        <f>IF(B3396,IF(D3396=0,H3396,Rho*I3395+SQRT(1-Rho^2)*H3396),"")</f>
        <v/>
      </c>
      <c r="J3396">
        <f>IF(B3396,IF(Dist="Normal",DistA+DistB*I3396,DistA+(DistB-DistA)*NORMSDIST(I3396)),"")</f>
        <v/>
      </c>
      <c r="K3396">
        <f>IF(B3396,INDEX(MineScale,C3396),"")</f>
        <v/>
      </c>
      <c r="L3396">
        <f>IF(B3396,INDEX(Dow,1,WEEKDAY(E3396,2)),"")</f>
        <v/>
      </c>
      <c r="M3396">
        <f>IF(B3396,(1+Trend)^D3396,"")</f>
        <v/>
      </c>
      <c r="N3396">
        <f>IF(B3396,EXP(SUMPRODUCT(LN(1+(EvEff-1)*INDEX(Affected,0,C3396)*EXP(-((E3396-EvCenter)^2)/(2*EvSigma^2))))),"")</f>
        <v/>
      </c>
      <c r="O3396">
        <f>IF(B3396,ROUND(MAX(0,J3396*K3396*L3396*M3396*N3396),2),"")</f>
        <v/>
      </c>
    </row>
    <row r="3397">
      <c r="A3397" t="n">
        <v>3396</v>
      </c>
      <c r="B3397">
        <f>A3397&lt;=MineCount*Days</f>
        <v/>
      </c>
      <c r="C3397">
        <f>IF(B3397,INT((A3397-1)/Days)+1,"")</f>
        <v/>
      </c>
      <c r="D3397">
        <f>IF(B3397,MOD(A3397-1,Days),"")</f>
        <v/>
      </c>
      <c r="E3397" s="16">
        <f>IF(B3397,StartDate+D3397,"")</f>
        <v/>
      </c>
      <c r="F3397">
        <f>IF(B3397,MAX(MOD(SIN(Seed*0.1373+C3397*12.9898+D3397*78.233)*43758.5453,1),1E-9),"")</f>
        <v/>
      </c>
      <c r="G3397">
        <f>IF(B3397,MOD(SIN(Seed*0.5917+C3397*39.3468+D3397*11.135)*24634.6345,1),"")</f>
        <v/>
      </c>
      <c r="H3397">
        <f>IF(B3397,SQRT(-2*LN(F3397))*COS(2*PI()*G3397),"")</f>
        <v/>
      </c>
      <c r="I3397">
        <f>IF(B3397,IF(D3397=0,H3397,Rho*I3396+SQRT(1-Rho^2)*H3397),"")</f>
        <v/>
      </c>
      <c r="J3397">
        <f>IF(B3397,IF(Dist="Normal",DistA+DistB*I3397,DistA+(DistB-DistA)*NORMSDIST(I3397)),"")</f>
        <v/>
      </c>
      <c r="K3397">
        <f>IF(B3397,INDEX(MineScale,C3397),"")</f>
        <v/>
      </c>
      <c r="L3397">
        <f>IF(B3397,INDEX(Dow,1,WEEKDAY(E3397,2)),"")</f>
        <v/>
      </c>
      <c r="M3397">
        <f>IF(B3397,(1+Trend)^D3397,"")</f>
        <v/>
      </c>
      <c r="N3397">
        <f>IF(B3397,EXP(SUMPRODUCT(LN(1+(EvEff-1)*INDEX(Affected,0,C3397)*EXP(-((E3397-EvCenter)^2)/(2*EvSigma^2))))),"")</f>
        <v/>
      </c>
      <c r="O3397">
        <f>IF(B3397,ROUND(MAX(0,J3397*K3397*L3397*M3397*N3397),2),"")</f>
        <v/>
      </c>
    </row>
    <row r="3398">
      <c r="A3398" t="n">
        <v>3397</v>
      </c>
      <c r="B3398">
        <f>A3398&lt;=MineCount*Days</f>
        <v/>
      </c>
      <c r="C3398">
        <f>IF(B3398,INT((A3398-1)/Days)+1,"")</f>
        <v/>
      </c>
      <c r="D3398">
        <f>IF(B3398,MOD(A3398-1,Days),"")</f>
        <v/>
      </c>
      <c r="E3398" s="16">
        <f>IF(B3398,StartDate+D3398,"")</f>
        <v/>
      </c>
      <c r="F3398">
        <f>IF(B3398,MAX(MOD(SIN(Seed*0.1373+C3398*12.9898+D3398*78.233)*43758.5453,1),1E-9),"")</f>
        <v/>
      </c>
      <c r="G3398">
        <f>IF(B3398,MOD(SIN(Seed*0.5917+C3398*39.3468+D3398*11.135)*24634.6345,1),"")</f>
        <v/>
      </c>
      <c r="H3398">
        <f>IF(B3398,SQRT(-2*LN(F3398))*COS(2*PI()*G3398),"")</f>
        <v/>
      </c>
      <c r="I3398">
        <f>IF(B3398,IF(D3398=0,H3398,Rho*I3397+SQRT(1-Rho^2)*H3398),"")</f>
        <v/>
      </c>
      <c r="J3398">
        <f>IF(B3398,IF(Dist="Normal",DistA+DistB*I3398,DistA+(DistB-DistA)*NORMSDIST(I3398)),"")</f>
        <v/>
      </c>
      <c r="K3398">
        <f>IF(B3398,INDEX(MineScale,C3398),"")</f>
        <v/>
      </c>
      <c r="L3398">
        <f>IF(B3398,INDEX(Dow,1,WEEKDAY(E3398,2)),"")</f>
        <v/>
      </c>
      <c r="M3398">
        <f>IF(B3398,(1+Trend)^D3398,"")</f>
        <v/>
      </c>
      <c r="N3398">
        <f>IF(B3398,EXP(SUMPRODUCT(LN(1+(EvEff-1)*INDEX(Affected,0,C3398)*EXP(-((E3398-EvCenter)^2)/(2*EvSigma^2))))),"")</f>
        <v/>
      </c>
      <c r="O3398">
        <f>IF(B3398,ROUND(MAX(0,J3398*K3398*L3398*M3398*N3398),2),"")</f>
        <v/>
      </c>
    </row>
    <row r="3399">
      <c r="A3399" t="n">
        <v>3398</v>
      </c>
      <c r="B3399">
        <f>A3399&lt;=MineCount*Days</f>
        <v/>
      </c>
      <c r="C3399">
        <f>IF(B3399,INT((A3399-1)/Days)+1,"")</f>
        <v/>
      </c>
      <c r="D3399">
        <f>IF(B3399,MOD(A3399-1,Days),"")</f>
        <v/>
      </c>
      <c r="E3399" s="16">
        <f>IF(B3399,StartDate+D3399,"")</f>
        <v/>
      </c>
      <c r="F3399">
        <f>IF(B3399,MAX(MOD(SIN(Seed*0.1373+C3399*12.9898+D3399*78.233)*43758.5453,1),1E-9),"")</f>
        <v/>
      </c>
      <c r="G3399">
        <f>IF(B3399,MOD(SIN(Seed*0.5917+C3399*39.3468+D3399*11.135)*24634.6345,1),"")</f>
        <v/>
      </c>
      <c r="H3399">
        <f>IF(B3399,SQRT(-2*LN(F3399))*COS(2*PI()*G3399),"")</f>
        <v/>
      </c>
      <c r="I3399">
        <f>IF(B3399,IF(D3399=0,H3399,Rho*I3398+SQRT(1-Rho^2)*H3399),"")</f>
        <v/>
      </c>
      <c r="J3399">
        <f>IF(B3399,IF(Dist="Normal",DistA+DistB*I3399,DistA+(DistB-DistA)*NORMSDIST(I3399)),"")</f>
        <v/>
      </c>
      <c r="K3399">
        <f>IF(B3399,INDEX(MineScale,C3399),"")</f>
        <v/>
      </c>
      <c r="L3399">
        <f>IF(B3399,INDEX(Dow,1,WEEKDAY(E3399,2)),"")</f>
        <v/>
      </c>
      <c r="M3399">
        <f>IF(B3399,(1+Trend)^D3399,"")</f>
        <v/>
      </c>
      <c r="N3399">
        <f>IF(B3399,EXP(SUMPRODUCT(LN(1+(EvEff-1)*INDEX(Affected,0,C3399)*EXP(-((E3399-EvCenter)^2)/(2*EvSigma^2))))),"")</f>
        <v/>
      </c>
      <c r="O3399">
        <f>IF(B3399,ROUND(MAX(0,J3399*K3399*L3399*M3399*N3399),2),"")</f>
        <v/>
      </c>
    </row>
    <row r="3400">
      <c r="A3400" t="n">
        <v>3399</v>
      </c>
      <c r="B3400">
        <f>A3400&lt;=MineCount*Days</f>
        <v/>
      </c>
      <c r="C3400">
        <f>IF(B3400,INT((A3400-1)/Days)+1,"")</f>
        <v/>
      </c>
      <c r="D3400">
        <f>IF(B3400,MOD(A3400-1,Days),"")</f>
        <v/>
      </c>
      <c r="E3400" s="16">
        <f>IF(B3400,StartDate+D3400,"")</f>
        <v/>
      </c>
      <c r="F3400">
        <f>IF(B3400,MAX(MOD(SIN(Seed*0.1373+C3400*12.9898+D3400*78.233)*43758.5453,1),1E-9),"")</f>
        <v/>
      </c>
      <c r="G3400">
        <f>IF(B3400,MOD(SIN(Seed*0.5917+C3400*39.3468+D3400*11.135)*24634.6345,1),"")</f>
        <v/>
      </c>
      <c r="H3400">
        <f>IF(B3400,SQRT(-2*LN(F3400))*COS(2*PI()*G3400),"")</f>
        <v/>
      </c>
      <c r="I3400">
        <f>IF(B3400,IF(D3400=0,H3400,Rho*I3399+SQRT(1-Rho^2)*H3400),"")</f>
        <v/>
      </c>
      <c r="J3400">
        <f>IF(B3400,IF(Dist="Normal",DistA+DistB*I3400,DistA+(DistB-DistA)*NORMSDIST(I3400)),"")</f>
        <v/>
      </c>
      <c r="K3400">
        <f>IF(B3400,INDEX(MineScale,C3400),"")</f>
        <v/>
      </c>
      <c r="L3400">
        <f>IF(B3400,INDEX(Dow,1,WEEKDAY(E3400,2)),"")</f>
        <v/>
      </c>
      <c r="M3400">
        <f>IF(B3400,(1+Trend)^D3400,"")</f>
        <v/>
      </c>
      <c r="N3400">
        <f>IF(B3400,EXP(SUMPRODUCT(LN(1+(EvEff-1)*INDEX(Affected,0,C3400)*EXP(-((E3400-EvCenter)^2)/(2*EvSigma^2))))),"")</f>
        <v/>
      </c>
      <c r="O3400">
        <f>IF(B3400,ROUND(MAX(0,J3400*K3400*L3400*M3400*N3400),2),"")</f>
        <v/>
      </c>
    </row>
    <row r="3401">
      <c r="A3401" t="n">
        <v>3400</v>
      </c>
      <c r="B3401">
        <f>A3401&lt;=MineCount*Days</f>
        <v/>
      </c>
      <c r="C3401">
        <f>IF(B3401,INT((A3401-1)/Days)+1,"")</f>
        <v/>
      </c>
      <c r="D3401">
        <f>IF(B3401,MOD(A3401-1,Days),"")</f>
        <v/>
      </c>
      <c r="E3401" s="16">
        <f>IF(B3401,StartDate+D3401,"")</f>
        <v/>
      </c>
      <c r="F3401">
        <f>IF(B3401,MAX(MOD(SIN(Seed*0.1373+C3401*12.9898+D3401*78.233)*43758.5453,1),1E-9),"")</f>
        <v/>
      </c>
      <c r="G3401">
        <f>IF(B3401,MOD(SIN(Seed*0.5917+C3401*39.3468+D3401*11.135)*24634.6345,1),"")</f>
        <v/>
      </c>
      <c r="H3401">
        <f>IF(B3401,SQRT(-2*LN(F3401))*COS(2*PI()*G3401),"")</f>
        <v/>
      </c>
      <c r="I3401">
        <f>IF(B3401,IF(D3401=0,H3401,Rho*I3400+SQRT(1-Rho^2)*H3401),"")</f>
        <v/>
      </c>
      <c r="J3401">
        <f>IF(B3401,IF(Dist="Normal",DistA+DistB*I3401,DistA+(DistB-DistA)*NORMSDIST(I3401)),"")</f>
        <v/>
      </c>
      <c r="K3401">
        <f>IF(B3401,INDEX(MineScale,C3401),"")</f>
        <v/>
      </c>
      <c r="L3401">
        <f>IF(B3401,INDEX(Dow,1,WEEKDAY(E3401,2)),"")</f>
        <v/>
      </c>
      <c r="M3401">
        <f>IF(B3401,(1+Trend)^D3401,"")</f>
        <v/>
      </c>
      <c r="N3401">
        <f>IF(B3401,EXP(SUMPRODUCT(LN(1+(EvEff-1)*INDEX(Affected,0,C3401)*EXP(-((E3401-EvCenter)^2)/(2*EvSigma^2))))),"")</f>
        <v/>
      </c>
      <c r="O3401">
        <f>IF(B3401,ROUND(MAX(0,J3401*K3401*L3401*M3401*N3401),2),"")</f>
        <v/>
      </c>
    </row>
    <row r="3402">
      <c r="A3402" t="n">
        <v>3401</v>
      </c>
      <c r="B3402">
        <f>A3402&lt;=MineCount*Days</f>
        <v/>
      </c>
      <c r="C3402">
        <f>IF(B3402,INT((A3402-1)/Days)+1,"")</f>
        <v/>
      </c>
      <c r="D3402">
        <f>IF(B3402,MOD(A3402-1,Days),"")</f>
        <v/>
      </c>
      <c r="E3402" s="16">
        <f>IF(B3402,StartDate+D3402,"")</f>
        <v/>
      </c>
      <c r="F3402">
        <f>IF(B3402,MAX(MOD(SIN(Seed*0.1373+C3402*12.9898+D3402*78.233)*43758.5453,1),1E-9),"")</f>
        <v/>
      </c>
      <c r="G3402">
        <f>IF(B3402,MOD(SIN(Seed*0.5917+C3402*39.3468+D3402*11.135)*24634.6345,1),"")</f>
        <v/>
      </c>
      <c r="H3402">
        <f>IF(B3402,SQRT(-2*LN(F3402))*COS(2*PI()*G3402),"")</f>
        <v/>
      </c>
      <c r="I3402">
        <f>IF(B3402,IF(D3402=0,H3402,Rho*I3401+SQRT(1-Rho^2)*H3402),"")</f>
        <v/>
      </c>
      <c r="J3402">
        <f>IF(B3402,IF(Dist="Normal",DistA+DistB*I3402,DistA+(DistB-DistA)*NORMSDIST(I3402)),"")</f>
        <v/>
      </c>
      <c r="K3402">
        <f>IF(B3402,INDEX(MineScale,C3402),"")</f>
        <v/>
      </c>
      <c r="L3402">
        <f>IF(B3402,INDEX(Dow,1,WEEKDAY(E3402,2)),"")</f>
        <v/>
      </c>
      <c r="M3402">
        <f>IF(B3402,(1+Trend)^D3402,"")</f>
        <v/>
      </c>
      <c r="N3402">
        <f>IF(B3402,EXP(SUMPRODUCT(LN(1+(EvEff-1)*INDEX(Affected,0,C3402)*EXP(-((E3402-EvCenter)^2)/(2*EvSigma^2))))),"")</f>
        <v/>
      </c>
      <c r="O3402">
        <f>IF(B3402,ROUND(MAX(0,J3402*K3402*L3402*M3402*N3402),2),"")</f>
        <v/>
      </c>
    </row>
    <row r="3403">
      <c r="A3403" t="n">
        <v>3402</v>
      </c>
      <c r="B3403">
        <f>A3403&lt;=MineCount*Days</f>
        <v/>
      </c>
      <c r="C3403">
        <f>IF(B3403,INT((A3403-1)/Days)+1,"")</f>
        <v/>
      </c>
      <c r="D3403">
        <f>IF(B3403,MOD(A3403-1,Days),"")</f>
        <v/>
      </c>
      <c r="E3403" s="16">
        <f>IF(B3403,StartDate+D3403,"")</f>
        <v/>
      </c>
      <c r="F3403">
        <f>IF(B3403,MAX(MOD(SIN(Seed*0.1373+C3403*12.9898+D3403*78.233)*43758.5453,1),1E-9),"")</f>
        <v/>
      </c>
      <c r="G3403">
        <f>IF(B3403,MOD(SIN(Seed*0.5917+C3403*39.3468+D3403*11.135)*24634.6345,1),"")</f>
        <v/>
      </c>
      <c r="H3403">
        <f>IF(B3403,SQRT(-2*LN(F3403))*COS(2*PI()*G3403),"")</f>
        <v/>
      </c>
      <c r="I3403">
        <f>IF(B3403,IF(D3403=0,H3403,Rho*I3402+SQRT(1-Rho^2)*H3403),"")</f>
        <v/>
      </c>
      <c r="J3403">
        <f>IF(B3403,IF(Dist="Normal",DistA+DistB*I3403,DistA+(DistB-DistA)*NORMSDIST(I3403)),"")</f>
        <v/>
      </c>
      <c r="K3403">
        <f>IF(B3403,INDEX(MineScale,C3403),"")</f>
        <v/>
      </c>
      <c r="L3403">
        <f>IF(B3403,INDEX(Dow,1,WEEKDAY(E3403,2)),"")</f>
        <v/>
      </c>
      <c r="M3403">
        <f>IF(B3403,(1+Trend)^D3403,"")</f>
        <v/>
      </c>
      <c r="N3403">
        <f>IF(B3403,EXP(SUMPRODUCT(LN(1+(EvEff-1)*INDEX(Affected,0,C3403)*EXP(-((E3403-EvCenter)^2)/(2*EvSigma^2))))),"")</f>
        <v/>
      </c>
      <c r="O3403">
        <f>IF(B3403,ROUND(MAX(0,J3403*K3403*L3403*M3403*N3403),2),"")</f>
        <v/>
      </c>
    </row>
    <row r="3404">
      <c r="A3404" t="n">
        <v>3403</v>
      </c>
      <c r="B3404">
        <f>A3404&lt;=MineCount*Days</f>
        <v/>
      </c>
      <c r="C3404">
        <f>IF(B3404,INT((A3404-1)/Days)+1,"")</f>
        <v/>
      </c>
      <c r="D3404">
        <f>IF(B3404,MOD(A3404-1,Days),"")</f>
        <v/>
      </c>
      <c r="E3404" s="16">
        <f>IF(B3404,StartDate+D3404,"")</f>
        <v/>
      </c>
      <c r="F3404">
        <f>IF(B3404,MAX(MOD(SIN(Seed*0.1373+C3404*12.9898+D3404*78.233)*43758.5453,1),1E-9),"")</f>
        <v/>
      </c>
      <c r="G3404">
        <f>IF(B3404,MOD(SIN(Seed*0.5917+C3404*39.3468+D3404*11.135)*24634.6345,1),"")</f>
        <v/>
      </c>
      <c r="H3404">
        <f>IF(B3404,SQRT(-2*LN(F3404))*COS(2*PI()*G3404),"")</f>
        <v/>
      </c>
      <c r="I3404">
        <f>IF(B3404,IF(D3404=0,H3404,Rho*I3403+SQRT(1-Rho^2)*H3404),"")</f>
        <v/>
      </c>
      <c r="J3404">
        <f>IF(B3404,IF(Dist="Normal",DistA+DistB*I3404,DistA+(DistB-DistA)*NORMSDIST(I3404)),"")</f>
        <v/>
      </c>
      <c r="K3404">
        <f>IF(B3404,INDEX(MineScale,C3404),"")</f>
        <v/>
      </c>
      <c r="L3404">
        <f>IF(B3404,INDEX(Dow,1,WEEKDAY(E3404,2)),"")</f>
        <v/>
      </c>
      <c r="M3404">
        <f>IF(B3404,(1+Trend)^D3404,"")</f>
        <v/>
      </c>
      <c r="N3404">
        <f>IF(B3404,EXP(SUMPRODUCT(LN(1+(EvEff-1)*INDEX(Affected,0,C3404)*EXP(-((E3404-EvCenter)^2)/(2*EvSigma^2))))),"")</f>
        <v/>
      </c>
      <c r="O3404">
        <f>IF(B3404,ROUND(MAX(0,J3404*K3404*L3404*M3404*N3404),2),"")</f>
        <v/>
      </c>
    </row>
    <row r="3405">
      <c r="A3405" t="n">
        <v>3404</v>
      </c>
      <c r="B3405">
        <f>A3405&lt;=MineCount*Days</f>
        <v/>
      </c>
      <c r="C3405">
        <f>IF(B3405,INT((A3405-1)/Days)+1,"")</f>
        <v/>
      </c>
      <c r="D3405">
        <f>IF(B3405,MOD(A3405-1,Days),"")</f>
        <v/>
      </c>
      <c r="E3405" s="16">
        <f>IF(B3405,StartDate+D3405,"")</f>
        <v/>
      </c>
      <c r="F3405">
        <f>IF(B3405,MAX(MOD(SIN(Seed*0.1373+C3405*12.9898+D3405*78.233)*43758.5453,1),1E-9),"")</f>
        <v/>
      </c>
      <c r="G3405">
        <f>IF(B3405,MOD(SIN(Seed*0.5917+C3405*39.3468+D3405*11.135)*24634.6345,1),"")</f>
        <v/>
      </c>
      <c r="H3405">
        <f>IF(B3405,SQRT(-2*LN(F3405))*COS(2*PI()*G3405),"")</f>
        <v/>
      </c>
      <c r="I3405">
        <f>IF(B3405,IF(D3405=0,H3405,Rho*I3404+SQRT(1-Rho^2)*H3405),"")</f>
        <v/>
      </c>
      <c r="J3405">
        <f>IF(B3405,IF(Dist="Normal",DistA+DistB*I3405,DistA+(DistB-DistA)*NORMSDIST(I3405)),"")</f>
        <v/>
      </c>
      <c r="K3405">
        <f>IF(B3405,INDEX(MineScale,C3405),"")</f>
        <v/>
      </c>
      <c r="L3405">
        <f>IF(B3405,INDEX(Dow,1,WEEKDAY(E3405,2)),"")</f>
        <v/>
      </c>
      <c r="M3405">
        <f>IF(B3405,(1+Trend)^D3405,"")</f>
        <v/>
      </c>
      <c r="N3405">
        <f>IF(B3405,EXP(SUMPRODUCT(LN(1+(EvEff-1)*INDEX(Affected,0,C3405)*EXP(-((E3405-EvCenter)^2)/(2*EvSigma^2))))),"")</f>
        <v/>
      </c>
      <c r="O3405">
        <f>IF(B3405,ROUND(MAX(0,J3405*K3405*L3405*M3405*N3405),2),"")</f>
        <v/>
      </c>
    </row>
    <row r="3406">
      <c r="A3406" t="n">
        <v>3405</v>
      </c>
      <c r="B3406">
        <f>A3406&lt;=MineCount*Days</f>
        <v/>
      </c>
      <c r="C3406">
        <f>IF(B3406,INT((A3406-1)/Days)+1,"")</f>
        <v/>
      </c>
      <c r="D3406">
        <f>IF(B3406,MOD(A3406-1,Days),"")</f>
        <v/>
      </c>
      <c r="E3406" s="16">
        <f>IF(B3406,StartDate+D3406,"")</f>
        <v/>
      </c>
      <c r="F3406">
        <f>IF(B3406,MAX(MOD(SIN(Seed*0.1373+C3406*12.9898+D3406*78.233)*43758.5453,1),1E-9),"")</f>
        <v/>
      </c>
      <c r="G3406">
        <f>IF(B3406,MOD(SIN(Seed*0.5917+C3406*39.3468+D3406*11.135)*24634.6345,1),"")</f>
        <v/>
      </c>
      <c r="H3406">
        <f>IF(B3406,SQRT(-2*LN(F3406))*COS(2*PI()*G3406),"")</f>
        <v/>
      </c>
      <c r="I3406">
        <f>IF(B3406,IF(D3406=0,H3406,Rho*I3405+SQRT(1-Rho^2)*H3406),"")</f>
        <v/>
      </c>
      <c r="J3406">
        <f>IF(B3406,IF(Dist="Normal",DistA+DistB*I3406,DistA+(DistB-DistA)*NORMSDIST(I3406)),"")</f>
        <v/>
      </c>
      <c r="K3406">
        <f>IF(B3406,INDEX(MineScale,C3406),"")</f>
        <v/>
      </c>
      <c r="L3406">
        <f>IF(B3406,INDEX(Dow,1,WEEKDAY(E3406,2)),"")</f>
        <v/>
      </c>
      <c r="M3406">
        <f>IF(B3406,(1+Trend)^D3406,"")</f>
        <v/>
      </c>
      <c r="N3406">
        <f>IF(B3406,EXP(SUMPRODUCT(LN(1+(EvEff-1)*INDEX(Affected,0,C3406)*EXP(-((E3406-EvCenter)^2)/(2*EvSigma^2))))),"")</f>
        <v/>
      </c>
      <c r="O3406">
        <f>IF(B3406,ROUND(MAX(0,J3406*K3406*L3406*M3406*N3406),2),"")</f>
        <v/>
      </c>
    </row>
    <row r="3407">
      <c r="A3407" t="n">
        <v>3406</v>
      </c>
      <c r="B3407">
        <f>A3407&lt;=MineCount*Days</f>
        <v/>
      </c>
      <c r="C3407">
        <f>IF(B3407,INT((A3407-1)/Days)+1,"")</f>
        <v/>
      </c>
      <c r="D3407">
        <f>IF(B3407,MOD(A3407-1,Days),"")</f>
        <v/>
      </c>
      <c r="E3407" s="16">
        <f>IF(B3407,StartDate+D3407,"")</f>
        <v/>
      </c>
      <c r="F3407">
        <f>IF(B3407,MAX(MOD(SIN(Seed*0.1373+C3407*12.9898+D3407*78.233)*43758.5453,1),1E-9),"")</f>
        <v/>
      </c>
      <c r="G3407">
        <f>IF(B3407,MOD(SIN(Seed*0.5917+C3407*39.3468+D3407*11.135)*24634.6345,1),"")</f>
        <v/>
      </c>
      <c r="H3407">
        <f>IF(B3407,SQRT(-2*LN(F3407))*COS(2*PI()*G3407),"")</f>
        <v/>
      </c>
      <c r="I3407">
        <f>IF(B3407,IF(D3407=0,H3407,Rho*I3406+SQRT(1-Rho^2)*H3407),"")</f>
        <v/>
      </c>
      <c r="J3407">
        <f>IF(B3407,IF(Dist="Normal",DistA+DistB*I3407,DistA+(DistB-DistA)*NORMSDIST(I3407)),"")</f>
        <v/>
      </c>
      <c r="K3407">
        <f>IF(B3407,INDEX(MineScale,C3407),"")</f>
        <v/>
      </c>
      <c r="L3407">
        <f>IF(B3407,INDEX(Dow,1,WEEKDAY(E3407,2)),"")</f>
        <v/>
      </c>
      <c r="M3407">
        <f>IF(B3407,(1+Trend)^D3407,"")</f>
        <v/>
      </c>
      <c r="N3407">
        <f>IF(B3407,EXP(SUMPRODUCT(LN(1+(EvEff-1)*INDEX(Affected,0,C3407)*EXP(-((E3407-EvCenter)^2)/(2*EvSigma^2))))),"")</f>
        <v/>
      </c>
      <c r="O3407">
        <f>IF(B3407,ROUND(MAX(0,J3407*K3407*L3407*M3407*N3407),2),"")</f>
        <v/>
      </c>
    </row>
    <row r="3408">
      <c r="A3408" t="n">
        <v>3407</v>
      </c>
      <c r="B3408">
        <f>A3408&lt;=MineCount*Days</f>
        <v/>
      </c>
      <c r="C3408">
        <f>IF(B3408,INT((A3408-1)/Days)+1,"")</f>
        <v/>
      </c>
      <c r="D3408">
        <f>IF(B3408,MOD(A3408-1,Days),"")</f>
        <v/>
      </c>
      <c r="E3408" s="16">
        <f>IF(B3408,StartDate+D3408,"")</f>
        <v/>
      </c>
      <c r="F3408">
        <f>IF(B3408,MAX(MOD(SIN(Seed*0.1373+C3408*12.9898+D3408*78.233)*43758.5453,1),1E-9),"")</f>
        <v/>
      </c>
      <c r="G3408">
        <f>IF(B3408,MOD(SIN(Seed*0.5917+C3408*39.3468+D3408*11.135)*24634.6345,1),"")</f>
        <v/>
      </c>
      <c r="H3408">
        <f>IF(B3408,SQRT(-2*LN(F3408))*COS(2*PI()*G3408),"")</f>
        <v/>
      </c>
      <c r="I3408">
        <f>IF(B3408,IF(D3408=0,H3408,Rho*I3407+SQRT(1-Rho^2)*H3408),"")</f>
        <v/>
      </c>
      <c r="J3408">
        <f>IF(B3408,IF(Dist="Normal",DistA+DistB*I3408,DistA+(DistB-DistA)*NORMSDIST(I3408)),"")</f>
        <v/>
      </c>
      <c r="K3408">
        <f>IF(B3408,INDEX(MineScale,C3408),"")</f>
        <v/>
      </c>
      <c r="L3408">
        <f>IF(B3408,INDEX(Dow,1,WEEKDAY(E3408,2)),"")</f>
        <v/>
      </c>
      <c r="M3408">
        <f>IF(B3408,(1+Trend)^D3408,"")</f>
        <v/>
      </c>
      <c r="N3408">
        <f>IF(B3408,EXP(SUMPRODUCT(LN(1+(EvEff-1)*INDEX(Affected,0,C3408)*EXP(-((E3408-EvCenter)^2)/(2*EvSigma^2))))),"")</f>
        <v/>
      </c>
      <c r="O3408">
        <f>IF(B3408,ROUND(MAX(0,J3408*K3408*L3408*M3408*N3408),2),"")</f>
        <v/>
      </c>
    </row>
    <row r="3409">
      <c r="A3409" t="n">
        <v>3408</v>
      </c>
      <c r="B3409">
        <f>A3409&lt;=MineCount*Days</f>
        <v/>
      </c>
      <c r="C3409">
        <f>IF(B3409,INT((A3409-1)/Days)+1,"")</f>
        <v/>
      </c>
      <c r="D3409">
        <f>IF(B3409,MOD(A3409-1,Days),"")</f>
        <v/>
      </c>
      <c r="E3409" s="16">
        <f>IF(B3409,StartDate+D3409,"")</f>
        <v/>
      </c>
      <c r="F3409">
        <f>IF(B3409,MAX(MOD(SIN(Seed*0.1373+C3409*12.9898+D3409*78.233)*43758.5453,1),1E-9),"")</f>
        <v/>
      </c>
      <c r="G3409">
        <f>IF(B3409,MOD(SIN(Seed*0.5917+C3409*39.3468+D3409*11.135)*24634.6345,1),"")</f>
        <v/>
      </c>
      <c r="H3409">
        <f>IF(B3409,SQRT(-2*LN(F3409))*COS(2*PI()*G3409),"")</f>
        <v/>
      </c>
      <c r="I3409">
        <f>IF(B3409,IF(D3409=0,H3409,Rho*I3408+SQRT(1-Rho^2)*H3409),"")</f>
        <v/>
      </c>
      <c r="J3409">
        <f>IF(B3409,IF(Dist="Normal",DistA+DistB*I3409,DistA+(DistB-DistA)*NORMSDIST(I3409)),"")</f>
        <v/>
      </c>
      <c r="K3409">
        <f>IF(B3409,INDEX(MineScale,C3409),"")</f>
        <v/>
      </c>
      <c r="L3409">
        <f>IF(B3409,INDEX(Dow,1,WEEKDAY(E3409,2)),"")</f>
        <v/>
      </c>
      <c r="M3409">
        <f>IF(B3409,(1+Trend)^D3409,"")</f>
        <v/>
      </c>
      <c r="N3409">
        <f>IF(B3409,EXP(SUMPRODUCT(LN(1+(EvEff-1)*INDEX(Affected,0,C3409)*EXP(-((E3409-EvCenter)^2)/(2*EvSigma^2))))),"")</f>
        <v/>
      </c>
      <c r="O3409">
        <f>IF(B3409,ROUND(MAX(0,J3409*K3409*L3409*M3409*N3409),2),"")</f>
        <v/>
      </c>
    </row>
    <row r="3410">
      <c r="A3410" t="n">
        <v>3409</v>
      </c>
      <c r="B3410">
        <f>A3410&lt;=MineCount*Days</f>
        <v/>
      </c>
      <c r="C3410">
        <f>IF(B3410,INT((A3410-1)/Days)+1,"")</f>
        <v/>
      </c>
      <c r="D3410">
        <f>IF(B3410,MOD(A3410-1,Days),"")</f>
        <v/>
      </c>
      <c r="E3410" s="16">
        <f>IF(B3410,StartDate+D3410,"")</f>
        <v/>
      </c>
      <c r="F3410">
        <f>IF(B3410,MAX(MOD(SIN(Seed*0.1373+C3410*12.9898+D3410*78.233)*43758.5453,1),1E-9),"")</f>
        <v/>
      </c>
      <c r="G3410">
        <f>IF(B3410,MOD(SIN(Seed*0.5917+C3410*39.3468+D3410*11.135)*24634.6345,1),"")</f>
        <v/>
      </c>
      <c r="H3410">
        <f>IF(B3410,SQRT(-2*LN(F3410))*COS(2*PI()*G3410),"")</f>
        <v/>
      </c>
      <c r="I3410">
        <f>IF(B3410,IF(D3410=0,H3410,Rho*I3409+SQRT(1-Rho^2)*H3410),"")</f>
        <v/>
      </c>
      <c r="J3410">
        <f>IF(B3410,IF(Dist="Normal",DistA+DistB*I3410,DistA+(DistB-DistA)*NORMSDIST(I3410)),"")</f>
        <v/>
      </c>
      <c r="K3410">
        <f>IF(B3410,INDEX(MineScale,C3410),"")</f>
        <v/>
      </c>
      <c r="L3410">
        <f>IF(B3410,INDEX(Dow,1,WEEKDAY(E3410,2)),"")</f>
        <v/>
      </c>
      <c r="M3410">
        <f>IF(B3410,(1+Trend)^D3410,"")</f>
        <v/>
      </c>
      <c r="N3410">
        <f>IF(B3410,EXP(SUMPRODUCT(LN(1+(EvEff-1)*INDEX(Affected,0,C3410)*EXP(-((E3410-EvCenter)^2)/(2*EvSigma^2))))),"")</f>
        <v/>
      </c>
      <c r="O3410">
        <f>IF(B3410,ROUND(MAX(0,J3410*K3410*L3410*M3410*N3410),2),"")</f>
        <v/>
      </c>
    </row>
    <row r="3411">
      <c r="A3411" t="n">
        <v>3410</v>
      </c>
      <c r="B3411">
        <f>A3411&lt;=MineCount*Days</f>
        <v/>
      </c>
      <c r="C3411">
        <f>IF(B3411,INT((A3411-1)/Days)+1,"")</f>
        <v/>
      </c>
      <c r="D3411">
        <f>IF(B3411,MOD(A3411-1,Days),"")</f>
        <v/>
      </c>
      <c r="E3411" s="16">
        <f>IF(B3411,StartDate+D3411,"")</f>
        <v/>
      </c>
      <c r="F3411">
        <f>IF(B3411,MAX(MOD(SIN(Seed*0.1373+C3411*12.9898+D3411*78.233)*43758.5453,1),1E-9),"")</f>
        <v/>
      </c>
      <c r="G3411">
        <f>IF(B3411,MOD(SIN(Seed*0.5917+C3411*39.3468+D3411*11.135)*24634.6345,1),"")</f>
        <v/>
      </c>
      <c r="H3411">
        <f>IF(B3411,SQRT(-2*LN(F3411))*COS(2*PI()*G3411),"")</f>
        <v/>
      </c>
      <c r="I3411">
        <f>IF(B3411,IF(D3411=0,H3411,Rho*I3410+SQRT(1-Rho^2)*H3411),"")</f>
        <v/>
      </c>
      <c r="J3411">
        <f>IF(B3411,IF(Dist="Normal",DistA+DistB*I3411,DistA+(DistB-DistA)*NORMSDIST(I3411)),"")</f>
        <v/>
      </c>
      <c r="K3411">
        <f>IF(B3411,INDEX(MineScale,C3411),"")</f>
        <v/>
      </c>
      <c r="L3411">
        <f>IF(B3411,INDEX(Dow,1,WEEKDAY(E3411,2)),"")</f>
        <v/>
      </c>
      <c r="M3411">
        <f>IF(B3411,(1+Trend)^D3411,"")</f>
        <v/>
      </c>
      <c r="N3411">
        <f>IF(B3411,EXP(SUMPRODUCT(LN(1+(EvEff-1)*INDEX(Affected,0,C3411)*EXP(-((E3411-EvCenter)^2)/(2*EvSigma^2))))),"")</f>
        <v/>
      </c>
      <c r="O3411">
        <f>IF(B3411,ROUND(MAX(0,J3411*K3411*L3411*M3411*N3411),2),"")</f>
        <v/>
      </c>
    </row>
    <row r="3412">
      <c r="A3412" t="n">
        <v>3411</v>
      </c>
      <c r="B3412">
        <f>A3412&lt;=MineCount*Days</f>
        <v/>
      </c>
      <c r="C3412">
        <f>IF(B3412,INT((A3412-1)/Days)+1,"")</f>
        <v/>
      </c>
      <c r="D3412">
        <f>IF(B3412,MOD(A3412-1,Days),"")</f>
        <v/>
      </c>
      <c r="E3412" s="16">
        <f>IF(B3412,StartDate+D3412,"")</f>
        <v/>
      </c>
      <c r="F3412">
        <f>IF(B3412,MAX(MOD(SIN(Seed*0.1373+C3412*12.9898+D3412*78.233)*43758.5453,1),1E-9),"")</f>
        <v/>
      </c>
      <c r="G3412">
        <f>IF(B3412,MOD(SIN(Seed*0.5917+C3412*39.3468+D3412*11.135)*24634.6345,1),"")</f>
        <v/>
      </c>
      <c r="H3412">
        <f>IF(B3412,SQRT(-2*LN(F3412))*COS(2*PI()*G3412),"")</f>
        <v/>
      </c>
      <c r="I3412">
        <f>IF(B3412,IF(D3412=0,H3412,Rho*I3411+SQRT(1-Rho^2)*H3412),"")</f>
        <v/>
      </c>
      <c r="J3412">
        <f>IF(B3412,IF(Dist="Normal",DistA+DistB*I3412,DistA+(DistB-DistA)*NORMSDIST(I3412)),"")</f>
        <v/>
      </c>
      <c r="K3412">
        <f>IF(B3412,INDEX(MineScale,C3412),"")</f>
        <v/>
      </c>
      <c r="L3412">
        <f>IF(B3412,INDEX(Dow,1,WEEKDAY(E3412,2)),"")</f>
        <v/>
      </c>
      <c r="M3412">
        <f>IF(B3412,(1+Trend)^D3412,"")</f>
        <v/>
      </c>
      <c r="N3412">
        <f>IF(B3412,EXP(SUMPRODUCT(LN(1+(EvEff-1)*INDEX(Affected,0,C3412)*EXP(-((E3412-EvCenter)^2)/(2*EvSigma^2))))),"")</f>
        <v/>
      </c>
      <c r="O3412">
        <f>IF(B3412,ROUND(MAX(0,J3412*K3412*L3412*M3412*N3412),2),"")</f>
        <v/>
      </c>
    </row>
    <row r="3413">
      <c r="A3413" t="n">
        <v>3412</v>
      </c>
      <c r="B3413">
        <f>A3413&lt;=MineCount*Days</f>
        <v/>
      </c>
      <c r="C3413">
        <f>IF(B3413,INT((A3413-1)/Days)+1,"")</f>
        <v/>
      </c>
      <c r="D3413">
        <f>IF(B3413,MOD(A3413-1,Days),"")</f>
        <v/>
      </c>
      <c r="E3413" s="16">
        <f>IF(B3413,StartDate+D3413,"")</f>
        <v/>
      </c>
      <c r="F3413">
        <f>IF(B3413,MAX(MOD(SIN(Seed*0.1373+C3413*12.9898+D3413*78.233)*43758.5453,1),1E-9),"")</f>
        <v/>
      </c>
      <c r="G3413">
        <f>IF(B3413,MOD(SIN(Seed*0.5917+C3413*39.3468+D3413*11.135)*24634.6345,1),"")</f>
        <v/>
      </c>
      <c r="H3413">
        <f>IF(B3413,SQRT(-2*LN(F3413))*COS(2*PI()*G3413),"")</f>
        <v/>
      </c>
      <c r="I3413">
        <f>IF(B3413,IF(D3413=0,H3413,Rho*I3412+SQRT(1-Rho^2)*H3413),"")</f>
        <v/>
      </c>
      <c r="J3413">
        <f>IF(B3413,IF(Dist="Normal",DistA+DistB*I3413,DistA+(DistB-DistA)*NORMSDIST(I3413)),"")</f>
        <v/>
      </c>
      <c r="K3413">
        <f>IF(B3413,INDEX(MineScale,C3413),"")</f>
        <v/>
      </c>
      <c r="L3413">
        <f>IF(B3413,INDEX(Dow,1,WEEKDAY(E3413,2)),"")</f>
        <v/>
      </c>
      <c r="M3413">
        <f>IF(B3413,(1+Trend)^D3413,"")</f>
        <v/>
      </c>
      <c r="N3413">
        <f>IF(B3413,EXP(SUMPRODUCT(LN(1+(EvEff-1)*INDEX(Affected,0,C3413)*EXP(-((E3413-EvCenter)^2)/(2*EvSigma^2))))),"")</f>
        <v/>
      </c>
      <c r="O3413">
        <f>IF(B3413,ROUND(MAX(0,J3413*K3413*L3413*M3413*N3413),2),"")</f>
        <v/>
      </c>
    </row>
    <row r="3414">
      <c r="A3414" t="n">
        <v>3413</v>
      </c>
      <c r="B3414">
        <f>A3414&lt;=MineCount*Days</f>
        <v/>
      </c>
      <c r="C3414">
        <f>IF(B3414,INT((A3414-1)/Days)+1,"")</f>
        <v/>
      </c>
      <c r="D3414">
        <f>IF(B3414,MOD(A3414-1,Days),"")</f>
        <v/>
      </c>
      <c r="E3414" s="16">
        <f>IF(B3414,StartDate+D3414,"")</f>
        <v/>
      </c>
      <c r="F3414">
        <f>IF(B3414,MAX(MOD(SIN(Seed*0.1373+C3414*12.9898+D3414*78.233)*43758.5453,1),1E-9),"")</f>
        <v/>
      </c>
      <c r="G3414">
        <f>IF(B3414,MOD(SIN(Seed*0.5917+C3414*39.3468+D3414*11.135)*24634.6345,1),"")</f>
        <v/>
      </c>
      <c r="H3414">
        <f>IF(B3414,SQRT(-2*LN(F3414))*COS(2*PI()*G3414),"")</f>
        <v/>
      </c>
      <c r="I3414">
        <f>IF(B3414,IF(D3414=0,H3414,Rho*I3413+SQRT(1-Rho^2)*H3414),"")</f>
        <v/>
      </c>
      <c r="J3414">
        <f>IF(B3414,IF(Dist="Normal",DistA+DistB*I3414,DistA+(DistB-DistA)*NORMSDIST(I3414)),"")</f>
        <v/>
      </c>
      <c r="K3414">
        <f>IF(B3414,INDEX(MineScale,C3414),"")</f>
        <v/>
      </c>
      <c r="L3414">
        <f>IF(B3414,INDEX(Dow,1,WEEKDAY(E3414,2)),"")</f>
        <v/>
      </c>
      <c r="M3414">
        <f>IF(B3414,(1+Trend)^D3414,"")</f>
        <v/>
      </c>
      <c r="N3414">
        <f>IF(B3414,EXP(SUMPRODUCT(LN(1+(EvEff-1)*INDEX(Affected,0,C3414)*EXP(-((E3414-EvCenter)^2)/(2*EvSigma^2))))),"")</f>
        <v/>
      </c>
      <c r="O3414">
        <f>IF(B3414,ROUND(MAX(0,J3414*K3414*L3414*M3414*N3414),2),"")</f>
        <v/>
      </c>
    </row>
    <row r="3415">
      <c r="A3415" t="n">
        <v>3414</v>
      </c>
      <c r="B3415">
        <f>A3415&lt;=MineCount*Days</f>
        <v/>
      </c>
      <c r="C3415">
        <f>IF(B3415,INT((A3415-1)/Days)+1,"")</f>
        <v/>
      </c>
      <c r="D3415">
        <f>IF(B3415,MOD(A3415-1,Days),"")</f>
        <v/>
      </c>
      <c r="E3415" s="16">
        <f>IF(B3415,StartDate+D3415,"")</f>
        <v/>
      </c>
      <c r="F3415">
        <f>IF(B3415,MAX(MOD(SIN(Seed*0.1373+C3415*12.9898+D3415*78.233)*43758.5453,1),1E-9),"")</f>
        <v/>
      </c>
      <c r="G3415">
        <f>IF(B3415,MOD(SIN(Seed*0.5917+C3415*39.3468+D3415*11.135)*24634.6345,1),"")</f>
        <v/>
      </c>
      <c r="H3415">
        <f>IF(B3415,SQRT(-2*LN(F3415))*COS(2*PI()*G3415),"")</f>
        <v/>
      </c>
      <c r="I3415">
        <f>IF(B3415,IF(D3415=0,H3415,Rho*I3414+SQRT(1-Rho^2)*H3415),"")</f>
        <v/>
      </c>
      <c r="J3415">
        <f>IF(B3415,IF(Dist="Normal",DistA+DistB*I3415,DistA+(DistB-DistA)*NORMSDIST(I3415)),"")</f>
        <v/>
      </c>
      <c r="K3415">
        <f>IF(B3415,INDEX(MineScale,C3415),"")</f>
        <v/>
      </c>
      <c r="L3415">
        <f>IF(B3415,INDEX(Dow,1,WEEKDAY(E3415,2)),"")</f>
        <v/>
      </c>
      <c r="M3415">
        <f>IF(B3415,(1+Trend)^D3415,"")</f>
        <v/>
      </c>
      <c r="N3415">
        <f>IF(B3415,EXP(SUMPRODUCT(LN(1+(EvEff-1)*INDEX(Affected,0,C3415)*EXP(-((E3415-EvCenter)^2)/(2*EvSigma^2))))),"")</f>
        <v/>
      </c>
      <c r="O3415">
        <f>IF(B3415,ROUND(MAX(0,J3415*K3415*L3415*M3415*N3415),2),"")</f>
        <v/>
      </c>
    </row>
    <row r="3416">
      <c r="A3416" t="n">
        <v>3415</v>
      </c>
      <c r="B3416">
        <f>A3416&lt;=MineCount*Days</f>
        <v/>
      </c>
      <c r="C3416">
        <f>IF(B3416,INT((A3416-1)/Days)+1,"")</f>
        <v/>
      </c>
      <c r="D3416">
        <f>IF(B3416,MOD(A3416-1,Days),"")</f>
        <v/>
      </c>
      <c r="E3416" s="16">
        <f>IF(B3416,StartDate+D3416,"")</f>
        <v/>
      </c>
      <c r="F3416">
        <f>IF(B3416,MAX(MOD(SIN(Seed*0.1373+C3416*12.9898+D3416*78.233)*43758.5453,1),1E-9),"")</f>
        <v/>
      </c>
      <c r="G3416">
        <f>IF(B3416,MOD(SIN(Seed*0.5917+C3416*39.3468+D3416*11.135)*24634.6345,1),"")</f>
        <v/>
      </c>
      <c r="H3416">
        <f>IF(B3416,SQRT(-2*LN(F3416))*COS(2*PI()*G3416),"")</f>
        <v/>
      </c>
      <c r="I3416">
        <f>IF(B3416,IF(D3416=0,H3416,Rho*I3415+SQRT(1-Rho^2)*H3416),"")</f>
        <v/>
      </c>
      <c r="J3416">
        <f>IF(B3416,IF(Dist="Normal",DistA+DistB*I3416,DistA+(DistB-DistA)*NORMSDIST(I3416)),"")</f>
        <v/>
      </c>
      <c r="K3416">
        <f>IF(B3416,INDEX(MineScale,C3416),"")</f>
        <v/>
      </c>
      <c r="L3416">
        <f>IF(B3416,INDEX(Dow,1,WEEKDAY(E3416,2)),"")</f>
        <v/>
      </c>
      <c r="M3416">
        <f>IF(B3416,(1+Trend)^D3416,"")</f>
        <v/>
      </c>
      <c r="N3416">
        <f>IF(B3416,EXP(SUMPRODUCT(LN(1+(EvEff-1)*INDEX(Affected,0,C3416)*EXP(-((E3416-EvCenter)^2)/(2*EvSigma^2))))),"")</f>
        <v/>
      </c>
      <c r="O3416">
        <f>IF(B3416,ROUND(MAX(0,J3416*K3416*L3416*M3416*N3416),2),"")</f>
        <v/>
      </c>
    </row>
    <row r="3417">
      <c r="A3417" t="n">
        <v>3416</v>
      </c>
      <c r="B3417">
        <f>A3417&lt;=MineCount*Days</f>
        <v/>
      </c>
      <c r="C3417">
        <f>IF(B3417,INT((A3417-1)/Days)+1,"")</f>
        <v/>
      </c>
      <c r="D3417">
        <f>IF(B3417,MOD(A3417-1,Days),"")</f>
        <v/>
      </c>
      <c r="E3417" s="16">
        <f>IF(B3417,StartDate+D3417,"")</f>
        <v/>
      </c>
      <c r="F3417">
        <f>IF(B3417,MAX(MOD(SIN(Seed*0.1373+C3417*12.9898+D3417*78.233)*43758.5453,1),1E-9),"")</f>
        <v/>
      </c>
      <c r="G3417">
        <f>IF(B3417,MOD(SIN(Seed*0.5917+C3417*39.3468+D3417*11.135)*24634.6345,1),"")</f>
        <v/>
      </c>
      <c r="H3417">
        <f>IF(B3417,SQRT(-2*LN(F3417))*COS(2*PI()*G3417),"")</f>
        <v/>
      </c>
      <c r="I3417">
        <f>IF(B3417,IF(D3417=0,H3417,Rho*I3416+SQRT(1-Rho^2)*H3417),"")</f>
        <v/>
      </c>
      <c r="J3417">
        <f>IF(B3417,IF(Dist="Normal",DistA+DistB*I3417,DistA+(DistB-DistA)*NORMSDIST(I3417)),"")</f>
        <v/>
      </c>
      <c r="K3417">
        <f>IF(B3417,INDEX(MineScale,C3417),"")</f>
        <v/>
      </c>
      <c r="L3417">
        <f>IF(B3417,INDEX(Dow,1,WEEKDAY(E3417,2)),"")</f>
        <v/>
      </c>
      <c r="M3417">
        <f>IF(B3417,(1+Trend)^D3417,"")</f>
        <v/>
      </c>
      <c r="N3417">
        <f>IF(B3417,EXP(SUMPRODUCT(LN(1+(EvEff-1)*INDEX(Affected,0,C3417)*EXP(-((E3417-EvCenter)^2)/(2*EvSigma^2))))),"")</f>
        <v/>
      </c>
      <c r="O3417">
        <f>IF(B3417,ROUND(MAX(0,J3417*K3417*L3417*M3417*N3417),2),"")</f>
        <v/>
      </c>
    </row>
    <row r="3418">
      <c r="A3418" t="n">
        <v>3417</v>
      </c>
      <c r="B3418">
        <f>A3418&lt;=MineCount*Days</f>
        <v/>
      </c>
      <c r="C3418">
        <f>IF(B3418,INT((A3418-1)/Days)+1,"")</f>
        <v/>
      </c>
      <c r="D3418">
        <f>IF(B3418,MOD(A3418-1,Days),"")</f>
        <v/>
      </c>
      <c r="E3418" s="16">
        <f>IF(B3418,StartDate+D3418,"")</f>
        <v/>
      </c>
      <c r="F3418">
        <f>IF(B3418,MAX(MOD(SIN(Seed*0.1373+C3418*12.9898+D3418*78.233)*43758.5453,1),1E-9),"")</f>
        <v/>
      </c>
      <c r="G3418">
        <f>IF(B3418,MOD(SIN(Seed*0.5917+C3418*39.3468+D3418*11.135)*24634.6345,1),"")</f>
        <v/>
      </c>
      <c r="H3418">
        <f>IF(B3418,SQRT(-2*LN(F3418))*COS(2*PI()*G3418),"")</f>
        <v/>
      </c>
      <c r="I3418">
        <f>IF(B3418,IF(D3418=0,H3418,Rho*I3417+SQRT(1-Rho^2)*H3418),"")</f>
        <v/>
      </c>
      <c r="J3418">
        <f>IF(B3418,IF(Dist="Normal",DistA+DistB*I3418,DistA+(DistB-DistA)*NORMSDIST(I3418)),"")</f>
        <v/>
      </c>
      <c r="K3418">
        <f>IF(B3418,INDEX(MineScale,C3418),"")</f>
        <v/>
      </c>
      <c r="L3418">
        <f>IF(B3418,INDEX(Dow,1,WEEKDAY(E3418,2)),"")</f>
        <v/>
      </c>
      <c r="M3418">
        <f>IF(B3418,(1+Trend)^D3418,"")</f>
        <v/>
      </c>
      <c r="N3418">
        <f>IF(B3418,EXP(SUMPRODUCT(LN(1+(EvEff-1)*INDEX(Affected,0,C3418)*EXP(-((E3418-EvCenter)^2)/(2*EvSigma^2))))),"")</f>
        <v/>
      </c>
      <c r="O3418">
        <f>IF(B3418,ROUND(MAX(0,J3418*K3418*L3418*M3418*N3418),2),"")</f>
        <v/>
      </c>
    </row>
    <row r="3419">
      <c r="A3419" t="n">
        <v>3418</v>
      </c>
      <c r="B3419">
        <f>A3419&lt;=MineCount*Days</f>
        <v/>
      </c>
      <c r="C3419">
        <f>IF(B3419,INT((A3419-1)/Days)+1,"")</f>
        <v/>
      </c>
      <c r="D3419">
        <f>IF(B3419,MOD(A3419-1,Days),"")</f>
        <v/>
      </c>
      <c r="E3419" s="16">
        <f>IF(B3419,StartDate+D3419,"")</f>
        <v/>
      </c>
      <c r="F3419">
        <f>IF(B3419,MAX(MOD(SIN(Seed*0.1373+C3419*12.9898+D3419*78.233)*43758.5453,1),1E-9),"")</f>
        <v/>
      </c>
      <c r="G3419">
        <f>IF(B3419,MOD(SIN(Seed*0.5917+C3419*39.3468+D3419*11.135)*24634.6345,1),"")</f>
        <v/>
      </c>
      <c r="H3419">
        <f>IF(B3419,SQRT(-2*LN(F3419))*COS(2*PI()*G3419),"")</f>
        <v/>
      </c>
      <c r="I3419">
        <f>IF(B3419,IF(D3419=0,H3419,Rho*I3418+SQRT(1-Rho^2)*H3419),"")</f>
        <v/>
      </c>
      <c r="J3419">
        <f>IF(B3419,IF(Dist="Normal",DistA+DistB*I3419,DistA+(DistB-DistA)*NORMSDIST(I3419)),"")</f>
        <v/>
      </c>
      <c r="K3419">
        <f>IF(B3419,INDEX(MineScale,C3419),"")</f>
        <v/>
      </c>
      <c r="L3419">
        <f>IF(B3419,INDEX(Dow,1,WEEKDAY(E3419,2)),"")</f>
        <v/>
      </c>
      <c r="M3419">
        <f>IF(B3419,(1+Trend)^D3419,"")</f>
        <v/>
      </c>
      <c r="N3419">
        <f>IF(B3419,EXP(SUMPRODUCT(LN(1+(EvEff-1)*INDEX(Affected,0,C3419)*EXP(-((E3419-EvCenter)^2)/(2*EvSigma^2))))),"")</f>
        <v/>
      </c>
      <c r="O3419">
        <f>IF(B3419,ROUND(MAX(0,J3419*K3419*L3419*M3419*N3419),2),"")</f>
        <v/>
      </c>
    </row>
    <row r="3420">
      <c r="A3420" t="n">
        <v>3419</v>
      </c>
      <c r="B3420">
        <f>A3420&lt;=MineCount*Days</f>
        <v/>
      </c>
      <c r="C3420">
        <f>IF(B3420,INT((A3420-1)/Days)+1,"")</f>
        <v/>
      </c>
      <c r="D3420">
        <f>IF(B3420,MOD(A3420-1,Days),"")</f>
        <v/>
      </c>
      <c r="E3420" s="16">
        <f>IF(B3420,StartDate+D3420,"")</f>
        <v/>
      </c>
      <c r="F3420">
        <f>IF(B3420,MAX(MOD(SIN(Seed*0.1373+C3420*12.9898+D3420*78.233)*43758.5453,1),1E-9),"")</f>
        <v/>
      </c>
      <c r="G3420">
        <f>IF(B3420,MOD(SIN(Seed*0.5917+C3420*39.3468+D3420*11.135)*24634.6345,1),"")</f>
        <v/>
      </c>
      <c r="H3420">
        <f>IF(B3420,SQRT(-2*LN(F3420))*COS(2*PI()*G3420),"")</f>
        <v/>
      </c>
      <c r="I3420">
        <f>IF(B3420,IF(D3420=0,H3420,Rho*I3419+SQRT(1-Rho^2)*H3420),"")</f>
        <v/>
      </c>
      <c r="J3420">
        <f>IF(B3420,IF(Dist="Normal",DistA+DistB*I3420,DistA+(DistB-DistA)*NORMSDIST(I3420)),"")</f>
        <v/>
      </c>
      <c r="K3420">
        <f>IF(B3420,INDEX(MineScale,C3420),"")</f>
        <v/>
      </c>
      <c r="L3420">
        <f>IF(B3420,INDEX(Dow,1,WEEKDAY(E3420,2)),"")</f>
        <v/>
      </c>
      <c r="M3420">
        <f>IF(B3420,(1+Trend)^D3420,"")</f>
        <v/>
      </c>
      <c r="N3420">
        <f>IF(B3420,EXP(SUMPRODUCT(LN(1+(EvEff-1)*INDEX(Affected,0,C3420)*EXP(-((E3420-EvCenter)^2)/(2*EvSigma^2))))),"")</f>
        <v/>
      </c>
      <c r="O3420">
        <f>IF(B3420,ROUND(MAX(0,J3420*K3420*L3420*M3420*N3420),2),"")</f>
        <v/>
      </c>
    </row>
    <row r="3421">
      <c r="A3421" t="n">
        <v>3420</v>
      </c>
      <c r="B3421">
        <f>A3421&lt;=MineCount*Days</f>
        <v/>
      </c>
      <c r="C3421">
        <f>IF(B3421,INT((A3421-1)/Days)+1,"")</f>
        <v/>
      </c>
      <c r="D3421">
        <f>IF(B3421,MOD(A3421-1,Days),"")</f>
        <v/>
      </c>
      <c r="E3421" s="16">
        <f>IF(B3421,StartDate+D3421,"")</f>
        <v/>
      </c>
      <c r="F3421">
        <f>IF(B3421,MAX(MOD(SIN(Seed*0.1373+C3421*12.9898+D3421*78.233)*43758.5453,1),1E-9),"")</f>
        <v/>
      </c>
      <c r="G3421">
        <f>IF(B3421,MOD(SIN(Seed*0.5917+C3421*39.3468+D3421*11.135)*24634.6345,1),"")</f>
        <v/>
      </c>
      <c r="H3421">
        <f>IF(B3421,SQRT(-2*LN(F3421))*COS(2*PI()*G3421),"")</f>
        <v/>
      </c>
      <c r="I3421">
        <f>IF(B3421,IF(D3421=0,H3421,Rho*I3420+SQRT(1-Rho^2)*H3421),"")</f>
        <v/>
      </c>
      <c r="J3421">
        <f>IF(B3421,IF(Dist="Normal",DistA+DistB*I3421,DistA+(DistB-DistA)*NORMSDIST(I3421)),"")</f>
        <v/>
      </c>
      <c r="K3421">
        <f>IF(B3421,INDEX(MineScale,C3421),"")</f>
        <v/>
      </c>
      <c r="L3421">
        <f>IF(B3421,INDEX(Dow,1,WEEKDAY(E3421,2)),"")</f>
        <v/>
      </c>
      <c r="M3421">
        <f>IF(B3421,(1+Trend)^D3421,"")</f>
        <v/>
      </c>
      <c r="N3421">
        <f>IF(B3421,EXP(SUMPRODUCT(LN(1+(EvEff-1)*INDEX(Affected,0,C3421)*EXP(-((E3421-EvCenter)^2)/(2*EvSigma^2))))),"")</f>
        <v/>
      </c>
      <c r="O3421">
        <f>IF(B3421,ROUND(MAX(0,J3421*K3421*L3421*M3421*N3421),2),"")</f>
        <v/>
      </c>
    </row>
    <row r="3422">
      <c r="A3422" t="n">
        <v>3421</v>
      </c>
      <c r="B3422">
        <f>A3422&lt;=MineCount*Days</f>
        <v/>
      </c>
      <c r="C3422">
        <f>IF(B3422,INT((A3422-1)/Days)+1,"")</f>
        <v/>
      </c>
      <c r="D3422">
        <f>IF(B3422,MOD(A3422-1,Days),"")</f>
        <v/>
      </c>
      <c r="E3422" s="16">
        <f>IF(B3422,StartDate+D3422,"")</f>
        <v/>
      </c>
      <c r="F3422">
        <f>IF(B3422,MAX(MOD(SIN(Seed*0.1373+C3422*12.9898+D3422*78.233)*43758.5453,1),1E-9),"")</f>
        <v/>
      </c>
      <c r="G3422">
        <f>IF(B3422,MOD(SIN(Seed*0.5917+C3422*39.3468+D3422*11.135)*24634.6345,1),"")</f>
        <v/>
      </c>
      <c r="H3422">
        <f>IF(B3422,SQRT(-2*LN(F3422))*COS(2*PI()*G3422),"")</f>
        <v/>
      </c>
      <c r="I3422">
        <f>IF(B3422,IF(D3422=0,H3422,Rho*I3421+SQRT(1-Rho^2)*H3422),"")</f>
        <v/>
      </c>
      <c r="J3422">
        <f>IF(B3422,IF(Dist="Normal",DistA+DistB*I3422,DistA+(DistB-DistA)*NORMSDIST(I3422)),"")</f>
        <v/>
      </c>
      <c r="K3422">
        <f>IF(B3422,INDEX(MineScale,C3422),"")</f>
        <v/>
      </c>
      <c r="L3422">
        <f>IF(B3422,INDEX(Dow,1,WEEKDAY(E3422,2)),"")</f>
        <v/>
      </c>
      <c r="M3422">
        <f>IF(B3422,(1+Trend)^D3422,"")</f>
        <v/>
      </c>
      <c r="N3422">
        <f>IF(B3422,EXP(SUMPRODUCT(LN(1+(EvEff-1)*INDEX(Affected,0,C3422)*EXP(-((E3422-EvCenter)^2)/(2*EvSigma^2))))),"")</f>
        <v/>
      </c>
      <c r="O3422">
        <f>IF(B3422,ROUND(MAX(0,J3422*K3422*L3422*M3422*N3422),2),"")</f>
        <v/>
      </c>
    </row>
    <row r="3423">
      <c r="A3423" t="n">
        <v>3422</v>
      </c>
      <c r="B3423">
        <f>A3423&lt;=MineCount*Days</f>
        <v/>
      </c>
      <c r="C3423">
        <f>IF(B3423,INT((A3423-1)/Days)+1,"")</f>
        <v/>
      </c>
      <c r="D3423">
        <f>IF(B3423,MOD(A3423-1,Days),"")</f>
        <v/>
      </c>
      <c r="E3423" s="16">
        <f>IF(B3423,StartDate+D3423,"")</f>
        <v/>
      </c>
      <c r="F3423">
        <f>IF(B3423,MAX(MOD(SIN(Seed*0.1373+C3423*12.9898+D3423*78.233)*43758.5453,1),1E-9),"")</f>
        <v/>
      </c>
      <c r="G3423">
        <f>IF(B3423,MOD(SIN(Seed*0.5917+C3423*39.3468+D3423*11.135)*24634.6345,1),"")</f>
        <v/>
      </c>
      <c r="H3423">
        <f>IF(B3423,SQRT(-2*LN(F3423))*COS(2*PI()*G3423),"")</f>
        <v/>
      </c>
      <c r="I3423">
        <f>IF(B3423,IF(D3423=0,H3423,Rho*I3422+SQRT(1-Rho^2)*H3423),"")</f>
        <v/>
      </c>
      <c r="J3423">
        <f>IF(B3423,IF(Dist="Normal",DistA+DistB*I3423,DistA+(DistB-DistA)*NORMSDIST(I3423)),"")</f>
        <v/>
      </c>
      <c r="K3423">
        <f>IF(B3423,INDEX(MineScale,C3423),"")</f>
        <v/>
      </c>
      <c r="L3423">
        <f>IF(B3423,INDEX(Dow,1,WEEKDAY(E3423,2)),"")</f>
        <v/>
      </c>
      <c r="M3423">
        <f>IF(B3423,(1+Trend)^D3423,"")</f>
        <v/>
      </c>
      <c r="N3423">
        <f>IF(B3423,EXP(SUMPRODUCT(LN(1+(EvEff-1)*INDEX(Affected,0,C3423)*EXP(-((E3423-EvCenter)^2)/(2*EvSigma^2))))),"")</f>
        <v/>
      </c>
      <c r="O3423">
        <f>IF(B3423,ROUND(MAX(0,J3423*K3423*L3423*M3423*N3423),2),"")</f>
        <v/>
      </c>
    </row>
    <row r="3424">
      <c r="A3424" t="n">
        <v>3423</v>
      </c>
      <c r="B3424">
        <f>A3424&lt;=MineCount*Days</f>
        <v/>
      </c>
      <c r="C3424">
        <f>IF(B3424,INT((A3424-1)/Days)+1,"")</f>
        <v/>
      </c>
      <c r="D3424">
        <f>IF(B3424,MOD(A3424-1,Days),"")</f>
        <v/>
      </c>
      <c r="E3424" s="16">
        <f>IF(B3424,StartDate+D3424,"")</f>
        <v/>
      </c>
      <c r="F3424">
        <f>IF(B3424,MAX(MOD(SIN(Seed*0.1373+C3424*12.9898+D3424*78.233)*43758.5453,1),1E-9),"")</f>
        <v/>
      </c>
      <c r="G3424">
        <f>IF(B3424,MOD(SIN(Seed*0.5917+C3424*39.3468+D3424*11.135)*24634.6345,1),"")</f>
        <v/>
      </c>
      <c r="H3424">
        <f>IF(B3424,SQRT(-2*LN(F3424))*COS(2*PI()*G3424),"")</f>
        <v/>
      </c>
      <c r="I3424">
        <f>IF(B3424,IF(D3424=0,H3424,Rho*I3423+SQRT(1-Rho^2)*H3424),"")</f>
        <v/>
      </c>
      <c r="J3424">
        <f>IF(B3424,IF(Dist="Normal",DistA+DistB*I3424,DistA+(DistB-DistA)*NORMSDIST(I3424)),"")</f>
        <v/>
      </c>
      <c r="K3424">
        <f>IF(B3424,INDEX(MineScale,C3424),"")</f>
        <v/>
      </c>
      <c r="L3424">
        <f>IF(B3424,INDEX(Dow,1,WEEKDAY(E3424,2)),"")</f>
        <v/>
      </c>
      <c r="M3424">
        <f>IF(B3424,(1+Trend)^D3424,"")</f>
        <v/>
      </c>
      <c r="N3424">
        <f>IF(B3424,EXP(SUMPRODUCT(LN(1+(EvEff-1)*INDEX(Affected,0,C3424)*EXP(-((E3424-EvCenter)^2)/(2*EvSigma^2))))),"")</f>
        <v/>
      </c>
      <c r="O3424">
        <f>IF(B3424,ROUND(MAX(0,J3424*K3424*L3424*M3424*N3424),2),"")</f>
        <v/>
      </c>
    </row>
    <row r="3425">
      <c r="A3425" t="n">
        <v>3424</v>
      </c>
      <c r="B3425">
        <f>A3425&lt;=MineCount*Days</f>
        <v/>
      </c>
      <c r="C3425">
        <f>IF(B3425,INT((A3425-1)/Days)+1,"")</f>
        <v/>
      </c>
      <c r="D3425">
        <f>IF(B3425,MOD(A3425-1,Days),"")</f>
        <v/>
      </c>
      <c r="E3425" s="16">
        <f>IF(B3425,StartDate+D3425,"")</f>
        <v/>
      </c>
      <c r="F3425">
        <f>IF(B3425,MAX(MOD(SIN(Seed*0.1373+C3425*12.9898+D3425*78.233)*43758.5453,1),1E-9),"")</f>
        <v/>
      </c>
      <c r="G3425">
        <f>IF(B3425,MOD(SIN(Seed*0.5917+C3425*39.3468+D3425*11.135)*24634.6345,1),"")</f>
        <v/>
      </c>
      <c r="H3425">
        <f>IF(B3425,SQRT(-2*LN(F3425))*COS(2*PI()*G3425),"")</f>
        <v/>
      </c>
      <c r="I3425">
        <f>IF(B3425,IF(D3425=0,H3425,Rho*I3424+SQRT(1-Rho^2)*H3425),"")</f>
        <v/>
      </c>
      <c r="J3425">
        <f>IF(B3425,IF(Dist="Normal",DistA+DistB*I3425,DistA+(DistB-DistA)*NORMSDIST(I3425)),"")</f>
        <v/>
      </c>
      <c r="K3425">
        <f>IF(B3425,INDEX(MineScale,C3425),"")</f>
        <v/>
      </c>
      <c r="L3425">
        <f>IF(B3425,INDEX(Dow,1,WEEKDAY(E3425,2)),"")</f>
        <v/>
      </c>
      <c r="M3425">
        <f>IF(B3425,(1+Trend)^D3425,"")</f>
        <v/>
      </c>
      <c r="N3425">
        <f>IF(B3425,EXP(SUMPRODUCT(LN(1+(EvEff-1)*INDEX(Affected,0,C3425)*EXP(-((E3425-EvCenter)^2)/(2*EvSigma^2))))),"")</f>
        <v/>
      </c>
      <c r="O3425">
        <f>IF(B3425,ROUND(MAX(0,J3425*K3425*L3425*M3425*N3425),2),"")</f>
        <v/>
      </c>
    </row>
    <row r="3426">
      <c r="A3426" t="n">
        <v>3425</v>
      </c>
      <c r="B3426">
        <f>A3426&lt;=MineCount*Days</f>
        <v/>
      </c>
      <c r="C3426">
        <f>IF(B3426,INT((A3426-1)/Days)+1,"")</f>
        <v/>
      </c>
      <c r="D3426">
        <f>IF(B3426,MOD(A3426-1,Days),"")</f>
        <v/>
      </c>
      <c r="E3426" s="16">
        <f>IF(B3426,StartDate+D3426,"")</f>
        <v/>
      </c>
      <c r="F3426">
        <f>IF(B3426,MAX(MOD(SIN(Seed*0.1373+C3426*12.9898+D3426*78.233)*43758.5453,1),1E-9),"")</f>
        <v/>
      </c>
      <c r="G3426">
        <f>IF(B3426,MOD(SIN(Seed*0.5917+C3426*39.3468+D3426*11.135)*24634.6345,1),"")</f>
        <v/>
      </c>
      <c r="H3426">
        <f>IF(B3426,SQRT(-2*LN(F3426))*COS(2*PI()*G3426),"")</f>
        <v/>
      </c>
      <c r="I3426">
        <f>IF(B3426,IF(D3426=0,H3426,Rho*I3425+SQRT(1-Rho^2)*H3426),"")</f>
        <v/>
      </c>
      <c r="J3426">
        <f>IF(B3426,IF(Dist="Normal",DistA+DistB*I3426,DistA+(DistB-DistA)*NORMSDIST(I3426)),"")</f>
        <v/>
      </c>
      <c r="K3426">
        <f>IF(B3426,INDEX(MineScale,C3426),"")</f>
        <v/>
      </c>
      <c r="L3426">
        <f>IF(B3426,INDEX(Dow,1,WEEKDAY(E3426,2)),"")</f>
        <v/>
      </c>
      <c r="M3426">
        <f>IF(B3426,(1+Trend)^D3426,"")</f>
        <v/>
      </c>
      <c r="N3426">
        <f>IF(B3426,EXP(SUMPRODUCT(LN(1+(EvEff-1)*INDEX(Affected,0,C3426)*EXP(-((E3426-EvCenter)^2)/(2*EvSigma^2))))),"")</f>
        <v/>
      </c>
      <c r="O3426">
        <f>IF(B3426,ROUND(MAX(0,J3426*K3426*L3426*M3426*N3426),2),"")</f>
        <v/>
      </c>
    </row>
    <row r="3427">
      <c r="A3427" t="n">
        <v>3426</v>
      </c>
      <c r="B3427">
        <f>A3427&lt;=MineCount*Days</f>
        <v/>
      </c>
      <c r="C3427">
        <f>IF(B3427,INT((A3427-1)/Days)+1,"")</f>
        <v/>
      </c>
      <c r="D3427">
        <f>IF(B3427,MOD(A3427-1,Days),"")</f>
        <v/>
      </c>
      <c r="E3427" s="16">
        <f>IF(B3427,StartDate+D3427,"")</f>
        <v/>
      </c>
      <c r="F3427">
        <f>IF(B3427,MAX(MOD(SIN(Seed*0.1373+C3427*12.9898+D3427*78.233)*43758.5453,1),1E-9),"")</f>
        <v/>
      </c>
      <c r="G3427">
        <f>IF(B3427,MOD(SIN(Seed*0.5917+C3427*39.3468+D3427*11.135)*24634.6345,1),"")</f>
        <v/>
      </c>
      <c r="H3427">
        <f>IF(B3427,SQRT(-2*LN(F3427))*COS(2*PI()*G3427),"")</f>
        <v/>
      </c>
      <c r="I3427">
        <f>IF(B3427,IF(D3427=0,H3427,Rho*I3426+SQRT(1-Rho^2)*H3427),"")</f>
        <v/>
      </c>
      <c r="J3427">
        <f>IF(B3427,IF(Dist="Normal",DistA+DistB*I3427,DistA+(DistB-DistA)*NORMSDIST(I3427)),"")</f>
        <v/>
      </c>
      <c r="K3427">
        <f>IF(B3427,INDEX(MineScale,C3427),"")</f>
        <v/>
      </c>
      <c r="L3427">
        <f>IF(B3427,INDEX(Dow,1,WEEKDAY(E3427,2)),"")</f>
        <v/>
      </c>
      <c r="M3427">
        <f>IF(B3427,(1+Trend)^D3427,"")</f>
        <v/>
      </c>
      <c r="N3427">
        <f>IF(B3427,EXP(SUMPRODUCT(LN(1+(EvEff-1)*INDEX(Affected,0,C3427)*EXP(-((E3427-EvCenter)^2)/(2*EvSigma^2))))),"")</f>
        <v/>
      </c>
      <c r="O3427">
        <f>IF(B3427,ROUND(MAX(0,J3427*K3427*L3427*M3427*N3427),2),"")</f>
        <v/>
      </c>
    </row>
    <row r="3428">
      <c r="A3428" t="n">
        <v>3427</v>
      </c>
      <c r="B3428">
        <f>A3428&lt;=MineCount*Days</f>
        <v/>
      </c>
      <c r="C3428">
        <f>IF(B3428,INT((A3428-1)/Days)+1,"")</f>
        <v/>
      </c>
      <c r="D3428">
        <f>IF(B3428,MOD(A3428-1,Days),"")</f>
        <v/>
      </c>
      <c r="E3428" s="16">
        <f>IF(B3428,StartDate+D3428,"")</f>
        <v/>
      </c>
      <c r="F3428">
        <f>IF(B3428,MAX(MOD(SIN(Seed*0.1373+C3428*12.9898+D3428*78.233)*43758.5453,1),1E-9),"")</f>
        <v/>
      </c>
      <c r="G3428">
        <f>IF(B3428,MOD(SIN(Seed*0.5917+C3428*39.3468+D3428*11.135)*24634.6345,1),"")</f>
        <v/>
      </c>
      <c r="H3428">
        <f>IF(B3428,SQRT(-2*LN(F3428))*COS(2*PI()*G3428),"")</f>
        <v/>
      </c>
      <c r="I3428">
        <f>IF(B3428,IF(D3428=0,H3428,Rho*I3427+SQRT(1-Rho^2)*H3428),"")</f>
        <v/>
      </c>
      <c r="J3428">
        <f>IF(B3428,IF(Dist="Normal",DistA+DistB*I3428,DistA+(DistB-DistA)*NORMSDIST(I3428)),"")</f>
        <v/>
      </c>
      <c r="K3428">
        <f>IF(B3428,INDEX(MineScale,C3428),"")</f>
        <v/>
      </c>
      <c r="L3428">
        <f>IF(B3428,INDEX(Dow,1,WEEKDAY(E3428,2)),"")</f>
        <v/>
      </c>
      <c r="M3428">
        <f>IF(B3428,(1+Trend)^D3428,"")</f>
        <v/>
      </c>
      <c r="N3428">
        <f>IF(B3428,EXP(SUMPRODUCT(LN(1+(EvEff-1)*INDEX(Affected,0,C3428)*EXP(-((E3428-EvCenter)^2)/(2*EvSigma^2))))),"")</f>
        <v/>
      </c>
      <c r="O3428">
        <f>IF(B3428,ROUND(MAX(0,J3428*K3428*L3428*M3428*N3428),2),"")</f>
        <v/>
      </c>
    </row>
    <row r="3429">
      <c r="A3429" t="n">
        <v>3428</v>
      </c>
      <c r="B3429">
        <f>A3429&lt;=MineCount*Days</f>
        <v/>
      </c>
      <c r="C3429">
        <f>IF(B3429,INT((A3429-1)/Days)+1,"")</f>
        <v/>
      </c>
      <c r="D3429">
        <f>IF(B3429,MOD(A3429-1,Days),"")</f>
        <v/>
      </c>
      <c r="E3429" s="16">
        <f>IF(B3429,StartDate+D3429,"")</f>
        <v/>
      </c>
      <c r="F3429">
        <f>IF(B3429,MAX(MOD(SIN(Seed*0.1373+C3429*12.9898+D3429*78.233)*43758.5453,1),1E-9),"")</f>
        <v/>
      </c>
      <c r="G3429">
        <f>IF(B3429,MOD(SIN(Seed*0.5917+C3429*39.3468+D3429*11.135)*24634.6345,1),"")</f>
        <v/>
      </c>
      <c r="H3429">
        <f>IF(B3429,SQRT(-2*LN(F3429))*COS(2*PI()*G3429),"")</f>
        <v/>
      </c>
      <c r="I3429">
        <f>IF(B3429,IF(D3429=0,H3429,Rho*I3428+SQRT(1-Rho^2)*H3429),"")</f>
        <v/>
      </c>
      <c r="J3429">
        <f>IF(B3429,IF(Dist="Normal",DistA+DistB*I3429,DistA+(DistB-DistA)*NORMSDIST(I3429)),"")</f>
        <v/>
      </c>
      <c r="K3429">
        <f>IF(B3429,INDEX(MineScale,C3429),"")</f>
        <v/>
      </c>
      <c r="L3429">
        <f>IF(B3429,INDEX(Dow,1,WEEKDAY(E3429,2)),"")</f>
        <v/>
      </c>
      <c r="M3429">
        <f>IF(B3429,(1+Trend)^D3429,"")</f>
        <v/>
      </c>
      <c r="N3429">
        <f>IF(B3429,EXP(SUMPRODUCT(LN(1+(EvEff-1)*INDEX(Affected,0,C3429)*EXP(-((E3429-EvCenter)^2)/(2*EvSigma^2))))),"")</f>
        <v/>
      </c>
      <c r="O3429">
        <f>IF(B3429,ROUND(MAX(0,J3429*K3429*L3429*M3429*N3429),2),"")</f>
        <v/>
      </c>
    </row>
    <row r="3430">
      <c r="A3430" t="n">
        <v>3429</v>
      </c>
      <c r="B3430">
        <f>A3430&lt;=MineCount*Days</f>
        <v/>
      </c>
      <c r="C3430">
        <f>IF(B3430,INT((A3430-1)/Days)+1,"")</f>
        <v/>
      </c>
      <c r="D3430">
        <f>IF(B3430,MOD(A3430-1,Days),"")</f>
        <v/>
      </c>
      <c r="E3430" s="16">
        <f>IF(B3430,StartDate+D3430,"")</f>
        <v/>
      </c>
      <c r="F3430">
        <f>IF(B3430,MAX(MOD(SIN(Seed*0.1373+C3430*12.9898+D3430*78.233)*43758.5453,1),1E-9),"")</f>
        <v/>
      </c>
      <c r="G3430">
        <f>IF(B3430,MOD(SIN(Seed*0.5917+C3430*39.3468+D3430*11.135)*24634.6345,1),"")</f>
        <v/>
      </c>
      <c r="H3430">
        <f>IF(B3430,SQRT(-2*LN(F3430))*COS(2*PI()*G3430),"")</f>
        <v/>
      </c>
      <c r="I3430">
        <f>IF(B3430,IF(D3430=0,H3430,Rho*I3429+SQRT(1-Rho^2)*H3430),"")</f>
        <v/>
      </c>
      <c r="J3430">
        <f>IF(B3430,IF(Dist="Normal",DistA+DistB*I3430,DistA+(DistB-DistA)*NORMSDIST(I3430)),"")</f>
        <v/>
      </c>
      <c r="K3430">
        <f>IF(B3430,INDEX(MineScale,C3430),"")</f>
        <v/>
      </c>
      <c r="L3430">
        <f>IF(B3430,INDEX(Dow,1,WEEKDAY(E3430,2)),"")</f>
        <v/>
      </c>
      <c r="M3430">
        <f>IF(B3430,(1+Trend)^D3430,"")</f>
        <v/>
      </c>
      <c r="N3430">
        <f>IF(B3430,EXP(SUMPRODUCT(LN(1+(EvEff-1)*INDEX(Affected,0,C3430)*EXP(-((E3430-EvCenter)^2)/(2*EvSigma^2))))),"")</f>
        <v/>
      </c>
      <c r="O3430">
        <f>IF(B3430,ROUND(MAX(0,J3430*K3430*L3430*M3430*N3430),2),"")</f>
        <v/>
      </c>
    </row>
    <row r="3431">
      <c r="A3431" t="n">
        <v>3430</v>
      </c>
      <c r="B3431">
        <f>A3431&lt;=MineCount*Days</f>
        <v/>
      </c>
      <c r="C3431">
        <f>IF(B3431,INT((A3431-1)/Days)+1,"")</f>
        <v/>
      </c>
      <c r="D3431">
        <f>IF(B3431,MOD(A3431-1,Days),"")</f>
        <v/>
      </c>
      <c r="E3431" s="16">
        <f>IF(B3431,StartDate+D3431,"")</f>
        <v/>
      </c>
      <c r="F3431">
        <f>IF(B3431,MAX(MOD(SIN(Seed*0.1373+C3431*12.9898+D3431*78.233)*43758.5453,1),1E-9),"")</f>
        <v/>
      </c>
      <c r="G3431">
        <f>IF(B3431,MOD(SIN(Seed*0.5917+C3431*39.3468+D3431*11.135)*24634.6345,1),"")</f>
        <v/>
      </c>
      <c r="H3431">
        <f>IF(B3431,SQRT(-2*LN(F3431))*COS(2*PI()*G3431),"")</f>
        <v/>
      </c>
      <c r="I3431">
        <f>IF(B3431,IF(D3431=0,H3431,Rho*I3430+SQRT(1-Rho^2)*H3431),"")</f>
        <v/>
      </c>
      <c r="J3431">
        <f>IF(B3431,IF(Dist="Normal",DistA+DistB*I3431,DistA+(DistB-DistA)*NORMSDIST(I3431)),"")</f>
        <v/>
      </c>
      <c r="K3431">
        <f>IF(B3431,INDEX(MineScale,C3431),"")</f>
        <v/>
      </c>
      <c r="L3431">
        <f>IF(B3431,INDEX(Dow,1,WEEKDAY(E3431,2)),"")</f>
        <v/>
      </c>
      <c r="M3431">
        <f>IF(B3431,(1+Trend)^D3431,"")</f>
        <v/>
      </c>
      <c r="N3431">
        <f>IF(B3431,EXP(SUMPRODUCT(LN(1+(EvEff-1)*INDEX(Affected,0,C3431)*EXP(-((E3431-EvCenter)^2)/(2*EvSigma^2))))),"")</f>
        <v/>
      </c>
      <c r="O3431">
        <f>IF(B3431,ROUND(MAX(0,J3431*K3431*L3431*M3431*N3431),2),"")</f>
        <v/>
      </c>
    </row>
    <row r="3432">
      <c r="A3432" t="n">
        <v>3431</v>
      </c>
      <c r="B3432">
        <f>A3432&lt;=MineCount*Days</f>
        <v/>
      </c>
      <c r="C3432">
        <f>IF(B3432,INT((A3432-1)/Days)+1,"")</f>
        <v/>
      </c>
      <c r="D3432">
        <f>IF(B3432,MOD(A3432-1,Days),"")</f>
        <v/>
      </c>
      <c r="E3432" s="16">
        <f>IF(B3432,StartDate+D3432,"")</f>
        <v/>
      </c>
      <c r="F3432">
        <f>IF(B3432,MAX(MOD(SIN(Seed*0.1373+C3432*12.9898+D3432*78.233)*43758.5453,1),1E-9),"")</f>
        <v/>
      </c>
      <c r="G3432">
        <f>IF(B3432,MOD(SIN(Seed*0.5917+C3432*39.3468+D3432*11.135)*24634.6345,1),"")</f>
        <v/>
      </c>
      <c r="H3432">
        <f>IF(B3432,SQRT(-2*LN(F3432))*COS(2*PI()*G3432),"")</f>
        <v/>
      </c>
      <c r="I3432">
        <f>IF(B3432,IF(D3432=0,H3432,Rho*I3431+SQRT(1-Rho^2)*H3432),"")</f>
        <v/>
      </c>
      <c r="J3432">
        <f>IF(B3432,IF(Dist="Normal",DistA+DistB*I3432,DistA+(DistB-DistA)*NORMSDIST(I3432)),"")</f>
        <v/>
      </c>
      <c r="K3432">
        <f>IF(B3432,INDEX(MineScale,C3432),"")</f>
        <v/>
      </c>
      <c r="L3432">
        <f>IF(B3432,INDEX(Dow,1,WEEKDAY(E3432,2)),"")</f>
        <v/>
      </c>
      <c r="M3432">
        <f>IF(B3432,(1+Trend)^D3432,"")</f>
        <v/>
      </c>
      <c r="N3432">
        <f>IF(B3432,EXP(SUMPRODUCT(LN(1+(EvEff-1)*INDEX(Affected,0,C3432)*EXP(-((E3432-EvCenter)^2)/(2*EvSigma^2))))),"")</f>
        <v/>
      </c>
      <c r="O3432">
        <f>IF(B3432,ROUND(MAX(0,J3432*K3432*L3432*M3432*N3432),2),"")</f>
        <v/>
      </c>
    </row>
    <row r="3433">
      <c r="A3433" t="n">
        <v>3432</v>
      </c>
      <c r="B3433">
        <f>A3433&lt;=MineCount*Days</f>
        <v/>
      </c>
      <c r="C3433">
        <f>IF(B3433,INT((A3433-1)/Days)+1,"")</f>
        <v/>
      </c>
      <c r="D3433">
        <f>IF(B3433,MOD(A3433-1,Days),"")</f>
        <v/>
      </c>
      <c r="E3433" s="16">
        <f>IF(B3433,StartDate+D3433,"")</f>
        <v/>
      </c>
      <c r="F3433">
        <f>IF(B3433,MAX(MOD(SIN(Seed*0.1373+C3433*12.9898+D3433*78.233)*43758.5453,1),1E-9),"")</f>
        <v/>
      </c>
      <c r="G3433">
        <f>IF(B3433,MOD(SIN(Seed*0.5917+C3433*39.3468+D3433*11.135)*24634.6345,1),"")</f>
        <v/>
      </c>
      <c r="H3433">
        <f>IF(B3433,SQRT(-2*LN(F3433))*COS(2*PI()*G3433),"")</f>
        <v/>
      </c>
      <c r="I3433">
        <f>IF(B3433,IF(D3433=0,H3433,Rho*I3432+SQRT(1-Rho^2)*H3433),"")</f>
        <v/>
      </c>
      <c r="J3433">
        <f>IF(B3433,IF(Dist="Normal",DistA+DistB*I3433,DistA+(DistB-DistA)*NORMSDIST(I3433)),"")</f>
        <v/>
      </c>
      <c r="K3433">
        <f>IF(B3433,INDEX(MineScale,C3433),"")</f>
        <v/>
      </c>
      <c r="L3433">
        <f>IF(B3433,INDEX(Dow,1,WEEKDAY(E3433,2)),"")</f>
        <v/>
      </c>
      <c r="M3433">
        <f>IF(B3433,(1+Trend)^D3433,"")</f>
        <v/>
      </c>
      <c r="N3433">
        <f>IF(B3433,EXP(SUMPRODUCT(LN(1+(EvEff-1)*INDEX(Affected,0,C3433)*EXP(-((E3433-EvCenter)^2)/(2*EvSigma^2))))),"")</f>
        <v/>
      </c>
      <c r="O3433">
        <f>IF(B3433,ROUND(MAX(0,J3433*K3433*L3433*M3433*N3433),2),"")</f>
        <v/>
      </c>
    </row>
    <row r="3434">
      <c r="A3434" t="n">
        <v>3433</v>
      </c>
      <c r="B3434">
        <f>A3434&lt;=MineCount*Days</f>
        <v/>
      </c>
      <c r="C3434">
        <f>IF(B3434,INT((A3434-1)/Days)+1,"")</f>
        <v/>
      </c>
      <c r="D3434">
        <f>IF(B3434,MOD(A3434-1,Days),"")</f>
        <v/>
      </c>
      <c r="E3434" s="16">
        <f>IF(B3434,StartDate+D3434,"")</f>
        <v/>
      </c>
      <c r="F3434">
        <f>IF(B3434,MAX(MOD(SIN(Seed*0.1373+C3434*12.9898+D3434*78.233)*43758.5453,1),1E-9),"")</f>
        <v/>
      </c>
      <c r="G3434">
        <f>IF(B3434,MOD(SIN(Seed*0.5917+C3434*39.3468+D3434*11.135)*24634.6345,1),"")</f>
        <v/>
      </c>
      <c r="H3434">
        <f>IF(B3434,SQRT(-2*LN(F3434))*COS(2*PI()*G3434),"")</f>
        <v/>
      </c>
      <c r="I3434">
        <f>IF(B3434,IF(D3434=0,H3434,Rho*I3433+SQRT(1-Rho^2)*H3434),"")</f>
        <v/>
      </c>
      <c r="J3434">
        <f>IF(B3434,IF(Dist="Normal",DistA+DistB*I3434,DistA+(DistB-DistA)*NORMSDIST(I3434)),"")</f>
        <v/>
      </c>
      <c r="K3434">
        <f>IF(B3434,INDEX(MineScale,C3434),"")</f>
        <v/>
      </c>
      <c r="L3434">
        <f>IF(B3434,INDEX(Dow,1,WEEKDAY(E3434,2)),"")</f>
        <v/>
      </c>
      <c r="M3434">
        <f>IF(B3434,(1+Trend)^D3434,"")</f>
        <v/>
      </c>
      <c r="N3434">
        <f>IF(B3434,EXP(SUMPRODUCT(LN(1+(EvEff-1)*INDEX(Affected,0,C3434)*EXP(-((E3434-EvCenter)^2)/(2*EvSigma^2))))),"")</f>
        <v/>
      </c>
      <c r="O3434">
        <f>IF(B3434,ROUND(MAX(0,J3434*K3434*L3434*M3434*N3434),2),"")</f>
        <v/>
      </c>
    </row>
    <row r="3435">
      <c r="A3435" t="n">
        <v>3434</v>
      </c>
      <c r="B3435">
        <f>A3435&lt;=MineCount*Days</f>
        <v/>
      </c>
      <c r="C3435">
        <f>IF(B3435,INT((A3435-1)/Days)+1,"")</f>
        <v/>
      </c>
      <c r="D3435">
        <f>IF(B3435,MOD(A3435-1,Days),"")</f>
        <v/>
      </c>
      <c r="E3435" s="16">
        <f>IF(B3435,StartDate+D3435,"")</f>
        <v/>
      </c>
      <c r="F3435">
        <f>IF(B3435,MAX(MOD(SIN(Seed*0.1373+C3435*12.9898+D3435*78.233)*43758.5453,1),1E-9),"")</f>
        <v/>
      </c>
      <c r="G3435">
        <f>IF(B3435,MOD(SIN(Seed*0.5917+C3435*39.3468+D3435*11.135)*24634.6345,1),"")</f>
        <v/>
      </c>
      <c r="H3435">
        <f>IF(B3435,SQRT(-2*LN(F3435))*COS(2*PI()*G3435),"")</f>
        <v/>
      </c>
      <c r="I3435">
        <f>IF(B3435,IF(D3435=0,H3435,Rho*I3434+SQRT(1-Rho^2)*H3435),"")</f>
        <v/>
      </c>
      <c r="J3435">
        <f>IF(B3435,IF(Dist="Normal",DistA+DistB*I3435,DistA+(DistB-DistA)*NORMSDIST(I3435)),"")</f>
        <v/>
      </c>
      <c r="K3435">
        <f>IF(B3435,INDEX(MineScale,C3435),"")</f>
        <v/>
      </c>
      <c r="L3435">
        <f>IF(B3435,INDEX(Dow,1,WEEKDAY(E3435,2)),"")</f>
        <v/>
      </c>
      <c r="M3435">
        <f>IF(B3435,(1+Trend)^D3435,"")</f>
        <v/>
      </c>
      <c r="N3435">
        <f>IF(B3435,EXP(SUMPRODUCT(LN(1+(EvEff-1)*INDEX(Affected,0,C3435)*EXP(-((E3435-EvCenter)^2)/(2*EvSigma^2))))),"")</f>
        <v/>
      </c>
      <c r="O3435">
        <f>IF(B3435,ROUND(MAX(0,J3435*K3435*L3435*M3435*N3435),2),"")</f>
        <v/>
      </c>
    </row>
    <row r="3436">
      <c r="A3436" t="n">
        <v>3435</v>
      </c>
      <c r="B3436">
        <f>A3436&lt;=MineCount*Days</f>
        <v/>
      </c>
      <c r="C3436">
        <f>IF(B3436,INT((A3436-1)/Days)+1,"")</f>
        <v/>
      </c>
      <c r="D3436">
        <f>IF(B3436,MOD(A3436-1,Days),"")</f>
        <v/>
      </c>
      <c r="E3436" s="16">
        <f>IF(B3436,StartDate+D3436,"")</f>
        <v/>
      </c>
      <c r="F3436">
        <f>IF(B3436,MAX(MOD(SIN(Seed*0.1373+C3436*12.9898+D3436*78.233)*43758.5453,1),1E-9),"")</f>
        <v/>
      </c>
      <c r="G3436">
        <f>IF(B3436,MOD(SIN(Seed*0.5917+C3436*39.3468+D3436*11.135)*24634.6345,1),"")</f>
        <v/>
      </c>
      <c r="H3436">
        <f>IF(B3436,SQRT(-2*LN(F3436))*COS(2*PI()*G3436),"")</f>
        <v/>
      </c>
      <c r="I3436">
        <f>IF(B3436,IF(D3436=0,H3436,Rho*I3435+SQRT(1-Rho^2)*H3436),"")</f>
        <v/>
      </c>
      <c r="J3436">
        <f>IF(B3436,IF(Dist="Normal",DistA+DistB*I3436,DistA+(DistB-DistA)*NORMSDIST(I3436)),"")</f>
        <v/>
      </c>
      <c r="K3436">
        <f>IF(B3436,INDEX(MineScale,C3436),"")</f>
        <v/>
      </c>
      <c r="L3436">
        <f>IF(B3436,INDEX(Dow,1,WEEKDAY(E3436,2)),"")</f>
        <v/>
      </c>
      <c r="M3436">
        <f>IF(B3436,(1+Trend)^D3436,"")</f>
        <v/>
      </c>
      <c r="N3436">
        <f>IF(B3436,EXP(SUMPRODUCT(LN(1+(EvEff-1)*INDEX(Affected,0,C3436)*EXP(-((E3436-EvCenter)^2)/(2*EvSigma^2))))),"")</f>
        <v/>
      </c>
      <c r="O3436">
        <f>IF(B3436,ROUND(MAX(0,J3436*K3436*L3436*M3436*N3436),2),"")</f>
        <v/>
      </c>
    </row>
    <row r="3437">
      <c r="A3437" t="n">
        <v>3436</v>
      </c>
      <c r="B3437">
        <f>A3437&lt;=MineCount*Days</f>
        <v/>
      </c>
      <c r="C3437">
        <f>IF(B3437,INT((A3437-1)/Days)+1,"")</f>
        <v/>
      </c>
      <c r="D3437">
        <f>IF(B3437,MOD(A3437-1,Days),"")</f>
        <v/>
      </c>
      <c r="E3437" s="16">
        <f>IF(B3437,StartDate+D3437,"")</f>
        <v/>
      </c>
      <c r="F3437">
        <f>IF(B3437,MAX(MOD(SIN(Seed*0.1373+C3437*12.9898+D3437*78.233)*43758.5453,1),1E-9),"")</f>
        <v/>
      </c>
      <c r="G3437">
        <f>IF(B3437,MOD(SIN(Seed*0.5917+C3437*39.3468+D3437*11.135)*24634.6345,1),"")</f>
        <v/>
      </c>
      <c r="H3437">
        <f>IF(B3437,SQRT(-2*LN(F3437))*COS(2*PI()*G3437),"")</f>
        <v/>
      </c>
      <c r="I3437">
        <f>IF(B3437,IF(D3437=0,H3437,Rho*I3436+SQRT(1-Rho^2)*H3437),"")</f>
        <v/>
      </c>
      <c r="J3437">
        <f>IF(B3437,IF(Dist="Normal",DistA+DistB*I3437,DistA+(DistB-DistA)*NORMSDIST(I3437)),"")</f>
        <v/>
      </c>
      <c r="K3437">
        <f>IF(B3437,INDEX(MineScale,C3437),"")</f>
        <v/>
      </c>
      <c r="L3437">
        <f>IF(B3437,INDEX(Dow,1,WEEKDAY(E3437,2)),"")</f>
        <v/>
      </c>
      <c r="M3437">
        <f>IF(B3437,(1+Trend)^D3437,"")</f>
        <v/>
      </c>
      <c r="N3437">
        <f>IF(B3437,EXP(SUMPRODUCT(LN(1+(EvEff-1)*INDEX(Affected,0,C3437)*EXP(-((E3437-EvCenter)^2)/(2*EvSigma^2))))),"")</f>
        <v/>
      </c>
      <c r="O3437">
        <f>IF(B3437,ROUND(MAX(0,J3437*K3437*L3437*M3437*N3437),2),"")</f>
        <v/>
      </c>
    </row>
    <row r="3438">
      <c r="A3438" t="n">
        <v>3437</v>
      </c>
      <c r="B3438">
        <f>A3438&lt;=MineCount*Days</f>
        <v/>
      </c>
      <c r="C3438">
        <f>IF(B3438,INT((A3438-1)/Days)+1,"")</f>
        <v/>
      </c>
      <c r="D3438">
        <f>IF(B3438,MOD(A3438-1,Days),"")</f>
        <v/>
      </c>
      <c r="E3438" s="16">
        <f>IF(B3438,StartDate+D3438,"")</f>
        <v/>
      </c>
      <c r="F3438">
        <f>IF(B3438,MAX(MOD(SIN(Seed*0.1373+C3438*12.9898+D3438*78.233)*43758.5453,1),1E-9),"")</f>
        <v/>
      </c>
      <c r="G3438">
        <f>IF(B3438,MOD(SIN(Seed*0.5917+C3438*39.3468+D3438*11.135)*24634.6345,1),"")</f>
        <v/>
      </c>
      <c r="H3438">
        <f>IF(B3438,SQRT(-2*LN(F3438))*COS(2*PI()*G3438),"")</f>
        <v/>
      </c>
      <c r="I3438">
        <f>IF(B3438,IF(D3438=0,H3438,Rho*I3437+SQRT(1-Rho^2)*H3438),"")</f>
        <v/>
      </c>
      <c r="J3438">
        <f>IF(B3438,IF(Dist="Normal",DistA+DistB*I3438,DistA+(DistB-DistA)*NORMSDIST(I3438)),"")</f>
        <v/>
      </c>
      <c r="K3438">
        <f>IF(B3438,INDEX(MineScale,C3438),"")</f>
        <v/>
      </c>
      <c r="L3438">
        <f>IF(B3438,INDEX(Dow,1,WEEKDAY(E3438,2)),"")</f>
        <v/>
      </c>
      <c r="M3438">
        <f>IF(B3438,(1+Trend)^D3438,"")</f>
        <v/>
      </c>
      <c r="N3438">
        <f>IF(B3438,EXP(SUMPRODUCT(LN(1+(EvEff-1)*INDEX(Affected,0,C3438)*EXP(-((E3438-EvCenter)^2)/(2*EvSigma^2))))),"")</f>
        <v/>
      </c>
      <c r="O3438">
        <f>IF(B3438,ROUND(MAX(0,J3438*K3438*L3438*M3438*N3438),2),"")</f>
        <v/>
      </c>
    </row>
    <row r="3439">
      <c r="A3439" t="n">
        <v>3438</v>
      </c>
      <c r="B3439">
        <f>A3439&lt;=MineCount*Days</f>
        <v/>
      </c>
      <c r="C3439">
        <f>IF(B3439,INT((A3439-1)/Days)+1,"")</f>
        <v/>
      </c>
      <c r="D3439">
        <f>IF(B3439,MOD(A3439-1,Days),"")</f>
        <v/>
      </c>
      <c r="E3439" s="16">
        <f>IF(B3439,StartDate+D3439,"")</f>
        <v/>
      </c>
      <c r="F3439">
        <f>IF(B3439,MAX(MOD(SIN(Seed*0.1373+C3439*12.9898+D3439*78.233)*43758.5453,1),1E-9),"")</f>
        <v/>
      </c>
      <c r="G3439">
        <f>IF(B3439,MOD(SIN(Seed*0.5917+C3439*39.3468+D3439*11.135)*24634.6345,1),"")</f>
        <v/>
      </c>
      <c r="H3439">
        <f>IF(B3439,SQRT(-2*LN(F3439))*COS(2*PI()*G3439),"")</f>
        <v/>
      </c>
      <c r="I3439">
        <f>IF(B3439,IF(D3439=0,H3439,Rho*I3438+SQRT(1-Rho^2)*H3439),"")</f>
        <v/>
      </c>
      <c r="J3439">
        <f>IF(B3439,IF(Dist="Normal",DistA+DistB*I3439,DistA+(DistB-DistA)*NORMSDIST(I3439)),"")</f>
        <v/>
      </c>
      <c r="K3439">
        <f>IF(B3439,INDEX(MineScale,C3439),"")</f>
        <v/>
      </c>
      <c r="L3439">
        <f>IF(B3439,INDEX(Dow,1,WEEKDAY(E3439,2)),"")</f>
        <v/>
      </c>
      <c r="M3439">
        <f>IF(B3439,(1+Trend)^D3439,"")</f>
        <v/>
      </c>
      <c r="N3439">
        <f>IF(B3439,EXP(SUMPRODUCT(LN(1+(EvEff-1)*INDEX(Affected,0,C3439)*EXP(-((E3439-EvCenter)^2)/(2*EvSigma^2))))),"")</f>
        <v/>
      </c>
      <c r="O3439">
        <f>IF(B3439,ROUND(MAX(0,J3439*K3439*L3439*M3439*N3439),2),"")</f>
        <v/>
      </c>
    </row>
    <row r="3440">
      <c r="A3440" t="n">
        <v>3439</v>
      </c>
      <c r="B3440">
        <f>A3440&lt;=MineCount*Days</f>
        <v/>
      </c>
      <c r="C3440">
        <f>IF(B3440,INT((A3440-1)/Days)+1,"")</f>
        <v/>
      </c>
      <c r="D3440">
        <f>IF(B3440,MOD(A3440-1,Days),"")</f>
        <v/>
      </c>
      <c r="E3440" s="16">
        <f>IF(B3440,StartDate+D3440,"")</f>
        <v/>
      </c>
      <c r="F3440">
        <f>IF(B3440,MAX(MOD(SIN(Seed*0.1373+C3440*12.9898+D3440*78.233)*43758.5453,1),1E-9),"")</f>
        <v/>
      </c>
      <c r="G3440">
        <f>IF(B3440,MOD(SIN(Seed*0.5917+C3440*39.3468+D3440*11.135)*24634.6345,1),"")</f>
        <v/>
      </c>
      <c r="H3440">
        <f>IF(B3440,SQRT(-2*LN(F3440))*COS(2*PI()*G3440),"")</f>
        <v/>
      </c>
      <c r="I3440">
        <f>IF(B3440,IF(D3440=0,H3440,Rho*I3439+SQRT(1-Rho^2)*H3440),"")</f>
        <v/>
      </c>
      <c r="J3440">
        <f>IF(B3440,IF(Dist="Normal",DistA+DistB*I3440,DistA+(DistB-DistA)*NORMSDIST(I3440)),"")</f>
        <v/>
      </c>
      <c r="K3440">
        <f>IF(B3440,INDEX(MineScale,C3440),"")</f>
        <v/>
      </c>
      <c r="L3440">
        <f>IF(B3440,INDEX(Dow,1,WEEKDAY(E3440,2)),"")</f>
        <v/>
      </c>
      <c r="M3440">
        <f>IF(B3440,(1+Trend)^D3440,"")</f>
        <v/>
      </c>
      <c r="N3440">
        <f>IF(B3440,EXP(SUMPRODUCT(LN(1+(EvEff-1)*INDEX(Affected,0,C3440)*EXP(-((E3440-EvCenter)^2)/(2*EvSigma^2))))),"")</f>
        <v/>
      </c>
      <c r="O3440">
        <f>IF(B3440,ROUND(MAX(0,J3440*K3440*L3440*M3440*N3440),2),"")</f>
        <v/>
      </c>
    </row>
    <row r="3441">
      <c r="A3441" t="n">
        <v>3440</v>
      </c>
      <c r="B3441">
        <f>A3441&lt;=MineCount*Days</f>
        <v/>
      </c>
      <c r="C3441">
        <f>IF(B3441,INT((A3441-1)/Days)+1,"")</f>
        <v/>
      </c>
      <c r="D3441">
        <f>IF(B3441,MOD(A3441-1,Days),"")</f>
        <v/>
      </c>
      <c r="E3441" s="16">
        <f>IF(B3441,StartDate+D3441,"")</f>
        <v/>
      </c>
      <c r="F3441">
        <f>IF(B3441,MAX(MOD(SIN(Seed*0.1373+C3441*12.9898+D3441*78.233)*43758.5453,1),1E-9),"")</f>
        <v/>
      </c>
      <c r="G3441">
        <f>IF(B3441,MOD(SIN(Seed*0.5917+C3441*39.3468+D3441*11.135)*24634.6345,1),"")</f>
        <v/>
      </c>
      <c r="H3441">
        <f>IF(B3441,SQRT(-2*LN(F3441))*COS(2*PI()*G3441),"")</f>
        <v/>
      </c>
      <c r="I3441">
        <f>IF(B3441,IF(D3441=0,H3441,Rho*I3440+SQRT(1-Rho^2)*H3441),"")</f>
        <v/>
      </c>
      <c r="J3441">
        <f>IF(B3441,IF(Dist="Normal",DistA+DistB*I3441,DistA+(DistB-DistA)*NORMSDIST(I3441)),"")</f>
        <v/>
      </c>
      <c r="K3441">
        <f>IF(B3441,INDEX(MineScale,C3441),"")</f>
        <v/>
      </c>
      <c r="L3441">
        <f>IF(B3441,INDEX(Dow,1,WEEKDAY(E3441,2)),"")</f>
        <v/>
      </c>
      <c r="M3441">
        <f>IF(B3441,(1+Trend)^D3441,"")</f>
        <v/>
      </c>
      <c r="N3441">
        <f>IF(B3441,EXP(SUMPRODUCT(LN(1+(EvEff-1)*INDEX(Affected,0,C3441)*EXP(-((E3441-EvCenter)^2)/(2*EvSigma^2))))),"")</f>
        <v/>
      </c>
      <c r="O3441">
        <f>IF(B3441,ROUND(MAX(0,J3441*K3441*L3441*M3441*N3441),2),"")</f>
        <v/>
      </c>
    </row>
    <row r="3442">
      <c r="A3442" t="n">
        <v>3441</v>
      </c>
      <c r="B3442">
        <f>A3442&lt;=MineCount*Days</f>
        <v/>
      </c>
      <c r="C3442">
        <f>IF(B3442,INT((A3442-1)/Days)+1,"")</f>
        <v/>
      </c>
      <c r="D3442">
        <f>IF(B3442,MOD(A3442-1,Days),"")</f>
        <v/>
      </c>
      <c r="E3442" s="16">
        <f>IF(B3442,StartDate+D3442,"")</f>
        <v/>
      </c>
      <c r="F3442">
        <f>IF(B3442,MAX(MOD(SIN(Seed*0.1373+C3442*12.9898+D3442*78.233)*43758.5453,1),1E-9),"")</f>
        <v/>
      </c>
      <c r="G3442">
        <f>IF(B3442,MOD(SIN(Seed*0.5917+C3442*39.3468+D3442*11.135)*24634.6345,1),"")</f>
        <v/>
      </c>
      <c r="H3442">
        <f>IF(B3442,SQRT(-2*LN(F3442))*COS(2*PI()*G3442),"")</f>
        <v/>
      </c>
      <c r="I3442">
        <f>IF(B3442,IF(D3442=0,H3442,Rho*I3441+SQRT(1-Rho^2)*H3442),"")</f>
        <v/>
      </c>
      <c r="J3442">
        <f>IF(B3442,IF(Dist="Normal",DistA+DistB*I3442,DistA+(DistB-DistA)*NORMSDIST(I3442)),"")</f>
        <v/>
      </c>
      <c r="K3442">
        <f>IF(B3442,INDEX(MineScale,C3442),"")</f>
        <v/>
      </c>
      <c r="L3442">
        <f>IF(B3442,INDEX(Dow,1,WEEKDAY(E3442,2)),"")</f>
        <v/>
      </c>
      <c r="M3442">
        <f>IF(B3442,(1+Trend)^D3442,"")</f>
        <v/>
      </c>
      <c r="N3442">
        <f>IF(B3442,EXP(SUMPRODUCT(LN(1+(EvEff-1)*INDEX(Affected,0,C3442)*EXP(-((E3442-EvCenter)^2)/(2*EvSigma^2))))),"")</f>
        <v/>
      </c>
      <c r="O3442">
        <f>IF(B3442,ROUND(MAX(0,J3442*K3442*L3442*M3442*N3442),2),"")</f>
        <v/>
      </c>
    </row>
    <row r="3443">
      <c r="A3443" t="n">
        <v>3442</v>
      </c>
      <c r="B3443">
        <f>A3443&lt;=MineCount*Days</f>
        <v/>
      </c>
      <c r="C3443">
        <f>IF(B3443,INT((A3443-1)/Days)+1,"")</f>
        <v/>
      </c>
      <c r="D3443">
        <f>IF(B3443,MOD(A3443-1,Days),"")</f>
        <v/>
      </c>
      <c r="E3443" s="16">
        <f>IF(B3443,StartDate+D3443,"")</f>
        <v/>
      </c>
      <c r="F3443">
        <f>IF(B3443,MAX(MOD(SIN(Seed*0.1373+C3443*12.9898+D3443*78.233)*43758.5453,1),1E-9),"")</f>
        <v/>
      </c>
      <c r="G3443">
        <f>IF(B3443,MOD(SIN(Seed*0.5917+C3443*39.3468+D3443*11.135)*24634.6345,1),"")</f>
        <v/>
      </c>
      <c r="H3443">
        <f>IF(B3443,SQRT(-2*LN(F3443))*COS(2*PI()*G3443),"")</f>
        <v/>
      </c>
      <c r="I3443">
        <f>IF(B3443,IF(D3443=0,H3443,Rho*I3442+SQRT(1-Rho^2)*H3443),"")</f>
        <v/>
      </c>
      <c r="J3443">
        <f>IF(B3443,IF(Dist="Normal",DistA+DistB*I3443,DistA+(DistB-DistA)*NORMSDIST(I3443)),"")</f>
        <v/>
      </c>
      <c r="K3443">
        <f>IF(B3443,INDEX(MineScale,C3443),"")</f>
        <v/>
      </c>
      <c r="L3443">
        <f>IF(B3443,INDEX(Dow,1,WEEKDAY(E3443,2)),"")</f>
        <v/>
      </c>
      <c r="M3443">
        <f>IF(B3443,(1+Trend)^D3443,"")</f>
        <v/>
      </c>
      <c r="N3443">
        <f>IF(B3443,EXP(SUMPRODUCT(LN(1+(EvEff-1)*INDEX(Affected,0,C3443)*EXP(-((E3443-EvCenter)^2)/(2*EvSigma^2))))),"")</f>
        <v/>
      </c>
      <c r="O3443">
        <f>IF(B3443,ROUND(MAX(0,J3443*K3443*L3443*M3443*N3443),2),"")</f>
        <v/>
      </c>
    </row>
    <row r="3444">
      <c r="A3444" t="n">
        <v>3443</v>
      </c>
      <c r="B3444">
        <f>A3444&lt;=MineCount*Days</f>
        <v/>
      </c>
      <c r="C3444">
        <f>IF(B3444,INT((A3444-1)/Days)+1,"")</f>
        <v/>
      </c>
      <c r="D3444">
        <f>IF(B3444,MOD(A3444-1,Days),"")</f>
        <v/>
      </c>
      <c r="E3444" s="16">
        <f>IF(B3444,StartDate+D3444,"")</f>
        <v/>
      </c>
      <c r="F3444">
        <f>IF(B3444,MAX(MOD(SIN(Seed*0.1373+C3444*12.9898+D3444*78.233)*43758.5453,1),1E-9),"")</f>
        <v/>
      </c>
      <c r="G3444">
        <f>IF(B3444,MOD(SIN(Seed*0.5917+C3444*39.3468+D3444*11.135)*24634.6345,1),"")</f>
        <v/>
      </c>
      <c r="H3444">
        <f>IF(B3444,SQRT(-2*LN(F3444))*COS(2*PI()*G3444),"")</f>
        <v/>
      </c>
      <c r="I3444">
        <f>IF(B3444,IF(D3444=0,H3444,Rho*I3443+SQRT(1-Rho^2)*H3444),"")</f>
        <v/>
      </c>
      <c r="J3444">
        <f>IF(B3444,IF(Dist="Normal",DistA+DistB*I3444,DistA+(DistB-DistA)*NORMSDIST(I3444)),"")</f>
        <v/>
      </c>
      <c r="K3444">
        <f>IF(B3444,INDEX(MineScale,C3444),"")</f>
        <v/>
      </c>
      <c r="L3444">
        <f>IF(B3444,INDEX(Dow,1,WEEKDAY(E3444,2)),"")</f>
        <v/>
      </c>
      <c r="M3444">
        <f>IF(B3444,(1+Trend)^D3444,"")</f>
        <v/>
      </c>
      <c r="N3444">
        <f>IF(B3444,EXP(SUMPRODUCT(LN(1+(EvEff-1)*INDEX(Affected,0,C3444)*EXP(-((E3444-EvCenter)^2)/(2*EvSigma^2))))),"")</f>
        <v/>
      </c>
      <c r="O3444">
        <f>IF(B3444,ROUND(MAX(0,J3444*K3444*L3444*M3444*N3444),2),"")</f>
        <v/>
      </c>
    </row>
    <row r="3445">
      <c r="A3445" t="n">
        <v>3444</v>
      </c>
      <c r="B3445">
        <f>A3445&lt;=MineCount*Days</f>
        <v/>
      </c>
      <c r="C3445">
        <f>IF(B3445,INT((A3445-1)/Days)+1,"")</f>
        <v/>
      </c>
      <c r="D3445">
        <f>IF(B3445,MOD(A3445-1,Days),"")</f>
        <v/>
      </c>
      <c r="E3445" s="16">
        <f>IF(B3445,StartDate+D3445,"")</f>
        <v/>
      </c>
      <c r="F3445">
        <f>IF(B3445,MAX(MOD(SIN(Seed*0.1373+C3445*12.9898+D3445*78.233)*43758.5453,1),1E-9),"")</f>
        <v/>
      </c>
      <c r="G3445">
        <f>IF(B3445,MOD(SIN(Seed*0.5917+C3445*39.3468+D3445*11.135)*24634.6345,1),"")</f>
        <v/>
      </c>
      <c r="H3445">
        <f>IF(B3445,SQRT(-2*LN(F3445))*COS(2*PI()*G3445),"")</f>
        <v/>
      </c>
      <c r="I3445">
        <f>IF(B3445,IF(D3445=0,H3445,Rho*I3444+SQRT(1-Rho^2)*H3445),"")</f>
        <v/>
      </c>
      <c r="J3445">
        <f>IF(B3445,IF(Dist="Normal",DistA+DistB*I3445,DistA+(DistB-DistA)*NORMSDIST(I3445)),"")</f>
        <v/>
      </c>
      <c r="K3445">
        <f>IF(B3445,INDEX(MineScale,C3445),"")</f>
        <v/>
      </c>
      <c r="L3445">
        <f>IF(B3445,INDEX(Dow,1,WEEKDAY(E3445,2)),"")</f>
        <v/>
      </c>
      <c r="M3445">
        <f>IF(B3445,(1+Trend)^D3445,"")</f>
        <v/>
      </c>
      <c r="N3445">
        <f>IF(B3445,EXP(SUMPRODUCT(LN(1+(EvEff-1)*INDEX(Affected,0,C3445)*EXP(-((E3445-EvCenter)^2)/(2*EvSigma^2))))),"")</f>
        <v/>
      </c>
      <c r="O3445">
        <f>IF(B3445,ROUND(MAX(0,J3445*K3445*L3445*M3445*N3445),2),"")</f>
        <v/>
      </c>
    </row>
    <row r="3446">
      <c r="A3446" t="n">
        <v>3445</v>
      </c>
      <c r="B3446">
        <f>A3446&lt;=MineCount*Days</f>
        <v/>
      </c>
      <c r="C3446">
        <f>IF(B3446,INT((A3446-1)/Days)+1,"")</f>
        <v/>
      </c>
      <c r="D3446">
        <f>IF(B3446,MOD(A3446-1,Days),"")</f>
        <v/>
      </c>
      <c r="E3446" s="16">
        <f>IF(B3446,StartDate+D3446,"")</f>
        <v/>
      </c>
      <c r="F3446">
        <f>IF(B3446,MAX(MOD(SIN(Seed*0.1373+C3446*12.9898+D3446*78.233)*43758.5453,1),1E-9),"")</f>
        <v/>
      </c>
      <c r="G3446">
        <f>IF(B3446,MOD(SIN(Seed*0.5917+C3446*39.3468+D3446*11.135)*24634.6345,1),"")</f>
        <v/>
      </c>
      <c r="H3446">
        <f>IF(B3446,SQRT(-2*LN(F3446))*COS(2*PI()*G3446),"")</f>
        <v/>
      </c>
      <c r="I3446">
        <f>IF(B3446,IF(D3446=0,H3446,Rho*I3445+SQRT(1-Rho^2)*H3446),"")</f>
        <v/>
      </c>
      <c r="J3446">
        <f>IF(B3446,IF(Dist="Normal",DistA+DistB*I3446,DistA+(DistB-DistA)*NORMSDIST(I3446)),"")</f>
        <v/>
      </c>
      <c r="K3446">
        <f>IF(B3446,INDEX(MineScale,C3446),"")</f>
        <v/>
      </c>
      <c r="L3446">
        <f>IF(B3446,INDEX(Dow,1,WEEKDAY(E3446,2)),"")</f>
        <v/>
      </c>
      <c r="M3446">
        <f>IF(B3446,(1+Trend)^D3446,"")</f>
        <v/>
      </c>
      <c r="N3446">
        <f>IF(B3446,EXP(SUMPRODUCT(LN(1+(EvEff-1)*INDEX(Affected,0,C3446)*EXP(-((E3446-EvCenter)^2)/(2*EvSigma^2))))),"")</f>
        <v/>
      </c>
      <c r="O3446">
        <f>IF(B3446,ROUND(MAX(0,J3446*K3446*L3446*M3446*N3446),2),"")</f>
        <v/>
      </c>
    </row>
    <row r="3447">
      <c r="A3447" t="n">
        <v>3446</v>
      </c>
      <c r="B3447">
        <f>A3447&lt;=MineCount*Days</f>
        <v/>
      </c>
      <c r="C3447">
        <f>IF(B3447,INT((A3447-1)/Days)+1,"")</f>
        <v/>
      </c>
      <c r="D3447">
        <f>IF(B3447,MOD(A3447-1,Days),"")</f>
        <v/>
      </c>
      <c r="E3447" s="16">
        <f>IF(B3447,StartDate+D3447,"")</f>
        <v/>
      </c>
      <c r="F3447">
        <f>IF(B3447,MAX(MOD(SIN(Seed*0.1373+C3447*12.9898+D3447*78.233)*43758.5453,1),1E-9),"")</f>
        <v/>
      </c>
      <c r="G3447">
        <f>IF(B3447,MOD(SIN(Seed*0.5917+C3447*39.3468+D3447*11.135)*24634.6345,1),"")</f>
        <v/>
      </c>
      <c r="H3447">
        <f>IF(B3447,SQRT(-2*LN(F3447))*COS(2*PI()*G3447),"")</f>
        <v/>
      </c>
      <c r="I3447">
        <f>IF(B3447,IF(D3447=0,H3447,Rho*I3446+SQRT(1-Rho^2)*H3447),"")</f>
        <v/>
      </c>
      <c r="J3447">
        <f>IF(B3447,IF(Dist="Normal",DistA+DistB*I3447,DistA+(DistB-DistA)*NORMSDIST(I3447)),"")</f>
        <v/>
      </c>
      <c r="K3447">
        <f>IF(B3447,INDEX(MineScale,C3447),"")</f>
        <v/>
      </c>
      <c r="L3447">
        <f>IF(B3447,INDEX(Dow,1,WEEKDAY(E3447,2)),"")</f>
        <v/>
      </c>
      <c r="M3447">
        <f>IF(B3447,(1+Trend)^D3447,"")</f>
        <v/>
      </c>
      <c r="N3447">
        <f>IF(B3447,EXP(SUMPRODUCT(LN(1+(EvEff-1)*INDEX(Affected,0,C3447)*EXP(-((E3447-EvCenter)^2)/(2*EvSigma^2))))),"")</f>
        <v/>
      </c>
      <c r="O3447">
        <f>IF(B3447,ROUND(MAX(0,J3447*K3447*L3447*M3447*N3447),2),"")</f>
        <v/>
      </c>
    </row>
    <row r="3448">
      <c r="A3448" t="n">
        <v>3447</v>
      </c>
      <c r="B3448">
        <f>A3448&lt;=MineCount*Days</f>
        <v/>
      </c>
      <c r="C3448">
        <f>IF(B3448,INT((A3448-1)/Days)+1,"")</f>
        <v/>
      </c>
      <c r="D3448">
        <f>IF(B3448,MOD(A3448-1,Days),"")</f>
        <v/>
      </c>
      <c r="E3448" s="16">
        <f>IF(B3448,StartDate+D3448,"")</f>
        <v/>
      </c>
      <c r="F3448">
        <f>IF(B3448,MAX(MOD(SIN(Seed*0.1373+C3448*12.9898+D3448*78.233)*43758.5453,1),1E-9),"")</f>
        <v/>
      </c>
      <c r="G3448">
        <f>IF(B3448,MOD(SIN(Seed*0.5917+C3448*39.3468+D3448*11.135)*24634.6345,1),"")</f>
        <v/>
      </c>
      <c r="H3448">
        <f>IF(B3448,SQRT(-2*LN(F3448))*COS(2*PI()*G3448),"")</f>
        <v/>
      </c>
      <c r="I3448">
        <f>IF(B3448,IF(D3448=0,H3448,Rho*I3447+SQRT(1-Rho^2)*H3448),"")</f>
        <v/>
      </c>
      <c r="J3448">
        <f>IF(B3448,IF(Dist="Normal",DistA+DistB*I3448,DistA+(DistB-DistA)*NORMSDIST(I3448)),"")</f>
        <v/>
      </c>
      <c r="K3448">
        <f>IF(B3448,INDEX(MineScale,C3448),"")</f>
        <v/>
      </c>
      <c r="L3448">
        <f>IF(B3448,INDEX(Dow,1,WEEKDAY(E3448,2)),"")</f>
        <v/>
      </c>
      <c r="M3448">
        <f>IF(B3448,(1+Trend)^D3448,"")</f>
        <v/>
      </c>
      <c r="N3448">
        <f>IF(B3448,EXP(SUMPRODUCT(LN(1+(EvEff-1)*INDEX(Affected,0,C3448)*EXP(-((E3448-EvCenter)^2)/(2*EvSigma^2))))),"")</f>
        <v/>
      </c>
      <c r="O3448">
        <f>IF(B3448,ROUND(MAX(0,J3448*K3448*L3448*M3448*N3448),2),"")</f>
        <v/>
      </c>
    </row>
    <row r="3449">
      <c r="A3449" t="n">
        <v>3448</v>
      </c>
      <c r="B3449">
        <f>A3449&lt;=MineCount*Days</f>
        <v/>
      </c>
      <c r="C3449">
        <f>IF(B3449,INT((A3449-1)/Days)+1,"")</f>
        <v/>
      </c>
      <c r="D3449">
        <f>IF(B3449,MOD(A3449-1,Days),"")</f>
        <v/>
      </c>
      <c r="E3449" s="16">
        <f>IF(B3449,StartDate+D3449,"")</f>
        <v/>
      </c>
      <c r="F3449">
        <f>IF(B3449,MAX(MOD(SIN(Seed*0.1373+C3449*12.9898+D3449*78.233)*43758.5453,1),1E-9),"")</f>
        <v/>
      </c>
      <c r="G3449">
        <f>IF(B3449,MOD(SIN(Seed*0.5917+C3449*39.3468+D3449*11.135)*24634.6345,1),"")</f>
        <v/>
      </c>
      <c r="H3449">
        <f>IF(B3449,SQRT(-2*LN(F3449))*COS(2*PI()*G3449),"")</f>
        <v/>
      </c>
      <c r="I3449">
        <f>IF(B3449,IF(D3449=0,H3449,Rho*I3448+SQRT(1-Rho^2)*H3449),"")</f>
        <v/>
      </c>
      <c r="J3449">
        <f>IF(B3449,IF(Dist="Normal",DistA+DistB*I3449,DistA+(DistB-DistA)*NORMSDIST(I3449)),"")</f>
        <v/>
      </c>
      <c r="K3449">
        <f>IF(B3449,INDEX(MineScale,C3449),"")</f>
        <v/>
      </c>
      <c r="L3449">
        <f>IF(B3449,INDEX(Dow,1,WEEKDAY(E3449,2)),"")</f>
        <v/>
      </c>
      <c r="M3449">
        <f>IF(B3449,(1+Trend)^D3449,"")</f>
        <v/>
      </c>
      <c r="N3449">
        <f>IF(B3449,EXP(SUMPRODUCT(LN(1+(EvEff-1)*INDEX(Affected,0,C3449)*EXP(-((E3449-EvCenter)^2)/(2*EvSigma^2))))),"")</f>
        <v/>
      </c>
      <c r="O3449">
        <f>IF(B3449,ROUND(MAX(0,J3449*K3449*L3449*M3449*N3449),2),"")</f>
        <v/>
      </c>
    </row>
    <row r="3450">
      <c r="A3450" t="n">
        <v>3449</v>
      </c>
      <c r="B3450">
        <f>A3450&lt;=MineCount*Days</f>
        <v/>
      </c>
      <c r="C3450">
        <f>IF(B3450,INT((A3450-1)/Days)+1,"")</f>
        <v/>
      </c>
      <c r="D3450">
        <f>IF(B3450,MOD(A3450-1,Days),"")</f>
        <v/>
      </c>
      <c r="E3450" s="16">
        <f>IF(B3450,StartDate+D3450,"")</f>
        <v/>
      </c>
      <c r="F3450">
        <f>IF(B3450,MAX(MOD(SIN(Seed*0.1373+C3450*12.9898+D3450*78.233)*43758.5453,1),1E-9),"")</f>
        <v/>
      </c>
      <c r="G3450">
        <f>IF(B3450,MOD(SIN(Seed*0.5917+C3450*39.3468+D3450*11.135)*24634.6345,1),"")</f>
        <v/>
      </c>
      <c r="H3450">
        <f>IF(B3450,SQRT(-2*LN(F3450))*COS(2*PI()*G3450),"")</f>
        <v/>
      </c>
      <c r="I3450">
        <f>IF(B3450,IF(D3450=0,H3450,Rho*I3449+SQRT(1-Rho^2)*H3450),"")</f>
        <v/>
      </c>
      <c r="J3450">
        <f>IF(B3450,IF(Dist="Normal",DistA+DistB*I3450,DistA+(DistB-DistA)*NORMSDIST(I3450)),"")</f>
        <v/>
      </c>
      <c r="K3450">
        <f>IF(B3450,INDEX(MineScale,C3450),"")</f>
        <v/>
      </c>
      <c r="L3450">
        <f>IF(B3450,INDEX(Dow,1,WEEKDAY(E3450,2)),"")</f>
        <v/>
      </c>
      <c r="M3450">
        <f>IF(B3450,(1+Trend)^D3450,"")</f>
        <v/>
      </c>
      <c r="N3450">
        <f>IF(B3450,EXP(SUMPRODUCT(LN(1+(EvEff-1)*INDEX(Affected,0,C3450)*EXP(-((E3450-EvCenter)^2)/(2*EvSigma^2))))),"")</f>
        <v/>
      </c>
      <c r="O3450">
        <f>IF(B3450,ROUND(MAX(0,J3450*K3450*L3450*M3450*N3450),2),"")</f>
        <v/>
      </c>
    </row>
    <row r="3451">
      <c r="A3451" t="n">
        <v>3450</v>
      </c>
      <c r="B3451">
        <f>A3451&lt;=MineCount*Days</f>
        <v/>
      </c>
      <c r="C3451">
        <f>IF(B3451,INT((A3451-1)/Days)+1,"")</f>
        <v/>
      </c>
      <c r="D3451">
        <f>IF(B3451,MOD(A3451-1,Days),"")</f>
        <v/>
      </c>
      <c r="E3451" s="16">
        <f>IF(B3451,StartDate+D3451,"")</f>
        <v/>
      </c>
      <c r="F3451">
        <f>IF(B3451,MAX(MOD(SIN(Seed*0.1373+C3451*12.9898+D3451*78.233)*43758.5453,1),1E-9),"")</f>
        <v/>
      </c>
      <c r="G3451">
        <f>IF(B3451,MOD(SIN(Seed*0.5917+C3451*39.3468+D3451*11.135)*24634.6345,1),"")</f>
        <v/>
      </c>
      <c r="H3451">
        <f>IF(B3451,SQRT(-2*LN(F3451))*COS(2*PI()*G3451),"")</f>
        <v/>
      </c>
      <c r="I3451">
        <f>IF(B3451,IF(D3451=0,H3451,Rho*I3450+SQRT(1-Rho^2)*H3451),"")</f>
        <v/>
      </c>
      <c r="J3451">
        <f>IF(B3451,IF(Dist="Normal",DistA+DistB*I3451,DistA+(DistB-DistA)*NORMSDIST(I3451)),"")</f>
        <v/>
      </c>
      <c r="K3451">
        <f>IF(B3451,INDEX(MineScale,C3451),"")</f>
        <v/>
      </c>
      <c r="L3451">
        <f>IF(B3451,INDEX(Dow,1,WEEKDAY(E3451,2)),"")</f>
        <v/>
      </c>
      <c r="M3451">
        <f>IF(B3451,(1+Trend)^D3451,"")</f>
        <v/>
      </c>
      <c r="N3451">
        <f>IF(B3451,EXP(SUMPRODUCT(LN(1+(EvEff-1)*INDEX(Affected,0,C3451)*EXP(-((E3451-EvCenter)^2)/(2*EvSigma^2))))),"")</f>
        <v/>
      </c>
      <c r="O3451">
        <f>IF(B3451,ROUND(MAX(0,J3451*K3451*L3451*M3451*N3451),2),"")</f>
        <v/>
      </c>
    </row>
    <row r="3452">
      <c r="A3452" t="n">
        <v>3451</v>
      </c>
      <c r="B3452">
        <f>A3452&lt;=MineCount*Days</f>
        <v/>
      </c>
      <c r="C3452">
        <f>IF(B3452,INT((A3452-1)/Days)+1,"")</f>
        <v/>
      </c>
      <c r="D3452">
        <f>IF(B3452,MOD(A3452-1,Days),"")</f>
        <v/>
      </c>
      <c r="E3452" s="16">
        <f>IF(B3452,StartDate+D3452,"")</f>
        <v/>
      </c>
      <c r="F3452">
        <f>IF(B3452,MAX(MOD(SIN(Seed*0.1373+C3452*12.9898+D3452*78.233)*43758.5453,1),1E-9),"")</f>
        <v/>
      </c>
      <c r="G3452">
        <f>IF(B3452,MOD(SIN(Seed*0.5917+C3452*39.3468+D3452*11.135)*24634.6345,1),"")</f>
        <v/>
      </c>
      <c r="H3452">
        <f>IF(B3452,SQRT(-2*LN(F3452))*COS(2*PI()*G3452),"")</f>
        <v/>
      </c>
      <c r="I3452">
        <f>IF(B3452,IF(D3452=0,H3452,Rho*I3451+SQRT(1-Rho^2)*H3452),"")</f>
        <v/>
      </c>
      <c r="J3452">
        <f>IF(B3452,IF(Dist="Normal",DistA+DistB*I3452,DistA+(DistB-DistA)*NORMSDIST(I3452)),"")</f>
        <v/>
      </c>
      <c r="K3452">
        <f>IF(B3452,INDEX(MineScale,C3452),"")</f>
        <v/>
      </c>
      <c r="L3452">
        <f>IF(B3452,INDEX(Dow,1,WEEKDAY(E3452,2)),"")</f>
        <v/>
      </c>
      <c r="M3452">
        <f>IF(B3452,(1+Trend)^D3452,"")</f>
        <v/>
      </c>
      <c r="N3452">
        <f>IF(B3452,EXP(SUMPRODUCT(LN(1+(EvEff-1)*INDEX(Affected,0,C3452)*EXP(-((E3452-EvCenter)^2)/(2*EvSigma^2))))),"")</f>
        <v/>
      </c>
      <c r="O3452">
        <f>IF(B3452,ROUND(MAX(0,J3452*K3452*L3452*M3452*N3452),2),"")</f>
        <v/>
      </c>
    </row>
    <row r="3453">
      <c r="A3453" t="n">
        <v>3452</v>
      </c>
      <c r="B3453">
        <f>A3453&lt;=MineCount*Days</f>
        <v/>
      </c>
      <c r="C3453">
        <f>IF(B3453,INT((A3453-1)/Days)+1,"")</f>
        <v/>
      </c>
      <c r="D3453">
        <f>IF(B3453,MOD(A3453-1,Days),"")</f>
        <v/>
      </c>
      <c r="E3453" s="16">
        <f>IF(B3453,StartDate+D3453,"")</f>
        <v/>
      </c>
      <c r="F3453">
        <f>IF(B3453,MAX(MOD(SIN(Seed*0.1373+C3453*12.9898+D3453*78.233)*43758.5453,1),1E-9),"")</f>
        <v/>
      </c>
      <c r="G3453">
        <f>IF(B3453,MOD(SIN(Seed*0.5917+C3453*39.3468+D3453*11.135)*24634.6345,1),"")</f>
        <v/>
      </c>
      <c r="H3453">
        <f>IF(B3453,SQRT(-2*LN(F3453))*COS(2*PI()*G3453),"")</f>
        <v/>
      </c>
      <c r="I3453">
        <f>IF(B3453,IF(D3453=0,H3453,Rho*I3452+SQRT(1-Rho^2)*H3453),"")</f>
        <v/>
      </c>
      <c r="J3453">
        <f>IF(B3453,IF(Dist="Normal",DistA+DistB*I3453,DistA+(DistB-DistA)*NORMSDIST(I3453)),"")</f>
        <v/>
      </c>
      <c r="K3453">
        <f>IF(B3453,INDEX(MineScale,C3453),"")</f>
        <v/>
      </c>
      <c r="L3453">
        <f>IF(B3453,INDEX(Dow,1,WEEKDAY(E3453,2)),"")</f>
        <v/>
      </c>
      <c r="M3453">
        <f>IF(B3453,(1+Trend)^D3453,"")</f>
        <v/>
      </c>
      <c r="N3453">
        <f>IF(B3453,EXP(SUMPRODUCT(LN(1+(EvEff-1)*INDEX(Affected,0,C3453)*EXP(-((E3453-EvCenter)^2)/(2*EvSigma^2))))),"")</f>
        <v/>
      </c>
      <c r="O3453">
        <f>IF(B3453,ROUND(MAX(0,J3453*K3453*L3453*M3453*N3453),2),"")</f>
        <v/>
      </c>
    </row>
    <row r="3454">
      <c r="A3454" t="n">
        <v>3453</v>
      </c>
      <c r="B3454">
        <f>A3454&lt;=MineCount*Days</f>
        <v/>
      </c>
      <c r="C3454">
        <f>IF(B3454,INT((A3454-1)/Days)+1,"")</f>
        <v/>
      </c>
      <c r="D3454">
        <f>IF(B3454,MOD(A3454-1,Days),"")</f>
        <v/>
      </c>
      <c r="E3454" s="16">
        <f>IF(B3454,StartDate+D3454,"")</f>
        <v/>
      </c>
      <c r="F3454">
        <f>IF(B3454,MAX(MOD(SIN(Seed*0.1373+C3454*12.9898+D3454*78.233)*43758.5453,1),1E-9),"")</f>
        <v/>
      </c>
      <c r="G3454">
        <f>IF(B3454,MOD(SIN(Seed*0.5917+C3454*39.3468+D3454*11.135)*24634.6345,1),"")</f>
        <v/>
      </c>
      <c r="H3454">
        <f>IF(B3454,SQRT(-2*LN(F3454))*COS(2*PI()*G3454),"")</f>
        <v/>
      </c>
      <c r="I3454">
        <f>IF(B3454,IF(D3454=0,H3454,Rho*I3453+SQRT(1-Rho^2)*H3454),"")</f>
        <v/>
      </c>
      <c r="J3454">
        <f>IF(B3454,IF(Dist="Normal",DistA+DistB*I3454,DistA+(DistB-DistA)*NORMSDIST(I3454)),"")</f>
        <v/>
      </c>
      <c r="K3454">
        <f>IF(B3454,INDEX(MineScale,C3454),"")</f>
        <v/>
      </c>
      <c r="L3454">
        <f>IF(B3454,INDEX(Dow,1,WEEKDAY(E3454,2)),"")</f>
        <v/>
      </c>
      <c r="M3454">
        <f>IF(B3454,(1+Trend)^D3454,"")</f>
        <v/>
      </c>
      <c r="N3454">
        <f>IF(B3454,EXP(SUMPRODUCT(LN(1+(EvEff-1)*INDEX(Affected,0,C3454)*EXP(-((E3454-EvCenter)^2)/(2*EvSigma^2))))),"")</f>
        <v/>
      </c>
      <c r="O3454">
        <f>IF(B3454,ROUND(MAX(0,J3454*K3454*L3454*M3454*N3454),2),"")</f>
        <v/>
      </c>
    </row>
    <row r="3455">
      <c r="A3455" t="n">
        <v>3454</v>
      </c>
      <c r="B3455">
        <f>A3455&lt;=MineCount*Days</f>
        <v/>
      </c>
      <c r="C3455">
        <f>IF(B3455,INT((A3455-1)/Days)+1,"")</f>
        <v/>
      </c>
      <c r="D3455">
        <f>IF(B3455,MOD(A3455-1,Days),"")</f>
        <v/>
      </c>
      <c r="E3455" s="16">
        <f>IF(B3455,StartDate+D3455,"")</f>
        <v/>
      </c>
      <c r="F3455">
        <f>IF(B3455,MAX(MOD(SIN(Seed*0.1373+C3455*12.9898+D3455*78.233)*43758.5453,1),1E-9),"")</f>
        <v/>
      </c>
      <c r="G3455">
        <f>IF(B3455,MOD(SIN(Seed*0.5917+C3455*39.3468+D3455*11.135)*24634.6345,1),"")</f>
        <v/>
      </c>
      <c r="H3455">
        <f>IF(B3455,SQRT(-2*LN(F3455))*COS(2*PI()*G3455),"")</f>
        <v/>
      </c>
      <c r="I3455">
        <f>IF(B3455,IF(D3455=0,H3455,Rho*I3454+SQRT(1-Rho^2)*H3455),"")</f>
        <v/>
      </c>
      <c r="J3455">
        <f>IF(B3455,IF(Dist="Normal",DistA+DistB*I3455,DistA+(DistB-DistA)*NORMSDIST(I3455)),"")</f>
        <v/>
      </c>
      <c r="K3455">
        <f>IF(B3455,INDEX(MineScale,C3455),"")</f>
        <v/>
      </c>
      <c r="L3455">
        <f>IF(B3455,INDEX(Dow,1,WEEKDAY(E3455,2)),"")</f>
        <v/>
      </c>
      <c r="M3455">
        <f>IF(B3455,(1+Trend)^D3455,"")</f>
        <v/>
      </c>
      <c r="N3455">
        <f>IF(B3455,EXP(SUMPRODUCT(LN(1+(EvEff-1)*INDEX(Affected,0,C3455)*EXP(-((E3455-EvCenter)^2)/(2*EvSigma^2))))),"")</f>
        <v/>
      </c>
      <c r="O3455">
        <f>IF(B3455,ROUND(MAX(0,J3455*K3455*L3455*M3455*N3455),2),"")</f>
        <v/>
      </c>
    </row>
    <row r="3456">
      <c r="A3456" t="n">
        <v>3455</v>
      </c>
      <c r="B3456">
        <f>A3456&lt;=MineCount*Days</f>
        <v/>
      </c>
      <c r="C3456">
        <f>IF(B3456,INT((A3456-1)/Days)+1,"")</f>
        <v/>
      </c>
      <c r="D3456">
        <f>IF(B3456,MOD(A3456-1,Days),"")</f>
        <v/>
      </c>
      <c r="E3456" s="16">
        <f>IF(B3456,StartDate+D3456,"")</f>
        <v/>
      </c>
      <c r="F3456">
        <f>IF(B3456,MAX(MOD(SIN(Seed*0.1373+C3456*12.9898+D3456*78.233)*43758.5453,1),1E-9),"")</f>
        <v/>
      </c>
      <c r="G3456">
        <f>IF(B3456,MOD(SIN(Seed*0.5917+C3456*39.3468+D3456*11.135)*24634.6345,1),"")</f>
        <v/>
      </c>
      <c r="H3456">
        <f>IF(B3456,SQRT(-2*LN(F3456))*COS(2*PI()*G3456),"")</f>
        <v/>
      </c>
      <c r="I3456">
        <f>IF(B3456,IF(D3456=0,H3456,Rho*I3455+SQRT(1-Rho^2)*H3456),"")</f>
        <v/>
      </c>
      <c r="J3456">
        <f>IF(B3456,IF(Dist="Normal",DistA+DistB*I3456,DistA+(DistB-DistA)*NORMSDIST(I3456)),"")</f>
        <v/>
      </c>
      <c r="K3456">
        <f>IF(B3456,INDEX(MineScale,C3456),"")</f>
        <v/>
      </c>
      <c r="L3456">
        <f>IF(B3456,INDEX(Dow,1,WEEKDAY(E3456,2)),"")</f>
        <v/>
      </c>
      <c r="M3456">
        <f>IF(B3456,(1+Trend)^D3456,"")</f>
        <v/>
      </c>
      <c r="N3456">
        <f>IF(B3456,EXP(SUMPRODUCT(LN(1+(EvEff-1)*INDEX(Affected,0,C3456)*EXP(-((E3456-EvCenter)^2)/(2*EvSigma^2))))),"")</f>
        <v/>
      </c>
      <c r="O3456">
        <f>IF(B3456,ROUND(MAX(0,J3456*K3456*L3456*M3456*N3456),2),"")</f>
        <v/>
      </c>
    </row>
    <row r="3457">
      <c r="A3457" t="n">
        <v>3456</v>
      </c>
      <c r="B3457">
        <f>A3457&lt;=MineCount*Days</f>
        <v/>
      </c>
      <c r="C3457">
        <f>IF(B3457,INT((A3457-1)/Days)+1,"")</f>
        <v/>
      </c>
      <c r="D3457">
        <f>IF(B3457,MOD(A3457-1,Days),"")</f>
        <v/>
      </c>
      <c r="E3457" s="16">
        <f>IF(B3457,StartDate+D3457,"")</f>
        <v/>
      </c>
      <c r="F3457">
        <f>IF(B3457,MAX(MOD(SIN(Seed*0.1373+C3457*12.9898+D3457*78.233)*43758.5453,1),1E-9),"")</f>
        <v/>
      </c>
      <c r="G3457">
        <f>IF(B3457,MOD(SIN(Seed*0.5917+C3457*39.3468+D3457*11.135)*24634.6345,1),"")</f>
        <v/>
      </c>
      <c r="H3457">
        <f>IF(B3457,SQRT(-2*LN(F3457))*COS(2*PI()*G3457),"")</f>
        <v/>
      </c>
      <c r="I3457">
        <f>IF(B3457,IF(D3457=0,H3457,Rho*I3456+SQRT(1-Rho^2)*H3457),"")</f>
        <v/>
      </c>
      <c r="J3457">
        <f>IF(B3457,IF(Dist="Normal",DistA+DistB*I3457,DistA+(DistB-DistA)*NORMSDIST(I3457)),"")</f>
        <v/>
      </c>
      <c r="K3457">
        <f>IF(B3457,INDEX(MineScale,C3457),"")</f>
        <v/>
      </c>
      <c r="L3457">
        <f>IF(B3457,INDEX(Dow,1,WEEKDAY(E3457,2)),"")</f>
        <v/>
      </c>
      <c r="M3457">
        <f>IF(B3457,(1+Trend)^D3457,"")</f>
        <v/>
      </c>
      <c r="N3457">
        <f>IF(B3457,EXP(SUMPRODUCT(LN(1+(EvEff-1)*INDEX(Affected,0,C3457)*EXP(-((E3457-EvCenter)^2)/(2*EvSigma^2))))),"")</f>
        <v/>
      </c>
      <c r="O3457">
        <f>IF(B3457,ROUND(MAX(0,J3457*K3457*L3457*M3457*N3457),2),"")</f>
        <v/>
      </c>
    </row>
    <row r="3458">
      <c r="A3458" t="n">
        <v>3457</v>
      </c>
      <c r="B3458">
        <f>A3458&lt;=MineCount*Days</f>
        <v/>
      </c>
      <c r="C3458">
        <f>IF(B3458,INT((A3458-1)/Days)+1,"")</f>
        <v/>
      </c>
      <c r="D3458">
        <f>IF(B3458,MOD(A3458-1,Days),"")</f>
        <v/>
      </c>
      <c r="E3458" s="16">
        <f>IF(B3458,StartDate+D3458,"")</f>
        <v/>
      </c>
      <c r="F3458">
        <f>IF(B3458,MAX(MOD(SIN(Seed*0.1373+C3458*12.9898+D3458*78.233)*43758.5453,1),1E-9),"")</f>
        <v/>
      </c>
      <c r="G3458">
        <f>IF(B3458,MOD(SIN(Seed*0.5917+C3458*39.3468+D3458*11.135)*24634.6345,1),"")</f>
        <v/>
      </c>
      <c r="H3458">
        <f>IF(B3458,SQRT(-2*LN(F3458))*COS(2*PI()*G3458),"")</f>
        <v/>
      </c>
      <c r="I3458">
        <f>IF(B3458,IF(D3458=0,H3458,Rho*I3457+SQRT(1-Rho^2)*H3458),"")</f>
        <v/>
      </c>
      <c r="J3458">
        <f>IF(B3458,IF(Dist="Normal",DistA+DistB*I3458,DistA+(DistB-DistA)*NORMSDIST(I3458)),"")</f>
        <v/>
      </c>
      <c r="K3458">
        <f>IF(B3458,INDEX(MineScale,C3458),"")</f>
        <v/>
      </c>
      <c r="L3458">
        <f>IF(B3458,INDEX(Dow,1,WEEKDAY(E3458,2)),"")</f>
        <v/>
      </c>
      <c r="M3458">
        <f>IF(B3458,(1+Trend)^D3458,"")</f>
        <v/>
      </c>
      <c r="N3458">
        <f>IF(B3458,EXP(SUMPRODUCT(LN(1+(EvEff-1)*INDEX(Affected,0,C3458)*EXP(-((E3458-EvCenter)^2)/(2*EvSigma^2))))),"")</f>
        <v/>
      </c>
      <c r="O3458">
        <f>IF(B3458,ROUND(MAX(0,J3458*K3458*L3458*M3458*N3458),2),"")</f>
        <v/>
      </c>
    </row>
    <row r="3459">
      <c r="A3459" t="n">
        <v>3458</v>
      </c>
      <c r="B3459">
        <f>A3459&lt;=MineCount*Days</f>
        <v/>
      </c>
      <c r="C3459">
        <f>IF(B3459,INT((A3459-1)/Days)+1,"")</f>
        <v/>
      </c>
      <c r="D3459">
        <f>IF(B3459,MOD(A3459-1,Days),"")</f>
        <v/>
      </c>
      <c r="E3459" s="16">
        <f>IF(B3459,StartDate+D3459,"")</f>
        <v/>
      </c>
      <c r="F3459">
        <f>IF(B3459,MAX(MOD(SIN(Seed*0.1373+C3459*12.9898+D3459*78.233)*43758.5453,1),1E-9),"")</f>
        <v/>
      </c>
      <c r="G3459">
        <f>IF(B3459,MOD(SIN(Seed*0.5917+C3459*39.3468+D3459*11.135)*24634.6345,1),"")</f>
        <v/>
      </c>
      <c r="H3459">
        <f>IF(B3459,SQRT(-2*LN(F3459))*COS(2*PI()*G3459),"")</f>
        <v/>
      </c>
      <c r="I3459">
        <f>IF(B3459,IF(D3459=0,H3459,Rho*I3458+SQRT(1-Rho^2)*H3459),"")</f>
        <v/>
      </c>
      <c r="J3459">
        <f>IF(B3459,IF(Dist="Normal",DistA+DistB*I3459,DistA+(DistB-DistA)*NORMSDIST(I3459)),"")</f>
        <v/>
      </c>
      <c r="K3459">
        <f>IF(B3459,INDEX(MineScale,C3459),"")</f>
        <v/>
      </c>
      <c r="L3459">
        <f>IF(B3459,INDEX(Dow,1,WEEKDAY(E3459,2)),"")</f>
        <v/>
      </c>
      <c r="M3459">
        <f>IF(B3459,(1+Trend)^D3459,"")</f>
        <v/>
      </c>
      <c r="N3459">
        <f>IF(B3459,EXP(SUMPRODUCT(LN(1+(EvEff-1)*INDEX(Affected,0,C3459)*EXP(-((E3459-EvCenter)^2)/(2*EvSigma^2))))),"")</f>
        <v/>
      </c>
      <c r="O3459">
        <f>IF(B3459,ROUND(MAX(0,J3459*K3459*L3459*M3459*N3459),2),"")</f>
        <v/>
      </c>
    </row>
    <row r="3460">
      <c r="A3460" t="n">
        <v>3459</v>
      </c>
      <c r="B3460">
        <f>A3460&lt;=MineCount*Days</f>
        <v/>
      </c>
      <c r="C3460">
        <f>IF(B3460,INT((A3460-1)/Days)+1,"")</f>
        <v/>
      </c>
      <c r="D3460">
        <f>IF(B3460,MOD(A3460-1,Days),"")</f>
        <v/>
      </c>
      <c r="E3460" s="16">
        <f>IF(B3460,StartDate+D3460,"")</f>
        <v/>
      </c>
      <c r="F3460">
        <f>IF(B3460,MAX(MOD(SIN(Seed*0.1373+C3460*12.9898+D3460*78.233)*43758.5453,1),1E-9),"")</f>
        <v/>
      </c>
      <c r="G3460">
        <f>IF(B3460,MOD(SIN(Seed*0.5917+C3460*39.3468+D3460*11.135)*24634.6345,1),"")</f>
        <v/>
      </c>
      <c r="H3460">
        <f>IF(B3460,SQRT(-2*LN(F3460))*COS(2*PI()*G3460),"")</f>
        <v/>
      </c>
      <c r="I3460">
        <f>IF(B3460,IF(D3460=0,H3460,Rho*I3459+SQRT(1-Rho^2)*H3460),"")</f>
        <v/>
      </c>
      <c r="J3460">
        <f>IF(B3460,IF(Dist="Normal",DistA+DistB*I3460,DistA+(DistB-DistA)*NORMSDIST(I3460)),"")</f>
        <v/>
      </c>
      <c r="K3460">
        <f>IF(B3460,INDEX(MineScale,C3460),"")</f>
        <v/>
      </c>
      <c r="L3460">
        <f>IF(B3460,INDEX(Dow,1,WEEKDAY(E3460,2)),"")</f>
        <v/>
      </c>
      <c r="M3460">
        <f>IF(B3460,(1+Trend)^D3460,"")</f>
        <v/>
      </c>
      <c r="N3460">
        <f>IF(B3460,EXP(SUMPRODUCT(LN(1+(EvEff-1)*INDEX(Affected,0,C3460)*EXP(-((E3460-EvCenter)^2)/(2*EvSigma^2))))),"")</f>
        <v/>
      </c>
      <c r="O3460">
        <f>IF(B3460,ROUND(MAX(0,J3460*K3460*L3460*M3460*N3460),2),"")</f>
        <v/>
      </c>
    </row>
    <row r="3461">
      <c r="A3461" t="n">
        <v>3460</v>
      </c>
      <c r="B3461">
        <f>A3461&lt;=MineCount*Days</f>
        <v/>
      </c>
      <c r="C3461">
        <f>IF(B3461,INT((A3461-1)/Days)+1,"")</f>
        <v/>
      </c>
      <c r="D3461">
        <f>IF(B3461,MOD(A3461-1,Days),"")</f>
        <v/>
      </c>
      <c r="E3461" s="16">
        <f>IF(B3461,StartDate+D3461,"")</f>
        <v/>
      </c>
      <c r="F3461">
        <f>IF(B3461,MAX(MOD(SIN(Seed*0.1373+C3461*12.9898+D3461*78.233)*43758.5453,1),1E-9),"")</f>
        <v/>
      </c>
      <c r="G3461">
        <f>IF(B3461,MOD(SIN(Seed*0.5917+C3461*39.3468+D3461*11.135)*24634.6345,1),"")</f>
        <v/>
      </c>
      <c r="H3461">
        <f>IF(B3461,SQRT(-2*LN(F3461))*COS(2*PI()*G3461),"")</f>
        <v/>
      </c>
      <c r="I3461">
        <f>IF(B3461,IF(D3461=0,H3461,Rho*I3460+SQRT(1-Rho^2)*H3461),"")</f>
        <v/>
      </c>
      <c r="J3461">
        <f>IF(B3461,IF(Dist="Normal",DistA+DistB*I3461,DistA+(DistB-DistA)*NORMSDIST(I3461)),"")</f>
        <v/>
      </c>
      <c r="K3461">
        <f>IF(B3461,INDEX(MineScale,C3461),"")</f>
        <v/>
      </c>
      <c r="L3461">
        <f>IF(B3461,INDEX(Dow,1,WEEKDAY(E3461,2)),"")</f>
        <v/>
      </c>
      <c r="M3461">
        <f>IF(B3461,(1+Trend)^D3461,"")</f>
        <v/>
      </c>
      <c r="N3461">
        <f>IF(B3461,EXP(SUMPRODUCT(LN(1+(EvEff-1)*INDEX(Affected,0,C3461)*EXP(-((E3461-EvCenter)^2)/(2*EvSigma^2))))),"")</f>
        <v/>
      </c>
      <c r="O3461">
        <f>IF(B3461,ROUND(MAX(0,J3461*K3461*L3461*M3461*N3461),2),"")</f>
        <v/>
      </c>
    </row>
    <row r="3462">
      <c r="A3462" t="n">
        <v>3461</v>
      </c>
      <c r="B3462">
        <f>A3462&lt;=MineCount*Days</f>
        <v/>
      </c>
      <c r="C3462">
        <f>IF(B3462,INT((A3462-1)/Days)+1,"")</f>
        <v/>
      </c>
      <c r="D3462">
        <f>IF(B3462,MOD(A3462-1,Days),"")</f>
        <v/>
      </c>
      <c r="E3462" s="16">
        <f>IF(B3462,StartDate+D3462,"")</f>
        <v/>
      </c>
      <c r="F3462">
        <f>IF(B3462,MAX(MOD(SIN(Seed*0.1373+C3462*12.9898+D3462*78.233)*43758.5453,1),1E-9),"")</f>
        <v/>
      </c>
      <c r="G3462">
        <f>IF(B3462,MOD(SIN(Seed*0.5917+C3462*39.3468+D3462*11.135)*24634.6345,1),"")</f>
        <v/>
      </c>
      <c r="H3462">
        <f>IF(B3462,SQRT(-2*LN(F3462))*COS(2*PI()*G3462),"")</f>
        <v/>
      </c>
      <c r="I3462">
        <f>IF(B3462,IF(D3462=0,H3462,Rho*I3461+SQRT(1-Rho^2)*H3462),"")</f>
        <v/>
      </c>
      <c r="J3462">
        <f>IF(B3462,IF(Dist="Normal",DistA+DistB*I3462,DistA+(DistB-DistA)*NORMSDIST(I3462)),"")</f>
        <v/>
      </c>
      <c r="K3462">
        <f>IF(B3462,INDEX(MineScale,C3462),"")</f>
        <v/>
      </c>
      <c r="L3462">
        <f>IF(B3462,INDEX(Dow,1,WEEKDAY(E3462,2)),"")</f>
        <v/>
      </c>
      <c r="M3462">
        <f>IF(B3462,(1+Trend)^D3462,"")</f>
        <v/>
      </c>
      <c r="N3462">
        <f>IF(B3462,EXP(SUMPRODUCT(LN(1+(EvEff-1)*INDEX(Affected,0,C3462)*EXP(-((E3462-EvCenter)^2)/(2*EvSigma^2))))),"")</f>
        <v/>
      </c>
      <c r="O3462">
        <f>IF(B3462,ROUND(MAX(0,J3462*K3462*L3462*M3462*N3462),2),"")</f>
        <v/>
      </c>
    </row>
    <row r="3463">
      <c r="A3463" t="n">
        <v>3462</v>
      </c>
      <c r="B3463">
        <f>A3463&lt;=MineCount*Days</f>
        <v/>
      </c>
      <c r="C3463">
        <f>IF(B3463,INT((A3463-1)/Days)+1,"")</f>
        <v/>
      </c>
      <c r="D3463">
        <f>IF(B3463,MOD(A3463-1,Days),"")</f>
        <v/>
      </c>
      <c r="E3463" s="16">
        <f>IF(B3463,StartDate+D3463,"")</f>
        <v/>
      </c>
      <c r="F3463">
        <f>IF(B3463,MAX(MOD(SIN(Seed*0.1373+C3463*12.9898+D3463*78.233)*43758.5453,1),1E-9),"")</f>
        <v/>
      </c>
      <c r="G3463">
        <f>IF(B3463,MOD(SIN(Seed*0.5917+C3463*39.3468+D3463*11.135)*24634.6345,1),"")</f>
        <v/>
      </c>
      <c r="H3463">
        <f>IF(B3463,SQRT(-2*LN(F3463))*COS(2*PI()*G3463),"")</f>
        <v/>
      </c>
      <c r="I3463">
        <f>IF(B3463,IF(D3463=0,H3463,Rho*I3462+SQRT(1-Rho^2)*H3463),"")</f>
        <v/>
      </c>
      <c r="J3463">
        <f>IF(B3463,IF(Dist="Normal",DistA+DistB*I3463,DistA+(DistB-DistA)*NORMSDIST(I3463)),"")</f>
        <v/>
      </c>
      <c r="K3463">
        <f>IF(B3463,INDEX(MineScale,C3463),"")</f>
        <v/>
      </c>
      <c r="L3463">
        <f>IF(B3463,INDEX(Dow,1,WEEKDAY(E3463,2)),"")</f>
        <v/>
      </c>
      <c r="M3463">
        <f>IF(B3463,(1+Trend)^D3463,"")</f>
        <v/>
      </c>
      <c r="N3463">
        <f>IF(B3463,EXP(SUMPRODUCT(LN(1+(EvEff-1)*INDEX(Affected,0,C3463)*EXP(-((E3463-EvCenter)^2)/(2*EvSigma^2))))),"")</f>
        <v/>
      </c>
      <c r="O3463">
        <f>IF(B3463,ROUND(MAX(0,J3463*K3463*L3463*M3463*N3463),2),"")</f>
        <v/>
      </c>
    </row>
    <row r="3464">
      <c r="A3464" t="n">
        <v>3463</v>
      </c>
      <c r="B3464">
        <f>A3464&lt;=MineCount*Days</f>
        <v/>
      </c>
      <c r="C3464">
        <f>IF(B3464,INT((A3464-1)/Days)+1,"")</f>
        <v/>
      </c>
      <c r="D3464">
        <f>IF(B3464,MOD(A3464-1,Days),"")</f>
        <v/>
      </c>
      <c r="E3464" s="16">
        <f>IF(B3464,StartDate+D3464,"")</f>
        <v/>
      </c>
      <c r="F3464">
        <f>IF(B3464,MAX(MOD(SIN(Seed*0.1373+C3464*12.9898+D3464*78.233)*43758.5453,1),1E-9),"")</f>
        <v/>
      </c>
      <c r="G3464">
        <f>IF(B3464,MOD(SIN(Seed*0.5917+C3464*39.3468+D3464*11.135)*24634.6345,1),"")</f>
        <v/>
      </c>
      <c r="H3464">
        <f>IF(B3464,SQRT(-2*LN(F3464))*COS(2*PI()*G3464),"")</f>
        <v/>
      </c>
      <c r="I3464">
        <f>IF(B3464,IF(D3464=0,H3464,Rho*I3463+SQRT(1-Rho^2)*H3464),"")</f>
        <v/>
      </c>
      <c r="J3464">
        <f>IF(B3464,IF(Dist="Normal",DistA+DistB*I3464,DistA+(DistB-DistA)*NORMSDIST(I3464)),"")</f>
        <v/>
      </c>
      <c r="K3464">
        <f>IF(B3464,INDEX(MineScale,C3464),"")</f>
        <v/>
      </c>
      <c r="L3464">
        <f>IF(B3464,INDEX(Dow,1,WEEKDAY(E3464,2)),"")</f>
        <v/>
      </c>
      <c r="M3464">
        <f>IF(B3464,(1+Trend)^D3464,"")</f>
        <v/>
      </c>
      <c r="N3464">
        <f>IF(B3464,EXP(SUMPRODUCT(LN(1+(EvEff-1)*INDEX(Affected,0,C3464)*EXP(-((E3464-EvCenter)^2)/(2*EvSigma^2))))),"")</f>
        <v/>
      </c>
      <c r="O3464">
        <f>IF(B3464,ROUND(MAX(0,J3464*K3464*L3464*M3464*N3464),2),"")</f>
        <v/>
      </c>
    </row>
    <row r="3465">
      <c r="A3465" t="n">
        <v>3464</v>
      </c>
      <c r="B3465">
        <f>A3465&lt;=MineCount*Days</f>
        <v/>
      </c>
      <c r="C3465">
        <f>IF(B3465,INT((A3465-1)/Days)+1,"")</f>
        <v/>
      </c>
      <c r="D3465">
        <f>IF(B3465,MOD(A3465-1,Days),"")</f>
        <v/>
      </c>
      <c r="E3465" s="16">
        <f>IF(B3465,StartDate+D3465,"")</f>
        <v/>
      </c>
      <c r="F3465">
        <f>IF(B3465,MAX(MOD(SIN(Seed*0.1373+C3465*12.9898+D3465*78.233)*43758.5453,1),1E-9),"")</f>
        <v/>
      </c>
      <c r="G3465">
        <f>IF(B3465,MOD(SIN(Seed*0.5917+C3465*39.3468+D3465*11.135)*24634.6345,1),"")</f>
        <v/>
      </c>
      <c r="H3465">
        <f>IF(B3465,SQRT(-2*LN(F3465))*COS(2*PI()*G3465),"")</f>
        <v/>
      </c>
      <c r="I3465">
        <f>IF(B3465,IF(D3465=0,H3465,Rho*I3464+SQRT(1-Rho^2)*H3465),"")</f>
        <v/>
      </c>
      <c r="J3465">
        <f>IF(B3465,IF(Dist="Normal",DistA+DistB*I3465,DistA+(DistB-DistA)*NORMSDIST(I3465)),"")</f>
        <v/>
      </c>
      <c r="K3465">
        <f>IF(B3465,INDEX(MineScale,C3465),"")</f>
        <v/>
      </c>
      <c r="L3465">
        <f>IF(B3465,INDEX(Dow,1,WEEKDAY(E3465,2)),"")</f>
        <v/>
      </c>
      <c r="M3465">
        <f>IF(B3465,(1+Trend)^D3465,"")</f>
        <v/>
      </c>
      <c r="N3465">
        <f>IF(B3465,EXP(SUMPRODUCT(LN(1+(EvEff-1)*INDEX(Affected,0,C3465)*EXP(-((E3465-EvCenter)^2)/(2*EvSigma^2))))),"")</f>
        <v/>
      </c>
      <c r="O3465">
        <f>IF(B3465,ROUND(MAX(0,J3465*K3465*L3465*M3465*N3465),2),"")</f>
        <v/>
      </c>
    </row>
    <row r="3466">
      <c r="A3466" t="n">
        <v>3465</v>
      </c>
      <c r="B3466">
        <f>A3466&lt;=MineCount*Days</f>
        <v/>
      </c>
      <c r="C3466">
        <f>IF(B3466,INT((A3466-1)/Days)+1,"")</f>
        <v/>
      </c>
      <c r="D3466">
        <f>IF(B3466,MOD(A3466-1,Days),"")</f>
        <v/>
      </c>
      <c r="E3466" s="16">
        <f>IF(B3466,StartDate+D3466,"")</f>
        <v/>
      </c>
      <c r="F3466">
        <f>IF(B3466,MAX(MOD(SIN(Seed*0.1373+C3466*12.9898+D3466*78.233)*43758.5453,1),1E-9),"")</f>
        <v/>
      </c>
      <c r="G3466">
        <f>IF(B3466,MOD(SIN(Seed*0.5917+C3466*39.3468+D3466*11.135)*24634.6345,1),"")</f>
        <v/>
      </c>
      <c r="H3466">
        <f>IF(B3466,SQRT(-2*LN(F3466))*COS(2*PI()*G3466),"")</f>
        <v/>
      </c>
      <c r="I3466">
        <f>IF(B3466,IF(D3466=0,H3466,Rho*I3465+SQRT(1-Rho^2)*H3466),"")</f>
        <v/>
      </c>
      <c r="J3466">
        <f>IF(B3466,IF(Dist="Normal",DistA+DistB*I3466,DistA+(DistB-DistA)*NORMSDIST(I3466)),"")</f>
        <v/>
      </c>
      <c r="K3466">
        <f>IF(B3466,INDEX(MineScale,C3466),"")</f>
        <v/>
      </c>
      <c r="L3466">
        <f>IF(B3466,INDEX(Dow,1,WEEKDAY(E3466,2)),"")</f>
        <v/>
      </c>
      <c r="M3466">
        <f>IF(B3466,(1+Trend)^D3466,"")</f>
        <v/>
      </c>
      <c r="N3466">
        <f>IF(B3466,EXP(SUMPRODUCT(LN(1+(EvEff-1)*INDEX(Affected,0,C3466)*EXP(-((E3466-EvCenter)^2)/(2*EvSigma^2))))),"")</f>
        <v/>
      </c>
      <c r="O3466">
        <f>IF(B3466,ROUND(MAX(0,J3466*K3466*L3466*M3466*N3466),2),"")</f>
        <v/>
      </c>
    </row>
    <row r="3467">
      <c r="A3467" t="n">
        <v>3466</v>
      </c>
      <c r="B3467">
        <f>A3467&lt;=MineCount*Days</f>
        <v/>
      </c>
      <c r="C3467">
        <f>IF(B3467,INT((A3467-1)/Days)+1,"")</f>
        <v/>
      </c>
      <c r="D3467">
        <f>IF(B3467,MOD(A3467-1,Days),"")</f>
        <v/>
      </c>
      <c r="E3467" s="16">
        <f>IF(B3467,StartDate+D3467,"")</f>
        <v/>
      </c>
      <c r="F3467">
        <f>IF(B3467,MAX(MOD(SIN(Seed*0.1373+C3467*12.9898+D3467*78.233)*43758.5453,1),1E-9),"")</f>
        <v/>
      </c>
      <c r="G3467">
        <f>IF(B3467,MOD(SIN(Seed*0.5917+C3467*39.3468+D3467*11.135)*24634.6345,1),"")</f>
        <v/>
      </c>
      <c r="H3467">
        <f>IF(B3467,SQRT(-2*LN(F3467))*COS(2*PI()*G3467),"")</f>
        <v/>
      </c>
      <c r="I3467">
        <f>IF(B3467,IF(D3467=0,H3467,Rho*I3466+SQRT(1-Rho^2)*H3467),"")</f>
        <v/>
      </c>
      <c r="J3467">
        <f>IF(B3467,IF(Dist="Normal",DistA+DistB*I3467,DistA+(DistB-DistA)*NORMSDIST(I3467)),"")</f>
        <v/>
      </c>
      <c r="K3467">
        <f>IF(B3467,INDEX(MineScale,C3467),"")</f>
        <v/>
      </c>
      <c r="L3467">
        <f>IF(B3467,INDEX(Dow,1,WEEKDAY(E3467,2)),"")</f>
        <v/>
      </c>
      <c r="M3467">
        <f>IF(B3467,(1+Trend)^D3467,"")</f>
        <v/>
      </c>
      <c r="N3467">
        <f>IF(B3467,EXP(SUMPRODUCT(LN(1+(EvEff-1)*INDEX(Affected,0,C3467)*EXP(-((E3467-EvCenter)^2)/(2*EvSigma^2))))),"")</f>
        <v/>
      </c>
      <c r="O3467">
        <f>IF(B3467,ROUND(MAX(0,J3467*K3467*L3467*M3467*N3467),2),"")</f>
        <v/>
      </c>
    </row>
    <row r="3468">
      <c r="A3468" t="n">
        <v>3467</v>
      </c>
      <c r="B3468">
        <f>A3468&lt;=MineCount*Days</f>
        <v/>
      </c>
      <c r="C3468">
        <f>IF(B3468,INT((A3468-1)/Days)+1,"")</f>
        <v/>
      </c>
      <c r="D3468">
        <f>IF(B3468,MOD(A3468-1,Days),"")</f>
        <v/>
      </c>
      <c r="E3468" s="16">
        <f>IF(B3468,StartDate+D3468,"")</f>
        <v/>
      </c>
      <c r="F3468">
        <f>IF(B3468,MAX(MOD(SIN(Seed*0.1373+C3468*12.9898+D3468*78.233)*43758.5453,1),1E-9),"")</f>
        <v/>
      </c>
      <c r="G3468">
        <f>IF(B3468,MOD(SIN(Seed*0.5917+C3468*39.3468+D3468*11.135)*24634.6345,1),"")</f>
        <v/>
      </c>
      <c r="H3468">
        <f>IF(B3468,SQRT(-2*LN(F3468))*COS(2*PI()*G3468),"")</f>
        <v/>
      </c>
      <c r="I3468">
        <f>IF(B3468,IF(D3468=0,H3468,Rho*I3467+SQRT(1-Rho^2)*H3468),"")</f>
        <v/>
      </c>
      <c r="J3468">
        <f>IF(B3468,IF(Dist="Normal",DistA+DistB*I3468,DistA+(DistB-DistA)*NORMSDIST(I3468)),"")</f>
        <v/>
      </c>
      <c r="K3468">
        <f>IF(B3468,INDEX(MineScale,C3468),"")</f>
        <v/>
      </c>
      <c r="L3468">
        <f>IF(B3468,INDEX(Dow,1,WEEKDAY(E3468,2)),"")</f>
        <v/>
      </c>
      <c r="M3468">
        <f>IF(B3468,(1+Trend)^D3468,"")</f>
        <v/>
      </c>
      <c r="N3468">
        <f>IF(B3468,EXP(SUMPRODUCT(LN(1+(EvEff-1)*INDEX(Affected,0,C3468)*EXP(-((E3468-EvCenter)^2)/(2*EvSigma^2))))),"")</f>
        <v/>
      </c>
      <c r="O3468">
        <f>IF(B3468,ROUND(MAX(0,J3468*K3468*L3468*M3468*N3468),2),"")</f>
        <v/>
      </c>
    </row>
    <row r="3469">
      <c r="A3469" t="n">
        <v>3468</v>
      </c>
      <c r="B3469">
        <f>A3469&lt;=MineCount*Days</f>
        <v/>
      </c>
      <c r="C3469">
        <f>IF(B3469,INT((A3469-1)/Days)+1,"")</f>
        <v/>
      </c>
      <c r="D3469">
        <f>IF(B3469,MOD(A3469-1,Days),"")</f>
        <v/>
      </c>
      <c r="E3469" s="16">
        <f>IF(B3469,StartDate+D3469,"")</f>
        <v/>
      </c>
      <c r="F3469">
        <f>IF(B3469,MAX(MOD(SIN(Seed*0.1373+C3469*12.9898+D3469*78.233)*43758.5453,1),1E-9),"")</f>
        <v/>
      </c>
      <c r="G3469">
        <f>IF(B3469,MOD(SIN(Seed*0.5917+C3469*39.3468+D3469*11.135)*24634.6345,1),"")</f>
        <v/>
      </c>
      <c r="H3469">
        <f>IF(B3469,SQRT(-2*LN(F3469))*COS(2*PI()*G3469),"")</f>
        <v/>
      </c>
      <c r="I3469">
        <f>IF(B3469,IF(D3469=0,H3469,Rho*I3468+SQRT(1-Rho^2)*H3469),"")</f>
        <v/>
      </c>
      <c r="J3469">
        <f>IF(B3469,IF(Dist="Normal",DistA+DistB*I3469,DistA+(DistB-DistA)*NORMSDIST(I3469)),"")</f>
        <v/>
      </c>
      <c r="K3469">
        <f>IF(B3469,INDEX(MineScale,C3469),"")</f>
        <v/>
      </c>
      <c r="L3469">
        <f>IF(B3469,INDEX(Dow,1,WEEKDAY(E3469,2)),"")</f>
        <v/>
      </c>
      <c r="M3469">
        <f>IF(B3469,(1+Trend)^D3469,"")</f>
        <v/>
      </c>
      <c r="N3469">
        <f>IF(B3469,EXP(SUMPRODUCT(LN(1+(EvEff-1)*INDEX(Affected,0,C3469)*EXP(-((E3469-EvCenter)^2)/(2*EvSigma^2))))),"")</f>
        <v/>
      </c>
      <c r="O3469">
        <f>IF(B3469,ROUND(MAX(0,J3469*K3469*L3469*M3469*N3469),2),"")</f>
        <v/>
      </c>
    </row>
    <row r="3470">
      <c r="A3470" t="n">
        <v>3469</v>
      </c>
      <c r="B3470">
        <f>A3470&lt;=MineCount*Days</f>
        <v/>
      </c>
      <c r="C3470">
        <f>IF(B3470,INT((A3470-1)/Days)+1,"")</f>
        <v/>
      </c>
      <c r="D3470">
        <f>IF(B3470,MOD(A3470-1,Days),"")</f>
        <v/>
      </c>
      <c r="E3470" s="16">
        <f>IF(B3470,StartDate+D3470,"")</f>
        <v/>
      </c>
      <c r="F3470">
        <f>IF(B3470,MAX(MOD(SIN(Seed*0.1373+C3470*12.9898+D3470*78.233)*43758.5453,1),1E-9),"")</f>
        <v/>
      </c>
      <c r="G3470">
        <f>IF(B3470,MOD(SIN(Seed*0.5917+C3470*39.3468+D3470*11.135)*24634.6345,1),"")</f>
        <v/>
      </c>
      <c r="H3470">
        <f>IF(B3470,SQRT(-2*LN(F3470))*COS(2*PI()*G3470),"")</f>
        <v/>
      </c>
      <c r="I3470">
        <f>IF(B3470,IF(D3470=0,H3470,Rho*I3469+SQRT(1-Rho^2)*H3470),"")</f>
        <v/>
      </c>
      <c r="J3470">
        <f>IF(B3470,IF(Dist="Normal",DistA+DistB*I3470,DistA+(DistB-DistA)*NORMSDIST(I3470)),"")</f>
        <v/>
      </c>
      <c r="K3470">
        <f>IF(B3470,INDEX(MineScale,C3470),"")</f>
        <v/>
      </c>
      <c r="L3470">
        <f>IF(B3470,INDEX(Dow,1,WEEKDAY(E3470,2)),"")</f>
        <v/>
      </c>
      <c r="M3470">
        <f>IF(B3470,(1+Trend)^D3470,"")</f>
        <v/>
      </c>
      <c r="N3470">
        <f>IF(B3470,EXP(SUMPRODUCT(LN(1+(EvEff-1)*INDEX(Affected,0,C3470)*EXP(-((E3470-EvCenter)^2)/(2*EvSigma^2))))),"")</f>
        <v/>
      </c>
      <c r="O3470">
        <f>IF(B3470,ROUND(MAX(0,J3470*K3470*L3470*M3470*N3470),2),"")</f>
        <v/>
      </c>
    </row>
    <row r="3471">
      <c r="A3471" t="n">
        <v>3470</v>
      </c>
      <c r="B3471">
        <f>A3471&lt;=MineCount*Days</f>
        <v/>
      </c>
      <c r="C3471">
        <f>IF(B3471,INT((A3471-1)/Days)+1,"")</f>
        <v/>
      </c>
      <c r="D3471">
        <f>IF(B3471,MOD(A3471-1,Days),"")</f>
        <v/>
      </c>
      <c r="E3471" s="16">
        <f>IF(B3471,StartDate+D3471,"")</f>
        <v/>
      </c>
      <c r="F3471">
        <f>IF(B3471,MAX(MOD(SIN(Seed*0.1373+C3471*12.9898+D3471*78.233)*43758.5453,1),1E-9),"")</f>
        <v/>
      </c>
      <c r="G3471">
        <f>IF(B3471,MOD(SIN(Seed*0.5917+C3471*39.3468+D3471*11.135)*24634.6345,1),"")</f>
        <v/>
      </c>
      <c r="H3471">
        <f>IF(B3471,SQRT(-2*LN(F3471))*COS(2*PI()*G3471),"")</f>
        <v/>
      </c>
      <c r="I3471">
        <f>IF(B3471,IF(D3471=0,H3471,Rho*I3470+SQRT(1-Rho^2)*H3471),"")</f>
        <v/>
      </c>
      <c r="J3471">
        <f>IF(B3471,IF(Dist="Normal",DistA+DistB*I3471,DistA+(DistB-DistA)*NORMSDIST(I3471)),"")</f>
        <v/>
      </c>
      <c r="K3471">
        <f>IF(B3471,INDEX(MineScale,C3471),"")</f>
        <v/>
      </c>
      <c r="L3471">
        <f>IF(B3471,INDEX(Dow,1,WEEKDAY(E3471,2)),"")</f>
        <v/>
      </c>
      <c r="M3471">
        <f>IF(B3471,(1+Trend)^D3471,"")</f>
        <v/>
      </c>
      <c r="N3471">
        <f>IF(B3471,EXP(SUMPRODUCT(LN(1+(EvEff-1)*INDEX(Affected,0,C3471)*EXP(-((E3471-EvCenter)^2)/(2*EvSigma^2))))),"")</f>
        <v/>
      </c>
      <c r="O3471">
        <f>IF(B3471,ROUND(MAX(0,J3471*K3471*L3471*M3471*N3471),2),"")</f>
        <v/>
      </c>
    </row>
    <row r="3472">
      <c r="A3472" t="n">
        <v>3471</v>
      </c>
      <c r="B3472">
        <f>A3472&lt;=MineCount*Days</f>
        <v/>
      </c>
      <c r="C3472">
        <f>IF(B3472,INT((A3472-1)/Days)+1,"")</f>
        <v/>
      </c>
      <c r="D3472">
        <f>IF(B3472,MOD(A3472-1,Days),"")</f>
        <v/>
      </c>
      <c r="E3472" s="16">
        <f>IF(B3472,StartDate+D3472,"")</f>
        <v/>
      </c>
      <c r="F3472">
        <f>IF(B3472,MAX(MOD(SIN(Seed*0.1373+C3472*12.9898+D3472*78.233)*43758.5453,1),1E-9),"")</f>
        <v/>
      </c>
      <c r="G3472">
        <f>IF(B3472,MOD(SIN(Seed*0.5917+C3472*39.3468+D3472*11.135)*24634.6345,1),"")</f>
        <v/>
      </c>
      <c r="H3472">
        <f>IF(B3472,SQRT(-2*LN(F3472))*COS(2*PI()*G3472),"")</f>
        <v/>
      </c>
      <c r="I3472">
        <f>IF(B3472,IF(D3472=0,H3472,Rho*I3471+SQRT(1-Rho^2)*H3472),"")</f>
        <v/>
      </c>
      <c r="J3472">
        <f>IF(B3472,IF(Dist="Normal",DistA+DistB*I3472,DistA+(DistB-DistA)*NORMSDIST(I3472)),"")</f>
        <v/>
      </c>
      <c r="K3472">
        <f>IF(B3472,INDEX(MineScale,C3472),"")</f>
        <v/>
      </c>
      <c r="L3472">
        <f>IF(B3472,INDEX(Dow,1,WEEKDAY(E3472,2)),"")</f>
        <v/>
      </c>
      <c r="M3472">
        <f>IF(B3472,(1+Trend)^D3472,"")</f>
        <v/>
      </c>
      <c r="N3472">
        <f>IF(B3472,EXP(SUMPRODUCT(LN(1+(EvEff-1)*INDEX(Affected,0,C3472)*EXP(-((E3472-EvCenter)^2)/(2*EvSigma^2))))),"")</f>
        <v/>
      </c>
      <c r="O3472">
        <f>IF(B3472,ROUND(MAX(0,J3472*K3472*L3472*M3472*N3472),2),"")</f>
        <v/>
      </c>
    </row>
    <row r="3473">
      <c r="A3473" t="n">
        <v>3472</v>
      </c>
      <c r="B3473">
        <f>A3473&lt;=MineCount*Days</f>
        <v/>
      </c>
      <c r="C3473">
        <f>IF(B3473,INT((A3473-1)/Days)+1,"")</f>
        <v/>
      </c>
      <c r="D3473">
        <f>IF(B3473,MOD(A3473-1,Days),"")</f>
        <v/>
      </c>
      <c r="E3473" s="16">
        <f>IF(B3473,StartDate+D3473,"")</f>
        <v/>
      </c>
      <c r="F3473">
        <f>IF(B3473,MAX(MOD(SIN(Seed*0.1373+C3473*12.9898+D3473*78.233)*43758.5453,1),1E-9),"")</f>
        <v/>
      </c>
      <c r="G3473">
        <f>IF(B3473,MOD(SIN(Seed*0.5917+C3473*39.3468+D3473*11.135)*24634.6345,1),"")</f>
        <v/>
      </c>
      <c r="H3473">
        <f>IF(B3473,SQRT(-2*LN(F3473))*COS(2*PI()*G3473),"")</f>
        <v/>
      </c>
      <c r="I3473">
        <f>IF(B3473,IF(D3473=0,H3473,Rho*I3472+SQRT(1-Rho^2)*H3473),"")</f>
        <v/>
      </c>
      <c r="J3473">
        <f>IF(B3473,IF(Dist="Normal",DistA+DistB*I3473,DistA+(DistB-DistA)*NORMSDIST(I3473)),"")</f>
        <v/>
      </c>
      <c r="K3473">
        <f>IF(B3473,INDEX(MineScale,C3473),"")</f>
        <v/>
      </c>
      <c r="L3473">
        <f>IF(B3473,INDEX(Dow,1,WEEKDAY(E3473,2)),"")</f>
        <v/>
      </c>
      <c r="M3473">
        <f>IF(B3473,(1+Trend)^D3473,"")</f>
        <v/>
      </c>
      <c r="N3473">
        <f>IF(B3473,EXP(SUMPRODUCT(LN(1+(EvEff-1)*INDEX(Affected,0,C3473)*EXP(-((E3473-EvCenter)^2)/(2*EvSigma^2))))),"")</f>
        <v/>
      </c>
      <c r="O3473">
        <f>IF(B3473,ROUND(MAX(0,J3473*K3473*L3473*M3473*N3473),2),"")</f>
        <v/>
      </c>
    </row>
    <row r="3474">
      <c r="A3474" t="n">
        <v>3473</v>
      </c>
      <c r="B3474">
        <f>A3474&lt;=MineCount*Days</f>
        <v/>
      </c>
      <c r="C3474">
        <f>IF(B3474,INT((A3474-1)/Days)+1,"")</f>
        <v/>
      </c>
      <c r="D3474">
        <f>IF(B3474,MOD(A3474-1,Days),"")</f>
        <v/>
      </c>
      <c r="E3474" s="16">
        <f>IF(B3474,StartDate+D3474,"")</f>
        <v/>
      </c>
      <c r="F3474">
        <f>IF(B3474,MAX(MOD(SIN(Seed*0.1373+C3474*12.9898+D3474*78.233)*43758.5453,1),1E-9),"")</f>
        <v/>
      </c>
      <c r="G3474">
        <f>IF(B3474,MOD(SIN(Seed*0.5917+C3474*39.3468+D3474*11.135)*24634.6345,1),"")</f>
        <v/>
      </c>
      <c r="H3474">
        <f>IF(B3474,SQRT(-2*LN(F3474))*COS(2*PI()*G3474),"")</f>
        <v/>
      </c>
      <c r="I3474">
        <f>IF(B3474,IF(D3474=0,H3474,Rho*I3473+SQRT(1-Rho^2)*H3474),"")</f>
        <v/>
      </c>
      <c r="J3474">
        <f>IF(B3474,IF(Dist="Normal",DistA+DistB*I3474,DistA+(DistB-DistA)*NORMSDIST(I3474)),"")</f>
        <v/>
      </c>
      <c r="K3474">
        <f>IF(B3474,INDEX(MineScale,C3474),"")</f>
        <v/>
      </c>
      <c r="L3474">
        <f>IF(B3474,INDEX(Dow,1,WEEKDAY(E3474,2)),"")</f>
        <v/>
      </c>
      <c r="M3474">
        <f>IF(B3474,(1+Trend)^D3474,"")</f>
        <v/>
      </c>
      <c r="N3474">
        <f>IF(B3474,EXP(SUMPRODUCT(LN(1+(EvEff-1)*INDEX(Affected,0,C3474)*EXP(-((E3474-EvCenter)^2)/(2*EvSigma^2))))),"")</f>
        <v/>
      </c>
      <c r="O3474">
        <f>IF(B3474,ROUND(MAX(0,J3474*K3474*L3474*M3474*N3474),2),"")</f>
        <v/>
      </c>
    </row>
    <row r="3475">
      <c r="A3475" t="n">
        <v>3474</v>
      </c>
      <c r="B3475">
        <f>A3475&lt;=MineCount*Days</f>
        <v/>
      </c>
      <c r="C3475">
        <f>IF(B3475,INT((A3475-1)/Days)+1,"")</f>
        <v/>
      </c>
      <c r="D3475">
        <f>IF(B3475,MOD(A3475-1,Days),"")</f>
        <v/>
      </c>
      <c r="E3475" s="16">
        <f>IF(B3475,StartDate+D3475,"")</f>
        <v/>
      </c>
      <c r="F3475">
        <f>IF(B3475,MAX(MOD(SIN(Seed*0.1373+C3475*12.9898+D3475*78.233)*43758.5453,1),1E-9),"")</f>
        <v/>
      </c>
      <c r="G3475">
        <f>IF(B3475,MOD(SIN(Seed*0.5917+C3475*39.3468+D3475*11.135)*24634.6345,1),"")</f>
        <v/>
      </c>
      <c r="H3475">
        <f>IF(B3475,SQRT(-2*LN(F3475))*COS(2*PI()*G3475),"")</f>
        <v/>
      </c>
      <c r="I3475">
        <f>IF(B3475,IF(D3475=0,H3475,Rho*I3474+SQRT(1-Rho^2)*H3475),"")</f>
        <v/>
      </c>
      <c r="J3475">
        <f>IF(B3475,IF(Dist="Normal",DistA+DistB*I3475,DistA+(DistB-DistA)*NORMSDIST(I3475)),"")</f>
        <v/>
      </c>
      <c r="K3475">
        <f>IF(B3475,INDEX(MineScale,C3475),"")</f>
        <v/>
      </c>
      <c r="L3475">
        <f>IF(B3475,INDEX(Dow,1,WEEKDAY(E3475,2)),"")</f>
        <v/>
      </c>
      <c r="M3475">
        <f>IF(B3475,(1+Trend)^D3475,"")</f>
        <v/>
      </c>
      <c r="N3475">
        <f>IF(B3475,EXP(SUMPRODUCT(LN(1+(EvEff-1)*INDEX(Affected,0,C3475)*EXP(-((E3475-EvCenter)^2)/(2*EvSigma^2))))),"")</f>
        <v/>
      </c>
      <c r="O3475">
        <f>IF(B3475,ROUND(MAX(0,J3475*K3475*L3475*M3475*N3475),2),"")</f>
        <v/>
      </c>
    </row>
    <row r="3476">
      <c r="A3476" t="n">
        <v>3475</v>
      </c>
      <c r="B3476">
        <f>A3476&lt;=MineCount*Days</f>
        <v/>
      </c>
      <c r="C3476">
        <f>IF(B3476,INT((A3476-1)/Days)+1,"")</f>
        <v/>
      </c>
      <c r="D3476">
        <f>IF(B3476,MOD(A3476-1,Days),"")</f>
        <v/>
      </c>
      <c r="E3476" s="16">
        <f>IF(B3476,StartDate+D3476,"")</f>
        <v/>
      </c>
      <c r="F3476">
        <f>IF(B3476,MAX(MOD(SIN(Seed*0.1373+C3476*12.9898+D3476*78.233)*43758.5453,1),1E-9),"")</f>
        <v/>
      </c>
      <c r="G3476">
        <f>IF(B3476,MOD(SIN(Seed*0.5917+C3476*39.3468+D3476*11.135)*24634.6345,1),"")</f>
        <v/>
      </c>
      <c r="H3476">
        <f>IF(B3476,SQRT(-2*LN(F3476))*COS(2*PI()*G3476),"")</f>
        <v/>
      </c>
      <c r="I3476">
        <f>IF(B3476,IF(D3476=0,H3476,Rho*I3475+SQRT(1-Rho^2)*H3476),"")</f>
        <v/>
      </c>
      <c r="J3476">
        <f>IF(B3476,IF(Dist="Normal",DistA+DistB*I3476,DistA+(DistB-DistA)*NORMSDIST(I3476)),"")</f>
        <v/>
      </c>
      <c r="K3476">
        <f>IF(B3476,INDEX(MineScale,C3476),"")</f>
        <v/>
      </c>
      <c r="L3476">
        <f>IF(B3476,INDEX(Dow,1,WEEKDAY(E3476,2)),"")</f>
        <v/>
      </c>
      <c r="M3476">
        <f>IF(B3476,(1+Trend)^D3476,"")</f>
        <v/>
      </c>
      <c r="N3476">
        <f>IF(B3476,EXP(SUMPRODUCT(LN(1+(EvEff-1)*INDEX(Affected,0,C3476)*EXP(-((E3476-EvCenter)^2)/(2*EvSigma^2))))),"")</f>
        <v/>
      </c>
      <c r="O3476">
        <f>IF(B3476,ROUND(MAX(0,J3476*K3476*L3476*M3476*N3476),2),"")</f>
        <v/>
      </c>
    </row>
    <row r="3477">
      <c r="A3477" t="n">
        <v>3476</v>
      </c>
      <c r="B3477">
        <f>A3477&lt;=MineCount*Days</f>
        <v/>
      </c>
      <c r="C3477">
        <f>IF(B3477,INT((A3477-1)/Days)+1,"")</f>
        <v/>
      </c>
      <c r="D3477">
        <f>IF(B3477,MOD(A3477-1,Days),"")</f>
        <v/>
      </c>
      <c r="E3477" s="16">
        <f>IF(B3477,StartDate+D3477,"")</f>
        <v/>
      </c>
      <c r="F3477">
        <f>IF(B3477,MAX(MOD(SIN(Seed*0.1373+C3477*12.9898+D3477*78.233)*43758.5453,1),1E-9),"")</f>
        <v/>
      </c>
      <c r="G3477">
        <f>IF(B3477,MOD(SIN(Seed*0.5917+C3477*39.3468+D3477*11.135)*24634.6345,1),"")</f>
        <v/>
      </c>
      <c r="H3477">
        <f>IF(B3477,SQRT(-2*LN(F3477))*COS(2*PI()*G3477),"")</f>
        <v/>
      </c>
      <c r="I3477">
        <f>IF(B3477,IF(D3477=0,H3477,Rho*I3476+SQRT(1-Rho^2)*H3477),"")</f>
        <v/>
      </c>
      <c r="J3477">
        <f>IF(B3477,IF(Dist="Normal",DistA+DistB*I3477,DistA+(DistB-DistA)*NORMSDIST(I3477)),"")</f>
        <v/>
      </c>
      <c r="K3477">
        <f>IF(B3477,INDEX(MineScale,C3477),"")</f>
        <v/>
      </c>
      <c r="L3477">
        <f>IF(B3477,INDEX(Dow,1,WEEKDAY(E3477,2)),"")</f>
        <v/>
      </c>
      <c r="M3477">
        <f>IF(B3477,(1+Trend)^D3477,"")</f>
        <v/>
      </c>
      <c r="N3477">
        <f>IF(B3477,EXP(SUMPRODUCT(LN(1+(EvEff-1)*INDEX(Affected,0,C3477)*EXP(-((E3477-EvCenter)^2)/(2*EvSigma^2))))),"")</f>
        <v/>
      </c>
      <c r="O3477">
        <f>IF(B3477,ROUND(MAX(0,J3477*K3477*L3477*M3477*N3477),2),"")</f>
        <v/>
      </c>
    </row>
    <row r="3478">
      <c r="A3478" t="n">
        <v>3477</v>
      </c>
      <c r="B3478">
        <f>A3478&lt;=MineCount*Days</f>
        <v/>
      </c>
      <c r="C3478">
        <f>IF(B3478,INT((A3478-1)/Days)+1,"")</f>
        <v/>
      </c>
      <c r="D3478">
        <f>IF(B3478,MOD(A3478-1,Days),"")</f>
        <v/>
      </c>
      <c r="E3478" s="16">
        <f>IF(B3478,StartDate+D3478,"")</f>
        <v/>
      </c>
      <c r="F3478">
        <f>IF(B3478,MAX(MOD(SIN(Seed*0.1373+C3478*12.9898+D3478*78.233)*43758.5453,1),1E-9),"")</f>
        <v/>
      </c>
      <c r="G3478">
        <f>IF(B3478,MOD(SIN(Seed*0.5917+C3478*39.3468+D3478*11.135)*24634.6345,1),"")</f>
        <v/>
      </c>
      <c r="H3478">
        <f>IF(B3478,SQRT(-2*LN(F3478))*COS(2*PI()*G3478),"")</f>
        <v/>
      </c>
      <c r="I3478">
        <f>IF(B3478,IF(D3478=0,H3478,Rho*I3477+SQRT(1-Rho^2)*H3478),"")</f>
        <v/>
      </c>
      <c r="J3478">
        <f>IF(B3478,IF(Dist="Normal",DistA+DistB*I3478,DistA+(DistB-DistA)*NORMSDIST(I3478)),"")</f>
        <v/>
      </c>
      <c r="K3478">
        <f>IF(B3478,INDEX(MineScale,C3478),"")</f>
        <v/>
      </c>
      <c r="L3478">
        <f>IF(B3478,INDEX(Dow,1,WEEKDAY(E3478,2)),"")</f>
        <v/>
      </c>
      <c r="M3478">
        <f>IF(B3478,(1+Trend)^D3478,"")</f>
        <v/>
      </c>
      <c r="N3478">
        <f>IF(B3478,EXP(SUMPRODUCT(LN(1+(EvEff-1)*INDEX(Affected,0,C3478)*EXP(-((E3478-EvCenter)^2)/(2*EvSigma^2))))),"")</f>
        <v/>
      </c>
      <c r="O3478">
        <f>IF(B3478,ROUND(MAX(0,J3478*K3478*L3478*M3478*N3478),2),"")</f>
        <v/>
      </c>
    </row>
    <row r="3479">
      <c r="A3479" t="n">
        <v>3478</v>
      </c>
      <c r="B3479">
        <f>A3479&lt;=MineCount*Days</f>
        <v/>
      </c>
      <c r="C3479">
        <f>IF(B3479,INT((A3479-1)/Days)+1,"")</f>
        <v/>
      </c>
      <c r="D3479">
        <f>IF(B3479,MOD(A3479-1,Days),"")</f>
        <v/>
      </c>
      <c r="E3479" s="16">
        <f>IF(B3479,StartDate+D3479,"")</f>
        <v/>
      </c>
      <c r="F3479">
        <f>IF(B3479,MAX(MOD(SIN(Seed*0.1373+C3479*12.9898+D3479*78.233)*43758.5453,1),1E-9),"")</f>
        <v/>
      </c>
      <c r="G3479">
        <f>IF(B3479,MOD(SIN(Seed*0.5917+C3479*39.3468+D3479*11.135)*24634.6345,1),"")</f>
        <v/>
      </c>
      <c r="H3479">
        <f>IF(B3479,SQRT(-2*LN(F3479))*COS(2*PI()*G3479),"")</f>
        <v/>
      </c>
      <c r="I3479">
        <f>IF(B3479,IF(D3479=0,H3479,Rho*I3478+SQRT(1-Rho^2)*H3479),"")</f>
        <v/>
      </c>
      <c r="J3479">
        <f>IF(B3479,IF(Dist="Normal",DistA+DistB*I3479,DistA+(DistB-DistA)*NORMSDIST(I3479)),"")</f>
        <v/>
      </c>
      <c r="K3479">
        <f>IF(B3479,INDEX(MineScale,C3479),"")</f>
        <v/>
      </c>
      <c r="L3479">
        <f>IF(B3479,INDEX(Dow,1,WEEKDAY(E3479,2)),"")</f>
        <v/>
      </c>
      <c r="M3479">
        <f>IF(B3479,(1+Trend)^D3479,"")</f>
        <v/>
      </c>
      <c r="N3479">
        <f>IF(B3479,EXP(SUMPRODUCT(LN(1+(EvEff-1)*INDEX(Affected,0,C3479)*EXP(-((E3479-EvCenter)^2)/(2*EvSigma^2))))),"")</f>
        <v/>
      </c>
      <c r="O3479">
        <f>IF(B3479,ROUND(MAX(0,J3479*K3479*L3479*M3479*N3479),2),"")</f>
        <v/>
      </c>
    </row>
    <row r="3480">
      <c r="A3480" t="n">
        <v>3479</v>
      </c>
      <c r="B3480">
        <f>A3480&lt;=MineCount*Days</f>
        <v/>
      </c>
      <c r="C3480">
        <f>IF(B3480,INT((A3480-1)/Days)+1,"")</f>
        <v/>
      </c>
      <c r="D3480">
        <f>IF(B3480,MOD(A3480-1,Days),"")</f>
        <v/>
      </c>
      <c r="E3480" s="16">
        <f>IF(B3480,StartDate+D3480,"")</f>
        <v/>
      </c>
      <c r="F3480">
        <f>IF(B3480,MAX(MOD(SIN(Seed*0.1373+C3480*12.9898+D3480*78.233)*43758.5453,1),1E-9),"")</f>
        <v/>
      </c>
      <c r="G3480">
        <f>IF(B3480,MOD(SIN(Seed*0.5917+C3480*39.3468+D3480*11.135)*24634.6345,1),"")</f>
        <v/>
      </c>
      <c r="H3480">
        <f>IF(B3480,SQRT(-2*LN(F3480))*COS(2*PI()*G3480),"")</f>
        <v/>
      </c>
      <c r="I3480">
        <f>IF(B3480,IF(D3480=0,H3480,Rho*I3479+SQRT(1-Rho^2)*H3480),"")</f>
        <v/>
      </c>
      <c r="J3480">
        <f>IF(B3480,IF(Dist="Normal",DistA+DistB*I3480,DistA+(DistB-DistA)*NORMSDIST(I3480)),"")</f>
        <v/>
      </c>
      <c r="K3480">
        <f>IF(B3480,INDEX(MineScale,C3480),"")</f>
        <v/>
      </c>
      <c r="L3480">
        <f>IF(B3480,INDEX(Dow,1,WEEKDAY(E3480,2)),"")</f>
        <v/>
      </c>
      <c r="M3480">
        <f>IF(B3480,(1+Trend)^D3480,"")</f>
        <v/>
      </c>
      <c r="N3480">
        <f>IF(B3480,EXP(SUMPRODUCT(LN(1+(EvEff-1)*INDEX(Affected,0,C3480)*EXP(-((E3480-EvCenter)^2)/(2*EvSigma^2))))),"")</f>
        <v/>
      </c>
      <c r="O3480">
        <f>IF(B3480,ROUND(MAX(0,J3480*K3480*L3480*M3480*N3480),2),"")</f>
        <v/>
      </c>
    </row>
    <row r="3481">
      <c r="A3481" t="n">
        <v>3480</v>
      </c>
      <c r="B3481">
        <f>A3481&lt;=MineCount*Days</f>
        <v/>
      </c>
      <c r="C3481">
        <f>IF(B3481,INT((A3481-1)/Days)+1,"")</f>
        <v/>
      </c>
      <c r="D3481">
        <f>IF(B3481,MOD(A3481-1,Days),"")</f>
        <v/>
      </c>
      <c r="E3481" s="16">
        <f>IF(B3481,StartDate+D3481,"")</f>
        <v/>
      </c>
      <c r="F3481">
        <f>IF(B3481,MAX(MOD(SIN(Seed*0.1373+C3481*12.9898+D3481*78.233)*43758.5453,1),1E-9),"")</f>
        <v/>
      </c>
      <c r="G3481">
        <f>IF(B3481,MOD(SIN(Seed*0.5917+C3481*39.3468+D3481*11.135)*24634.6345,1),"")</f>
        <v/>
      </c>
      <c r="H3481">
        <f>IF(B3481,SQRT(-2*LN(F3481))*COS(2*PI()*G3481),"")</f>
        <v/>
      </c>
      <c r="I3481">
        <f>IF(B3481,IF(D3481=0,H3481,Rho*I3480+SQRT(1-Rho^2)*H3481),"")</f>
        <v/>
      </c>
      <c r="J3481">
        <f>IF(B3481,IF(Dist="Normal",DistA+DistB*I3481,DistA+(DistB-DistA)*NORMSDIST(I3481)),"")</f>
        <v/>
      </c>
      <c r="K3481">
        <f>IF(B3481,INDEX(MineScale,C3481),"")</f>
        <v/>
      </c>
      <c r="L3481">
        <f>IF(B3481,INDEX(Dow,1,WEEKDAY(E3481,2)),"")</f>
        <v/>
      </c>
      <c r="M3481">
        <f>IF(B3481,(1+Trend)^D3481,"")</f>
        <v/>
      </c>
      <c r="N3481">
        <f>IF(B3481,EXP(SUMPRODUCT(LN(1+(EvEff-1)*INDEX(Affected,0,C3481)*EXP(-((E3481-EvCenter)^2)/(2*EvSigma^2))))),"")</f>
        <v/>
      </c>
      <c r="O3481">
        <f>IF(B3481,ROUND(MAX(0,J3481*K3481*L3481*M3481*N3481),2),"")</f>
        <v/>
      </c>
    </row>
    <row r="3482">
      <c r="A3482" t="n">
        <v>3481</v>
      </c>
      <c r="B3482">
        <f>A3482&lt;=MineCount*Days</f>
        <v/>
      </c>
      <c r="C3482">
        <f>IF(B3482,INT((A3482-1)/Days)+1,"")</f>
        <v/>
      </c>
      <c r="D3482">
        <f>IF(B3482,MOD(A3482-1,Days),"")</f>
        <v/>
      </c>
      <c r="E3482" s="16">
        <f>IF(B3482,StartDate+D3482,"")</f>
        <v/>
      </c>
      <c r="F3482">
        <f>IF(B3482,MAX(MOD(SIN(Seed*0.1373+C3482*12.9898+D3482*78.233)*43758.5453,1),1E-9),"")</f>
        <v/>
      </c>
      <c r="G3482">
        <f>IF(B3482,MOD(SIN(Seed*0.5917+C3482*39.3468+D3482*11.135)*24634.6345,1),"")</f>
        <v/>
      </c>
      <c r="H3482">
        <f>IF(B3482,SQRT(-2*LN(F3482))*COS(2*PI()*G3482),"")</f>
        <v/>
      </c>
      <c r="I3482">
        <f>IF(B3482,IF(D3482=0,H3482,Rho*I3481+SQRT(1-Rho^2)*H3482),"")</f>
        <v/>
      </c>
      <c r="J3482">
        <f>IF(B3482,IF(Dist="Normal",DistA+DistB*I3482,DistA+(DistB-DistA)*NORMSDIST(I3482)),"")</f>
        <v/>
      </c>
      <c r="K3482">
        <f>IF(B3482,INDEX(MineScale,C3482),"")</f>
        <v/>
      </c>
      <c r="L3482">
        <f>IF(B3482,INDEX(Dow,1,WEEKDAY(E3482,2)),"")</f>
        <v/>
      </c>
      <c r="M3482">
        <f>IF(B3482,(1+Trend)^D3482,"")</f>
        <v/>
      </c>
      <c r="N3482">
        <f>IF(B3482,EXP(SUMPRODUCT(LN(1+(EvEff-1)*INDEX(Affected,0,C3482)*EXP(-((E3482-EvCenter)^2)/(2*EvSigma^2))))),"")</f>
        <v/>
      </c>
      <c r="O3482">
        <f>IF(B3482,ROUND(MAX(0,J3482*K3482*L3482*M3482*N3482),2),"")</f>
        <v/>
      </c>
    </row>
    <row r="3483">
      <c r="A3483" t="n">
        <v>3482</v>
      </c>
      <c r="B3483">
        <f>A3483&lt;=MineCount*Days</f>
        <v/>
      </c>
      <c r="C3483">
        <f>IF(B3483,INT((A3483-1)/Days)+1,"")</f>
        <v/>
      </c>
      <c r="D3483">
        <f>IF(B3483,MOD(A3483-1,Days),"")</f>
        <v/>
      </c>
      <c r="E3483" s="16">
        <f>IF(B3483,StartDate+D3483,"")</f>
        <v/>
      </c>
      <c r="F3483">
        <f>IF(B3483,MAX(MOD(SIN(Seed*0.1373+C3483*12.9898+D3483*78.233)*43758.5453,1),1E-9),"")</f>
        <v/>
      </c>
      <c r="G3483">
        <f>IF(B3483,MOD(SIN(Seed*0.5917+C3483*39.3468+D3483*11.135)*24634.6345,1),"")</f>
        <v/>
      </c>
      <c r="H3483">
        <f>IF(B3483,SQRT(-2*LN(F3483))*COS(2*PI()*G3483),"")</f>
        <v/>
      </c>
      <c r="I3483">
        <f>IF(B3483,IF(D3483=0,H3483,Rho*I3482+SQRT(1-Rho^2)*H3483),"")</f>
        <v/>
      </c>
      <c r="J3483">
        <f>IF(B3483,IF(Dist="Normal",DistA+DistB*I3483,DistA+(DistB-DistA)*NORMSDIST(I3483)),"")</f>
        <v/>
      </c>
      <c r="K3483">
        <f>IF(B3483,INDEX(MineScale,C3483),"")</f>
        <v/>
      </c>
      <c r="L3483">
        <f>IF(B3483,INDEX(Dow,1,WEEKDAY(E3483,2)),"")</f>
        <v/>
      </c>
      <c r="M3483">
        <f>IF(B3483,(1+Trend)^D3483,"")</f>
        <v/>
      </c>
      <c r="N3483">
        <f>IF(B3483,EXP(SUMPRODUCT(LN(1+(EvEff-1)*INDEX(Affected,0,C3483)*EXP(-((E3483-EvCenter)^2)/(2*EvSigma^2))))),"")</f>
        <v/>
      </c>
      <c r="O3483">
        <f>IF(B3483,ROUND(MAX(0,J3483*K3483*L3483*M3483*N3483),2),"")</f>
        <v/>
      </c>
    </row>
    <row r="3484">
      <c r="A3484" t="n">
        <v>3483</v>
      </c>
      <c r="B3484">
        <f>A3484&lt;=MineCount*Days</f>
        <v/>
      </c>
      <c r="C3484">
        <f>IF(B3484,INT((A3484-1)/Days)+1,"")</f>
        <v/>
      </c>
      <c r="D3484">
        <f>IF(B3484,MOD(A3484-1,Days),"")</f>
        <v/>
      </c>
      <c r="E3484" s="16">
        <f>IF(B3484,StartDate+D3484,"")</f>
        <v/>
      </c>
      <c r="F3484">
        <f>IF(B3484,MAX(MOD(SIN(Seed*0.1373+C3484*12.9898+D3484*78.233)*43758.5453,1),1E-9),"")</f>
        <v/>
      </c>
      <c r="G3484">
        <f>IF(B3484,MOD(SIN(Seed*0.5917+C3484*39.3468+D3484*11.135)*24634.6345,1),"")</f>
        <v/>
      </c>
      <c r="H3484">
        <f>IF(B3484,SQRT(-2*LN(F3484))*COS(2*PI()*G3484),"")</f>
        <v/>
      </c>
      <c r="I3484">
        <f>IF(B3484,IF(D3484=0,H3484,Rho*I3483+SQRT(1-Rho^2)*H3484),"")</f>
        <v/>
      </c>
      <c r="J3484">
        <f>IF(B3484,IF(Dist="Normal",DistA+DistB*I3484,DistA+(DistB-DistA)*NORMSDIST(I3484)),"")</f>
        <v/>
      </c>
      <c r="K3484">
        <f>IF(B3484,INDEX(MineScale,C3484),"")</f>
        <v/>
      </c>
      <c r="L3484">
        <f>IF(B3484,INDEX(Dow,1,WEEKDAY(E3484,2)),"")</f>
        <v/>
      </c>
      <c r="M3484">
        <f>IF(B3484,(1+Trend)^D3484,"")</f>
        <v/>
      </c>
      <c r="N3484">
        <f>IF(B3484,EXP(SUMPRODUCT(LN(1+(EvEff-1)*INDEX(Affected,0,C3484)*EXP(-((E3484-EvCenter)^2)/(2*EvSigma^2))))),"")</f>
        <v/>
      </c>
      <c r="O3484">
        <f>IF(B3484,ROUND(MAX(0,J3484*K3484*L3484*M3484*N3484),2),"")</f>
        <v/>
      </c>
    </row>
    <row r="3485">
      <c r="A3485" t="n">
        <v>3484</v>
      </c>
      <c r="B3485">
        <f>A3485&lt;=MineCount*Days</f>
        <v/>
      </c>
      <c r="C3485">
        <f>IF(B3485,INT((A3485-1)/Days)+1,"")</f>
        <v/>
      </c>
      <c r="D3485">
        <f>IF(B3485,MOD(A3485-1,Days),"")</f>
        <v/>
      </c>
      <c r="E3485" s="16">
        <f>IF(B3485,StartDate+D3485,"")</f>
        <v/>
      </c>
      <c r="F3485">
        <f>IF(B3485,MAX(MOD(SIN(Seed*0.1373+C3485*12.9898+D3485*78.233)*43758.5453,1),1E-9),"")</f>
        <v/>
      </c>
      <c r="G3485">
        <f>IF(B3485,MOD(SIN(Seed*0.5917+C3485*39.3468+D3485*11.135)*24634.6345,1),"")</f>
        <v/>
      </c>
      <c r="H3485">
        <f>IF(B3485,SQRT(-2*LN(F3485))*COS(2*PI()*G3485),"")</f>
        <v/>
      </c>
      <c r="I3485">
        <f>IF(B3485,IF(D3485=0,H3485,Rho*I3484+SQRT(1-Rho^2)*H3485),"")</f>
        <v/>
      </c>
      <c r="J3485">
        <f>IF(B3485,IF(Dist="Normal",DistA+DistB*I3485,DistA+(DistB-DistA)*NORMSDIST(I3485)),"")</f>
        <v/>
      </c>
      <c r="K3485">
        <f>IF(B3485,INDEX(MineScale,C3485),"")</f>
        <v/>
      </c>
      <c r="L3485">
        <f>IF(B3485,INDEX(Dow,1,WEEKDAY(E3485,2)),"")</f>
        <v/>
      </c>
      <c r="M3485">
        <f>IF(B3485,(1+Trend)^D3485,"")</f>
        <v/>
      </c>
      <c r="N3485">
        <f>IF(B3485,EXP(SUMPRODUCT(LN(1+(EvEff-1)*INDEX(Affected,0,C3485)*EXP(-((E3485-EvCenter)^2)/(2*EvSigma^2))))),"")</f>
        <v/>
      </c>
      <c r="O3485">
        <f>IF(B3485,ROUND(MAX(0,J3485*K3485*L3485*M3485*N3485),2),"")</f>
        <v/>
      </c>
    </row>
    <row r="3486">
      <c r="A3486" t="n">
        <v>3485</v>
      </c>
      <c r="B3486">
        <f>A3486&lt;=MineCount*Days</f>
        <v/>
      </c>
      <c r="C3486">
        <f>IF(B3486,INT((A3486-1)/Days)+1,"")</f>
        <v/>
      </c>
      <c r="D3486">
        <f>IF(B3486,MOD(A3486-1,Days),"")</f>
        <v/>
      </c>
      <c r="E3486" s="16">
        <f>IF(B3486,StartDate+D3486,"")</f>
        <v/>
      </c>
      <c r="F3486">
        <f>IF(B3486,MAX(MOD(SIN(Seed*0.1373+C3486*12.9898+D3486*78.233)*43758.5453,1),1E-9),"")</f>
        <v/>
      </c>
      <c r="G3486">
        <f>IF(B3486,MOD(SIN(Seed*0.5917+C3486*39.3468+D3486*11.135)*24634.6345,1),"")</f>
        <v/>
      </c>
      <c r="H3486">
        <f>IF(B3486,SQRT(-2*LN(F3486))*COS(2*PI()*G3486),"")</f>
        <v/>
      </c>
      <c r="I3486">
        <f>IF(B3486,IF(D3486=0,H3486,Rho*I3485+SQRT(1-Rho^2)*H3486),"")</f>
        <v/>
      </c>
      <c r="J3486">
        <f>IF(B3486,IF(Dist="Normal",DistA+DistB*I3486,DistA+(DistB-DistA)*NORMSDIST(I3486)),"")</f>
        <v/>
      </c>
      <c r="K3486">
        <f>IF(B3486,INDEX(MineScale,C3486),"")</f>
        <v/>
      </c>
      <c r="L3486">
        <f>IF(B3486,INDEX(Dow,1,WEEKDAY(E3486,2)),"")</f>
        <v/>
      </c>
      <c r="M3486">
        <f>IF(B3486,(1+Trend)^D3486,"")</f>
        <v/>
      </c>
      <c r="N3486">
        <f>IF(B3486,EXP(SUMPRODUCT(LN(1+(EvEff-1)*INDEX(Affected,0,C3486)*EXP(-((E3486-EvCenter)^2)/(2*EvSigma^2))))),"")</f>
        <v/>
      </c>
      <c r="O3486">
        <f>IF(B3486,ROUND(MAX(0,J3486*K3486*L3486*M3486*N3486),2),"")</f>
        <v/>
      </c>
    </row>
    <row r="3487">
      <c r="A3487" t="n">
        <v>3486</v>
      </c>
      <c r="B3487">
        <f>A3487&lt;=MineCount*Days</f>
        <v/>
      </c>
      <c r="C3487">
        <f>IF(B3487,INT((A3487-1)/Days)+1,"")</f>
        <v/>
      </c>
      <c r="D3487">
        <f>IF(B3487,MOD(A3487-1,Days),"")</f>
        <v/>
      </c>
      <c r="E3487" s="16">
        <f>IF(B3487,StartDate+D3487,"")</f>
        <v/>
      </c>
      <c r="F3487">
        <f>IF(B3487,MAX(MOD(SIN(Seed*0.1373+C3487*12.9898+D3487*78.233)*43758.5453,1),1E-9),"")</f>
        <v/>
      </c>
      <c r="G3487">
        <f>IF(B3487,MOD(SIN(Seed*0.5917+C3487*39.3468+D3487*11.135)*24634.6345,1),"")</f>
        <v/>
      </c>
      <c r="H3487">
        <f>IF(B3487,SQRT(-2*LN(F3487))*COS(2*PI()*G3487),"")</f>
        <v/>
      </c>
      <c r="I3487">
        <f>IF(B3487,IF(D3487=0,H3487,Rho*I3486+SQRT(1-Rho^2)*H3487),"")</f>
        <v/>
      </c>
      <c r="J3487">
        <f>IF(B3487,IF(Dist="Normal",DistA+DistB*I3487,DistA+(DistB-DistA)*NORMSDIST(I3487)),"")</f>
        <v/>
      </c>
      <c r="K3487">
        <f>IF(B3487,INDEX(MineScale,C3487),"")</f>
        <v/>
      </c>
      <c r="L3487">
        <f>IF(B3487,INDEX(Dow,1,WEEKDAY(E3487,2)),"")</f>
        <v/>
      </c>
      <c r="M3487">
        <f>IF(B3487,(1+Trend)^D3487,"")</f>
        <v/>
      </c>
      <c r="N3487">
        <f>IF(B3487,EXP(SUMPRODUCT(LN(1+(EvEff-1)*INDEX(Affected,0,C3487)*EXP(-((E3487-EvCenter)^2)/(2*EvSigma^2))))),"")</f>
        <v/>
      </c>
      <c r="O3487">
        <f>IF(B3487,ROUND(MAX(0,J3487*K3487*L3487*M3487*N3487),2),"")</f>
        <v/>
      </c>
    </row>
    <row r="3488">
      <c r="A3488" t="n">
        <v>3487</v>
      </c>
      <c r="B3488">
        <f>A3488&lt;=MineCount*Days</f>
        <v/>
      </c>
      <c r="C3488">
        <f>IF(B3488,INT((A3488-1)/Days)+1,"")</f>
        <v/>
      </c>
      <c r="D3488">
        <f>IF(B3488,MOD(A3488-1,Days),"")</f>
        <v/>
      </c>
      <c r="E3488" s="16">
        <f>IF(B3488,StartDate+D3488,"")</f>
        <v/>
      </c>
      <c r="F3488">
        <f>IF(B3488,MAX(MOD(SIN(Seed*0.1373+C3488*12.9898+D3488*78.233)*43758.5453,1),1E-9),"")</f>
        <v/>
      </c>
      <c r="G3488">
        <f>IF(B3488,MOD(SIN(Seed*0.5917+C3488*39.3468+D3488*11.135)*24634.6345,1),"")</f>
        <v/>
      </c>
      <c r="H3488">
        <f>IF(B3488,SQRT(-2*LN(F3488))*COS(2*PI()*G3488),"")</f>
        <v/>
      </c>
      <c r="I3488">
        <f>IF(B3488,IF(D3488=0,H3488,Rho*I3487+SQRT(1-Rho^2)*H3488),"")</f>
        <v/>
      </c>
      <c r="J3488">
        <f>IF(B3488,IF(Dist="Normal",DistA+DistB*I3488,DistA+(DistB-DistA)*NORMSDIST(I3488)),"")</f>
        <v/>
      </c>
      <c r="K3488">
        <f>IF(B3488,INDEX(MineScale,C3488),"")</f>
        <v/>
      </c>
      <c r="L3488">
        <f>IF(B3488,INDEX(Dow,1,WEEKDAY(E3488,2)),"")</f>
        <v/>
      </c>
      <c r="M3488">
        <f>IF(B3488,(1+Trend)^D3488,"")</f>
        <v/>
      </c>
      <c r="N3488">
        <f>IF(B3488,EXP(SUMPRODUCT(LN(1+(EvEff-1)*INDEX(Affected,0,C3488)*EXP(-((E3488-EvCenter)^2)/(2*EvSigma^2))))),"")</f>
        <v/>
      </c>
      <c r="O3488">
        <f>IF(B3488,ROUND(MAX(0,J3488*K3488*L3488*M3488*N3488),2),"")</f>
        <v/>
      </c>
    </row>
    <row r="3489">
      <c r="A3489" t="n">
        <v>3488</v>
      </c>
      <c r="B3489">
        <f>A3489&lt;=MineCount*Days</f>
        <v/>
      </c>
      <c r="C3489">
        <f>IF(B3489,INT((A3489-1)/Days)+1,"")</f>
        <v/>
      </c>
      <c r="D3489">
        <f>IF(B3489,MOD(A3489-1,Days),"")</f>
        <v/>
      </c>
      <c r="E3489" s="16">
        <f>IF(B3489,StartDate+D3489,"")</f>
        <v/>
      </c>
      <c r="F3489">
        <f>IF(B3489,MAX(MOD(SIN(Seed*0.1373+C3489*12.9898+D3489*78.233)*43758.5453,1),1E-9),"")</f>
        <v/>
      </c>
      <c r="G3489">
        <f>IF(B3489,MOD(SIN(Seed*0.5917+C3489*39.3468+D3489*11.135)*24634.6345,1),"")</f>
        <v/>
      </c>
      <c r="H3489">
        <f>IF(B3489,SQRT(-2*LN(F3489))*COS(2*PI()*G3489),"")</f>
        <v/>
      </c>
      <c r="I3489">
        <f>IF(B3489,IF(D3489=0,H3489,Rho*I3488+SQRT(1-Rho^2)*H3489),"")</f>
        <v/>
      </c>
      <c r="J3489">
        <f>IF(B3489,IF(Dist="Normal",DistA+DistB*I3489,DistA+(DistB-DistA)*NORMSDIST(I3489)),"")</f>
        <v/>
      </c>
      <c r="K3489">
        <f>IF(B3489,INDEX(MineScale,C3489),"")</f>
        <v/>
      </c>
      <c r="L3489">
        <f>IF(B3489,INDEX(Dow,1,WEEKDAY(E3489,2)),"")</f>
        <v/>
      </c>
      <c r="M3489">
        <f>IF(B3489,(1+Trend)^D3489,"")</f>
        <v/>
      </c>
      <c r="N3489">
        <f>IF(B3489,EXP(SUMPRODUCT(LN(1+(EvEff-1)*INDEX(Affected,0,C3489)*EXP(-((E3489-EvCenter)^2)/(2*EvSigma^2))))),"")</f>
        <v/>
      </c>
      <c r="O3489">
        <f>IF(B3489,ROUND(MAX(0,J3489*K3489*L3489*M3489*N3489),2),"")</f>
        <v/>
      </c>
    </row>
    <row r="3490">
      <c r="A3490" t="n">
        <v>3489</v>
      </c>
      <c r="B3490">
        <f>A3490&lt;=MineCount*Days</f>
        <v/>
      </c>
      <c r="C3490">
        <f>IF(B3490,INT((A3490-1)/Days)+1,"")</f>
        <v/>
      </c>
      <c r="D3490">
        <f>IF(B3490,MOD(A3490-1,Days),"")</f>
        <v/>
      </c>
      <c r="E3490" s="16">
        <f>IF(B3490,StartDate+D3490,"")</f>
        <v/>
      </c>
      <c r="F3490">
        <f>IF(B3490,MAX(MOD(SIN(Seed*0.1373+C3490*12.9898+D3490*78.233)*43758.5453,1),1E-9),"")</f>
        <v/>
      </c>
      <c r="G3490">
        <f>IF(B3490,MOD(SIN(Seed*0.5917+C3490*39.3468+D3490*11.135)*24634.6345,1),"")</f>
        <v/>
      </c>
      <c r="H3490">
        <f>IF(B3490,SQRT(-2*LN(F3490))*COS(2*PI()*G3490),"")</f>
        <v/>
      </c>
      <c r="I3490">
        <f>IF(B3490,IF(D3490=0,H3490,Rho*I3489+SQRT(1-Rho^2)*H3490),"")</f>
        <v/>
      </c>
      <c r="J3490">
        <f>IF(B3490,IF(Dist="Normal",DistA+DistB*I3490,DistA+(DistB-DistA)*NORMSDIST(I3490)),"")</f>
        <v/>
      </c>
      <c r="K3490">
        <f>IF(B3490,INDEX(MineScale,C3490),"")</f>
        <v/>
      </c>
      <c r="L3490">
        <f>IF(B3490,INDEX(Dow,1,WEEKDAY(E3490,2)),"")</f>
        <v/>
      </c>
      <c r="M3490">
        <f>IF(B3490,(1+Trend)^D3490,"")</f>
        <v/>
      </c>
      <c r="N3490">
        <f>IF(B3490,EXP(SUMPRODUCT(LN(1+(EvEff-1)*INDEX(Affected,0,C3490)*EXP(-((E3490-EvCenter)^2)/(2*EvSigma^2))))),"")</f>
        <v/>
      </c>
      <c r="O3490">
        <f>IF(B3490,ROUND(MAX(0,J3490*K3490*L3490*M3490*N3490),2),"")</f>
        <v/>
      </c>
    </row>
    <row r="3491">
      <c r="A3491" t="n">
        <v>3490</v>
      </c>
      <c r="B3491">
        <f>A3491&lt;=MineCount*Days</f>
        <v/>
      </c>
      <c r="C3491">
        <f>IF(B3491,INT((A3491-1)/Days)+1,"")</f>
        <v/>
      </c>
      <c r="D3491">
        <f>IF(B3491,MOD(A3491-1,Days),"")</f>
        <v/>
      </c>
      <c r="E3491" s="16">
        <f>IF(B3491,StartDate+D3491,"")</f>
        <v/>
      </c>
      <c r="F3491">
        <f>IF(B3491,MAX(MOD(SIN(Seed*0.1373+C3491*12.9898+D3491*78.233)*43758.5453,1),1E-9),"")</f>
        <v/>
      </c>
      <c r="G3491">
        <f>IF(B3491,MOD(SIN(Seed*0.5917+C3491*39.3468+D3491*11.135)*24634.6345,1),"")</f>
        <v/>
      </c>
      <c r="H3491">
        <f>IF(B3491,SQRT(-2*LN(F3491))*COS(2*PI()*G3491),"")</f>
        <v/>
      </c>
      <c r="I3491">
        <f>IF(B3491,IF(D3491=0,H3491,Rho*I3490+SQRT(1-Rho^2)*H3491),"")</f>
        <v/>
      </c>
      <c r="J3491">
        <f>IF(B3491,IF(Dist="Normal",DistA+DistB*I3491,DistA+(DistB-DistA)*NORMSDIST(I3491)),"")</f>
        <v/>
      </c>
      <c r="K3491">
        <f>IF(B3491,INDEX(MineScale,C3491),"")</f>
        <v/>
      </c>
      <c r="L3491">
        <f>IF(B3491,INDEX(Dow,1,WEEKDAY(E3491,2)),"")</f>
        <v/>
      </c>
      <c r="M3491">
        <f>IF(B3491,(1+Trend)^D3491,"")</f>
        <v/>
      </c>
      <c r="N3491">
        <f>IF(B3491,EXP(SUMPRODUCT(LN(1+(EvEff-1)*INDEX(Affected,0,C3491)*EXP(-((E3491-EvCenter)^2)/(2*EvSigma^2))))),"")</f>
        <v/>
      </c>
      <c r="O3491">
        <f>IF(B3491,ROUND(MAX(0,J3491*K3491*L3491*M3491*N3491),2),"")</f>
        <v/>
      </c>
    </row>
    <row r="3492">
      <c r="A3492" t="n">
        <v>3491</v>
      </c>
      <c r="B3492">
        <f>A3492&lt;=MineCount*Days</f>
        <v/>
      </c>
      <c r="C3492">
        <f>IF(B3492,INT((A3492-1)/Days)+1,"")</f>
        <v/>
      </c>
      <c r="D3492">
        <f>IF(B3492,MOD(A3492-1,Days),"")</f>
        <v/>
      </c>
      <c r="E3492" s="16">
        <f>IF(B3492,StartDate+D3492,"")</f>
        <v/>
      </c>
      <c r="F3492">
        <f>IF(B3492,MAX(MOD(SIN(Seed*0.1373+C3492*12.9898+D3492*78.233)*43758.5453,1),1E-9),"")</f>
        <v/>
      </c>
      <c r="G3492">
        <f>IF(B3492,MOD(SIN(Seed*0.5917+C3492*39.3468+D3492*11.135)*24634.6345,1),"")</f>
        <v/>
      </c>
      <c r="H3492">
        <f>IF(B3492,SQRT(-2*LN(F3492))*COS(2*PI()*G3492),"")</f>
        <v/>
      </c>
      <c r="I3492">
        <f>IF(B3492,IF(D3492=0,H3492,Rho*I3491+SQRT(1-Rho^2)*H3492),"")</f>
        <v/>
      </c>
      <c r="J3492">
        <f>IF(B3492,IF(Dist="Normal",DistA+DistB*I3492,DistA+(DistB-DistA)*NORMSDIST(I3492)),"")</f>
        <v/>
      </c>
      <c r="K3492">
        <f>IF(B3492,INDEX(MineScale,C3492),"")</f>
        <v/>
      </c>
      <c r="L3492">
        <f>IF(B3492,INDEX(Dow,1,WEEKDAY(E3492,2)),"")</f>
        <v/>
      </c>
      <c r="M3492">
        <f>IF(B3492,(1+Trend)^D3492,"")</f>
        <v/>
      </c>
      <c r="N3492">
        <f>IF(B3492,EXP(SUMPRODUCT(LN(1+(EvEff-1)*INDEX(Affected,0,C3492)*EXP(-((E3492-EvCenter)^2)/(2*EvSigma^2))))),"")</f>
        <v/>
      </c>
      <c r="O3492">
        <f>IF(B3492,ROUND(MAX(0,J3492*K3492*L3492*M3492*N3492),2),"")</f>
        <v/>
      </c>
    </row>
    <row r="3493">
      <c r="A3493" t="n">
        <v>3492</v>
      </c>
      <c r="B3493">
        <f>A3493&lt;=MineCount*Days</f>
        <v/>
      </c>
      <c r="C3493">
        <f>IF(B3493,INT((A3493-1)/Days)+1,"")</f>
        <v/>
      </c>
      <c r="D3493">
        <f>IF(B3493,MOD(A3493-1,Days),"")</f>
        <v/>
      </c>
      <c r="E3493" s="16">
        <f>IF(B3493,StartDate+D3493,"")</f>
        <v/>
      </c>
      <c r="F3493">
        <f>IF(B3493,MAX(MOD(SIN(Seed*0.1373+C3493*12.9898+D3493*78.233)*43758.5453,1),1E-9),"")</f>
        <v/>
      </c>
      <c r="G3493">
        <f>IF(B3493,MOD(SIN(Seed*0.5917+C3493*39.3468+D3493*11.135)*24634.6345,1),"")</f>
        <v/>
      </c>
      <c r="H3493">
        <f>IF(B3493,SQRT(-2*LN(F3493))*COS(2*PI()*G3493),"")</f>
        <v/>
      </c>
      <c r="I3493">
        <f>IF(B3493,IF(D3493=0,H3493,Rho*I3492+SQRT(1-Rho^2)*H3493),"")</f>
        <v/>
      </c>
      <c r="J3493">
        <f>IF(B3493,IF(Dist="Normal",DistA+DistB*I3493,DistA+(DistB-DistA)*NORMSDIST(I3493)),"")</f>
        <v/>
      </c>
      <c r="K3493">
        <f>IF(B3493,INDEX(MineScale,C3493),"")</f>
        <v/>
      </c>
      <c r="L3493">
        <f>IF(B3493,INDEX(Dow,1,WEEKDAY(E3493,2)),"")</f>
        <v/>
      </c>
      <c r="M3493">
        <f>IF(B3493,(1+Trend)^D3493,"")</f>
        <v/>
      </c>
      <c r="N3493">
        <f>IF(B3493,EXP(SUMPRODUCT(LN(1+(EvEff-1)*INDEX(Affected,0,C3493)*EXP(-((E3493-EvCenter)^2)/(2*EvSigma^2))))),"")</f>
        <v/>
      </c>
      <c r="O3493">
        <f>IF(B3493,ROUND(MAX(0,J3493*K3493*L3493*M3493*N3493),2),"")</f>
        <v/>
      </c>
    </row>
    <row r="3494">
      <c r="A3494" t="n">
        <v>3493</v>
      </c>
      <c r="B3494">
        <f>A3494&lt;=MineCount*Days</f>
        <v/>
      </c>
      <c r="C3494">
        <f>IF(B3494,INT((A3494-1)/Days)+1,"")</f>
        <v/>
      </c>
      <c r="D3494">
        <f>IF(B3494,MOD(A3494-1,Days),"")</f>
        <v/>
      </c>
      <c r="E3494" s="16">
        <f>IF(B3494,StartDate+D3494,"")</f>
        <v/>
      </c>
      <c r="F3494">
        <f>IF(B3494,MAX(MOD(SIN(Seed*0.1373+C3494*12.9898+D3494*78.233)*43758.5453,1),1E-9),"")</f>
        <v/>
      </c>
      <c r="G3494">
        <f>IF(B3494,MOD(SIN(Seed*0.5917+C3494*39.3468+D3494*11.135)*24634.6345,1),"")</f>
        <v/>
      </c>
      <c r="H3494">
        <f>IF(B3494,SQRT(-2*LN(F3494))*COS(2*PI()*G3494),"")</f>
        <v/>
      </c>
      <c r="I3494">
        <f>IF(B3494,IF(D3494=0,H3494,Rho*I3493+SQRT(1-Rho^2)*H3494),"")</f>
        <v/>
      </c>
      <c r="J3494">
        <f>IF(B3494,IF(Dist="Normal",DistA+DistB*I3494,DistA+(DistB-DistA)*NORMSDIST(I3494)),"")</f>
        <v/>
      </c>
      <c r="K3494">
        <f>IF(B3494,INDEX(MineScale,C3494),"")</f>
        <v/>
      </c>
      <c r="L3494">
        <f>IF(B3494,INDEX(Dow,1,WEEKDAY(E3494,2)),"")</f>
        <v/>
      </c>
      <c r="M3494">
        <f>IF(B3494,(1+Trend)^D3494,"")</f>
        <v/>
      </c>
      <c r="N3494">
        <f>IF(B3494,EXP(SUMPRODUCT(LN(1+(EvEff-1)*INDEX(Affected,0,C3494)*EXP(-((E3494-EvCenter)^2)/(2*EvSigma^2))))),"")</f>
        <v/>
      </c>
      <c r="O3494">
        <f>IF(B3494,ROUND(MAX(0,J3494*K3494*L3494*M3494*N3494),2),"")</f>
        <v/>
      </c>
    </row>
    <row r="3495">
      <c r="A3495" t="n">
        <v>3494</v>
      </c>
      <c r="B3495">
        <f>A3495&lt;=MineCount*Days</f>
        <v/>
      </c>
      <c r="C3495">
        <f>IF(B3495,INT((A3495-1)/Days)+1,"")</f>
        <v/>
      </c>
      <c r="D3495">
        <f>IF(B3495,MOD(A3495-1,Days),"")</f>
        <v/>
      </c>
      <c r="E3495" s="16">
        <f>IF(B3495,StartDate+D3495,"")</f>
        <v/>
      </c>
      <c r="F3495">
        <f>IF(B3495,MAX(MOD(SIN(Seed*0.1373+C3495*12.9898+D3495*78.233)*43758.5453,1),1E-9),"")</f>
        <v/>
      </c>
      <c r="G3495">
        <f>IF(B3495,MOD(SIN(Seed*0.5917+C3495*39.3468+D3495*11.135)*24634.6345,1),"")</f>
        <v/>
      </c>
      <c r="H3495">
        <f>IF(B3495,SQRT(-2*LN(F3495))*COS(2*PI()*G3495),"")</f>
        <v/>
      </c>
      <c r="I3495">
        <f>IF(B3495,IF(D3495=0,H3495,Rho*I3494+SQRT(1-Rho^2)*H3495),"")</f>
        <v/>
      </c>
      <c r="J3495">
        <f>IF(B3495,IF(Dist="Normal",DistA+DistB*I3495,DistA+(DistB-DistA)*NORMSDIST(I3495)),"")</f>
        <v/>
      </c>
      <c r="K3495">
        <f>IF(B3495,INDEX(MineScale,C3495),"")</f>
        <v/>
      </c>
      <c r="L3495">
        <f>IF(B3495,INDEX(Dow,1,WEEKDAY(E3495,2)),"")</f>
        <v/>
      </c>
      <c r="M3495">
        <f>IF(B3495,(1+Trend)^D3495,"")</f>
        <v/>
      </c>
      <c r="N3495">
        <f>IF(B3495,EXP(SUMPRODUCT(LN(1+(EvEff-1)*INDEX(Affected,0,C3495)*EXP(-((E3495-EvCenter)^2)/(2*EvSigma^2))))),"")</f>
        <v/>
      </c>
      <c r="O3495">
        <f>IF(B3495,ROUND(MAX(0,J3495*K3495*L3495*M3495*N3495),2),"")</f>
        <v/>
      </c>
    </row>
    <row r="3496">
      <c r="A3496" t="n">
        <v>3495</v>
      </c>
      <c r="B3496">
        <f>A3496&lt;=MineCount*Days</f>
        <v/>
      </c>
      <c r="C3496">
        <f>IF(B3496,INT((A3496-1)/Days)+1,"")</f>
        <v/>
      </c>
      <c r="D3496">
        <f>IF(B3496,MOD(A3496-1,Days),"")</f>
        <v/>
      </c>
      <c r="E3496" s="16">
        <f>IF(B3496,StartDate+D3496,"")</f>
        <v/>
      </c>
      <c r="F3496">
        <f>IF(B3496,MAX(MOD(SIN(Seed*0.1373+C3496*12.9898+D3496*78.233)*43758.5453,1),1E-9),"")</f>
        <v/>
      </c>
      <c r="G3496">
        <f>IF(B3496,MOD(SIN(Seed*0.5917+C3496*39.3468+D3496*11.135)*24634.6345,1),"")</f>
        <v/>
      </c>
      <c r="H3496">
        <f>IF(B3496,SQRT(-2*LN(F3496))*COS(2*PI()*G3496),"")</f>
        <v/>
      </c>
      <c r="I3496">
        <f>IF(B3496,IF(D3496=0,H3496,Rho*I3495+SQRT(1-Rho^2)*H3496),"")</f>
        <v/>
      </c>
      <c r="J3496">
        <f>IF(B3496,IF(Dist="Normal",DistA+DistB*I3496,DistA+(DistB-DistA)*NORMSDIST(I3496)),"")</f>
        <v/>
      </c>
      <c r="K3496">
        <f>IF(B3496,INDEX(MineScale,C3496),"")</f>
        <v/>
      </c>
      <c r="L3496">
        <f>IF(B3496,INDEX(Dow,1,WEEKDAY(E3496,2)),"")</f>
        <v/>
      </c>
      <c r="M3496">
        <f>IF(B3496,(1+Trend)^D3496,"")</f>
        <v/>
      </c>
      <c r="N3496">
        <f>IF(B3496,EXP(SUMPRODUCT(LN(1+(EvEff-1)*INDEX(Affected,0,C3496)*EXP(-((E3496-EvCenter)^2)/(2*EvSigma^2))))),"")</f>
        <v/>
      </c>
      <c r="O3496">
        <f>IF(B3496,ROUND(MAX(0,J3496*K3496*L3496*M3496*N3496),2),"")</f>
        <v/>
      </c>
    </row>
    <row r="3497">
      <c r="A3497" t="n">
        <v>3496</v>
      </c>
      <c r="B3497">
        <f>A3497&lt;=MineCount*Days</f>
        <v/>
      </c>
      <c r="C3497">
        <f>IF(B3497,INT((A3497-1)/Days)+1,"")</f>
        <v/>
      </c>
      <c r="D3497">
        <f>IF(B3497,MOD(A3497-1,Days),"")</f>
        <v/>
      </c>
      <c r="E3497" s="16">
        <f>IF(B3497,StartDate+D3497,"")</f>
        <v/>
      </c>
      <c r="F3497">
        <f>IF(B3497,MAX(MOD(SIN(Seed*0.1373+C3497*12.9898+D3497*78.233)*43758.5453,1),1E-9),"")</f>
        <v/>
      </c>
      <c r="G3497">
        <f>IF(B3497,MOD(SIN(Seed*0.5917+C3497*39.3468+D3497*11.135)*24634.6345,1),"")</f>
        <v/>
      </c>
      <c r="H3497">
        <f>IF(B3497,SQRT(-2*LN(F3497))*COS(2*PI()*G3497),"")</f>
        <v/>
      </c>
      <c r="I3497">
        <f>IF(B3497,IF(D3497=0,H3497,Rho*I3496+SQRT(1-Rho^2)*H3497),"")</f>
        <v/>
      </c>
      <c r="J3497">
        <f>IF(B3497,IF(Dist="Normal",DistA+DistB*I3497,DistA+(DistB-DistA)*NORMSDIST(I3497)),"")</f>
        <v/>
      </c>
      <c r="K3497">
        <f>IF(B3497,INDEX(MineScale,C3497),"")</f>
        <v/>
      </c>
      <c r="L3497">
        <f>IF(B3497,INDEX(Dow,1,WEEKDAY(E3497,2)),"")</f>
        <v/>
      </c>
      <c r="M3497">
        <f>IF(B3497,(1+Trend)^D3497,"")</f>
        <v/>
      </c>
      <c r="N3497">
        <f>IF(B3497,EXP(SUMPRODUCT(LN(1+(EvEff-1)*INDEX(Affected,0,C3497)*EXP(-((E3497-EvCenter)^2)/(2*EvSigma^2))))),"")</f>
        <v/>
      </c>
      <c r="O3497">
        <f>IF(B3497,ROUND(MAX(0,J3497*K3497*L3497*M3497*N3497),2),"")</f>
        <v/>
      </c>
    </row>
    <row r="3498">
      <c r="A3498" t="n">
        <v>3497</v>
      </c>
      <c r="B3498">
        <f>A3498&lt;=MineCount*Days</f>
        <v/>
      </c>
      <c r="C3498">
        <f>IF(B3498,INT((A3498-1)/Days)+1,"")</f>
        <v/>
      </c>
      <c r="D3498">
        <f>IF(B3498,MOD(A3498-1,Days),"")</f>
        <v/>
      </c>
      <c r="E3498" s="16">
        <f>IF(B3498,StartDate+D3498,"")</f>
        <v/>
      </c>
      <c r="F3498">
        <f>IF(B3498,MAX(MOD(SIN(Seed*0.1373+C3498*12.9898+D3498*78.233)*43758.5453,1),1E-9),"")</f>
        <v/>
      </c>
      <c r="G3498">
        <f>IF(B3498,MOD(SIN(Seed*0.5917+C3498*39.3468+D3498*11.135)*24634.6345,1),"")</f>
        <v/>
      </c>
      <c r="H3498">
        <f>IF(B3498,SQRT(-2*LN(F3498))*COS(2*PI()*G3498),"")</f>
        <v/>
      </c>
      <c r="I3498">
        <f>IF(B3498,IF(D3498=0,H3498,Rho*I3497+SQRT(1-Rho^2)*H3498),"")</f>
        <v/>
      </c>
      <c r="J3498">
        <f>IF(B3498,IF(Dist="Normal",DistA+DistB*I3498,DistA+(DistB-DistA)*NORMSDIST(I3498)),"")</f>
        <v/>
      </c>
      <c r="K3498">
        <f>IF(B3498,INDEX(MineScale,C3498),"")</f>
        <v/>
      </c>
      <c r="L3498">
        <f>IF(B3498,INDEX(Dow,1,WEEKDAY(E3498,2)),"")</f>
        <v/>
      </c>
      <c r="M3498">
        <f>IF(B3498,(1+Trend)^D3498,"")</f>
        <v/>
      </c>
      <c r="N3498">
        <f>IF(B3498,EXP(SUMPRODUCT(LN(1+(EvEff-1)*INDEX(Affected,0,C3498)*EXP(-((E3498-EvCenter)^2)/(2*EvSigma^2))))),"")</f>
        <v/>
      </c>
      <c r="O3498">
        <f>IF(B3498,ROUND(MAX(0,J3498*K3498*L3498*M3498*N3498),2),"")</f>
        <v/>
      </c>
    </row>
    <row r="3499">
      <c r="A3499" t="n">
        <v>3498</v>
      </c>
      <c r="B3499">
        <f>A3499&lt;=MineCount*Days</f>
        <v/>
      </c>
      <c r="C3499">
        <f>IF(B3499,INT((A3499-1)/Days)+1,"")</f>
        <v/>
      </c>
      <c r="D3499">
        <f>IF(B3499,MOD(A3499-1,Days),"")</f>
        <v/>
      </c>
      <c r="E3499" s="16">
        <f>IF(B3499,StartDate+D3499,"")</f>
        <v/>
      </c>
      <c r="F3499">
        <f>IF(B3499,MAX(MOD(SIN(Seed*0.1373+C3499*12.9898+D3499*78.233)*43758.5453,1),1E-9),"")</f>
        <v/>
      </c>
      <c r="G3499">
        <f>IF(B3499,MOD(SIN(Seed*0.5917+C3499*39.3468+D3499*11.135)*24634.6345,1),"")</f>
        <v/>
      </c>
      <c r="H3499">
        <f>IF(B3499,SQRT(-2*LN(F3499))*COS(2*PI()*G3499),"")</f>
        <v/>
      </c>
      <c r="I3499">
        <f>IF(B3499,IF(D3499=0,H3499,Rho*I3498+SQRT(1-Rho^2)*H3499),"")</f>
        <v/>
      </c>
      <c r="J3499">
        <f>IF(B3499,IF(Dist="Normal",DistA+DistB*I3499,DistA+(DistB-DistA)*NORMSDIST(I3499)),"")</f>
        <v/>
      </c>
      <c r="K3499">
        <f>IF(B3499,INDEX(MineScale,C3499),"")</f>
        <v/>
      </c>
      <c r="L3499">
        <f>IF(B3499,INDEX(Dow,1,WEEKDAY(E3499,2)),"")</f>
        <v/>
      </c>
      <c r="M3499">
        <f>IF(B3499,(1+Trend)^D3499,"")</f>
        <v/>
      </c>
      <c r="N3499">
        <f>IF(B3499,EXP(SUMPRODUCT(LN(1+(EvEff-1)*INDEX(Affected,0,C3499)*EXP(-((E3499-EvCenter)^2)/(2*EvSigma^2))))),"")</f>
        <v/>
      </c>
      <c r="O3499">
        <f>IF(B3499,ROUND(MAX(0,J3499*K3499*L3499*M3499*N3499),2),"")</f>
        <v/>
      </c>
    </row>
    <row r="3500">
      <c r="A3500" t="n">
        <v>3499</v>
      </c>
      <c r="B3500">
        <f>A3500&lt;=MineCount*Days</f>
        <v/>
      </c>
      <c r="C3500">
        <f>IF(B3500,INT((A3500-1)/Days)+1,"")</f>
        <v/>
      </c>
      <c r="D3500">
        <f>IF(B3500,MOD(A3500-1,Days),"")</f>
        <v/>
      </c>
      <c r="E3500" s="16">
        <f>IF(B3500,StartDate+D3500,"")</f>
        <v/>
      </c>
      <c r="F3500">
        <f>IF(B3500,MAX(MOD(SIN(Seed*0.1373+C3500*12.9898+D3500*78.233)*43758.5453,1),1E-9),"")</f>
        <v/>
      </c>
      <c r="G3500">
        <f>IF(B3500,MOD(SIN(Seed*0.5917+C3500*39.3468+D3500*11.135)*24634.6345,1),"")</f>
        <v/>
      </c>
      <c r="H3500">
        <f>IF(B3500,SQRT(-2*LN(F3500))*COS(2*PI()*G3500),"")</f>
        <v/>
      </c>
      <c r="I3500">
        <f>IF(B3500,IF(D3500=0,H3500,Rho*I3499+SQRT(1-Rho^2)*H3500),"")</f>
        <v/>
      </c>
      <c r="J3500">
        <f>IF(B3500,IF(Dist="Normal",DistA+DistB*I3500,DistA+(DistB-DistA)*NORMSDIST(I3500)),"")</f>
        <v/>
      </c>
      <c r="K3500">
        <f>IF(B3500,INDEX(MineScale,C3500),"")</f>
        <v/>
      </c>
      <c r="L3500">
        <f>IF(B3500,INDEX(Dow,1,WEEKDAY(E3500,2)),"")</f>
        <v/>
      </c>
      <c r="M3500">
        <f>IF(B3500,(1+Trend)^D3500,"")</f>
        <v/>
      </c>
      <c r="N3500">
        <f>IF(B3500,EXP(SUMPRODUCT(LN(1+(EvEff-1)*INDEX(Affected,0,C3500)*EXP(-((E3500-EvCenter)^2)/(2*EvSigma^2))))),"")</f>
        <v/>
      </c>
      <c r="O3500">
        <f>IF(B3500,ROUND(MAX(0,J3500*K3500*L3500*M3500*N3500),2),"")</f>
        <v/>
      </c>
    </row>
    <row r="3501">
      <c r="A3501" t="n">
        <v>3500</v>
      </c>
      <c r="B3501">
        <f>A3501&lt;=MineCount*Days</f>
        <v/>
      </c>
      <c r="C3501">
        <f>IF(B3501,INT((A3501-1)/Days)+1,"")</f>
        <v/>
      </c>
      <c r="D3501">
        <f>IF(B3501,MOD(A3501-1,Days),"")</f>
        <v/>
      </c>
      <c r="E3501" s="16">
        <f>IF(B3501,StartDate+D3501,"")</f>
        <v/>
      </c>
      <c r="F3501">
        <f>IF(B3501,MAX(MOD(SIN(Seed*0.1373+C3501*12.9898+D3501*78.233)*43758.5453,1),1E-9),"")</f>
        <v/>
      </c>
      <c r="G3501">
        <f>IF(B3501,MOD(SIN(Seed*0.5917+C3501*39.3468+D3501*11.135)*24634.6345,1),"")</f>
        <v/>
      </c>
      <c r="H3501">
        <f>IF(B3501,SQRT(-2*LN(F3501))*COS(2*PI()*G3501),"")</f>
        <v/>
      </c>
      <c r="I3501">
        <f>IF(B3501,IF(D3501=0,H3501,Rho*I3500+SQRT(1-Rho^2)*H3501),"")</f>
        <v/>
      </c>
      <c r="J3501">
        <f>IF(B3501,IF(Dist="Normal",DistA+DistB*I3501,DistA+(DistB-DistA)*NORMSDIST(I3501)),"")</f>
        <v/>
      </c>
      <c r="K3501">
        <f>IF(B3501,INDEX(MineScale,C3501),"")</f>
        <v/>
      </c>
      <c r="L3501">
        <f>IF(B3501,INDEX(Dow,1,WEEKDAY(E3501,2)),"")</f>
        <v/>
      </c>
      <c r="M3501">
        <f>IF(B3501,(1+Trend)^D3501,"")</f>
        <v/>
      </c>
      <c r="N3501">
        <f>IF(B3501,EXP(SUMPRODUCT(LN(1+(EvEff-1)*INDEX(Affected,0,C3501)*EXP(-((E3501-EvCenter)^2)/(2*EvSigma^2))))),"")</f>
        <v/>
      </c>
      <c r="O3501">
        <f>IF(B3501,ROUND(MAX(0,J3501*K3501*L3501*M3501*N3501),2),"")</f>
        <v/>
      </c>
    </row>
    <row r="3502">
      <c r="A3502" t="n">
        <v>3501</v>
      </c>
      <c r="B3502">
        <f>A3502&lt;=MineCount*Days</f>
        <v/>
      </c>
      <c r="C3502">
        <f>IF(B3502,INT((A3502-1)/Days)+1,"")</f>
        <v/>
      </c>
      <c r="D3502">
        <f>IF(B3502,MOD(A3502-1,Days),"")</f>
        <v/>
      </c>
      <c r="E3502" s="16">
        <f>IF(B3502,StartDate+D3502,"")</f>
        <v/>
      </c>
      <c r="F3502">
        <f>IF(B3502,MAX(MOD(SIN(Seed*0.1373+C3502*12.9898+D3502*78.233)*43758.5453,1),1E-9),"")</f>
        <v/>
      </c>
      <c r="G3502">
        <f>IF(B3502,MOD(SIN(Seed*0.5917+C3502*39.3468+D3502*11.135)*24634.6345,1),"")</f>
        <v/>
      </c>
      <c r="H3502">
        <f>IF(B3502,SQRT(-2*LN(F3502))*COS(2*PI()*G3502),"")</f>
        <v/>
      </c>
      <c r="I3502">
        <f>IF(B3502,IF(D3502=0,H3502,Rho*I3501+SQRT(1-Rho^2)*H3502),"")</f>
        <v/>
      </c>
      <c r="J3502">
        <f>IF(B3502,IF(Dist="Normal",DistA+DistB*I3502,DistA+(DistB-DistA)*NORMSDIST(I3502)),"")</f>
        <v/>
      </c>
      <c r="K3502">
        <f>IF(B3502,INDEX(MineScale,C3502),"")</f>
        <v/>
      </c>
      <c r="L3502">
        <f>IF(B3502,INDEX(Dow,1,WEEKDAY(E3502,2)),"")</f>
        <v/>
      </c>
      <c r="M3502">
        <f>IF(B3502,(1+Trend)^D3502,"")</f>
        <v/>
      </c>
      <c r="N3502">
        <f>IF(B3502,EXP(SUMPRODUCT(LN(1+(EvEff-1)*INDEX(Affected,0,C3502)*EXP(-((E3502-EvCenter)^2)/(2*EvSigma^2))))),"")</f>
        <v/>
      </c>
      <c r="O3502">
        <f>IF(B3502,ROUND(MAX(0,J3502*K3502*L3502*M3502*N3502),2),"")</f>
        <v/>
      </c>
    </row>
    <row r="3503">
      <c r="A3503" t="n">
        <v>3502</v>
      </c>
      <c r="B3503">
        <f>A3503&lt;=MineCount*Days</f>
        <v/>
      </c>
      <c r="C3503">
        <f>IF(B3503,INT((A3503-1)/Days)+1,"")</f>
        <v/>
      </c>
      <c r="D3503">
        <f>IF(B3503,MOD(A3503-1,Days),"")</f>
        <v/>
      </c>
      <c r="E3503" s="16">
        <f>IF(B3503,StartDate+D3503,"")</f>
        <v/>
      </c>
      <c r="F3503">
        <f>IF(B3503,MAX(MOD(SIN(Seed*0.1373+C3503*12.9898+D3503*78.233)*43758.5453,1),1E-9),"")</f>
        <v/>
      </c>
      <c r="G3503">
        <f>IF(B3503,MOD(SIN(Seed*0.5917+C3503*39.3468+D3503*11.135)*24634.6345,1),"")</f>
        <v/>
      </c>
      <c r="H3503">
        <f>IF(B3503,SQRT(-2*LN(F3503))*COS(2*PI()*G3503),"")</f>
        <v/>
      </c>
      <c r="I3503">
        <f>IF(B3503,IF(D3503=0,H3503,Rho*I3502+SQRT(1-Rho^2)*H3503),"")</f>
        <v/>
      </c>
      <c r="J3503">
        <f>IF(B3503,IF(Dist="Normal",DistA+DistB*I3503,DistA+(DistB-DistA)*NORMSDIST(I3503)),"")</f>
        <v/>
      </c>
      <c r="K3503">
        <f>IF(B3503,INDEX(MineScale,C3503),"")</f>
        <v/>
      </c>
      <c r="L3503">
        <f>IF(B3503,INDEX(Dow,1,WEEKDAY(E3503,2)),"")</f>
        <v/>
      </c>
      <c r="M3503">
        <f>IF(B3503,(1+Trend)^D3503,"")</f>
        <v/>
      </c>
      <c r="N3503">
        <f>IF(B3503,EXP(SUMPRODUCT(LN(1+(EvEff-1)*INDEX(Affected,0,C3503)*EXP(-((E3503-EvCenter)^2)/(2*EvSigma^2))))),"")</f>
        <v/>
      </c>
      <c r="O3503">
        <f>IF(B3503,ROUND(MAX(0,J3503*K3503*L3503*M3503*N3503),2),"")</f>
        <v/>
      </c>
    </row>
    <row r="3504">
      <c r="A3504" t="n">
        <v>3503</v>
      </c>
      <c r="B3504">
        <f>A3504&lt;=MineCount*Days</f>
        <v/>
      </c>
      <c r="C3504">
        <f>IF(B3504,INT((A3504-1)/Days)+1,"")</f>
        <v/>
      </c>
      <c r="D3504">
        <f>IF(B3504,MOD(A3504-1,Days),"")</f>
        <v/>
      </c>
      <c r="E3504" s="16">
        <f>IF(B3504,StartDate+D3504,"")</f>
        <v/>
      </c>
      <c r="F3504">
        <f>IF(B3504,MAX(MOD(SIN(Seed*0.1373+C3504*12.9898+D3504*78.233)*43758.5453,1),1E-9),"")</f>
        <v/>
      </c>
      <c r="G3504">
        <f>IF(B3504,MOD(SIN(Seed*0.5917+C3504*39.3468+D3504*11.135)*24634.6345,1),"")</f>
        <v/>
      </c>
      <c r="H3504">
        <f>IF(B3504,SQRT(-2*LN(F3504))*COS(2*PI()*G3504),"")</f>
        <v/>
      </c>
      <c r="I3504">
        <f>IF(B3504,IF(D3504=0,H3504,Rho*I3503+SQRT(1-Rho^2)*H3504),"")</f>
        <v/>
      </c>
      <c r="J3504">
        <f>IF(B3504,IF(Dist="Normal",DistA+DistB*I3504,DistA+(DistB-DistA)*NORMSDIST(I3504)),"")</f>
        <v/>
      </c>
      <c r="K3504">
        <f>IF(B3504,INDEX(MineScale,C3504),"")</f>
        <v/>
      </c>
      <c r="L3504">
        <f>IF(B3504,INDEX(Dow,1,WEEKDAY(E3504,2)),"")</f>
        <v/>
      </c>
      <c r="M3504">
        <f>IF(B3504,(1+Trend)^D3504,"")</f>
        <v/>
      </c>
      <c r="N3504">
        <f>IF(B3504,EXP(SUMPRODUCT(LN(1+(EvEff-1)*INDEX(Affected,0,C3504)*EXP(-((E3504-EvCenter)^2)/(2*EvSigma^2))))),"")</f>
        <v/>
      </c>
      <c r="O3504">
        <f>IF(B3504,ROUND(MAX(0,J3504*K3504*L3504*M3504*N3504),2),"")</f>
        <v/>
      </c>
    </row>
    <row r="3505">
      <c r="A3505" t="n">
        <v>3504</v>
      </c>
      <c r="B3505">
        <f>A3505&lt;=MineCount*Days</f>
        <v/>
      </c>
      <c r="C3505">
        <f>IF(B3505,INT((A3505-1)/Days)+1,"")</f>
        <v/>
      </c>
      <c r="D3505">
        <f>IF(B3505,MOD(A3505-1,Days),"")</f>
        <v/>
      </c>
      <c r="E3505" s="16">
        <f>IF(B3505,StartDate+D3505,"")</f>
        <v/>
      </c>
      <c r="F3505">
        <f>IF(B3505,MAX(MOD(SIN(Seed*0.1373+C3505*12.9898+D3505*78.233)*43758.5453,1),1E-9),"")</f>
        <v/>
      </c>
      <c r="G3505">
        <f>IF(B3505,MOD(SIN(Seed*0.5917+C3505*39.3468+D3505*11.135)*24634.6345,1),"")</f>
        <v/>
      </c>
      <c r="H3505">
        <f>IF(B3505,SQRT(-2*LN(F3505))*COS(2*PI()*G3505),"")</f>
        <v/>
      </c>
      <c r="I3505">
        <f>IF(B3505,IF(D3505=0,H3505,Rho*I3504+SQRT(1-Rho^2)*H3505),"")</f>
        <v/>
      </c>
      <c r="J3505">
        <f>IF(B3505,IF(Dist="Normal",DistA+DistB*I3505,DistA+(DistB-DistA)*NORMSDIST(I3505)),"")</f>
        <v/>
      </c>
      <c r="K3505">
        <f>IF(B3505,INDEX(MineScale,C3505),"")</f>
        <v/>
      </c>
      <c r="L3505">
        <f>IF(B3505,INDEX(Dow,1,WEEKDAY(E3505,2)),"")</f>
        <v/>
      </c>
      <c r="M3505">
        <f>IF(B3505,(1+Trend)^D3505,"")</f>
        <v/>
      </c>
      <c r="N3505">
        <f>IF(B3505,EXP(SUMPRODUCT(LN(1+(EvEff-1)*INDEX(Affected,0,C3505)*EXP(-((E3505-EvCenter)^2)/(2*EvSigma^2))))),"")</f>
        <v/>
      </c>
      <c r="O3505">
        <f>IF(B3505,ROUND(MAX(0,J3505*K3505*L3505*M3505*N3505),2),"")</f>
        <v/>
      </c>
    </row>
    <row r="3506">
      <c r="A3506" t="n">
        <v>3505</v>
      </c>
      <c r="B3506">
        <f>A3506&lt;=MineCount*Days</f>
        <v/>
      </c>
      <c r="C3506">
        <f>IF(B3506,INT((A3506-1)/Days)+1,"")</f>
        <v/>
      </c>
      <c r="D3506">
        <f>IF(B3506,MOD(A3506-1,Days),"")</f>
        <v/>
      </c>
      <c r="E3506" s="16">
        <f>IF(B3506,StartDate+D3506,"")</f>
        <v/>
      </c>
      <c r="F3506">
        <f>IF(B3506,MAX(MOD(SIN(Seed*0.1373+C3506*12.9898+D3506*78.233)*43758.5453,1),1E-9),"")</f>
        <v/>
      </c>
      <c r="G3506">
        <f>IF(B3506,MOD(SIN(Seed*0.5917+C3506*39.3468+D3506*11.135)*24634.6345,1),"")</f>
        <v/>
      </c>
      <c r="H3506">
        <f>IF(B3506,SQRT(-2*LN(F3506))*COS(2*PI()*G3506),"")</f>
        <v/>
      </c>
      <c r="I3506">
        <f>IF(B3506,IF(D3506=0,H3506,Rho*I3505+SQRT(1-Rho^2)*H3506),"")</f>
        <v/>
      </c>
      <c r="J3506">
        <f>IF(B3506,IF(Dist="Normal",DistA+DistB*I3506,DistA+(DistB-DistA)*NORMSDIST(I3506)),"")</f>
        <v/>
      </c>
      <c r="K3506">
        <f>IF(B3506,INDEX(MineScale,C3506),"")</f>
        <v/>
      </c>
      <c r="L3506">
        <f>IF(B3506,INDEX(Dow,1,WEEKDAY(E3506,2)),"")</f>
        <v/>
      </c>
      <c r="M3506">
        <f>IF(B3506,(1+Trend)^D3506,"")</f>
        <v/>
      </c>
      <c r="N3506">
        <f>IF(B3506,EXP(SUMPRODUCT(LN(1+(EvEff-1)*INDEX(Affected,0,C3506)*EXP(-((E3506-EvCenter)^2)/(2*EvSigma^2))))),"")</f>
        <v/>
      </c>
      <c r="O3506">
        <f>IF(B3506,ROUND(MAX(0,J3506*K3506*L3506*M3506*N3506),2),"")</f>
        <v/>
      </c>
    </row>
    <row r="3507">
      <c r="A3507" t="n">
        <v>3506</v>
      </c>
      <c r="B3507">
        <f>A3507&lt;=MineCount*Days</f>
        <v/>
      </c>
      <c r="C3507">
        <f>IF(B3507,INT((A3507-1)/Days)+1,"")</f>
        <v/>
      </c>
      <c r="D3507">
        <f>IF(B3507,MOD(A3507-1,Days),"")</f>
        <v/>
      </c>
      <c r="E3507" s="16">
        <f>IF(B3507,StartDate+D3507,"")</f>
        <v/>
      </c>
      <c r="F3507">
        <f>IF(B3507,MAX(MOD(SIN(Seed*0.1373+C3507*12.9898+D3507*78.233)*43758.5453,1),1E-9),"")</f>
        <v/>
      </c>
      <c r="G3507">
        <f>IF(B3507,MOD(SIN(Seed*0.5917+C3507*39.3468+D3507*11.135)*24634.6345,1),"")</f>
        <v/>
      </c>
      <c r="H3507">
        <f>IF(B3507,SQRT(-2*LN(F3507))*COS(2*PI()*G3507),"")</f>
        <v/>
      </c>
      <c r="I3507">
        <f>IF(B3507,IF(D3507=0,H3507,Rho*I3506+SQRT(1-Rho^2)*H3507),"")</f>
        <v/>
      </c>
      <c r="J3507">
        <f>IF(B3507,IF(Dist="Normal",DistA+DistB*I3507,DistA+(DistB-DistA)*NORMSDIST(I3507)),"")</f>
        <v/>
      </c>
      <c r="K3507">
        <f>IF(B3507,INDEX(MineScale,C3507),"")</f>
        <v/>
      </c>
      <c r="L3507">
        <f>IF(B3507,INDEX(Dow,1,WEEKDAY(E3507,2)),"")</f>
        <v/>
      </c>
      <c r="M3507">
        <f>IF(B3507,(1+Trend)^D3507,"")</f>
        <v/>
      </c>
      <c r="N3507">
        <f>IF(B3507,EXP(SUMPRODUCT(LN(1+(EvEff-1)*INDEX(Affected,0,C3507)*EXP(-((E3507-EvCenter)^2)/(2*EvSigma^2))))),"")</f>
        <v/>
      </c>
      <c r="O3507">
        <f>IF(B3507,ROUND(MAX(0,J3507*K3507*L3507*M3507*N3507),2),"")</f>
        <v/>
      </c>
    </row>
    <row r="3508">
      <c r="A3508" t="n">
        <v>3507</v>
      </c>
      <c r="B3508">
        <f>A3508&lt;=MineCount*Days</f>
        <v/>
      </c>
      <c r="C3508">
        <f>IF(B3508,INT((A3508-1)/Days)+1,"")</f>
        <v/>
      </c>
      <c r="D3508">
        <f>IF(B3508,MOD(A3508-1,Days),"")</f>
        <v/>
      </c>
      <c r="E3508" s="16">
        <f>IF(B3508,StartDate+D3508,"")</f>
        <v/>
      </c>
      <c r="F3508">
        <f>IF(B3508,MAX(MOD(SIN(Seed*0.1373+C3508*12.9898+D3508*78.233)*43758.5453,1),1E-9),"")</f>
        <v/>
      </c>
      <c r="G3508">
        <f>IF(B3508,MOD(SIN(Seed*0.5917+C3508*39.3468+D3508*11.135)*24634.6345,1),"")</f>
        <v/>
      </c>
      <c r="H3508">
        <f>IF(B3508,SQRT(-2*LN(F3508))*COS(2*PI()*G3508),"")</f>
        <v/>
      </c>
      <c r="I3508">
        <f>IF(B3508,IF(D3508=0,H3508,Rho*I3507+SQRT(1-Rho^2)*H3508),"")</f>
        <v/>
      </c>
      <c r="J3508">
        <f>IF(B3508,IF(Dist="Normal",DistA+DistB*I3508,DistA+(DistB-DistA)*NORMSDIST(I3508)),"")</f>
        <v/>
      </c>
      <c r="K3508">
        <f>IF(B3508,INDEX(MineScale,C3508),"")</f>
        <v/>
      </c>
      <c r="L3508">
        <f>IF(B3508,INDEX(Dow,1,WEEKDAY(E3508,2)),"")</f>
        <v/>
      </c>
      <c r="M3508">
        <f>IF(B3508,(1+Trend)^D3508,"")</f>
        <v/>
      </c>
      <c r="N3508">
        <f>IF(B3508,EXP(SUMPRODUCT(LN(1+(EvEff-1)*INDEX(Affected,0,C3508)*EXP(-((E3508-EvCenter)^2)/(2*EvSigma^2))))),"")</f>
        <v/>
      </c>
      <c r="O3508">
        <f>IF(B3508,ROUND(MAX(0,J3508*K3508*L3508*M3508*N3508),2),"")</f>
        <v/>
      </c>
    </row>
    <row r="3509">
      <c r="A3509" t="n">
        <v>3508</v>
      </c>
      <c r="B3509">
        <f>A3509&lt;=MineCount*Days</f>
        <v/>
      </c>
      <c r="C3509">
        <f>IF(B3509,INT((A3509-1)/Days)+1,"")</f>
        <v/>
      </c>
      <c r="D3509">
        <f>IF(B3509,MOD(A3509-1,Days),"")</f>
        <v/>
      </c>
      <c r="E3509" s="16">
        <f>IF(B3509,StartDate+D3509,"")</f>
        <v/>
      </c>
      <c r="F3509">
        <f>IF(B3509,MAX(MOD(SIN(Seed*0.1373+C3509*12.9898+D3509*78.233)*43758.5453,1),1E-9),"")</f>
        <v/>
      </c>
      <c r="G3509">
        <f>IF(B3509,MOD(SIN(Seed*0.5917+C3509*39.3468+D3509*11.135)*24634.6345,1),"")</f>
        <v/>
      </c>
      <c r="H3509">
        <f>IF(B3509,SQRT(-2*LN(F3509))*COS(2*PI()*G3509),"")</f>
        <v/>
      </c>
      <c r="I3509">
        <f>IF(B3509,IF(D3509=0,H3509,Rho*I3508+SQRT(1-Rho^2)*H3509),"")</f>
        <v/>
      </c>
      <c r="J3509">
        <f>IF(B3509,IF(Dist="Normal",DistA+DistB*I3509,DistA+(DistB-DistA)*NORMSDIST(I3509)),"")</f>
        <v/>
      </c>
      <c r="K3509">
        <f>IF(B3509,INDEX(MineScale,C3509),"")</f>
        <v/>
      </c>
      <c r="L3509">
        <f>IF(B3509,INDEX(Dow,1,WEEKDAY(E3509,2)),"")</f>
        <v/>
      </c>
      <c r="M3509">
        <f>IF(B3509,(1+Trend)^D3509,"")</f>
        <v/>
      </c>
      <c r="N3509">
        <f>IF(B3509,EXP(SUMPRODUCT(LN(1+(EvEff-1)*INDEX(Affected,0,C3509)*EXP(-((E3509-EvCenter)^2)/(2*EvSigma^2))))),"")</f>
        <v/>
      </c>
      <c r="O3509">
        <f>IF(B3509,ROUND(MAX(0,J3509*K3509*L3509*M3509*N3509),2),"")</f>
        <v/>
      </c>
    </row>
    <row r="3510">
      <c r="A3510" t="n">
        <v>3509</v>
      </c>
      <c r="B3510">
        <f>A3510&lt;=MineCount*Days</f>
        <v/>
      </c>
      <c r="C3510">
        <f>IF(B3510,INT((A3510-1)/Days)+1,"")</f>
        <v/>
      </c>
      <c r="D3510">
        <f>IF(B3510,MOD(A3510-1,Days),"")</f>
        <v/>
      </c>
      <c r="E3510" s="16">
        <f>IF(B3510,StartDate+D3510,"")</f>
        <v/>
      </c>
      <c r="F3510">
        <f>IF(B3510,MAX(MOD(SIN(Seed*0.1373+C3510*12.9898+D3510*78.233)*43758.5453,1),1E-9),"")</f>
        <v/>
      </c>
      <c r="G3510">
        <f>IF(B3510,MOD(SIN(Seed*0.5917+C3510*39.3468+D3510*11.135)*24634.6345,1),"")</f>
        <v/>
      </c>
      <c r="H3510">
        <f>IF(B3510,SQRT(-2*LN(F3510))*COS(2*PI()*G3510),"")</f>
        <v/>
      </c>
      <c r="I3510">
        <f>IF(B3510,IF(D3510=0,H3510,Rho*I3509+SQRT(1-Rho^2)*H3510),"")</f>
        <v/>
      </c>
      <c r="J3510">
        <f>IF(B3510,IF(Dist="Normal",DistA+DistB*I3510,DistA+(DistB-DistA)*NORMSDIST(I3510)),"")</f>
        <v/>
      </c>
      <c r="K3510">
        <f>IF(B3510,INDEX(MineScale,C3510),"")</f>
        <v/>
      </c>
      <c r="L3510">
        <f>IF(B3510,INDEX(Dow,1,WEEKDAY(E3510,2)),"")</f>
        <v/>
      </c>
      <c r="M3510">
        <f>IF(B3510,(1+Trend)^D3510,"")</f>
        <v/>
      </c>
      <c r="N3510">
        <f>IF(B3510,EXP(SUMPRODUCT(LN(1+(EvEff-1)*INDEX(Affected,0,C3510)*EXP(-((E3510-EvCenter)^2)/(2*EvSigma^2))))),"")</f>
        <v/>
      </c>
      <c r="O3510">
        <f>IF(B3510,ROUND(MAX(0,J3510*K3510*L3510*M3510*N3510),2),"")</f>
        <v/>
      </c>
    </row>
    <row r="3511">
      <c r="A3511" t="n">
        <v>3510</v>
      </c>
      <c r="B3511">
        <f>A3511&lt;=MineCount*Days</f>
        <v/>
      </c>
      <c r="C3511">
        <f>IF(B3511,INT((A3511-1)/Days)+1,"")</f>
        <v/>
      </c>
      <c r="D3511">
        <f>IF(B3511,MOD(A3511-1,Days),"")</f>
        <v/>
      </c>
      <c r="E3511" s="16">
        <f>IF(B3511,StartDate+D3511,"")</f>
        <v/>
      </c>
      <c r="F3511">
        <f>IF(B3511,MAX(MOD(SIN(Seed*0.1373+C3511*12.9898+D3511*78.233)*43758.5453,1),1E-9),"")</f>
        <v/>
      </c>
      <c r="G3511">
        <f>IF(B3511,MOD(SIN(Seed*0.5917+C3511*39.3468+D3511*11.135)*24634.6345,1),"")</f>
        <v/>
      </c>
      <c r="H3511">
        <f>IF(B3511,SQRT(-2*LN(F3511))*COS(2*PI()*G3511),"")</f>
        <v/>
      </c>
      <c r="I3511">
        <f>IF(B3511,IF(D3511=0,H3511,Rho*I3510+SQRT(1-Rho^2)*H3511),"")</f>
        <v/>
      </c>
      <c r="J3511">
        <f>IF(B3511,IF(Dist="Normal",DistA+DistB*I3511,DistA+(DistB-DistA)*NORMSDIST(I3511)),"")</f>
        <v/>
      </c>
      <c r="K3511">
        <f>IF(B3511,INDEX(MineScale,C3511),"")</f>
        <v/>
      </c>
      <c r="L3511">
        <f>IF(B3511,INDEX(Dow,1,WEEKDAY(E3511,2)),"")</f>
        <v/>
      </c>
      <c r="M3511">
        <f>IF(B3511,(1+Trend)^D3511,"")</f>
        <v/>
      </c>
      <c r="N3511">
        <f>IF(B3511,EXP(SUMPRODUCT(LN(1+(EvEff-1)*INDEX(Affected,0,C3511)*EXP(-((E3511-EvCenter)^2)/(2*EvSigma^2))))),"")</f>
        <v/>
      </c>
      <c r="O3511">
        <f>IF(B3511,ROUND(MAX(0,J3511*K3511*L3511*M3511*N3511),2),"")</f>
        <v/>
      </c>
    </row>
    <row r="3512">
      <c r="A3512" t="n">
        <v>3511</v>
      </c>
      <c r="B3512">
        <f>A3512&lt;=MineCount*Days</f>
        <v/>
      </c>
      <c r="C3512">
        <f>IF(B3512,INT((A3512-1)/Days)+1,"")</f>
        <v/>
      </c>
      <c r="D3512">
        <f>IF(B3512,MOD(A3512-1,Days),"")</f>
        <v/>
      </c>
      <c r="E3512" s="16">
        <f>IF(B3512,StartDate+D3512,"")</f>
        <v/>
      </c>
      <c r="F3512">
        <f>IF(B3512,MAX(MOD(SIN(Seed*0.1373+C3512*12.9898+D3512*78.233)*43758.5453,1),1E-9),"")</f>
        <v/>
      </c>
      <c r="G3512">
        <f>IF(B3512,MOD(SIN(Seed*0.5917+C3512*39.3468+D3512*11.135)*24634.6345,1),"")</f>
        <v/>
      </c>
      <c r="H3512">
        <f>IF(B3512,SQRT(-2*LN(F3512))*COS(2*PI()*G3512),"")</f>
        <v/>
      </c>
      <c r="I3512">
        <f>IF(B3512,IF(D3512=0,H3512,Rho*I3511+SQRT(1-Rho^2)*H3512),"")</f>
        <v/>
      </c>
      <c r="J3512">
        <f>IF(B3512,IF(Dist="Normal",DistA+DistB*I3512,DistA+(DistB-DistA)*NORMSDIST(I3512)),"")</f>
        <v/>
      </c>
      <c r="K3512">
        <f>IF(B3512,INDEX(MineScale,C3512),"")</f>
        <v/>
      </c>
      <c r="L3512">
        <f>IF(B3512,INDEX(Dow,1,WEEKDAY(E3512,2)),"")</f>
        <v/>
      </c>
      <c r="M3512">
        <f>IF(B3512,(1+Trend)^D3512,"")</f>
        <v/>
      </c>
      <c r="N3512">
        <f>IF(B3512,EXP(SUMPRODUCT(LN(1+(EvEff-1)*INDEX(Affected,0,C3512)*EXP(-((E3512-EvCenter)^2)/(2*EvSigma^2))))),"")</f>
        <v/>
      </c>
      <c r="O3512">
        <f>IF(B3512,ROUND(MAX(0,J3512*K3512*L3512*M3512*N3512),2),"")</f>
        <v/>
      </c>
    </row>
    <row r="3513">
      <c r="A3513" t="n">
        <v>3512</v>
      </c>
      <c r="B3513">
        <f>A3513&lt;=MineCount*Days</f>
        <v/>
      </c>
      <c r="C3513">
        <f>IF(B3513,INT((A3513-1)/Days)+1,"")</f>
        <v/>
      </c>
      <c r="D3513">
        <f>IF(B3513,MOD(A3513-1,Days),"")</f>
        <v/>
      </c>
      <c r="E3513" s="16">
        <f>IF(B3513,StartDate+D3513,"")</f>
        <v/>
      </c>
      <c r="F3513">
        <f>IF(B3513,MAX(MOD(SIN(Seed*0.1373+C3513*12.9898+D3513*78.233)*43758.5453,1),1E-9),"")</f>
        <v/>
      </c>
      <c r="G3513">
        <f>IF(B3513,MOD(SIN(Seed*0.5917+C3513*39.3468+D3513*11.135)*24634.6345,1),"")</f>
        <v/>
      </c>
      <c r="H3513">
        <f>IF(B3513,SQRT(-2*LN(F3513))*COS(2*PI()*G3513),"")</f>
        <v/>
      </c>
      <c r="I3513">
        <f>IF(B3513,IF(D3513=0,H3513,Rho*I3512+SQRT(1-Rho^2)*H3513),"")</f>
        <v/>
      </c>
      <c r="J3513">
        <f>IF(B3513,IF(Dist="Normal",DistA+DistB*I3513,DistA+(DistB-DistA)*NORMSDIST(I3513)),"")</f>
        <v/>
      </c>
      <c r="K3513">
        <f>IF(B3513,INDEX(MineScale,C3513),"")</f>
        <v/>
      </c>
      <c r="L3513">
        <f>IF(B3513,INDEX(Dow,1,WEEKDAY(E3513,2)),"")</f>
        <v/>
      </c>
      <c r="M3513">
        <f>IF(B3513,(1+Trend)^D3513,"")</f>
        <v/>
      </c>
      <c r="N3513">
        <f>IF(B3513,EXP(SUMPRODUCT(LN(1+(EvEff-1)*INDEX(Affected,0,C3513)*EXP(-((E3513-EvCenter)^2)/(2*EvSigma^2))))),"")</f>
        <v/>
      </c>
      <c r="O3513">
        <f>IF(B3513,ROUND(MAX(0,J3513*K3513*L3513*M3513*N3513),2),"")</f>
        <v/>
      </c>
    </row>
    <row r="3514">
      <c r="A3514" t="n">
        <v>3513</v>
      </c>
      <c r="B3514">
        <f>A3514&lt;=MineCount*Days</f>
        <v/>
      </c>
      <c r="C3514">
        <f>IF(B3514,INT((A3514-1)/Days)+1,"")</f>
        <v/>
      </c>
      <c r="D3514">
        <f>IF(B3514,MOD(A3514-1,Days),"")</f>
        <v/>
      </c>
      <c r="E3514" s="16">
        <f>IF(B3514,StartDate+D3514,"")</f>
        <v/>
      </c>
      <c r="F3514">
        <f>IF(B3514,MAX(MOD(SIN(Seed*0.1373+C3514*12.9898+D3514*78.233)*43758.5453,1),1E-9),"")</f>
        <v/>
      </c>
      <c r="G3514">
        <f>IF(B3514,MOD(SIN(Seed*0.5917+C3514*39.3468+D3514*11.135)*24634.6345,1),"")</f>
        <v/>
      </c>
      <c r="H3514">
        <f>IF(B3514,SQRT(-2*LN(F3514))*COS(2*PI()*G3514),"")</f>
        <v/>
      </c>
      <c r="I3514">
        <f>IF(B3514,IF(D3514=0,H3514,Rho*I3513+SQRT(1-Rho^2)*H3514),"")</f>
        <v/>
      </c>
      <c r="J3514">
        <f>IF(B3514,IF(Dist="Normal",DistA+DistB*I3514,DistA+(DistB-DistA)*NORMSDIST(I3514)),"")</f>
        <v/>
      </c>
      <c r="K3514">
        <f>IF(B3514,INDEX(MineScale,C3514),"")</f>
        <v/>
      </c>
      <c r="L3514">
        <f>IF(B3514,INDEX(Dow,1,WEEKDAY(E3514,2)),"")</f>
        <v/>
      </c>
      <c r="M3514">
        <f>IF(B3514,(1+Trend)^D3514,"")</f>
        <v/>
      </c>
      <c r="N3514">
        <f>IF(B3514,EXP(SUMPRODUCT(LN(1+(EvEff-1)*INDEX(Affected,0,C3514)*EXP(-((E3514-EvCenter)^2)/(2*EvSigma^2))))),"")</f>
        <v/>
      </c>
      <c r="O3514">
        <f>IF(B3514,ROUND(MAX(0,J3514*K3514*L3514*M3514*N3514),2),"")</f>
        <v/>
      </c>
    </row>
    <row r="3515">
      <c r="A3515" t="n">
        <v>3514</v>
      </c>
      <c r="B3515">
        <f>A3515&lt;=MineCount*Days</f>
        <v/>
      </c>
      <c r="C3515">
        <f>IF(B3515,INT((A3515-1)/Days)+1,"")</f>
        <v/>
      </c>
      <c r="D3515">
        <f>IF(B3515,MOD(A3515-1,Days),"")</f>
        <v/>
      </c>
      <c r="E3515" s="16">
        <f>IF(B3515,StartDate+D3515,"")</f>
        <v/>
      </c>
      <c r="F3515">
        <f>IF(B3515,MAX(MOD(SIN(Seed*0.1373+C3515*12.9898+D3515*78.233)*43758.5453,1),1E-9),"")</f>
        <v/>
      </c>
      <c r="G3515">
        <f>IF(B3515,MOD(SIN(Seed*0.5917+C3515*39.3468+D3515*11.135)*24634.6345,1),"")</f>
        <v/>
      </c>
      <c r="H3515">
        <f>IF(B3515,SQRT(-2*LN(F3515))*COS(2*PI()*G3515),"")</f>
        <v/>
      </c>
      <c r="I3515">
        <f>IF(B3515,IF(D3515=0,H3515,Rho*I3514+SQRT(1-Rho^2)*H3515),"")</f>
        <v/>
      </c>
      <c r="J3515">
        <f>IF(B3515,IF(Dist="Normal",DistA+DistB*I3515,DistA+(DistB-DistA)*NORMSDIST(I3515)),"")</f>
        <v/>
      </c>
      <c r="K3515">
        <f>IF(B3515,INDEX(MineScale,C3515),"")</f>
        <v/>
      </c>
      <c r="L3515">
        <f>IF(B3515,INDEX(Dow,1,WEEKDAY(E3515,2)),"")</f>
        <v/>
      </c>
      <c r="M3515">
        <f>IF(B3515,(1+Trend)^D3515,"")</f>
        <v/>
      </c>
      <c r="N3515">
        <f>IF(B3515,EXP(SUMPRODUCT(LN(1+(EvEff-1)*INDEX(Affected,0,C3515)*EXP(-((E3515-EvCenter)^2)/(2*EvSigma^2))))),"")</f>
        <v/>
      </c>
      <c r="O3515">
        <f>IF(B3515,ROUND(MAX(0,J3515*K3515*L3515*M3515*N3515),2),"")</f>
        <v/>
      </c>
    </row>
    <row r="3516">
      <c r="A3516" t="n">
        <v>3515</v>
      </c>
      <c r="B3516">
        <f>A3516&lt;=MineCount*Days</f>
        <v/>
      </c>
      <c r="C3516">
        <f>IF(B3516,INT((A3516-1)/Days)+1,"")</f>
        <v/>
      </c>
      <c r="D3516">
        <f>IF(B3516,MOD(A3516-1,Days),"")</f>
        <v/>
      </c>
      <c r="E3516" s="16">
        <f>IF(B3516,StartDate+D3516,"")</f>
        <v/>
      </c>
      <c r="F3516">
        <f>IF(B3516,MAX(MOD(SIN(Seed*0.1373+C3516*12.9898+D3516*78.233)*43758.5453,1),1E-9),"")</f>
        <v/>
      </c>
      <c r="G3516">
        <f>IF(B3516,MOD(SIN(Seed*0.5917+C3516*39.3468+D3516*11.135)*24634.6345,1),"")</f>
        <v/>
      </c>
      <c r="H3516">
        <f>IF(B3516,SQRT(-2*LN(F3516))*COS(2*PI()*G3516),"")</f>
        <v/>
      </c>
      <c r="I3516">
        <f>IF(B3516,IF(D3516=0,H3516,Rho*I3515+SQRT(1-Rho^2)*H3516),"")</f>
        <v/>
      </c>
      <c r="J3516">
        <f>IF(B3516,IF(Dist="Normal",DistA+DistB*I3516,DistA+(DistB-DistA)*NORMSDIST(I3516)),"")</f>
        <v/>
      </c>
      <c r="K3516">
        <f>IF(B3516,INDEX(MineScale,C3516),"")</f>
        <v/>
      </c>
      <c r="L3516">
        <f>IF(B3516,INDEX(Dow,1,WEEKDAY(E3516,2)),"")</f>
        <v/>
      </c>
      <c r="M3516">
        <f>IF(B3516,(1+Trend)^D3516,"")</f>
        <v/>
      </c>
      <c r="N3516">
        <f>IF(B3516,EXP(SUMPRODUCT(LN(1+(EvEff-1)*INDEX(Affected,0,C3516)*EXP(-((E3516-EvCenter)^2)/(2*EvSigma^2))))),"")</f>
        <v/>
      </c>
      <c r="O3516">
        <f>IF(B3516,ROUND(MAX(0,J3516*K3516*L3516*M3516*N3516),2),"")</f>
        <v/>
      </c>
    </row>
    <row r="3517">
      <c r="A3517" t="n">
        <v>3516</v>
      </c>
      <c r="B3517">
        <f>A3517&lt;=MineCount*Days</f>
        <v/>
      </c>
      <c r="C3517">
        <f>IF(B3517,INT((A3517-1)/Days)+1,"")</f>
        <v/>
      </c>
      <c r="D3517">
        <f>IF(B3517,MOD(A3517-1,Days),"")</f>
        <v/>
      </c>
      <c r="E3517" s="16">
        <f>IF(B3517,StartDate+D3517,"")</f>
        <v/>
      </c>
      <c r="F3517">
        <f>IF(B3517,MAX(MOD(SIN(Seed*0.1373+C3517*12.9898+D3517*78.233)*43758.5453,1),1E-9),"")</f>
        <v/>
      </c>
      <c r="G3517">
        <f>IF(B3517,MOD(SIN(Seed*0.5917+C3517*39.3468+D3517*11.135)*24634.6345,1),"")</f>
        <v/>
      </c>
      <c r="H3517">
        <f>IF(B3517,SQRT(-2*LN(F3517))*COS(2*PI()*G3517),"")</f>
        <v/>
      </c>
      <c r="I3517">
        <f>IF(B3517,IF(D3517=0,H3517,Rho*I3516+SQRT(1-Rho^2)*H3517),"")</f>
        <v/>
      </c>
      <c r="J3517">
        <f>IF(B3517,IF(Dist="Normal",DistA+DistB*I3517,DistA+(DistB-DistA)*NORMSDIST(I3517)),"")</f>
        <v/>
      </c>
      <c r="K3517">
        <f>IF(B3517,INDEX(MineScale,C3517),"")</f>
        <v/>
      </c>
      <c r="L3517">
        <f>IF(B3517,INDEX(Dow,1,WEEKDAY(E3517,2)),"")</f>
        <v/>
      </c>
      <c r="M3517">
        <f>IF(B3517,(1+Trend)^D3517,"")</f>
        <v/>
      </c>
      <c r="N3517">
        <f>IF(B3517,EXP(SUMPRODUCT(LN(1+(EvEff-1)*INDEX(Affected,0,C3517)*EXP(-((E3517-EvCenter)^2)/(2*EvSigma^2))))),"")</f>
        <v/>
      </c>
      <c r="O3517">
        <f>IF(B3517,ROUND(MAX(0,J3517*K3517*L3517*M3517*N3517),2),"")</f>
        <v/>
      </c>
    </row>
    <row r="3518">
      <c r="A3518" t="n">
        <v>3517</v>
      </c>
      <c r="B3518">
        <f>A3518&lt;=MineCount*Days</f>
        <v/>
      </c>
      <c r="C3518">
        <f>IF(B3518,INT((A3518-1)/Days)+1,"")</f>
        <v/>
      </c>
      <c r="D3518">
        <f>IF(B3518,MOD(A3518-1,Days),"")</f>
        <v/>
      </c>
      <c r="E3518" s="16">
        <f>IF(B3518,StartDate+D3518,"")</f>
        <v/>
      </c>
      <c r="F3518">
        <f>IF(B3518,MAX(MOD(SIN(Seed*0.1373+C3518*12.9898+D3518*78.233)*43758.5453,1),1E-9),"")</f>
        <v/>
      </c>
      <c r="G3518">
        <f>IF(B3518,MOD(SIN(Seed*0.5917+C3518*39.3468+D3518*11.135)*24634.6345,1),"")</f>
        <v/>
      </c>
      <c r="H3518">
        <f>IF(B3518,SQRT(-2*LN(F3518))*COS(2*PI()*G3518),"")</f>
        <v/>
      </c>
      <c r="I3518">
        <f>IF(B3518,IF(D3518=0,H3518,Rho*I3517+SQRT(1-Rho^2)*H3518),"")</f>
        <v/>
      </c>
      <c r="J3518">
        <f>IF(B3518,IF(Dist="Normal",DistA+DistB*I3518,DistA+(DistB-DistA)*NORMSDIST(I3518)),"")</f>
        <v/>
      </c>
      <c r="K3518">
        <f>IF(B3518,INDEX(MineScale,C3518),"")</f>
        <v/>
      </c>
      <c r="L3518">
        <f>IF(B3518,INDEX(Dow,1,WEEKDAY(E3518,2)),"")</f>
        <v/>
      </c>
      <c r="M3518">
        <f>IF(B3518,(1+Trend)^D3518,"")</f>
        <v/>
      </c>
      <c r="N3518">
        <f>IF(B3518,EXP(SUMPRODUCT(LN(1+(EvEff-1)*INDEX(Affected,0,C3518)*EXP(-((E3518-EvCenter)^2)/(2*EvSigma^2))))),"")</f>
        <v/>
      </c>
      <c r="O3518">
        <f>IF(B3518,ROUND(MAX(0,J3518*K3518*L3518*M3518*N3518),2),"")</f>
        <v/>
      </c>
    </row>
    <row r="3519">
      <c r="A3519" t="n">
        <v>3518</v>
      </c>
      <c r="B3519">
        <f>A3519&lt;=MineCount*Days</f>
        <v/>
      </c>
      <c r="C3519">
        <f>IF(B3519,INT((A3519-1)/Days)+1,"")</f>
        <v/>
      </c>
      <c r="D3519">
        <f>IF(B3519,MOD(A3519-1,Days),"")</f>
        <v/>
      </c>
      <c r="E3519" s="16">
        <f>IF(B3519,StartDate+D3519,"")</f>
        <v/>
      </c>
      <c r="F3519">
        <f>IF(B3519,MAX(MOD(SIN(Seed*0.1373+C3519*12.9898+D3519*78.233)*43758.5453,1),1E-9),"")</f>
        <v/>
      </c>
      <c r="G3519">
        <f>IF(B3519,MOD(SIN(Seed*0.5917+C3519*39.3468+D3519*11.135)*24634.6345,1),"")</f>
        <v/>
      </c>
      <c r="H3519">
        <f>IF(B3519,SQRT(-2*LN(F3519))*COS(2*PI()*G3519),"")</f>
        <v/>
      </c>
      <c r="I3519">
        <f>IF(B3519,IF(D3519=0,H3519,Rho*I3518+SQRT(1-Rho^2)*H3519),"")</f>
        <v/>
      </c>
      <c r="J3519">
        <f>IF(B3519,IF(Dist="Normal",DistA+DistB*I3519,DistA+(DistB-DistA)*NORMSDIST(I3519)),"")</f>
        <v/>
      </c>
      <c r="K3519">
        <f>IF(B3519,INDEX(MineScale,C3519),"")</f>
        <v/>
      </c>
      <c r="L3519">
        <f>IF(B3519,INDEX(Dow,1,WEEKDAY(E3519,2)),"")</f>
        <v/>
      </c>
      <c r="M3519">
        <f>IF(B3519,(1+Trend)^D3519,"")</f>
        <v/>
      </c>
      <c r="N3519">
        <f>IF(B3519,EXP(SUMPRODUCT(LN(1+(EvEff-1)*INDEX(Affected,0,C3519)*EXP(-((E3519-EvCenter)^2)/(2*EvSigma^2))))),"")</f>
        <v/>
      </c>
      <c r="O3519">
        <f>IF(B3519,ROUND(MAX(0,J3519*K3519*L3519*M3519*N3519),2),"")</f>
        <v/>
      </c>
    </row>
    <row r="3520">
      <c r="A3520" t="n">
        <v>3519</v>
      </c>
      <c r="B3520">
        <f>A3520&lt;=MineCount*Days</f>
        <v/>
      </c>
      <c r="C3520">
        <f>IF(B3520,INT((A3520-1)/Days)+1,"")</f>
        <v/>
      </c>
      <c r="D3520">
        <f>IF(B3520,MOD(A3520-1,Days),"")</f>
        <v/>
      </c>
      <c r="E3520" s="16">
        <f>IF(B3520,StartDate+D3520,"")</f>
        <v/>
      </c>
      <c r="F3520">
        <f>IF(B3520,MAX(MOD(SIN(Seed*0.1373+C3520*12.9898+D3520*78.233)*43758.5453,1),1E-9),"")</f>
        <v/>
      </c>
      <c r="G3520">
        <f>IF(B3520,MOD(SIN(Seed*0.5917+C3520*39.3468+D3520*11.135)*24634.6345,1),"")</f>
        <v/>
      </c>
      <c r="H3520">
        <f>IF(B3520,SQRT(-2*LN(F3520))*COS(2*PI()*G3520),"")</f>
        <v/>
      </c>
      <c r="I3520">
        <f>IF(B3520,IF(D3520=0,H3520,Rho*I3519+SQRT(1-Rho^2)*H3520),"")</f>
        <v/>
      </c>
      <c r="J3520">
        <f>IF(B3520,IF(Dist="Normal",DistA+DistB*I3520,DistA+(DistB-DistA)*NORMSDIST(I3520)),"")</f>
        <v/>
      </c>
      <c r="K3520">
        <f>IF(B3520,INDEX(MineScale,C3520),"")</f>
        <v/>
      </c>
      <c r="L3520">
        <f>IF(B3520,INDEX(Dow,1,WEEKDAY(E3520,2)),"")</f>
        <v/>
      </c>
      <c r="M3520">
        <f>IF(B3520,(1+Trend)^D3520,"")</f>
        <v/>
      </c>
      <c r="N3520">
        <f>IF(B3520,EXP(SUMPRODUCT(LN(1+(EvEff-1)*INDEX(Affected,0,C3520)*EXP(-((E3520-EvCenter)^2)/(2*EvSigma^2))))),"")</f>
        <v/>
      </c>
      <c r="O3520">
        <f>IF(B3520,ROUND(MAX(0,J3520*K3520*L3520*M3520*N3520),2),"")</f>
        <v/>
      </c>
    </row>
    <row r="3521">
      <c r="A3521" t="n">
        <v>3520</v>
      </c>
      <c r="B3521">
        <f>A3521&lt;=MineCount*Days</f>
        <v/>
      </c>
      <c r="C3521">
        <f>IF(B3521,INT((A3521-1)/Days)+1,"")</f>
        <v/>
      </c>
      <c r="D3521">
        <f>IF(B3521,MOD(A3521-1,Days),"")</f>
        <v/>
      </c>
      <c r="E3521" s="16">
        <f>IF(B3521,StartDate+D3521,"")</f>
        <v/>
      </c>
      <c r="F3521">
        <f>IF(B3521,MAX(MOD(SIN(Seed*0.1373+C3521*12.9898+D3521*78.233)*43758.5453,1),1E-9),"")</f>
        <v/>
      </c>
      <c r="G3521">
        <f>IF(B3521,MOD(SIN(Seed*0.5917+C3521*39.3468+D3521*11.135)*24634.6345,1),"")</f>
        <v/>
      </c>
      <c r="H3521">
        <f>IF(B3521,SQRT(-2*LN(F3521))*COS(2*PI()*G3521),"")</f>
        <v/>
      </c>
      <c r="I3521">
        <f>IF(B3521,IF(D3521=0,H3521,Rho*I3520+SQRT(1-Rho^2)*H3521),"")</f>
        <v/>
      </c>
      <c r="J3521">
        <f>IF(B3521,IF(Dist="Normal",DistA+DistB*I3521,DistA+(DistB-DistA)*NORMSDIST(I3521)),"")</f>
        <v/>
      </c>
      <c r="K3521">
        <f>IF(B3521,INDEX(MineScale,C3521),"")</f>
        <v/>
      </c>
      <c r="L3521">
        <f>IF(B3521,INDEX(Dow,1,WEEKDAY(E3521,2)),"")</f>
        <v/>
      </c>
      <c r="M3521">
        <f>IF(B3521,(1+Trend)^D3521,"")</f>
        <v/>
      </c>
      <c r="N3521">
        <f>IF(B3521,EXP(SUMPRODUCT(LN(1+(EvEff-1)*INDEX(Affected,0,C3521)*EXP(-((E3521-EvCenter)^2)/(2*EvSigma^2))))),"")</f>
        <v/>
      </c>
      <c r="O3521">
        <f>IF(B3521,ROUND(MAX(0,J3521*K3521*L3521*M3521*N3521),2),"")</f>
        <v/>
      </c>
    </row>
    <row r="3522">
      <c r="A3522" t="n">
        <v>3521</v>
      </c>
      <c r="B3522">
        <f>A3522&lt;=MineCount*Days</f>
        <v/>
      </c>
      <c r="C3522">
        <f>IF(B3522,INT((A3522-1)/Days)+1,"")</f>
        <v/>
      </c>
      <c r="D3522">
        <f>IF(B3522,MOD(A3522-1,Days),"")</f>
        <v/>
      </c>
      <c r="E3522" s="16">
        <f>IF(B3522,StartDate+D3522,"")</f>
        <v/>
      </c>
      <c r="F3522">
        <f>IF(B3522,MAX(MOD(SIN(Seed*0.1373+C3522*12.9898+D3522*78.233)*43758.5453,1),1E-9),"")</f>
        <v/>
      </c>
      <c r="G3522">
        <f>IF(B3522,MOD(SIN(Seed*0.5917+C3522*39.3468+D3522*11.135)*24634.6345,1),"")</f>
        <v/>
      </c>
      <c r="H3522">
        <f>IF(B3522,SQRT(-2*LN(F3522))*COS(2*PI()*G3522),"")</f>
        <v/>
      </c>
      <c r="I3522">
        <f>IF(B3522,IF(D3522=0,H3522,Rho*I3521+SQRT(1-Rho^2)*H3522),"")</f>
        <v/>
      </c>
      <c r="J3522">
        <f>IF(B3522,IF(Dist="Normal",DistA+DistB*I3522,DistA+(DistB-DistA)*NORMSDIST(I3522)),"")</f>
        <v/>
      </c>
      <c r="K3522">
        <f>IF(B3522,INDEX(MineScale,C3522),"")</f>
        <v/>
      </c>
      <c r="L3522">
        <f>IF(B3522,INDEX(Dow,1,WEEKDAY(E3522,2)),"")</f>
        <v/>
      </c>
      <c r="M3522">
        <f>IF(B3522,(1+Trend)^D3522,"")</f>
        <v/>
      </c>
      <c r="N3522">
        <f>IF(B3522,EXP(SUMPRODUCT(LN(1+(EvEff-1)*INDEX(Affected,0,C3522)*EXP(-((E3522-EvCenter)^2)/(2*EvSigma^2))))),"")</f>
        <v/>
      </c>
      <c r="O3522">
        <f>IF(B3522,ROUND(MAX(0,J3522*K3522*L3522*M3522*N3522),2),"")</f>
        <v/>
      </c>
    </row>
    <row r="3523">
      <c r="A3523" t="n">
        <v>3522</v>
      </c>
      <c r="B3523">
        <f>A3523&lt;=MineCount*Days</f>
        <v/>
      </c>
      <c r="C3523">
        <f>IF(B3523,INT((A3523-1)/Days)+1,"")</f>
        <v/>
      </c>
      <c r="D3523">
        <f>IF(B3523,MOD(A3523-1,Days),"")</f>
        <v/>
      </c>
      <c r="E3523" s="16">
        <f>IF(B3523,StartDate+D3523,"")</f>
        <v/>
      </c>
      <c r="F3523">
        <f>IF(B3523,MAX(MOD(SIN(Seed*0.1373+C3523*12.9898+D3523*78.233)*43758.5453,1),1E-9),"")</f>
        <v/>
      </c>
      <c r="G3523">
        <f>IF(B3523,MOD(SIN(Seed*0.5917+C3523*39.3468+D3523*11.135)*24634.6345,1),"")</f>
        <v/>
      </c>
      <c r="H3523">
        <f>IF(B3523,SQRT(-2*LN(F3523))*COS(2*PI()*G3523),"")</f>
        <v/>
      </c>
      <c r="I3523">
        <f>IF(B3523,IF(D3523=0,H3523,Rho*I3522+SQRT(1-Rho^2)*H3523),"")</f>
        <v/>
      </c>
      <c r="J3523">
        <f>IF(B3523,IF(Dist="Normal",DistA+DistB*I3523,DistA+(DistB-DistA)*NORMSDIST(I3523)),"")</f>
        <v/>
      </c>
      <c r="K3523">
        <f>IF(B3523,INDEX(MineScale,C3523),"")</f>
        <v/>
      </c>
      <c r="L3523">
        <f>IF(B3523,INDEX(Dow,1,WEEKDAY(E3523,2)),"")</f>
        <v/>
      </c>
      <c r="M3523">
        <f>IF(B3523,(1+Trend)^D3523,"")</f>
        <v/>
      </c>
      <c r="N3523">
        <f>IF(B3523,EXP(SUMPRODUCT(LN(1+(EvEff-1)*INDEX(Affected,0,C3523)*EXP(-((E3523-EvCenter)^2)/(2*EvSigma^2))))),"")</f>
        <v/>
      </c>
      <c r="O3523">
        <f>IF(B3523,ROUND(MAX(0,J3523*K3523*L3523*M3523*N3523),2),"")</f>
        <v/>
      </c>
    </row>
    <row r="3524">
      <c r="A3524" t="n">
        <v>3523</v>
      </c>
      <c r="B3524">
        <f>A3524&lt;=MineCount*Days</f>
        <v/>
      </c>
      <c r="C3524">
        <f>IF(B3524,INT((A3524-1)/Days)+1,"")</f>
        <v/>
      </c>
      <c r="D3524">
        <f>IF(B3524,MOD(A3524-1,Days),"")</f>
        <v/>
      </c>
      <c r="E3524" s="16">
        <f>IF(B3524,StartDate+D3524,"")</f>
        <v/>
      </c>
      <c r="F3524">
        <f>IF(B3524,MAX(MOD(SIN(Seed*0.1373+C3524*12.9898+D3524*78.233)*43758.5453,1),1E-9),"")</f>
        <v/>
      </c>
      <c r="G3524">
        <f>IF(B3524,MOD(SIN(Seed*0.5917+C3524*39.3468+D3524*11.135)*24634.6345,1),"")</f>
        <v/>
      </c>
      <c r="H3524">
        <f>IF(B3524,SQRT(-2*LN(F3524))*COS(2*PI()*G3524),"")</f>
        <v/>
      </c>
      <c r="I3524">
        <f>IF(B3524,IF(D3524=0,H3524,Rho*I3523+SQRT(1-Rho^2)*H3524),"")</f>
        <v/>
      </c>
      <c r="J3524">
        <f>IF(B3524,IF(Dist="Normal",DistA+DistB*I3524,DistA+(DistB-DistA)*NORMSDIST(I3524)),"")</f>
        <v/>
      </c>
      <c r="K3524">
        <f>IF(B3524,INDEX(MineScale,C3524),"")</f>
        <v/>
      </c>
      <c r="L3524">
        <f>IF(B3524,INDEX(Dow,1,WEEKDAY(E3524,2)),"")</f>
        <v/>
      </c>
      <c r="M3524">
        <f>IF(B3524,(1+Trend)^D3524,"")</f>
        <v/>
      </c>
      <c r="N3524">
        <f>IF(B3524,EXP(SUMPRODUCT(LN(1+(EvEff-1)*INDEX(Affected,0,C3524)*EXP(-((E3524-EvCenter)^2)/(2*EvSigma^2))))),"")</f>
        <v/>
      </c>
      <c r="O3524">
        <f>IF(B3524,ROUND(MAX(0,J3524*K3524*L3524*M3524*N3524),2),"")</f>
        <v/>
      </c>
    </row>
    <row r="3525">
      <c r="A3525" t="n">
        <v>3524</v>
      </c>
      <c r="B3525">
        <f>A3525&lt;=MineCount*Days</f>
        <v/>
      </c>
      <c r="C3525">
        <f>IF(B3525,INT((A3525-1)/Days)+1,"")</f>
        <v/>
      </c>
      <c r="D3525">
        <f>IF(B3525,MOD(A3525-1,Days),"")</f>
        <v/>
      </c>
      <c r="E3525" s="16">
        <f>IF(B3525,StartDate+D3525,"")</f>
        <v/>
      </c>
      <c r="F3525">
        <f>IF(B3525,MAX(MOD(SIN(Seed*0.1373+C3525*12.9898+D3525*78.233)*43758.5453,1),1E-9),"")</f>
        <v/>
      </c>
      <c r="G3525">
        <f>IF(B3525,MOD(SIN(Seed*0.5917+C3525*39.3468+D3525*11.135)*24634.6345,1),"")</f>
        <v/>
      </c>
      <c r="H3525">
        <f>IF(B3525,SQRT(-2*LN(F3525))*COS(2*PI()*G3525),"")</f>
        <v/>
      </c>
      <c r="I3525">
        <f>IF(B3525,IF(D3525=0,H3525,Rho*I3524+SQRT(1-Rho^2)*H3525),"")</f>
        <v/>
      </c>
      <c r="J3525">
        <f>IF(B3525,IF(Dist="Normal",DistA+DistB*I3525,DistA+(DistB-DistA)*NORMSDIST(I3525)),"")</f>
        <v/>
      </c>
      <c r="K3525">
        <f>IF(B3525,INDEX(MineScale,C3525),"")</f>
        <v/>
      </c>
      <c r="L3525">
        <f>IF(B3525,INDEX(Dow,1,WEEKDAY(E3525,2)),"")</f>
        <v/>
      </c>
      <c r="M3525">
        <f>IF(B3525,(1+Trend)^D3525,"")</f>
        <v/>
      </c>
      <c r="N3525">
        <f>IF(B3525,EXP(SUMPRODUCT(LN(1+(EvEff-1)*INDEX(Affected,0,C3525)*EXP(-((E3525-EvCenter)^2)/(2*EvSigma^2))))),"")</f>
        <v/>
      </c>
      <c r="O3525">
        <f>IF(B3525,ROUND(MAX(0,J3525*K3525*L3525*M3525*N3525),2),"")</f>
        <v/>
      </c>
    </row>
    <row r="3526">
      <c r="A3526" t="n">
        <v>3525</v>
      </c>
      <c r="B3526">
        <f>A3526&lt;=MineCount*Days</f>
        <v/>
      </c>
      <c r="C3526">
        <f>IF(B3526,INT((A3526-1)/Days)+1,"")</f>
        <v/>
      </c>
      <c r="D3526">
        <f>IF(B3526,MOD(A3526-1,Days),"")</f>
        <v/>
      </c>
      <c r="E3526" s="16">
        <f>IF(B3526,StartDate+D3526,"")</f>
        <v/>
      </c>
      <c r="F3526">
        <f>IF(B3526,MAX(MOD(SIN(Seed*0.1373+C3526*12.9898+D3526*78.233)*43758.5453,1),1E-9),"")</f>
        <v/>
      </c>
      <c r="G3526">
        <f>IF(B3526,MOD(SIN(Seed*0.5917+C3526*39.3468+D3526*11.135)*24634.6345,1),"")</f>
        <v/>
      </c>
      <c r="H3526">
        <f>IF(B3526,SQRT(-2*LN(F3526))*COS(2*PI()*G3526),"")</f>
        <v/>
      </c>
      <c r="I3526">
        <f>IF(B3526,IF(D3526=0,H3526,Rho*I3525+SQRT(1-Rho^2)*H3526),"")</f>
        <v/>
      </c>
      <c r="J3526">
        <f>IF(B3526,IF(Dist="Normal",DistA+DistB*I3526,DistA+(DistB-DistA)*NORMSDIST(I3526)),"")</f>
        <v/>
      </c>
      <c r="K3526">
        <f>IF(B3526,INDEX(MineScale,C3526),"")</f>
        <v/>
      </c>
      <c r="L3526">
        <f>IF(B3526,INDEX(Dow,1,WEEKDAY(E3526,2)),"")</f>
        <v/>
      </c>
      <c r="M3526">
        <f>IF(B3526,(1+Trend)^D3526,"")</f>
        <v/>
      </c>
      <c r="N3526">
        <f>IF(B3526,EXP(SUMPRODUCT(LN(1+(EvEff-1)*INDEX(Affected,0,C3526)*EXP(-((E3526-EvCenter)^2)/(2*EvSigma^2))))),"")</f>
        <v/>
      </c>
      <c r="O3526">
        <f>IF(B3526,ROUND(MAX(0,J3526*K3526*L3526*M3526*N3526),2),"")</f>
        <v/>
      </c>
    </row>
    <row r="3527">
      <c r="A3527" t="n">
        <v>3526</v>
      </c>
      <c r="B3527">
        <f>A3527&lt;=MineCount*Days</f>
        <v/>
      </c>
      <c r="C3527">
        <f>IF(B3527,INT((A3527-1)/Days)+1,"")</f>
        <v/>
      </c>
      <c r="D3527">
        <f>IF(B3527,MOD(A3527-1,Days),"")</f>
        <v/>
      </c>
      <c r="E3527" s="16">
        <f>IF(B3527,StartDate+D3527,"")</f>
        <v/>
      </c>
      <c r="F3527">
        <f>IF(B3527,MAX(MOD(SIN(Seed*0.1373+C3527*12.9898+D3527*78.233)*43758.5453,1),1E-9),"")</f>
        <v/>
      </c>
      <c r="G3527">
        <f>IF(B3527,MOD(SIN(Seed*0.5917+C3527*39.3468+D3527*11.135)*24634.6345,1),"")</f>
        <v/>
      </c>
      <c r="H3527">
        <f>IF(B3527,SQRT(-2*LN(F3527))*COS(2*PI()*G3527),"")</f>
        <v/>
      </c>
      <c r="I3527">
        <f>IF(B3527,IF(D3527=0,H3527,Rho*I3526+SQRT(1-Rho^2)*H3527),"")</f>
        <v/>
      </c>
      <c r="J3527">
        <f>IF(B3527,IF(Dist="Normal",DistA+DistB*I3527,DistA+(DistB-DistA)*NORMSDIST(I3527)),"")</f>
        <v/>
      </c>
      <c r="K3527">
        <f>IF(B3527,INDEX(MineScale,C3527),"")</f>
        <v/>
      </c>
      <c r="L3527">
        <f>IF(B3527,INDEX(Dow,1,WEEKDAY(E3527,2)),"")</f>
        <v/>
      </c>
      <c r="M3527">
        <f>IF(B3527,(1+Trend)^D3527,"")</f>
        <v/>
      </c>
      <c r="N3527">
        <f>IF(B3527,EXP(SUMPRODUCT(LN(1+(EvEff-1)*INDEX(Affected,0,C3527)*EXP(-((E3527-EvCenter)^2)/(2*EvSigma^2))))),"")</f>
        <v/>
      </c>
      <c r="O3527">
        <f>IF(B3527,ROUND(MAX(0,J3527*K3527*L3527*M3527*N3527),2),"")</f>
        <v/>
      </c>
    </row>
    <row r="3528">
      <c r="A3528" t="n">
        <v>3527</v>
      </c>
      <c r="B3528">
        <f>A3528&lt;=MineCount*Days</f>
        <v/>
      </c>
      <c r="C3528">
        <f>IF(B3528,INT((A3528-1)/Days)+1,"")</f>
        <v/>
      </c>
      <c r="D3528">
        <f>IF(B3528,MOD(A3528-1,Days),"")</f>
        <v/>
      </c>
      <c r="E3528" s="16">
        <f>IF(B3528,StartDate+D3528,"")</f>
        <v/>
      </c>
      <c r="F3528">
        <f>IF(B3528,MAX(MOD(SIN(Seed*0.1373+C3528*12.9898+D3528*78.233)*43758.5453,1),1E-9),"")</f>
        <v/>
      </c>
      <c r="G3528">
        <f>IF(B3528,MOD(SIN(Seed*0.5917+C3528*39.3468+D3528*11.135)*24634.6345,1),"")</f>
        <v/>
      </c>
      <c r="H3528">
        <f>IF(B3528,SQRT(-2*LN(F3528))*COS(2*PI()*G3528),"")</f>
        <v/>
      </c>
      <c r="I3528">
        <f>IF(B3528,IF(D3528=0,H3528,Rho*I3527+SQRT(1-Rho^2)*H3528),"")</f>
        <v/>
      </c>
      <c r="J3528">
        <f>IF(B3528,IF(Dist="Normal",DistA+DistB*I3528,DistA+(DistB-DistA)*NORMSDIST(I3528)),"")</f>
        <v/>
      </c>
      <c r="K3528">
        <f>IF(B3528,INDEX(MineScale,C3528),"")</f>
        <v/>
      </c>
      <c r="L3528">
        <f>IF(B3528,INDEX(Dow,1,WEEKDAY(E3528,2)),"")</f>
        <v/>
      </c>
      <c r="M3528">
        <f>IF(B3528,(1+Trend)^D3528,"")</f>
        <v/>
      </c>
      <c r="N3528">
        <f>IF(B3528,EXP(SUMPRODUCT(LN(1+(EvEff-1)*INDEX(Affected,0,C3528)*EXP(-((E3528-EvCenter)^2)/(2*EvSigma^2))))),"")</f>
        <v/>
      </c>
      <c r="O3528">
        <f>IF(B3528,ROUND(MAX(0,J3528*K3528*L3528*M3528*N3528),2),"")</f>
        <v/>
      </c>
    </row>
    <row r="3529">
      <c r="A3529" t="n">
        <v>3528</v>
      </c>
      <c r="B3529">
        <f>A3529&lt;=MineCount*Days</f>
        <v/>
      </c>
      <c r="C3529">
        <f>IF(B3529,INT((A3529-1)/Days)+1,"")</f>
        <v/>
      </c>
      <c r="D3529">
        <f>IF(B3529,MOD(A3529-1,Days),"")</f>
        <v/>
      </c>
      <c r="E3529" s="16">
        <f>IF(B3529,StartDate+D3529,"")</f>
        <v/>
      </c>
      <c r="F3529">
        <f>IF(B3529,MAX(MOD(SIN(Seed*0.1373+C3529*12.9898+D3529*78.233)*43758.5453,1),1E-9),"")</f>
        <v/>
      </c>
      <c r="G3529">
        <f>IF(B3529,MOD(SIN(Seed*0.5917+C3529*39.3468+D3529*11.135)*24634.6345,1),"")</f>
        <v/>
      </c>
      <c r="H3529">
        <f>IF(B3529,SQRT(-2*LN(F3529))*COS(2*PI()*G3529),"")</f>
        <v/>
      </c>
      <c r="I3529">
        <f>IF(B3529,IF(D3529=0,H3529,Rho*I3528+SQRT(1-Rho^2)*H3529),"")</f>
        <v/>
      </c>
      <c r="J3529">
        <f>IF(B3529,IF(Dist="Normal",DistA+DistB*I3529,DistA+(DistB-DistA)*NORMSDIST(I3529)),"")</f>
        <v/>
      </c>
      <c r="K3529">
        <f>IF(B3529,INDEX(MineScale,C3529),"")</f>
        <v/>
      </c>
      <c r="L3529">
        <f>IF(B3529,INDEX(Dow,1,WEEKDAY(E3529,2)),"")</f>
        <v/>
      </c>
      <c r="M3529">
        <f>IF(B3529,(1+Trend)^D3529,"")</f>
        <v/>
      </c>
      <c r="N3529">
        <f>IF(B3529,EXP(SUMPRODUCT(LN(1+(EvEff-1)*INDEX(Affected,0,C3529)*EXP(-((E3529-EvCenter)^2)/(2*EvSigma^2))))),"")</f>
        <v/>
      </c>
      <c r="O3529">
        <f>IF(B3529,ROUND(MAX(0,J3529*K3529*L3529*M3529*N3529),2),"")</f>
        <v/>
      </c>
    </row>
    <row r="3530">
      <c r="A3530" t="n">
        <v>3529</v>
      </c>
      <c r="B3530">
        <f>A3530&lt;=MineCount*Days</f>
        <v/>
      </c>
      <c r="C3530">
        <f>IF(B3530,INT((A3530-1)/Days)+1,"")</f>
        <v/>
      </c>
      <c r="D3530">
        <f>IF(B3530,MOD(A3530-1,Days),"")</f>
        <v/>
      </c>
      <c r="E3530" s="16">
        <f>IF(B3530,StartDate+D3530,"")</f>
        <v/>
      </c>
      <c r="F3530">
        <f>IF(B3530,MAX(MOD(SIN(Seed*0.1373+C3530*12.9898+D3530*78.233)*43758.5453,1),1E-9),"")</f>
        <v/>
      </c>
      <c r="G3530">
        <f>IF(B3530,MOD(SIN(Seed*0.5917+C3530*39.3468+D3530*11.135)*24634.6345,1),"")</f>
        <v/>
      </c>
      <c r="H3530">
        <f>IF(B3530,SQRT(-2*LN(F3530))*COS(2*PI()*G3530),"")</f>
        <v/>
      </c>
      <c r="I3530">
        <f>IF(B3530,IF(D3530=0,H3530,Rho*I3529+SQRT(1-Rho^2)*H3530),"")</f>
        <v/>
      </c>
      <c r="J3530">
        <f>IF(B3530,IF(Dist="Normal",DistA+DistB*I3530,DistA+(DistB-DistA)*NORMSDIST(I3530)),"")</f>
        <v/>
      </c>
      <c r="K3530">
        <f>IF(B3530,INDEX(MineScale,C3530),"")</f>
        <v/>
      </c>
      <c r="L3530">
        <f>IF(B3530,INDEX(Dow,1,WEEKDAY(E3530,2)),"")</f>
        <v/>
      </c>
      <c r="M3530">
        <f>IF(B3530,(1+Trend)^D3530,"")</f>
        <v/>
      </c>
      <c r="N3530">
        <f>IF(B3530,EXP(SUMPRODUCT(LN(1+(EvEff-1)*INDEX(Affected,0,C3530)*EXP(-((E3530-EvCenter)^2)/(2*EvSigma^2))))),"")</f>
        <v/>
      </c>
      <c r="O3530">
        <f>IF(B3530,ROUND(MAX(0,J3530*K3530*L3530*M3530*N3530),2),"")</f>
        <v/>
      </c>
    </row>
    <row r="3531">
      <c r="A3531" t="n">
        <v>3530</v>
      </c>
      <c r="B3531">
        <f>A3531&lt;=MineCount*Days</f>
        <v/>
      </c>
      <c r="C3531">
        <f>IF(B3531,INT((A3531-1)/Days)+1,"")</f>
        <v/>
      </c>
      <c r="D3531">
        <f>IF(B3531,MOD(A3531-1,Days),"")</f>
        <v/>
      </c>
      <c r="E3531" s="16">
        <f>IF(B3531,StartDate+D3531,"")</f>
        <v/>
      </c>
      <c r="F3531">
        <f>IF(B3531,MAX(MOD(SIN(Seed*0.1373+C3531*12.9898+D3531*78.233)*43758.5453,1),1E-9),"")</f>
        <v/>
      </c>
      <c r="G3531">
        <f>IF(B3531,MOD(SIN(Seed*0.5917+C3531*39.3468+D3531*11.135)*24634.6345,1),"")</f>
        <v/>
      </c>
      <c r="H3531">
        <f>IF(B3531,SQRT(-2*LN(F3531))*COS(2*PI()*G3531),"")</f>
        <v/>
      </c>
      <c r="I3531">
        <f>IF(B3531,IF(D3531=0,H3531,Rho*I3530+SQRT(1-Rho^2)*H3531),"")</f>
        <v/>
      </c>
      <c r="J3531">
        <f>IF(B3531,IF(Dist="Normal",DistA+DistB*I3531,DistA+(DistB-DistA)*NORMSDIST(I3531)),"")</f>
        <v/>
      </c>
      <c r="K3531">
        <f>IF(B3531,INDEX(MineScale,C3531),"")</f>
        <v/>
      </c>
      <c r="L3531">
        <f>IF(B3531,INDEX(Dow,1,WEEKDAY(E3531,2)),"")</f>
        <v/>
      </c>
      <c r="M3531">
        <f>IF(B3531,(1+Trend)^D3531,"")</f>
        <v/>
      </c>
      <c r="N3531">
        <f>IF(B3531,EXP(SUMPRODUCT(LN(1+(EvEff-1)*INDEX(Affected,0,C3531)*EXP(-((E3531-EvCenter)^2)/(2*EvSigma^2))))),"")</f>
        <v/>
      </c>
      <c r="O3531">
        <f>IF(B3531,ROUND(MAX(0,J3531*K3531*L3531*M3531*N3531),2),"")</f>
        <v/>
      </c>
    </row>
    <row r="3532">
      <c r="A3532" t="n">
        <v>3531</v>
      </c>
      <c r="B3532">
        <f>A3532&lt;=MineCount*Days</f>
        <v/>
      </c>
      <c r="C3532">
        <f>IF(B3532,INT((A3532-1)/Days)+1,"")</f>
        <v/>
      </c>
      <c r="D3532">
        <f>IF(B3532,MOD(A3532-1,Days),"")</f>
        <v/>
      </c>
      <c r="E3532" s="16">
        <f>IF(B3532,StartDate+D3532,"")</f>
        <v/>
      </c>
      <c r="F3532">
        <f>IF(B3532,MAX(MOD(SIN(Seed*0.1373+C3532*12.9898+D3532*78.233)*43758.5453,1),1E-9),"")</f>
        <v/>
      </c>
      <c r="G3532">
        <f>IF(B3532,MOD(SIN(Seed*0.5917+C3532*39.3468+D3532*11.135)*24634.6345,1),"")</f>
        <v/>
      </c>
      <c r="H3532">
        <f>IF(B3532,SQRT(-2*LN(F3532))*COS(2*PI()*G3532),"")</f>
        <v/>
      </c>
      <c r="I3532">
        <f>IF(B3532,IF(D3532=0,H3532,Rho*I3531+SQRT(1-Rho^2)*H3532),"")</f>
        <v/>
      </c>
      <c r="J3532">
        <f>IF(B3532,IF(Dist="Normal",DistA+DistB*I3532,DistA+(DistB-DistA)*NORMSDIST(I3532)),"")</f>
        <v/>
      </c>
      <c r="K3532">
        <f>IF(B3532,INDEX(MineScale,C3532),"")</f>
        <v/>
      </c>
      <c r="L3532">
        <f>IF(B3532,INDEX(Dow,1,WEEKDAY(E3532,2)),"")</f>
        <v/>
      </c>
      <c r="M3532">
        <f>IF(B3532,(1+Trend)^D3532,"")</f>
        <v/>
      </c>
      <c r="N3532">
        <f>IF(B3532,EXP(SUMPRODUCT(LN(1+(EvEff-1)*INDEX(Affected,0,C3532)*EXP(-((E3532-EvCenter)^2)/(2*EvSigma^2))))),"")</f>
        <v/>
      </c>
      <c r="O3532">
        <f>IF(B3532,ROUND(MAX(0,J3532*K3532*L3532*M3532*N3532),2),"")</f>
        <v/>
      </c>
    </row>
    <row r="3533">
      <c r="A3533" t="n">
        <v>3532</v>
      </c>
      <c r="B3533">
        <f>A3533&lt;=MineCount*Days</f>
        <v/>
      </c>
      <c r="C3533">
        <f>IF(B3533,INT((A3533-1)/Days)+1,"")</f>
        <v/>
      </c>
      <c r="D3533">
        <f>IF(B3533,MOD(A3533-1,Days),"")</f>
        <v/>
      </c>
      <c r="E3533" s="16">
        <f>IF(B3533,StartDate+D3533,"")</f>
        <v/>
      </c>
      <c r="F3533">
        <f>IF(B3533,MAX(MOD(SIN(Seed*0.1373+C3533*12.9898+D3533*78.233)*43758.5453,1),1E-9),"")</f>
        <v/>
      </c>
      <c r="G3533">
        <f>IF(B3533,MOD(SIN(Seed*0.5917+C3533*39.3468+D3533*11.135)*24634.6345,1),"")</f>
        <v/>
      </c>
      <c r="H3533">
        <f>IF(B3533,SQRT(-2*LN(F3533))*COS(2*PI()*G3533),"")</f>
        <v/>
      </c>
      <c r="I3533">
        <f>IF(B3533,IF(D3533=0,H3533,Rho*I3532+SQRT(1-Rho^2)*H3533),"")</f>
        <v/>
      </c>
      <c r="J3533">
        <f>IF(B3533,IF(Dist="Normal",DistA+DistB*I3533,DistA+(DistB-DistA)*NORMSDIST(I3533)),"")</f>
        <v/>
      </c>
      <c r="K3533">
        <f>IF(B3533,INDEX(MineScale,C3533),"")</f>
        <v/>
      </c>
      <c r="L3533">
        <f>IF(B3533,INDEX(Dow,1,WEEKDAY(E3533,2)),"")</f>
        <v/>
      </c>
      <c r="M3533">
        <f>IF(B3533,(1+Trend)^D3533,"")</f>
        <v/>
      </c>
      <c r="N3533">
        <f>IF(B3533,EXP(SUMPRODUCT(LN(1+(EvEff-1)*INDEX(Affected,0,C3533)*EXP(-((E3533-EvCenter)^2)/(2*EvSigma^2))))),"")</f>
        <v/>
      </c>
      <c r="O3533">
        <f>IF(B3533,ROUND(MAX(0,J3533*K3533*L3533*M3533*N3533),2),"")</f>
        <v/>
      </c>
    </row>
    <row r="3534">
      <c r="A3534" t="n">
        <v>3533</v>
      </c>
      <c r="B3534">
        <f>A3534&lt;=MineCount*Days</f>
        <v/>
      </c>
      <c r="C3534">
        <f>IF(B3534,INT((A3534-1)/Days)+1,"")</f>
        <v/>
      </c>
      <c r="D3534">
        <f>IF(B3534,MOD(A3534-1,Days),"")</f>
        <v/>
      </c>
      <c r="E3534" s="16">
        <f>IF(B3534,StartDate+D3534,"")</f>
        <v/>
      </c>
      <c r="F3534">
        <f>IF(B3534,MAX(MOD(SIN(Seed*0.1373+C3534*12.9898+D3534*78.233)*43758.5453,1),1E-9),"")</f>
        <v/>
      </c>
      <c r="G3534">
        <f>IF(B3534,MOD(SIN(Seed*0.5917+C3534*39.3468+D3534*11.135)*24634.6345,1),"")</f>
        <v/>
      </c>
      <c r="H3534">
        <f>IF(B3534,SQRT(-2*LN(F3534))*COS(2*PI()*G3534),"")</f>
        <v/>
      </c>
      <c r="I3534">
        <f>IF(B3534,IF(D3534=0,H3534,Rho*I3533+SQRT(1-Rho^2)*H3534),"")</f>
        <v/>
      </c>
      <c r="J3534">
        <f>IF(B3534,IF(Dist="Normal",DistA+DistB*I3534,DistA+(DistB-DistA)*NORMSDIST(I3534)),"")</f>
        <v/>
      </c>
      <c r="K3534">
        <f>IF(B3534,INDEX(MineScale,C3534),"")</f>
        <v/>
      </c>
      <c r="L3534">
        <f>IF(B3534,INDEX(Dow,1,WEEKDAY(E3534,2)),"")</f>
        <v/>
      </c>
      <c r="M3534">
        <f>IF(B3534,(1+Trend)^D3534,"")</f>
        <v/>
      </c>
      <c r="N3534">
        <f>IF(B3534,EXP(SUMPRODUCT(LN(1+(EvEff-1)*INDEX(Affected,0,C3534)*EXP(-((E3534-EvCenter)^2)/(2*EvSigma^2))))),"")</f>
        <v/>
      </c>
      <c r="O3534">
        <f>IF(B3534,ROUND(MAX(0,J3534*K3534*L3534*M3534*N3534),2),"")</f>
        <v/>
      </c>
    </row>
    <row r="3535">
      <c r="A3535" t="n">
        <v>3534</v>
      </c>
      <c r="B3535">
        <f>A3535&lt;=MineCount*Days</f>
        <v/>
      </c>
      <c r="C3535">
        <f>IF(B3535,INT((A3535-1)/Days)+1,"")</f>
        <v/>
      </c>
      <c r="D3535">
        <f>IF(B3535,MOD(A3535-1,Days),"")</f>
        <v/>
      </c>
      <c r="E3535" s="16">
        <f>IF(B3535,StartDate+D3535,"")</f>
        <v/>
      </c>
      <c r="F3535">
        <f>IF(B3535,MAX(MOD(SIN(Seed*0.1373+C3535*12.9898+D3535*78.233)*43758.5453,1),1E-9),"")</f>
        <v/>
      </c>
      <c r="G3535">
        <f>IF(B3535,MOD(SIN(Seed*0.5917+C3535*39.3468+D3535*11.135)*24634.6345,1),"")</f>
        <v/>
      </c>
      <c r="H3535">
        <f>IF(B3535,SQRT(-2*LN(F3535))*COS(2*PI()*G3535),"")</f>
        <v/>
      </c>
      <c r="I3535">
        <f>IF(B3535,IF(D3535=0,H3535,Rho*I3534+SQRT(1-Rho^2)*H3535),"")</f>
        <v/>
      </c>
      <c r="J3535">
        <f>IF(B3535,IF(Dist="Normal",DistA+DistB*I3535,DistA+(DistB-DistA)*NORMSDIST(I3535)),"")</f>
        <v/>
      </c>
      <c r="K3535">
        <f>IF(B3535,INDEX(MineScale,C3535),"")</f>
        <v/>
      </c>
      <c r="L3535">
        <f>IF(B3535,INDEX(Dow,1,WEEKDAY(E3535,2)),"")</f>
        <v/>
      </c>
      <c r="M3535">
        <f>IF(B3535,(1+Trend)^D3535,"")</f>
        <v/>
      </c>
      <c r="N3535">
        <f>IF(B3535,EXP(SUMPRODUCT(LN(1+(EvEff-1)*INDEX(Affected,0,C3535)*EXP(-((E3535-EvCenter)^2)/(2*EvSigma^2))))),"")</f>
        <v/>
      </c>
      <c r="O3535">
        <f>IF(B3535,ROUND(MAX(0,J3535*K3535*L3535*M3535*N3535),2),"")</f>
        <v/>
      </c>
    </row>
    <row r="3536">
      <c r="A3536" t="n">
        <v>3535</v>
      </c>
      <c r="B3536">
        <f>A3536&lt;=MineCount*Days</f>
        <v/>
      </c>
      <c r="C3536">
        <f>IF(B3536,INT((A3536-1)/Days)+1,"")</f>
        <v/>
      </c>
      <c r="D3536">
        <f>IF(B3536,MOD(A3536-1,Days),"")</f>
        <v/>
      </c>
      <c r="E3536" s="16">
        <f>IF(B3536,StartDate+D3536,"")</f>
        <v/>
      </c>
      <c r="F3536">
        <f>IF(B3536,MAX(MOD(SIN(Seed*0.1373+C3536*12.9898+D3536*78.233)*43758.5453,1),1E-9),"")</f>
        <v/>
      </c>
      <c r="G3536">
        <f>IF(B3536,MOD(SIN(Seed*0.5917+C3536*39.3468+D3536*11.135)*24634.6345,1),"")</f>
        <v/>
      </c>
      <c r="H3536">
        <f>IF(B3536,SQRT(-2*LN(F3536))*COS(2*PI()*G3536),"")</f>
        <v/>
      </c>
      <c r="I3536">
        <f>IF(B3536,IF(D3536=0,H3536,Rho*I3535+SQRT(1-Rho^2)*H3536),"")</f>
        <v/>
      </c>
      <c r="J3536">
        <f>IF(B3536,IF(Dist="Normal",DistA+DistB*I3536,DistA+(DistB-DistA)*NORMSDIST(I3536)),"")</f>
        <v/>
      </c>
      <c r="K3536">
        <f>IF(B3536,INDEX(MineScale,C3536),"")</f>
        <v/>
      </c>
      <c r="L3536">
        <f>IF(B3536,INDEX(Dow,1,WEEKDAY(E3536,2)),"")</f>
        <v/>
      </c>
      <c r="M3536">
        <f>IF(B3536,(1+Trend)^D3536,"")</f>
        <v/>
      </c>
      <c r="N3536">
        <f>IF(B3536,EXP(SUMPRODUCT(LN(1+(EvEff-1)*INDEX(Affected,0,C3536)*EXP(-((E3536-EvCenter)^2)/(2*EvSigma^2))))),"")</f>
        <v/>
      </c>
      <c r="O3536">
        <f>IF(B3536,ROUND(MAX(0,J3536*K3536*L3536*M3536*N3536),2),"")</f>
        <v/>
      </c>
    </row>
    <row r="3537">
      <c r="A3537" t="n">
        <v>3536</v>
      </c>
      <c r="B3537">
        <f>A3537&lt;=MineCount*Days</f>
        <v/>
      </c>
      <c r="C3537">
        <f>IF(B3537,INT((A3537-1)/Days)+1,"")</f>
        <v/>
      </c>
      <c r="D3537">
        <f>IF(B3537,MOD(A3537-1,Days),"")</f>
        <v/>
      </c>
      <c r="E3537" s="16">
        <f>IF(B3537,StartDate+D3537,"")</f>
        <v/>
      </c>
      <c r="F3537">
        <f>IF(B3537,MAX(MOD(SIN(Seed*0.1373+C3537*12.9898+D3537*78.233)*43758.5453,1),1E-9),"")</f>
        <v/>
      </c>
      <c r="G3537">
        <f>IF(B3537,MOD(SIN(Seed*0.5917+C3537*39.3468+D3537*11.135)*24634.6345,1),"")</f>
        <v/>
      </c>
      <c r="H3537">
        <f>IF(B3537,SQRT(-2*LN(F3537))*COS(2*PI()*G3537),"")</f>
        <v/>
      </c>
      <c r="I3537">
        <f>IF(B3537,IF(D3537=0,H3537,Rho*I3536+SQRT(1-Rho^2)*H3537),"")</f>
        <v/>
      </c>
      <c r="J3537">
        <f>IF(B3537,IF(Dist="Normal",DistA+DistB*I3537,DistA+(DistB-DistA)*NORMSDIST(I3537)),"")</f>
        <v/>
      </c>
      <c r="K3537">
        <f>IF(B3537,INDEX(MineScale,C3537),"")</f>
        <v/>
      </c>
      <c r="L3537">
        <f>IF(B3537,INDEX(Dow,1,WEEKDAY(E3537,2)),"")</f>
        <v/>
      </c>
      <c r="M3537">
        <f>IF(B3537,(1+Trend)^D3537,"")</f>
        <v/>
      </c>
      <c r="N3537">
        <f>IF(B3537,EXP(SUMPRODUCT(LN(1+(EvEff-1)*INDEX(Affected,0,C3537)*EXP(-((E3537-EvCenter)^2)/(2*EvSigma^2))))),"")</f>
        <v/>
      </c>
      <c r="O3537">
        <f>IF(B3537,ROUND(MAX(0,J3537*K3537*L3537*M3537*N3537),2),"")</f>
        <v/>
      </c>
    </row>
    <row r="3538">
      <c r="A3538" t="n">
        <v>3537</v>
      </c>
      <c r="B3538">
        <f>A3538&lt;=MineCount*Days</f>
        <v/>
      </c>
      <c r="C3538">
        <f>IF(B3538,INT((A3538-1)/Days)+1,"")</f>
        <v/>
      </c>
      <c r="D3538">
        <f>IF(B3538,MOD(A3538-1,Days),"")</f>
        <v/>
      </c>
      <c r="E3538" s="16">
        <f>IF(B3538,StartDate+D3538,"")</f>
        <v/>
      </c>
      <c r="F3538">
        <f>IF(B3538,MAX(MOD(SIN(Seed*0.1373+C3538*12.9898+D3538*78.233)*43758.5453,1),1E-9),"")</f>
        <v/>
      </c>
      <c r="G3538">
        <f>IF(B3538,MOD(SIN(Seed*0.5917+C3538*39.3468+D3538*11.135)*24634.6345,1),"")</f>
        <v/>
      </c>
      <c r="H3538">
        <f>IF(B3538,SQRT(-2*LN(F3538))*COS(2*PI()*G3538),"")</f>
        <v/>
      </c>
      <c r="I3538">
        <f>IF(B3538,IF(D3538=0,H3538,Rho*I3537+SQRT(1-Rho^2)*H3538),"")</f>
        <v/>
      </c>
      <c r="J3538">
        <f>IF(B3538,IF(Dist="Normal",DistA+DistB*I3538,DistA+(DistB-DistA)*NORMSDIST(I3538)),"")</f>
        <v/>
      </c>
      <c r="K3538">
        <f>IF(B3538,INDEX(MineScale,C3538),"")</f>
        <v/>
      </c>
      <c r="L3538">
        <f>IF(B3538,INDEX(Dow,1,WEEKDAY(E3538,2)),"")</f>
        <v/>
      </c>
      <c r="M3538">
        <f>IF(B3538,(1+Trend)^D3538,"")</f>
        <v/>
      </c>
      <c r="N3538">
        <f>IF(B3538,EXP(SUMPRODUCT(LN(1+(EvEff-1)*INDEX(Affected,0,C3538)*EXP(-((E3538-EvCenter)^2)/(2*EvSigma^2))))),"")</f>
        <v/>
      </c>
      <c r="O3538">
        <f>IF(B3538,ROUND(MAX(0,J3538*K3538*L3538*M3538*N3538),2),"")</f>
        <v/>
      </c>
    </row>
    <row r="3539">
      <c r="A3539" t="n">
        <v>3538</v>
      </c>
      <c r="B3539">
        <f>A3539&lt;=MineCount*Days</f>
        <v/>
      </c>
      <c r="C3539">
        <f>IF(B3539,INT((A3539-1)/Days)+1,"")</f>
        <v/>
      </c>
      <c r="D3539">
        <f>IF(B3539,MOD(A3539-1,Days),"")</f>
        <v/>
      </c>
      <c r="E3539" s="16">
        <f>IF(B3539,StartDate+D3539,"")</f>
        <v/>
      </c>
      <c r="F3539">
        <f>IF(B3539,MAX(MOD(SIN(Seed*0.1373+C3539*12.9898+D3539*78.233)*43758.5453,1),1E-9),"")</f>
        <v/>
      </c>
      <c r="G3539">
        <f>IF(B3539,MOD(SIN(Seed*0.5917+C3539*39.3468+D3539*11.135)*24634.6345,1),"")</f>
        <v/>
      </c>
      <c r="H3539">
        <f>IF(B3539,SQRT(-2*LN(F3539))*COS(2*PI()*G3539),"")</f>
        <v/>
      </c>
      <c r="I3539">
        <f>IF(B3539,IF(D3539=0,H3539,Rho*I3538+SQRT(1-Rho^2)*H3539),"")</f>
        <v/>
      </c>
      <c r="J3539">
        <f>IF(B3539,IF(Dist="Normal",DistA+DistB*I3539,DistA+(DistB-DistA)*NORMSDIST(I3539)),"")</f>
        <v/>
      </c>
      <c r="K3539">
        <f>IF(B3539,INDEX(MineScale,C3539),"")</f>
        <v/>
      </c>
      <c r="L3539">
        <f>IF(B3539,INDEX(Dow,1,WEEKDAY(E3539,2)),"")</f>
        <v/>
      </c>
      <c r="M3539">
        <f>IF(B3539,(1+Trend)^D3539,"")</f>
        <v/>
      </c>
      <c r="N3539">
        <f>IF(B3539,EXP(SUMPRODUCT(LN(1+(EvEff-1)*INDEX(Affected,0,C3539)*EXP(-((E3539-EvCenter)^2)/(2*EvSigma^2))))),"")</f>
        <v/>
      </c>
      <c r="O3539">
        <f>IF(B3539,ROUND(MAX(0,J3539*K3539*L3539*M3539*N3539),2),"")</f>
        <v/>
      </c>
    </row>
    <row r="3540">
      <c r="A3540" t="n">
        <v>3539</v>
      </c>
      <c r="B3540">
        <f>A3540&lt;=MineCount*Days</f>
        <v/>
      </c>
      <c r="C3540">
        <f>IF(B3540,INT((A3540-1)/Days)+1,"")</f>
        <v/>
      </c>
      <c r="D3540">
        <f>IF(B3540,MOD(A3540-1,Days),"")</f>
        <v/>
      </c>
      <c r="E3540" s="16">
        <f>IF(B3540,StartDate+D3540,"")</f>
        <v/>
      </c>
      <c r="F3540">
        <f>IF(B3540,MAX(MOD(SIN(Seed*0.1373+C3540*12.9898+D3540*78.233)*43758.5453,1),1E-9),"")</f>
        <v/>
      </c>
      <c r="G3540">
        <f>IF(B3540,MOD(SIN(Seed*0.5917+C3540*39.3468+D3540*11.135)*24634.6345,1),"")</f>
        <v/>
      </c>
      <c r="H3540">
        <f>IF(B3540,SQRT(-2*LN(F3540))*COS(2*PI()*G3540),"")</f>
        <v/>
      </c>
      <c r="I3540">
        <f>IF(B3540,IF(D3540=0,H3540,Rho*I3539+SQRT(1-Rho^2)*H3540),"")</f>
        <v/>
      </c>
      <c r="J3540">
        <f>IF(B3540,IF(Dist="Normal",DistA+DistB*I3540,DistA+(DistB-DistA)*NORMSDIST(I3540)),"")</f>
        <v/>
      </c>
      <c r="K3540">
        <f>IF(B3540,INDEX(MineScale,C3540),"")</f>
        <v/>
      </c>
      <c r="L3540">
        <f>IF(B3540,INDEX(Dow,1,WEEKDAY(E3540,2)),"")</f>
        <v/>
      </c>
      <c r="M3540">
        <f>IF(B3540,(1+Trend)^D3540,"")</f>
        <v/>
      </c>
      <c r="N3540">
        <f>IF(B3540,EXP(SUMPRODUCT(LN(1+(EvEff-1)*INDEX(Affected,0,C3540)*EXP(-((E3540-EvCenter)^2)/(2*EvSigma^2))))),"")</f>
        <v/>
      </c>
      <c r="O3540">
        <f>IF(B3540,ROUND(MAX(0,J3540*K3540*L3540*M3540*N3540),2),"")</f>
        <v/>
      </c>
    </row>
    <row r="3541">
      <c r="A3541" t="n">
        <v>3540</v>
      </c>
      <c r="B3541">
        <f>A3541&lt;=MineCount*Days</f>
        <v/>
      </c>
      <c r="C3541">
        <f>IF(B3541,INT((A3541-1)/Days)+1,"")</f>
        <v/>
      </c>
      <c r="D3541">
        <f>IF(B3541,MOD(A3541-1,Days),"")</f>
        <v/>
      </c>
      <c r="E3541" s="16">
        <f>IF(B3541,StartDate+D3541,"")</f>
        <v/>
      </c>
      <c r="F3541">
        <f>IF(B3541,MAX(MOD(SIN(Seed*0.1373+C3541*12.9898+D3541*78.233)*43758.5453,1),1E-9),"")</f>
        <v/>
      </c>
      <c r="G3541">
        <f>IF(B3541,MOD(SIN(Seed*0.5917+C3541*39.3468+D3541*11.135)*24634.6345,1),"")</f>
        <v/>
      </c>
      <c r="H3541">
        <f>IF(B3541,SQRT(-2*LN(F3541))*COS(2*PI()*G3541),"")</f>
        <v/>
      </c>
      <c r="I3541">
        <f>IF(B3541,IF(D3541=0,H3541,Rho*I3540+SQRT(1-Rho^2)*H3541),"")</f>
        <v/>
      </c>
      <c r="J3541">
        <f>IF(B3541,IF(Dist="Normal",DistA+DistB*I3541,DistA+(DistB-DistA)*NORMSDIST(I3541)),"")</f>
        <v/>
      </c>
      <c r="K3541">
        <f>IF(B3541,INDEX(MineScale,C3541),"")</f>
        <v/>
      </c>
      <c r="L3541">
        <f>IF(B3541,INDEX(Dow,1,WEEKDAY(E3541,2)),"")</f>
        <v/>
      </c>
      <c r="M3541">
        <f>IF(B3541,(1+Trend)^D3541,"")</f>
        <v/>
      </c>
      <c r="N3541">
        <f>IF(B3541,EXP(SUMPRODUCT(LN(1+(EvEff-1)*INDEX(Affected,0,C3541)*EXP(-((E3541-EvCenter)^2)/(2*EvSigma^2))))),"")</f>
        <v/>
      </c>
      <c r="O3541">
        <f>IF(B3541,ROUND(MAX(0,J3541*K3541*L3541*M3541*N3541),2),"")</f>
        <v/>
      </c>
    </row>
    <row r="3542">
      <c r="A3542" t="n">
        <v>3541</v>
      </c>
      <c r="B3542">
        <f>A3542&lt;=MineCount*Days</f>
        <v/>
      </c>
      <c r="C3542">
        <f>IF(B3542,INT((A3542-1)/Days)+1,"")</f>
        <v/>
      </c>
      <c r="D3542">
        <f>IF(B3542,MOD(A3542-1,Days),"")</f>
        <v/>
      </c>
      <c r="E3542" s="16">
        <f>IF(B3542,StartDate+D3542,"")</f>
        <v/>
      </c>
      <c r="F3542">
        <f>IF(B3542,MAX(MOD(SIN(Seed*0.1373+C3542*12.9898+D3542*78.233)*43758.5453,1),1E-9),"")</f>
        <v/>
      </c>
      <c r="G3542">
        <f>IF(B3542,MOD(SIN(Seed*0.5917+C3542*39.3468+D3542*11.135)*24634.6345,1),"")</f>
        <v/>
      </c>
      <c r="H3542">
        <f>IF(B3542,SQRT(-2*LN(F3542))*COS(2*PI()*G3542),"")</f>
        <v/>
      </c>
      <c r="I3542">
        <f>IF(B3542,IF(D3542=0,H3542,Rho*I3541+SQRT(1-Rho^2)*H3542),"")</f>
        <v/>
      </c>
      <c r="J3542">
        <f>IF(B3542,IF(Dist="Normal",DistA+DistB*I3542,DistA+(DistB-DistA)*NORMSDIST(I3542)),"")</f>
        <v/>
      </c>
      <c r="K3542">
        <f>IF(B3542,INDEX(MineScale,C3542),"")</f>
        <v/>
      </c>
      <c r="L3542">
        <f>IF(B3542,INDEX(Dow,1,WEEKDAY(E3542,2)),"")</f>
        <v/>
      </c>
      <c r="M3542">
        <f>IF(B3542,(1+Trend)^D3542,"")</f>
        <v/>
      </c>
      <c r="N3542">
        <f>IF(B3542,EXP(SUMPRODUCT(LN(1+(EvEff-1)*INDEX(Affected,0,C3542)*EXP(-((E3542-EvCenter)^2)/(2*EvSigma^2))))),"")</f>
        <v/>
      </c>
      <c r="O3542">
        <f>IF(B3542,ROUND(MAX(0,J3542*K3542*L3542*M3542*N3542),2),"")</f>
        <v/>
      </c>
    </row>
    <row r="3543">
      <c r="A3543" t="n">
        <v>3542</v>
      </c>
      <c r="B3543">
        <f>A3543&lt;=MineCount*Days</f>
        <v/>
      </c>
      <c r="C3543">
        <f>IF(B3543,INT((A3543-1)/Days)+1,"")</f>
        <v/>
      </c>
      <c r="D3543">
        <f>IF(B3543,MOD(A3543-1,Days),"")</f>
        <v/>
      </c>
      <c r="E3543" s="16">
        <f>IF(B3543,StartDate+D3543,"")</f>
        <v/>
      </c>
      <c r="F3543">
        <f>IF(B3543,MAX(MOD(SIN(Seed*0.1373+C3543*12.9898+D3543*78.233)*43758.5453,1),1E-9),"")</f>
        <v/>
      </c>
      <c r="G3543">
        <f>IF(B3543,MOD(SIN(Seed*0.5917+C3543*39.3468+D3543*11.135)*24634.6345,1),"")</f>
        <v/>
      </c>
      <c r="H3543">
        <f>IF(B3543,SQRT(-2*LN(F3543))*COS(2*PI()*G3543),"")</f>
        <v/>
      </c>
      <c r="I3543">
        <f>IF(B3543,IF(D3543=0,H3543,Rho*I3542+SQRT(1-Rho^2)*H3543),"")</f>
        <v/>
      </c>
      <c r="J3543">
        <f>IF(B3543,IF(Dist="Normal",DistA+DistB*I3543,DistA+(DistB-DistA)*NORMSDIST(I3543)),"")</f>
        <v/>
      </c>
      <c r="K3543">
        <f>IF(B3543,INDEX(MineScale,C3543),"")</f>
        <v/>
      </c>
      <c r="L3543">
        <f>IF(B3543,INDEX(Dow,1,WEEKDAY(E3543,2)),"")</f>
        <v/>
      </c>
      <c r="M3543">
        <f>IF(B3543,(1+Trend)^D3543,"")</f>
        <v/>
      </c>
      <c r="N3543">
        <f>IF(B3543,EXP(SUMPRODUCT(LN(1+(EvEff-1)*INDEX(Affected,0,C3543)*EXP(-((E3543-EvCenter)^2)/(2*EvSigma^2))))),"")</f>
        <v/>
      </c>
      <c r="O3543">
        <f>IF(B3543,ROUND(MAX(0,J3543*K3543*L3543*M3543*N3543),2),"")</f>
        <v/>
      </c>
    </row>
    <row r="3544">
      <c r="A3544" t="n">
        <v>3543</v>
      </c>
      <c r="B3544">
        <f>A3544&lt;=MineCount*Days</f>
        <v/>
      </c>
      <c r="C3544">
        <f>IF(B3544,INT((A3544-1)/Days)+1,"")</f>
        <v/>
      </c>
      <c r="D3544">
        <f>IF(B3544,MOD(A3544-1,Days),"")</f>
        <v/>
      </c>
      <c r="E3544" s="16">
        <f>IF(B3544,StartDate+D3544,"")</f>
        <v/>
      </c>
      <c r="F3544">
        <f>IF(B3544,MAX(MOD(SIN(Seed*0.1373+C3544*12.9898+D3544*78.233)*43758.5453,1),1E-9),"")</f>
        <v/>
      </c>
      <c r="G3544">
        <f>IF(B3544,MOD(SIN(Seed*0.5917+C3544*39.3468+D3544*11.135)*24634.6345,1),"")</f>
        <v/>
      </c>
      <c r="H3544">
        <f>IF(B3544,SQRT(-2*LN(F3544))*COS(2*PI()*G3544),"")</f>
        <v/>
      </c>
      <c r="I3544">
        <f>IF(B3544,IF(D3544=0,H3544,Rho*I3543+SQRT(1-Rho^2)*H3544),"")</f>
        <v/>
      </c>
      <c r="J3544">
        <f>IF(B3544,IF(Dist="Normal",DistA+DistB*I3544,DistA+(DistB-DistA)*NORMSDIST(I3544)),"")</f>
        <v/>
      </c>
      <c r="K3544">
        <f>IF(B3544,INDEX(MineScale,C3544),"")</f>
        <v/>
      </c>
      <c r="L3544">
        <f>IF(B3544,INDEX(Dow,1,WEEKDAY(E3544,2)),"")</f>
        <v/>
      </c>
      <c r="M3544">
        <f>IF(B3544,(1+Trend)^D3544,"")</f>
        <v/>
      </c>
      <c r="N3544">
        <f>IF(B3544,EXP(SUMPRODUCT(LN(1+(EvEff-1)*INDEX(Affected,0,C3544)*EXP(-((E3544-EvCenter)^2)/(2*EvSigma^2))))),"")</f>
        <v/>
      </c>
      <c r="O3544">
        <f>IF(B3544,ROUND(MAX(0,J3544*K3544*L3544*M3544*N3544),2),"")</f>
        <v/>
      </c>
    </row>
    <row r="3545">
      <c r="A3545" t="n">
        <v>3544</v>
      </c>
      <c r="B3545">
        <f>A3545&lt;=MineCount*Days</f>
        <v/>
      </c>
      <c r="C3545">
        <f>IF(B3545,INT((A3545-1)/Days)+1,"")</f>
        <v/>
      </c>
      <c r="D3545">
        <f>IF(B3545,MOD(A3545-1,Days),"")</f>
        <v/>
      </c>
      <c r="E3545" s="16">
        <f>IF(B3545,StartDate+D3545,"")</f>
        <v/>
      </c>
      <c r="F3545">
        <f>IF(B3545,MAX(MOD(SIN(Seed*0.1373+C3545*12.9898+D3545*78.233)*43758.5453,1),1E-9),"")</f>
        <v/>
      </c>
      <c r="G3545">
        <f>IF(B3545,MOD(SIN(Seed*0.5917+C3545*39.3468+D3545*11.135)*24634.6345,1),"")</f>
        <v/>
      </c>
      <c r="H3545">
        <f>IF(B3545,SQRT(-2*LN(F3545))*COS(2*PI()*G3545),"")</f>
        <v/>
      </c>
      <c r="I3545">
        <f>IF(B3545,IF(D3545=0,H3545,Rho*I3544+SQRT(1-Rho^2)*H3545),"")</f>
        <v/>
      </c>
      <c r="J3545">
        <f>IF(B3545,IF(Dist="Normal",DistA+DistB*I3545,DistA+(DistB-DistA)*NORMSDIST(I3545)),"")</f>
        <v/>
      </c>
      <c r="K3545">
        <f>IF(B3545,INDEX(MineScale,C3545),"")</f>
        <v/>
      </c>
      <c r="L3545">
        <f>IF(B3545,INDEX(Dow,1,WEEKDAY(E3545,2)),"")</f>
        <v/>
      </c>
      <c r="M3545">
        <f>IF(B3545,(1+Trend)^D3545,"")</f>
        <v/>
      </c>
      <c r="N3545">
        <f>IF(B3545,EXP(SUMPRODUCT(LN(1+(EvEff-1)*INDEX(Affected,0,C3545)*EXP(-((E3545-EvCenter)^2)/(2*EvSigma^2))))),"")</f>
        <v/>
      </c>
      <c r="O3545">
        <f>IF(B3545,ROUND(MAX(0,J3545*K3545*L3545*M3545*N3545),2),"")</f>
        <v/>
      </c>
    </row>
    <row r="3546">
      <c r="A3546" t="n">
        <v>3545</v>
      </c>
      <c r="B3546">
        <f>A3546&lt;=MineCount*Days</f>
        <v/>
      </c>
      <c r="C3546">
        <f>IF(B3546,INT((A3546-1)/Days)+1,"")</f>
        <v/>
      </c>
      <c r="D3546">
        <f>IF(B3546,MOD(A3546-1,Days),"")</f>
        <v/>
      </c>
      <c r="E3546" s="16">
        <f>IF(B3546,StartDate+D3546,"")</f>
        <v/>
      </c>
      <c r="F3546">
        <f>IF(B3546,MAX(MOD(SIN(Seed*0.1373+C3546*12.9898+D3546*78.233)*43758.5453,1),1E-9),"")</f>
        <v/>
      </c>
      <c r="G3546">
        <f>IF(B3546,MOD(SIN(Seed*0.5917+C3546*39.3468+D3546*11.135)*24634.6345,1),"")</f>
        <v/>
      </c>
      <c r="H3546">
        <f>IF(B3546,SQRT(-2*LN(F3546))*COS(2*PI()*G3546),"")</f>
        <v/>
      </c>
      <c r="I3546">
        <f>IF(B3546,IF(D3546=0,H3546,Rho*I3545+SQRT(1-Rho^2)*H3546),"")</f>
        <v/>
      </c>
      <c r="J3546">
        <f>IF(B3546,IF(Dist="Normal",DistA+DistB*I3546,DistA+(DistB-DistA)*NORMSDIST(I3546)),"")</f>
        <v/>
      </c>
      <c r="K3546">
        <f>IF(B3546,INDEX(MineScale,C3546),"")</f>
        <v/>
      </c>
      <c r="L3546">
        <f>IF(B3546,INDEX(Dow,1,WEEKDAY(E3546,2)),"")</f>
        <v/>
      </c>
      <c r="M3546">
        <f>IF(B3546,(1+Trend)^D3546,"")</f>
        <v/>
      </c>
      <c r="N3546">
        <f>IF(B3546,EXP(SUMPRODUCT(LN(1+(EvEff-1)*INDEX(Affected,0,C3546)*EXP(-((E3546-EvCenter)^2)/(2*EvSigma^2))))),"")</f>
        <v/>
      </c>
      <c r="O3546">
        <f>IF(B3546,ROUND(MAX(0,J3546*K3546*L3546*M3546*N3546),2),"")</f>
        <v/>
      </c>
    </row>
    <row r="3547">
      <c r="A3547" t="n">
        <v>3546</v>
      </c>
      <c r="B3547">
        <f>A3547&lt;=MineCount*Days</f>
        <v/>
      </c>
      <c r="C3547">
        <f>IF(B3547,INT((A3547-1)/Days)+1,"")</f>
        <v/>
      </c>
      <c r="D3547">
        <f>IF(B3547,MOD(A3547-1,Days),"")</f>
        <v/>
      </c>
      <c r="E3547" s="16">
        <f>IF(B3547,StartDate+D3547,"")</f>
        <v/>
      </c>
      <c r="F3547">
        <f>IF(B3547,MAX(MOD(SIN(Seed*0.1373+C3547*12.9898+D3547*78.233)*43758.5453,1),1E-9),"")</f>
        <v/>
      </c>
      <c r="G3547">
        <f>IF(B3547,MOD(SIN(Seed*0.5917+C3547*39.3468+D3547*11.135)*24634.6345,1),"")</f>
        <v/>
      </c>
      <c r="H3547">
        <f>IF(B3547,SQRT(-2*LN(F3547))*COS(2*PI()*G3547),"")</f>
        <v/>
      </c>
      <c r="I3547">
        <f>IF(B3547,IF(D3547=0,H3547,Rho*I3546+SQRT(1-Rho^2)*H3547),"")</f>
        <v/>
      </c>
      <c r="J3547">
        <f>IF(B3547,IF(Dist="Normal",DistA+DistB*I3547,DistA+(DistB-DistA)*NORMSDIST(I3547)),"")</f>
        <v/>
      </c>
      <c r="K3547">
        <f>IF(B3547,INDEX(MineScale,C3547),"")</f>
        <v/>
      </c>
      <c r="L3547">
        <f>IF(B3547,INDEX(Dow,1,WEEKDAY(E3547,2)),"")</f>
        <v/>
      </c>
      <c r="M3547">
        <f>IF(B3547,(1+Trend)^D3547,"")</f>
        <v/>
      </c>
      <c r="N3547">
        <f>IF(B3547,EXP(SUMPRODUCT(LN(1+(EvEff-1)*INDEX(Affected,0,C3547)*EXP(-((E3547-EvCenter)^2)/(2*EvSigma^2))))),"")</f>
        <v/>
      </c>
      <c r="O3547">
        <f>IF(B3547,ROUND(MAX(0,J3547*K3547*L3547*M3547*N3547),2),"")</f>
        <v/>
      </c>
    </row>
    <row r="3548">
      <c r="A3548" t="n">
        <v>3547</v>
      </c>
      <c r="B3548">
        <f>A3548&lt;=MineCount*Days</f>
        <v/>
      </c>
      <c r="C3548">
        <f>IF(B3548,INT((A3548-1)/Days)+1,"")</f>
        <v/>
      </c>
      <c r="D3548">
        <f>IF(B3548,MOD(A3548-1,Days),"")</f>
        <v/>
      </c>
      <c r="E3548" s="16">
        <f>IF(B3548,StartDate+D3548,"")</f>
        <v/>
      </c>
      <c r="F3548">
        <f>IF(B3548,MAX(MOD(SIN(Seed*0.1373+C3548*12.9898+D3548*78.233)*43758.5453,1),1E-9),"")</f>
        <v/>
      </c>
      <c r="G3548">
        <f>IF(B3548,MOD(SIN(Seed*0.5917+C3548*39.3468+D3548*11.135)*24634.6345,1),"")</f>
        <v/>
      </c>
      <c r="H3548">
        <f>IF(B3548,SQRT(-2*LN(F3548))*COS(2*PI()*G3548),"")</f>
        <v/>
      </c>
      <c r="I3548">
        <f>IF(B3548,IF(D3548=0,H3548,Rho*I3547+SQRT(1-Rho^2)*H3548),"")</f>
        <v/>
      </c>
      <c r="J3548">
        <f>IF(B3548,IF(Dist="Normal",DistA+DistB*I3548,DistA+(DistB-DistA)*NORMSDIST(I3548)),"")</f>
        <v/>
      </c>
      <c r="K3548">
        <f>IF(B3548,INDEX(MineScale,C3548),"")</f>
        <v/>
      </c>
      <c r="L3548">
        <f>IF(B3548,INDEX(Dow,1,WEEKDAY(E3548,2)),"")</f>
        <v/>
      </c>
      <c r="M3548">
        <f>IF(B3548,(1+Trend)^D3548,"")</f>
        <v/>
      </c>
      <c r="N3548">
        <f>IF(B3548,EXP(SUMPRODUCT(LN(1+(EvEff-1)*INDEX(Affected,0,C3548)*EXP(-((E3548-EvCenter)^2)/(2*EvSigma^2))))),"")</f>
        <v/>
      </c>
      <c r="O3548">
        <f>IF(B3548,ROUND(MAX(0,J3548*K3548*L3548*M3548*N3548),2),"")</f>
        <v/>
      </c>
    </row>
    <row r="3549">
      <c r="A3549" t="n">
        <v>3548</v>
      </c>
      <c r="B3549">
        <f>A3549&lt;=MineCount*Days</f>
        <v/>
      </c>
      <c r="C3549">
        <f>IF(B3549,INT((A3549-1)/Days)+1,"")</f>
        <v/>
      </c>
      <c r="D3549">
        <f>IF(B3549,MOD(A3549-1,Days),"")</f>
        <v/>
      </c>
      <c r="E3549" s="16">
        <f>IF(B3549,StartDate+D3549,"")</f>
        <v/>
      </c>
      <c r="F3549">
        <f>IF(B3549,MAX(MOD(SIN(Seed*0.1373+C3549*12.9898+D3549*78.233)*43758.5453,1),1E-9),"")</f>
        <v/>
      </c>
      <c r="G3549">
        <f>IF(B3549,MOD(SIN(Seed*0.5917+C3549*39.3468+D3549*11.135)*24634.6345,1),"")</f>
        <v/>
      </c>
      <c r="H3549">
        <f>IF(B3549,SQRT(-2*LN(F3549))*COS(2*PI()*G3549),"")</f>
        <v/>
      </c>
      <c r="I3549">
        <f>IF(B3549,IF(D3549=0,H3549,Rho*I3548+SQRT(1-Rho^2)*H3549),"")</f>
        <v/>
      </c>
      <c r="J3549">
        <f>IF(B3549,IF(Dist="Normal",DistA+DistB*I3549,DistA+(DistB-DistA)*NORMSDIST(I3549)),"")</f>
        <v/>
      </c>
      <c r="K3549">
        <f>IF(B3549,INDEX(MineScale,C3549),"")</f>
        <v/>
      </c>
      <c r="L3549">
        <f>IF(B3549,INDEX(Dow,1,WEEKDAY(E3549,2)),"")</f>
        <v/>
      </c>
      <c r="M3549">
        <f>IF(B3549,(1+Trend)^D3549,"")</f>
        <v/>
      </c>
      <c r="N3549">
        <f>IF(B3549,EXP(SUMPRODUCT(LN(1+(EvEff-1)*INDEX(Affected,0,C3549)*EXP(-((E3549-EvCenter)^2)/(2*EvSigma^2))))),"")</f>
        <v/>
      </c>
      <c r="O3549">
        <f>IF(B3549,ROUND(MAX(0,J3549*K3549*L3549*M3549*N3549),2),"")</f>
        <v/>
      </c>
    </row>
    <row r="3550">
      <c r="A3550" t="n">
        <v>3549</v>
      </c>
      <c r="B3550">
        <f>A3550&lt;=MineCount*Days</f>
        <v/>
      </c>
      <c r="C3550">
        <f>IF(B3550,INT((A3550-1)/Days)+1,"")</f>
        <v/>
      </c>
      <c r="D3550">
        <f>IF(B3550,MOD(A3550-1,Days),"")</f>
        <v/>
      </c>
      <c r="E3550" s="16">
        <f>IF(B3550,StartDate+D3550,"")</f>
        <v/>
      </c>
      <c r="F3550">
        <f>IF(B3550,MAX(MOD(SIN(Seed*0.1373+C3550*12.9898+D3550*78.233)*43758.5453,1),1E-9),"")</f>
        <v/>
      </c>
      <c r="G3550">
        <f>IF(B3550,MOD(SIN(Seed*0.5917+C3550*39.3468+D3550*11.135)*24634.6345,1),"")</f>
        <v/>
      </c>
      <c r="H3550">
        <f>IF(B3550,SQRT(-2*LN(F3550))*COS(2*PI()*G3550),"")</f>
        <v/>
      </c>
      <c r="I3550">
        <f>IF(B3550,IF(D3550=0,H3550,Rho*I3549+SQRT(1-Rho^2)*H3550),"")</f>
        <v/>
      </c>
      <c r="J3550">
        <f>IF(B3550,IF(Dist="Normal",DistA+DistB*I3550,DistA+(DistB-DistA)*NORMSDIST(I3550)),"")</f>
        <v/>
      </c>
      <c r="K3550">
        <f>IF(B3550,INDEX(MineScale,C3550),"")</f>
        <v/>
      </c>
      <c r="L3550">
        <f>IF(B3550,INDEX(Dow,1,WEEKDAY(E3550,2)),"")</f>
        <v/>
      </c>
      <c r="M3550">
        <f>IF(B3550,(1+Trend)^D3550,"")</f>
        <v/>
      </c>
      <c r="N3550">
        <f>IF(B3550,EXP(SUMPRODUCT(LN(1+(EvEff-1)*INDEX(Affected,0,C3550)*EXP(-((E3550-EvCenter)^2)/(2*EvSigma^2))))),"")</f>
        <v/>
      </c>
      <c r="O3550">
        <f>IF(B3550,ROUND(MAX(0,J3550*K3550*L3550*M3550*N3550),2),"")</f>
        <v/>
      </c>
    </row>
    <row r="3551">
      <c r="A3551" t="n">
        <v>3550</v>
      </c>
      <c r="B3551">
        <f>A3551&lt;=MineCount*Days</f>
        <v/>
      </c>
      <c r="C3551">
        <f>IF(B3551,INT((A3551-1)/Days)+1,"")</f>
        <v/>
      </c>
      <c r="D3551">
        <f>IF(B3551,MOD(A3551-1,Days),"")</f>
        <v/>
      </c>
      <c r="E3551" s="16">
        <f>IF(B3551,StartDate+D3551,"")</f>
        <v/>
      </c>
      <c r="F3551">
        <f>IF(B3551,MAX(MOD(SIN(Seed*0.1373+C3551*12.9898+D3551*78.233)*43758.5453,1),1E-9),"")</f>
        <v/>
      </c>
      <c r="G3551">
        <f>IF(B3551,MOD(SIN(Seed*0.5917+C3551*39.3468+D3551*11.135)*24634.6345,1),"")</f>
        <v/>
      </c>
      <c r="H3551">
        <f>IF(B3551,SQRT(-2*LN(F3551))*COS(2*PI()*G3551),"")</f>
        <v/>
      </c>
      <c r="I3551">
        <f>IF(B3551,IF(D3551=0,H3551,Rho*I3550+SQRT(1-Rho^2)*H3551),"")</f>
        <v/>
      </c>
      <c r="J3551">
        <f>IF(B3551,IF(Dist="Normal",DistA+DistB*I3551,DistA+(DistB-DistA)*NORMSDIST(I3551)),"")</f>
        <v/>
      </c>
      <c r="K3551">
        <f>IF(B3551,INDEX(MineScale,C3551),"")</f>
        <v/>
      </c>
      <c r="L3551">
        <f>IF(B3551,INDEX(Dow,1,WEEKDAY(E3551,2)),"")</f>
        <v/>
      </c>
      <c r="M3551">
        <f>IF(B3551,(1+Trend)^D3551,"")</f>
        <v/>
      </c>
      <c r="N3551">
        <f>IF(B3551,EXP(SUMPRODUCT(LN(1+(EvEff-1)*INDEX(Affected,0,C3551)*EXP(-((E3551-EvCenter)^2)/(2*EvSigma^2))))),"")</f>
        <v/>
      </c>
      <c r="O3551">
        <f>IF(B3551,ROUND(MAX(0,J3551*K3551*L3551*M3551*N3551),2),"")</f>
        <v/>
      </c>
    </row>
    <row r="3552">
      <c r="A3552" t="n">
        <v>3551</v>
      </c>
      <c r="B3552">
        <f>A3552&lt;=MineCount*Days</f>
        <v/>
      </c>
      <c r="C3552">
        <f>IF(B3552,INT((A3552-1)/Days)+1,"")</f>
        <v/>
      </c>
      <c r="D3552">
        <f>IF(B3552,MOD(A3552-1,Days),"")</f>
        <v/>
      </c>
      <c r="E3552" s="16">
        <f>IF(B3552,StartDate+D3552,"")</f>
        <v/>
      </c>
      <c r="F3552">
        <f>IF(B3552,MAX(MOD(SIN(Seed*0.1373+C3552*12.9898+D3552*78.233)*43758.5453,1),1E-9),"")</f>
        <v/>
      </c>
      <c r="G3552">
        <f>IF(B3552,MOD(SIN(Seed*0.5917+C3552*39.3468+D3552*11.135)*24634.6345,1),"")</f>
        <v/>
      </c>
      <c r="H3552">
        <f>IF(B3552,SQRT(-2*LN(F3552))*COS(2*PI()*G3552),"")</f>
        <v/>
      </c>
      <c r="I3552">
        <f>IF(B3552,IF(D3552=0,H3552,Rho*I3551+SQRT(1-Rho^2)*H3552),"")</f>
        <v/>
      </c>
      <c r="J3552">
        <f>IF(B3552,IF(Dist="Normal",DistA+DistB*I3552,DistA+(DistB-DistA)*NORMSDIST(I3552)),"")</f>
        <v/>
      </c>
      <c r="K3552">
        <f>IF(B3552,INDEX(MineScale,C3552),"")</f>
        <v/>
      </c>
      <c r="L3552">
        <f>IF(B3552,INDEX(Dow,1,WEEKDAY(E3552,2)),"")</f>
        <v/>
      </c>
      <c r="M3552">
        <f>IF(B3552,(1+Trend)^D3552,"")</f>
        <v/>
      </c>
      <c r="N3552">
        <f>IF(B3552,EXP(SUMPRODUCT(LN(1+(EvEff-1)*INDEX(Affected,0,C3552)*EXP(-((E3552-EvCenter)^2)/(2*EvSigma^2))))),"")</f>
        <v/>
      </c>
      <c r="O3552">
        <f>IF(B3552,ROUND(MAX(0,J3552*K3552*L3552*M3552*N3552),2),"")</f>
        <v/>
      </c>
    </row>
    <row r="3553">
      <c r="A3553" t="n">
        <v>3552</v>
      </c>
      <c r="B3553">
        <f>A3553&lt;=MineCount*Days</f>
        <v/>
      </c>
      <c r="C3553">
        <f>IF(B3553,INT((A3553-1)/Days)+1,"")</f>
        <v/>
      </c>
      <c r="D3553">
        <f>IF(B3553,MOD(A3553-1,Days),"")</f>
        <v/>
      </c>
      <c r="E3553" s="16">
        <f>IF(B3553,StartDate+D3553,"")</f>
        <v/>
      </c>
      <c r="F3553">
        <f>IF(B3553,MAX(MOD(SIN(Seed*0.1373+C3553*12.9898+D3553*78.233)*43758.5453,1),1E-9),"")</f>
        <v/>
      </c>
      <c r="G3553">
        <f>IF(B3553,MOD(SIN(Seed*0.5917+C3553*39.3468+D3553*11.135)*24634.6345,1),"")</f>
        <v/>
      </c>
      <c r="H3553">
        <f>IF(B3553,SQRT(-2*LN(F3553))*COS(2*PI()*G3553),"")</f>
        <v/>
      </c>
      <c r="I3553">
        <f>IF(B3553,IF(D3553=0,H3553,Rho*I3552+SQRT(1-Rho^2)*H3553),"")</f>
        <v/>
      </c>
      <c r="J3553">
        <f>IF(B3553,IF(Dist="Normal",DistA+DistB*I3553,DistA+(DistB-DistA)*NORMSDIST(I3553)),"")</f>
        <v/>
      </c>
      <c r="K3553">
        <f>IF(B3553,INDEX(MineScale,C3553),"")</f>
        <v/>
      </c>
      <c r="L3553">
        <f>IF(B3553,INDEX(Dow,1,WEEKDAY(E3553,2)),"")</f>
        <v/>
      </c>
      <c r="M3553">
        <f>IF(B3553,(1+Trend)^D3553,"")</f>
        <v/>
      </c>
      <c r="N3553">
        <f>IF(B3553,EXP(SUMPRODUCT(LN(1+(EvEff-1)*INDEX(Affected,0,C3553)*EXP(-((E3553-EvCenter)^2)/(2*EvSigma^2))))),"")</f>
        <v/>
      </c>
      <c r="O3553">
        <f>IF(B3553,ROUND(MAX(0,J3553*K3553*L3553*M3553*N3553),2),"")</f>
        <v/>
      </c>
    </row>
    <row r="3554">
      <c r="A3554" t="n">
        <v>3553</v>
      </c>
      <c r="B3554">
        <f>A3554&lt;=MineCount*Days</f>
        <v/>
      </c>
      <c r="C3554">
        <f>IF(B3554,INT((A3554-1)/Days)+1,"")</f>
        <v/>
      </c>
      <c r="D3554">
        <f>IF(B3554,MOD(A3554-1,Days),"")</f>
        <v/>
      </c>
      <c r="E3554" s="16">
        <f>IF(B3554,StartDate+D3554,"")</f>
        <v/>
      </c>
      <c r="F3554">
        <f>IF(B3554,MAX(MOD(SIN(Seed*0.1373+C3554*12.9898+D3554*78.233)*43758.5453,1),1E-9),"")</f>
        <v/>
      </c>
      <c r="G3554">
        <f>IF(B3554,MOD(SIN(Seed*0.5917+C3554*39.3468+D3554*11.135)*24634.6345,1),"")</f>
        <v/>
      </c>
      <c r="H3554">
        <f>IF(B3554,SQRT(-2*LN(F3554))*COS(2*PI()*G3554),"")</f>
        <v/>
      </c>
      <c r="I3554">
        <f>IF(B3554,IF(D3554=0,H3554,Rho*I3553+SQRT(1-Rho^2)*H3554),"")</f>
        <v/>
      </c>
      <c r="J3554">
        <f>IF(B3554,IF(Dist="Normal",DistA+DistB*I3554,DistA+(DistB-DistA)*NORMSDIST(I3554)),"")</f>
        <v/>
      </c>
      <c r="K3554">
        <f>IF(B3554,INDEX(MineScale,C3554),"")</f>
        <v/>
      </c>
      <c r="L3554">
        <f>IF(B3554,INDEX(Dow,1,WEEKDAY(E3554,2)),"")</f>
        <v/>
      </c>
      <c r="M3554">
        <f>IF(B3554,(1+Trend)^D3554,"")</f>
        <v/>
      </c>
      <c r="N3554">
        <f>IF(B3554,EXP(SUMPRODUCT(LN(1+(EvEff-1)*INDEX(Affected,0,C3554)*EXP(-((E3554-EvCenter)^2)/(2*EvSigma^2))))),"")</f>
        <v/>
      </c>
      <c r="O3554">
        <f>IF(B3554,ROUND(MAX(0,J3554*K3554*L3554*M3554*N3554),2),"")</f>
        <v/>
      </c>
    </row>
    <row r="3555">
      <c r="A3555" t="n">
        <v>3554</v>
      </c>
      <c r="B3555">
        <f>A3555&lt;=MineCount*Days</f>
        <v/>
      </c>
      <c r="C3555">
        <f>IF(B3555,INT((A3555-1)/Days)+1,"")</f>
        <v/>
      </c>
      <c r="D3555">
        <f>IF(B3555,MOD(A3555-1,Days),"")</f>
        <v/>
      </c>
      <c r="E3555" s="16">
        <f>IF(B3555,StartDate+D3555,"")</f>
        <v/>
      </c>
      <c r="F3555">
        <f>IF(B3555,MAX(MOD(SIN(Seed*0.1373+C3555*12.9898+D3555*78.233)*43758.5453,1),1E-9),"")</f>
        <v/>
      </c>
      <c r="G3555">
        <f>IF(B3555,MOD(SIN(Seed*0.5917+C3555*39.3468+D3555*11.135)*24634.6345,1),"")</f>
        <v/>
      </c>
      <c r="H3555">
        <f>IF(B3555,SQRT(-2*LN(F3555))*COS(2*PI()*G3555),"")</f>
        <v/>
      </c>
      <c r="I3555">
        <f>IF(B3555,IF(D3555=0,H3555,Rho*I3554+SQRT(1-Rho^2)*H3555),"")</f>
        <v/>
      </c>
      <c r="J3555">
        <f>IF(B3555,IF(Dist="Normal",DistA+DistB*I3555,DistA+(DistB-DistA)*NORMSDIST(I3555)),"")</f>
        <v/>
      </c>
      <c r="K3555">
        <f>IF(B3555,INDEX(MineScale,C3555),"")</f>
        <v/>
      </c>
      <c r="L3555">
        <f>IF(B3555,INDEX(Dow,1,WEEKDAY(E3555,2)),"")</f>
        <v/>
      </c>
      <c r="M3555">
        <f>IF(B3555,(1+Trend)^D3555,"")</f>
        <v/>
      </c>
      <c r="N3555">
        <f>IF(B3555,EXP(SUMPRODUCT(LN(1+(EvEff-1)*INDEX(Affected,0,C3555)*EXP(-((E3555-EvCenter)^2)/(2*EvSigma^2))))),"")</f>
        <v/>
      </c>
      <c r="O3555">
        <f>IF(B3555,ROUND(MAX(0,J3555*K3555*L3555*M3555*N3555),2),"")</f>
        <v/>
      </c>
    </row>
    <row r="3556">
      <c r="A3556" t="n">
        <v>3555</v>
      </c>
      <c r="B3556">
        <f>A3556&lt;=MineCount*Days</f>
        <v/>
      </c>
      <c r="C3556">
        <f>IF(B3556,INT((A3556-1)/Days)+1,"")</f>
        <v/>
      </c>
      <c r="D3556">
        <f>IF(B3556,MOD(A3556-1,Days),"")</f>
        <v/>
      </c>
      <c r="E3556" s="16">
        <f>IF(B3556,StartDate+D3556,"")</f>
        <v/>
      </c>
      <c r="F3556">
        <f>IF(B3556,MAX(MOD(SIN(Seed*0.1373+C3556*12.9898+D3556*78.233)*43758.5453,1),1E-9),"")</f>
        <v/>
      </c>
      <c r="G3556">
        <f>IF(B3556,MOD(SIN(Seed*0.5917+C3556*39.3468+D3556*11.135)*24634.6345,1),"")</f>
        <v/>
      </c>
      <c r="H3556">
        <f>IF(B3556,SQRT(-2*LN(F3556))*COS(2*PI()*G3556),"")</f>
        <v/>
      </c>
      <c r="I3556">
        <f>IF(B3556,IF(D3556=0,H3556,Rho*I3555+SQRT(1-Rho^2)*H3556),"")</f>
        <v/>
      </c>
      <c r="J3556">
        <f>IF(B3556,IF(Dist="Normal",DistA+DistB*I3556,DistA+(DistB-DistA)*NORMSDIST(I3556)),"")</f>
        <v/>
      </c>
      <c r="K3556">
        <f>IF(B3556,INDEX(MineScale,C3556),"")</f>
        <v/>
      </c>
      <c r="L3556">
        <f>IF(B3556,INDEX(Dow,1,WEEKDAY(E3556,2)),"")</f>
        <v/>
      </c>
      <c r="M3556">
        <f>IF(B3556,(1+Trend)^D3556,"")</f>
        <v/>
      </c>
      <c r="N3556">
        <f>IF(B3556,EXP(SUMPRODUCT(LN(1+(EvEff-1)*INDEX(Affected,0,C3556)*EXP(-((E3556-EvCenter)^2)/(2*EvSigma^2))))),"")</f>
        <v/>
      </c>
      <c r="O3556">
        <f>IF(B3556,ROUND(MAX(0,J3556*K3556*L3556*M3556*N3556),2),"")</f>
        <v/>
      </c>
    </row>
    <row r="3557">
      <c r="A3557" t="n">
        <v>3556</v>
      </c>
      <c r="B3557">
        <f>A3557&lt;=MineCount*Days</f>
        <v/>
      </c>
      <c r="C3557">
        <f>IF(B3557,INT((A3557-1)/Days)+1,"")</f>
        <v/>
      </c>
      <c r="D3557">
        <f>IF(B3557,MOD(A3557-1,Days),"")</f>
        <v/>
      </c>
      <c r="E3557" s="16">
        <f>IF(B3557,StartDate+D3557,"")</f>
        <v/>
      </c>
      <c r="F3557">
        <f>IF(B3557,MAX(MOD(SIN(Seed*0.1373+C3557*12.9898+D3557*78.233)*43758.5453,1),1E-9),"")</f>
        <v/>
      </c>
      <c r="G3557">
        <f>IF(B3557,MOD(SIN(Seed*0.5917+C3557*39.3468+D3557*11.135)*24634.6345,1),"")</f>
        <v/>
      </c>
      <c r="H3557">
        <f>IF(B3557,SQRT(-2*LN(F3557))*COS(2*PI()*G3557),"")</f>
        <v/>
      </c>
      <c r="I3557">
        <f>IF(B3557,IF(D3557=0,H3557,Rho*I3556+SQRT(1-Rho^2)*H3557),"")</f>
        <v/>
      </c>
      <c r="J3557">
        <f>IF(B3557,IF(Dist="Normal",DistA+DistB*I3557,DistA+(DistB-DistA)*NORMSDIST(I3557)),"")</f>
        <v/>
      </c>
      <c r="K3557">
        <f>IF(B3557,INDEX(MineScale,C3557),"")</f>
        <v/>
      </c>
      <c r="L3557">
        <f>IF(B3557,INDEX(Dow,1,WEEKDAY(E3557,2)),"")</f>
        <v/>
      </c>
      <c r="M3557">
        <f>IF(B3557,(1+Trend)^D3557,"")</f>
        <v/>
      </c>
      <c r="N3557">
        <f>IF(B3557,EXP(SUMPRODUCT(LN(1+(EvEff-1)*INDEX(Affected,0,C3557)*EXP(-((E3557-EvCenter)^2)/(2*EvSigma^2))))),"")</f>
        <v/>
      </c>
      <c r="O3557">
        <f>IF(B3557,ROUND(MAX(0,J3557*K3557*L3557*M3557*N3557),2),"")</f>
        <v/>
      </c>
    </row>
    <row r="3558">
      <c r="A3558" t="n">
        <v>3557</v>
      </c>
      <c r="B3558">
        <f>A3558&lt;=MineCount*Days</f>
        <v/>
      </c>
      <c r="C3558">
        <f>IF(B3558,INT((A3558-1)/Days)+1,"")</f>
        <v/>
      </c>
      <c r="D3558">
        <f>IF(B3558,MOD(A3558-1,Days),"")</f>
        <v/>
      </c>
      <c r="E3558" s="16">
        <f>IF(B3558,StartDate+D3558,"")</f>
        <v/>
      </c>
      <c r="F3558">
        <f>IF(B3558,MAX(MOD(SIN(Seed*0.1373+C3558*12.9898+D3558*78.233)*43758.5453,1),1E-9),"")</f>
        <v/>
      </c>
      <c r="G3558">
        <f>IF(B3558,MOD(SIN(Seed*0.5917+C3558*39.3468+D3558*11.135)*24634.6345,1),"")</f>
        <v/>
      </c>
      <c r="H3558">
        <f>IF(B3558,SQRT(-2*LN(F3558))*COS(2*PI()*G3558),"")</f>
        <v/>
      </c>
      <c r="I3558">
        <f>IF(B3558,IF(D3558=0,H3558,Rho*I3557+SQRT(1-Rho^2)*H3558),"")</f>
        <v/>
      </c>
      <c r="J3558">
        <f>IF(B3558,IF(Dist="Normal",DistA+DistB*I3558,DistA+(DistB-DistA)*NORMSDIST(I3558)),"")</f>
        <v/>
      </c>
      <c r="K3558">
        <f>IF(B3558,INDEX(MineScale,C3558),"")</f>
        <v/>
      </c>
      <c r="L3558">
        <f>IF(B3558,INDEX(Dow,1,WEEKDAY(E3558,2)),"")</f>
        <v/>
      </c>
      <c r="M3558">
        <f>IF(B3558,(1+Trend)^D3558,"")</f>
        <v/>
      </c>
      <c r="N3558">
        <f>IF(B3558,EXP(SUMPRODUCT(LN(1+(EvEff-1)*INDEX(Affected,0,C3558)*EXP(-((E3558-EvCenter)^2)/(2*EvSigma^2))))),"")</f>
        <v/>
      </c>
      <c r="O3558">
        <f>IF(B3558,ROUND(MAX(0,J3558*K3558*L3558*M3558*N3558),2),"")</f>
        <v/>
      </c>
    </row>
    <row r="3559">
      <c r="A3559" t="n">
        <v>3558</v>
      </c>
      <c r="B3559">
        <f>A3559&lt;=MineCount*Days</f>
        <v/>
      </c>
      <c r="C3559">
        <f>IF(B3559,INT((A3559-1)/Days)+1,"")</f>
        <v/>
      </c>
      <c r="D3559">
        <f>IF(B3559,MOD(A3559-1,Days),"")</f>
        <v/>
      </c>
      <c r="E3559" s="16">
        <f>IF(B3559,StartDate+D3559,"")</f>
        <v/>
      </c>
      <c r="F3559">
        <f>IF(B3559,MAX(MOD(SIN(Seed*0.1373+C3559*12.9898+D3559*78.233)*43758.5453,1),1E-9),"")</f>
        <v/>
      </c>
      <c r="G3559">
        <f>IF(B3559,MOD(SIN(Seed*0.5917+C3559*39.3468+D3559*11.135)*24634.6345,1),"")</f>
        <v/>
      </c>
      <c r="H3559">
        <f>IF(B3559,SQRT(-2*LN(F3559))*COS(2*PI()*G3559),"")</f>
        <v/>
      </c>
      <c r="I3559">
        <f>IF(B3559,IF(D3559=0,H3559,Rho*I3558+SQRT(1-Rho^2)*H3559),"")</f>
        <v/>
      </c>
      <c r="J3559">
        <f>IF(B3559,IF(Dist="Normal",DistA+DistB*I3559,DistA+(DistB-DistA)*NORMSDIST(I3559)),"")</f>
        <v/>
      </c>
      <c r="K3559">
        <f>IF(B3559,INDEX(MineScale,C3559),"")</f>
        <v/>
      </c>
      <c r="L3559">
        <f>IF(B3559,INDEX(Dow,1,WEEKDAY(E3559,2)),"")</f>
        <v/>
      </c>
      <c r="M3559">
        <f>IF(B3559,(1+Trend)^D3559,"")</f>
        <v/>
      </c>
      <c r="N3559">
        <f>IF(B3559,EXP(SUMPRODUCT(LN(1+(EvEff-1)*INDEX(Affected,0,C3559)*EXP(-((E3559-EvCenter)^2)/(2*EvSigma^2))))),"")</f>
        <v/>
      </c>
      <c r="O3559">
        <f>IF(B3559,ROUND(MAX(0,J3559*K3559*L3559*M3559*N3559),2),"")</f>
        <v/>
      </c>
    </row>
    <row r="3560">
      <c r="A3560" t="n">
        <v>3559</v>
      </c>
      <c r="B3560">
        <f>A3560&lt;=MineCount*Days</f>
        <v/>
      </c>
      <c r="C3560">
        <f>IF(B3560,INT((A3560-1)/Days)+1,"")</f>
        <v/>
      </c>
      <c r="D3560">
        <f>IF(B3560,MOD(A3560-1,Days),"")</f>
        <v/>
      </c>
      <c r="E3560" s="16">
        <f>IF(B3560,StartDate+D3560,"")</f>
        <v/>
      </c>
      <c r="F3560">
        <f>IF(B3560,MAX(MOD(SIN(Seed*0.1373+C3560*12.9898+D3560*78.233)*43758.5453,1),1E-9),"")</f>
        <v/>
      </c>
      <c r="G3560">
        <f>IF(B3560,MOD(SIN(Seed*0.5917+C3560*39.3468+D3560*11.135)*24634.6345,1),"")</f>
        <v/>
      </c>
      <c r="H3560">
        <f>IF(B3560,SQRT(-2*LN(F3560))*COS(2*PI()*G3560),"")</f>
        <v/>
      </c>
      <c r="I3560">
        <f>IF(B3560,IF(D3560=0,H3560,Rho*I3559+SQRT(1-Rho^2)*H3560),"")</f>
        <v/>
      </c>
      <c r="J3560">
        <f>IF(B3560,IF(Dist="Normal",DistA+DistB*I3560,DistA+(DistB-DistA)*NORMSDIST(I3560)),"")</f>
        <v/>
      </c>
      <c r="K3560">
        <f>IF(B3560,INDEX(MineScale,C3560),"")</f>
        <v/>
      </c>
      <c r="L3560">
        <f>IF(B3560,INDEX(Dow,1,WEEKDAY(E3560,2)),"")</f>
        <v/>
      </c>
      <c r="M3560">
        <f>IF(B3560,(1+Trend)^D3560,"")</f>
        <v/>
      </c>
      <c r="N3560">
        <f>IF(B3560,EXP(SUMPRODUCT(LN(1+(EvEff-1)*INDEX(Affected,0,C3560)*EXP(-((E3560-EvCenter)^2)/(2*EvSigma^2))))),"")</f>
        <v/>
      </c>
      <c r="O3560">
        <f>IF(B3560,ROUND(MAX(0,J3560*K3560*L3560*M3560*N3560),2),"")</f>
        <v/>
      </c>
    </row>
    <row r="3561">
      <c r="A3561" t="n">
        <v>3560</v>
      </c>
      <c r="B3561">
        <f>A3561&lt;=MineCount*Days</f>
        <v/>
      </c>
      <c r="C3561">
        <f>IF(B3561,INT((A3561-1)/Days)+1,"")</f>
        <v/>
      </c>
      <c r="D3561">
        <f>IF(B3561,MOD(A3561-1,Days),"")</f>
        <v/>
      </c>
      <c r="E3561" s="16">
        <f>IF(B3561,StartDate+D3561,"")</f>
        <v/>
      </c>
      <c r="F3561">
        <f>IF(B3561,MAX(MOD(SIN(Seed*0.1373+C3561*12.9898+D3561*78.233)*43758.5453,1),1E-9),"")</f>
        <v/>
      </c>
      <c r="G3561">
        <f>IF(B3561,MOD(SIN(Seed*0.5917+C3561*39.3468+D3561*11.135)*24634.6345,1),"")</f>
        <v/>
      </c>
      <c r="H3561">
        <f>IF(B3561,SQRT(-2*LN(F3561))*COS(2*PI()*G3561),"")</f>
        <v/>
      </c>
      <c r="I3561">
        <f>IF(B3561,IF(D3561=0,H3561,Rho*I3560+SQRT(1-Rho^2)*H3561),"")</f>
        <v/>
      </c>
      <c r="J3561">
        <f>IF(B3561,IF(Dist="Normal",DistA+DistB*I3561,DistA+(DistB-DistA)*NORMSDIST(I3561)),"")</f>
        <v/>
      </c>
      <c r="K3561">
        <f>IF(B3561,INDEX(MineScale,C3561),"")</f>
        <v/>
      </c>
      <c r="L3561">
        <f>IF(B3561,INDEX(Dow,1,WEEKDAY(E3561,2)),"")</f>
        <v/>
      </c>
      <c r="M3561">
        <f>IF(B3561,(1+Trend)^D3561,"")</f>
        <v/>
      </c>
      <c r="N3561">
        <f>IF(B3561,EXP(SUMPRODUCT(LN(1+(EvEff-1)*INDEX(Affected,0,C3561)*EXP(-((E3561-EvCenter)^2)/(2*EvSigma^2))))),"")</f>
        <v/>
      </c>
      <c r="O3561">
        <f>IF(B3561,ROUND(MAX(0,J3561*K3561*L3561*M3561*N3561),2),"")</f>
        <v/>
      </c>
    </row>
    <row r="3562">
      <c r="A3562" t="n">
        <v>3561</v>
      </c>
      <c r="B3562">
        <f>A3562&lt;=MineCount*Days</f>
        <v/>
      </c>
      <c r="C3562">
        <f>IF(B3562,INT((A3562-1)/Days)+1,"")</f>
        <v/>
      </c>
      <c r="D3562">
        <f>IF(B3562,MOD(A3562-1,Days),"")</f>
        <v/>
      </c>
      <c r="E3562" s="16">
        <f>IF(B3562,StartDate+D3562,"")</f>
        <v/>
      </c>
      <c r="F3562">
        <f>IF(B3562,MAX(MOD(SIN(Seed*0.1373+C3562*12.9898+D3562*78.233)*43758.5453,1),1E-9),"")</f>
        <v/>
      </c>
      <c r="G3562">
        <f>IF(B3562,MOD(SIN(Seed*0.5917+C3562*39.3468+D3562*11.135)*24634.6345,1),"")</f>
        <v/>
      </c>
      <c r="H3562">
        <f>IF(B3562,SQRT(-2*LN(F3562))*COS(2*PI()*G3562),"")</f>
        <v/>
      </c>
      <c r="I3562">
        <f>IF(B3562,IF(D3562=0,H3562,Rho*I3561+SQRT(1-Rho^2)*H3562),"")</f>
        <v/>
      </c>
      <c r="J3562">
        <f>IF(B3562,IF(Dist="Normal",DistA+DistB*I3562,DistA+(DistB-DistA)*NORMSDIST(I3562)),"")</f>
        <v/>
      </c>
      <c r="K3562">
        <f>IF(B3562,INDEX(MineScale,C3562),"")</f>
        <v/>
      </c>
      <c r="L3562">
        <f>IF(B3562,INDEX(Dow,1,WEEKDAY(E3562,2)),"")</f>
        <v/>
      </c>
      <c r="M3562">
        <f>IF(B3562,(1+Trend)^D3562,"")</f>
        <v/>
      </c>
      <c r="N3562">
        <f>IF(B3562,EXP(SUMPRODUCT(LN(1+(EvEff-1)*INDEX(Affected,0,C3562)*EXP(-((E3562-EvCenter)^2)/(2*EvSigma^2))))),"")</f>
        <v/>
      </c>
      <c r="O3562">
        <f>IF(B3562,ROUND(MAX(0,J3562*K3562*L3562*M3562*N3562),2),"")</f>
        <v/>
      </c>
    </row>
    <row r="3563">
      <c r="A3563" t="n">
        <v>3562</v>
      </c>
      <c r="B3563">
        <f>A3563&lt;=MineCount*Days</f>
        <v/>
      </c>
      <c r="C3563">
        <f>IF(B3563,INT((A3563-1)/Days)+1,"")</f>
        <v/>
      </c>
      <c r="D3563">
        <f>IF(B3563,MOD(A3563-1,Days),"")</f>
        <v/>
      </c>
      <c r="E3563" s="16">
        <f>IF(B3563,StartDate+D3563,"")</f>
        <v/>
      </c>
      <c r="F3563">
        <f>IF(B3563,MAX(MOD(SIN(Seed*0.1373+C3563*12.9898+D3563*78.233)*43758.5453,1),1E-9),"")</f>
        <v/>
      </c>
      <c r="G3563">
        <f>IF(B3563,MOD(SIN(Seed*0.5917+C3563*39.3468+D3563*11.135)*24634.6345,1),"")</f>
        <v/>
      </c>
      <c r="H3563">
        <f>IF(B3563,SQRT(-2*LN(F3563))*COS(2*PI()*G3563),"")</f>
        <v/>
      </c>
      <c r="I3563">
        <f>IF(B3563,IF(D3563=0,H3563,Rho*I3562+SQRT(1-Rho^2)*H3563),"")</f>
        <v/>
      </c>
      <c r="J3563">
        <f>IF(B3563,IF(Dist="Normal",DistA+DistB*I3563,DistA+(DistB-DistA)*NORMSDIST(I3563)),"")</f>
        <v/>
      </c>
      <c r="K3563">
        <f>IF(B3563,INDEX(MineScale,C3563),"")</f>
        <v/>
      </c>
      <c r="L3563">
        <f>IF(B3563,INDEX(Dow,1,WEEKDAY(E3563,2)),"")</f>
        <v/>
      </c>
      <c r="M3563">
        <f>IF(B3563,(1+Trend)^D3563,"")</f>
        <v/>
      </c>
      <c r="N3563">
        <f>IF(B3563,EXP(SUMPRODUCT(LN(1+(EvEff-1)*INDEX(Affected,0,C3563)*EXP(-((E3563-EvCenter)^2)/(2*EvSigma^2))))),"")</f>
        <v/>
      </c>
      <c r="O3563">
        <f>IF(B3563,ROUND(MAX(0,J3563*K3563*L3563*M3563*N3563),2),"")</f>
        <v/>
      </c>
    </row>
    <row r="3564">
      <c r="A3564" t="n">
        <v>3563</v>
      </c>
      <c r="B3564">
        <f>A3564&lt;=MineCount*Days</f>
        <v/>
      </c>
      <c r="C3564">
        <f>IF(B3564,INT((A3564-1)/Days)+1,"")</f>
        <v/>
      </c>
      <c r="D3564">
        <f>IF(B3564,MOD(A3564-1,Days),"")</f>
        <v/>
      </c>
      <c r="E3564" s="16">
        <f>IF(B3564,StartDate+D3564,"")</f>
        <v/>
      </c>
      <c r="F3564">
        <f>IF(B3564,MAX(MOD(SIN(Seed*0.1373+C3564*12.9898+D3564*78.233)*43758.5453,1),1E-9),"")</f>
        <v/>
      </c>
      <c r="G3564">
        <f>IF(B3564,MOD(SIN(Seed*0.5917+C3564*39.3468+D3564*11.135)*24634.6345,1),"")</f>
        <v/>
      </c>
      <c r="H3564">
        <f>IF(B3564,SQRT(-2*LN(F3564))*COS(2*PI()*G3564),"")</f>
        <v/>
      </c>
      <c r="I3564">
        <f>IF(B3564,IF(D3564=0,H3564,Rho*I3563+SQRT(1-Rho^2)*H3564),"")</f>
        <v/>
      </c>
      <c r="J3564">
        <f>IF(B3564,IF(Dist="Normal",DistA+DistB*I3564,DistA+(DistB-DistA)*NORMSDIST(I3564)),"")</f>
        <v/>
      </c>
      <c r="K3564">
        <f>IF(B3564,INDEX(MineScale,C3564),"")</f>
        <v/>
      </c>
      <c r="L3564">
        <f>IF(B3564,INDEX(Dow,1,WEEKDAY(E3564,2)),"")</f>
        <v/>
      </c>
      <c r="M3564">
        <f>IF(B3564,(1+Trend)^D3564,"")</f>
        <v/>
      </c>
      <c r="N3564">
        <f>IF(B3564,EXP(SUMPRODUCT(LN(1+(EvEff-1)*INDEX(Affected,0,C3564)*EXP(-((E3564-EvCenter)^2)/(2*EvSigma^2))))),"")</f>
        <v/>
      </c>
      <c r="O3564">
        <f>IF(B3564,ROUND(MAX(0,J3564*K3564*L3564*M3564*N3564),2),"")</f>
        <v/>
      </c>
    </row>
    <row r="3565">
      <c r="A3565" t="n">
        <v>3564</v>
      </c>
      <c r="B3565">
        <f>A3565&lt;=MineCount*Days</f>
        <v/>
      </c>
      <c r="C3565">
        <f>IF(B3565,INT((A3565-1)/Days)+1,"")</f>
        <v/>
      </c>
      <c r="D3565">
        <f>IF(B3565,MOD(A3565-1,Days),"")</f>
        <v/>
      </c>
      <c r="E3565" s="16">
        <f>IF(B3565,StartDate+D3565,"")</f>
        <v/>
      </c>
      <c r="F3565">
        <f>IF(B3565,MAX(MOD(SIN(Seed*0.1373+C3565*12.9898+D3565*78.233)*43758.5453,1),1E-9),"")</f>
        <v/>
      </c>
      <c r="G3565">
        <f>IF(B3565,MOD(SIN(Seed*0.5917+C3565*39.3468+D3565*11.135)*24634.6345,1),"")</f>
        <v/>
      </c>
      <c r="H3565">
        <f>IF(B3565,SQRT(-2*LN(F3565))*COS(2*PI()*G3565),"")</f>
        <v/>
      </c>
      <c r="I3565">
        <f>IF(B3565,IF(D3565=0,H3565,Rho*I3564+SQRT(1-Rho^2)*H3565),"")</f>
        <v/>
      </c>
      <c r="J3565">
        <f>IF(B3565,IF(Dist="Normal",DistA+DistB*I3565,DistA+(DistB-DistA)*NORMSDIST(I3565)),"")</f>
        <v/>
      </c>
      <c r="K3565">
        <f>IF(B3565,INDEX(MineScale,C3565),"")</f>
        <v/>
      </c>
      <c r="L3565">
        <f>IF(B3565,INDEX(Dow,1,WEEKDAY(E3565,2)),"")</f>
        <v/>
      </c>
      <c r="M3565">
        <f>IF(B3565,(1+Trend)^D3565,"")</f>
        <v/>
      </c>
      <c r="N3565">
        <f>IF(B3565,EXP(SUMPRODUCT(LN(1+(EvEff-1)*INDEX(Affected,0,C3565)*EXP(-((E3565-EvCenter)^2)/(2*EvSigma^2))))),"")</f>
        <v/>
      </c>
      <c r="O3565">
        <f>IF(B3565,ROUND(MAX(0,J3565*K3565*L3565*M3565*N3565),2),"")</f>
        <v/>
      </c>
    </row>
    <row r="3566">
      <c r="A3566" t="n">
        <v>3565</v>
      </c>
      <c r="B3566">
        <f>A3566&lt;=MineCount*Days</f>
        <v/>
      </c>
      <c r="C3566">
        <f>IF(B3566,INT((A3566-1)/Days)+1,"")</f>
        <v/>
      </c>
      <c r="D3566">
        <f>IF(B3566,MOD(A3566-1,Days),"")</f>
        <v/>
      </c>
      <c r="E3566" s="16">
        <f>IF(B3566,StartDate+D3566,"")</f>
        <v/>
      </c>
      <c r="F3566">
        <f>IF(B3566,MAX(MOD(SIN(Seed*0.1373+C3566*12.9898+D3566*78.233)*43758.5453,1),1E-9),"")</f>
        <v/>
      </c>
      <c r="G3566">
        <f>IF(B3566,MOD(SIN(Seed*0.5917+C3566*39.3468+D3566*11.135)*24634.6345,1),"")</f>
        <v/>
      </c>
      <c r="H3566">
        <f>IF(B3566,SQRT(-2*LN(F3566))*COS(2*PI()*G3566),"")</f>
        <v/>
      </c>
      <c r="I3566">
        <f>IF(B3566,IF(D3566=0,H3566,Rho*I3565+SQRT(1-Rho^2)*H3566),"")</f>
        <v/>
      </c>
      <c r="J3566">
        <f>IF(B3566,IF(Dist="Normal",DistA+DistB*I3566,DistA+(DistB-DistA)*NORMSDIST(I3566)),"")</f>
        <v/>
      </c>
      <c r="K3566">
        <f>IF(B3566,INDEX(MineScale,C3566),"")</f>
        <v/>
      </c>
      <c r="L3566">
        <f>IF(B3566,INDEX(Dow,1,WEEKDAY(E3566,2)),"")</f>
        <v/>
      </c>
      <c r="M3566">
        <f>IF(B3566,(1+Trend)^D3566,"")</f>
        <v/>
      </c>
      <c r="N3566">
        <f>IF(B3566,EXP(SUMPRODUCT(LN(1+(EvEff-1)*INDEX(Affected,0,C3566)*EXP(-((E3566-EvCenter)^2)/(2*EvSigma^2))))),"")</f>
        <v/>
      </c>
      <c r="O3566">
        <f>IF(B3566,ROUND(MAX(0,J3566*K3566*L3566*M3566*N3566),2),"")</f>
        <v/>
      </c>
    </row>
    <row r="3567">
      <c r="A3567" t="n">
        <v>3566</v>
      </c>
      <c r="B3567">
        <f>A3567&lt;=MineCount*Days</f>
        <v/>
      </c>
      <c r="C3567">
        <f>IF(B3567,INT((A3567-1)/Days)+1,"")</f>
        <v/>
      </c>
      <c r="D3567">
        <f>IF(B3567,MOD(A3567-1,Days),"")</f>
        <v/>
      </c>
      <c r="E3567" s="16">
        <f>IF(B3567,StartDate+D3567,"")</f>
        <v/>
      </c>
      <c r="F3567">
        <f>IF(B3567,MAX(MOD(SIN(Seed*0.1373+C3567*12.9898+D3567*78.233)*43758.5453,1),1E-9),"")</f>
        <v/>
      </c>
      <c r="G3567">
        <f>IF(B3567,MOD(SIN(Seed*0.5917+C3567*39.3468+D3567*11.135)*24634.6345,1),"")</f>
        <v/>
      </c>
      <c r="H3567">
        <f>IF(B3567,SQRT(-2*LN(F3567))*COS(2*PI()*G3567),"")</f>
        <v/>
      </c>
      <c r="I3567">
        <f>IF(B3567,IF(D3567=0,H3567,Rho*I3566+SQRT(1-Rho^2)*H3567),"")</f>
        <v/>
      </c>
      <c r="J3567">
        <f>IF(B3567,IF(Dist="Normal",DistA+DistB*I3567,DistA+(DistB-DistA)*NORMSDIST(I3567)),"")</f>
        <v/>
      </c>
      <c r="K3567">
        <f>IF(B3567,INDEX(MineScale,C3567),"")</f>
        <v/>
      </c>
      <c r="L3567">
        <f>IF(B3567,INDEX(Dow,1,WEEKDAY(E3567,2)),"")</f>
        <v/>
      </c>
      <c r="M3567">
        <f>IF(B3567,(1+Trend)^D3567,"")</f>
        <v/>
      </c>
      <c r="N3567">
        <f>IF(B3567,EXP(SUMPRODUCT(LN(1+(EvEff-1)*INDEX(Affected,0,C3567)*EXP(-((E3567-EvCenter)^2)/(2*EvSigma^2))))),"")</f>
        <v/>
      </c>
      <c r="O3567">
        <f>IF(B3567,ROUND(MAX(0,J3567*K3567*L3567*M3567*N3567),2),"")</f>
        <v/>
      </c>
    </row>
    <row r="3568">
      <c r="A3568" t="n">
        <v>3567</v>
      </c>
      <c r="B3568">
        <f>A3568&lt;=MineCount*Days</f>
        <v/>
      </c>
      <c r="C3568">
        <f>IF(B3568,INT((A3568-1)/Days)+1,"")</f>
        <v/>
      </c>
      <c r="D3568">
        <f>IF(B3568,MOD(A3568-1,Days),"")</f>
        <v/>
      </c>
      <c r="E3568" s="16">
        <f>IF(B3568,StartDate+D3568,"")</f>
        <v/>
      </c>
      <c r="F3568">
        <f>IF(B3568,MAX(MOD(SIN(Seed*0.1373+C3568*12.9898+D3568*78.233)*43758.5453,1),1E-9),"")</f>
        <v/>
      </c>
      <c r="G3568">
        <f>IF(B3568,MOD(SIN(Seed*0.5917+C3568*39.3468+D3568*11.135)*24634.6345,1),"")</f>
        <v/>
      </c>
      <c r="H3568">
        <f>IF(B3568,SQRT(-2*LN(F3568))*COS(2*PI()*G3568),"")</f>
        <v/>
      </c>
      <c r="I3568">
        <f>IF(B3568,IF(D3568=0,H3568,Rho*I3567+SQRT(1-Rho^2)*H3568),"")</f>
        <v/>
      </c>
      <c r="J3568">
        <f>IF(B3568,IF(Dist="Normal",DistA+DistB*I3568,DistA+(DistB-DistA)*NORMSDIST(I3568)),"")</f>
        <v/>
      </c>
      <c r="K3568">
        <f>IF(B3568,INDEX(MineScale,C3568),"")</f>
        <v/>
      </c>
      <c r="L3568">
        <f>IF(B3568,INDEX(Dow,1,WEEKDAY(E3568,2)),"")</f>
        <v/>
      </c>
      <c r="M3568">
        <f>IF(B3568,(1+Trend)^D3568,"")</f>
        <v/>
      </c>
      <c r="N3568">
        <f>IF(B3568,EXP(SUMPRODUCT(LN(1+(EvEff-1)*INDEX(Affected,0,C3568)*EXP(-((E3568-EvCenter)^2)/(2*EvSigma^2))))),"")</f>
        <v/>
      </c>
      <c r="O3568">
        <f>IF(B3568,ROUND(MAX(0,J3568*K3568*L3568*M3568*N3568),2),"")</f>
        <v/>
      </c>
    </row>
    <row r="3569">
      <c r="A3569" t="n">
        <v>3568</v>
      </c>
      <c r="B3569">
        <f>A3569&lt;=MineCount*Days</f>
        <v/>
      </c>
      <c r="C3569">
        <f>IF(B3569,INT((A3569-1)/Days)+1,"")</f>
        <v/>
      </c>
      <c r="D3569">
        <f>IF(B3569,MOD(A3569-1,Days),"")</f>
        <v/>
      </c>
      <c r="E3569" s="16">
        <f>IF(B3569,StartDate+D3569,"")</f>
        <v/>
      </c>
      <c r="F3569">
        <f>IF(B3569,MAX(MOD(SIN(Seed*0.1373+C3569*12.9898+D3569*78.233)*43758.5453,1),1E-9),"")</f>
        <v/>
      </c>
      <c r="G3569">
        <f>IF(B3569,MOD(SIN(Seed*0.5917+C3569*39.3468+D3569*11.135)*24634.6345,1),"")</f>
        <v/>
      </c>
      <c r="H3569">
        <f>IF(B3569,SQRT(-2*LN(F3569))*COS(2*PI()*G3569),"")</f>
        <v/>
      </c>
      <c r="I3569">
        <f>IF(B3569,IF(D3569=0,H3569,Rho*I3568+SQRT(1-Rho^2)*H3569),"")</f>
        <v/>
      </c>
      <c r="J3569">
        <f>IF(B3569,IF(Dist="Normal",DistA+DistB*I3569,DistA+(DistB-DistA)*NORMSDIST(I3569)),"")</f>
        <v/>
      </c>
      <c r="K3569">
        <f>IF(B3569,INDEX(MineScale,C3569),"")</f>
        <v/>
      </c>
      <c r="L3569">
        <f>IF(B3569,INDEX(Dow,1,WEEKDAY(E3569,2)),"")</f>
        <v/>
      </c>
      <c r="M3569">
        <f>IF(B3569,(1+Trend)^D3569,"")</f>
        <v/>
      </c>
      <c r="N3569">
        <f>IF(B3569,EXP(SUMPRODUCT(LN(1+(EvEff-1)*INDEX(Affected,0,C3569)*EXP(-((E3569-EvCenter)^2)/(2*EvSigma^2))))),"")</f>
        <v/>
      </c>
      <c r="O3569">
        <f>IF(B3569,ROUND(MAX(0,J3569*K3569*L3569*M3569*N3569),2),"")</f>
        <v/>
      </c>
    </row>
    <row r="3570">
      <c r="A3570" t="n">
        <v>3569</v>
      </c>
      <c r="B3570">
        <f>A3570&lt;=MineCount*Days</f>
        <v/>
      </c>
      <c r="C3570">
        <f>IF(B3570,INT((A3570-1)/Days)+1,"")</f>
        <v/>
      </c>
      <c r="D3570">
        <f>IF(B3570,MOD(A3570-1,Days),"")</f>
        <v/>
      </c>
      <c r="E3570" s="16">
        <f>IF(B3570,StartDate+D3570,"")</f>
        <v/>
      </c>
      <c r="F3570">
        <f>IF(B3570,MAX(MOD(SIN(Seed*0.1373+C3570*12.9898+D3570*78.233)*43758.5453,1),1E-9),"")</f>
        <v/>
      </c>
      <c r="G3570">
        <f>IF(B3570,MOD(SIN(Seed*0.5917+C3570*39.3468+D3570*11.135)*24634.6345,1),"")</f>
        <v/>
      </c>
      <c r="H3570">
        <f>IF(B3570,SQRT(-2*LN(F3570))*COS(2*PI()*G3570),"")</f>
        <v/>
      </c>
      <c r="I3570">
        <f>IF(B3570,IF(D3570=0,H3570,Rho*I3569+SQRT(1-Rho^2)*H3570),"")</f>
        <v/>
      </c>
      <c r="J3570">
        <f>IF(B3570,IF(Dist="Normal",DistA+DistB*I3570,DistA+(DistB-DistA)*NORMSDIST(I3570)),"")</f>
        <v/>
      </c>
      <c r="K3570">
        <f>IF(B3570,INDEX(MineScale,C3570),"")</f>
        <v/>
      </c>
      <c r="L3570">
        <f>IF(B3570,INDEX(Dow,1,WEEKDAY(E3570,2)),"")</f>
        <v/>
      </c>
      <c r="M3570">
        <f>IF(B3570,(1+Trend)^D3570,"")</f>
        <v/>
      </c>
      <c r="N3570">
        <f>IF(B3570,EXP(SUMPRODUCT(LN(1+(EvEff-1)*INDEX(Affected,0,C3570)*EXP(-((E3570-EvCenter)^2)/(2*EvSigma^2))))),"")</f>
        <v/>
      </c>
      <c r="O3570">
        <f>IF(B3570,ROUND(MAX(0,J3570*K3570*L3570*M3570*N3570),2),"")</f>
        <v/>
      </c>
    </row>
    <row r="3571">
      <c r="A3571" t="n">
        <v>3570</v>
      </c>
      <c r="B3571">
        <f>A3571&lt;=MineCount*Days</f>
        <v/>
      </c>
      <c r="C3571">
        <f>IF(B3571,INT((A3571-1)/Days)+1,"")</f>
        <v/>
      </c>
      <c r="D3571">
        <f>IF(B3571,MOD(A3571-1,Days),"")</f>
        <v/>
      </c>
      <c r="E3571" s="16">
        <f>IF(B3571,StartDate+D3571,"")</f>
        <v/>
      </c>
      <c r="F3571">
        <f>IF(B3571,MAX(MOD(SIN(Seed*0.1373+C3571*12.9898+D3571*78.233)*43758.5453,1),1E-9),"")</f>
        <v/>
      </c>
      <c r="G3571">
        <f>IF(B3571,MOD(SIN(Seed*0.5917+C3571*39.3468+D3571*11.135)*24634.6345,1),"")</f>
        <v/>
      </c>
      <c r="H3571">
        <f>IF(B3571,SQRT(-2*LN(F3571))*COS(2*PI()*G3571),"")</f>
        <v/>
      </c>
      <c r="I3571">
        <f>IF(B3571,IF(D3571=0,H3571,Rho*I3570+SQRT(1-Rho^2)*H3571),"")</f>
        <v/>
      </c>
      <c r="J3571">
        <f>IF(B3571,IF(Dist="Normal",DistA+DistB*I3571,DistA+(DistB-DistA)*NORMSDIST(I3571)),"")</f>
        <v/>
      </c>
      <c r="K3571">
        <f>IF(B3571,INDEX(MineScale,C3571),"")</f>
        <v/>
      </c>
      <c r="L3571">
        <f>IF(B3571,INDEX(Dow,1,WEEKDAY(E3571,2)),"")</f>
        <v/>
      </c>
      <c r="M3571">
        <f>IF(B3571,(1+Trend)^D3571,"")</f>
        <v/>
      </c>
      <c r="N3571">
        <f>IF(B3571,EXP(SUMPRODUCT(LN(1+(EvEff-1)*INDEX(Affected,0,C3571)*EXP(-((E3571-EvCenter)^2)/(2*EvSigma^2))))),"")</f>
        <v/>
      </c>
      <c r="O3571">
        <f>IF(B3571,ROUND(MAX(0,J3571*K3571*L3571*M3571*N3571),2),"")</f>
        <v/>
      </c>
    </row>
    <row r="3572">
      <c r="A3572" t="n">
        <v>3571</v>
      </c>
      <c r="B3572">
        <f>A3572&lt;=MineCount*Days</f>
        <v/>
      </c>
      <c r="C3572">
        <f>IF(B3572,INT((A3572-1)/Days)+1,"")</f>
        <v/>
      </c>
      <c r="D3572">
        <f>IF(B3572,MOD(A3572-1,Days),"")</f>
        <v/>
      </c>
      <c r="E3572" s="16">
        <f>IF(B3572,StartDate+D3572,"")</f>
        <v/>
      </c>
      <c r="F3572">
        <f>IF(B3572,MAX(MOD(SIN(Seed*0.1373+C3572*12.9898+D3572*78.233)*43758.5453,1),1E-9),"")</f>
        <v/>
      </c>
      <c r="G3572">
        <f>IF(B3572,MOD(SIN(Seed*0.5917+C3572*39.3468+D3572*11.135)*24634.6345,1),"")</f>
        <v/>
      </c>
      <c r="H3572">
        <f>IF(B3572,SQRT(-2*LN(F3572))*COS(2*PI()*G3572),"")</f>
        <v/>
      </c>
      <c r="I3572">
        <f>IF(B3572,IF(D3572=0,H3572,Rho*I3571+SQRT(1-Rho^2)*H3572),"")</f>
        <v/>
      </c>
      <c r="J3572">
        <f>IF(B3572,IF(Dist="Normal",DistA+DistB*I3572,DistA+(DistB-DistA)*NORMSDIST(I3572)),"")</f>
        <v/>
      </c>
      <c r="K3572">
        <f>IF(B3572,INDEX(MineScale,C3572),"")</f>
        <v/>
      </c>
      <c r="L3572">
        <f>IF(B3572,INDEX(Dow,1,WEEKDAY(E3572,2)),"")</f>
        <v/>
      </c>
      <c r="M3572">
        <f>IF(B3572,(1+Trend)^D3572,"")</f>
        <v/>
      </c>
      <c r="N3572">
        <f>IF(B3572,EXP(SUMPRODUCT(LN(1+(EvEff-1)*INDEX(Affected,0,C3572)*EXP(-((E3572-EvCenter)^2)/(2*EvSigma^2))))),"")</f>
        <v/>
      </c>
      <c r="O3572">
        <f>IF(B3572,ROUND(MAX(0,J3572*K3572*L3572*M3572*N3572),2),"")</f>
        <v/>
      </c>
    </row>
    <row r="3573">
      <c r="A3573" t="n">
        <v>3572</v>
      </c>
      <c r="B3573">
        <f>A3573&lt;=MineCount*Days</f>
        <v/>
      </c>
      <c r="C3573">
        <f>IF(B3573,INT((A3573-1)/Days)+1,"")</f>
        <v/>
      </c>
      <c r="D3573">
        <f>IF(B3573,MOD(A3573-1,Days),"")</f>
        <v/>
      </c>
      <c r="E3573" s="16">
        <f>IF(B3573,StartDate+D3573,"")</f>
        <v/>
      </c>
      <c r="F3573">
        <f>IF(B3573,MAX(MOD(SIN(Seed*0.1373+C3573*12.9898+D3573*78.233)*43758.5453,1),1E-9),"")</f>
        <v/>
      </c>
      <c r="G3573">
        <f>IF(B3573,MOD(SIN(Seed*0.5917+C3573*39.3468+D3573*11.135)*24634.6345,1),"")</f>
        <v/>
      </c>
      <c r="H3573">
        <f>IF(B3573,SQRT(-2*LN(F3573))*COS(2*PI()*G3573),"")</f>
        <v/>
      </c>
      <c r="I3573">
        <f>IF(B3573,IF(D3573=0,H3573,Rho*I3572+SQRT(1-Rho^2)*H3573),"")</f>
        <v/>
      </c>
      <c r="J3573">
        <f>IF(B3573,IF(Dist="Normal",DistA+DistB*I3573,DistA+(DistB-DistA)*NORMSDIST(I3573)),"")</f>
        <v/>
      </c>
      <c r="K3573">
        <f>IF(B3573,INDEX(MineScale,C3573),"")</f>
        <v/>
      </c>
      <c r="L3573">
        <f>IF(B3573,INDEX(Dow,1,WEEKDAY(E3573,2)),"")</f>
        <v/>
      </c>
      <c r="M3573">
        <f>IF(B3573,(1+Trend)^D3573,"")</f>
        <v/>
      </c>
      <c r="N3573">
        <f>IF(B3573,EXP(SUMPRODUCT(LN(1+(EvEff-1)*INDEX(Affected,0,C3573)*EXP(-((E3573-EvCenter)^2)/(2*EvSigma^2))))),"")</f>
        <v/>
      </c>
      <c r="O3573">
        <f>IF(B3573,ROUND(MAX(0,J3573*K3573*L3573*M3573*N3573),2),"")</f>
        <v/>
      </c>
    </row>
    <row r="3574">
      <c r="A3574" t="n">
        <v>3573</v>
      </c>
      <c r="B3574">
        <f>A3574&lt;=MineCount*Days</f>
        <v/>
      </c>
      <c r="C3574">
        <f>IF(B3574,INT((A3574-1)/Days)+1,"")</f>
        <v/>
      </c>
      <c r="D3574">
        <f>IF(B3574,MOD(A3574-1,Days),"")</f>
        <v/>
      </c>
      <c r="E3574" s="16">
        <f>IF(B3574,StartDate+D3574,"")</f>
        <v/>
      </c>
      <c r="F3574">
        <f>IF(B3574,MAX(MOD(SIN(Seed*0.1373+C3574*12.9898+D3574*78.233)*43758.5453,1),1E-9),"")</f>
        <v/>
      </c>
      <c r="G3574">
        <f>IF(B3574,MOD(SIN(Seed*0.5917+C3574*39.3468+D3574*11.135)*24634.6345,1),"")</f>
        <v/>
      </c>
      <c r="H3574">
        <f>IF(B3574,SQRT(-2*LN(F3574))*COS(2*PI()*G3574),"")</f>
        <v/>
      </c>
      <c r="I3574">
        <f>IF(B3574,IF(D3574=0,H3574,Rho*I3573+SQRT(1-Rho^2)*H3574),"")</f>
        <v/>
      </c>
      <c r="J3574">
        <f>IF(B3574,IF(Dist="Normal",DistA+DistB*I3574,DistA+(DistB-DistA)*NORMSDIST(I3574)),"")</f>
        <v/>
      </c>
      <c r="K3574">
        <f>IF(B3574,INDEX(MineScale,C3574),"")</f>
        <v/>
      </c>
      <c r="L3574">
        <f>IF(B3574,INDEX(Dow,1,WEEKDAY(E3574,2)),"")</f>
        <v/>
      </c>
      <c r="M3574">
        <f>IF(B3574,(1+Trend)^D3574,"")</f>
        <v/>
      </c>
      <c r="N3574">
        <f>IF(B3574,EXP(SUMPRODUCT(LN(1+(EvEff-1)*INDEX(Affected,0,C3574)*EXP(-((E3574-EvCenter)^2)/(2*EvSigma^2))))),"")</f>
        <v/>
      </c>
      <c r="O3574">
        <f>IF(B3574,ROUND(MAX(0,J3574*K3574*L3574*M3574*N3574),2),"")</f>
        <v/>
      </c>
    </row>
    <row r="3575">
      <c r="A3575" t="n">
        <v>3574</v>
      </c>
      <c r="B3575">
        <f>A3575&lt;=MineCount*Days</f>
        <v/>
      </c>
      <c r="C3575">
        <f>IF(B3575,INT((A3575-1)/Days)+1,"")</f>
        <v/>
      </c>
      <c r="D3575">
        <f>IF(B3575,MOD(A3575-1,Days),"")</f>
        <v/>
      </c>
      <c r="E3575" s="16">
        <f>IF(B3575,StartDate+D3575,"")</f>
        <v/>
      </c>
      <c r="F3575">
        <f>IF(B3575,MAX(MOD(SIN(Seed*0.1373+C3575*12.9898+D3575*78.233)*43758.5453,1),1E-9),"")</f>
        <v/>
      </c>
      <c r="G3575">
        <f>IF(B3575,MOD(SIN(Seed*0.5917+C3575*39.3468+D3575*11.135)*24634.6345,1),"")</f>
        <v/>
      </c>
      <c r="H3575">
        <f>IF(B3575,SQRT(-2*LN(F3575))*COS(2*PI()*G3575),"")</f>
        <v/>
      </c>
      <c r="I3575">
        <f>IF(B3575,IF(D3575=0,H3575,Rho*I3574+SQRT(1-Rho^2)*H3575),"")</f>
        <v/>
      </c>
      <c r="J3575">
        <f>IF(B3575,IF(Dist="Normal",DistA+DistB*I3575,DistA+(DistB-DistA)*NORMSDIST(I3575)),"")</f>
        <v/>
      </c>
      <c r="K3575">
        <f>IF(B3575,INDEX(MineScale,C3575),"")</f>
        <v/>
      </c>
      <c r="L3575">
        <f>IF(B3575,INDEX(Dow,1,WEEKDAY(E3575,2)),"")</f>
        <v/>
      </c>
      <c r="M3575">
        <f>IF(B3575,(1+Trend)^D3575,"")</f>
        <v/>
      </c>
      <c r="N3575">
        <f>IF(B3575,EXP(SUMPRODUCT(LN(1+(EvEff-1)*INDEX(Affected,0,C3575)*EXP(-((E3575-EvCenter)^2)/(2*EvSigma^2))))),"")</f>
        <v/>
      </c>
      <c r="O3575">
        <f>IF(B3575,ROUND(MAX(0,J3575*K3575*L3575*M3575*N3575),2),"")</f>
        <v/>
      </c>
    </row>
    <row r="3576">
      <c r="A3576" t="n">
        <v>3575</v>
      </c>
      <c r="B3576">
        <f>A3576&lt;=MineCount*Days</f>
        <v/>
      </c>
      <c r="C3576">
        <f>IF(B3576,INT((A3576-1)/Days)+1,"")</f>
        <v/>
      </c>
      <c r="D3576">
        <f>IF(B3576,MOD(A3576-1,Days),"")</f>
        <v/>
      </c>
      <c r="E3576" s="16">
        <f>IF(B3576,StartDate+D3576,"")</f>
        <v/>
      </c>
      <c r="F3576">
        <f>IF(B3576,MAX(MOD(SIN(Seed*0.1373+C3576*12.9898+D3576*78.233)*43758.5453,1),1E-9),"")</f>
        <v/>
      </c>
      <c r="G3576">
        <f>IF(B3576,MOD(SIN(Seed*0.5917+C3576*39.3468+D3576*11.135)*24634.6345,1),"")</f>
        <v/>
      </c>
      <c r="H3576">
        <f>IF(B3576,SQRT(-2*LN(F3576))*COS(2*PI()*G3576),"")</f>
        <v/>
      </c>
      <c r="I3576">
        <f>IF(B3576,IF(D3576=0,H3576,Rho*I3575+SQRT(1-Rho^2)*H3576),"")</f>
        <v/>
      </c>
      <c r="J3576">
        <f>IF(B3576,IF(Dist="Normal",DistA+DistB*I3576,DistA+(DistB-DistA)*NORMSDIST(I3576)),"")</f>
        <v/>
      </c>
      <c r="K3576">
        <f>IF(B3576,INDEX(MineScale,C3576),"")</f>
        <v/>
      </c>
      <c r="L3576">
        <f>IF(B3576,INDEX(Dow,1,WEEKDAY(E3576,2)),"")</f>
        <v/>
      </c>
      <c r="M3576">
        <f>IF(B3576,(1+Trend)^D3576,"")</f>
        <v/>
      </c>
      <c r="N3576">
        <f>IF(B3576,EXP(SUMPRODUCT(LN(1+(EvEff-1)*INDEX(Affected,0,C3576)*EXP(-((E3576-EvCenter)^2)/(2*EvSigma^2))))),"")</f>
        <v/>
      </c>
      <c r="O3576">
        <f>IF(B3576,ROUND(MAX(0,J3576*K3576*L3576*M3576*N3576),2),"")</f>
        <v/>
      </c>
    </row>
    <row r="3577">
      <c r="A3577" t="n">
        <v>3576</v>
      </c>
      <c r="B3577">
        <f>A3577&lt;=MineCount*Days</f>
        <v/>
      </c>
      <c r="C3577">
        <f>IF(B3577,INT((A3577-1)/Days)+1,"")</f>
        <v/>
      </c>
      <c r="D3577">
        <f>IF(B3577,MOD(A3577-1,Days),"")</f>
        <v/>
      </c>
      <c r="E3577" s="16">
        <f>IF(B3577,StartDate+D3577,"")</f>
        <v/>
      </c>
      <c r="F3577">
        <f>IF(B3577,MAX(MOD(SIN(Seed*0.1373+C3577*12.9898+D3577*78.233)*43758.5453,1),1E-9),"")</f>
        <v/>
      </c>
      <c r="G3577">
        <f>IF(B3577,MOD(SIN(Seed*0.5917+C3577*39.3468+D3577*11.135)*24634.6345,1),"")</f>
        <v/>
      </c>
      <c r="H3577">
        <f>IF(B3577,SQRT(-2*LN(F3577))*COS(2*PI()*G3577),"")</f>
        <v/>
      </c>
      <c r="I3577">
        <f>IF(B3577,IF(D3577=0,H3577,Rho*I3576+SQRT(1-Rho^2)*H3577),"")</f>
        <v/>
      </c>
      <c r="J3577">
        <f>IF(B3577,IF(Dist="Normal",DistA+DistB*I3577,DistA+(DistB-DistA)*NORMSDIST(I3577)),"")</f>
        <v/>
      </c>
      <c r="K3577">
        <f>IF(B3577,INDEX(MineScale,C3577),"")</f>
        <v/>
      </c>
      <c r="L3577">
        <f>IF(B3577,INDEX(Dow,1,WEEKDAY(E3577,2)),"")</f>
        <v/>
      </c>
      <c r="M3577">
        <f>IF(B3577,(1+Trend)^D3577,"")</f>
        <v/>
      </c>
      <c r="N3577">
        <f>IF(B3577,EXP(SUMPRODUCT(LN(1+(EvEff-1)*INDEX(Affected,0,C3577)*EXP(-((E3577-EvCenter)^2)/(2*EvSigma^2))))),"")</f>
        <v/>
      </c>
      <c r="O3577">
        <f>IF(B3577,ROUND(MAX(0,J3577*K3577*L3577*M3577*N3577),2),"")</f>
        <v/>
      </c>
    </row>
    <row r="3578">
      <c r="A3578" t="n">
        <v>3577</v>
      </c>
      <c r="B3578">
        <f>A3578&lt;=MineCount*Days</f>
        <v/>
      </c>
      <c r="C3578">
        <f>IF(B3578,INT((A3578-1)/Days)+1,"")</f>
        <v/>
      </c>
      <c r="D3578">
        <f>IF(B3578,MOD(A3578-1,Days),"")</f>
        <v/>
      </c>
      <c r="E3578" s="16">
        <f>IF(B3578,StartDate+D3578,"")</f>
        <v/>
      </c>
      <c r="F3578">
        <f>IF(B3578,MAX(MOD(SIN(Seed*0.1373+C3578*12.9898+D3578*78.233)*43758.5453,1),1E-9),"")</f>
        <v/>
      </c>
      <c r="G3578">
        <f>IF(B3578,MOD(SIN(Seed*0.5917+C3578*39.3468+D3578*11.135)*24634.6345,1),"")</f>
        <v/>
      </c>
      <c r="H3578">
        <f>IF(B3578,SQRT(-2*LN(F3578))*COS(2*PI()*G3578),"")</f>
        <v/>
      </c>
      <c r="I3578">
        <f>IF(B3578,IF(D3578=0,H3578,Rho*I3577+SQRT(1-Rho^2)*H3578),"")</f>
        <v/>
      </c>
      <c r="J3578">
        <f>IF(B3578,IF(Dist="Normal",DistA+DistB*I3578,DistA+(DistB-DistA)*NORMSDIST(I3578)),"")</f>
        <v/>
      </c>
      <c r="K3578">
        <f>IF(B3578,INDEX(MineScale,C3578),"")</f>
        <v/>
      </c>
      <c r="L3578">
        <f>IF(B3578,INDEX(Dow,1,WEEKDAY(E3578,2)),"")</f>
        <v/>
      </c>
      <c r="M3578">
        <f>IF(B3578,(1+Trend)^D3578,"")</f>
        <v/>
      </c>
      <c r="N3578">
        <f>IF(B3578,EXP(SUMPRODUCT(LN(1+(EvEff-1)*INDEX(Affected,0,C3578)*EXP(-((E3578-EvCenter)^2)/(2*EvSigma^2))))),"")</f>
        <v/>
      </c>
      <c r="O3578">
        <f>IF(B3578,ROUND(MAX(0,J3578*K3578*L3578*M3578*N3578),2),"")</f>
        <v/>
      </c>
    </row>
    <row r="3579">
      <c r="A3579" t="n">
        <v>3578</v>
      </c>
      <c r="B3579">
        <f>A3579&lt;=MineCount*Days</f>
        <v/>
      </c>
      <c r="C3579">
        <f>IF(B3579,INT((A3579-1)/Days)+1,"")</f>
        <v/>
      </c>
      <c r="D3579">
        <f>IF(B3579,MOD(A3579-1,Days),"")</f>
        <v/>
      </c>
      <c r="E3579" s="16">
        <f>IF(B3579,StartDate+D3579,"")</f>
        <v/>
      </c>
      <c r="F3579">
        <f>IF(B3579,MAX(MOD(SIN(Seed*0.1373+C3579*12.9898+D3579*78.233)*43758.5453,1),1E-9),"")</f>
        <v/>
      </c>
      <c r="G3579">
        <f>IF(B3579,MOD(SIN(Seed*0.5917+C3579*39.3468+D3579*11.135)*24634.6345,1),"")</f>
        <v/>
      </c>
      <c r="H3579">
        <f>IF(B3579,SQRT(-2*LN(F3579))*COS(2*PI()*G3579),"")</f>
        <v/>
      </c>
      <c r="I3579">
        <f>IF(B3579,IF(D3579=0,H3579,Rho*I3578+SQRT(1-Rho^2)*H3579),"")</f>
        <v/>
      </c>
      <c r="J3579">
        <f>IF(B3579,IF(Dist="Normal",DistA+DistB*I3579,DistA+(DistB-DistA)*NORMSDIST(I3579)),"")</f>
        <v/>
      </c>
      <c r="K3579">
        <f>IF(B3579,INDEX(MineScale,C3579),"")</f>
        <v/>
      </c>
      <c r="L3579">
        <f>IF(B3579,INDEX(Dow,1,WEEKDAY(E3579,2)),"")</f>
        <v/>
      </c>
      <c r="M3579">
        <f>IF(B3579,(1+Trend)^D3579,"")</f>
        <v/>
      </c>
      <c r="N3579">
        <f>IF(B3579,EXP(SUMPRODUCT(LN(1+(EvEff-1)*INDEX(Affected,0,C3579)*EXP(-((E3579-EvCenter)^2)/(2*EvSigma^2))))),"")</f>
        <v/>
      </c>
      <c r="O3579">
        <f>IF(B3579,ROUND(MAX(0,J3579*K3579*L3579*M3579*N3579),2),"")</f>
        <v/>
      </c>
    </row>
    <row r="3580">
      <c r="A3580" t="n">
        <v>3579</v>
      </c>
      <c r="B3580">
        <f>A3580&lt;=MineCount*Days</f>
        <v/>
      </c>
      <c r="C3580">
        <f>IF(B3580,INT((A3580-1)/Days)+1,"")</f>
        <v/>
      </c>
      <c r="D3580">
        <f>IF(B3580,MOD(A3580-1,Days),"")</f>
        <v/>
      </c>
      <c r="E3580" s="16">
        <f>IF(B3580,StartDate+D3580,"")</f>
        <v/>
      </c>
      <c r="F3580">
        <f>IF(B3580,MAX(MOD(SIN(Seed*0.1373+C3580*12.9898+D3580*78.233)*43758.5453,1),1E-9),"")</f>
        <v/>
      </c>
      <c r="G3580">
        <f>IF(B3580,MOD(SIN(Seed*0.5917+C3580*39.3468+D3580*11.135)*24634.6345,1),"")</f>
        <v/>
      </c>
      <c r="H3580">
        <f>IF(B3580,SQRT(-2*LN(F3580))*COS(2*PI()*G3580),"")</f>
        <v/>
      </c>
      <c r="I3580">
        <f>IF(B3580,IF(D3580=0,H3580,Rho*I3579+SQRT(1-Rho^2)*H3580),"")</f>
        <v/>
      </c>
      <c r="J3580">
        <f>IF(B3580,IF(Dist="Normal",DistA+DistB*I3580,DistA+(DistB-DistA)*NORMSDIST(I3580)),"")</f>
        <v/>
      </c>
      <c r="K3580">
        <f>IF(B3580,INDEX(MineScale,C3580),"")</f>
        <v/>
      </c>
      <c r="L3580">
        <f>IF(B3580,INDEX(Dow,1,WEEKDAY(E3580,2)),"")</f>
        <v/>
      </c>
      <c r="M3580">
        <f>IF(B3580,(1+Trend)^D3580,"")</f>
        <v/>
      </c>
      <c r="N3580">
        <f>IF(B3580,EXP(SUMPRODUCT(LN(1+(EvEff-1)*INDEX(Affected,0,C3580)*EXP(-((E3580-EvCenter)^2)/(2*EvSigma^2))))),"")</f>
        <v/>
      </c>
      <c r="O3580">
        <f>IF(B3580,ROUND(MAX(0,J3580*K3580*L3580*M3580*N3580),2),"")</f>
        <v/>
      </c>
    </row>
    <row r="3581">
      <c r="A3581" t="n">
        <v>3580</v>
      </c>
      <c r="B3581">
        <f>A3581&lt;=MineCount*Days</f>
        <v/>
      </c>
      <c r="C3581">
        <f>IF(B3581,INT((A3581-1)/Days)+1,"")</f>
        <v/>
      </c>
      <c r="D3581">
        <f>IF(B3581,MOD(A3581-1,Days),"")</f>
        <v/>
      </c>
      <c r="E3581" s="16">
        <f>IF(B3581,StartDate+D3581,"")</f>
        <v/>
      </c>
      <c r="F3581">
        <f>IF(B3581,MAX(MOD(SIN(Seed*0.1373+C3581*12.9898+D3581*78.233)*43758.5453,1),1E-9),"")</f>
        <v/>
      </c>
      <c r="G3581">
        <f>IF(B3581,MOD(SIN(Seed*0.5917+C3581*39.3468+D3581*11.135)*24634.6345,1),"")</f>
        <v/>
      </c>
      <c r="H3581">
        <f>IF(B3581,SQRT(-2*LN(F3581))*COS(2*PI()*G3581),"")</f>
        <v/>
      </c>
      <c r="I3581">
        <f>IF(B3581,IF(D3581=0,H3581,Rho*I3580+SQRT(1-Rho^2)*H3581),"")</f>
        <v/>
      </c>
      <c r="J3581">
        <f>IF(B3581,IF(Dist="Normal",DistA+DistB*I3581,DistA+(DistB-DistA)*NORMSDIST(I3581)),"")</f>
        <v/>
      </c>
      <c r="K3581">
        <f>IF(B3581,INDEX(MineScale,C3581),"")</f>
        <v/>
      </c>
      <c r="L3581">
        <f>IF(B3581,INDEX(Dow,1,WEEKDAY(E3581,2)),"")</f>
        <v/>
      </c>
      <c r="M3581">
        <f>IF(B3581,(1+Trend)^D3581,"")</f>
        <v/>
      </c>
      <c r="N3581">
        <f>IF(B3581,EXP(SUMPRODUCT(LN(1+(EvEff-1)*INDEX(Affected,0,C3581)*EXP(-((E3581-EvCenter)^2)/(2*EvSigma^2))))),"")</f>
        <v/>
      </c>
      <c r="O3581">
        <f>IF(B3581,ROUND(MAX(0,J3581*K3581*L3581*M3581*N3581),2),"")</f>
        <v/>
      </c>
    </row>
    <row r="3582">
      <c r="A3582" t="n">
        <v>3581</v>
      </c>
      <c r="B3582">
        <f>A3582&lt;=MineCount*Days</f>
        <v/>
      </c>
      <c r="C3582">
        <f>IF(B3582,INT((A3582-1)/Days)+1,"")</f>
        <v/>
      </c>
      <c r="D3582">
        <f>IF(B3582,MOD(A3582-1,Days),"")</f>
        <v/>
      </c>
      <c r="E3582" s="16">
        <f>IF(B3582,StartDate+D3582,"")</f>
        <v/>
      </c>
      <c r="F3582">
        <f>IF(B3582,MAX(MOD(SIN(Seed*0.1373+C3582*12.9898+D3582*78.233)*43758.5453,1),1E-9),"")</f>
        <v/>
      </c>
      <c r="G3582">
        <f>IF(B3582,MOD(SIN(Seed*0.5917+C3582*39.3468+D3582*11.135)*24634.6345,1),"")</f>
        <v/>
      </c>
      <c r="H3582">
        <f>IF(B3582,SQRT(-2*LN(F3582))*COS(2*PI()*G3582),"")</f>
        <v/>
      </c>
      <c r="I3582">
        <f>IF(B3582,IF(D3582=0,H3582,Rho*I3581+SQRT(1-Rho^2)*H3582),"")</f>
        <v/>
      </c>
      <c r="J3582">
        <f>IF(B3582,IF(Dist="Normal",DistA+DistB*I3582,DistA+(DistB-DistA)*NORMSDIST(I3582)),"")</f>
        <v/>
      </c>
      <c r="K3582">
        <f>IF(B3582,INDEX(MineScale,C3582),"")</f>
        <v/>
      </c>
      <c r="L3582">
        <f>IF(B3582,INDEX(Dow,1,WEEKDAY(E3582,2)),"")</f>
        <v/>
      </c>
      <c r="M3582">
        <f>IF(B3582,(1+Trend)^D3582,"")</f>
        <v/>
      </c>
      <c r="N3582">
        <f>IF(B3582,EXP(SUMPRODUCT(LN(1+(EvEff-1)*INDEX(Affected,0,C3582)*EXP(-((E3582-EvCenter)^2)/(2*EvSigma^2))))),"")</f>
        <v/>
      </c>
      <c r="O3582">
        <f>IF(B3582,ROUND(MAX(0,J3582*K3582*L3582*M3582*N3582),2),"")</f>
        <v/>
      </c>
    </row>
    <row r="3583">
      <c r="A3583" t="n">
        <v>3582</v>
      </c>
      <c r="B3583">
        <f>A3583&lt;=MineCount*Days</f>
        <v/>
      </c>
      <c r="C3583">
        <f>IF(B3583,INT((A3583-1)/Days)+1,"")</f>
        <v/>
      </c>
      <c r="D3583">
        <f>IF(B3583,MOD(A3583-1,Days),"")</f>
        <v/>
      </c>
      <c r="E3583" s="16">
        <f>IF(B3583,StartDate+D3583,"")</f>
        <v/>
      </c>
      <c r="F3583">
        <f>IF(B3583,MAX(MOD(SIN(Seed*0.1373+C3583*12.9898+D3583*78.233)*43758.5453,1),1E-9),"")</f>
        <v/>
      </c>
      <c r="G3583">
        <f>IF(B3583,MOD(SIN(Seed*0.5917+C3583*39.3468+D3583*11.135)*24634.6345,1),"")</f>
        <v/>
      </c>
      <c r="H3583">
        <f>IF(B3583,SQRT(-2*LN(F3583))*COS(2*PI()*G3583),"")</f>
        <v/>
      </c>
      <c r="I3583">
        <f>IF(B3583,IF(D3583=0,H3583,Rho*I3582+SQRT(1-Rho^2)*H3583),"")</f>
        <v/>
      </c>
      <c r="J3583">
        <f>IF(B3583,IF(Dist="Normal",DistA+DistB*I3583,DistA+(DistB-DistA)*NORMSDIST(I3583)),"")</f>
        <v/>
      </c>
      <c r="K3583">
        <f>IF(B3583,INDEX(MineScale,C3583),"")</f>
        <v/>
      </c>
      <c r="L3583">
        <f>IF(B3583,INDEX(Dow,1,WEEKDAY(E3583,2)),"")</f>
        <v/>
      </c>
      <c r="M3583">
        <f>IF(B3583,(1+Trend)^D3583,"")</f>
        <v/>
      </c>
      <c r="N3583">
        <f>IF(B3583,EXP(SUMPRODUCT(LN(1+(EvEff-1)*INDEX(Affected,0,C3583)*EXP(-((E3583-EvCenter)^2)/(2*EvSigma^2))))),"")</f>
        <v/>
      </c>
      <c r="O3583">
        <f>IF(B3583,ROUND(MAX(0,J3583*K3583*L3583*M3583*N3583),2),"")</f>
        <v/>
      </c>
    </row>
    <row r="3584">
      <c r="A3584" t="n">
        <v>3583</v>
      </c>
      <c r="B3584">
        <f>A3584&lt;=MineCount*Days</f>
        <v/>
      </c>
      <c r="C3584">
        <f>IF(B3584,INT((A3584-1)/Days)+1,"")</f>
        <v/>
      </c>
      <c r="D3584">
        <f>IF(B3584,MOD(A3584-1,Days),"")</f>
        <v/>
      </c>
      <c r="E3584" s="16">
        <f>IF(B3584,StartDate+D3584,"")</f>
        <v/>
      </c>
      <c r="F3584">
        <f>IF(B3584,MAX(MOD(SIN(Seed*0.1373+C3584*12.9898+D3584*78.233)*43758.5453,1),1E-9),"")</f>
        <v/>
      </c>
      <c r="G3584">
        <f>IF(B3584,MOD(SIN(Seed*0.5917+C3584*39.3468+D3584*11.135)*24634.6345,1),"")</f>
        <v/>
      </c>
      <c r="H3584">
        <f>IF(B3584,SQRT(-2*LN(F3584))*COS(2*PI()*G3584),"")</f>
        <v/>
      </c>
      <c r="I3584">
        <f>IF(B3584,IF(D3584=0,H3584,Rho*I3583+SQRT(1-Rho^2)*H3584),"")</f>
        <v/>
      </c>
      <c r="J3584">
        <f>IF(B3584,IF(Dist="Normal",DistA+DistB*I3584,DistA+(DistB-DistA)*NORMSDIST(I3584)),"")</f>
        <v/>
      </c>
      <c r="K3584">
        <f>IF(B3584,INDEX(MineScale,C3584),"")</f>
        <v/>
      </c>
      <c r="L3584">
        <f>IF(B3584,INDEX(Dow,1,WEEKDAY(E3584,2)),"")</f>
        <v/>
      </c>
      <c r="M3584">
        <f>IF(B3584,(1+Trend)^D3584,"")</f>
        <v/>
      </c>
      <c r="N3584">
        <f>IF(B3584,EXP(SUMPRODUCT(LN(1+(EvEff-1)*INDEX(Affected,0,C3584)*EXP(-((E3584-EvCenter)^2)/(2*EvSigma^2))))),"")</f>
        <v/>
      </c>
      <c r="O3584">
        <f>IF(B3584,ROUND(MAX(0,J3584*K3584*L3584*M3584*N3584),2),"")</f>
        <v/>
      </c>
    </row>
    <row r="3585">
      <c r="A3585" t="n">
        <v>3584</v>
      </c>
      <c r="B3585">
        <f>A3585&lt;=MineCount*Days</f>
        <v/>
      </c>
      <c r="C3585">
        <f>IF(B3585,INT((A3585-1)/Days)+1,"")</f>
        <v/>
      </c>
      <c r="D3585">
        <f>IF(B3585,MOD(A3585-1,Days),"")</f>
        <v/>
      </c>
      <c r="E3585" s="16">
        <f>IF(B3585,StartDate+D3585,"")</f>
        <v/>
      </c>
      <c r="F3585">
        <f>IF(B3585,MAX(MOD(SIN(Seed*0.1373+C3585*12.9898+D3585*78.233)*43758.5453,1),1E-9),"")</f>
        <v/>
      </c>
      <c r="G3585">
        <f>IF(B3585,MOD(SIN(Seed*0.5917+C3585*39.3468+D3585*11.135)*24634.6345,1),"")</f>
        <v/>
      </c>
      <c r="H3585">
        <f>IF(B3585,SQRT(-2*LN(F3585))*COS(2*PI()*G3585),"")</f>
        <v/>
      </c>
      <c r="I3585">
        <f>IF(B3585,IF(D3585=0,H3585,Rho*I3584+SQRT(1-Rho^2)*H3585),"")</f>
        <v/>
      </c>
      <c r="J3585">
        <f>IF(B3585,IF(Dist="Normal",DistA+DistB*I3585,DistA+(DistB-DistA)*NORMSDIST(I3585)),"")</f>
        <v/>
      </c>
      <c r="K3585">
        <f>IF(B3585,INDEX(MineScale,C3585),"")</f>
        <v/>
      </c>
      <c r="L3585">
        <f>IF(B3585,INDEX(Dow,1,WEEKDAY(E3585,2)),"")</f>
        <v/>
      </c>
      <c r="M3585">
        <f>IF(B3585,(1+Trend)^D3585,"")</f>
        <v/>
      </c>
      <c r="N3585">
        <f>IF(B3585,EXP(SUMPRODUCT(LN(1+(EvEff-1)*INDEX(Affected,0,C3585)*EXP(-((E3585-EvCenter)^2)/(2*EvSigma^2))))),"")</f>
        <v/>
      </c>
      <c r="O3585">
        <f>IF(B3585,ROUND(MAX(0,J3585*K3585*L3585*M3585*N3585),2),"")</f>
        <v/>
      </c>
    </row>
    <row r="3586">
      <c r="A3586" t="n">
        <v>3585</v>
      </c>
      <c r="B3586">
        <f>A3586&lt;=MineCount*Days</f>
        <v/>
      </c>
      <c r="C3586">
        <f>IF(B3586,INT((A3586-1)/Days)+1,"")</f>
        <v/>
      </c>
      <c r="D3586">
        <f>IF(B3586,MOD(A3586-1,Days),"")</f>
        <v/>
      </c>
      <c r="E3586" s="16">
        <f>IF(B3586,StartDate+D3586,"")</f>
        <v/>
      </c>
      <c r="F3586">
        <f>IF(B3586,MAX(MOD(SIN(Seed*0.1373+C3586*12.9898+D3586*78.233)*43758.5453,1),1E-9),"")</f>
        <v/>
      </c>
      <c r="G3586">
        <f>IF(B3586,MOD(SIN(Seed*0.5917+C3586*39.3468+D3586*11.135)*24634.6345,1),"")</f>
        <v/>
      </c>
      <c r="H3586">
        <f>IF(B3586,SQRT(-2*LN(F3586))*COS(2*PI()*G3586),"")</f>
        <v/>
      </c>
      <c r="I3586">
        <f>IF(B3586,IF(D3586=0,H3586,Rho*I3585+SQRT(1-Rho^2)*H3586),"")</f>
        <v/>
      </c>
      <c r="J3586">
        <f>IF(B3586,IF(Dist="Normal",DistA+DistB*I3586,DistA+(DistB-DistA)*NORMSDIST(I3586)),"")</f>
        <v/>
      </c>
      <c r="K3586">
        <f>IF(B3586,INDEX(MineScale,C3586),"")</f>
        <v/>
      </c>
      <c r="L3586">
        <f>IF(B3586,INDEX(Dow,1,WEEKDAY(E3586,2)),"")</f>
        <v/>
      </c>
      <c r="M3586">
        <f>IF(B3586,(1+Trend)^D3586,"")</f>
        <v/>
      </c>
      <c r="N3586">
        <f>IF(B3586,EXP(SUMPRODUCT(LN(1+(EvEff-1)*INDEX(Affected,0,C3586)*EXP(-((E3586-EvCenter)^2)/(2*EvSigma^2))))),"")</f>
        <v/>
      </c>
      <c r="O3586">
        <f>IF(B3586,ROUND(MAX(0,J3586*K3586*L3586*M3586*N3586),2),"")</f>
        <v/>
      </c>
    </row>
    <row r="3587">
      <c r="A3587" t="n">
        <v>3586</v>
      </c>
      <c r="B3587">
        <f>A3587&lt;=MineCount*Days</f>
        <v/>
      </c>
      <c r="C3587">
        <f>IF(B3587,INT((A3587-1)/Days)+1,"")</f>
        <v/>
      </c>
      <c r="D3587">
        <f>IF(B3587,MOD(A3587-1,Days),"")</f>
        <v/>
      </c>
      <c r="E3587" s="16">
        <f>IF(B3587,StartDate+D3587,"")</f>
        <v/>
      </c>
      <c r="F3587">
        <f>IF(B3587,MAX(MOD(SIN(Seed*0.1373+C3587*12.9898+D3587*78.233)*43758.5453,1),1E-9),"")</f>
        <v/>
      </c>
      <c r="G3587">
        <f>IF(B3587,MOD(SIN(Seed*0.5917+C3587*39.3468+D3587*11.135)*24634.6345,1),"")</f>
        <v/>
      </c>
      <c r="H3587">
        <f>IF(B3587,SQRT(-2*LN(F3587))*COS(2*PI()*G3587),"")</f>
        <v/>
      </c>
      <c r="I3587">
        <f>IF(B3587,IF(D3587=0,H3587,Rho*I3586+SQRT(1-Rho^2)*H3587),"")</f>
        <v/>
      </c>
      <c r="J3587">
        <f>IF(B3587,IF(Dist="Normal",DistA+DistB*I3587,DistA+(DistB-DistA)*NORMSDIST(I3587)),"")</f>
        <v/>
      </c>
      <c r="K3587">
        <f>IF(B3587,INDEX(MineScale,C3587),"")</f>
        <v/>
      </c>
      <c r="L3587">
        <f>IF(B3587,INDEX(Dow,1,WEEKDAY(E3587,2)),"")</f>
        <v/>
      </c>
      <c r="M3587">
        <f>IF(B3587,(1+Trend)^D3587,"")</f>
        <v/>
      </c>
      <c r="N3587">
        <f>IF(B3587,EXP(SUMPRODUCT(LN(1+(EvEff-1)*INDEX(Affected,0,C3587)*EXP(-((E3587-EvCenter)^2)/(2*EvSigma^2))))),"")</f>
        <v/>
      </c>
      <c r="O3587">
        <f>IF(B3587,ROUND(MAX(0,J3587*K3587*L3587*M3587*N3587),2),"")</f>
        <v/>
      </c>
    </row>
    <row r="3588">
      <c r="A3588" t="n">
        <v>3587</v>
      </c>
      <c r="B3588">
        <f>A3588&lt;=MineCount*Days</f>
        <v/>
      </c>
      <c r="C3588">
        <f>IF(B3588,INT((A3588-1)/Days)+1,"")</f>
        <v/>
      </c>
      <c r="D3588">
        <f>IF(B3588,MOD(A3588-1,Days),"")</f>
        <v/>
      </c>
      <c r="E3588" s="16">
        <f>IF(B3588,StartDate+D3588,"")</f>
        <v/>
      </c>
      <c r="F3588">
        <f>IF(B3588,MAX(MOD(SIN(Seed*0.1373+C3588*12.9898+D3588*78.233)*43758.5453,1),1E-9),"")</f>
        <v/>
      </c>
      <c r="G3588">
        <f>IF(B3588,MOD(SIN(Seed*0.5917+C3588*39.3468+D3588*11.135)*24634.6345,1),"")</f>
        <v/>
      </c>
      <c r="H3588">
        <f>IF(B3588,SQRT(-2*LN(F3588))*COS(2*PI()*G3588),"")</f>
        <v/>
      </c>
      <c r="I3588">
        <f>IF(B3588,IF(D3588=0,H3588,Rho*I3587+SQRT(1-Rho^2)*H3588),"")</f>
        <v/>
      </c>
      <c r="J3588">
        <f>IF(B3588,IF(Dist="Normal",DistA+DistB*I3588,DistA+(DistB-DistA)*NORMSDIST(I3588)),"")</f>
        <v/>
      </c>
      <c r="K3588">
        <f>IF(B3588,INDEX(MineScale,C3588),"")</f>
        <v/>
      </c>
      <c r="L3588">
        <f>IF(B3588,INDEX(Dow,1,WEEKDAY(E3588,2)),"")</f>
        <v/>
      </c>
      <c r="M3588">
        <f>IF(B3588,(1+Trend)^D3588,"")</f>
        <v/>
      </c>
      <c r="N3588">
        <f>IF(B3588,EXP(SUMPRODUCT(LN(1+(EvEff-1)*INDEX(Affected,0,C3588)*EXP(-((E3588-EvCenter)^2)/(2*EvSigma^2))))),"")</f>
        <v/>
      </c>
      <c r="O3588">
        <f>IF(B3588,ROUND(MAX(0,J3588*K3588*L3588*M3588*N3588),2),"")</f>
        <v/>
      </c>
    </row>
    <row r="3589">
      <c r="A3589" t="n">
        <v>3588</v>
      </c>
      <c r="B3589">
        <f>A3589&lt;=MineCount*Days</f>
        <v/>
      </c>
      <c r="C3589">
        <f>IF(B3589,INT((A3589-1)/Days)+1,"")</f>
        <v/>
      </c>
      <c r="D3589">
        <f>IF(B3589,MOD(A3589-1,Days),"")</f>
        <v/>
      </c>
      <c r="E3589" s="16">
        <f>IF(B3589,StartDate+D3589,"")</f>
        <v/>
      </c>
      <c r="F3589">
        <f>IF(B3589,MAX(MOD(SIN(Seed*0.1373+C3589*12.9898+D3589*78.233)*43758.5453,1),1E-9),"")</f>
        <v/>
      </c>
      <c r="G3589">
        <f>IF(B3589,MOD(SIN(Seed*0.5917+C3589*39.3468+D3589*11.135)*24634.6345,1),"")</f>
        <v/>
      </c>
      <c r="H3589">
        <f>IF(B3589,SQRT(-2*LN(F3589))*COS(2*PI()*G3589),"")</f>
        <v/>
      </c>
      <c r="I3589">
        <f>IF(B3589,IF(D3589=0,H3589,Rho*I3588+SQRT(1-Rho^2)*H3589),"")</f>
        <v/>
      </c>
      <c r="J3589">
        <f>IF(B3589,IF(Dist="Normal",DistA+DistB*I3589,DistA+(DistB-DistA)*NORMSDIST(I3589)),"")</f>
        <v/>
      </c>
      <c r="K3589">
        <f>IF(B3589,INDEX(MineScale,C3589),"")</f>
        <v/>
      </c>
      <c r="L3589">
        <f>IF(B3589,INDEX(Dow,1,WEEKDAY(E3589,2)),"")</f>
        <v/>
      </c>
      <c r="M3589">
        <f>IF(B3589,(1+Trend)^D3589,"")</f>
        <v/>
      </c>
      <c r="N3589">
        <f>IF(B3589,EXP(SUMPRODUCT(LN(1+(EvEff-1)*INDEX(Affected,0,C3589)*EXP(-((E3589-EvCenter)^2)/(2*EvSigma^2))))),"")</f>
        <v/>
      </c>
      <c r="O3589">
        <f>IF(B3589,ROUND(MAX(0,J3589*K3589*L3589*M3589*N3589),2),"")</f>
        <v/>
      </c>
    </row>
    <row r="3590">
      <c r="A3590" t="n">
        <v>3589</v>
      </c>
      <c r="B3590">
        <f>A3590&lt;=MineCount*Days</f>
        <v/>
      </c>
      <c r="C3590">
        <f>IF(B3590,INT((A3590-1)/Days)+1,"")</f>
        <v/>
      </c>
      <c r="D3590">
        <f>IF(B3590,MOD(A3590-1,Days),"")</f>
        <v/>
      </c>
      <c r="E3590" s="16">
        <f>IF(B3590,StartDate+D3590,"")</f>
        <v/>
      </c>
      <c r="F3590">
        <f>IF(B3590,MAX(MOD(SIN(Seed*0.1373+C3590*12.9898+D3590*78.233)*43758.5453,1),1E-9),"")</f>
        <v/>
      </c>
      <c r="G3590">
        <f>IF(B3590,MOD(SIN(Seed*0.5917+C3590*39.3468+D3590*11.135)*24634.6345,1),"")</f>
        <v/>
      </c>
      <c r="H3590">
        <f>IF(B3590,SQRT(-2*LN(F3590))*COS(2*PI()*G3590),"")</f>
        <v/>
      </c>
      <c r="I3590">
        <f>IF(B3590,IF(D3590=0,H3590,Rho*I3589+SQRT(1-Rho^2)*H3590),"")</f>
        <v/>
      </c>
      <c r="J3590">
        <f>IF(B3590,IF(Dist="Normal",DistA+DistB*I3590,DistA+(DistB-DistA)*NORMSDIST(I3590)),"")</f>
        <v/>
      </c>
      <c r="K3590">
        <f>IF(B3590,INDEX(MineScale,C3590),"")</f>
        <v/>
      </c>
      <c r="L3590">
        <f>IF(B3590,INDEX(Dow,1,WEEKDAY(E3590,2)),"")</f>
        <v/>
      </c>
      <c r="M3590">
        <f>IF(B3590,(1+Trend)^D3590,"")</f>
        <v/>
      </c>
      <c r="N3590">
        <f>IF(B3590,EXP(SUMPRODUCT(LN(1+(EvEff-1)*INDEX(Affected,0,C3590)*EXP(-((E3590-EvCenter)^2)/(2*EvSigma^2))))),"")</f>
        <v/>
      </c>
      <c r="O3590">
        <f>IF(B3590,ROUND(MAX(0,J3590*K3590*L3590*M3590*N3590),2),"")</f>
        <v/>
      </c>
    </row>
    <row r="3591">
      <c r="A3591" t="n">
        <v>3590</v>
      </c>
      <c r="B3591">
        <f>A3591&lt;=MineCount*Days</f>
        <v/>
      </c>
      <c r="C3591">
        <f>IF(B3591,INT((A3591-1)/Days)+1,"")</f>
        <v/>
      </c>
      <c r="D3591">
        <f>IF(B3591,MOD(A3591-1,Days),"")</f>
        <v/>
      </c>
      <c r="E3591" s="16">
        <f>IF(B3591,StartDate+D3591,"")</f>
        <v/>
      </c>
      <c r="F3591">
        <f>IF(B3591,MAX(MOD(SIN(Seed*0.1373+C3591*12.9898+D3591*78.233)*43758.5453,1),1E-9),"")</f>
        <v/>
      </c>
      <c r="G3591">
        <f>IF(B3591,MOD(SIN(Seed*0.5917+C3591*39.3468+D3591*11.135)*24634.6345,1),"")</f>
        <v/>
      </c>
      <c r="H3591">
        <f>IF(B3591,SQRT(-2*LN(F3591))*COS(2*PI()*G3591),"")</f>
        <v/>
      </c>
      <c r="I3591">
        <f>IF(B3591,IF(D3591=0,H3591,Rho*I3590+SQRT(1-Rho^2)*H3591),"")</f>
        <v/>
      </c>
      <c r="J3591">
        <f>IF(B3591,IF(Dist="Normal",DistA+DistB*I3591,DistA+(DistB-DistA)*NORMSDIST(I3591)),"")</f>
        <v/>
      </c>
      <c r="K3591">
        <f>IF(B3591,INDEX(MineScale,C3591),"")</f>
        <v/>
      </c>
      <c r="L3591">
        <f>IF(B3591,INDEX(Dow,1,WEEKDAY(E3591,2)),"")</f>
        <v/>
      </c>
      <c r="M3591">
        <f>IF(B3591,(1+Trend)^D3591,"")</f>
        <v/>
      </c>
      <c r="N3591">
        <f>IF(B3591,EXP(SUMPRODUCT(LN(1+(EvEff-1)*INDEX(Affected,0,C3591)*EXP(-((E3591-EvCenter)^2)/(2*EvSigma^2))))),"")</f>
        <v/>
      </c>
      <c r="O3591">
        <f>IF(B3591,ROUND(MAX(0,J3591*K3591*L3591*M3591*N3591),2),"")</f>
        <v/>
      </c>
    </row>
    <row r="3592">
      <c r="A3592" t="n">
        <v>3591</v>
      </c>
      <c r="B3592">
        <f>A3592&lt;=MineCount*Days</f>
        <v/>
      </c>
      <c r="C3592">
        <f>IF(B3592,INT((A3592-1)/Days)+1,"")</f>
        <v/>
      </c>
      <c r="D3592">
        <f>IF(B3592,MOD(A3592-1,Days),"")</f>
        <v/>
      </c>
      <c r="E3592" s="16">
        <f>IF(B3592,StartDate+D3592,"")</f>
        <v/>
      </c>
      <c r="F3592">
        <f>IF(B3592,MAX(MOD(SIN(Seed*0.1373+C3592*12.9898+D3592*78.233)*43758.5453,1),1E-9),"")</f>
        <v/>
      </c>
      <c r="G3592">
        <f>IF(B3592,MOD(SIN(Seed*0.5917+C3592*39.3468+D3592*11.135)*24634.6345,1),"")</f>
        <v/>
      </c>
      <c r="H3592">
        <f>IF(B3592,SQRT(-2*LN(F3592))*COS(2*PI()*G3592),"")</f>
        <v/>
      </c>
      <c r="I3592">
        <f>IF(B3592,IF(D3592=0,H3592,Rho*I3591+SQRT(1-Rho^2)*H3592),"")</f>
        <v/>
      </c>
      <c r="J3592">
        <f>IF(B3592,IF(Dist="Normal",DistA+DistB*I3592,DistA+(DistB-DistA)*NORMSDIST(I3592)),"")</f>
        <v/>
      </c>
      <c r="K3592">
        <f>IF(B3592,INDEX(MineScale,C3592),"")</f>
        <v/>
      </c>
      <c r="L3592">
        <f>IF(B3592,INDEX(Dow,1,WEEKDAY(E3592,2)),"")</f>
        <v/>
      </c>
      <c r="M3592">
        <f>IF(B3592,(1+Trend)^D3592,"")</f>
        <v/>
      </c>
      <c r="N3592">
        <f>IF(B3592,EXP(SUMPRODUCT(LN(1+(EvEff-1)*INDEX(Affected,0,C3592)*EXP(-((E3592-EvCenter)^2)/(2*EvSigma^2))))),"")</f>
        <v/>
      </c>
      <c r="O3592">
        <f>IF(B3592,ROUND(MAX(0,J3592*K3592*L3592*M3592*N3592),2),"")</f>
        <v/>
      </c>
    </row>
    <row r="3593">
      <c r="A3593" t="n">
        <v>3592</v>
      </c>
      <c r="B3593">
        <f>A3593&lt;=MineCount*Days</f>
        <v/>
      </c>
      <c r="C3593">
        <f>IF(B3593,INT((A3593-1)/Days)+1,"")</f>
        <v/>
      </c>
      <c r="D3593">
        <f>IF(B3593,MOD(A3593-1,Days),"")</f>
        <v/>
      </c>
      <c r="E3593" s="16">
        <f>IF(B3593,StartDate+D3593,"")</f>
        <v/>
      </c>
      <c r="F3593">
        <f>IF(B3593,MAX(MOD(SIN(Seed*0.1373+C3593*12.9898+D3593*78.233)*43758.5453,1),1E-9),"")</f>
        <v/>
      </c>
      <c r="G3593">
        <f>IF(B3593,MOD(SIN(Seed*0.5917+C3593*39.3468+D3593*11.135)*24634.6345,1),"")</f>
        <v/>
      </c>
      <c r="H3593">
        <f>IF(B3593,SQRT(-2*LN(F3593))*COS(2*PI()*G3593),"")</f>
        <v/>
      </c>
      <c r="I3593">
        <f>IF(B3593,IF(D3593=0,H3593,Rho*I3592+SQRT(1-Rho^2)*H3593),"")</f>
        <v/>
      </c>
      <c r="J3593">
        <f>IF(B3593,IF(Dist="Normal",DistA+DistB*I3593,DistA+(DistB-DistA)*NORMSDIST(I3593)),"")</f>
        <v/>
      </c>
      <c r="K3593">
        <f>IF(B3593,INDEX(MineScale,C3593),"")</f>
        <v/>
      </c>
      <c r="L3593">
        <f>IF(B3593,INDEX(Dow,1,WEEKDAY(E3593,2)),"")</f>
        <v/>
      </c>
      <c r="M3593">
        <f>IF(B3593,(1+Trend)^D3593,"")</f>
        <v/>
      </c>
      <c r="N3593">
        <f>IF(B3593,EXP(SUMPRODUCT(LN(1+(EvEff-1)*INDEX(Affected,0,C3593)*EXP(-((E3593-EvCenter)^2)/(2*EvSigma^2))))),"")</f>
        <v/>
      </c>
      <c r="O3593">
        <f>IF(B3593,ROUND(MAX(0,J3593*K3593*L3593*M3593*N3593),2),"")</f>
        <v/>
      </c>
    </row>
    <row r="3594">
      <c r="A3594" t="n">
        <v>3593</v>
      </c>
      <c r="B3594">
        <f>A3594&lt;=MineCount*Days</f>
        <v/>
      </c>
      <c r="C3594">
        <f>IF(B3594,INT((A3594-1)/Days)+1,"")</f>
        <v/>
      </c>
      <c r="D3594">
        <f>IF(B3594,MOD(A3594-1,Days),"")</f>
        <v/>
      </c>
      <c r="E3594" s="16">
        <f>IF(B3594,StartDate+D3594,"")</f>
        <v/>
      </c>
      <c r="F3594">
        <f>IF(B3594,MAX(MOD(SIN(Seed*0.1373+C3594*12.9898+D3594*78.233)*43758.5453,1),1E-9),"")</f>
        <v/>
      </c>
      <c r="G3594">
        <f>IF(B3594,MOD(SIN(Seed*0.5917+C3594*39.3468+D3594*11.135)*24634.6345,1),"")</f>
        <v/>
      </c>
      <c r="H3594">
        <f>IF(B3594,SQRT(-2*LN(F3594))*COS(2*PI()*G3594),"")</f>
        <v/>
      </c>
      <c r="I3594">
        <f>IF(B3594,IF(D3594=0,H3594,Rho*I3593+SQRT(1-Rho^2)*H3594),"")</f>
        <v/>
      </c>
      <c r="J3594">
        <f>IF(B3594,IF(Dist="Normal",DistA+DistB*I3594,DistA+(DistB-DistA)*NORMSDIST(I3594)),"")</f>
        <v/>
      </c>
      <c r="K3594">
        <f>IF(B3594,INDEX(MineScale,C3594),"")</f>
        <v/>
      </c>
      <c r="L3594">
        <f>IF(B3594,INDEX(Dow,1,WEEKDAY(E3594,2)),"")</f>
        <v/>
      </c>
      <c r="M3594">
        <f>IF(B3594,(1+Trend)^D3594,"")</f>
        <v/>
      </c>
      <c r="N3594">
        <f>IF(B3594,EXP(SUMPRODUCT(LN(1+(EvEff-1)*INDEX(Affected,0,C3594)*EXP(-((E3594-EvCenter)^2)/(2*EvSigma^2))))),"")</f>
        <v/>
      </c>
      <c r="O3594">
        <f>IF(B3594,ROUND(MAX(0,J3594*K3594*L3594*M3594*N3594),2),"")</f>
        <v/>
      </c>
    </row>
    <row r="3595">
      <c r="A3595" t="n">
        <v>3594</v>
      </c>
      <c r="B3595">
        <f>A3595&lt;=MineCount*Days</f>
        <v/>
      </c>
      <c r="C3595">
        <f>IF(B3595,INT((A3595-1)/Days)+1,"")</f>
        <v/>
      </c>
      <c r="D3595">
        <f>IF(B3595,MOD(A3595-1,Days),"")</f>
        <v/>
      </c>
      <c r="E3595" s="16">
        <f>IF(B3595,StartDate+D3595,"")</f>
        <v/>
      </c>
      <c r="F3595">
        <f>IF(B3595,MAX(MOD(SIN(Seed*0.1373+C3595*12.9898+D3595*78.233)*43758.5453,1),1E-9),"")</f>
        <v/>
      </c>
      <c r="G3595">
        <f>IF(B3595,MOD(SIN(Seed*0.5917+C3595*39.3468+D3595*11.135)*24634.6345,1),"")</f>
        <v/>
      </c>
      <c r="H3595">
        <f>IF(B3595,SQRT(-2*LN(F3595))*COS(2*PI()*G3595),"")</f>
        <v/>
      </c>
      <c r="I3595">
        <f>IF(B3595,IF(D3595=0,H3595,Rho*I3594+SQRT(1-Rho^2)*H3595),"")</f>
        <v/>
      </c>
      <c r="J3595">
        <f>IF(B3595,IF(Dist="Normal",DistA+DistB*I3595,DistA+(DistB-DistA)*NORMSDIST(I3595)),"")</f>
        <v/>
      </c>
      <c r="K3595">
        <f>IF(B3595,INDEX(MineScale,C3595),"")</f>
        <v/>
      </c>
      <c r="L3595">
        <f>IF(B3595,INDEX(Dow,1,WEEKDAY(E3595,2)),"")</f>
        <v/>
      </c>
      <c r="M3595">
        <f>IF(B3595,(1+Trend)^D3595,"")</f>
        <v/>
      </c>
      <c r="N3595">
        <f>IF(B3595,EXP(SUMPRODUCT(LN(1+(EvEff-1)*INDEX(Affected,0,C3595)*EXP(-((E3595-EvCenter)^2)/(2*EvSigma^2))))),"")</f>
        <v/>
      </c>
      <c r="O3595">
        <f>IF(B3595,ROUND(MAX(0,J3595*K3595*L3595*M3595*N3595),2),"")</f>
        <v/>
      </c>
    </row>
    <row r="3596">
      <c r="A3596" t="n">
        <v>3595</v>
      </c>
      <c r="B3596">
        <f>A3596&lt;=MineCount*Days</f>
        <v/>
      </c>
      <c r="C3596">
        <f>IF(B3596,INT((A3596-1)/Days)+1,"")</f>
        <v/>
      </c>
      <c r="D3596">
        <f>IF(B3596,MOD(A3596-1,Days),"")</f>
        <v/>
      </c>
      <c r="E3596" s="16">
        <f>IF(B3596,StartDate+D3596,"")</f>
        <v/>
      </c>
      <c r="F3596">
        <f>IF(B3596,MAX(MOD(SIN(Seed*0.1373+C3596*12.9898+D3596*78.233)*43758.5453,1),1E-9),"")</f>
        <v/>
      </c>
      <c r="G3596">
        <f>IF(B3596,MOD(SIN(Seed*0.5917+C3596*39.3468+D3596*11.135)*24634.6345,1),"")</f>
        <v/>
      </c>
      <c r="H3596">
        <f>IF(B3596,SQRT(-2*LN(F3596))*COS(2*PI()*G3596),"")</f>
        <v/>
      </c>
      <c r="I3596">
        <f>IF(B3596,IF(D3596=0,H3596,Rho*I3595+SQRT(1-Rho^2)*H3596),"")</f>
        <v/>
      </c>
      <c r="J3596">
        <f>IF(B3596,IF(Dist="Normal",DistA+DistB*I3596,DistA+(DistB-DistA)*NORMSDIST(I3596)),"")</f>
        <v/>
      </c>
      <c r="K3596">
        <f>IF(B3596,INDEX(MineScale,C3596),"")</f>
        <v/>
      </c>
      <c r="L3596">
        <f>IF(B3596,INDEX(Dow,1,WEEKDAY(E3596,2)),"")</f>
        <v/>
      </c>
      <c r="M3596">
        <f>IF(B3596,(1+Trend)^D3596,"")</f>
        <v/>
      </c>
      <c r="N3596">
        <f>IF(B3596,EXP(SUMPRODUCT(LN(1+(EvEff-1)*INDEX(Affected,0,C3596)*EXP(-((E3596-EvCenter)^2)/(2*EvSigma^2))))),"")</f>
        <v/>
      </c>
      <c r="O3596">
        <f>IF(B3596,ROUND(MAX(0,J3596*K3596*L3596*M3596*N3596),2),"")</f>
        <v/>
      </c>
    </row>
    <row r="3597">
      <c r="A3597" t="n">
        <v>3596</v>
      </c>
      <c r="B3597">
        <f>A3597&lt;=MineCount*Days</f>
        <v/>
      </c>
      <c r="C3597">
        <f>IF(B3597,INT((A3597-1)/Days)+1,"")</f>
        <v/>
      </c>
      <c r="D3597">
        <f>IF(B3597,MOD(A3597-1,Days),"")</f>
        <v/>
      </c>
      <c r="E3597" s="16">
        <f>IF(B3597,StartDate+D3597,"")</f>
        <v/>
      </c>
      <c r="F3597">
        <f>IF(B3597,MAX(MOD(SIN(Seed*0.1373+C3597*12.9898+D3597*78.233)*43758.5453,1),1E-9),"")</f>
        <v/>
      </c>
      <c r="G3597">
        <f>IF(B3597,MOD(SIN(Seed*0.5917+C3597*39.3468+D3597*11.135)*24634.6345,1),"")</f>
        <v/>
      </c>
      <c r="H3597">
        <f>IF(B3597,SQRT(-2*LN(F3597))*COS(2*PI()*G3597),"")</f>
        <v/>
      </c>
      <c r="I3597">
        <f>IF(B3597,IF(D3597=0,H3597,Rho*I3596+SQRT(1-Rho^2)*H3597),"")</f>
        <v/>
      </c>
      <c r="J3597">
        <f>IF(B3597,IF(Dist="Normal",DistA+DistB*I3597,DistA+(DistB-DistA)*NORMSDIST(I3597)),"")</f>
        <v/>
      </c>
      <c r="K3597">
        <f>IF(B3597,INDEX(MineScale,C3597),"")</f>
        <v/>
      </c>
      <c r="L3597">
        <f>IF(B3597,INDEX(Dow,1,WEEKDAY(E3597,2)),"")</f>
        <v/>
      </c>
      <c r="M3597">
        <f>IF(B3597,(1+Trend)^D3597,"")</f>
        <v/>
      </c>
      <c r="N3597">
        <f>IF(B3597,EXP(SUMPRODUCT(LN(1+(EvEff-1)*INDEX(Affected,0,C3597)*EXP(-((E3597-EvCenter)^2)/(2*EvSigma^2))))),"")</f>
        <v/>
      </c>
      <c r="O3597">
        <f>IF(B3597,ROUND(MAX(0,J3597*K3597*L3597*M3597*N3597),2),"")</f>
        <v/>
      </c>
    </row>
    <row r="3598">
      <c r="A3598" t="n">
        <v>3597</v>
      </c>
      <c r="B3598">
        <f>A3598&lt;=MineCount*Days</f>
        <v/>
      </c>
      <c r="C3598">
        <f>IF(B3598,INT((A3598-1)/Days)+1,"")</f>
        <v/>
      </c>
      <c r="D3598">
        <f>IF(B3598,MOD(A3598-1,Days),"")</f>
        <v/>
      </c>
      <c r="E3598" s="16">
        <f>IF(B3598,StartDate+D3598,"")</f>
        <v/>
      </c>
      <c r="F3598">
        <f>IF(B3598,MAX(MOD(SIN(Seed*0.1373+C3598*12.9898+D3598*78.233)*43758.5453,1),1E-9),"")</f>
        <v/>
      </c>
      <c r="G3598">
        <f>IF(B3598,MOD(SIN(Seed*0.5917+C3598*39.3468+D3598*11.135)*24634.6345,1),"")</f>
        <v/>
      </c>
      <c r="H3598">
        <f>IF(B3598,SQRT(-2*LN(F3598))*COS(2*PI()*G3598),"")</f>
        <v/>
      </c>
      <c r="I3598">
        <f>IF(B3598,IF(D3598=0,H3598,Rho*I3597+SQRT(1-Rho^2)*H3598),"")</f>
        <v/>
      </c>
      <c r="J3598">
        <f>IF(B3598,IF(Dist="Normal",DistA+DistB*I3598,DistA+(DistB-DistA)*NORMSDIST(I3598)),"")</f>
        <v/>
      </c>
      <c r="K3598">
        <f>IF(B3598,INDEX(MineScale,C3598),"")</f>
        <v/>
      </c>
      <c r="L3598">
        <f>IF(B3598,INDEX(Dow,1,WEEKDAY(E3598,2)),"")</f>
        <v/>
      </c>
      <c r="M3598">
        <f>IF(B3598,(1+Trend)^D3598,"")</f>
        <v/>
      </c>
      <c r="N3598">
        <f>IF(B3598,EXP(SUMPRODUCT(LN(1+(EvEff-1)*INDEX(Affected,0,C3598)*EXP(-((E3598-EvCenter)^2)/(2*EvSigma^2))))),"")</f>
        <v/>
      </c>
      <c r="O3598">
        <f>IF(B3598,ROUND(MAX(0,J3598*K3598*L3598*M3598*N3598),2),"")</f>
        <v/>
      </c>
    </row>
    <row r="3599">
      <c r="A3599" t="n">
        <v>3598</v>
      </c>
      <c r="B3599">
        <f>A3599&lt;=MineCount*Days</f>
        <v/>
      </c>
      <c r="C3599">
        <f>IF(B3599,INT((A3599-1)/Days)+1,"")</f>
        <v/>
      </c>
      <c r="D3599">
        <f>IF(B3599,MOD(A3599-1,Days),"")</f>
        <v/>
      </c>
      <c r="E3599" s="16">
        <f>IF(B3599,StartDate+D3599,"")</f>
        <v/>
      </c>
      <c r="F3599">
        <f>IF(B3599,MAX(MOD(SIN(Seed*0.1373+C3599*12.9898+D3599*78.233)*43758.5453,1),1E-9),"")</f>
        <v/>
      </c>
      <c r="G3599">
        <f>IF(B3599,MOD(SIN(Seed*0.5917+C3599*39.3468+D3599*11.135)*24634.6345,1),"")</f>
        <v/>
      </c>
      <c r="H3599">
        <f>IF(B3599,SQRT(-2*LN(F3599))*COS(2*PI()*G3599),"")</f>
        <v/>
      </c>
      <c r="I3599">
        <f>IF(B3599,IF(D3599=0,H3599,Rho*I3598+SQRT(1-Rho^2)*H3599),"")</f>
        <v/>
      </c>
      <c r="J3599">
        <f>IF(B3599,IF(Dist="Normal",DistA+DistB*I3599,DistA+(DistB-DistA)*NORMSDIST(I3599)),"")</f>
        <v/>
      </c>
      <c r="K3599">
        <f>IF(B3599,INDEX(MineScale,C3599),"")</f>
        <v/>
      </c>
      <c r="L3599">
        <f>IF(B3599,INDEX(Dow,1,WEEKDAY(E3599,2)),"")</f>
        <v/>
      </c>
      <c r="M3599">
        <f>IF(B3599,(1+Trend)^D3599,"")</f>
        <v/>
      </c>
      <c r="N3599">
        <f>IF(B3599,EXP(SUMPRODUCT(LN(1+(EvEff-1)*INDEX(Affected,0,C3599)*EXP(-((E3599-EvCenter)^2)/(2*EvSigma^2))))),"")</f>
        <v/>
      </c>
      <c r="O3599">
        <f>IF(B3599,ROUND(MAX(0,J3599*K3599*L3599*M3599*N3599),2),"")</f>
        <v/>
      </c>
    </row>
    <row r="3600">
      <c r="A3600" t="n">
        <v>3599</v>
      </c>
      <c r="B3600">
        <f>A3600&lt;=MineCount*Days</f>
        <v/>
      </c>
      <c r="C3600">
        <f>IF(B3600,INT((A3600-1)/Days)+1,"")</f>
        <v/>
      </c>
      <c r="D3600">
        <f>IF(B3600,MOD(A3600-1,Days),"")</f>
        <v/>
      </c>
      <c r="E3600" s="16">
        <f>IF(B3600,StartDate+D3600,"")</f>
        <v/>
      </c>
      <c r="F3600">
        <f>IF(B3600,MAX(MOD(SIN(Seed*0.1373+C3600*12.9898+D3600*78.233)*43758.5453,1),1E-9),"")</f>
        <v/>
      </c>
      <c r="G3600">
        <f>IF(B3600,MOD(SIN(Seed*0.5917+C3600*39.3468+D3600*11.135)*24634.6345,1),"")</f>
        <v/>
      </c>
      <c r="H3600">
        <f>IF(B3600,SQRT(-2*LN(F3600))*COS(2*PI()*G3600),"")</f>
        <v/>
      </c>
      <c r="I3600">
        <f>IF(B3600,IF(D3600=0,H3600,Rho*I3599+SQRT(1-Rho^2)*H3600),"")</f>
        <v/>
      </c>
      <c r="J3600">
        <f>IF(B3600,IF(Dist="Normal",DistA+DistB*I3600,DistA+(DistB-DistA)*NORMSDIST(I3600)),"")</f>
        <v/>
      </c>
      <c r="K3600">
        <f>IF(B3600,INDEX(MineScale,C3600),"")</f>
        <v/>
      </c>
      <c r="L3600">
        <f>IF(B3600,INDEX(Dow,1,WEEKDAY(E3600,2)),"")</f>
        <v/>
      </c>
      <c r="M3600">
        <f>IF(B3600,(1+Trend)^D3600,"")</f>
        <v/>
      </c>
      <c r="N3600">
        <f>IF(B3600,EXP(SUMPRODUCT(LN(1+(EvEff-1)*INDEX(Affected,0,C3600)*EXP(-((E3600-EvCenter)^2)/(2*EvSigma^2))))),"")</f>
        <v/>
      </c>
      <c r="O3600">
        <f>IF(B3600,ROUND(MAX(0,J3600*K3600*L3600*M3600*N3600),2),"")</f>
        <v/>
      </c>
    </row>
    <row r="3601">
      <c r="A3601" t="n">
        <v>3600</v>
      </c>
      <c r="B3601">
        <f>A3601&lt;=MineCount*Days</f>
        <v/>
      </c>
      <c r="C3601">
        <f>IF(B3601,INT((A3601-1)/Days)+1,"")</f>
        <v/>
      </c>
      <c r="D3601">
        <f>IF(B3601,MOD(A3601-1,Days),"")</f>
        <v/>
      </c>
      <c r="E3601" s="16">
        <f>IF(B3601,StartDate+D3601,"")</f>
        <v/>
      </c>
      <c r="F3601">
        <f>IF(B3601,MAX(MOD(SIN(Seed*0.1373+C3601*12.9898+D3601*78.233)*43758.5453,1),1E-9),"")</f>
        <v/>
      </c>
      <c r="G3601">
        <f>IF(B3601,MOD(SIN(Seed*0.5917+C3601*39.3468+D3601*11.135)*24634.6345,1),"")</f>
        <v/>
      </c>
      <c r="H3601">
        <f>IF(B3601,SQRT(-2*LN(F3601))*COS(2*PI()*G3601),"")</f>
        <v/>
      </c>
      <c r="I3601">
        <f>IF(B3601,IF(D3601=0,H3601,Rho*I3600+SQRT(1-Rho^2)*H3601),"")</f>
        <v/>
      </c>
      <c r="J3601">
        <f>IF(B3601,IF(Dist="Normal",DistA+DistB*I3601,DistA+(DistB-DistA)*NORMSDIST(I3601)),"")</f>
        <v/>
      </c>
      <c r="K3601">
        <f>IF(B3601,INDEX(MineScale,C3601),"")</f>
        <v/>
      </c>
      <c r="L3601">
        <f>IF(B3601,INDEX(Dow,1,WEEKDAY(E3601,2)),"")</f>
        <v/>
      </c>
      <c r="M3601">
        <f>IF(B3601,(1+Trend)^D3601,"")</f>
        <v/>
      </c>
      <c r="N3601">
        <f>IF(B3601,EXP(SUMPRODUCT(LN(1+(EvEff-1)*INDEX(Affected,0,C3601)*EXP(-((E3601-EvCenter)^2)/(2*EvSigma^2))))),"")</f>
        <v/>
      </c>
      <c r="O3601">
        <f>IF(B3601,ROUND(MAX(0,J3601*K3601*L3601*M3601*N3601),2),"")</f>
        <v/>
      </c>
    </row>
    <row r="3602">
      <c r="A3602" t="n">
        <v>3601</v>
      </c>
      <c r="B3602">
        <f>A3602&lt;=MineCount*Days</f>
        <v/>
      </c>
      <c r="C3602">
        <f>IF(B3602,INT((A3602-1)/Days)+1,"")</f>
        <v/>
      </c>
      <c r="D3602">
        <f>IF(B3602,MOD(A3602-1,Days),"")</f>
        <v/>
      </c>
      <c r="E3602" s="16">
        <f>IF(B3602,StartDate+D3602,"")</f>
        <v/>
      </c>
      <c r="F3602">
        <f>IF(B3602,MAX(MOD(SIN(Seed*0.1373+C3602*12.9898+D3602*78.233)*43758.5453,1),1E-9),"")</f>
        <v/>
      </c>
      <c r="G3602">
        <f>IF(B3602,MOD(SIN(Seed*0.5917+C3602*39.3468+D3602*11.135)*24634.6345,1),"")</f>
        <v/>
      </c>
      <c r="H3602">
        <f>IF(B3602,SQRT(-2*LN(F3602))*COS(2*PI()*G3602),"")</f>
        <v/>
      </c>
      <c r="I3602">
        <f>IF(B3602,IF(D3602=0,H3602,Rho*I3601+SQRT(1-Rho^2)*H3602),"")</f>
        <v/>
      </c>
      <c r="J3602">
        <f>IF(B3602,IF(Dist="Normal",DistA+DistB*I3602,DistA+(DistB-DistA)*NORMSDIST(I3602)),"")</f>
        <v/>
      </c>
      <c r="K3602">
        <f>IF(B3602,INDEX(MineScale,C3602),"")</f>
        <v/>
      </c>
      <c r="L3602">
        <f>IF(B3602,INDEX(Dow,1,WEEKDAY(E3602,2)),"")</f>
        <v/>
      </c>
      <c r="M3602">
        <f>IF(B3602,(1+Trend)^D3602,"")</f>
        <v/>
      </c>
      <c r="N3602">
        <f>IF(B3602,EXP(SUMPRODUCT(LN(1+(EvEff-1)*INDEX(Affected,0,C3602)*EXP(-((E3602-EvCenter)^2)/(2*EvSigma^2))))),"")</f>
        <v/>
      </c>
      <c r="O3602">
        <f>IF(B3602,ROUND(MAX(0,J3602*K3602*L3602*M3602*N3602),2),"")</f>
        <v/>
      </c>
    </row>
    <row r="3603">
      <c r="A3603" t="n">
        <v>3602</v>
      </c>
      <c r="B3603">
        <f>A3603&lt;=MineCount*Days</f>
        <v/>
      </c>
      <c r="C3603">
        <f>IF(B3603,INT((A3603-1)/Days)+1,"")</f>
        <v/>
      </c>
      <c r="D3603">
        <f>IF(B3603,MOD(A3603-1,Days),"")</f>
        <v/>
      </c>
      <c r="E3603" s="16">
        <f>IF(B3603,StartDate+D3603,"")</f>
        <v/>
      </c>
      <c r="F3603">
        <f>IF(B3603,MAX(MOD(SIN(Seed*0.1373+C3603*12.9898+D3603*78.233)*43758.5453,1),1E-9),"")</f>
        <v/>
      </c>
      <c r="G3603">
        <f>IF(B3603,MOD(SIN(Seed*0.5917+C3603*39.3468+D3603*11.135)*24634.6345,1),"")</f>
        <v/>
      </c>
      <c r="H3603">
        <f>IF(B3603,SQRT(-2*LN(F3603))*COS(2*PI()*G3603),"")</f>
        <v/>
      </c>
      <c r="I3603">
        <f>IF(B3603,IF(D3603=0,H3603,Rho*I3602+SQRT(1-Rho^2)*H3603),"")</f>
        <v/>
      </c>
      <c r="J3603">
        <f>IF(B3603,IF(Dist="Normal",DistA+DistB*I3603,DistA+(DistB-DistA)*NORMSDIST(I3603)),"")</f>
        <v/>
      </c>
      <c r="K3603">
        <f>IF(B3603,INDEX(MineScale,C3603),"")</f>
        <v/>
      </c>
      <c r="L3603">
        <f>IF(B3603,INDEX(Dow,1,WEEKDAY(E3603,2)),"")</f>
        <v/>
      </c>
      <c r="M3603">
        <f>IF(B3603,(1+Trend)^D3603,"")</f>
        <v/>
      </c>
      <c r="N3603">
        <f>IF(B3603,EXP(SUMPRODUCT(LN(1+(EvEff-1)*INDEX(Affected,0,C3603)*EXP(-((E3603-EvCenter)^2)/(2*EvSigma^2))))),"")</f>
        <v/>
      </c>
      <c r="O3603">
        <f>IF(B3603,ROUND(MAX(0,J3603*K3603*L3603*M3603*N3603),2),"")</f>
        <v/>
      </c>
    </row>
    <row r="3604">
      <c r="A3604" t="n">
        <v>3603</v>
      </c>
      <c r="B3604">
        <f>A3604&lt;=MineCount*Days</f>
        <v/>
      </c>
      <c r="C3604">
        <f>IF(B3604,INT((A3604-1)/Days)+1,"")</f>
        <v/>
      </c>
      <c r="D3604">
        <f>IF(B3604,MOD(A3604-1,Days),"")</f>
        <v/>
      </c>
      <c r="E3604" s="16">
        <f>IF(B3604,StartDate+D3604,"")</f>
        <v/>
      </c>
      <c r="F3604">
        <f>IF(B3604,MAX(MOD(SIN(Seed*0.1373+C3604*12.9898+D3604*78.233)*43758.5453,1),1E-9),"")</f>
        <v/>
      </c>
      <c r="G3604">
        <f>IF(B3604,MOD(SIN(Seed*0.5917+C3604*39.3468+D3604*11.135)*24634.6345,1),"")</f>
        <v/>
      </c>
      <c r="H3604">
        <f>IF(B3604,SQRT(-2*LN(F3604))*COS(2*PI()*G3604),"")</f>
        <v/>
      </c>
      <c r="I3604">
        <f>IF(B3604,IF(D3604=0,H3604,Rho*I3603+SQRT(1-Rho^2)*H3604),"")</f>
        <v/>
      </c>
      <c r="J3604">
        <f>IF(B3604,IF(Dist="Normal",DistA+DistB*I3604,DistA+(DistB-DistA)*NORMSDIST(I3604)),"")</f>
        <v/>
      </c>
      <c r="K3604">
        <f>IF(B3604,INDEX(MineScale,C3604),"")</f>
        <v/>
      </c>
      <c r="L3604">
        <f>IF(B3604,INDEX(Dow,1,WEEKDAY(E3604,2)),"")</f>
        <v/>
      </c>
      <c r="M3604">
        <f>IF(B3604,(1+Trend)^D3604,"")</f>
        <v/>
      </c>
      <c r="N3604">
        <f>IF(B3604,EXP(SUMPRODUCT(LN(1+(EvEff-1)*INDEX(Affected,0,C3604)*EXP(-((E3604-EvCenter)^2)/(2*EvSigma^2))))),"")</f>
        <v/>
      </c>
      <c r="O3604">
        <f>IF(B3604,ROUND(MAX(0,J3604*K3604*L3604*M3604*N3604),2),"")</f>
        <v/>
      </c>
    </row>
    <row r="3605">
      <c r="A3605" t="n">
        <v>3604</v>
      </c>
      <c r="B3605">
        <f>A3605&lt;=MineCount*Days</f>
        <v/>
      </c>
      <c r="C3605">
        <f>IF(B3605,INT((A3605-1)/Days)+1,"")</f>
        <v/>
      </c>
      <c r="D3605">
        <f>IF(B3605,MOD(A3605-1,Days),"")</f>
        <v/>
      </c>
      <c r="E3605" s="16">
        <f>IF(B3605,StartDate+D3605,"")</f>
        <v/>
      </c>
      <c r="F3605">
        <f>IF(B3605,MAX(MOD(SIN(Seed*0.1373+C3605*12.9898+D3605*78.233)*43758.5453,1),1E-9),"")</f>
        <v/>
      </c>
      <c r="G3605">
        <f>IF(B3605,MOD(SIN(Seed*0.5917+C3605*39.3468+D3605*11.135)*24634.6345,1),"")</f>
        <v/>
      </c>
      <c r="H3605">
        <f>IF(B3605,SQRT(-2*LN(F3605))*COS(2*PI()*G3605),"")</f>
        <v/>
      </c>
      <c r="I3605">
        <f>IF(B3605,IF(D3605=0,H3605,Rho*I3604+SQRT(1-Rho^2)*H3605),"")</f>
        <v/>
      </c>
      <c r="J3605">
        <f>IF(B3605,IF(Dist="Normal",DistA+DistB*I3605,DistA+(DistB-DistA)*NORMSDIST(I3605)),"")</f>
        <v/>
      </c>
      <c r="K3605">
        <f>IF(B3605,INDEX(MineScale,C3605),"")</f>
        <v/>
      </c>
      <c r="L3605">
        <f>IF(B3605,INDEX(Dow,1,WEEKDAY(E3605,2)),"")</f>
        <v/>
      </c>
      <c r="M3605">
        <f>IF(B3605,(1+Trend)^D3605,"")</f>
        <v/>
      </c>
      <c r="N3605">
        <f>IF(B3605,EXP(SUMPRODUCT(LN(1+(EvEff-1)*INDEX(Affected,0,C3605)*EXP(-((E3605-EvCenter)^2)/(2*EvSigma^2))))),"")</f>
        <v/>
      </c>
      <c r="O3605">
        <f>IF(B3605,ROUND(MAX(0,J3605*K3605*L3605*M3605*N3605),2),"")</f>
        <v/>
      </c>
    </row>
    <row r="3606">
      <c r="A3606" t="n">
        <v>3605</v>
      </c>
      <c r="B3606">
        <f>A3606&lt;=MineCount*Days</f>
        <v/>
      </c>
      <c r="C3606">
        <f>IF(B3606,INT((A3606-1)/Days)+1,"")</f>
        <v/>
      </c>
      <c r="D3606">
        <f>IF(B3606,MOD(A3606-1,Days),"")</f>
        <v/>
      </c>
      <c r="E3606" s="16">
        <f>IF(B3606,StartDate+D3606,"")</f>
        <v/>
      </c>
      <c r="F3606">
        <f>IF(B3606,MAX(MOD(SIN(Seed*0.1373+C3606*12.9898+D3606*78.233)*43758.5453,1),1E-9),"")</f>
        <v/>
      </c>
      <c r="G3606">
        <f>IF(B3606,MOD(SIN(Seed*0.5917+C3606*39.3468+D3606*11.135)*24634.6345,1),"")</f>
        <v/>
      </c>
      <c r="H3606">
        <f>IF(B3606,SQRT(-2*LN(F3606))*COS(2*PI()*G3606),"")</f>
        <v/>
      </c>
      <c r="I3606">
        <f>IF(B3606,IF(D3606=0,H3606,Rho*I3605+SQRT(1-Rho^2)*H3606),"")</f>
        <v/>
      </c>
      <c r="J3606">
        <f>IF(B3606,IF(Dist="Normal",DistA+DistB*I3606,DistA+(DistB-DistA)*NORMSDIST(I3606)),"")</f>
        <v/>
      </c>
      <c r="K3606">
        <f>IF(B3606,INDEX(MineScale,C3606),"")</f>
        <v/>
      </c>
      <c r="L3606">
        <f>IF(B3606,INDEX(Dow,1,WEEKDAY(E3606,2)),"")</f>
        <v/>
      </c>
      <c r="M3606">
        <f>IF(B3606,(1+Trend)^D3606,"")</f>
        <v/>
      </c>
      <c r="N3606">
        <f>IF(B3606,EXP(SUMPRODUCT(LN(1+(EvEff-1)*INDEX(Affected,0,C3606)*EXP(-((E3606-EvCenter)^2)/(2*EvSigma^2))))),"")</f>
        <v/>
      </c>
      <c r="O3606">
        <f>IF(B3606,ROUND(MAX(0,J3606*K3606*L3606*M3606*N3606),2),"")</f>
        <v/>
      </c>
    </row>
    <row r="3607">
      <c r="A3607" t="n">
        <v>3606</v>
      </c>
      <c r="B3607">
        <f>A3607&lt;=MineCount*Days</f>
        <v/>
      </c>
      <c r="C3607">
        <f>IF(B3607,INT((A3607-1)/Days)+1,"")</f>
        <v/>
      </c>
      <c r="D3607">
        <f>IF(B3607,MOD(A3607-1,Days),"")</f>
        <v/>
      </c>
      <c r="E3607" s="16">
        <f>IF(B3607,StartDate+D3607,"")</f>
        <v/>
      </c>
      <c r="F3607">
        <f>IF(B3607,MAX(MOD(SIN(Seed*0.1373+C3607*12.9898+D3607*78.233)*43758.5453,1),1E-9),"")</f>
        <v/>
      </c>
      <c r="G3607">
        <f>IF(B3607,MOD(SIN(Seed*0.5917+C3607*39.3468+D3607*11.135)*24634.6345,1),"")</f>
        <v/>
      </c>
      <c r="H3607">
        <f>IF(B3607,SQRT(-2*LN(F3607))*COS(2*PI()*G3607),"")</f>
        <v/>
      </c>
      <c r="I3607">
        <f>IF(B3607,IF(D3607=0,H3607,Rho*I3606+SQRT(1-Rho^2)*H3607),"")</f>
        <v/>
      </c>
      <c r="J3607">
        <f>IF(B3607,IF(Dist="Normal",DistA+DistB*I3607,DistA+(DistB-DistA)*NORMSDIST(I3607)),"")</f>
        <v/>
      </c>
      <c r="K3607">
        <f>IF(B3607,INDEX(MineScale,C3607),"")</f>
        <v/>
      </c>
      <c r="L3607">
        <f>IF(B3607,INDEX(Dow,1,WEEKDAY(E3607,2)),"")</f>
        <v/>
      </c>
      <c r="M3607">
        <f>IF(B3607,(1+Trend)^D3607,"")</f>
        <v/>
      </c>
      <c r="N3607">
        <f>IF(B3607,EXP(SUMPRODUCT(LN(1+(EvEff-1)*INDEX(Affected,0,C3607)*EXP(-((E3607-EvCenter)^2)/(2*EvSigma^2))))),"")</f>
        <v/>
      </c>
      <c r="O3607">
        <f>IF(B3607,ROUND(MAX(0,J3607*K3607*L3607*M3607*N3607),2),"")</f>
        <v/>
      </c>
    </row>
    <row r="3608">
      <c r="A3608" t="n">
        <v>3607</v>
      </c>
      <c r="B3608">
        <f>A3608&lt;=MineCount*Days</f>
        <v/>
      </c>
      <c r="C3608">
        <f>IF(B3608,INT((A3608-1)/Days)+1,"")</f>
        <v/>
      </c>
      <c r="D3608">
        <f>IF(B3608,MOD(A3608-1,Days),"")</f>
        <v/>
      </c>
      <c r="E3608" s="16">
        <f>IF(B3608,StartDate+D3608,"")</f>
        <v/>
      </c>
      <c r="F3608">
        <f>IF(B3608,MAX(MOD(SIN(Seed*0.1373+C3608*12.9898+D3608*78.233)*43758.5453,1),1E-9),"")</f>
        <v/>
      </c>
      <c r="G3608">
        <f>IF(B3608,MOD(SIN(Seed*0.5917+C3608*39.3468+D3608*11.135)*24634.6345,1),"")</f>
        <v/>
      </c>
      <c r="H3608">
        <f>IF(B3608,SQRT(-2*LN(F3608))*COS(2*PI()*G3608),"")</f>
        <v/>
      </c>
      <c r="I3608">
        <f>IF(B3608,IF(D3608=0,H3608,Rho*I3607+SQRT(1-Rho^2)*H3608),"")</f>
        <v/>
      </c>
      <c r="J3608">
        <f>IF(B3608,IF(Dist="Normal",DistA+DistB*I3608,DistA+(DistB-DistA)*NORMSDIST(I3608)),"")</f>
        <v/>
      </c>
      <c r="K3608">
        <f>IF(B3608,INDEX(MineScale,C3608),"")</f>
        <v/>
      </c>
      <c r="L3608">
        <f>IF(B3608,INDEX(Dow,1,WEEKDAY(E3608,2)),"")</f>
        <v/>
      </c>
      <c r="M3608">
        <f>IF(B3608,(1+Trend)^D3608,"")</f>
        <v/>
      </c>
      <c r="N3608">
        <f>IF(B3608,EXP(SUMPRODUCT(LN(1+(EvEff-1)*INDEX(Affected,0,C3608)*EXP(-((E3608-EvCenter)^2)/(2*EvSigma^2))))),"")</f>
        <v/>
      </c>
      <c r="O3608">
        <f>IF(B3608,ROUND(MAX(0,J3608*K3608*L3608*M3608*N3608),2),"")</f>
        <v/>
      </c>
    </row>
    <row r="3609">
      <c r="A3609" t="n">
        <v>3608</v>
      </c>
      <c r="B3609">
        <f>A3609&lt;=MineCount*Days</f>
        <v/>
      </c>
      <c r="C3609">
        <f>IF(B3609,INT((A3609-1)/Days)+1,"")</f>
        <v/>
      </c>
      <c r="D3609">
        <f>IF(B3609,MOD(A3609-1,Days),"")</f>
        <v/>
      </c>
      <c r="E3609" s="16">
        <f>IF(B3609,StartDate+D3609,"")</f>
        <v/>
      </c>
      <c r="F3609">
        <f>IF(B3609,MAX(MOD(SIN(Seed*0.1373+C3609*12.9898+D3609*78.233)*43758.5453,1),1E-9),"")</f>
        <v/>
      </c>
      <c r="G3609">
        <f>IF(B3609,MOD(SIN(Seed*0.5917+C3609*39.3468+D3609*11.135)*24634.6345,1),"")</f>
        <v/>
      </c>
      <c r="H3609">
        <f>IF(B3609,SQRT(-2*LN(F3609))*COS(2*PI()*G3609),"")</f>
        <v/>
      </c>
      <c r="I3609">
        <f>IF(B3609,IF(D3609=0,H3609,Rho*I3608+SQRT(1-Rho^2)*H3609),"")</f>
        <v/>
      </c>
      <c r="J3609">
        <f>IF(B3609,IF(Dist="Normal",DistA+DistB*I3609,DistA+(DistB-DistA)*NORMSDIST(I3609)),"")</f>
        <v/>
      </c>
      <c r="K3609">
        <f>IF(B3609,INDEX(MineScale,C3609),"")</f>
        <v/>
      </c>
      <c r="L3609">
        <f>IF(B3609,INDEX(Dow,1,WEEKDAY(E3609,2)),"")</f>
        <v/>
      </c>
      <c r="M3609">
        <f>IF(B3609,(1+Trend)^D3609,"")</f>
        <v/>
      </c>
      <c r="N3609">
        <f>IF(B3609,EXP(SUMPRODUCT(LN(1+(EvEff-1)*INDEX(Affected,0,C3609)*EXP(-((E3609-EvCenter)^2)/(2*EvSigma^2))))),"")</f>
        <v/>
      </c>
      <c r="O3609">
        <f>IF(B3609,ROUND(MAX(0,J3609*K3609*L3609*M3609*N3609),2),"")</f>
        <v/>
      </c>
    </row>
    <row r="3610">
      <c r="A3610" t="n">
        <v>3609</v>
      </c>
      <c r="B3610">
        <f>A3610&lt;=MineCount*Days</f>
        <v/>
      </c>
      <c r="C3610">
        <f>IF(B3610,INT((A3610-1)/Days)+1,"")</f>
        <v/>
      </c>
      <c r="D3610">
        <f>IF(B3610,MOD(A3610-1,Days),"")</f>
        <v/>
      </c>
      <c r="E3610" s="16">
        <f>IF(B3610,StartDate+D3610,"")</f>
        <v/>
      </c>
      <c r="F3610">
        <f>IF(B3610,MAX(MOD(SIN(Seed*0.1373+C3610*12.9898+D3610*78.233)*43758.5453,1),1E-9),"")</f>
        <v/>
      </c>
      <c r="G3610">
        <f>IF(B3610,MOD(SIN(Seed*0.5917+C3610*39.3468+D3610*11.135)*24634.6345,1),"")</f>
        <v/>
      </c>
      <c r="H3610">
        <f>IF(B3610,SQRT(-2*LN(F3610))*COS(2*PI()*G3610),"")</f>
        <v/>
      </c>
      <c r="I3610">
        <f>IF(B3610,IF(D3610=0,H3610,Rho*I3609+SQRT(1-Rho^2)*H3610),"")</f>
        <v/>
      </c>
      <c r="J3610">
        <f>IF(B3610,IF(Dist="Normal",DistA+DistB*I3610,DistA+(DistB-DistA)*NORMSDIST(I3610)),"")</f>
        <v/>
      </c>
      <c r="K3610">
        <f>IF(B3610,INDEX(MineScale,C3610),"")</f>
        <v/>
      </c>
      <c r="L3610">
        <f>IF(B3610,INDEX(Dow,1,WEEKDAY(E3610,2)),"")</f>
        <v/>
      </c>
      <c r="M3610">
        <f>IF(B3610,(1+Trend)^D3610,"")</f>
        <v/>
      </c>
      <c r="N3610">
        <f>IF(B3610,EXP(SUMPRODUCT(LN(1+(EvEff-1)*INDEX(Affected,0,C3610)*EXP(-((E3610-EvCenter)^2)/(2*EvSigma^2))))),"")</f>
        <v/>
      </c>
      <c r="O3610">
        <f>IF(B3610,ROUND(MAX(0,J3610*K3610*L3610*M3610*N3610),2),"")</f>
        <v/>
      </c>
    </row>
    <row r="3611">
      <c r="A3611" t="n">
        <v>3610</v>
      </c>
      <c r="B3611">
        <f>A3611&lt;=MineCount*Days</f>
        <v/>
      </c>
      <c r="C3611">
        <f>IF(B3611,INT((A3611-1)/Days)+1,"")</f>
        <v/>
      </c>
      <c r="D3611">
        <f>IF(B3611,MOD(A3611-1,Days),"")</f>
        <v/>
      </c>
      <c r="E3611" s="16">
        <f>IF(B3611,StartDate+D3611,"")</f>
        <v/>
      </c>
      <c r="F3611">
        <f>IF(B3611,MAX(MOD(SIN(Seed*0.1373+C3611*12.9898+D3611*78.233)*43758.5453,1),1E-9),"")</f>
        <v/>
      </c>
      <c r="G3611">
        <f>IF(B3611,MOD(SIN(Seed*0.5917+C3611*39.3468+D3611*11.135)*24634.6345,1),"")</f>
        <v/>
      </c>
      <c r="H3611">
        <f>IF(B3611,SQRT(-2*LN(F3611))*COS(2*PI()*G3611),"")</f>
        <v/>
      </c>
      <c r="I3611">
        <f>IF(B3611,IF(D3611=0,H3611,Rho*I3610+SQRT(1-Rho^2)*H3611),"")</f>
        <v/>
      </c>
      <c r="J3611">
        <f>IF(B3611,IF(Dist="Normal",DistA+DistB*I3611,DistA+(DistB-DistA)*NORMSDIST(I3611)),"")</f>
        <v/>
      </c>
      <c r="K3611">
        <f>IF(B3611,INDEX(MineScale,C3611),"")</f>
        <v/>
      </c>
      <c r="L3611">
        <f>IF(B3611,INDEX(Dow,1,WEEKDAY(E3611,2)),"")</f>
        <v/>
      </c>
      <c r="M3611">
        <f>IF(B3611,(1+Trend)^D3611,"")</f>
        <v/>
      </c>
      <c r="N3611">
        <f>IF(B3611,EXP(SUMPRODUCT(LN(1+(EvEff-1)*INDEX(Affected,0,C3611)*EXP(-((E3611-EvCenter)^2)/(2*EvSigma^2))))),"")</f>
        <v/>
      </c>
      <c r="O3611">
        <f>IF(B3611,ROUND(MAX(0,J3611*K3611*L3611*M3611*N3611),2),"")</f>
        <v/>
      </c>
    </row>
    <row r="3612">
      <c r="A3612" t="n">
        <v>3611</v>
      </c>
      <c r="B3612">
        <f>A3612&lt;=MineCount*Days</f>
        <v/>
      </c>
      <c r="C3612">
        <f>IF(B3612,INT((A3612-1)/Days)+1,"")</f>
        <v/>
      </c>
      <c r="D3612">
        <f>IF(B3612,MOD(A3612-1,Days),"")</f>
        <v/>
      </c>
      <c r="E3612" s="16">
        <f>IF(B3612,StartDate+D3612,"")</f>
        <v/>
      </c>
      <c r="F3612">
        <f>IF(B3612,MAX(MOD(SIN(Seed*0.1373+C3612*12.9898+D3612*78.233)*43758.5453,1),1E-9),"")</f>
        <v/>
      </c>
      <c r="G3612">
        <f>IF(B3612,MOD(SIN(Seed*0.5917+C3612*39.3468+D3612*11.135)*24634.6345,1),"")</f>
        <v/>
      </c>
      <c r="H3612">
        <f>IF(B3612,SQRT(-2*LN(F3612))*COS(2*PI()*G3612),"")</f>
        <v/>
      </c>
      <c r="I3612">
        <f>IF(B3612,IF(D3612=0,H3612,Rho*I3611+SQRT(1-Rho^2)*H3612),"")</f>
        <v/>
      </c>
      <c r="J3612">
        <f>IF(B3612,IF(Dist="Normal",DistA+DistB*I3612,DistA+(DistB-DistA)*NORMSDIST(I3612)),"")</f>
        <v/>
      </c>
      <c r="K3612">
        <f>IF(B3612,INDEX(MineScale,C3612),"")</f>
        <v/>
      </c>
      <c r="L3612">
        <f>IF(B3612,INDEX(Dow,1,WEEKDAY(E3612,2)),"")</f>
        <v/>
      </c>
      <c r="M3612">
        <f>IF(B3612,(1+Trend)^D3612,"")</f>
        <v/>
      </c>
      <c r="N3612">
        <f>IF(B3612,EXP(SUMPRODUCT(LN(1+(EvEff-1)*INDEX(Affected,0,C3612)*EXP(-((E3612-EvCenter)^2)/(2*EvSigma^2))))),"")</f>
        <v/>
      </c>
      <c r="O3612">
        <f>IF(B3612,ROUND(MAX(0,J3612*K3612*L3612*M3612*N3612),2),"")</f>
        <v/>
      </c>
    </row>
    <row r="3613">
      <c r="A3613" t="n">
        <v>3612</v>
      </c>
      <c r="B3613">
        <f>A3613&lt;=MineCount*Days</f>
        <v/>
      </c>
      <c r="C3613">
        <f>IF(B3613,INT((A3613-1)/Days)+1,"")</f>
        <v/>
      </c>
      <c r="D3613">
        <f>IF(B3613,MOD(A3613-1,Days),"")</f>
        <v/>
      </c>
      <c r="E3613" s="16">
        <f>IF(B3613,StartDate+D3613,"")</f>
        <v/>
      </c>
      <c r="F3613">
        <f>IF(B3613,MAX(MOD(SIN(Seed*0.1373+C3613*12.9898+D3613*78.233)*43758.5453,1),1E-9),"")</f>
        <v/>
      </c>
      <c r="G3613">
        <f>IF(B3613,MOD(SIN(Seed*0.5917+C3613*39.3468+D3613*11.135)*24634.6345,1),"")</f>
        <v/>
      </c>
      <c r="H3613">
        <f>IF(B3613,SQRT(-2*LN(F3613))*COS(2*PI()*G3613),"")</f>
        <v/>
      </c>
      <c r="I3613">
        <f>IF(B3613,IF(D3613=0,H3613,Rho*I3612+SQRT(1-Rho^2)*H3613),"")</f>
        <v/>
      </c>
      <c r="J3613">
        <f>IF(B3613,IF(Dist="Normal",DistA+DistB*I3613,DistA+(DistB-DistA)*NORMSDIST(I3613)),"")</f>
        <v/>
      </c>
      <c r="K3613">
        <f>IF(B3613,INDEX(MineScale,C3613),"")</f>
        <v/>
      </c>
      <c r="L3613">
        <f>IF(B3613,INDEX(Dow,1,WEEKDAY(E3613,2)),"")</f>
        <v/>
      </c>
      <c r="M3613">
        <f>IF(B3613,(1+Trend)^D3613,"")</f>
        <v/>
      </c>
      <c r="N3613">
        <f>IF(B3613,EXP(SUMPRODUCT(LN(1+(EvEff-1)*INDEX(Affected,0,C3613)*EXP(-((E3613-EvCenter)^2)/(2*EvSigma^2))))),"")</f>
        <v/>
      </c>
      <c r="O3613">
        <f>IF(B3613,ROUND(MAX(0,J3613*K3613*L3613*M3613*N3613),2),"")</f>
        <v/>
      </c>
    </row>
    <row r="3614">
      <c r="A3614" t="n">
        <v>3613</v>
      </c>
      <c r="B3614">
        <f>A3614&lt;=MineCount*Days</f>
        <v/>
      </c>
      <c r="C3614">
        <f>IF(B3614,INT((A3614-1)/Days)+1,"")</f>
        <v/>
      </c>
      <c r="D3614">
        <f>IF(B3614,MOD(A3614-1,Days),"")</f>
        <v/>
      </c>
      <c r="E3614" s="16">
        <f>IF(B3614,StartDate+D3614,"")</f>
        <v/>
      </c>
      <c r="F3614">
        <f>IF(B3614,MAX(MOD(SIN(Seed*0.1373+C3614*12.9898+D3614*78.233)*43758.5453,1),1E-9),"")</f>
        <v/>
      </c>
      <c r="G3614">
        <f>IF(B3614,MOD(SIN(Seed*0.5917+C3614*39.3468+D3614*11.135)*24634.6345,1),"")</f>
        <v/>
      </c>
      <c r="H3614">
        <f>IF(B3614,SQRT(-2*LN(F3614))*COS(2*PI()*G3614),"")</f>
        <v/>
      </c>
      <c r="I3614">
        <f>IF(B3614,IF(D3614=0,H3614,Rho*I3613+SQRT(1-Rho^2)*H3614),"")</f>
        <v/>
      </c>
      <c r="J3614">
        <f>IF(B3614,IF(Dist="Normal",DistA+DistB*I3614,DistA+(DistB-DistA)*NORMSDIST(I3614)),"")</f>
        <v/>
      </c>
      <c r="K3614">
        <f>IF(B3614,INDEX(MineScale,C3614),"")</f>
        <v/>
      </c>
      <c r="L3614">
        <f>IF(B3614,INDEX(Dow,1,WEEKDAY(E3614,2)),"")</f>
        <v/>
      </c>
      <c r="M3614">
        <f>IF(B3614,(1+Trend)^D3614,"")</f>
        <v/>
      </c>
      <c r="N3614">
        <f>IF(B3614,EXP(SUMPRODUCT(LN(1+(EvEff-1)*INDEX(Affected,0,C3614)*EXP(-((E3614-EvCenter)^2)/(2*EvSigma^2))))),"")</f>
        <v/>
      </c>
      <c r="O3614">
        <f>IF(B3614,ROUND(MAX(0,J3614*K3614*L3614*M3614*N3614),2),"")</f>
        <v/>
      </c>
    </row>
    <row r="3615">
      <c r="A3615" t="n">
        <v>3614</v>
      </c>
      <c r="B3615">
        <f>A3615&lt;=MineCount*Days</f>
        <v/>
      </c>
      <c r="C3615">
        <f>IF(B3615,INT((A3615-1)/Days)+1,"")</f>
        <v/>
      </c>
      <c r="D3615">
        <f>IF(B3615,MOD(A3615-1,Days),"")</f>
        <v/>
      </c>
      <c r="E3615" s="16">
        <f>IF(B3615,StartDate+D3615,"")</f>
        <v/>
      </c>
      <c r="F3615">
        <f>IF(B3615,MAX(MOD(SIN(Seed*0.1373+C3615*12.9898+D3615*78.233)*43758.5453,1),1E-9),"")</f>
        <v/>
      </c>
      <c r="G3615">
        <f>IF(B3615,MOD(SIN(Seed*0.5917+C3615*39.3468+D3615*11.135)*24634.6345,1),"")</f>
        <v/>
      </c>
      <c r="H3615">
        <f>IF(B3615,SQRT(-2*LN(F3615))*COS(2*PI()*G3615),"")</f>
        <v/>
      </c>
      <c r="I3615">
        <f>IF(B3615,IF(D3615=0,H3615,Rho*I3614+SQRT(1-Rho^2)*H3615),"")</f>
        <v/>
      </c>
      <c r="J3615">
        <f>IF(B3615,IF(Dist="Normal",DistA+DistB*I3615,DistA+(DistB-DistA)*NORMSDIST(I3615)),"")</f>
        <v/>
      </c>
      <c r="K3615">
        <f>IF(B3615,INDEX(MineScale,C3615),"")</f>
        <v/>
      </c>
      <c r="L3615">
        <f>IF(B3615,INDEX(Dow,1,WEEKDAY(E3615,2)),"")</f>
        <v/>
      </c>
      <c r="M3615">
        <f>IF(B3615,(1+Trend)^D3615,"")</f>
        <v/>
      </c>
      <c r="N3615">
        <f>IF(B3615,EXP(SUMPRODUCT(LN(1+(EvEff-1)*INDEX(Affected,0,C3615)*EXP(-((E3615-EvCenter)^2)/(2*EvSigma^2))))),"")</f>
        <v/>
      </c>
      <c r="O3615">
        <f>IF(B3615,ROUND(MAX(0,J3615*K3615*L3615*M3615*N3615),2),"")</f>
        <v/>
      </c>
    </row>
    <row r="3616">
      <c r="A3616" t="n">
        <v>3615</v>
      </c>
      <c r="B3616">
        <f>A3616&lt;=MineCount*Days</f>
        <v/>
      </c>
      <c r="C3616">
        <f>IF(B3616,INT((A3616-1)/Days)+1,"")</f>
        <v/>
      </c>
      <c r="D3616">
        <f>IF(B3616,MOD(A3616-1,Days),"")</f>
        <v/>
      </c>
      <c r="E3616" s="16">
        <f>IF(B3616,StartDate+D3616,"")</f>
        <v/>
      </c>
      <c r="F3616">
        <f>IF(B3616,MAX(MOD(SIN(Seed*0.1373+C3616*12.9898+D3616*78.233)*43758.5453,1),1E-9),"")</f>
        <v/>
      </c>
      <c r="G3616">
        <f>IF(B3616,MOD(SIN(Seed*0.5917+C3616*39.3468+D3616*11.135)*24634.6345,1),"")</f>
        <v/>
      </c>
      <c r="H3616">
        <f>IF(B3616,SQRT(-2*LN(F3616))*COS(2*PI()*G3616),"")</f>
        <v/>
      </c>
      <c r="I3616">
        <f>IF(B3616,IF(D3616=0,H3616,Rho*I3615+SQRT(1-Rho^2)*H3616),"")</f>
        <v/>
      </c>
      <c r="J3616">
        <f>IF(B3616,IF(Dist="Normal",DistA+DistB*I3616,DistA+(DistB-DistA)*NORMSDIST(I3616)),"")</f>
        <v/>
      </c>
      <c r="K3616">
        <f>IF(B3616,INDEX(MineScale,C3616),"")</f>
        <v/>
      </c>
      <c r="L3616">
        <f>IF(B3616,INDEX(Dow,1,WEEKDAY(E3616,2)),"")</f>
        <v/>
      </c>
      <c r="M3616">
        <f>IF(B3616,(1+Trend)^D3616,"")</f>
        <v/>
      </c>
      <c r="N3616">
        <f>IF(B3616,EXP(SUMPRODUCT(LN(1+(EvEff-1)*INDEX(Affected,0,C3616)*EXP(-((E3616-EvCenter)^2)/(2*EvSigma^2))))),"")</f>
        <v/>
      </c>
      <c r="O3616">
        <f>IF(B3616,ROUND(MAX(0,J3616*K3616*L3616*M3616*N3616),2),"")</f>
        <v/>
      </c>
    </row>
    <row r="3617">
      <c r="A3617" t="n">
        <v>3616</v>
      </c>
      <c r="B3617">
        <f>A3617&lt;=MineCount*Days</f>
        <v/>
      </c>
      <c r="C3617">
        <f>IF(B3617,INT((A3617-1)/Days)+1,"")</f>
        <v/>
      </c>
      <c r="D3617">
        <f>IF(B3617,MOD(A3617-1,Days),"")</f>
        <v/>
      </c>
      <c r="E3617" s="16">
        <f>IF(B3617,StartDate+D3617,"")</f>
        <v/>
      </c>
      <c r="F3617">
        <f>IF(B3617,MAX(MOD(SIN(Seed*0.1373+C3617*12.9898+D3617*78.233)*43758.5453,1),1E-9),"")</f>
        <v/>
      </c>
      <c r="G3617">
        <f>IF(B3617,MOD(SIN(Seed*0.5917+C3617*39.3468+D3617*11.135)*24634.6345,1),"")</f>
        <v/>
      </c>
      <c r="H3617">
        <f>IF(B3617,SQRT(-2*LN(F3617))*COS(2*PI()*G3617),"")</f>
        <v/>
      </c>
      <c r="I3617">
        <f>IF(B3617,IF(D3617=0,H3617,Rho*I3616+SQRT(1-Rho^2)*H3617),"")</f>
        <v/>
      </c>
      <c r="J3617">
        <f>IF(B3617,IF(Dist="Normal",DistA+DistB*I3617,DistA+(DistB-DistA)*NORMSDIST(I3617)),"")</f>
        <v/>
      </c>
      <c r="K3617">
        <f>IF(B3617,INDEX(MineScale,C3617),"")</f>
        <v/>
      </c>
      <c r="L3617">
        <f>IF(B3617,INDEX(Dow,1,WEEKDAY(E3617,2)),"")</f>
        <v/>
      </c>
      <c r="M3617">
        <f>IF(B3617,(1+Trend)^D3617,"")</f>
        <v/>
      </c>
      <c r="N3617">
        <f>IF(B3617,EXP(SUMPRODUCT(LN(1+(EvEff-1)*INDEX(Affected,0,C3617)*EXP(-((E3617-EvCenter)^2)/(2*EvSigma^2))))),"")</f>
        <v/>
      </c>
      <c r="O3617">
        <f>IF(B3617,ROUND(MAX(0,J3617*K3617*L3617*M3617*N3617),2),"")</f>
        <v/>
      </c>
    </row>
    <row r="3618">
      <c r="A3618" t="n">
        <v>3617</v>
      </c>
      <c r="B3618">
        <f>A3618&lt;=MineCount*Days</f>
        <v/>
      </c>
      <c r="C3618">
        <f>IF(B3618,INT((A3618-1)/Days)+1,"")</f>
        <v/>
      </c>
      <c r="D3618">
        <f>IF(B3618,MOD(A3618-1,Days),"")</f>
        <v/>
      </c>
      <c r="E3618" s="16">
        <f>IF(B3618,StartDate+D3618,"")</f>
        <v/>
      </c>
      <c r="F3618">
        <f>IF(B3618,MAX(MOD(SIN(Seed*0.1373+C3618*12.9898+D3618*78.233)*43758.5453,1),1E-9),"")</f>
        <v/>
      </c>
      <c r="G3618">
        <f>IF(B3618,MOD(SIN(Seed*0.5917+C3618*39.3468+D3618*11.135)*24634.6345,1),"")</f>
        <v/>
      </c>
      <c r="H3618">
        <f>IF(B3618,SQRT(-2*LN(F3618))*COS(2*PI()*G3618),"")</f>
        <v/>
      </c>
      <c r="I3618">
        <f>IF(B3618,IF(D3618=0,H3618,Rho*I3617+SQRT(1-Rho^2)*H3618),"")</f>
        <v/>
      </c>
      <c r="J3618">
        <f>IF(B3618,IF(Dist="Normal",DistA+DistB*I3618,DistA+(DistB-DistA)*NORMSDIST(I3618)),"")</f>
        <v/>
      </c>
      <c r="K3618">
        <f>IF(B3618,INDEX(MineScale,C3618),"")</f>
        <v/>
      </c>
      <c r="L3618">
        <f>IF(B3618,INDEX(Dow,1,WEEKDAY(E3618,2)),"")</f>
        <v/>
      </c>
      <c r="M3618">
        <f>IF(B3618,(1+Trend)^D3618,"")</f>
        <v/>
      </c>
      <c r="N3618">
        <f>IF(B3618,EXP(SUMPRODUCT(LN(1+(EvEff-1)*INDEX(Affected,0,C3618)*EXP(-((E3618-EvCenter)^2)/(2*EvSigma^2))))),"")</f>
        <v/>
      </c>
      <c r="O3618">
        <f>IF(B3618,ROUND(MAX(0,J3618*K3618*L3618*M3618*N3618),2),"")</f>
        <v/>
      </c>
    </row>
    <row r="3619">
      <c r="A3619" t="n">
        <v>3618</v>
      </c>
      <c r="B3619">
        <f>A3619&lt;=MineCount*Days</f>
        <v/>
      </c>
      <c r="C3619">
        <f>IF(B3619,INT((A3619-1)/Days)+1,"")</f>
        <v/>
      </c>
      <c r="D3619">
        <f>IF(B3619,MOD(A3619-1,Days),"")</f>
        <v/>
      </c>
      <c r="E3619" s="16">
        <f>IF(B3619,StartDate+D3619,"")</f>
        <v/>
      </c>
      <c r="F3619">
        <f>IF(B3619,MAX(MOD(SIN(Seed*0.1373+C3619*12.9898+D3619*78.233)*43758.5453,1),1E-9),"")</f>
        <v/>
      </c>
      <c r="G3619">
        <f>IF(B3619,MOD(SIN(Seed*0.5917+C3619*39.3468+D3619*11.135)*24634.6345,1),"")</f>
        <v/>
      </c>
      <c r="H3619">
        <f>IF(B3619,SQRT(-2*LN(F3619))*COS(2*PI()*G3619),"")</f>
        <v/>
      </c>
      <c r="I3619">
        <f>IF(B3619,IF(D3619=0,H3619,Rho*I3618+SQRT(1-Rho^2)*H3619),"")</f>
        <v/>
      </c>
      <c r="J3619">
        <f>IF(B3619,IF(Dist="Normal",DistA+DistB*I3619,DistA+(DistB-DistA)*NORMSDIST(I3619)),"")</f>
        <v/>
      </c>
      <c r="K3619">
        <f>IF(B3619,INDEX(MineScale,C3619),"")</f>
        <v/>
      </c>
      <c r="L3619">
        <f>IF(B3619,INDEX(Dow,1,WEEKDAY(E3619,2)),"")</f>
        <v/>
      </c>
      <c r="M3619">
        <f>IF(B3619,(1+Trend)^D3619,"")</f>
        <v/>
      </c>
      <c r="N3619">
        <f>IF(B3619,EXP(SUMPRODUCT(LN(1+(EvEff-1)*INDEX(Affected,0,C3619)*EXP(-((E3619-EvCenter)^2)/(2*EvSigma^2))))),"")</f>
        <v/>
      </c>
      <c r="O3619">
        <f>IF(B3619,ROUND(MAX(0,J3619*K3619*L3619*M3619*N3619),2),"")</f>
        <v/>
      </c>
    </row>
    <row r="3620">
      <c r="A3620" t="n">
        <v>3619</v>
      </c>
      <c r="B3620">
        <f>A3620&lt;=MineCount*Days</f>
        <v/>
      </c>
      <c r="C3620">
        <f>IF(B3620,INT((A3620-1)/Days)+1,"")</f>
        <v/>
      </c>
      <c r="D3620">
        <f>IF(B3620,MOD(A3620-1,Days),"")</f>
        <v/>
      </c>
      <c r="E3620" s="16">
        <f>IF(B3620,StartDate+D3620,"")</f>
        <v/>
      </c>
      <c r="F3620">
        <f>IF(B3620,MAX(MOD(SIN(Seed*0.1373+C3620*12.9898+D3620*78.233)*43758.5453,1),1E-9),"")</f>
        <v/>
      </c>
      <c r="G3620">
        <f>IF(B3620,MOD(SIN(Seed*0.5917+C3620*39.3468+D3620*11.135)*24634.6345,1),"")</f>
        <v/>
      </c>
      <c r="H3620">
        <f>IF(B3620,SQRT(-2*LN(F3620))*COS(2*PI()*G3620),"")</f>
        <v/>
      </c>
      <c r="I3620">
        <f>IF(B3620,IF(D3620=0,H3620,Rho*I3619+SQRT(1-Rho^2)*H3620),"")</f>
        <v/>
      </c>
      <c r="J3620">
        <f>IF(B3620,IF(Dist="Normal",DistA+DistB*I3620,DistA+(DistB-DistA)*NORMSDIST(I3620)),"")</f>
        <v/>
      </c>
      <c r="K3620">
        <f>IF(B3620,INDEX(MineScale,C3620),"")</f>
        <v/>
      </c>
      <c r="L3620">
        <f>IF(B3620,INDEX(Dow,1,WEEKDAY(E3620,2)),"")</f>
        <v/>
      </c>
      <c r="M3620">
        <f>IF(B3620,(1+Trend)^D3620,"")</f>
        <v/>
      </c>
      <c r="N3620">
        <f>IF(B3620,EXP(SUMPRODUCT(LN(1+(EvEff-1)*INDEX(Affected,0,C3620)*EXP(-((E3620-EvCenter)^2)/(2*EvSigma^2))))),"")</f>
        <v/>
      </c>
      <c r="O3620">
        <f>IF(B3620,ROUND(MAX(0,J3620*K3620*L3620*M3620*N3620),2),"")</f>
        <v/>
      </c>
    </row>
    <row r="3621">
      <c r="A3621" t="n">
        <v>3620</v>
      </c>
      <c r="B3621">
        <f>A3621&lt;=MineCount*Days</f>
        <v/>
      </c>
      <c r="C3621">
        <f>IF(B3621,INT((A3621-1)/Days)+1,"")</f>
        <v/>
      </c>
      <c r="D3621">
        <f>IF(B3621,MOD(A3621-1,Days),"")</f>
        <v/>
      </c>
      <c r="E3621" s="16">
        <f>IF(B3621,StartDate+D3621,"")</f>
        <v/>
      </c>
      <c r="F3621">
        <f>IF(B3621,MAX(MOD(SIN(Seed*0.1373+C3621*12.9898+D3621*78.233)*43758.5453,1),1E-9),"")</f>
        <v/>
      </c>
      <c r="G3621">
        <f>IF(B3621,MOD(SIN(Seed*0.5917+C3621*39.3468+D3621*11.135)*24634.6345,1),"")</f>
        <v/>
      </c>
      <c r="H3621">
        <f>IF(B3621,SQRT(-2*LN(F3621))*COS(2*PI()*G3621),"")</f>
        <v/>
      </c>
      <c r="I3621">
        <f>IF(B3621,IF(D3621=0,H3621,Rho*I3620+SQRT(1-Rho^2)*H3621),"")</f>
        <v/>
      </c>
      <c r="J3621">
        <f>IF(B3621,IF(Dist="Normal",DistA+DistB*I3621,DistA+(DistB-DistA)*NORMSDIST(I3621)),"")</f>
        <v/>
      </c>
      <c r="K3621">
        <f>IF(B3621,INDEX(MineScale,C3621),"")</f>
        <v/>
      </c>
      <c r="L3621">
        <f>IF(B3621,INDEX(Dow,1,WEEKDAY(E3621,2)),"")</f>
        <v/>
      </c>
      <c r="M3621">
        <f>IF(B3621,(1+Trend)^D3621,"")</f>
        <v/>
      </c>
      <c r="N3621">
        <f>IF(B3621,EXP(SUMPRODUCT(LN(1+(EvEff-1)*INDEX(Affected,0,C3621)*EXP(-((E3621-EvCenter)^2)/(2*EvSigma^2))))),"")</f>
        <v/>
      </c>
      <c r="O3621">
        <f>IF(B3621,ROUND(MAX(0,J3621*K3621*L3621*M3621*N3621),2),"")</f>
        <v/>
      </c>
    </row>
    <row r="3622">
      <c r="A3622" t="n">
        <v>3621</v>
      </c>
      <c r="B3622">
        <f>A3622&lt;=MineCount*Days</f>
        <v/>
      </c>
      <c r="C3622">
        <f>IF(B3622,INT((A3622-1)/Days)+1,"")</f>
        <v/>
      </c>
      <c r="D3622">
        <f>IF(B3622,MOD(A3622-1,Days),"")</f>
        <v/>
      </c>
      <c r="E3622" s="16">
        <f>IF(B3622,StartDate+D3622,"")</f>
        <v/>
      </c>
      <c r="F3622">
        <f>IF(B3622,MAX(MOD(SIN(Seed*0.1373+C3622*12.9898+D3622*78.233)*43758.5453,1),1E-9),"")</f>
        <v/>
      </c>
      <c r="G3622">
        <f>IF(B3622,MOD(SIN(Seed*0.5917+C3622*39.3468+D3622*11.135)*24634.6345,1),"")</f>
        <v/>
      </c>
      <c r="H3622">
        <f>IF(B3622,SQRT(-2*LN(F3622))*COS(2*PI()*G3622),"")</f>
        <v/>
      </c>
      <c r="I3622">
        <f>IF(B3622,IF(D3622=0,H3622,Rho*I3621+SQRT(1-Rho^2)*H3622),"")</f>
        <v/>
      </c>
      <c r="J3622">
        <f>IF(B3622,IF(Dist="Normal",DistA+DistB*I3622,DistA+(DistB-DistA)*NORMSDIST(I3622)),"")</f>
        <v/>
      </c>
      <c r="K3622">
        <f>IF(B3622,INDEX(MineScale,C3622),"")</f>
        <v/>
      </c>
      <c r="L3622">
        <f>IF(B3622,INDEX(Dow,1,WEEKDAY(E3622,2)),"")</f>
        <v/>
      </c>
      <c r="M3622">
        <f>IF(B3622,(1+Trend)^D3622,"")</f>
        <v/>
      </c>
      <c r="N3622">
        <f>IF(B3622,EXP(SUMPRODUCT(LN(1+(EvEff-1)*INDEX(Affected,0,C3622)*EXP(-((E3622-EvCenter)^2)/(2*EvSigma^2))))),"")</f>
        <v/>
      </c>
      <c r="O3622">
        <f>IF(B3622,ROUND(MAX(0,J3622*K3622*L3622*M3622*N3622),2),"")</f>
        <v/>
      </c>
    </row>
    <row r="3623">
      <c r="A3623" t="n">
        <v>3622</v>
      </c>
      <c r="B3623">
        <f>A3623&lt;=MineCount*Days</f>
        <v/>
      </c>
      <c r="C3623">
        <f>IF(B3623,INT((A3623-1)/Days)+1,"")</f>
        <v/>
      </c>
      <c r="D3623">
        <f>IF(B3623,MOD(A3623-1,Days),"")</f>
        <v/>
      </c>
      <c r="E3623" s="16">
        <f>IF(B3623,StartDate+D3623,"")</f>
        <v/>
      </c>
      <c r="F3623">
        <f>IF(B3623,MAX(MOD(SIN(Seed*0.1373+C3623*12.9898+D3623*78.233)*43758.5453,1),1E-9),"")</f>
        <v/>
      </c>
      <c r="G3623">
        <f>IF(B3623,MOD(SIN(Seed*0.5917+C3623*39.3468+D3623*11.135)*24634.6345,1),"")</f>
        <v/>
      </c>
      <c r="H3623">
        <f>IF(B3623,SQRT(-2*LN(F3623))*COS(2*PI()*G3623),"")</f>
        <v/>
      </c>
      <c r="I3623">
        <f>IF(B3623,IF(D3623=0,H3623,Rho*I3622+SQRT(1-Rho^2)*H3623),"")</f>
        <v/>
      </c>
      <c r="J3623">
        <f>IF(B3623,IF(Dist="Normal",DistA+DistB*I3623,DistA+(DistB-DistA)*NORMSDIST(I3623)),"")</f>
        <v/>
      </c>
      <c r="K3623">
        <f>IF(B3623,INDEX(MineScale,C3623),"")</f>
        <v/>
      </c>
      <c r="L3623">
        <f>IF(B3623,INDEX(Dow,1,WEEKDAY(E3623,2)),"")</f>
        <v/>
      </c>
      <c r="M3623">
        <f>IF(B3623,(1+Trend)^D3623,"")</f>
        <v/>
      </c>
      <c r="N3623">
        <f>IF(B3623,EXP(SUMPRODUCT(LN(1+(EvEff-1)*INDEX(Affected,0,C3623)*EXP(-((E3623-EvCenter)^2)/(2*EvSigma^2))))),"")</f>
        <v/>
      </c>
      <c r="O3623">
        <f>IF(B3623,ROUND(MAX(0,J3623*K3623*L3623*M3623*N3623),2),"")</f>
        <v/>
      </c>
    </row>
    <row r="3624">
      <c r="A3624" t="n">
        <v>3623</v>
      </c>
      <c r="B3624">
        <f>A3624&lt;=MineCount*Days</f>
        <v/>
      </c>
      <c r="C3624">
        <f>IF(B3624,INT((A3624-1)/Days)+1,"")</f>
        <v/>
      </c>
      <c r="D3624">
        <f>IF(B3624,MOD(A3624-1,Days),"")</f>
        <v/>
      </c>
      <c r="E3624" s="16">
        <f>IF(B3624,StartDate+D3624,"")</f>
        <v/>
      </c>
      <c r="F3624">
        <f>IF(B3624,MAX(MOD(SIN(Seed*0.1373+C3624*12.9898+D3624*78.233)*43758.5453,1),1E-9),"")</f>
        <v/>
      </c>
      <c r="G3624">
        <f>IF(B3624,MOD(SIN(Seed*0.5917+C3624*39.3468+D3624*11.135)*24634.6345,1),"")</f>
        <v/>
      </c>
      <c r="H3624">
        <f>IF(B3624,SQRT(-2*LN(F3624))*COS(2*PI()*G3624),"")</f>
        <v/>
      </c>
      <c r="I3624">
        <f>IF(B3624,IF(D3624=0,H3624,Rho*I3623+SQRT(1-Rho^2)*H3624),"")</f>
        <v/>
      </c>
      <c r="J3624">
        <f>IF(B3624,IF(Dist="Normal",DistA+DistB*I3624,DistA+(DistB-DistA)*NORMSDIST(I3624)),"")</f>
        <v/>
      </c>
      <c r="K3624">
        <f>IF(B3624,INDEX(MineScale,C3624),"")</f>
        <v/>
      </c>
      <c r="L3624">
        <f>IF(B3624,INDEX(Dow,1,WEEKDAY(E3624,2)),"")</f>
        <v/>
      </c>
      <c r="M3624">
        <f>IF(B3624,(1+Trend)^D3624,"")</f>
        <v/>
      </c>
      <c r="N3624">
        <f>IF(B3624,EXP(SUMPRODUCT(LN(1+(EvEff-1)*INDEX(Affected,0,C3624)*EXP(-((E3624-EvCenter)^2)/(2*EvSigma^2))))),"")</f>
        <v/>
      </c>
      <c r="O3624">
        <f>IF(B3624,ROUND(MAX(0,J3624*K3624*L3624*M3624*N3624),2),"")</f>
        <v/>
      </c>
    </row>
    <row r="3625">
      <c r="A3625" t="n">
        <v>3624</v>
      </c>
      <c r="B3625">
        <f>A3625&lt;=MineCount*Days</f>
        <v/>
      </c>
      <c r="C3625">
        <f>IF(B3625,INT((A3625-1)/Days)+1,"")</f>
        <v/>
      </c>
      <c r="D3625">
        <f>IF(B3625,MOD(A3625-1,Days),"")</f>
        <v/>
      </c>
      <c r="E3625" s="16">
        <f>IF(B3625,StartDate+D3625,"")</f>
        <v/>
      </c>
      <c r="F3625">
        <f>IF(B3625,MAX(MOD(SIN(Seed*0.1373+C3625*12.9898+D3625*78.233)*43758.5453,1),1E-9),"")</f>
        <v/>
      </c>
      <c r="G3625">
        <f>IF(B3625,MOD(SIN(Seed*0.5917+C3625*39.3468+D3625*11.135)*24634.6345,1),"")</f>
        <v/>
      </c>
      <c r="H3625">
        <f>IF(B3625,SQRT(-2*LN(F3625))*COS(2*PI()*G3625),"")</f>
        <v/>
      </c>
      <c r="I3625">
        <f>IF(B3625,IF(D3625=0,H3625,Rho*I3624+SQRT(1-Rho^2)*H3625),"")</f>
        <v/>
      </c>
      <c r="J3625">
        <f>IF(B3625,IF(Dist="Normal",DistA+DistB*I3625,DistA+(DistB-DistA)*NORMSDIST(I3625)),"")</f>
        <v/>
      </c>
      <c r="K3625">
        <f>IF(B3625,INDEX(MineScale,C3625),"")</f>
        <v/>
      </c>
      <c r="L3625">
        <f>IF(B3625,INDEX(Dow,1,WEEKDAY(E3625,2)),"")</f>
        <v/>
      </c>
      <c r="M3625">
        <f>IF(B3625,(1+Trend)^D3625,"")</f>
        <v/>
      </c>
      <c r="N3625">
        <f>IF(B3625,EXP(SUMPRODUCT(LN(1+(EvEff-1)*INDEX(Affected,0,C3625)*EXP(-((E3625-EvCenter)^2)/(2*EvSigma^2))))),"")</f>
        <v/>
      </c>
      <c r="O3625">
        <f>IF(B3625,ROUND(MAX(0,J3625*K3625*L3625*M3625*N3625),2),"")</f>
        <v/>
      </c>
    </row>
    <row r="3626">
      <c r="A3626" t="n">
        <v>3625</v>
      </c>
      <c r="B3626">
        <f>A3626&lt;=MineCount*Days</f>
        <v/>
      </c>
      <c r="C3626">
        <f>IF(B3626,INT((A3626-1)/Days)+1,"")</f>
        <v/>
      </c>
      <c r="D3626">
        <f>IF(B3626,MOD(A3626-1,Days),"")</f>
        <v/>
      </c>
      <c r="E3626" s="16">
        <f>IF(B3626,StartDate+D3626,"")</f>
        <v/>
      </c>
      <c r="F3626">
        <f>IF(B3626,MAX(MOD(SIN(Seed*0.1373+C3626*12.9898+D3626*78.233)*43758.5453,1),1E-9),"")</f>
        <v/>
      </c>
      <c r="G3626">
        <f>IF(B3626,MOD(SIN(Seed*0.5917+C3626*39.3468+D3626*11.135)*24634.6345,1),"")</f>
        <v/>
      </c>
      <c r="H3626">
        <f>IF(B3626,SQRT(-2*LN(F3626))*COS(2*PI()*G3626),"")</f>
        <v/>
      </c>
      <c r="I3626">
        <f>IF(B3626,IF(D3626=0,H3626,Rho*I3625+SQRT(1-Rho^2)*H3626),"")</f>
        <v/>
      </c>
      <c r="J3626">
        <f>IF(B3626,IF(Dist="Normal",DistA+DistB*I3626,DistA+(DistB-DistA)*NORMSDIST(I3626)),"")</f>
        <v/>
      </c>
      <c r="K3626">
        <f>IF(B3626,INDEX(MineScale,C3626),"")</f>
        <v/>
      </c>
      <c r="L3626">
        <f>IF(B3626,INDEX(Dow,1,WEEKDAY(E3626,2)),"")</f>
        <v/>
      </c>
      <c r="M3626">
        <f>IF(B3626,(1+Trend)^D3626,"")</f>
        <v/>
      </c>
      <c r="N3626">
        <f>IF(B3626,EXP(SUMPRODUCT(LN(1+(EvEff-1)*INDEX(Affected,0,C3626)*EXP(-((E3626-EvCenter)^2)/(2*EvSigma^2))))),"")</f>
        <v/>
      </c>
      <c r="O3626">
        <f>IF(B3626,ROUND(MAX(0,J3626*K3626*L3626*M3626*N3626),2),"")</f>
        <v/>
      </c>
    </row>
    <row r="3627">
      <c r="A3627" t="n">
        <v>3626</v>
      </c>
      <c r="B3627">
        <f>A3627&lt;=MineCount*Days</f>
        <v/>
      </c>
      <c r="C3627">
        <f>IF(B3627,INT((A3627-1)/Days)+1,"")</f>
        <v/>
      </c>
      <c r="D3627">
        <f>IF(B3627,MOD(A3627-1,Days),"")</f>
        <v/>
      </c>
      <c r="E3627" s="16">
        <f>IF(B3627,StartDate+D3627,"")</f>
        <v/>
      </c>
      <c r="F3627">
        <f>IF(B3627,MAX(MOD(SIN(Seed*0.1373+C3627*12.9898+D3627*78.233)*43758.5453,1),1E-9),"")</f>
        <v/>
      </c>
      <c r="G3627">
        <f>IF(B3627,MOD(SIN(Seed*0.5917+C3627*39.3468+D3627*11.135)*24634.6345,1),"")</f>
        <v/>
      </c>
      <c r="H3627">
        <f>IF(B3627,SQRT(-2*LN(F3627))*COS(2*PI()*G3627),"")</f>
        <v/>
      </c>
      <c r="I3627">
        <f>IF(B3627,IF(D3627=0,H3627,Rho*I3626+SQRT(1-Rho^2)*H3627),"")</f>
        <v/>
      </c>
      <c r="J3627">
        <f>IF(B3627,IF(Dist="Normal",DistA+DistB*I3627,DistA+(DistB-DistA)*NORMSDIST(I3627)),"")</f>
        <v/>
      </c>
      <c r="K3627">
        <f>IF(B3627,INDEX(MineScale,C3627),"")</f>
        <v/>
      </c>
      <c r="L3627">
        <f>IF(B3627,INDEX(Dow,1,WEEKDAY(E3627,2)),"")</f>
        <v/>
      </c>
      <c r="M3627">
        <f>IF(B3627,(1+Trend)^D3627,"")</f>
        <v/>
      </c>
      <c r="N3627">
        <f>IF(B3627,EXP(SUMPRODUCT(LN(1+(EvEff-1)*INDEX(Affected,0,C3627)*EXP(-((E3627-EvCenter)^2)/(2*EvSigma^2))))),"")</f>
        <v/>
      </c>
      <c r="O3627">
        <f>IF(B3627,ROUND(MAX(0,J3627*K3627*L3627*M3627*N3627),2),"")</f>
        <v/>
      </c>
    </row>
    <row r="3628">
      <c r="A3628" t="n">
        <v>3627</v>
      </c>
      <c r="B3628">
        <f>A3628&lt;=MineCount*Days</f>
        <v/>
      </c>
      <c r="C3628">
        <f>IF(B3628,INT((A3628-1)/Days)+1,"")</f>
        <v/>
      </c>
      <c r="D3628">
        <f>IF(B3628,MOD(A3628-1,Days),"")</f>
        <v/>
      </c>
      <c r="E3628" s="16">
        <f>IF(B3628,StartDate+D3628,"")</f>
        <v/>
      </c>
      <c r="F3628">
        <f>IF(B3628,MAX(MOD(SIN(Seed*0.1373+C3628*12.9898+D3628*78.233)*43758.5453,1),1E-9),"")</f>
        <v/>
      </c>
      <c r="G3628">
        <f>IF(B3628,MOD(SIN(Seed*0.5917+C3628*39.3468+D3628*11.135)*24634.6345,1),"")</f>
        <v/>
      </c>
      <c r="H3628">
        <f>IF(B3628,SQRT(-2*LN(F3628))*COS(2*PI()*G3628),"")</f>
        <v/>
      </c>
      <c r="I3628">
        <f>IF(B3628,IF(D3628=0,H3628,Rho*I3627+SQRT(1-Rho^2)*H3628),"")</f>
        <v/>
      </c>
      <c r="J3628">
        <f>IF(B3628,IF(Dist="Normal",DistA+DistB*I3628,DistA+(DistB-DistA)*NORMSDIST(I3628)),"")</f>
        <v/>
      </c>
      <c r="K3628">
        <f>IF(B3628,INDEX(MineScale,C3628),"")</f>
        <v/>
      </c>
      <c r="L3628">
        <f>IF(B3628,INDEX(Dow,1,WEEKDAY(E3628,2)),"")</f>
        <v/>
      </c>
      <c r="M3628">
        <f>IF(B3628,(1+Trend)^D3628,"")</f>
        <v/>
      </c>
      <c r="N3628">
        <f>IF(B3628,EXP(SUMPRODUCT(LN(1+(EvEff-1)*INDEX(Affected,0,C3628)*EXP(-((E3628-EvCenter)^2)/(2*EvSigma^2))))),"")</f>
        <v/>
      </c>
      <c r="O3628">
        <f>IF(B3628,ROUND(MAX(0,J3628*K3628*L3628*M3628*N3628),2),"")</f>
        <v/>
      </c>
    </row>
    <row r="3629">
      <c r="A3629" t="n">
        <v>3628</v>
      </c>
      <c r="B3629">
        <f>A3629&lt;=MineCount*Days</f>
        <v/>
      </c>
      <c r="C3629">
        <f>IF(B3629,INT((A3629-1)/Days)+1,"")</f>
        <v/>
      </c>
      <c r="D3629">
        <f>IF(B3629,MOD(A3629-1,Days),"")</f>
        <v/>
      </c>
      <c r="E3629" s="16">
        <f>IF(B3629,StartDate+D3629,"")</f>
        <v/>
      </c>
      <c r="F3629">
        <f>IF(B3629,MAX(MOD(SIN(Seed*0.1373+C3629*12.9898+D3629*78.233)*43758.5453,1),1E-9),"")</f>
        <v/>
      </c>
      <c r="G3629">
        <f>IF(B3629,MOD(SIN(Seed*0.5917+C3629*39.3468+D3629*11.135)*24634.6345,1),"")</f>
        <v/>
      </c>
      <c r="H3629">
        <f>IF(B3629,SQRT(-2*LN(F3629))*COS(2*PI()*G3629),"")</f>
        <v/>
      </c>
      <c r="I3629">
        <f>IF(B3629,IF(D3629=0,H3629,Rho*I3628+SQRT(1-Rho^2)*H3629),"")</f>
        <v/>
      </c>
      <c r="J3629">
        <f>IF(B3629,IF(Dist="Normal",DistA+DistB*I3629,DistA+(DistB-DistA)*NORMSDIST(I3629)),"")</f>
        <v/>
      </c>
      <c r="K3629">
        <f>IF(B3629,INDEX(MineScale,C3629),"")</f>
        <v/>
      </c>
      <c r="L3629">
        <f>IF(B3629,INDEX(Dow,1,WEEKDAY(E3629,2)),"")</f>
        <v/>
      </c>
      <c r="M3629">
        <f>IF(B3629,(1+Trend)^D3629,"")</f>
        <v/>
      </c>
      <c r="N3629">
        <f>IF(B3629,EXP(SUMPRODUCT(LN(1+(EvEff-1)*INDEX(Affected,0,C3629)*EXP(-((E3629-EvCenter)^2)/(2*EvSigma^2))))),"")</f>
        <v/>
      </c>
      <c r="O3629">
        <f>IF(B3629,ROUND(MAX(0,J3629*K3629*L3629*M3629*N3629),2),"")</f>
        <v/>
      </c>
    </row>
    <row r="3630">
      <c r="A3630" t="n">
        <v>3629</v>
      </c>
      <c r="B3630">
        <f>A3630&lt;=MineCount*Days</f>
        <v/>
      </c>
      <c r="C3630">
        <f>IF(B3630,INT((A3630-1)/Days)+1,"")</f>
        <v/>
      </c>
      <c r="D3630">
        <f>IF(B3630,MOD(A3630-1,Days),"")</f>
        <v/>
      </c>
      <c r="E3630" s="16">
        <f>IF(B3630,StartDate+D3630,"")</f>
        <v/>
      </c>
      <c r="F3630">
        <f>IF(B3630,MAX(MOD(SIN(Seed*0.1373+C3630*12.9898+D3630*78.233)*43758.5453,1),1E-9),"")</f>
        <v/>
      </c>
      <c r="G3630">
        <f>IF(B3630,MOD(SIN(Seed*0.5917+C3630*39.3468+D3630*11.135)*24634.6345,1),"")</f>
        <v/>
      </c>
      <c r="H3630">
        <f>IF(B3630,SQRT(-2*LN(F3630))*COS(2*PI()*G3630),"")</f>
        <v/>
      </c>
      <c r="I3630">
        <f>IF(B3630,IF(D3630=0,H3630,Rho*I3629+SQRT(1-Rho^2)*H3630),"")</f>
        <v/>
      </c>
      <c r="J3630">
        <f>IF(B3630,IF(Dist="Normal",DistA+DistB*I3630,DistA+(DistB-DistA)*NORMSDIST(I3630)),"")</f>
        <v/>
      </c>
      <c r="K3630">
        <f>IF(B3630,INDEX(MineScale,C3630),"")</f>
        <v/>
      </c>
      <c r="L3630">
        <f>IF(B3630,INDEX(Dow,1,WEEKDAY(E3630,2)),"")</f>
        <v/>
      </c>
      <c r="M3630">
        <f>IF(B3630,(1+Trend)^D3630,"")</f>
        <v/>
      </c>
      <c r="N3630">
        <f>IF(B3630,EXP(SUMPRODUCT(LN(1+(EvEff-1)*INDEX(Affected,0,C3630)*EXP(-((E3630-EvCenter)^2)/(2*EvSigma^2))))),"")</f>
        <v/>
      </c>
      <c r="O3630">
        <f>IF(B3630,ROUND(MAX(0,J3630*K3630*L3630*M3630*N3630),2),"")</f>
        <v/>
      </c>
    </row>
    <row r="3631">
      <c r="A3631" t="n">
        <v>3630</v>
      </c>
      <c r="B3631">
        <f>A3631&lt;=MineCount*Days</f>
        <v/>
      </c>
      <c r="C3631">
        <f>IF(B3631,INT((A3631-1)/Days)+1,"")</f>
        <v/>
      </c>
      <c r="D3631">
        <f>IF(B3631,MOD(A3631-1,Days),"")</f>
        <v/>
      </c>
      <c r="E3631" s="16">
        <f>IF(B3631,StartDate+D3631,"")</f>
        <v/>
      </c>
      <c r="F3631">
        <f>IF(B3631,MAX(MOD(SIN(Seed*0.1373+C3631*12.9898+D3631*78.233)*43758.5453,1),1E-9),"")</f>
        <v/>
      </c>
      <c r="G3631">
        <f>IF(B3631,MOD(SIN(Seed*0.5917+C3631*39.3468+D3631*11.135)*24634.6345,1),"")</f>
        <v/>
      </c>
      <c r="H3631">
        <f>IF(B3631,SQRT(-2*LN(F3631))*COS(2*PI()*G3631),"")</f>
        <v/>
      </c>
      <c r="I3631">
        <f>IF(B3631,IF(D3631=0,H3631,Rho*I3630+SQRT(1-Rho^2)*H3631),"")</f>
        <v/>
      </c>
      <c r="J3631">
        <f>IF(B3631,IF(Dist="Normal",DistA+DistB*I3631,DistA+(DistB-DistA)*NORMSDIST(I3631)),"")</f>
        <v/>
      </c>
      <c r="K3631">
        <f>IF(B3631,INDEX(MineScale,C3631),"")</f>
        <v/>
      </c>
      <c r="L3631">
        <f>IF(B3631,INDEX(Dow,1,WEEKDAY(E3631,2)),"")</f>
        <v/>
      </c>
      <c r="M3631">
        <f>IF(B3631,(1+Trend)^D3631,"")</f>
        <v/>
      </c>
      <c r="N3631">
        <f>IF(B3631,EXP(SUMPRODUCT(LN(1+(EvEff-1)*INDEX(Affected,0,C3631)*EXP(-((E3631-EvCenter)^2)/(2*EvSigma^2))))),"")</f>
        <v/>
      </c>
      <c r="O3631">
        <f>IF(B3631,ROUND(MAX(0,J3631*K3631*L3631*M3631*N3631),2),"")</f>
        <v/>
      </c>
    </row>
    <row r="3632">
      <c r="A3632" t="n">
        <v>3631</v>
      </c>
      <c r="B3632">
        <f>A3632&lt;=MineCount*Days</f>
        <v/>
      </c>
      <c r="C3632">
        <f>IF(B3632,INT((A3632-1)/Days)+1,"")</f>
        <v/>
      </c>
      <c r="D3632">
        <f>IF(B3632,MOD(A3632-1,Days),"")</f>
        <v/>
      </c>
      <c r="E3632" s="16">
        <f>IF(B3632,StartDate+D3632,"")</f>
        <v/>
      </c>
      <c r="F3632">
        <f>IF(B3632,MAX(MOD(SIN(Seed*0.1373+C3632*12.9898+D3632*78.233)*43758.5453,1),1E-9),"")</f>
        <v/>
      </c>
      <c r="G3632">
        <f>IF(B3632,MOD(SIN(Seed*0.5917+C3632*39.3468+D3632*11.135)*24634.6345,1),"")</f>
        <v/>
      </c>
      <c r="H3632">
        <f>IF(B3632,SQRT(-2*LN(F3632))*COS(2*PI()*G3632),"")</f>
        <v/>
      </c>
      <c r="I3632">
        <f>IF(B3632,IF(D3632=0,H3632,Rho*I3631+SQRT(1-Rho^2)*H3632),"")</f>
        <v/>
      </c>
      <c r="J3632">
        <f>IF(B3632,IF(Dist="Normal",DistA+DistB*I3632,DistA+(DistB-DistA)*NORMSDIST(I3632)),"")</f>
        <v/>
      </c>
      <c r="K3632">
        <f>IF(B3632,INDEX(MineScale,C3632),"")</f>
        <v/>
      </c>
      <c r="L3632">
        <f>IF(B3632,INDEX(Dow,1,WEEKDAY(E3632,2)),"")</f>
        <v/>
      </c>
      <c r="M3632">
        <f>IF(B3632,(1+Trend)^D3632,"")</f>
        <v/>
      </c>
      <c r="N3632">
        <f>IF(B3632,EXP(SUMPRODUCT(LN(1+(EvEff-1)*INDEX(Affected,0,C3632)*EXP(-((E3632-EvCenter)^2)/(2*EvSigma^2))))),"")</f>
        <v/>
      </c>
      <c r="O3632">
        <f>IF(B3632,ROUND(MAX(0,J3632*K3632*L3632*M3632*N3632),2),"")</f>
        <v/>
      </c>
    </row>
    <row r="3633">
      <c r="A3633" t="n">
        <v>3632</v>
      </c>
      <c r="B3633">
        <f>A3633&lt;=MineCount*Days</f>
        <v/>
      </c>
      <c r="C3633">
        <f>IF(B3633,INT((A3633-1)/Days)+1,"")</f>
        <v/>
      </c>
      <c r="D3633">
        <f>IF(B3633,MOD(A3633-1,Days),"")</f>
        <v/>
      </c>
      <c r="E3633" s="16">
        <f>IF(B3633,StartDate+D3633,"")</f>
        <v/>
      </c>
      <c r="F3633">
        <f>IF(B3633,MAX(MOD(SIN(Seed*0.1373+C3633*12.9898+D3633*78.233)*43758.5453,1),1E-9),"")</f>
        <v/>
      </c>
      <c r="G3633">
        <f>IF(B3633,MOD(SIN(Seed*0.5917+C3633*39.3468+D3633*11.135)*24634.6345,1),"")</f>
        <v/>
      </c>
      <c r="H3633">
        <f>IF(B3633,SQRT(-2*LN(F3633))*COS(2*PI()*G3633),"")</f>
        <v/>
      </c>
      <c r="I3633">
        <f>IF(B3633,IF(D3633=0,H3633,Rho*I3632+SQRT(1-Rho^2)*H3633),"")</f>
        <v/>
      </c>
      <c r="J3633">
        <f>IF(B3633,IF(Dist="Normal",DistA+DistB*I3633,DistA+(DistB-DistA)*NORMSDIST(I3633)),"")</f>
        <v/>
      </c>
      <c r="K3633">
        <f>IF(B3633,INDEX(MineScale,C3633),"")</f>
        <v/>
      </c>
      <c r="L3633">
        <f>IF(B3633,INDEX(Dow,1,WEEKDAY(E3633,2)),"")</f>
        <v/>
      </c>
      <c r="M3633">
        <f>IF(B3633,(1+Trend)^D3633,"")</f>
        <v/>
      </c>
      <c r="N3633">
        <f>IF(B3633,EXP(SUMPRODUCT(LN(1+(EvEff-1)*INDEX(Affected,0,C3633)*EXP(-((E3633-EvCenter)^2)/(2*EvSigma^2))))),"")</f>
        <v/>
      </c>
      <c r="O3633">
        <f>IF(B3633,ROUND(MAX(0,J3633*K3633*L3633*M3633*N3633),2),"")</f>
        <v/>
      </c>
    </row>
    <row r="3634">
      <c r="A3634" t="n">
        <v>3633</v>
      </c>
      <c r="B3634">
        <f>A3634&lt;=MineCount*Days</f>
        <v/>
      </c>
      <c r="C3634">
        <f>IF(B3634,INT((A3634-1)/Days)+1,"")</f>
        <v/>
      </c>
      <c r="D3634">
        <f>IF(B3634,MOD(A3634-1,Days),"")</f>
        <v/>
      </c>
      <c r="E3634" s="16">
        <f>IF(B3634,StartDate+D3634,"")</f>
        <v/>
      </c>
      <c r="F3634">
        <f>IF(B3634,MAX(MOD(SIN(Seed*0.1373+C3634*12.9898+D3634*78.233)*43758.5453,1),1E-9),"")</f>
        <v/>
      </c>
      <c r="G3634">
        <f>IF(B3634,MOD(SIN(Seed*0.5917+C3634*39.3468+D3634*11.135)*24634.6345,1),"")</f>
        <v/>
      </c>
      <c r="H3634">
        <f>IF(B3634,SQRT(-2*LN(F3634))*COS(2*PI()*G3634),"")</f>
        <v/>
      </c>
      <c r="I3634">
        <f>IF(B3634,IF(D3634=0,H3634,Rho*I3633+SQRT(1-Rho^2)*H3634),"")</f>
        <v/>
      </c>
      <c r="J3634">
        <f>IF(B3634,IF(Dist="Normal",DistA+DistB*I3634,DistA+(DistB-DistA)*NORMSDIST(I3634)),"")</f>
        <v/>
      </c>
      <c r="K3634">
        <f>IF(B3634,INDEX(MineScale,C3634),"")</f>
        <v/>
      </c>
      <c r="L3634">
        <f>IF(B3634,INDEX(Dow,1,WEEKDAY(E3634,2)),"")</f>
        <v/>
      </c>
      <c r="M3634">
        <f>IF(B3634,(1+Trend)^D3634,"")</f>
        <v/>
      </c>
      <c r="N3634">
        <f>IF(B3634,EXP(SUMPRODUCT(LN(1+(EvEff-1)*INDEX(Affected,0,C3634)*EXP(-((E3634-EvCenter)^2)/(2*EvSigma^2))))),"")</f>
        <v/>
      </c>
      <c r="O3634">
        <f>IF(B3634,ROUND(MAX(0,J3634*K3634*L3634*M3634*N3634),2),"")</f>
        <v/>
      </c>
    </row>
    <row r="3635">
      <c r="A3635" t="n">
        <v>3634</v>
      </c>
      <c r="B3635">
        <f>A3635&lt;=MineCount*Days</f>
        <v/>
      </c>
      <c r="C3635">
        <f>IF(B3635,INT((A3635-1)/Days)+1,"")</f>
        <v/>
      </c>
      <c r="D3635">
        <f>IF(B3635,MOD(A3635-1,Days),"")</f>
        <v/>
      </c>
      <c r="E3635" s="16">
        <f>IF(B3635,StartDate+D3635,"")</f>
        <v/>
      </c>
      <c r="F3635">
        <f>IF(B3635,MAX(MOD(SIN(Seed*0.1373+C3635*12.9898+D3635*78.233)*43758.5453,1),1E-9),"")</f>
        <v/>
      </c>
      <c r="G3635">
        <f>IF(B3635,MOD(SIN(Seed*0.5917+C3635*39.3468+D3635*11.135)*24634.6345,1),"")</f>
        <v/>
      </c>
      <c r="H3635">
        <f>IF(B3635,SQRT(-2*LN(F3635))*COS(2*PI()*G3635),"")</f>
        <v/>
      </c>
      <c r="I3635">
        <f>IF(B3635,IF(D3635=0,H3635,Rho*I3634+SQRT(1-Rho^2)*H3635),"")</f>
        <v/>
      </c>
      <c r="J3635">
        <f>IF(B3635,IF(Dist="Normal",DistA+DistB*I3635,DistA+(DistB-DistA)*NORMSDIST(I3635)),"")</f>
        <v/>
      </c>
      <c r="K3635">
        <f>IF(B3635,INDEX(MineScale,C3635),"")</f>
        <v/>
      </c>
      <c r="L3635">
        <f>IF(B3635,INDEX(Dow,1,WEEKDAY(E3635,2)),"")</f>
        <v/>
      </c>
      <c r="M3635">
        <f>IF(B3635,(1+Trend)^D3635,"")</f>
        <v/>
      </c>
      <c r="N3635">
        <f>IF(B3635,EXP(SUMPRODUCT(LN(1+(EvEff-1)*INDEX(Affected,0,C3635)*EXP(-((E3635-EvCenter)^2)/(2*EvSigma^2))))),"")</f>
        <v/>
      </c>
      <c r="O3635">
        <f>IF(B3635,ROUND(MAX(0,J3635*K3635*L3635*M3635*N3635),2),"")</f>
        <v/>
      </c>
    </row>
    <row r="3636">
      <c r="A3636" t="n">
        <v>3635</v>
      </c>
      <c r="B3636">
        <f>A3636&lt;=MineCount*Days</f>
        <v/>
      </c>
      <c r="C3636">
        <f>IF(B3636,INT((A3636-1)/Days)+1,"")</f>
        <v/>
      </c>
      <c r="D3636">
        <f>IF(B3636,MOD(A3636-1,Days),"")</f>
        <v/>
      </c>
      <c r="E3636" s="16">
        <f>IF(B3636,StartDate+D3636,"")</f>
        <v/>
      </c>
      <c r="F3636">
        <f>IF(B3636,MAX(MOD(SIN(Seed*0.1373+C3636*12.9898+D3636*78.233)*43758.5453,1),1E-9),"")</f>
        <v/>
      </c>
      <c r="G3636">
        <f>IF(B3636,MOD(SIN(Seed*0.5917+C3636*39.3468+D3636*11.135)*24634.6345,1),"")</f>
        <v/>
      </c>
      <c r="H3636">
        <f>IF(B3636,SQRT(-2*LN(F3636))*COS(2*PI()*G3636),"")</f>
        <v/>
      </c>
      <c r="I3636">
        <f>IF(B3636,IF(D3636=0,H3636,Rho*I3635+SQRT(1-Rho^2)*H3636),"")</f>
        <v/>
      </c>
      <c r="J3636">
        <f>IF(B3636,IF(Dist="Normal",DistA+DistB*I3636,DistA+(DistB-DistA)*NORMSDIST(I3636)),"")</f>
        <v/>
      </c>
      <c r="K3636">
        <f>IF(B3636,INDEX(MineScale,C3636),"")</f>
        <v/>
      </c>
      <c r="L3636">
        <f>IF(B3636,INDEX(Dow,1,WEEKDAY(E3636,2)),"")</f>
        <v/>
      </c>
      <c r="M3636">
        <f>IF(B3636,(1+Trend)^D3636,"")</f>
        <v/>
      </c>
      <c r="N3636">
        <f>IF(B3636,EXP(SUMPRODUCT(LN(1+(EvEff-1)*INDEX(Affected,0,C3636)*EXP(-((E3636-EvCenter)^2)/(2*EvSigma^2))))),"")</f>
        <v/>
      </c>
      <c r="O3636">
        <f>IF(B3636,ROUND(MAX(0,J3636*K3636*L3636*M3636*N3636),2),"")</f>
        <v/>
      </c>
    </row>
    <row r="3637">
      <c r="A3637" t="n">
        <v>3636</v>
      </c>
      <c r="B3637">
        <f>A3637&lt;=MineCount*Days</f>
        <v/>
      </c>
      <c r="C3637">
        <f>IF(B3637,INT((A3637-1)/Days)+1,"")</f>
        <v/>
      </c>
      <c r="D3637">
        <f>IF(B3637,MOD(A3637-1,Days),"")</f>
        <v/>
      </c>
      <c r="E3637" s="16">
        <f>IF(B3637,StartDate+D3637,"")</f>
        <v/>
      </c>
      <c r="F3637">
        <f>IF(B3637,MAX(MOD(SIN(Seed*0.1373+C3637*12.9898+D3637*78.233)*43758.5453,1),1E-9),"")</f>
        <v/>
      </c>
      <c r="G3637">
        <f>IF(B3637,MOD(SIN(Seed*0.5917+C3637*39.3468+D3637*11.135)*24634.6345,1),"")</f>
        <v/>
      </c>
      <c r="H3637">
        <f>IF(B3637,SQRT(-2*LN(F3637))*COS(2*PI()*G3637),"")</f>
        <v/>
      </c>
      <c r="I3637">
        <f>IF(B3637,IF(D3637=0,H3637,Rho*I3636+SQRT(1-Rho^2)*H3637),"")</f>
        <v/>
      </c>
      <c r="J3637">
        <f>IF(B3637,IF(Dist="Normal",DistA+DistB*I3637,DistA+(DistB-DistA)*NORMSDIST(I3637)),"")</f>
        <v/>
      </c>
      <c r="K3637">
        <f>IF(B3637,INDEX(MineScale,C3637),"")</f>
        <v/>
      </c>
      <c r="L3637">
        <f>IF(B3637,INDEX(Dow,1,WEEKDAY(E3637,2)),"")</f>
        <v/>
      </c>
      <c r="M3637">
        <f>IF(B3637,(1+Trend)^D3637,"")</f>
        <v/>
      </c>
      <c r="N3637">
        <f>IF(B3637,EXP(SUMPRODUCT(LN(1+(EvEff-1)*INDEX(Affected,0,C3637)*EXP(-((E3637-EvCenter)^2)/(2*EvSigma^2))))),"")</f>
        <v/>
      </c>
      <c r="O3637">
        <f>IF(B3637,ROUND(MAX(0,J3637*K3637*L3637*M3637*N3637),2),"")</f>
        <v/>
      </c>
    </row>
    <row r="3638">
      <c r="A3638" t="n">
        <v>3637</v>
      </c>
      <c r="B3638">
        <f>A3638&lt;=MineCount*Days</f>
        <v/>
      </c>
      <c r="C3638">
        <f>IF(B3638,INT((A3638-1)/Days)+1,"")</f>
        <v/>
      </c>
      <c r="D3638">
        <f>IF(B3638,MOD(A3638-1,Days),"")</f>
        <v/>
      </c>
      <c r="E3638" s="16">
        <f>IF(B3638,StartDate+D3638,"")</f>
        <v/>
      </c>
      <c r="F3638">
        <f>IF(B3638,MAX(MOD(SIN(Seed*0.1373+C3638*12.9898+D3638*78.233)*43758.5453,1),1E-9),"")</f>
        <v/>
      </c>
      <c r="G3638">
        <f>IF(B3638,MOD(SIN(Seed*0.5917+C3638*39.3468+D3638*11.135)*24634.6345,1),"")</f>
        <v/>
      </c>
      <c r="H3638">
        <f>IF(B3638,SQRT(-2*LN(F3638))*COS(2*PI()*G3638),"")</f>
        <v/>
      </c>
      <c r="I3638">
        <f>IF(B3638,IF(D3638=0,H3638,Rho*I3637+SQRT(1-Rho^2)*H3638),"")</f>
        <v/>
      </c>
      <c r="J3638">
        <f>IF(B3638,IF(Dist="Normal",DistA+DistB*I3638,DistA+(DistB-DistA)*NORMSDIST(I3638)),"")</f>
        <v/>
      </c>
      <c r="K3638">
        <f>IF(B3638,INDEX(MineScale,C3638),"")</f>
        <v/>
      </c>
      <c r="L3638">
        <f>IF(B3638,INDEX(Dow,1,WEEKDAY(E3638,2)),"")</f>
        <v/>
      </c>
      <c r="M3638">
        <f>IF(B3638,(1+Trend)^D3638,"")</f>
        <v/>
      </c>
      <c r="N3638">
        <f>IF(B3638,EXP(SUMPRODUCT(LN(1+(EvEff-1)*INDEX(Affected,0,C3638)*EXP(-((E3638-EvCenter)^2)/(2*EvSigma^2))))),"")</f>
        <v/>
      </c>
      <c r="O3638">
        <f>IF(B3638,ROUND(MAX(0,J3638*K3638*L3638*M3638*N3638),2),"")</f>
        <v/>
      </c>
    </row>
    <row r="3639">
      <c r="A3639" t="n">
        <v>3638</v>
      </c>
      <c r="B3639">
        <f>A3639&lt;=MineCount*Days</f>
        <v/>
      </c>
      <c r="C3639">
        <f>IF(B3639,INT((A3639-1)/Days)+1,"")</f>
        <v/>
      </c>
      <c r="D3639">
        <f>IF(B3639,MOD(A3639-1,Days),"")</f>
        <v/>
      </c>
      <c r="E3639" s="16">
        <f>IF(B3639,StartDate+D3639,"")</f>
        <v/>
      </c>
      <c r="F3639">
        <f>IF(B3639,MAX(MOD(SIN(Seed*0.1373+C3639*12.9898+D3639*78.233)*43758.5453,1),1E-9),"")</f>
        <v/>
      </c>
      <c r="G3639">
        <f>IF(B3639,MOD(SIN(Seed*0.5917+C3639*39.3468+D3639*11.135)*24634.6345,1),"")</f>
        <v/>
      </c>
      <c r="H3639">
        <f>IF(B3639,SQRT(-2*LN(F3639))*COS(2*PI()*G3639),"")</f>
        <v/>
      </c>
      <c r="I3639">
        <f>IF(B3639,IF(D3639=0,H3639,Rho*I3638+SQRT(1-Rho^2)*H3639),"")</f>
        <v/>
      </c>
      <c r="J3639">
        <f>IF(B3639,IF(Dist="Normal",DistA+DistB*I3639,DistA+(DistB-DistA)*NORMSDIST(I3639)),"")</f>
        <v/>
      </c>
      <c r="K3639">
        <f>IF(B3639,INDEX(MineScale,C3639),"")</f>
        <v/>
      </c>
      <c r="L3639">
        <f>IF(B3639,INDEX(Dow,1,WEEKDAY(E3639,2)),"")</f>
        <v/>
      </c>
      <c r="M3639">
        <f>IF(B3639,(1+Trend)^D3639,"")</f>
        <v/>
      </c>
      <c r="N3639">
        <f>IF(B3639,EXP(SUMPRODUCT(LN(1+(EvEff-1)*INDEX(Affected,0,C3639)*EXP(-((E3639-EvCenter)^2)/(2*EvSigma^2))))),"")</f>
        <v/>
      </c>
      <c r="O3639">
        <f>IF(B3639,ROUND(MAX(0,J3639*K3639*L3639*M3639*N3639),2),"")</f>
        <v/>
      </c>
    </row>
    <row r="3640">
      <c r="A3640" t="n">
        <v>3639</v>
      </c>
      <c r="B3640">
        <f>A3640&lt;=MineCount*Days</f>
        <v/>
      </c>
      <c r="C3640">
        <f>IF(B3640,INT((A3640-1)/Days)+1,"")</f>
        <v/>
      </c>
      <c r="D3640">
        <f>IF(B3640,MOD(A3640-1,Days),"")</f>
        <v/>
      </c>
      <c r="E3640" s="16">
        <f>IF(B3640,StartDate+D3640,"")</f>
        <v/>
      </c>
      <c r="F3640">
        <f>IF(B3640,MAX(MOD(SIN(Seed*0.1373+C3640*12.9898+D3640*78.233)*43758.5453,1),1E-9),"")</f>
        <v/>
      </c>
      <c r="G3640">
        <f>IF(B3640,MOD(SIN(Seed*0.5917+C3640*39.3468+D3640*11.135)*24634.6345,1),"")</f>
        <v/>
      </c>
      <c r="H3640">
        <f>IF(B3640,SQRT(-2*LN(F3640))*COS(2*PI()*G3640),"")</f>
        <v/>
      </c>
      <c r="I3640">
        <f>IF(B3640,IF(D3640=0,H3640,Rho*I3639+SQRT(1-Rho^2)*H3640),"")</f>
        <v/>
      </c>
      <c r="J3640">
        <f>IF(B3640,IF(Dist="Normal",DistA+DistB*I3640,DistA+(DistB-DistA)*NORMSDIST(I3640)),"")</f>
        <v/>
      </c>
      <c r="K3640">
        <f>IF(B3640,INDEX(MineScale,C3640),"")</f>
        <v/>
      </c>
      <c r="L3640">
        <f>IF(B3640,INDEX(Dow,1,WEEKDAY(E3640,2)),"")</f>
        <v/>
      </c>
      <c r="M3640">
        <f>IF(B3640,(1+Trend)^D3640,"")</f>
        <v/>
      </c>
      <c r="N3640">
        <f>IF(B3640,EXP(SUMPRODUCT(LN(1+(EvEff-1)*INDEX(Affected,0,C3640)*EXP(-((E3640-EvCenter)^2)/(2*EvSigma^2))))),"")</f>
        <v/>
      </c>
      <c r="O3640">
        <f>IF(B3640,ROUND(MAX(0,J3640*K3640*L3640*M3640*N3640),2),"")</f>
        <v/>
      </c>
    </row>
    <row r="3641">
      <c r="A3641" t="n">
        <v>3640</v>
      </c>
      <c r="B3641">
        <f>A3641&lt;=MineCount*Days</f>
        <v/>
      </c>
      <c r="C3641">
        <f>IF(B3641,INT((A3641-1)/Days)+1,"")</f>
        <v/>
      </c>
      <c r="D3641">
        <f>IF(B3641,MOD(A3641-1,Days),"")</f>
        <v/>
      </c>
      <c r="E3641" s="16">
        <f>IF(B3641,StartDate+D3641,"")</f>
        <v/>
      </c>
      <c r="F3641">
        <f>IF(B3641,MAX(MOD(SIN(Seed*0.1373+C3641*12.9898+D3641*78.233)*43758.5453,1),1E-9),"")</f>
        <v/>
      </c>
      <c r="G3641">
        <f>IF(B3641,MOD(SIN(Seed*0.5917+C3641*39.3468+D3641*11.135)*24634.6345,1),"")</f>
        <v/>
      </c>
      <c r="H3641">
        <f>IF(B3641,SQRT(-2*LN(F3641))*COS(2*PI()*G3641),"")</f>
        <v/>
      </c>
      <c r="I3641">
        <f>IF(B3641,IF(D3641=0,H3641,Rho*I3640+SQRT(1-Rho^2)*H3641),"")</f>
        <v/>
      </c>
      <c r="J3641">
        <f>IF(B3641,IF(Dist="Normal",DistA+DistB*I3641,DistA+(DistB-DistA)*NORMSDIST(I3641)),"")</f>
        <v/>
      </c>
      <c r="K3641">
        <f>IF(B3641,INDEX(MineScale,C3641),"")</f>
        <v/>
      </c>
      <c r="L3641">
        <f>IF(B3641,INDEX(Dow,1,WEEKDAY(E3641,2)),"")</f>
        <v/>
      </c>
      <c r="M3641">
        <f>IF(B3641,(1+Trend)^D3641,"")</f>
        <v/>
      </c>
      <c r="N3641">
        <f>IF(B3641,EXP(SUMPRODUCT(LN(1+(EvEff-1)*INDEX(Affected,0,C3641)*EXP(-((E3641-EvCenter)^2)/(2*EvSigma^2))))),"")</f>
        <v/>
      </c>
      <c r="O3641">
        <f>IF(B3641,ROUND(MAX(0,J3641*K3641*L3641*M3641*N3641),2),"")</f>
        <v/>
      </c>
    </row>
    <row r="3642">
      <c r="A3642" t="n">
        <v>3641</v>
      </c>
      <c r="B3642">
        <f>A3642&lt;=MineCount*Days</f>
        <v/>
      </c>
      <c r="C3642">
        <f>IF(B3642,INT((A3642-1)/Days)+1,"")</f>
        <v/>
      </c>
      <c r="D3642">
        <f>IF(B3642,MOD(A3642-1,Days),"")</f>
        <v/>
      </c>
      <c r="E3642" s="16">
        <f>IF(B3642,StartDate+D3642,"")</f>
        <v/>
      </c>
      <c r="F3642">
        <f>IF(B3642,MAX(MOD(SIN(Seed*0.1373+C3642*12.9898+D3642*78.233)*43758.5453,1),1E-9),"")</f>
        <v/>
      </c>
      <c r="G3642">
        <f>IF(B3642,MOD(SIN(Seed*0.5917+C3642*39.3468+D3642*11.135)*24634.6345,1),"")</f>
        <v/>
      </c>
      <c r="H3642">
        <f>IF(B3642,SQRT(-2*LN(F3642))*COS(2*PI()*G3642),"")</f>
        <v/>
      </c>
      <c r="I3642">
        <f>IF(B3642,IF(D3642=0,H3642,Rho*I3641+SQRT(1-Rho^2)*H3642),"")</f>
        <v/>
      </c>
      <c r="J3642">
        <f>IF(B3642,IF(Dist="Normal",DistA+DistB*I3642,DistA+(DistB-DistA)*NORMSDIST(I3642)),"")</f>
        <v/>
      </c>
      <c r="K3642">
        <f>IF(B3642,INDEX(MineScale,C3642),"")</f>
        <v/>
      </c>
      <c r="L3642">
        <f>IF(B3642,INDEX(Dow,1,WEEKDAY(E3642,2)),"")</f>
        <v/>
      </c>
      <c r="M3642">
        <f>IF(B3642,(1+Trend)^D3642,"")</f>
        <v/>
      </c>
      <c r="N3642">
        <f>IF(B3642,EXP(SUMPRODUCT(LN(1+(EvEff-1)*INDEX(Affected,0,C3642)*EXP(-((E3642-EvCenter)^2)/(2*EvSigma^2))))),"")</f>
        <v/>
      </c>
      <c r="O3642">
        <f>IF(B3642,ROUND(MAX(0,J3642*K3642*L3642*M3642*N3642),2),"")</f>
        <v/>
      </c>
    </row>
    <row r="3643">
      <c r="A3643" t="n">
        <v>3642</v>
      </c>
      <c r="B3643">
        <f>A3643&lt;=MineCount*Days</f>
        <v/>
      </c>
      <c r="C3643">
        <f>IF(B3643,INT((A3643-1)/Days)+1,"")</f>
        <v/>
      </c>
      <c r="D3643">
        <f>IF(B3643,MOD(A3643-1,Days),"")</f>
        <v/>
      </c>
      <c r="E3643" s="16">
        <f>IF(B3643,StartDate+D3643,"")</f>
        <v/>
      </c>
      <c r="F3643">
        <f>IF(B3643,MAX(MOD(SIN(Seed*0.1373+C3643*12.9898+D3643*78.233)*43758.5453,1),1E-9),"")</f>
        <v/>
      </c>
      <c r="G3643">
        <f>IF(B3643,MOD(SIN(Seed*0.5917+C3643*39.3468+D3643*11.135)*24634.6345,1),"")</f>
        <v/>
      </c>
      <c r="H3643">
        <f>IF(B3643,SQRT(-2*LN(F3643))*COS(2*PI()*G3643),"")</f>
        <v/>
      </c>
      <c r="I3643">
        <f>IF(B3643,IF(D3643=0,H3643,Rho*I3642+SQRT(1-Rho^2)*H3643),"")</f>
        <v/>
      </c>
      <c r="J3643">
        <f>IF(B3643,IF(Dist="Normal",DistA+DistB*I3643,DistA+(DistB-DistA)*NORMSDIST(I3643)),"")</f>
        <v/>
      </c>
      <c r="K3643">
        <f>IF(B3643,INDEX(MineScale,C3643),"")</f>
        <v/>
      </c>
      <c r="L3643">
        <f>IF(B3643,INDEX(Dow,1,WEEKDAY(E3643,2)),"")</f>
        <v/>
      </c>
      <c r="M3643">
        <f>IF(B3643,(1+Trend)^D3643,"")</f>
        <v/>
      </c>
      <c r="N3643">
        <f>IF(B3643,EXP(SUMPRODUCT(LN(1+(EvEff-1)*INDEX(Affected,0,C3643)*EXP(-((E3643-EvCenter)^2)/(2*EvSigma^2))))),"")</f>
        <v/>
      </c>
      <c r="O3643">
        <f>IF(B3643,ROUND(MAX(0,J3643*K3643*L3643*M3643*N3643),2),"")</f>
        <v/>
      </c>
    </row>
    <row r="3644">
      <c r="A3644" t="n">
        <v>3643</v>
      </c>
      <c r="B3644">
        <f>A3644&lt;=MineCount*Days</f>
        <v/>
      </c>
      <c r="C3644">
        <f>IF(B3644,INT((A3644-1)/Days)+1,"")</f>
        <v/>
      </c>
      <c r="D3644">
        <f>IF(B3644,MOD(A3644-1,Days),"")</f>
        <v/>
      </c>
      <c r="E3644" s="16">
        <f>IF(B3644,StartDate+D3644,"")</f>
        <v/>
      </c>
      <c r="F3644">
        <f>IF(B3644,MAX(MOD(SIN(Seed*0.1373+C3644*12.9898+D3644*78.233)*43758.5453,1),1E-9),"")</f>
        <v/>
      </c>
      <c r="G3644">
        <f>IF(B3644,MOD(SIN(Seed*0.5917+C3644*39.3468+D3644*11.135)*24634.6345,1),"")</f>
        <v/>
      </c>
      <c r="H3644">
        <f>IF(B3644,SQRT(-2*LN(F3644))*COS(2*PI()*G3644),"")</f>
        <v/>
      </c>
      <c r="I3644">
        <f>IF(B3644,IF(D3644=0,H3644,Rho*I3643+SQRT(1-Rho^2)*H3644),"")</f>
        <v/>
      </c>
      <c r="J3644">
        <f>IF(B3644,IF(Dist="Normal",DistA+DistB*I3644,DistA+(DistB-DistA)*NORMSDIST(I3644)),"")</f>
        <v/>
      </c>
      <c r="K3644">
        <f>IF(B3644,INDEX(MineScale,C3644),"")</f>
        <v/>
      </c>
      <c r="L3644">
        <f>IF(B3644,INDEX(Dow,1,WEEKDAY(E3644,2)),"")</f>
        <v/>
      </c>
      <c r="M3644">
        <f>IF(B3644,(1+Trend)^D3644,"")</f>
        <v/>
      </c>
      <c r="N3644">
        <f>IF(B3644,EXP(SUMPRODUCT(LN(1+(EvEff-1)*INDEX(Affected,0,C3644)*EXP(-((E3644-EvCenter)^2)/(2*EvSigma^2))))),"")</f>
        <v/>
      </c>
      <c r="O3644">
        <f>IF(B3644,ROUND(MAX(0,J3644*K3644*L3644*M3644*N3644),2),"")</f>
        <v/>
      </c>
    </row>
    <row r="3645">
      <c r="A3645" t="n">
        <v>3644</v>
      </c>
      <c r="B3645">
        <f>A3645&lt;=MineCount*Days</f>
        <v/>
      </c>
      <c r="C3645">
        <f>IF(B3645,INT((A3645-1)/Days)+1,"")</f>
        <v/>
      </c>
      <c r="D3645">
        <f>IF(B3645,MOD(A3645-1,Days),"")</f>
        <v/>
      </c>
      <c r="E3645" s="16">
        <f>IF(B3645,StartDate+D3645,"")</f>
        <v/>
      </c>
      <c r="F3645">
        <f>IF(B3645,MAX(MOD(SIN(Seed*0.1373+C3645*12.9898+D3645*78.233)*43758.5453,1),1E-9),"")</f>
        <v/>
      </c>
      <c r="G3645">
        <f>IF(B3645,MOD(SIN(Seed*0.5917+C3645*39.3468+D3645*11.135)*24634.6345,1),"")</f>
        <v/>
      </c>
      <c r="H3645">
        <f>IF(B3645,SQRT(-2*LN(F3645))*COS(2*PI()*G3645),"")</f>
        <v/>
      </c>
      <c r="I3645">
        <f>IF(B3645,IF(D3645=0,H3645,Rho*I3644+SQRT(1-Rho^2)*H3645),"")</f>
        <v/>
      </c>
      <c r="J3645">
        <f>IF(B3645,IF(Dist="Normal",DistA+DistB*I3645,DistA+(DistB-DistA)*NORMSDIST(I3645)),"")</f>
        <v/>
      </c>
      <c r="K3645">
        <f>IF(B3645,INDEX(MineScale,C3645),"")</f>
        <v/>
      </c>
      <c r="L3645">
        <f>IF(B3645,INDEX(Dow,1,WEEKDAY(E3645,2)),"")</f>
        <v/>
      </c>
      <c r="M3645">
        <f>IF(B3645,(1+Trend)^D3645,"")</f>
        <v/>
      </c>
      <c r="N3645">
        <f>IF(B3645,EXP(SUMPRODUCT(LN(1+(EvEff-1)*INDEX(Affected,0,C3645)*EXP(-((E3645-EvCenter)^2)/(2*EvSigma^2))))),"")</f>
        <v/>
      </c>
      <c r="O3645">
        <f>IF(B3645,ROUND(MAX(0,J3645*K3645*L3645*M3645*N3645),2),"")</f>
        <v/>
      </c>
    </row>
    <row r="3646">
      <c r="A3646" t="n">
        <v>3645</v>
      </c>
      <c r="B3646">
        <f>A3646&lt;=MineCount*Days</f>
        <v/>
      </c>
      <c r="C3646">
        <f>IF(B3646,INT((A3646-1)/Days)+1,"")</f>
        <v/>
      </c>
      <c r="D3646">
        <f>IF(B3646,MOD(A3646-1,Days),"")</f>
        <v/>
      </c>
      <c r="E3646" s="16">
        <f>IF(B3646,StartDate+D3646,"")</f>
        <v/>
      </c>
      <c r="F3646">
        <f>IF(B3646,MAX(MOD(SIN(Seed*0.1373+C3646*12.9898+D3646*78.233)*43758.5453,1),1E-9),"")</f>
        <v/>
      </c>
      <c r="G3646">
        <f>IF(B3646,MOD(SIN(Seed*0.5917+C3646*39.3468+D3646*11.135)*24634.6345,1),"")</f>
        <v/>
      </c>
      <c r="H3646">
        <f>IF(B3646,SQRT(-2*LN(F3646))*COS(2*PI()*G3646),"")</f>
        <v/>
      </c>
      <c r="I3646">
        <f>IF(B3646,IF(D3646=0,H3646,Rho*I3645+SQRT(1-Rho^2)*H3646),"")</f>
        <v/>
      </c>
      <c r="J3646">
        <f>IF(B3646,IF(Dist="Normal",DistA+DistB*I3646,DistA+(DistB-DistA)*NORMSDIST(I3646)),"")</f>
        <v/>
      </c>
      <c r="K3646">
        <f>IF(B3646,INDEX(MineScale,C3646),"")</f>
        <v/>
      </c>
      <c r="L3646">
        <f>IF(B3646,INDEX(Dow,1,WEEKDAY(E3646,2)),"")</f>
        <v/>
      </c>
      <c r="M3646">
        <f>IF(B3646,(1+Trend)^D3646,"")</f>
        <v/>
      </c>
      <c r="N3646">
        <f>IF(B3646,EXP(SUMPRODUCT(LN(1+(EvEff-1)*INDEX(Affected,0,C3646)*EXP(-((E3646-EvCenter)^2)/(2*EvSigma^2))))),"")</f>
        <v/>
      </c>
      <c r="O3646">
        <f>IF(B3646,ROUND(MAX(0,J3646*K3646*L3646*M3646*N3646),2),"")</f>
        <v/>
      </c>
    </row>
    <row r="3647">
      <c r="A3647" t="n">
        <v>3646</v>
      </c>
      <c r="B3647">
        <f>A3647&lt;=MineCount*Days</f>
        <v/>
      </c>
      <c r="C3647">
        <f>IF(B3647,INT((A3647-1)/Days)+1,"")</f>
        <v/>
      </c>
      <c r="D3647">
        <f>IF(B3647,MOD(A3647-1,Days),"")</f>
        <v/>
      </c>
      <c r="E3647" s="16">
        <f>IF(B3647,StartDate+D3647,"")</f>
        <v/>
      </c>
      <c r="F3647">
        <f>IF(B3647,MAX(MOD(SIN(Seed*0.1373+C3647*12.9898+D3647*78.233)*43758.5453,1),1E-9),"")</f>
        <v/>
      </c>
      <c r="G3647">
        <f>IF(B3647,MOD(SIN(Seed*0.5917+C3647*39.3468+D3647*11.135)*24634.6345,1),"")</f>
        <v/>
      </c>
      <c r="H3647">
        <f>IF(B3647,SQRT(-2*LN(F3647))*COS(2*PI()*G3647),"")</f>
        <v/>
      </c>
      <c r="I3647">
        <f>IF(B3647,IF(D3647=0,H3647,Rho*I3646+SQRT(1-Rho^2)*H3647),"")</f>
        <v/>
      </c>
      <c r="J3647">
        <f>IF(B3647,IF(Dist="Normal",DistA+DistB*I3647,DistA+(DistB-DistA)*NORMSDIST(I3647)),"")</f>
        <v/>
      </c>
      <c r="K3647">
        <f>IF(B3647,INDEX(MineScale,C3647),"")</f>
        <v/>
      </c>
      <c r="L3647">
        <f>IF(B3647,INDEX(Dow,1,WEEKDAY(E3647,2)),"")</f>
        <v/>
      </c>
      <c r="M3647">
        <f>IF(B3647,(1+Trend)^D3647,"")</f>
        <v/>
      </c>
      <c r="N3647">
        <f>IF(B3647,EXP(SUMPRODUCT(LN(1+(EvEff-1)*INDEX(Affected,0,C3647)*EXP(-((E3647-EvCenter)^2)/(2*EvSigma^2))))),"")</f>
        <v/>
      </c>
      <c r="O3647">
        <f>IF(B3647,ROUND(MAX(0,J3647*K3647*L3647*M3647*N3647),2),"")</f>
        <v/>
      </c>
    </row>
    <row r="3648">
      <c r="A3648" t="n">
        <v>3647</v>
      </c>
      <c r="B3648">
        <f>A3648&lt;=MineCount*Days</f>
        <v/>
      </c>
      <c r="C3648">
        <f>IF(B3648,INT((A3648-1)/Days)+1,"")</f>
        <v/>
      </c>
      <c r="D3648">
        <f>IF(B3648,MOD(A3648-1,Days),"")</f>
        <v/>
      </c>
      <c r="E3648" s="16">
        <f>IF(B3648,StartDate+D3648,"")</f>
        <v/>
      </c>
      <c r="F3648">
        <f>IF(B3648,MAX(MOD(SIN(Seed*0.1373+C3648*12.9898+D3648*78.233)*43758.5453,1),1E-9),"")</f>
        <v/>
      </c>
      <c r="G3648">
        <f>IF(B3648,MOD(SIN(Seed*0.5917+C3648*39.3468+D3648*11.135)*24634.6345,1),"")</f>
        <v/>
      </c>
      <c r="H3648">
        <f>IF(B3648,SQRT(-2*LN(F3648))*COS(2*PI()*G3648),"")</f>
        <v/>
      </c>
      <c r="I3648">
        <f>IF(B3648,IF(D3648=0,H3648,Rho*I3647+SQRT(1-Rho^2)*H3648),"")</f>
        <v/>
      </c>
      <c r="J3648">
        <f>IF(B3648,IF(Dist="Normal",DistA+DistB*I3648,DistA+(DistB-DistA)*NORMSDIST(I3648)),"")</f>
        <v/>
      </c>
      <c r="K3648">
        <f>IF(B3648,INDEX(MineScale,C3648),"")</f>
        <v/>
      </c>
      <c r="L3648">
        <f>IF(B3648,INDEX(Dow,1,WEEKDAY(E3648,2)),"")</f>
        <v/>
      </c>
      <c r="M3648">
        <f>IF(B3648,(1+Trend)^D3648,"")</f>
        <v/>
      </c>
      <c r="N3648">
        <f>IF(B3648,EXP(SUMPRODUCT(LN(1+(EvEff-1)*INDEX(Affected,0,C3648)*EXP(-((E3648-EvCenter)^2)/(2*EvSigma^2))))),"")</f>
        <v/>
      </c>
      <c r="O3648">
        <f>IF(B3648,ROUND(MAX(0,J3648*K3648*L3648*M3648*N3648),2),"")</f>
        <v/>
      </c>
    </row>
    <row r="3649">
      <c r="A3649" t="n">
        <v>3648</v>
      </c>
      <c r="B3649">
        <f>A3649&lt;=MineCount*Days</f>
        <v/>
      </c>
      <c r="C3649">
        <f>IF(B3649,INT((A3649-1)/Days)+1,"")</f>
        <v/>
      </c>
      <c r="D3649">
        <f>IF(B3649,MOD(A3649-1,Days),"")</f>
        <v/>
      </c>
      <c r="E3649" s="16">
        <f>IF(B3649,StartDate+D3649,"")</f>
        <v/>
      </c>
      <c r="F3649">
        <f>IF(B3649,MAX(MOD(SIN(Seed*0.1373+C3649*12.9898+D3649*78.233)*43758.5453,1),1E-9),"")</f>
        <v/>
      </c>
      <c r="G3649">
        <f>IF(B3649,MOD(SIN(Seed*0.5917+C3649*39.3468+D3649*11.135)*24634.6345,1),"")</f>
        <v/>
      </c>
      <c r="H3649">
        <f>IF(B3649,SQRT(-2*LN(F3649))*COS(2*PI()*G3649),"")</f>
        <v/>
      </c>
      <c r="I3649">
        <f>IF(B3649,IF(D3649=0,H3649,Rho*I3648+SQRT(1-Rho^2)*H3649),"")</f>
        <v/>
      </c>
      <c r="J3649">
        <f>IF(B3649,IF(Dist="Normal",DistA+DistB*I3649,DistA+(DistB-DistA)*NORMSDIST(I3649)),"")</f>
        <v/>
      </c>
      <c r="K3649">
        <f>IF(B3649,INDEX(MineScale,C3649),"")</f>
        <v/>
      </c>
      <c r="L3649">
        <f>IF(B3649,INDEX(Dow,1,WEEKDAY(E3649,2)),"")</f>
        <v/>
      </c>
      <c r="M3649">
        <f>IF(B3649,(1+Trend)^D3649,"")</f>
        <v/>
      </c>
      <c r="N3649">
        <f>IF(B3649,EXP(SUMPRODUCT(LN(1+(EvEff-1)*INDEX(Affected,0,C3649)*EXP(-((E3649-EvCenter)^2)/(2*EvSigma^2))))),"")</f>
        <v/>
      </c>
      <c r="O3649">
        <f>IF(B3649,ROUND(MAX(0,J3649*K3649*L3649*M3649*N3649),2),"")</f>
        <v/>
      </c>
    </row>
    <row r="3650">
      <c r="A3650" t="n">
        <v>3649</v>
      </c>
      <c r="B3650">
        <f>A3650&lt;=MineCount*Days</f>
        <v/>
      </c>
      <c r="C3650">
        <f>IF(B3650,INT((A3650-1)/Days)+1,"")</f>
        <v/>
      </c>
      <c r="D3650">
        <f>IF(B3650,MOD(A3650-1,Days),"")</f>
        <v/>
      </c>
      <c r="E3650" s="16">
        <f>IF(B3650,StartDate+D3650,"")</f>
        <v/>
      </c>
      <c r="F3650">
        <f>IF(B3650,MAX(MOD(SIN(Seed*0.1373+C3650*12.9898+D3650*78.233)*43758.5453,1),1E-9),"")</f>
        <v/>
      </c>
      <c r="G3650">
        <f>IF(B3650,MOD(SIN(Seed*0.5917+C3650*39.3468+D3650*11.135)*24634.6345,1),"")</f>
        <v/>
      </c>
      <c r="H3650">
        <f>IF(B3650,SQRT(-2*LN(F3650))*COS(2*PI()*G3650),"")</f>
        <v/>
      </c>
      <c r="I3650">
        <f>IF(B3650,IF(D3650=0,H3650,Rho*I3649+SQRT(1-Rho^2)*H3650),"")</f>
        <v/>
      </c>
      <c r="J3650">
        <f>IF(B3650,IF(Dist="Normal",DistA+DistB*I3650,DistA+(DistB-DistA)*NORMSDIST(I3650)),"")</f>
        <v/>
      </c>
      <c r="K3650">
        <f>IF(B3650,INDEX(MineScale,C3650),"")</f>
        <v/>
      </c>
      <c r="L3650">
        <f>IF(B3650,INDEX(Dow,1,WEEKDAY(E3650,2)),"")</f>
        <v/>
      </c>
      <c r="M3650">
        <f>IF(B3650,(1+Trend)^D3650,"")</f>
        <v/>
      </c>
      <c r="N3650">
        <f>IF(B3650,EXP(SUMPRODUCT(LN(1+(EvEff-1)*INDEX(Affected,0,C3650)*EXP(-((E3650-EvCenter)^2)/(2*EvSigma^2))))),"")</f>
        <v/>
      </c>
      <c r="O3650">
        <f>IF(B3650,ROUND(MAX(0,J3650*K3650*L3650*M3650*N3650),2),"")</f>
        <v/>
      </c>
    </row>
    <row r="3651">
      <c r="A3651" t="n">
        <v>3650</v>
      </c>
      <c r="B3651">
        <f>A3651&lt;=MineCount*Days</f>
        <v/>
      </c>
      <c r="C3651">
        <f>IF(B3651,INT((A3651-1)/Days)+1,"")</f>
        <v/>
      </c>
      <c r="D3651">
        <f>IF(B3651,MOD(A3651-1,Days),"")</f>
        <v/>
      </c>
      <c r="E3651" s="16">
        <f>IF(B3651,StartDate+D3651,"")</f>
        <v/>
      </c>
      <c r="F3651">
        <f>IF(B3651,MAX(MOD(SIN(Seed*0.1373+C3651*12.9898+D3651*78.233)*43758.5453,1),1E-9),"")</f>
        <v/>
      </c>
      <c r="G3651">
        <f>IF(B3651,MOD(SIN(Seed*0.5917+C3651*39.3468+D3651*11.135)*24634.6345,1),"")</f>
        <v/>
      </c>
      <c r="H3651">
        <f>IF(B3651,SQRT(-2*LN(F3651))*COS(2*PI()*G3651),"")</f>
        <v/>
      </c>
      <c r="I3651">
        <f>IF(B3651,IF(D3651=0,H3651,Rho*I3650+SQRT(1-Rho^2)*H3651),"")</f>
        <v/>
      </c>
      <c r="J3651">
        <f>IF(B3651,IF(Dist="Normal",DistA+DistB*I3651,DistA+(DistB-DistA)*NORMSDIST(I3651)),"")</f>
        <v/>
      </c>
      <c r="K3651">
        <f>IF(B3651,INDEX(MineScale,C3651),"")</f>
        <v/>
      </c>
      <c r="L3651">
        <f>IF(B3651,INDEX(Dow,1,WEEKDAY(E3651,2)),"")</f>
        <v/>
      </c>
      <c r="M3651">
        <f>IF(B3651,(1+Trend)^D3651,"")</f>
        <v/>
      </c>
      <c r="N3651">
        <f>IF(B3651,EXP(SUMPRODUCT(LN(1+(EvEff-1)*INDEX(Affected,0,C3651)*EXP(-((E3651-EvCenter)^2)/(2*EvSigma^2))))),"")</f>
        <v/>
      </c>
      <c r="O3651">
        <f>IF(B3651,ROUND(MAX(0,J3651*K3651*L3651*M3651*N3651),2),"")</f>
        <v/>
      </c>
    </row>
    <row r="3652">
      <c r="A3652" t="n">
        <v>3651</v>
      </c>
      <c r="B3652">
        <f>A3652&lt;=MineCount*Days</f>
        <v/>
      </c>
      <c r="C3652">
        <f>IF(B3652,INT((A3652-1)/Days)+1,"")</f>
        <v/>
      </c>
      <c r="D3652">
        <f>IF(B3652,MOD(A3652-1,Days),"")</f>
        <v/>
      </c>
      <c r="E3652" s="16">
        <f>IF(B3652,StartDate+D3652,"")</f>
        <v/>
      </c>
      <c r="F3652">
        <f>IF(B3652,MAX(MOD(SIN(Seed*0.1373+C3652*12.9898+D3652*78.233)*43758.5453,1),1E-9),"")</f>
        <v/>
      </c>
      <c r="G3652">
        <f>IF(B3652,MOD(SIN(Seed*0.5917+C3652*39.3468+D3652*11.135)*24634.6345,1),"")</f>
        <v/>
      </c>
      <c r="H3652">
        <f>IF(B3652,SQRT(-2*LN(F3652))*COS(2*PI()*G3652),"")</f>
        <v/>
      </c>
      <c r="I3652">
        <f>IF(B3652,IF(D3652=0,H3652,Rho*I3651+SQRT(1-Rho^2)*H3652),"")</f>
        <v/>
      </c>
      <c r="J3652">
        <f>IF(B3652,IF(Dist="Normal",DistA+DistB*I3652,DistA+(DistB-DistA)*NORMSDIST(I3652)),"")</f>
        <v/>
      </c>
      <c r="K3652">
        <f>IF(B3652,INDEX(MineScale,C3652),"")</f>
        <v/>
      </c>
      <c r="L3652">
        <f>IF(B3652,INDEX(Dow,1,WEEKDAY(E3652,2)),"")</f>
        <v/>
      </c>
      <c r="M3652">
        <f>IF(B3652,(1+Trend)^D3652,"")</f>
        <v/>
      </c>
      <c r="N3652">
        <f>IF(B3652,EXP(SUMPRODUCT(LN(1+(EvEff-1)*INDEX(Affected,0,C3652)*EXP(-((E3652-EvCenter)^2)/(2*EvSigma^2))))),"")</f>
        <v/>
      </c>
      <c r="O3652">
        <f>IF(B3652,ROUND(MAX(0,J3652*K3652*L3652*M3652*N3652),2),"")</f>
        <v/>
      </c>
    </row>
    <row r="3653">
      <c r="A3653" t="n">
        <v>3652</v>
      </c>
      <c r="B3653">
        <f>A3653&lt;=MineCount*Days</f>
        <v/>
      </c>
      <c r="C3653">
        <f>IF(B3653,INT((A3653-1)/Days)+1,"")</f>
        <v/>
      </c>
      <c r="D3653">
        <f>IF(B3653,MOD(A3653-1,Days),"")</f>
        <v/>
      </c>
      <c r="E3653" s="16">
        <f>IF(B3653,StartDate+D3653,"")</f>
        <v/>
      </c>
      <c r="F3653">
        <f>IF(B3653,MAX(MOD(SIN(Seed*0.1373+C3653*12.9898+D3653*78.233)*43758.5453,1),1E-9),"")</f>
        <v/>
      </c>
      <c r="G3653">
        <f>IF(B3653,MOD(SIN(Seed*0.5917+C3653*39.3468+D3653*11.135)*24634.6345,1),"")</f>
        <v/>
      </c>
      <c r="H3653">
        <f>IF(B3653,SQRT(-2*LN(F3653))*COS(2*PI()*G3653),"")</f>
        <v/>
      </c>
      <c r="I3653">
        <f>IF(B3653,IF(D3653=0,H3653,Rho*I3652+SQRT(1-Rho^2)*H3653),"")</f>
        <v/>
      </c>
      <c r="J3653">
        <f>IF(B3653,IF(Dist="Normal",DistA+DistB*I3653,DistA+(DistB-DistA)*NORMSDIST(I3653)),"")</f>
        <v/>
      </c>
      <c r="K3653">
        <f>IF(B3653,INDEX(MineScale,C3653),"")</f>
        <v/>
      </c>
      <c r="L3653">
        <f>IF(B3653,INDEX(Dow,1,WEEKDAY(E3653,2)),"")</f>
        <v/>
      </c>
      <c r="M3653">
        <f>IF(B3653,(1+Trend)^D3653,"")</f>
        <v/>
      </c>
      <c r="N3653">
        <f>IF(B3653,EXP(SUMPRODUCT(LN(1+(EvEff-1)*INDEX(Affected,0,C3653)*EXP(-((E3653-EvCenter)^2)/(2*EvSigma^2))))),"")</f>
        <v/>
      </c>
      <c r="O3653">
        <f>IF(B3653,ROUND(MAX(0,J3653*K3653*L3653*M3653*N3653),2),"")</f>
        <v/>
      </c>
    </row>
    <row r="3654">
      <c r="A3654" t="n">
        <v>3653</v>
      </c>
      <c r="B3654">
        <f>A3654&lt;=MineCount*Days</f>
        <v/>
      </c>
      <c r="C3654">
        <f>IF(B3654,INT((A3654-1)/Days)+1,"")</f>
        <v/>
      </c>
      <c r="D3654">
        <f>IF(B3654,MOD(A3654-1,Days),"")</f>
        <v/>
      </c>
      <c r="E3654" s="16">
        <f>IF(B3654,StartDate+D3654,"")</f>
        <v/>
      </c>
      <c r="F3654">
        <f>IF(B3654,MAX(MOD(SIN(Seed*0.1373+C3654*12.9898+D3654*78.233)*43758.5453,1),1E-9),"")</f>
        <v/>
      </c>
      <c r="G3654">
        <f>IF(B3654,MOD(SIN(Seed*0.5917+C3654*39.3468+D3654*11.135)*24634.6345,1),"")</f>
        <v/>
      </c>
      <c r="H3654">
        <f>IF(B3654,SQRT(-2*LN(F3654))*COS(2*PI()*G3654),"")</f>
        <v/>
      </c>
      <c r="I3654">
        <f>IF(B3654,IF(D3654=0,H3654,Rho*I3653+SQRT(1-Rho^2)*H3654),"")</f>
        <v/>
      </c>
      <c r="J3654">
        <f>IF(B3654,IF(Dist="Normal",DistA+DistB*I3654,DistA+(DistB-DistA)*NORMSDIST(I3654)),"")</f>
        <v/>
      </c>
      <c r="K3654">
        <f>IF(B3654,INDEX(MineScale,C3654),"")</f>
        <v/>
      </c>
      <c r="L3654">
        <f>IF(B3654,INDEX(Dow,1,WEEKDAY(E3654,2)),"")</f>
        <v/>
      </c>
      <c r="M3654">
        <f>IF(B3654,(1+Trend)^D3654,"")</f>
        <v/>
      </c>
      <c r="N3654">
        <f>IF(B3654,EXP(SUMPRODUCT(LN(1+(EvEff-1)*INDEX(Affected,0,C3654)*EXP(-((E3654-EvCenter)^2)/(2*EvSigma^2))))),"")</f>
        <v/>
      </c>
      <c r="O3654">
        <f>IF(B3654,ROUND(MAX(0,J3654*K3654*L3654*M3654*N3654),2),"")</f>
        <v/>
      </c>
    </row>
    <row r="3655">
      <c r="A3655" t="n">
        <v>3654</v>
      </c>
      <c r="B3655">
        <f>A3655&lt;=MineCount*Days</f>
        <v/>
      </c>
      <c r="C3655">
        <f>IF(B3655,INT((A3655-1)/Days)+1,"")</f>
        <v/>
      </c>
      <c r="D3655">
        <f>IF(B3655,MOD(A3655-1,Days),"")</f>
        <v/>
      </c>
      <c r="E3655" s="16">
        <f>IF(B3655,StartDate+D3655,"")</f>
        <v/>
      </c>
      <c r="F3655">
        <f>IF(B3655,MAX(MOD(SIN(Seed*0.1373+C3655*12.9898+D3655*78.233)*43758.5453,1),1E-9),"")</f>
        <v/>
      </c>
      <c r="G3655">
        <f>IF(B3655,MOD(SIN(Seed*0.5917+C3655*39.3468+D3655*11.135)*24634.6345,1),"")</f>
        <v/>
      </c>
      <c r="H3655">
        <f>IF(B3655,SQRT(-2*LN(F3655))*COS(2*PI()*G3655),"")</f>
        <v/>
      </c>
      <c r="I3655">
        <f>IF(B3655,IF(D3655=0,H3655,Rho*I3654+SQRT(1-Rho^2)*H3655),"")</f>
        <v/>
      </c>
      <c r="J3655">
        <f>IF(B3655,IF(Dist="Normal",DistA+DistB*I3655,DistA+(DistB-DistA)*NORMSDIST(I3655)),"")</f>
        <v/>
      </c>
      <c r="K3655">
        <f>IF(B3655,INDEX(MineScale,C3655),"")</f>
        <v/>
      </c>
      <c r="L3655">
        <f>IF(B3655,INDEX(Dow,1,WEEKDAY(E3655,2)),"")</f>
        <v/>
      </c>
      <c r="M3655">
        <f>IF(B3655,(1+Trend)^D3655,"")</f>
        <v/>
      </c>
      <c r="N3655">
        <f>IF(B3655,EXP(SUMPRODUCT(LN(1+(EvEff-1)*INDEX(Affected,0,C3655)*EXP(-((E3655-EvCenter)^2)/(2*EvSigma^2))))),"")</f>
        <v/>
      </c>
      <c r="O3655">
        <f>IF(B3655,ROUND(MAX(0,J3655*K3655*L3655*M3655*N3655),2),"")</f>
        <v/>
      </c>
    </row>
    <row r="3656">
      <c r="A3656" t="n">
        <v>3655</v>
      </c>
      <c r="B3656">
        <f>A3656&lt;=MineCount*Days</f>
        <v/>
      </c>
      <c r="C3656">
        <f>IF(B3656,INT((A3656-1)/Days)+1,"")</f>
        <v/>
      </c>
      <c r="D3656">
        <f>IF(B3656,MOD(A3656-1,Days),"")</f>
        <v/>
      </c>
      <c r="E3656" s="16">
        <f>IF(B3656,StartDate+D3656,"")</f>
        <v/>
      </c>
      <c r="F3656">
        <f>IF(B3656,MAX(MOD(SIN(Seed*0.1373+C3656*12.9898+D3656*78.233)*43758.5453,1),1E-9),"")</f>
        <v/>
      </c>
      <c r="G3656">
        <f>IF(B3656,MOD(SIN(Seed*0.5917+C3656*39.3468+D3656*11.135)*24634.6345,1),"")</f>
        <v/>
      </c>
      <c r="H3656">
        <f>IF(B3656,SQRT(-2*LN(F3656))*COS(2*PI()*G3656),"")</f>
        <v/>
      </c>
      <c r="I3656">
        <f>IF(B3656,IF(D3656=0,H3656,Rho*I3655+SQRT(1-Rho^2)*H3656),"")</f>
        <v/>
      </c>
      <c r="J3656">
        <f>IF(B3656,IF(Dist="Normal",DistA+DistB*I3656,DistA+(DistB-DistA)*NORMSDIST(I3656)),"")</f>
        <v/>
      </c>
      <c r="K3656">
        <f>IF(B3656,INDEX(MineScale,C3656),"")</f>
        <v/>
      </c>
      <c r="L3656">
        <f>IF(B3656,INDEX(Dow,1,WEEKDAY(E3656,2)),"")</f>
        <v/>
      </c>
      <c r="M3656">
        <f>IF(B3656,(1+Trend)^D3656,"")</f>
        <v/>
      </c>
      <c r="N3656">
        <f>IF(B3656,EXP(SUMPRODUCT(LN(1+(EvEff-1)*INDEX(Affected,0,C3656)*EXP(-((E3656-EvCenter)^2)/(2*EvSigma^2))))),"")</f>
        <v/>
      </c>
      <c r="O3656">
        <f>IF(B3656,ROUND(MAX(0,J3656*K3656*L3656*M3656*N3656),2),"")</f>
        <v/>
      </c>
    </row>
    <row r="3657">
      <c r="A3657" t="n">
        <v>3656</v>
      </c>
      <c r="B3657">
        <f>A3657&lt;=MineCount*Days</f>
        <v/>
      </c>
      <c r="C3657">
        <f>IF(B3657,INT((A3657-1)/Days)+1,"")</f>
        <v/>
      </c>
      <c r="D3657">
        <f>IF(B3657,MOD(A3657-1,Days),"")</f>
        <v/>
      </c>
      <c r="E3657" s="16">
        <f>IF(B3657,StartDate+D3657,"")</f>
        <v/>
      </c>
      <c r="F3657">
        <f>IF(B3657,MAX(MOD(SIN(Seed*0.1373+C3657*12.9898+D3657*78.233)*43758.5453,1),1E-9),"")</f>
        <v/>
      </c>
      <c r="G3657">
        <f>IF(B3657,MOD(SIN(Seed*0.5917+C3657*39.3468+D3657*11.135)*24634.6345,1),"")</f>
        <v/>
      </c>
      <c r="H3657">
        <f>IF(B3657,SQRT(-2*LN(F3657))*COS(2*PI()*G3657),"")</f>
        <v/>
      </c>
      <c r="I3657">
        <f>IF(B3657,IF(D3657=0,H3657,Rho*I3656+SQRT(1-Rho^2)*H3657),"")</f>
        <v/>
      </c>
      <c r="J3657">
        <f>IF(B3657,IF(Dist="Normal",DistA+DistB*I3657,DistA+(DistB-DistA)*NORMSDIST(I3657)),"")</f>
        <v/>
      </c>
      <c r="K3657">
        <f>IF(B3657,INDEX(MineScale,C3657),"")</f>
        <v/>
      </c>
      <c r="L3657">
        <f>IF(B3657,INDEX(Dow,1,WEEKDAY(E3657,2)),"")</f>
        <v/>
      </c>
      <c r="M3657">
        <f>IF(B3657,(1+Trend)^D3657,"")</f>
        <v/>
      </c>
      <c r="N3657">
        <f>IF(B3657,EXP(SUMPRODUCT(LN(1+(EvEff-1)*INDEX(Affected,0,C3657)*EXP(-((E3657-EvCenter)^2)/(2*EvSigma^2))))),"")</f>
        <v/>
      </c>
      <c r="O3657">
        <f>IF(B3657,ROUND(MAX(0,J3657*K3657*L3657*M3657*N3657),2),"")</f>
        <v/>
      </c>
    </row>
    <row r="3658">
      <c r="A3658" t="n">
        <v>3657</v>
      </c>
      <c r="B3658">
        <f>A3658&lt;=MineCount*Days</f>
        <v/>
      </c>
      <c r="C3658">
        <f>IF(B3658,INT((A3658-1)/Days)+1,"")</f>
        <v/>
      </c>
      <c r="D3658">
        <f>IF(B3658,MOD(A3658-1,Days),"")</f>
        <v/>
      </c>
      <c r="E3658" s="16">
        <f>IF(B3658,StartDate+D3658,"")</f>
        <v/>
      </c>
      <c r="F3658">
        <f>IF(B3658,MAX(MOD(SIN(Seed*0.1373+C3658*12.9898+D3658*78.233)*43758.5453,1),1E-9),"")</f>
        <v/>
      </c>
      <c r="G3658">
        <f>IF(B3658,MOD(SIN(Seed*0.5917+C3658*39.3468+D3658*11.135)*24634.6345,1),"")</f>
        <v/>
      </c>
      <c r="H3658">
        <f>IF(B3658,SQRT(-2*LN(F3658))*COS(2*PI()*G3658),"")</f>
        <v/>
      </c>
      <c r="I3658">
        <f>IF(B3658,IF(D3658=0,H3658,Rho*I3657+SQRT(1-Rho^2)*H3658),"")</f>
        <v/>
      </c>
      <c r="J3658">
        <f>IF(B3658,IF(Dist="Normal",DistA+DistB*I3658,DistA+(DistB-DistA)*NORMSDIST(I3658)),"")</f>
        <v/>
      </c>
      <c r="K3658">
        <f>IF(B3658,INDEX(MineScale,C3658),"")</f>
        <v/>
      </c>
      <c r="L3658">
        <f>IF(B3658,INDEX(Dow,1,WEEKDAY(E3658,2)),"")</f>
        <v/>
      </c>
      <c r="M3658">
        <f>IF(B3658,(1+Trend)^D3658,"")</f>
        <v/>
      </c>
      <c r="N3658">
        <f>IF(B3658,EXP(SUMPRODUCT(LN(1+(EvEff-1)*INDEX(Affected,0,C3658)*EXP(-((E3658-EvCenter)^2)/(2*EvSigma^2))))),"")</f>
        <v/>
      </c>
      <c r="O3658">
        <f>IF(B3658,ROUND(MAX(0,J3658*K3658*L3658*M3658*N3658),2),"")</f>
        <v/>
      </c>
    </row>
    <row r="3659">
      <c r="A3659" t="n">
        <v>3658</v>
      </c>
      <c r="B3659">
        <f>A3659&lt;=MineCount*Days</f>
        <v/>
      </c>
      <c r="C3659">
        <f>IF(B3659,INT((A3659-1)/Days)+1,"")</f>
        <v/>
      </c>
      <c r="D3659">
        <f>IF(B3659,MOD(A3659-1,Days),"")</f>
        <v/>
      </c>
      <c r="E3659" s="16">
        <f>IF(B3659,StartDate+D3659,"")</f>
        <v/>
      </c>
      <c r="F3659">
        <f>IF(B3659,MAX(MOD(SIN(Seed*0.1373+C3659*12.9898+D3659*78.233)*43758.5453,1),1E-9),"")</f>
        <v/>
      </c>
      <c r="G3659">
        <f>IF(B3659,MOD(SIN(Seed*0.5917+C3659*39.3468+D3659*11.135)*24634.6345,1),"")</f>
        <v/>
      </c>
      <c r="H3659">
        <f>IF(B3659,SQRT(-2*LN(F3659))*COS(2*PI()*G3659),"")</f>
        <v/>
      </c>
      <c r="I3659">
        <f>IF(B3659,IF(D3659=0,H3659,Rho*I3658+SQRT(1-Rho^2)*H3659),"")</f>
        <v/>
      </c>
      <c r="J3659">
        <f>IF(B3659,IF(Dist="Normal",DistA+DistB*I3659,DistA+(DistB-DistA)*NORMSDIST(I3659)),"")</f>
        <v/>
      </c>
      <c r="K3659">
        <f>IF(B3659,INDEX(MineScale,C3659),"")</f>
        <v/>
      </c>
      <c r="L3659">
        <f>IF(B3659,INDEX(Dow,1,WEEKDAY(E3659,2)),"")</f>
        <v/>
      </c>
      <c r="M3659">
        <f>IF(B3659,(1+Trend)^D3659,"")</f>
        <v/>
      </c>
      <c r="N3659">
        <f>IF(B3659,EXP(SUMPRODUCT(LN(1+(EvEff-1)*INDEX(Affected,0,C3659)*EXP(-((E3659-EvCenter)^2)/(2*EvSigma^2))))),"")</f>
        <v/>
      </c>
      <c r="O3659">
        <f>IF(B3659,ROUND(MAX(0,J3659*K3659*L3659*M3659*N3659),2),"")</f>
        <v/>
      </c>
    </row>
    <row r="3660">
      <c r="A3660" t="n">
        <v>3659</v>
      </c>
      <c r="B3660">
        <f>A3660&lt;=MineCount*Days</f>
        <v/>
      </c>
      <c r="C3660">
        <f>IF(B3660,INT((A3660-1)/Days)+1,"")</f>
        <v/>
      </c>
      <c r="D3660">
        <f>IF(B3660,MOD(A3660-1,Days),"")</f>
        <v/>
      </c>
      <c r="E3660" s="16">
        <f>IF(B3660,StartDate+D3660,"")</f>
        <v/>
      </c>
      <c r="F3660">
        <f>IF(B3660,MAX(MOD(SIN(Seed*0.1373+C3660*12.9898+D3660*78.233)*43758.5453,1),1E-9),"")</f>
        <v/>
      </c>
      <c r="G3660">
        <f>IF(B3660,MOD(SIN(Seed*0.5917+C3660*39.3468+D3660*11.135)*24634.6345,1),"")</f>
        <v/>
      </c>
      <c r="H3660">
        <f>IF(B3660,SQRT(-2*LN(F3660))*COS(2*PI()*G3660),"")</f>
        <v/>
      </c>
      <c r="I3660">
        <f>IF(B3660,IF(D3660=0,H3660,Rho*I3659+SQRT(1-Rho^2)*H3660),"")</f>
        <v/>
      </c>
      <c r="J3660">
        <f>IF(B3660,IF(Dist="Normal",DistA+DistB*I3660,DistA+(DistB-DistA)*NORMSDIST(I3660)),"")</f>
        <v/>
      </c>
      <c r="K3660">
        <f>IF(B3660,INDEX(MineScale,C3660),"")</f>
        <v/>
      </c>
      <c r="L3660">
        <f>IF(B3660,INDEX(Dow,1,WEEKDAY(E3660,2)),"")</f>
        <v/>
      </c>
      <c r="M3660">
        <f>IF(B3660,(1+Trend)^D3660,"")</f>
        <v/>
      </c>
      <c r="N3660">
        <f>IF(B3660,EXP(SUMPRODUCT(LN(1+(EvEff-1)*INDEX(Affected,0,C3660)*EXP(-((E3660-EvCenter)^2)/(2*EvSigma^2))))),"")</f>
        <v/>
      </c>
      <c r="O3660">
        <f>IF(B3660,ROUND(MAX(0,J3660*K3660*L3660*M3660*N3660),2),"")</f>
        <v/>
      </c>
    </row>
    <row r="3661">
      <c r="A3661" t="n">
        <v>3660</v>
      </c>
      <c r="B3661">
        <f>A3661&lt;=MineCount*Days</f>
        <v/>
      </c>
      <c r="C3661">
        <f>IF(B3661,INT((A3661-1)/Days)+1,"")</f>
        <v/>
      </c>
      <c r="D3661">
        <f>IF(B3661,MOD(A3661-1,Days),"")</f>
        <v/>
      </c>
      <c r="E3661" s="16">
        <f>IF(B3661,StartDate+D3661,"")</f>
        <v/>
      </c>
      <c r="F3661">
        <f>IF(B3661,MAX(MOD(SIN(Seed*0.1373+C3661*12.9898+D3661*78.233)*43758.5453,1),1E-9),"")</f>
        <v/>
      </c>
      <c r="G3661">
        <f>IF(B3661,MOD(SIN(Seed*0.5917+C3661*39.3468+D3661*11.135)*24634.6345,1),"")</f>
        <v/>
      </c>
      <c r="H3661">
        <f>IF(B3661,SQRT(-2*LN(F3661))*COS(2*PI()*G3661),"")</f>
        <v/>
      </c>
      <c r="I3661">
        <f>IF(B3661,IF(D3661=0,H3661,Rho*I3660+SQRT(1-Rho^2)*H3661),"")</f>
        <v/>
      </c>
      <c r="J3661">
        <f>IF(B3661,IF(Dist="Normal",DistA+DistB*I3661,DistA+(DistB-DistA)*NORMSDIST(I3661)),"")</f>
        <v/>
      </c>
      <c r="K3661">
        <f>IF(B3661,INDEX(MineScale,C3661),"")</f>
        <v/>
      </c>
      <c r="L3661">
        <f>IF(B3661,INDEX(Dow,1,WEEKDAY(E3661,2)),"")</f>
        <v/>
      </c>
      <c r="M3661">
        <f>IF(B3661,(1+Trend)^D3661,"")</f>
        <v/>
      </c>
      <c r="N3661">
        <f>IF(B3661,EXP(SUMPRODUCT(LN(1+(EvEff-1)*INDEX(Affected,0,C3661)*EXP(-((E3661-EvCenter)^2)/(2*EvSigma^2))))),"")</f>
        <v/>
      </c>
      <c r="O3661">
        <f>IF(B3661,ROUND(MAX(0,J3661*K3661*L3661*M3661*N3661),2),"")</f>
        <v/>
      </c>
    </row>
    <row r="3662">
      <c r="A3662" t="n">
        <v>3661</v>
      </c>
      <c r="B3662">
        <f>A3662&lt;=MineCount*Days</f>
        <v/>
      </c>
      <c r="C3662">
        <f>IF(B3662,INT((A3662-1)/Days)+1,"")</f>
        <v/>
      </c>
      <c r="D3662">
        <f>IF(B3662,MOD(A3662-1,Days),"")</f>
        <v/>
      </c>
      <c r="E3662" s="16">
        <f>IF(B3662,StartDate+D3662,"")</f>
        <v/>
      </c>
      <c r="F3662">
        <f>IF(B3662,MAX(MOD(SIN(Seed*0.1373+C3662*12.9898+D3662*78.233)*43758.5453,1),1E-9),"")</f>
        <v/>
      </c>
      <c r="G3662">
        <f>IF(B3662,MOD(SIN(Seed*0.5917+C3662*39.3468+D3662*11.135)*24634.6345,1),"")</f>
        <v/>
      </c>
      <c r="H3662">
        <f>IF(B3662,SQRT(-2*LN(F3662))*COS(2*PI()*G3662),"")</f>
        <v/>
      </c>
      <c r="I3662">
        <f>IF(B3662,IF(D3662=0,H3662,Rho*I3661+SQRT(1-Rho^2)*H3662),"")</f>
        <v/>
      </c>
      <c r="J3662">
        <f>IF(B3662,IF(Dist="Normal",DistA+DistB*I3662,DistA+(DistB-DistA)*NORMSDIST(I3662)),"")</f>
        <v/>
      </c>
      <c r="K3662">
        <f>IF(B3662,INDEX(MineScale,C3662),"")</f>
        <v/>
      </c>
      <c r="L3662">
        <f>IF(B3662,INDEX(Dow,1,WEEKDAY(E3662,2)),"")</f>
        <v/>
      </c>
      <c r="M3662">
        <f>IF(B3662,(1+Trend)^D3662,"")</f>
        <v/>
      </c>
      <c r="N3662">
        <f>IF(B3662,EXP(SUMPRODUCT(LN(1+(EvEff-1)*INDEX(Affected,0,C3662)*EXP(-((E3662-EvCenter)^2)/(2*EvSigma^2))))),"")</f>
        <v/>
      </c>
      <c r="O3662">
        <f>IF(B3662,ROUND(MAX(0,J3662*K3662*L3662*M3662*N3662),2),"")</f>
        <v/>
      </c>
    </row>
    <row r="3663">
      <c r="A3663" t="n">
        <v>3662</v>
      </c>
      <c r="B3663">
        <f>A3663&lt;=MineCount*Days</f>
        <v/>
      </c>
      <c r="C3663">
        <f>IF(B3663,INT((A3663-1)/Days)+1,"")</f>
        <v/>
      </c>
      <c r="D3663">
        <f>IF(B3663,MOD(A3663-1,Days),"")</f>
        <v/>
      </c>
      <c r="E3663" s="16">
        <f>IF(B3663,StartDate+D3663,"")</f>
        <v/>
      </c>
      <c r="F3663">
        <f>IF(B3663,MAX(MOD(SIN(Seed*0.1373+C3663*12.9898+D3663*78.233)*43758.5453,1),1E-9),"")</f>
        <v/>
      </c>
      <c r="G3663">
        <f>IF(B3663,MOD(SIN(Seed*0.5917+C3663*39.3468+D3663*11.135)*24634.6345,1),"")</f>
        <v/>
      </c>
      <c r="H3663">
        <f>IF(B3663,SQRT(-2*LN(F3663))*COS(2*PI()*G3663),"")</f>
        <v/>
      </c>
      <c r="I3663">
        <f>IF(B3663,IF(D3663=0,H3663,Rho*I3662+SQRT(1-Rho^2)*H3663),"")</f>
        <v/>
      </c>
      <c r="J3663">
        <f>IF(B3663,IF(Dist="Normal",DistA+DistB*I3663,DistA+(DistB-DistA)*NORMSDIST(I3663)),"")</f>
        <v/>
      </c>
      <c r="K3663">
        <f>IF(B3663,INDEX(MineScale,C3663),"")</f>
        <v/>
      </c>
      <c r="L3663">
        <f>IF(B3663,INDEX(Dow,1,WEEKDAY(E3663,2)),"")</f>
        <v/>
      </c>
      <c r="M3663">
        <f>IF(B3663,(1+Trend)^D3663,"")</f>
        <v/>
      </c>
      <c r="N3663">
        <f>IF(B3663,EXP(SUMPRODUCT(LN(1+(EvEff-1)*INDEX(Affected,0,C3663)*EXP(-((E3663-EvCenter)^2)/(2*EvSigma^2))))),"")</f>
        <v/>
      </c>
      <c r="O3663">
        <f>IF(B3663,ROUND(MAX(0,J3663*K3663*L3663*M3663*N3663),2),"")</f>
        <v/>
      </c>
    </row>
    <row r="3664">
      <c r="A3664" t="n">
        <v>3663</v>
      </c>
      <c r="B3664">
        <f>A3664&lt;=MineCount*Days</f>
        <v/>
      </c>
      <c r="C3664">
        <f>IF(B3664,INT((A3664-1)/Days)+1,"")</f>
        <v/>
      </c>
      <c r="D3664">
        <f>IF(B3664,MOD(A3664-1,Days),"")</f>
        <v/>
      </c>
      <c r="E3664" s="16">
        <f>IF(B3664,StartDate+D3664,"")</f>
        <v/>
      </c>
      <c r="F3664">
        <f>IF(B3664,MAX(MOD(SIN(Seed*0.1373+C3664*12.9898+D3664*78.233)*43758.5453,1),1E-9),"")</f>
        <v/>
      </c>
      <c r="G3664">
        <f>IF(B3664,MOD(SIN(Seed*0.5917+C3664*39.3468+D3664*11.135)*24634.6345,1),"")</f>
        <v/>
      </c>
      <c r="H3664">
        <f>IF(B3664,SQRT(-2*LN(F3664))*COS(2*PI()*G3664),"")</f>
        <v/>
      </c>
      <c r="I3664">
        <f>IF(B3664,IF(D3664=0,H3664,Rho*I3663+SQRT(1-Rho^2)*H3664),"")</f>
        <v/>
      </c>
      <c r="J3664">
        <f>IF(B3664,IF(Dist="Normal",DistA+DistB*I3664,DistA+(DistB-DistA)*NORMSDIST(I3664)),"")</f>
        <v/>
      </c>
      <c r="K3664">
        <f>IF(B3664,INDEX(MineScale,C3664),"")</f>
        <v/>
      </c>
      <c r="L3664">
        <f>IF(B3664,INDEX(Dow,1,WEEKDAY(E3664,2)),"")</f>
        <v/>
      </c>
      <c r="M3664">
        <f>IF(B3664,(1+Trend)^D3664,"")</f>
        <v/>
      </c>
      <c r="N3664">
        <f>IF(B3664,EXP(SUMPRODUCT(LN(1+(EvEff-1)*INDEX(Affected,0,C3664)*EXP(-((E3664-EvCenter)^2)/(2*EvSigma^2))))),"")</f>
        <v/>
      </c>
      <c r="O3664">
        <f>IF(B3664,ROUND(MAX(0,J3664*K3664*L3664*M3664*N3664),2),"")</f>
        <v/>
      </c>
    </row>
    <row r="3665">
      <c r="A3665" t="n">
        <v>3664</v>
      </c>
      <c r="B3665">
        <f>A3665&lt;=MineCount*Days</f>
        <v/>
      </c>
      <c r="C3665">
        <f>IF(B3665,INT((A3665-1)/Days)+1,"")</f>
        <v/>
      </c>
      <c r="D3665">
        <f>IF(B3665,MOD(A3665-1,Days),"")</f>
        <v/>
      </c>
      <c r="E3665" s="16">
        <f>IF(B3665,StartDate+D3665,"")</f>
        <v/>
      </c>
      <c r="F3665">
        <f>IF(B3665,MAX(MOD(SIN(Seed*0.1373+C3665*12.9898+D3665*78.233)*43758.5453,1),1E-9),"")</f>
        <v/>
      </c>
      <c r="G3665">
        <f>IF(B3665,MOD(SIN(Seed*0.5917+C3665*39.3468+D3665*11.135)*24634.6345,1),"")</f>
        <v/>
      </c>
      <c r="H3665">
        <f>IF(B3665,SQRT(-2*LN(F3665))*COS(2*PI()*G3665),"")</f>
        <v/>
      </c>
      <c r="I3665">
        <f>IF(B3665,IF(D3665=0,H3665,Rho*I3664+SQRT(1-Rho^2)*H3665),"")</f>
        <v/>
      </c>
      <c r="J3665">
        <f>IF(B3665,IF(Dist="Normal",DistA+DistB*I3665,DistA+(DistB-DistA)*NORMSDIST(I3665)),"")</f>
        <v/>
      </c>
      <c r="K3665">
        <f>IF(B3665,INDEX(MineScale,C3665),"")</f>
        <v/>
      </c>
      <c r="L3665">
        <f>IF(B3665,INDEX(Dow,1,WEEKDAY(E3665,2)),"")</f>
        <v/>
      </c>
      <c r="M3665">
        <f>IF(B3665,(1+Trend)^D3665,"")</f>
        <v/>
      </c>
      <c r="N3665">
        <f>IF(B3665,EXP(SUMPRODUCT(LN(1+(EvEff-1)*INDEX(Affected,0,C3665)*EXP(-((E3665-EvCenter)^2)/(2*EvSigma^2))))),"")</f>
        <v/>
      </c>
      <c r="O3665">
        <f>IF(B3665,ROUND(MAX(0,J3665*K3665*L3665*M3665*N3665),2),"")</f>
        <v/>
      </c>
    </row>
    <row r="3666">
      <c r="A3666" t="n">
        <v>3665</v>
      </c>
      <c r="B3666">
        <f>A3666&lt;=MineCount*Days</f>
        <v/>
      </c>
      <c r="C3666">
        <f>IF(B3666,INT((A3666-1)/Days)+1,"")</f>
        <v/>
      </c>
      <c r="D3666">
        <f>IF(B3666,MOD(A3666-1,Days),"")</f>
        <v/>
      </c>
      <c r="E3666" s="16">
        <f>IF(B3666,StartDate+D3666,"")</f>
        <v/>
      </c>
      <c r="F3666">
        <f>IF(B3666,MAX(MOD(SIN(Seed*0.1373+C3666*12.9898+D3666*78.233)*43758.5453,1),1E-9),"")</f>
        <v/>
      </c>
      <c r="G3666">
        <f>IF(B3666,MOD(SIN(Seed*0.5917+C3666*39.3468+D3666*11.135)*24634.6345,1),"")</f>
        <v/>
      </c>
      <c r="H3666">
        <f>IF(B3666,SQRT(-2*LN(F3666))*COS(2*PI()*G3666),"")</f>
        <v/>
      </c>
      <c r="I3666">
        <f>IF(B3666,IF(D3666=0,H3666,Rho*I3665+SQRT(1-Rho^2)*H3666),"")</f>
        <v/>
      </c>
      <c r="J3666">
        <f>IF(B3666,IF(Dist="Normal",DistA+DistB*I3666,DistA+(DistB-DistA)*NORMSDIST(I3666)),"")</f>
        <v/>
      </c>
      <c r="K3666">
        <f>IF(B3666,INDEX(MineScale,C3666),"")</f>
        <v/>
      </c>
      <c r="L3666">
        <f>IF(B3666,INDEX(Dow,1,WEEKDAY(E3666,2)),"")</f>
        <v/>
      </c>
      <c r="M3666">
        <f>IF(B3666,(1+Trend)^D3666,"")</f>
        <v/>
      </c>
      <c r="N3666">
        <f>IF(B3666,EXP(SUMPRODUCT(LN(1+(EvEff-1)*INDEX(Affected,0,C3666)*EXP(-((E3666-EvCenter)^2)/(2*EvSigma^2))))),"")</f>
        <v/>
      </c>
      <c r="O3666">
        <f>IF(B3666,ROUND(MAX(0,J3666*K3666*L3666*M3666*N3666),2),"")</f>
        <v/>
      </c>
    </row>
    <row r="3667">
      <c r="A3667" t="n">
        <v>3666</v>
      </c>
      <c r="B3667">
        <f>A3667&lt;=MineCount*Days</f>
        <v/>
      </c>
      <c r="C3667">
        <f>IF(B3667,INT((A3667-1)/Days)+1,"")</f>
        <v/>
      </c>
      <c r="D3667">
        <f>IF(B3667,MOD(A3667-1,Days),"")</f>
        <v/>
      </c>
      <c r="E3667" s="16">
        <f>IF(B3667,StartDate+D3667,"")</f>
        <v/>
      </c>
      <c r="F3667">
        <f>IF(B3667,MAX(MOD(SIN(Seed*0.1373+C3667*12.9898+D3667*78.233)*43758.5453,1),1E-9),"")</f>
        <v/>
      </c>
      <c r="G3667">
        <f>IF(B3667,MOD(SIN(Seed*0.5917+C3667*39.3468+D3667*11.135)*24634.6345,1),"")</f>
        <v/>
      </c>
      <c r="H3667">
        <f>IF(B3667,SQRT(-2*LN(F3667))*COS(2*PI()*G3667),"")</f>
        <v/>
      </c>
      <c r="I3667">
        <f>IF(B3667,IF(D3667=0,H3667,Rho*I3666+SQRT(1-Rho^2)*H3667),"")</f>
        <v/>
      </c>
      <c r="J3667">
        <f>IF(B3667,IF(Dist="Normal",DistA+DistB*I3667,DistA+(DistB-DistA)*NORMSDIST(I3667)),"")</f>
        <v/>
      </c>
      <c r="K3667">
        <f>IF(B3667,INDEX(MineScale,C3667),"")</f>
        <v/>
      </c>
      <c r="L3667">
        <f>IF(B3667,INDEX(Dow,1,WEEKDAY(E3667,2)),"")</f>
        <v/>
      </c>
      <c r="M3667">
        <f>IF(B3667,(1+Trend)^D3667,"")</f>
        <v/>
      </c>
      <c r="N3667">
        <f>IF(B3667,EXP(SUMPRODUCT(LN(1+(EvEff-1)*INDEX(Affected,0,C3667)*EXP(-((E3667-EvCenter)^2)/(2*EvSigma^2))))),"")</f>
        <v/>
      </c>
      <c r="O3667">
        <f>IF(B3667,ROUND(MAX(0,J3667*K3667*L3667*M3667*N3667),2),"")</f>
        <v/>
      </c>
    </row>
    <row r="3668">
      <c r="A3668" t="n">
        <v>3667</v>
      </c>
      <c r="B3668">
        <f>A3668&lt;=MineCount*Days</f>
        <v/>
      </c>
      <c r="C3668">
        <f>IF(B3668,INT((A3668-1)/Days)+1,"")</f>
        <v/>
      </c>
      <c r="D3668">
        <f>IF(B3668,MOD(A3668-1,Days),"")</f>
        <v/>
      </c>
      <c r="E3668" s="16">
        <f>IF(B3668,StartDate+D3668,"")</f>
        <v/>
      </c>
      <c r="F3668">
        <f>IF(B3668,MAX(MOD(SIN(Seed*0.1373+C3668*12.9898+D3668*78.233)*43758.5453,1),1E-9),"")</f>
        <v/>
      </c>
      <c r="G3668">
        <f>IF(B3668,MOD(SIN(Seed*0.5917+C3668*39.3468+D3668*11.135)*24634.6345,1),"")</f>
        <v/>
      </c>
      <c r="H3668">
        <f>IF(B3668,SQRT(-2*LN(F3668))*COS(2*PI()*G3668),"")</f>
        <v/>
      </c>
      <c r="I3668">
        <f>IF(B3668,IF(D3668=0,H3668,Rho*I3667+SQRT(1-Rho^2)*H3668),"")</f>
        <v/>
      </c>
      <c r="J3668">
        <f>IF(B3668,IF(Dist="Normal",DistA+DistB*I3668,DistA+(DistB-DistA)*NORMSDIST(I3668)),"")</f>
        <v/>
      </c>
      <c r="K3668">
        <f>IF(B3668,INDEX(MineScale,C3668),"")</f>
        <v/>
      </c>
      <c r="L3668">
        <f>IF(B3668,INDEX(Dow,1,WEEKDAY(E3668,2)),"")</f>
        <v/>
      </c>
      <c r="M3668">
        <f>IF(B3668,(1+Trend)^D3668,"")</f>
        <v/>
      </c>
      <c r="N3668">
        <f>IF(B3668,EXP(SUMPRODUCT(LN(1+(EvEff-1)*INDEX(Affected,0,C3668)*EXP(-((E3668-EvCenter)^2)/(2*EvSigma^2))))),"")</f>
        <v/>
      </c>
      <c r="O3668">
        <f>IF(B3668,ROUND(MAX(0,J3668*K3668*L3668*M3668*N3668),2),"")</f>
        <v/>
      </c>
    </row>
    <row r="3669">
      <c r="A3669" t="n">
        <v>3668</v>
      </c>
      <c r="B3669">
        <f>A3669&lt;=MineCount*Days</f>
        <v/>
      </c>
      <c r="C3669">
        <f>IF(B3669,INT((A3669-1)/Days)+1,"")</f>
        <v/>
      </c>
      <c r="D3669">
        <f>IF(B3669,MOD(A3669-1,Days),"")</f>
        <v/>
      </c>
      <c r="E3669" s="16">
        <f>IF(B3669,StartDate+D3669,"")</f>
        <v/>
      </c>
      <c r="F3669">
        <f>IF(B3669,MAX(MOD(SIN(Seed*0.1373+C3669*12.9898+D3669*78.233)*43758.5453,1),1E-9),"")</f>
        <v/>
      </c>
      <c r="G3669">
        <f>IF(B3669,MOD(SIN(Seed*0.5917+C3669*39.3468+D3669*11.135)*24634.6345,1),"")</f>
        <v/>
      </c>
      <c r="H3669">
        <f>IF(B3669,SQRT(-2*LN(F3669))*COS(2*PI()*G3669),"")</f>
        <v/>
      </c>
      <c r="I3669">
        <f>IF(B3669,IF(D3669=0,H3669,Rho*I3668+SQRT(1-Rho^2)*H3669),"")</f>
        <v/>
      </c>
      <c r="J3669">
        <f>IF(B3669,IF(Dist="Normal",DistA+DistB*I3669,DistA+(DistB-DistA)*NORMSDIST(I3669)),"")</f>
        <v/>
      </c>
      <c r="K3669">
        <f>IF(B3669,INDEX(MineScale,C3669),"")</f>
        <v/>
      </c>
      <c r="L3669">
        <f>IF(B3669,INDEX(Dow,1,WEEKDAY(E3669,2)),"")</f>
        <v/>
      </c>
      <c r="M3669">
        <f>IF(B3669,(1+Trend)^D3669,"")</f>
        <v/>
      </c>
      <c r="N3669">
        <f>IF(B3669,EXP(SUMPRODUCT(LN(1+(EvEff-1)*INDEX(Affected,0,C3669)*EXP(-((E3669-EvCenter)^2)/(2*EvSigma^2))))),"")</f>
        <v/>
      </c>
      <c r="O3669">
        <f>IF(B3669,ROUND(MAX(0,J3669*K3669*L3669*M3669*N3669),2),"")</f>
        <v/>
      </c>
    </row>
    <row r="3670">
      <c r="A3670" t="n">
        <v>3669</v>
      </c>
      <c r="B3670">
        <f>A3670&lt;=MineCount*Days</f>
        <v/>
      </c>
      <c r="C3670">
        <f>IF(B3670,INT((A3670-1)/Days)+1,"")</f>
        <v/>
      </c>
      <c r="D3670">
        <f>IF(B3670,MOD(A3670-1,Days),"")</f>
        <v/>
      </c>
      <c r="E3670" s="16">
        <f>IF(B3670,StartDate+D3670,"")</f>
        <v/>
      </c>
      <c r="F3670">
        <f>IF(B3670,MAX(MOD(SIN(Seed*0.1373+C3670*12.9898+D3670*78.233)*43758.5453,1),1E-9),"")</f>
        <v/>
      </c>
      <c r="G3670">
        <f>IF(B3670,MOD(SIN(Seed*0.5917+C3670*39.3468+D3670*11.135)*24634.6345,1),"")</f>
        <v/>
      </c>
      <c r="H3670">
        <f>IF(B3670,SQRT(-2*LN(F3670))*COS(2*PI()*G3670),"")</f>
        <v/>
      </c>
      <c r="I3670">
        <f>IF(B3670,IF(D3670=0,H3670,Rho*I3669+SQRT(1-Rho^2)*H3670),"")</f>
        <v/>
      </c>
      <c r="J3670">
        <f>IF(B3670,IF(Dist="Normal",DistA+DistB*I3670,DistA+(DistB-DistA)*NORMSDIST(I3670)),"")</f>
        <v/>
      </c>
      <c r="K3670">
        <f>IF(B3670,INDEX(MineScale,C3670),"")</f>
        <v/>
      </c>
      <c r="L3670">
        <f>IF(B3670,INDEX(Dow,1,WEEKDAY(E3670,2)),"")</f>
        <v/>
      </c>
      <c r="M3670">
        <f>IF(B3670,(1+Trend)^D3670,"")</f>
        <v/>
      </c>
      <c r="N3670">
        <f>IF(B3670,EXP(SUMPRODUCT(LN(1+(EvEff-1)*INDEX(Affected,0,C3670)*EXP(-((E3670-EvCenter)^2)/(2*EvSigma^2))))),"")</f>
        <v/>
      </c>
      <c r="O3670">
        <f>IF(B3670,ROUND(MAX(0,J3670*K3670*L3670*M3670*N3670),2),"")</f>
        <v/>
      </c>
    </row>
    <row r="3671">
      <c r="A3671" t="n">
        <v>3670</v>
      </c>
      <c r="B3671">
        <f>A3671&lt;=MineCount*Days</f>
        <v/>
      </c>
      <c r="C3671">
        <f>IF(B3671,INT((A3671-1)/Days)+1,"")</f>
        <v/>
      </c>
      <c r="D3671">
        <f>IF(B3671,MOD(A3671-1,Days),"")</f>
        <v/>
      </c>
      <c r="E3671" s="16">
        <f>IF(B3671,StartDate+D3671,"")</f>
        <v/>
      </c>
      <c r="F3671">
        <f>IF(B3671,MAX(MOD(SIN(Seed*0.1373+C3671*12.9898+D3671*78.233)*43758.5453,1),1E-9),"")</f>
        <v/>
      </c>
      <c r="G3671">
        <f>IF(B3671,MOD(SIN(Seed*0.5917+C3671*39.3468+D3671*11.135)*24634.6345,1),"")</f>
        <v/>
      </c>
      <c r="H3671">
        <f>IF(B3671,SQRT(-2*LN(F3671))*COS(2*PI()*G3671),"")</f>
        <v/>
      </c>
      <c r="I3671">
        <f>IF(B3671,IF(D3671=0,H3671,Rho*I3670+SQRT(1-Rho^2)*H3671),"")</f>
        <v/>
      </c>
      <c r="J3671">
        <f>IF(B3671,IF(Dist="Normal",DistA+DistB*I3671,DistA+(DistB-DistA)*NORMSDIST(I3671)),"")</f>
        <v/>
      </c>
      <c r="K3671">
        <f>IF(B3671,INDEX(MineScale,C3671),"")</f>
        <v/>
      </c>
      <c r="L3671">
        <f>IF(B3671,INDEX(Dow,1,WEEKDAY(E3671,2)),"")</f>
        <v/>
      </c>
      <c r="M3671">
        <f>IF(B3671,(1+Trend)^D3671,"")</f>
        <v/>
      </c>
      <c r="N3671">
        <f>IF(B3671,EXP(SUMPRODUCT(LN(1+(EvEff-1)*INDEX(Affected,0,C3671)*EXP(-((E3671-EvCenter)^2)/(2*EvSigma^2))))),"")</f>
        <v/>
      </c>
      <c r="O3671">
        <f>IF(B3671,ROUND(MAX(0,J3671*K3671*L3671*M3671*N3671),2),"")</f>
        <v/>
      </c>
    </row>
    <row r="3672">
      <c r="A3672" t="n">
        <v>3671</v>
      </c>
      <c r="B3672">
        <f>A3672&lt;=MineCount*Days</f>
        <v/>
      </c>
      <c r="C3672">
        <f>IF(B3672,INT((A3672-1)/Days)+1,"")</f>
        <v/>
      </c>
      <c r="D3672">
        <f>IF(B3672,MOD(A3672-1,Days),"")</f>
        <v/>
      </c>
      <c r="E3672" s="16">
        <f>IF(B3672,StartDate+D3672,"")</f>
        <v/>
      </c>
      <c r="F3672">
        <f>IF(B3672,MAX(MOD(SIN(Seed*0.1373+C3672*12.9898+D3672*78.233)*43758.5453,1),1E-9),"")</f>
        <v/>
      </c>
      <c r="G3672">
        <f>IF(B3672,MOD(SIN(Seed*0.5917+C3672*39.3468+D3672*11.135)*24634.6345,1),"")</f>
        <v/>
      </c>
      <c r="H3672">
        <f>IF(B3672,SQRT(-2*LN(F3672))*COS(2*PI()*G3672),"")</f>
        <v/>
      </c>
      <c r="I3672">
        <f>IF(B3672,IF(D3672=0,H3672,Rho*I3671+SQRT(1-Rho^2)*H3672),"")</f>
        <v/>
      </c>
      <c r="J3672">
        <f>IF(B3672,IF(Dist="Normal",DistA+DistB*I3672,DistA+(DistB-DistA)*NORMSDIST(I3672)),"")</f>
        <v/>
      </c>
      <c r="K3672">
        <f>IF(B3672,INDEX(MineScale,C3672),"")</f>
        <v/>
      </c>
      <c r="L3672">
        <f>IF(B3672,INDEX(Dow,1,WEEKDAY(E3672,2)),"")</f>
        <v/>
      </c>
      <c r="M3672">
        <f>IF(B3672,(1+Trend)^D3672,"")</f>
        <v/>
      </c>
      <c r="N3672">
        <f>IF(B3672,EXP(SUMPRODUCT(LN(1+(EvEff-1)*INDEX(Affected,0,C3672)*EXP(-((E3672-EvCenter)^2)/(2*EvSigma^2))))),"")</f>
        <v/>
      </c>
      <c r="O3672">
        <f>IF(B3672,ROUND(MAX(0,J3672*K3672*L3672*M3672*N3672),2),"")</f>
        <v/>
      </c>
    </row>
    <row r="3673">
      <c r="A3673" t="n">
        <v>3672</v>
      </c>
      <c r="B3673">
        <f>A3673&lt;=MineCount*Days</f>
        <v/>
      </c>
      <c r="C3673">
        <f>IF(B3673,INT((A3673-1)/Days)+1,"")</f>
        <v/>
      </c>
      <c r="D3673">
        <f>IF(B3673,MOD(A3673-1,Days),"")</f>
        <v/>
      </c>
      <c r="E3673" s="16">
        <f>IF(B3673,StartDate+D3673,"")</f>
        <v/>
      </c>
      <c r="F3673">
        <f>IF(B3673,MAX(MOD(SIN(Seed*0.1373+C3673*12.9898+D3673*78.233)*43758.5453,1),1E-9),"")</f>
        <v/>
      </c>
      <c r="G3673">
        <f>IF(B3673,MOD(SIN(Seed*0.5917+C3673*39.3468+D3673*11.135)*24634.6345,1),"")</f>
        <v/>
      </c>
      <c r="H3673">
        <f>IF(B3673,SQRT(-2*LN(F3673))*COS(2*PI()*G3673),"")</f>
        <v/>
      </c>
      <c r="I3673">
        <f>IF(B3673,IF(D3673=0,H3673,Rho*I3672+SQRT(1-Rho^2)*H3673),"")</f>
        <v/>
      </c>
      <c r="J3673">
        <f>IF(B3673,IF(Dist="Normal",DistA+DistB*I3673,DistA+(DistB-DistA)*NORMSDIST(I3673)),"")</f>
        <v/>
      </c>
      <c r="K3673">
        <f>IF(B3673,INDEX(MineScale,C3673),"")</f>
        <v/>
      </c>
      <c r="L3673">
        <f>IF(B3673,INDEX(Dow,1,WEEKDAY(E3673,2)),"")</f>
        <v/>
      </c>
      <c r="M3673">
        <f>IF(B3673,(1+Trend)^D3673,"")</f>
        <v/>
      </c>
      <c r="N3673">
        <f>IF(B3673,EXP(SUMPRODUCT(LN(1+(EvEff-1)*INDEX(Affected,0,C3673)*EXP(-((E3673-EvCenter)^2)/(2*EvSigma^2))))),"")</f>
        <v/>
      </c>
      <c r="O3673">
        <f>IF(B3673,ROUND(MAX(0,J3673*K3673*L3673*M3673*N3673),2),"")</f>
        <v/>
      </c>
    </row>
    <row r="3674">
      <c r="A3674" t="n">
        <v>3673</v>
      </c>
      <c r="B3674">
        <f>A3674&lt;=MineCount*Days</f>
        <v/>
      </c>
      <c r="C3674">
        <f>IF(B3674,INT((A3674-1)/Days)+1,"")</f>
        <v/>
      </c>
      <c r="D3674">
        <f>IF(B3674,MOD(A3674-1,Days),"")</f>
        <v/>
      </c>
      <c r="E3674" s="16">
        <f>IF(B3674,StartDate+D3674,"")</f>
        <v/>
      </c>
      <c r="F3674">
        <f>IF(B3674,MAX(MOD(SIN(Seed*0.1373+C3674*12.9898+D3674*78.233)*43758.5453,1),1E-9),"")</f>
        <v/>
      </c>
      <c r="G3674">
        <f>IF(B3674,MOD(SIN(Seed*0.5917+C3674*39.3468+D3674*11.135)*24634.6345,1),"")</f>
        <v/>
      </c>
      <c r="H3674">
        <f>IF(B3674,SQRT(-2*LN(F3674))*COS(2*PI()*G3674),"")</f>
        <v/>
      </c>
      <c r="I3674">
        <f>IF(B3674,IF(D3674=0,H3674,Rho*I3673+SQRT(1-Rho^2)*H3674),"")</f>
        <v/>
      </c>
      <c r="J3674">
        <f>IF(B3674,IF(Dist="Normal",DistA+DistB*I3674,DistA+(DistB-DistA)*NORMSDIST(I3674)),"")</f>
        <v/>
      </c>
      <c r="K3674">
        <f>IF(B3674,INDEX(MineScale,C3674),"")</f>
        <v/>
      </c>
      <c r="L3674">
        <f>IF(B3674,INDEX(Dow,1,WEEKDAY(E3674,2)),"")</f>
        <v/>
      </c>
      <c r="M3674">
        <f>IF(B3674,(1+Trend)^D3674,"")</f>
        <v/>
      </c>
      <c r="N3674">
        <f>IF(B3674,EXP(SUMPRODUCT(LN(1+(EvEff-1)*INDEX(Affected,0,C3674)*EXP(-((E3674-EvCenter)^2)/(2*EvSigma^2))))),"")</f>
        <v/>
      </c>
      <c r="O3674">
        <f>IF(B3674,ROUND(MAX(0,J3674*K3674*L3674*M3674*N3674),2),"")</f>
        <v/>
      </c>
    </row>
    <row r="3675">
      <c r="A3675" t="n">
        <v>3674</v>
      </c>
      <c r="B3675">
        <f>A3675&lt;=MineCount*Days</f>
        <v/>
      </c>
      <c r="C3675">
        <f>IF(B3675,INT((A3675-1)/Days)+1,"")</f>
        <v/>
      </c>
      <c r="D3675">
        <f>IF(B3675,MOD(A3675-1,Days),"")</f>
        <v/>
      </c>
      <c r="E3675" s="16">
        <f>IF(B3675,StartDate+D3675,"")</f>
        <v/>
      </c>
      <c r="F3675">
        <f>IF(B3675,MAX(MOD(SIN(Seed*0.1373+C3675*12.9898+D3675*78.233)*43758.5453,1),1E-9),"")</f>
        <v/>
      </c>
      <c r="G3675">
        <f>IF(B3675,MOD(SIN(Seed*0.5917+C3675*39.3468+D3675*11.135)*24634.6345,1),"")</f>
        <v/>
      </c>
      <c r="H3675">
        <f>IF(B3675,SQRT(-2*LN(F3675))*COS(2*PI()*G3675),"")</f>
        <v/>
      </c>
      <c r="I3675">
        <f>IF(B3675,IF(D3675=0,H3675,Rho*I3674+SQRT(1-Rho^2)*H3675),"")</f>
        <v/>
      </c>
      <c r="J3675">
        <f>IF(B3675,IF(Dist="Normal",DistA+DistB*I3675,DistA+(DistB-DistA)*NORMSDIST(I3675)),"")</f>
        <v/>
      </c>
      <c r="K3675">
        <f>IF(B3675,INDEX(MineScale,C3675),"")</f>
        <v/>
      </c>
      <c r="L3675">
        <f>IF(B3675,INDEX(Dow,1,WEEKDAY(E3675,2)),"")</f>
        <v/>
      </c>
      <c r="M3675">
        <f>IF(B3675,(1+Trend)^D3675,"")</f>
        <v/>
      </c>
      <c r="N3675">
        <f>IF(B3675,EXP(SUMPRODUCT(LN(1+(EvEff-1)*INDEX(Affected,0,C3675)*EXP(-((E3675-EvCenter)^2)/(2*EvSigma^2))))),"")</f>
        <v/>
      </c>
      <c r="O3675">
        <f>IF(B3675,ROUND(MAX(0,J3675*K3675*L3675*M3675*N3675),2),"")</f>
        <v/>
      </c>
    </row>
    <row r="3676">
      <c r="A3676" t="n">
        <v>3675</v>
      </c>
      <c r="B3676">
        <f>A3676&lt;=MineCount*Days</f>
        <v/>
      </c>
      <c r="C3676">
        <f>IF(B3676,INT((A3676-1)/Days)+1,"")</f>
        <v/>
      </c>
      <c r="D3676">
        <f>IF(B3676,MOD(A3676-1,Days),"")</f>
        <v/>
      </c>
      <c r="E3676" s="16">
        <f>IF(B3676,StartDate+D3676,"")</f>
        <v/>
      </c>
      <c r="F3676">
        <f>IF(B3676,MAX(MOD(SIN(Seed*0.1373+C3676*12.9898+D3676*78.233)*43758.5453,1),1E-9),"")</f>
        <v/>
      </c>
      <c r="G3676">
        <f>IF(B3676,MOD(SIN(Seed*0.5917+C3676*39.3468+D3676*11.135)*24634.6345,1),"")</f>
        <v/>
      </c>
      <c r="H3676">
        <f>IF(B3676,SQRT(-2*LN(F3676))*COS(2*PI()*G3676),"")</f>
        <v/>
      </c>
      <c r="I3676">
        <f>IF(B3676,IF(D3676=0,H3676,Rho*I3675+SQRT(1-Rho^2)*H3676),"")</f>
        <v/>
      </c>
      <c r="J3676">
        <f>IF(B3676,IF(Dist="Normal",DistA+DistB*I3676,DistA+(DistB-DistA)*NORMSDIST(I3676)),"")</f>
        <v/>
      </c>
      <c r="K3676">
        <f>IF(B3676,INDEX(MineScale,C3676),"")</f>
        <v/>
      </c>
      <c r="L3676">
        <f>IF(B3676,INDEX(Dow,1,WEEKDAY(E3676,2)),"")</f>
        <v/>
      </c>
      <c r="M3676">
        <f>IF(B3676,(1+Trend)^D3676,"")</f>
        <v/>
      </c>
      <c r="N3676">
        <f>IF(B3676,EXP(SUMPRODUCT(LN(1+(EvEff-1)*INDEX(Affected,0,C3676)*EXP(-((E3676-EvCenter)^2)/(2*EvSigma^2))))),"")</f>
        <v/>
      </c>
      <c r="O3676">
        <f>IF(B3676,ROUND(MAX(0,J3676*K3676*L3676*M3676*N3676),2),"")</f>
        <v/>
      </c>
    </row>
    <row r="3677">
      <c r="A3677" t="n">
        <v>3676</v>
      </c>
      <c r="B3677">
        <f>A3677&lt;=MineCount*Days</f>
        <v/>
      </c>
      <c r="C3677">
        <f>IF(B3677,INT((A3677-1)/Days)+1,"")</f>
        <v/>
      </c>
      <c r="D3677">
        <f>IF(B3677,MOD(A3677-1,Days),"")</f>
        <v/>
      </c>
      <c r="E3677" s="16">
        <f>IF(B3677,StartDate+D3677,"")</f>
        <v/>
      </c>
      <c r="F3677">
        <f>IF(B3677,MAX(MOD(SIN(Seed*0.1373+C3677*12.9898+D3677*78.233)*43758.5453,1),1E-9),"")</f>
        <v/>
      </c>
      <c r="G3677">
        <f>IF(B3677,MOD(SIN(Seed*0.5917+C3677*39.3468+D3677*11.135)*24634.6345,1),"")</f>
        <v/>
      </c>
      <c r="H3677">
        <f>IF(B3677,SQRT(-2*LN(F3677))*COS(2*PI()*G3677),"")</f>
        <v/>
      </c>
      <c r="I3677">
        <f>IF(B3677,IF(D3677=0,H3677,Rho*I3676+SQRT(1-Rho^2)*H3677),"")</f>
        <v/>
      </c>
      <c r="J3677">
        <f>IF(B3677,IF(Dist="Normal",DistA+DistB*I3677,DistA+(DistB-DistA)*NORMSDIST(I3677)),"")</f>
        <v/>
      </c>
      <c r="K3677">
        <f>IF(B3677,INDEX(MineScale,C3677),"")</f>
        <v/>
      </c>
      <c r="L3677">
        <f>IF(B3677,INDEX(Dow,1,WEEKDAY(E3677,2)),"")</f>
        <v/>
      </c>
      <c r="M3677">
        <f>IF(B3677,(1+Trend)^D3677,"")</f>
        <v/>
      </c>
      <c r="N3677">
        <f>IF(B3677,EXP(SUMPRODUCT(LN(1+(EvEff-1)*INDEX(Affected,0,C3677)*EXP(-((E3677-EvCenter)^2)/(2*EvSigma^2))))),"")</f>
        <v/>
      </c>
      <c r="O3677">
        <f>IF(B3677,ROUND(MAX(0,J3677*K3677*L3677*M3677*N3677),2),"")</f>
        <v/>
      </c>
    </row>
    <row r="3678">
      <c r="A3678" t="n">
        <v>3677</v>
      </c>
      <c r="B3678">
        <f>A3678&lt;=MineCount*Days</f>
        <v/>
      </c>
      <c r="C3678">
        <f>IF(B3678,INT((A3678-1)/Days)+1,"")</f>
        <v/>
      </c>
      <c r="D3678">
        <f>IF(B3678,MOD(A3678-1,Days),"")</f>
        <v/>
      </c>
      <c r="E3678" s="16">
        <f>IF(B3678,StartDate+D3678,"")</f>
        <v/>
      </c>
      <c r="F3678">
        <f>IF(B3678,MAX(MOD(SIN(Seed*0.1373+C3678*12.9898+D3678*78.233)*43758.5453,1),1E-9),"")</f>
        <v/>
      </c>
      <c r="G3678">
        <f>IF(B3678,MOD(SIN(Seed*0.5917+C3678*39.3468+D3678*11.135)*24634.6345,1),"")</f>
        <v/>
      </c>
      <c r="H3678">
        <f>IF(B3678,SQRT(-2*LN(F3678))*COS(2*PI()*G3678),"")</f>
        <v/>
      </c>
      <c r="I3678">
        <f>IF(B3678,IF(D3678=0,H3678,Rho*I3677+SQRT(1-Rho^2)*H3678),"")</f>
        <v/>
      </c>
      <c r="J3678">
        <f>IF(B3678,IF(Dist="Normal",DistA+DistB*I3678,DistA+(DistB-DistA)*NORMSDIST(I3678)),"")</f>
        <v/>
      </c>
      <c r="K3678">
        <f>IF(B3678,INDEX(MineScale,C3678),"")</f>
        <v/>
      </c>
      <c r="L3678">
        <f>IF(B3678,INDEX(Dow,1,WEEKDAY(E3678,2)),"")</f>
        <v/>
      </c>
      <c r="M3678">
        <f>IF(B3678,(1+Trend)^D3678,"")</f>
        <v/>
      </c>
      <c r="N3678">
        <f>IF(B3678,EXP(SUMPRODUCT(LN(1+(EvEff-1)*INDEX(Affected,0,C3678)*EXP(-((E3678-EvCenter)^2)/(2*EvSigma^2))))),"")</f>
        <v/>
      </c>
      <c r="O3678">
        <f>IF(B3678,ROUND(MAX(0,J3678*K3678*L3678*M3678*N3678),2),"")</f>
        <v/>
      </c>
    </row>
    <row r="3679">
      <c r="A3679" t="n">
        <v>3678</v>
      </c>
      <c r="B3679">
        <f>A3679&lt;=MineCount*Days</f>
        <v/>
      </c>
      <c r="C3679">
        <f>IF(B3679,INT((A3679-1)/Days)+1,"")</f>
        <v/>
      </c>
      <c r="D3679">
        <f>IF(B3679,MOD(A3679-1,Days),"")</f>
        <v/>
      </c>
      <c r="E3679" s="16">
        <f>IF(B3679,StartDate+D3679,"")</f>
        <v/>
      </c>
      <c r="F3679">
        <f>IF(B3679,MAX(MOD(SIN(Seed*0.1373+C3679*12.9898+D3679*78.233)*43758.5453,1),1E-9),"")</f>
        <v/>
      </c>
      <c r="G3679">
        <f>IF(B3679,MOD(SIN(Seed*0.5917+C3679*39.3468+D3679*11.135)*24634.6345,1),"")</f>
        <v/>
      </c>
      <c r="H3679">
        <f>IF(B3679,SQRT(-2*LN(F3679))*COS(2*PI()*G3679),"")</f>
        <v/>
      </c>
      <c r="I3679">
        <f>IF(B3679,IF(D3679=0,H3679,Rho*I3678+SQRT(1-Rho^2)*H3679),"")</f>
        <v/>
      </c>
      <c r="J3679">
        <f>IF(B3679,IF(Dist="Normal",DistA+DistB*I3679,DistA+(DistB-DistA)*NORMSDIST(I3679)),"")</f>
        <v/>
      </c>
      <c r="K3679">
        <f>IF(B3679,INDEX(MineScale,C3679),"")</f>
        <v/>
      </c>
      <c r="L3679">
        <f>IF(B3679,INDEX(Dow,1,WEEKDAY(E3679,2)),"")</f>
        <v/>
      </c>
      <c r="M3679">
        <f>IF(B3679,(1+Trend)^D3679,"")</f>
        <v/>
      </c>
      <c r="N3679">
        <f>IF(B3679,EXP(SUMPRODUCT(LN(1+(EvEff-1)*INDEX(Affected,0,C3679)*EXP(-((E3679-EvCenter)^2)/(2*EvSigma^2))))),"")</f>
        <v/>
      </c>
      <c r="O3679">
        <f>IF(B3679,ROUND(MAX(0,J3679*K3679*L3679*M3679*N3679),2),"")</f>
        <v/>
      </c>
    </row>
    <row r="3680">
      <c r="A3680" t="n">
        <v>3679</v>
      </c>
      <c r="B3680">
        <f>A3680&lt;=MineCount*Days</f>
        <v/>
      </c>
      <c r="C3680">
        <f>IF(B3680,INT((A3680-1)/Days)+1,"")</f>
        <v/>
      </c>
      <c r="D3680">
        <f>IF(B3680,MOD(A3680-1,Days),"")</f>
        <v/>
      </c>
      <c r="E3680" s="16">
        <f>IF(B3680,StartDate+D3680,"")</f>
        <v/>
      </c>
      <c r="F3680">
        <f>IF(B3680,MAX(MOD(SIN(Seed*0.1373+C3680*12.9898+D3680*78.233)*43758.5453,1),1E-9),"")</f>
        <v/>
      </c>
      <c r="G3680">
        <f>IF(B3680,MOD(SIN(Seed*0.5917+C3680*39.3468+D3680*11.135)*24634.6345,1),"")</f>
        <v/>
      </c>
      <c r="H3680">
        <f>IF(B3680,SQRT(-2*LN(F3680))*COS(2*PI()*G3680),"")</f>
        <v/>
      </c>
      <c r="I3680">
        <f>IF(B3680,IF(D3680=0,H3680,Rho*I3679+SQRT(1-Rho^2)*H3680),"")</f>
        <v/>
      </c>
      <c r="J3680">
        <f>IF(B3680,IF(Dist="Normal",DistA+DistB*I3680,DistA+(DistB-DistA)*NORMSDIST(I3680)),"")</f>
        <v/>
      </c>
      <c r="K3680">
        <f>IF(B3680,INDEX(MineScale,C3680),"")</f>
        <v/>
      </c>
      <c r="L3680">
        <f>IF(B3680,INDEX(Dow,1,WEEKDAY(E3680,2)),"")</f>
        <v/>
      </c>
      <c r="M3680">
        <f>IF(B3680,(1+Trend)^D3680,"")</f>
        <v/>
      </c>
      <c r="N3680">
        <f>IF(B3680,EXP(SUMPRODUCT(LN(1+(EvEff-1)*INDEX(Affected,0,C3680)*EXP(-((E3680-EvCenter)^2)/(2*EvSigma^2))))),"")</f>
        <v/>
      </c>
      <c r="O3680">
        <f>IF(B3680,ROUND(MAX(0,J3680*K3680*L3680*M3680*N3680),2),"")</f>
        <v/>
      </c>
    </row>
    <row r="3681">
      <c r="A3681" t="n">
        <v>3680</v>
      </c>
      <c r="B3681">
        <f>A3681&lt;=MineCount*Days</f>
        <v/>
      </c>
      <c r="C3681">
        <f>IF(B3681,INT((A3681-1)/Days)+1,"")</f>
        <v/>
      </c>
      <c r="D3681">
        <f>IF(B3681,MOD(A3681-1,Days),"")</f>
        <v/>
      </c>
      <c r="E3681" s="16">
        <f>IF(B3681,StartDate+D3681,"")</f>
        <v/>
      </c>
      <c r="F3681">
        <f>IF(B3681,MAX(MOD(SIN(Seed*0.1373+C3681*12.9898+D3681*78.233)*43758.5453,1),1E-9),"")</f>
        <v/>
      </c>
      <c r="G3681">
        <f>IF(B3681,MOD(SIN(Seed*0.5917+C3681*39.3468+D3681*11.135)*24634.6345,1),"")</f>
        <v/>
      </c>
      <c r="H3681">
        <f>IF(B3681,SQRT(-2*LN(F3681))*COS(2*PI()*G3681),"")</f>
        <v/>
      </c>
      <c r="I3681">
        <f>IF(B3681,IF(D3681=0,H3681,Rho*I3680+SQRT(1-Rho^2)*H3681),"")</f>
        <v/>
      </c>
      <c r="J3681">
        <f>IF(B3681,IF(Dist="Normal",DistA+DistB*I3681,DistA+(DistB-DistA)*NORMSDIST(I3681)),"")</f>
        <v/>
      </c>
      <c r="K3681">
        <f>IF(B3681,INDEX(MineScale,C3681),"")</f>
        <v/>
      </c>
      <c r="L3681">
        <f>IF(B3681,INDEX(Dow,1,WEEKDAY(E3681,2)),"")</f>
        <v/>
      </c>
      <c r="M3681">
        <f>IF(B3681,(1+Trend)^D3681,"")</f>
        <v/>
      </c>
      <c r="N3681">
        <f>IF(B3681,EXP(SUMPRODUCT(LN(1+(EvEff-1)*INDEX(Affected,0,C3681)*EXP(-((E3681-EvCenter)^2)/(2*EvSigma^2))))),"")</f>
        <v/>
      </c>
      <c r="O3681">
        <f>IF(B3681,ROUND(MAX(0,J3681*K3681*L3681*M3681*N3681),2),"")</f>
        <v/>
      </c>
    </row>
    <row r="3682">
      <c r="A3682" t="n">
        <v>3681</v>
      </c>
      <c r="B3682">
        <f>A3682&lt;=MineCount*Days</f>
        <v/>
      </c>
      <c r="C3682">
        <f>IF(B3682,INT((A3682-1)/Days)+1,"")</f>
        <v/>
      </c>
      <c r="D3682">
        <f>IF(B3682,MOD(A3682-1,Days),"")</f>
        <v/>
      </c>
      <c r="E3682" s="16">
        <f>IF(B3682,StartDate+D3682,"")</f>
        <v/>
      </c>
      <c r="F3682">
        <f>IF(B3682,MAX(MOD(SIN(Seed*0.1373+C3682*12.9898+D3682*78.233)*43758.5453,1),1E-9),"")</f>
        <v/>
      </c>
      <c r="G3682">
        <f>IF(B3682,MOD(SIN(Seed*0.5917+C3682*39.3468+D3682*11.135)*24634.6345,1),"")</f>
        <v/>
      </c>
      <c r="H3682">
        <f>IF(B3682,SQRT(-2*LN(F3682))*COS(2*PI()*G3682),"")</f>
        <v/>
      </c>
      <c r="I3682">
        <f>IF(B3682,IF(D3682=0,H3682,Rho*I3681+SQRT(1-Rho^2)*H3682),"")</f>
        <v/>
      </c>
      <c r="J3682">
        <f>IF(B3682,IF(Dist="Normal",DistA+DistB*I3682,DistA+(DistB-DistA)*NORMSDIST(I3682)),"")</f>
        <v/>
      </c>
      <c r="K3682">
        <f>IF(B3682,INDEX(MineScale,C3682),"")</f>
        <v/>
      </c>
      <c r="L3682">
        <f>IF(B3682,INDEX(Dow,1,WEEKDAY(E3682,2)),"")</f>
        <v/>
      </c>
      <c r="M3682">
        <f>IF(B3682,(1+Trend)^D3682,"")</f>
        <v/>
      </c>
      <c r="N3682">
        <f>IF(B3682,EXP(SUMPRODUCT(LN(1+(EvEff-1)*INDEX(Affected,0,C3682)*EXP(-((E3682-EvCenter)^2)/(2*EvSigma^2))))),"")</f>
        <v/>
      </c>
      <c r="O3682">
        <f>IF(B3682,ROUND(MAX(0,J3682*K3682*L3682*M3682*N3682),2),"")</f>
        <v/>
      </c>
    </row>
    <row r="3683">
      <c r="A3683" t="n">
        <v>3682</v>
      </c>
      <c r="B3683">
        <f>A3683&lt;=MineCount*Days</f>
        <v/>
      </c>
      <c r="C3683">
        <f>IF(B3683,INT((A3683-1)/Days)+1,"")</f>
        <v/>
      </c>
      <c r="D3683">
        <f>IF(B3683,MOD(A3683-1,Days),"")</f>
        <v/>
      </c>
      <c r="E3683" s="16">
        <f>IF(B3683,StartDate+D3683,"")</f>
        <v/>
      </c>
      <c r="F3683">
        <f>IF(B3683,MAX(MOD(SIN(Seed*0.1373+C3683*12.9898+D3683*78.233)*43758.5453,1),1E-9),"")</f>
        <v/>
      </c>
      <c r="G3683">
        <f>IF(B3683,MOD(SIN(Seed*0.5917+C3683*39.3468+D3683*11.135)*24634.6345,1),"")</f>
        <v/>
      </c>
      <c r="H3683">
        <f>IF(B3683,SQRT(-2*LN(F3683))*COS(2*PI()*G3683),"")</f>
        <v/>
      </c>
      <c r="I3683">
        <f>IF(B3683,IF(D3683=0,H3683,Rho*I3682+SQRT(1-Rho^2)*H3683),"")</f>
        <v/>
      </c>
      <c r="J3683">
        <f>IF(B3683,IF(Dist="Normal",DistA+DistB*I3683,DistA+(DistB-DistA)*NORMSDIST(I3683)),"")</f>
        <v/>
      </c>
      <c r="K3683">
        <f>IF(B3683,INDEX(MineScale,C3683),"")</f>
        <v/>
      </c>
      <c r="L3683">
        <f>IF(B3683,INDEX(Dow,1,WEEKDAY(E3683,2)),"")</f>
        <v/>
      </c>
      <c r="M3683">
        <f>IF(B3683,(1+Trend)^D3683,"")</f>
        <v/>
      </c>
      <c r="N3683">
        <f>IF(B3683,EXP(SUMPRODUCT(LN(1+(EvEff-1)*INDEX(Affected,0,C3683)*EXP(-((E3683-EvCenter)^2)/(2*EvSigma^2))))),"")</f>
        <v/>
      </c>
      <c r="O3683">
        <f>IF(B3683,ROUND(MAX(0,J3683*K3683*L3683*M3683*N3683),2),"")</f>
        <v/>
      </c>
    </row>
    <row r="3684">
      <c r="A3684" t="n">
        <v>3683</v>
      </c>
      <c r="B3684">
        <f>A3684&lt;=MineCount*Days</f>
        <v/>
      </c>
      <c r="C3684">
        <f>IF(B3684,INT((A3684-1)/Days)+1,"")</f>
        <v/>
      </c>
      <c r="D3684">
        <f>IF(B3684,MOD(A3684-1,Days),"")</f>
        <v/>
      </c>
      <c r="E3684" s="16">
        <f>IF(B3684,StartDate+D3684,"")</f>
        <v/>
      </c>
      <c r="F3684">
        <f>IF(B3684,MAX(MOD(SIN(Seed*0.1373+C3684*12.9898+D3684*78.233)*43758.5453,1),1E-9),"")</f>
        <v/>
      </c>
      <c r="G3684">
        <f>IF(B3684,MOD(SIN(Seed*0.5917+C3684*39.3468+D3684*11.135)*24634.6345,1),"")</f>
        <v/>
      </c>
      <c r="H3684">
        <f>IF(B3684,SQRT(-2*LN(F3684))*COS(2*PI()*G3684),"")</f>
        <v/>
      </c>
      <c r="I3684">
        <f>IF(B3684,IF(D3684=0,H3684,Rho*I3683+SQRT(1-Rho^2)*H3684),"")</f>
        <v/>
      </c>
      <c r="J3684">
        <f>IF(B3684,IF(Dist="Normal",DistA+DistB*I3684,DistA+(DistB-DistA)*NORMSDIST(I3684)),"")</f>
        <v/>
      </c>
      <c r="K3684">
        <f>IF(B3684,INDEX(MineScale,C3684),"")</f>
        <v/>
      </c>
      <c r="L3684">
        <f>IF(B3684,INDEX(Dow,1,WEEKDAY(E3684,2)),"")</f>
        <v/>
      </c>
      <c r="M3684">
        <f>IF(B3684,(1+Trend)^D3684,"")</f>
        <v/>
      </c>
      <c r="N3684">
        <f>IF(B3684,EXP(SUMPRODUCT(LN(1+(EvEff-1)*INDEX(Affected,0,C3684)*EXP(-((E3684-EvCenter)^2)/(2*EvSigma^2))))),"")</f>
        <v/>
      </c>
      <c r="O3684">
        <f>IF(B3684,ROUND(MAX(0,J3684*K3684*L3684*M3684*N3684),2),"")</f>
        <v/>
      </c>
    </row>
    <row r="3685">
      <c r="A3685" t="n">
        <v>3684</v>
      </c>
      <c r="B3685">
        <f>A3685&lt;=MineCount*Days</f>
        <v/>
      </c>
      <c r="C3685">
        <f>IF(B3685,INT((A3685-1)/Days)+1,"")</f>
        <v/>
      </c>
      <c r="D3685">
        <f>IF(B3685,MOD(A3685-1,Days),"")</f>
        <v/>
      </c>
      <c r="E3685" s="16">
        <f>IF(B3685,StartDate+D3685,"")</f>
        <v/>
      </c>
      <c r="F3685">
        <f>IF(B3685,MAX(MOD(SIN(Seed*0.1373+C3685*12.9898+D3685*78.233)*43758.5453,1),1E-9),"")</f>
        <v/>
      </c>
      <c r="G3685">
        <f>IF(B3685,MOD(SIN(Seed*0.5917+C3685*39.3468+D3685*11.135)*24634.6345,1),"")</f>
        <v/>
      </c>
      <c r="H3685">
        <f>IF(B3685,SQRT(-2*LN(F3685))*COS(2*PI()*G3685),"")</f>
        <v/>
      </c>
      <c r="I3685">
        <f>IF(B3685,IF(D3685=0,H3685,Rho*I3684+SQRT(1-Rho^2)*H3685),"")</f>
        <v/>
      </c>
      <c r="J3685">
        <f>IF(B3685,IF(Dist="Normal",DistA+DistB*I3685,DistA+(DistB-DistA)*NORMSDIST(I3685)),"")</f>
        <v/>
      </c>
      <c r="K3685">
        <f>IF(B3685,INDEX(MineScale,C3685),"")</f>
        <v/>
      </c>
      <c r="L3685">
        <f>IF(B3685,INDEX(Dow,1,WEEKDAY(E3685,2)),"")</f>
        <v/>
      </c>
      <c r="M3685">
        <f>IF(B3685,(1+Trend)^D3685,"")</f>
        <v/>
      </c>
      <c r="N3685">
        <f>IF(B3685,EXP(SUMPRODUCT(LN(1+(EvEff-1)*INDEX(Affected,0,C3685)*EXP(-((E3685-EvCenter)^2)/(2*EvSigma^2))))),"")</f>
        <v/>
      </c>
      <c r="O3685">
        <f>IF(B3685,ROUND(MAX(0,J3685*K3685*L3685*M3685*N3685),2),"")</f>
        <v/>
      </c>
    </row>
    <row r="3686">
      <c r="A3686" t="n">
        <v>3685</v>
      </c>
      <c r="B3686">
        <f>A3686&lt;=MineCount*Days</f>
        <v/>
      </c>
      <c r="C3686">
        <f>IF(B3686,INT((A3686-1)/Days)+1,"")</f>
        <v/>
      </c>
      <c r="D3686">
        <f>IF(B3686,MOD(A3686-1,Days),"")</f>
        <v/>
      </c>
      <c r="E3686" s="16">
        <f>IF(B3686,StartDate+D3686,"")</f>
        <v/>
      </c>
      <c r="F3686">
        <f>IF(B3686,MAX(MOD(SIN(Seed*0.1373+C3686*12.9898+D3686*78.233)*43758.5453,1),1E-9),"")</f>
        <v/>
      </c>
      <c r="G3686">
        <f>IF(B3686,MOD(SIN(Seed*0.5917+C3686*39.3468+D3686*11.135)*24634.6345,1),"")</f>
        <v/>
      </c>
      <c r="H3686">
        <f>IF(B3686,SQRT(-2*LN(F3686))*COS(2*PI()*G3686),"")</f>
        <v/>
      </c>
      <c r="I3686">
        <f>IF(B3686,IF(D3686=0,H3686,Rho*I3685+SQRT(1-Rho^2)*H3686),"")</f>
        <v/>
      </c>
      <c r="J3686">
        <f>IF(B3686,IF(Dist="Normal",DistA+DistB*I3686,DistA+(DistB-DistA)*NORMSDIST(I3686)),"")</f>
        <v/>
      </c>
      <c r="K3686">
        <f>IF(B3686,INDEX(MineScale,C3686),"")</f>
        <v/>
      </c>
      <c r="L3686">
        <f>IF(B3686,INDEX(Dow,1,WEEKDAY(E3686,2)),"")</f>
        <v/>
      </c>
      <c r="M3686">
        <f>IF(B3686,(1+Trend)^D3686,"")</f>
        <v/>
      </c>
      <c r="N3686">
        <f>IF(B3686,EXP(SUMPRODUCT(LN(1+(EvEff-1)*INDEX(Affected,0,C3686)*EXP(-((E3686-EvCenter)^2)/(2*EvSigma^2))))),"")</f>
        <v/>
      </c>
      <c r="O3686">
        <f>IF(B3686,ROUND(MAX(0,J3686*K3686*L3686*M3686*N3686),2),"")</f>
        <v/>
      </c>
    </row>
    <row r="3687">
      <c r="A3687" t="n">
        <v>3686</v>
      </c>
      <c r="B3687">
        <f>A3687&lt;=MineCount*Days</f>
        <v/>
      </c>
      <c r="C3687">
        <f>IF(B3687,INT((A3687-1)/Days)+1,"")</f>
        <v/>
      </c>
      <c r="D3687">
        <f>IF(B3687,MOD(A3687-1,Days),"")</f>
        <v/>
      </c>
      <c r="E3687" s="16">
        <f>IF(B3687,StartDate+D3687,"")</f>
        <v/>
      </c>
      <c r="F3687">
        <f>IF(B3687,MAX(MOD(SIN(Seed*0.1373+C3687*12.9898+D3687*78.233)*43758.5453,1),1E-9),"")</f>
        <v/>
      </c>
      <c r="G3687">
        <f>IF(B3687,MOD(SIN(Seed*0.5917+C3687*39.3468+D3687*11.135)*24634.6345,1),"")</f>
        <v/>
      </c>
      <c r="H3687">
        <f>IF(B3687,SQRT(-2*LN(F3687))*COS(2*PI()*G3687),"")</f>
        <v/>
      </c>
      <c r="I3687">
        <f>IF(B3687,IF(D3687=0,H3687,Rho*I3686+SQRT(1-Rho^2)*H3687),"")</f>
        <v/>
      </c>
      <c r="J3687">
        <f>IF(B3687,IF(Dist="Normal",DistA+DistB*I3687,DistA+(DistB-DistA)*NORMSDIST(I3687)),"")</f>
        <v/>
      </c>
      <c r="K3687">
        <f>IF(B3687,INDEX(MineScale,C3687),"")</f>
        <v/>
      </c>
      <c r="L3687">
        <f>IF(B3687,INDEX(Dow,1,WEEKDAY(E3687,2)),"")</f>
        <v/>
      </c>
      <c r="M3687">
        <f>IF(B3687,(1+Trend)^D3687,"")</f>
        <v/>
      </c>
      <c r="N3687">
        <f>IF(B3687,EXP(SUMPRODUCT(LN(1+(EvEff-1)*INDEX(Affected,0,C3687)*EXP(-((E3687-EvCenter)^2)/(2*EvSigma^2))))),"")</f>
        <v/>
      </c>
      <c r="O3687">
        <f>IF(B3687,ROUND(MAX(0,J3687*K3687*L3687*M3687*N3687),2),"")</f>
        <v/>
      </c>
    </row>
    <row r="3688">
      <c r="A3688" t="n">
        <v>3687</v>
      </c>
      <c r="B3688">
        <f>A3688&lt;=MineCount*Days</f>
        <v/>
      </c>
      <c r="C3688">
        <f>IF(B3688,INT((A3688-1)/Days)+1,"")</f>
        <v/>
      </c>
      <c r="D3688">
        <f>IF(B3688,MOD(A3688-1,Days),"")</f>
        <v/>
      </c>
      <c r="E3688" s="16">
        <f>IF(B3688,StartDate+D3688,"")</f>
        <v/>
      </c>
      <c r="F3688">
        <f>IF(B3688,MAX(MOD(SIN(Seed*0.1373+C3688*12.9898+D3688*78.233)*43758.5453,1),1E-9),"")</f>
        <v/>
      </c>
      <c r="G3688">
        <f>IF(B3688,MOD(SIN(Seed*0.5917+C3688*39.3468+D3688*11.135)*24634.6345,1),"")</f>
        <v/>
      </c>
      <c r="H3688">
        <f>IF(B3688,SQRT(-2*LN(F3688))*COS(2*PI()*G3688),"")</f>
        <v/>
      </c>
      <c r="I3688">
        <f>IF(B3688,IF(D3688=0,H3688,Rho*I3687+SQRT(1-Rho^2)*H3688),"")</f>
        <v/>
      </c>
      <c r="J3688">
        <f>IF(B3688,IF(Dist="Normal",DistA+DistB*I3688,DistA+(DistB-DistA)*NORMSDIST(I3688)),"")</f>
        <v/>
      </c>
      <c r="K3688">
        <f>IF(B3688,INDEX(MineScale,C3688),"")</f>
        <v/>
      </c>
      <c r="L3688">
        <f>IF(B3688,INDEX(Dow,1,WEEKDAY(E3688,2)),"")</f>
        <v/>
      </c>
      <c r="M3688">
        <f>IF(B3688,(1+Trend)^D3688,"")</f>
        <v/>
      </c>
      <c r="N3688">
        <f>IF(B3688,EXP(SUMPRODUCT(LN(1+(EvEff-1)*INDEX(Affected,0,C3688)*EXP(-((E3688-EvCenter)^2)/(2*EvSigma^2))))),"")</f>
        <v/>
      </c>
      <c r="O3688">
        <f>IF(B3688,ROUND(MAX(0,J3688*K3688*L3688*M3688*N3688),2),"")</f>
        <v/>
      </c>
    </row>
    <row r="3689">
      <c r="A3689" t="n">
        <v>3688</v>
      </c>
      <c r="B3689">
        <f>A3689&lt;=MineCount*Days</f>
        <v/>
      </c>
      <c r="C3689">
        <f>IF(B3689,INT((A3689-1)/Days)+1,"")</f>
        <v/>
      </c>
      <c r="D3689">
        <f>IF(B3689,MOD(A3689-1,Days),"")</f>
        <v/>
      </c>
      <c r="E3689" s="16">
        <f>IF(B3689,StartDate+D3689,"")</f>
        <v/>
      </c>
      <c r="F3689">
        <f>IF(B3689,MAX(MOD(SIN(Seed*0.1373+C3689*12.9898+D3689*78.233)*43758.5453,1),1E-9),"")</f>
        <v/>
      </c>
      <c r="G3689">
        <f>IF(B3689,MOD(SIN(Seed*0.5917+C3689*39.3468+D3689*11.135)*24634.6345,1),"")</f>
        <v/>
      </c>
      <c r="H3689">
        <f>IF(B3689,SQRT(-2*LN(F3689))*COS(2*PI()*G3689),"")</f>
        <v/>
      </c>
      <c r="I3689">
        <f>IF(B3689,IF(D3689=0,H3689,Rho*I3688+SQRT(1-Rho^2)*H3689),"")</f>
        <v/>
      </c>
      <c r="J3689">
        <f>IF(B3689,IF(Dist="Normal",DistA+DistB*I3689,DistA+(DistB-DistA)*NORMSDIST(I3689)),"")</f>
        <v/>
      </c>
      <c r="K3689">
        <f>IF(B3689,INDEX(MineScale,C3689),"")</f>
        <v/>
      </c>
      <c r="L3689">
        <f>IF(B3689,INDEX(Dow,1,WEEKDAY(E3689,2)),"")</f>
        <v/>
      </c>
      <c r="M3689">
        <f>IF(B3689,(1+Trend)^D3689,"")</f>
        <v/>
      </c>
      <c r="N3689">
        <f>IF(B3689,EXP(SUMPRODUCT(LN(1+(EvEff-1)*INDEX(Affected,0,C3689)*EXP(-((E3689-EvCenter)^2)/(2*EvSigma^2))))),"")</f>
        <v/>
      </c>
      <c r="O3689">
        <f>IF(B3689,ROUND(MAX(0,J3689*K3689*L3689*M3689*N3689),2),"")</f>
        <v/>
      </c>
    </row>
    <row r="3690">
      <c r="A3690" t="n">
        <v>3689</v>
      </c>
      <c r="B3690">
        <f>A3690&lt;=MineCount*Days</f>
        <v/>
      </c>
      <c r="C3690">
        <f>IF(B3690,INT((A3690-1)/Days)+1,"")</f>
        <v/>
      </c>
      <c r="D3690">
        <f>IF(B3690,MOD(A3690-1,Days),"")</f>
        <v/>
      </c>
      <c r="E3690" s="16">
        <f>IF(B3690,StartDate+D3690,"")</f>
        <v/>
      </c>
      <c r="F3690">
        <f>IF(B3690,MAX(MOD(SIN(Seed*0.1373+C3690*12.9898+D3690*78.233)*43758.5453,1),1E-9),"")</f>
        <v/>
      </c>
      <c r="G3690">
        <f>IF(B3690,MOD(SIN(Seed*0.5917+C3690*39.3468+D3690*11.135)*24634.6345,1),"")</f>
        <v/>
      </c>
      <c r="H3690">
        <f>IF(B3690,SQRT(-2*LN(F3690))*COS(2*PI()*G3690),"")</f>
        <v/>
      </c>
      <c r="I3690">
        <f>IF(B3690,IF(D3690=0,H3690,Rho*I3689+SQRT(1-Rho^2)*H3690),"")</f>
        <v/>
      </c>
      <c r="J3690">
        <f>IF(B3690,IF(Dist="Normal",DistA+DistB*I3690,DistA+(DistB-DistA)*NORMSDIST(I3690)),"")</f>
        <v/>
      </c>
      <c r="K3690">
        <f>IF(B3690,INDEX(MineScale,C3690),"")</f>
        <v/>
      </c>
      <c r="L3690">
        <f>IF(B3690,INDEX(Dow,1,WEEKDAY(E3690,2)),"")</f>
        <v/>
      </c>
      <c r="M3690">
        <f>IF(B3690,(1+Trend)^D3690,"")</f>
        <v/>
      </c>
      <c r="N3690">
        <f>IF(B3690,EXP(SUMPRODUCT(LN(1+(EvEff-1)*INDEX(Affected,0,C3690)*EXP(-((E3690-EvCenter)^2)/(2*EvSigma^2))))),"")</f>
        <v/>
      </c>
      <c r="O3690">
        <f>IF(B3690,ROUND(MAX(0,J3690*K3690*L3690*M3690*N3690),2),"")</f>
        <v/>
      </c>
    </row>
    <row r="3691">
      <c r="A3691" t="n">
        <v>3690</v>
      </c>
      <c r="B3691">
        <f>A3691&lt;=MineCount*Days</f>
        <v/>
      </c>
      <c r="C3691">
        <f>IF(B3691,INT((A3691-1)/Days)+1,"")</f>
        <v/>
      </c>
      <c r="D3691">
        <f>IF(B3691,MOD(A3691-1,Days),"")</f>
        <v/>
      </c>
      <c r="E3691" s="16">
        <f>IF(B3691,StartDate+D3691,"")</f>
        <v/>
      </c>
      <c r="F3691">
        <f>IF(B3691,MAX(MOD(SIN(Seed*0.1373+C3691*12.9898+D3691*78.233)*43758.5453,1),1E-9),"")</f>
        <v/>
      </c>
      <c r="G3691">
        <f>IF(B3691,MOD(SIN(Seed*0.5917+C3691*39.3468+D3691*11.135)*24634.6345,1),"")</f>
        <v/>
      </c>
      <c r="H3691">
        <f>IF(B3691,SQRT(-2*LN(F3691))*COS(2*PI()*G3691),"")</f>
        <v/>
      </c>
      <c r="I3691">
        <f>IF(B3691,IF(D3691=0,H3691,Rho*I3690+SQRT(1-Rho^2)*H3691),"")</f>
        <v/>
      </c>
      <c r="J3691">
        <f>IF(B3691,IF(Dist="Normal",DistA+DistB*I3691,DistA+(DistB-DistA)*NORMSDIST(I3691)),"")</f>
        <v/>
      </c>
      <c r="K3691">
        <f>IF(B3691,INDEX(MineScale,C3691),"")</f>
        <v/>
      </c>
      <c r="L3691">
        <f>IF(B3691,INDEX(Dow,1,WEEKDAY(E3691,2)),"")</f>
        <v/>
      </c>
      <c r="M3691">
        <f>IF(B3691,(1+Trend)^D3691,"")</f>
        <v/>
      </c>
      <c r="N3691">
        <f>IF(B3691,EXP(SUMPRODUCT(LN(1+(EvEff-1)*INDEX(Affected,0,C3691)*EXP(-((E3691-EvCenter)^2)/(2*EvSigma^2))))),"")</f>
        <v/>
      </c>
      <c r="O3691">
        <f>IF(B3691,ROUND(MAX(0,J3691*K3691*L3691*M3691*N3691),2),"")</f>
        <v/>
      </c>
    </row>
    <row r="3692">
      <c r="A3692" t="n">
        <v>3691</v>
      </c>
      <c r="B3692">
        <f>A3692&lt;=MineCount*Days</f>
        <v/>
      </c>
      <c r="C3692">
        <f>IF(B3692,INT((A3692-1)/Days)+1,"")</f>
        <v/>
      </c>
      <c r="D3692">
        <f>IF(B3692,MOD(A3692-1,Days),"")</f>
        <v/>
      </c>
      <c r="E3692" s="16">
        <f>IF(B3692,StartDate+D3692,"")</f>
        <v/>
      </c>
      <c r="F3692">
        <f>IF(B3692,MAX(MOD(SIN(Seed*0.1373+C3692*12.9898+D3692*78.233)*43758.5453,1),1E-9),"")</f>
        <v/>
      </c>
      <c r="G3692">
        <f>IF(B3692,MOD(SIN(Seed*0.5917+C3692*39.3468+D3692*11.135)*24634.6345,1),"")</f>
        <v/>
      </c>
      <c r="H3692">
        <f>IF(B3692,SQRT(-2*LN(F3692))*COS(2*PI()*G3692),"")</f>
        <v/>
      </c>
      <c r="I3692">
        <f>IF(B3692,IF(D3692=0,H3692,Rho*I3691+SQRT(1-Rho^2)*H3692),"")</f>
        <v/>
      </c>
      <c r="J3692">
        <f>IF(B3692,IF(Dist="Normal",DistA+DistB*I3692,DistA+(DistB-DistA)*NORMSDIST(I3692)),"")</f>
        <v/>
      </c>
      <c r="K3692">
        <f>IF(B3692,INDEX(MineScale,C3692),"")</f>
        <v/>
      </c>
      <c r="L3692">
        <f>IF(B3692,INDEX(Dow,1,WEEKDAY(E3692,2)),"")</f>
        <v/>
      </c>
      <c r="M3692">
        <f>IF(B3692,(1+Trend)^D3692,"")</f>
        <v/>
      </c>
      <c r="N3692">
        <f>IF(B3692,EXP(SUMPRODUCT(LN(1+(EvEff-1)*INDEX(Affected,0,C3692)*EXP(-((E3692-EvCenter)^2)/(2*EvSigma^2))))),"")</f>
        <v/>
      </c>
      <c r="O3692">
        <f>IF(B3692,ROUND(MAX(0,J3692*K3692*L3692*M3692*N3692),2),"")</f>
        <v/>
      </c>
    </row>
    <row r="3693">
      <c r="A3693" t="n">
        <v>3692</v>
      </c>
      <c r="B3693">
        <f>A3693&lt;=MineCount*Days</f>
        <v/>
      </c>
      <c r="C3693">
        <f>IF(B3693,INT((A3693-1)/Days)+1,"")</f>
        <v/>
      </c>
      <c r="D3693">
        <f>IF(B3693,MOD(A3693-1,Days),"")</f>
        <v/>
      </c>
      <c r="E3693" s="16">
        <f>IF(B3693,StartDate+D3693,"")</f>
        <v/>
      </c>
      <c r="F3693">
        <f>IF(B3693,MAX(MOD(SIN(Seed*0.1373+C3693*12.9898+D3693*78.233)*43758.5453,1),1E-9),"")</f>
        <v/>
      </c>
      <c r="G3693">
        <f>IF(B3693,MOD(SIN(Seed*0.5917+C3693*39.3468+D3693*11.135)*24634.6345,1),"")</f>
        <v/>
      </c>
      <c r="H3693">
        <f>IF(B3693,SQRT(-2*LN(F3693))*COS(2*PI()*G3693),"")</f>
        <v/>
      </c>
      <c r="I3693">
        <f>IF(B3693,IF(D3693=0,H3693,Rho*I3692+SQRT(1-Rho^2)*H3693),"")</f>
        <v/>
      </c>
      <c r="J3693">
        <f>IF(B3693,IF(Dist="Normal",DistA+DistB*I3693,DistA+(DistB-DistA)*NORMSDIST(I3693)),"")</f>
        <v/>
      </c>
      <c r="K3693">
        <f>IF(B3693,INDEX(MineScale,C3693),"")</f>
        <v/>
      </c>
      <c r="L3693">
        <f>IF(B3693,INDEX(Dow,1,WEEKDAY(E3693,2)),"")</f>
        <v/>
      </c>
      <c r="M3693">
        <f>IF(B3693,(1+Trend)^D3693,"")</f>
        <v/>
      </c>
      <c r="N3693">
        <f>IF(B3693,EXP(SUMPRODUCT(LN(1+(EvEff-1)*INDEX(Affected,0,C3693)*EXP(-((E3693-EvCenter)^2)/(2*EvSigma^2))))),"")</f>
        <v/>
      </c>
      <c r="O3693">
        <f>IF(B3693,ROUND(MAX(0,J3693*K3693*L3693*M3693*N3693),2),"")</f>
        <v/>
      </c>
    </row>
    <row r="3694">
      <c r="A3694" t="n">
        <v>3693</v>
      </c>
      <c r="B3694">
        <f>A3694&lt;=MineCount*Days</f>
        <v/>
      </c>
      <c r="C3694">
        <f>IF(B3694,INT((A3694-1)/Days)+1,"")</f>
        <v/>
      </c>
      <c r="D3694">
        <f>IF(B3694,MOD(A3694-1,Days),"")</f>
        <v/>
      </c>
      <c r="E3694" s="16">
        <f>IF(B3694,StartDate+D3694,"")</f>
        <v/>
      </c>
      <c r="F3694">
        <f>IF(B3694,MAX(MOD(SIN(Seed*0.1373+C3694*12.9898+D3694*78.233)*43758.5453,1),1E-9),"")</f>
        <v/>
      </c>
      <c r="G3694">
        <f>IF(B3694,MOD(SIN(Seed*0.5917+C3694*39.3468+D3694*11.135)*24634.6345,1),"")</f>
        <v/>
      </c>
      <c r="H3694">
        <f>IF(B3694,SQRT(-2*LN(F3694))*COS(2*PI()*G3694),"")</f>
        <v/>
      </c>
      <c r="I3694">
        <f>IF(B3694,IF(D3694=0,H3694,Rho*I3693+SQRT(1-Rho^2)*H3694),"")</f>
        <v/>
      </c>
      <c r="J3694">
        <f>IF(B3694,IF(Dist="Normal",DistA+DistB*I3694,DistA+(DistB-DistA)*NORMSDIST(I3694)),"")</f>
        <v/>
      </c>
      <c r="K3694">
        <f>IF(B3694,INDEX(MineScale,C3694),"")</f>
        <v/>
      </c>
      <c r="L3694">
        <f>IF(B3694,INDEX(Dow,1,WEEKDAY(E3694,2)),"")</f>
        <v/>
      </c>
      <c r="M3694">
        <f>IF(B3694,(1+Trend)^D3694,"")</f>
        <v/>
      </c>
      <c r="N3694">
        <f>IF(B3694,EXP(SUMPRODUCT(LN(1+(EvEff-1)*INDEX(Affected,0,C3694)*EXP(-((E3694-EvCenter)^2)/(2*EvSigma^2))))),"")</f>
        <v/>
      </c>
      <c r="O3694">
        <f>IF(B3694,ROUND(MAX(0,J3694*K3694*L3694*M3694*N3694),2),"")</f>
        <v/>
      </c>
    </row>
    <row r="3695">
      <c r="A3695" t="n">
        <v>3694</v>
      </c>
      <c r="B3695">
        <f>A3695&lt;=MineCount*Days</f>
        <v/>
      </c>
      <c r="C3695">
        <f>IF(B3695,INT((A3695-1)/Days)+1,"")</f>
        <v/>
      </c>
      <c r="D3695">
        <f>IF(B3695,MOD(A3695-1,Days),"")</f>
        <v/>
      </c>
      <c r="E3695" s="16">
        <f>IF(B3695,StartDate+D3695,"")</f>
        <v/>
      </c>
      <c r="F3695">
        <f>IF(B3695,MAX(MOD(SIN(Seed*0.1373+C3695*12.9898+D3695*78.233)*43758.5453,1),1E-9),"")</f>
        <v/>
      </c>
      <c r="G3695">
        <f>IF(B3695,MOD(SIN(Seed*0.5917+C3695*39.3468+D3695*11.135)*24634.6345,1),"")</f>
        <v/>
      </c>
      <c r="H3695">
        <f>IF(B3695,SQRT(-2*LN(F3695))*COS(2*PI()*G3695),"")</f>
        <v/>
      </c>
      <c r="I3695">
        <f>IF(B3695,IF(D3695=0,H3695,Rho*I3694+SQRT(1-Rho^2)*H3695),"")</f>
        <v/>
      </c>
      <c r="J3695">
        <f>IF(B3695,IF(Dist="Normal",DistA+DistB*I3695,DistA+(DistB-DistA)*NORMSDIST(I3695)),"")</f>
        <v/>
      </c>
      <c r="K3695">
        <f>IF(B3695,INDEX(MineScale,C3695),"")</f>
        <v/>
      </c>
      <c r="L3695">
        <f>IF(B3695,INDEX(Dow,1,WEEKDAY(E3695,2)),"")</f>
        <v/>
      </c>
      <c r="M3695">
        <f>IF(B3695,(1+Trend)^D3695,"")</f>
        <v/>
      </c>
      <c r="N3695">
        <f>IF(B3695,EXP(SUMPRODUCT(LN(1+(EvEff-1)*INDEX(Affected,0,C3695)*EXP(-((E3695-EvCenter)^2)/(2*EvSigma^2))))),"")</f>
        <v/>
      </c>
      <c r="O3695">
        <f>IF(B3695,ROUND(MAX(0,J3695*K3695*L3695*M3695*N3695),2),"")</f>
        <v/>
      </c>
    </row>
    <row r="3696">
      <c r="A3696" t="n">
        <v>3695</v>
      </c>
      <c r="B3696">
        <f>A3696&lt;=MineCount*Days</f>
        <v/>
      </c>
      <c r="C3696">
        <f>IF(B3696,INT((A3696-1)/Days)+1,"")</f>
        <v/>
      </c>
      <c r="D3696">
        <f>IF(B3696,MOD(A3696-1,Days),"")</f>
        <v/>
      </c>
      <c r="E3696" s="16">
        <f>IF(B3696,StartDate+D3696,"")</f>
        <v/>
      </c>
      <c r="F3696">
        <f>IF(B3696,MAX(MOD(SIN(Seed*0.1373+C3696*12.9898+D3696*78.233)*43758.5453,1),1E-9),"")</f>
        <v/>
      </c>
      <c r="G3696">
        <f>IF(B3696,MOD(SIN(Seed*0.5917+C3696*39.3468+D3696*11.135)*24634.6345,1),"")</f>
        <v/>
      </c>
      <c r="H3696">
        <f>IF(B3696,SQRT(-2*LN(F3696))*COS(2*PI()*G3696),"")</f>
        <v/>
      </c>
      <c r="I3696">
        <f>IF(B3696,IF(D3696=0,H3696,Rho*I3695+SQRT(1-Rho^2)*H3696),"")</f>
        <v/>
      </c>
      <c r="J3696">
        <f>IF(B3696,IF(Dist="Normal",DistA+DistB*I3696,DistA+(DistB-DistA)*NORMSDIST(I3696)),"")</f>
        <v/>
      </c>
      <c r="K3696">
        <f>IF(B3696,INDEX(MineScale,C3696),"")</f>
        <v/>
      </c>
      <c r="L3696">
        <f>IF(B3696,INDEX(Dow,1,WEEKDAY(E3696,2)),"")</f>
        <v/>
      </c>
      <c r="M3696">
        <f>IF(B3696,(1+Trend)^D3696,"")</f>
        <v/>
      </c>
      <c r="N3696">
        <f>IF(B3696,EXP(SUMPRODUCT(LN(1+(EvEff-1)*INDEX(Affected,0,C3696)*EXP(-((E3696-EvCenter)^2)/(2*EvSigma^2))))),"")</f>
        <v/>
      </c>
      <c r="O3696">
        <f>IF(B3696,ROUND(MAX(0,J3696*K3696*L3696*M3696*N3696),2),"")</f>
        <v/>
      </c>
    </row>
    <row r="3697">
      <c r="A3697" t="n">
        <v>3696</v>
      </c>
      <c r="B3697">
        <f>A3697&lt;=MineCount*Days</f>
        <v/>
      </c>
      <c r="C3697">
        <f>IF(B3697,INT((A3697-1)/Days)+1,"")</f>
        <v/>
      </c>
      <c r="D3697">
        <f>IF(B3697,MOD(A3697-1,Days),"")</f>
        <v/>
      </c>
      <c r="E3697" s="16">
        <f>IF(B3697,StartDate+D3697,"")</f>
        <v/>
      </c>
      <c r="F3697">
        <f>IF(B3697,MAX(MOD(SIN(Seed*0.1373+C3697*12.9898+D3697*78.233)*43758.5453,1),1E-9),"")</f>
        <v/>
      </c>
      <c r="G3697">
        <f>IF(B3697,MOD(SIN(Seed*0.5917+C3697*39.3468+D3697*11.135)*24634.6345,1),"")</f>
        <v/>
      </c>
      <c r="H3697">
        <f>IF(B3697,SQRT(-2*LN(F3697))*COS(2*PI()*G3697),"")</f>
        <v/>
      </c>
      <c r="I3697">
        <f>IF(B3697,IF(D3697=0,H3697,Rho*I3696+SQRT(1-Rho^2)*H3697),"")</f>
        <v/>
      </c>
      <c r="J3697">
        <f>IF(B3697,IF(Dist="Normal",DistA+DistB*I3697,DistA+(DistB-DistA)*NORMSDIST(I3697)),"")</f>
        <v/>
      </c>
      <c r="K3697">
        <f>IF(B3697,INDEX(MineScale,C3697),"")</f>
        <v/>
      </c>
      <c r="L3697">
        <f>IF(B3697,INDEX(Dow,1,WEEKDAY(E3697,2)),"")</f>
        <v/>
      </c>
      <c r="M3697">
        <f>IF(B3697,(1+Trend)^D3697,"")</f>
        <v/>
      </c>
      <c r="N3697">
        <f>IF(B3697,EXP(SUMPRODUCT(LN(1+(EvEff-1)*INDEX(Affected,0,C3697)*EXP(-((E3697-EvCenter)^2)/(2*EvSigma^2))))),"")</f>
        <v/>
      </c>
      <c r="O3697">
        <f>IF(B3697,ROUND(MAX(0,J3697*K3697*L3697*M3697*N3697),2),"")</f>
        <v/>
      </c>
    </row>
    <row r="3698">
      <c r="A3698" t="n">
        <v>3697</v>
      </c>
      <c r="B3698">
        <f>A3698&lt;=MineCount*Days</f>
        <v/>
      </c>
      <c r="C3698">
        <f>IF(B3698,INT((A3698-1)/Days)+1,"")</f>
        <v/>
      </c>
      <c r="D3698">
        <f>IF(B3698,MOD(A3698-1,Days),"")</f>
        <v/>
      </c>
      <c r="E3698" s="16">
        <f>IF(B3698,StartDate+D3698,"")</f>
        <v/>
      </c>
      <c r="F3698">
        <f>IF(B3698,MAX(MOD(SIN(Seed*0.1373+C3698*12.9898+D3698*78.233)*43758.5453,1),1E-9),"")</f>
        <v/>
      </c>
      <c r="G3698">
        <f>IF(B3698,MOD(SIN(Seed*0.5917+C3698*39.3468+D3698*11.135)*24634.6345,1),"")</f>
        <v/>
      </c>
      <c r="H3698">
        <f>IF(B3698,SQRT(-2*LN(F3698))*COS(2*PI()*G3698),"")</f>
        <v/>
      </c>
      <c r="I3698">
        <f>IF(B3698,IF(D3698=0,H3698,Rho*I3697+SQRT(1-Rho^2)*H3698),"")</f>
        <v/>
      </c>
      <c r="J3698">
        <f>IF(B3698,IF(Dist="Normal",DistA+DistB*I3698,DistA+(DistB-DistA)*NORMSDIST(I3698)),"")</f>
        <v/>
      </c>
      <c r="K3698">
        <f>IF(B3698,INDEX(MineScale,C3698),"")</f>
        <v/>
      </c>
      <c r="L3698">
        <f>IF(B3698,INDEX(Dow,1,WEEKDAY(E3698,2)),"")</f>
        <v/>
      </c>
      <c r="M3698">
        <f>IF(B3698,(1+Trend)^D3698,"")</f>
        <v/>
      </c>
      <c r="N3698">
        <f>IF(B3698,EXP(SUMPRODUCT(LN(1+(EvEff-1)*INDEX(Affected,0,C3698)*EXP(-((E3698-EvCenter)^2)/(2*EvSigma^2))))),"")</f>
        <v/>
      </c>
      <c r="O3698">
        <f>IF(B3698,ROUND(MAX(0,J3698*K3698*L3698*M3698*N3698),2),"")</f>
        <v/>
      </c>
    </row>
    <row r="3699">
      <c r="A3699" t="n">
        <v>3698</v>
      </c>
      <c r="B3699">
        <f>A3699&lt;=MineCount*Days</f>
        <v/>
      </c>
      <c r="C3699">
        <f>IF(B3699,INT((A3699-1)/Days)+1,"")</f>
        <v/>
      </c>
      <c r="D3699">
        <f>IF(B3699,MOD(A3699-1,Days),"")</f>
        <v/>
      </c>
      <c r="E3699" s="16">
        <f>IF(B3699,StartDate+D3699,"")</f>
        <v/>
      </c>
      <c r="F3699">
        <f>IF(B3699,MAX(MOD(SIN(Seed*0.1373+C3699*12.9898+D3699*78.233)*43758.5453,1),1E-9),"")</f>
        <v/>
      </c>
      <c r="G3699">
        <f>IF(B3699,MOD(SIN(Seed*0.5917+C3699*39.3468+D3699*11.135)*24634.6345,1),"")</f>
        <v/>
      </c>
      <c r="H3699">
        <f>IF(B3699,SQRT(-2*LN(F3699))*COS(2*PI()*G3699),"")</f>
        <v/>
      </c>
      <c r="I3699">
        <f>IF(B3699,IF(D3699=0,H3699,Rho*I3698+SQRT(1-Rho^2)*H3699),"")</f>
        <v/>
      </c>
      <c r="J3699">
        <f>IF(B3699,IF(Dist="Normal",DistA+DistB*I3699,DistA+(DistB-DistA)*NORMSDIST(I3699)),"")</f>
        <v/>
      </c>
      <c r="K3699">
        <f>IF(B3699,INDEX(MineScale,C3699),"")</f>
        <v/>
      </c>
      <c r="L3699">
        <f>IF(B3699,INDEX(Dow,1,WEEKDAY(E3699,2)),"")</f>
        <v/>
      </c>
      <c r="M3699">
        <f>IF(B3699,(1+Trend)^D3699,"")</f>
        <v/>
      </c>
      <c r="N3699">
        <f>IF(B3699,EXP(SUMPRODUCT(LN(1+(EvEff-1)*INDEX(Affected,0,C3699)*EXP(-((E3699-EvCenter)^2)/(2*EvSigma^2))))),"")</f>
        <v/>
      </c>
      <c r="O3699">
        <f>IF(B3699,ROUND(MAX(0,J3699*K3699*L3699*M3699*N3699),2),"")</f>
        <v/>
      </c>
    </row>
    <row r="3700">
      <c r="A3700" t="n">
        <v>3699</v>
      </c>
      <c r="B3700">
        <f>A3700&lt;=MineCount*Days</f>
        <v/>
      </c>
      <c r="C3700">
        <f>IF(B3700,INT((A3700-1)/Days)+1,"")</f>
        <v/>
      </c>
      <c r="D3700">
        <f>IF(B3700,MOD(A3700-1,Days),"")</f>
        <v/>
      </c>
      <c r="E3700" s="16">
        <f>IF(B3700,StartDate+D3700,"")</f>
        <v/>
      </c>
      <c r="F3700">
        <f>IF(B3700,MAX(MOD(SIN(Seed*0.1373+C3700*12.9898+D3700*78.233)*43758.5453,1),1E-9),"")</f>
        <v/>
      </c>
      <c r="G3700">
        <f>IF(B3700,MOD(SIN(Seed*0.5917+C3700*39.3468+D3700*11.135)*24634.6345,1),"")</f>
        <v/>
      </c>
      <c r="H3700">
        <f>IF(B3700,SQRT(-2*LN(F3700))*COS(2*PI()*G3700),"")</f>
        <v/>
      </c>
      <c r="I3700">
        <f>IF(B3700,IF(D3700=0,H3700,Rho*I3699+SQRT(1-Rho^2)*H3700),"")</f>
        <v/>
      </c>
      <c r="J3700">
        <f>IF(B3700,IF(Dist="Normal",DistA+DistB*I3700,DistA+(DistB-DistA)*NORMSDIST(I3700)),"")</f>
        <v/>
      </c>
      <c r="K3700">
        <f>IF(B3700,INDEX(MineScale,C3700),"")</f>
        <v/>
      </c>
      <c r="L3700">
        <f>IF(B3700,INDEX(Dow,1,WEEKDAY(E3700,2)),"")</f>
        <v/>
      </c>
      <c r="M3700">
        <f>IF(B3700,(1+Trend)^D3700,"")</f>
        <v/>
      </c>
      <c r="N3700">
        <f>IF(B3700,EXP(SUMPRODUCT(LN(1+(EvEff-1)*INDEX(Affected,0,C3700)*EXP(-((E3700-EvCenter)^2)/(2*EvSigma^2))))),"")</f>
        <v/>
      </c>
      <c r="O3700">
        <f>IF(B3700,ROUND(MAX(0,J3700*K3700*L3700*M3700*N3700),2),"")</f>
        <v/>
      </c>
    </row>
    <row r="3701">
      <c r="A3701" t="n">
        <v>3700</v>
      </c>
      <c r="B3701">
        <f>A3701&lt;=MineCount*Days</f>
        <v/>
      </c>
      <c r="C3701">
        <f>IF(B3701,INT((A3701-1)/Days)+1,"")</f>
        <v/>
      </c>
      <c r="D3701">
        <f>IF(B3701,MOD(A3701-1,Days),"")</f>
        <v/>
      </c>
      <c r="E3701" s="16">
        <f>IF(B3701,StartDate+D3701,"")</f>
        <v/>
      </c>
      <c r="F3701">
        <f>IF(B3701,MAX(MOD(SIN(Seed*0.1373+C3701*12.9898+D3701*78.233)*43758.5453,1),1E-9),"")</f>
        <v/>
      </c>
      <c r="G3701">
        <f>IF(B3701,MOD(SIN(Seed*0.5917+C3701*39.3468+D3701*11.135)*24634.6345,1),"")</f>
        <v/>
      </c>
      <c r="H3701">
        <f>IF(B3701,SQRT(-2*LN(F3701))*COS(2*PI()*G3701),"")</f>
        <v/>
      </c>
      <c r="I3701">
        <f>IF(B3701,IF(D3701=0,H3701,Rho*I3700+SQRT(1-Rho^2)*H3701),"")</f>
        <v/>
      </c>
      <c r="J3701">
        <f>IF(B3701,IF(Dist="Normal",DistA+DistB*I3701,DistA+(DistB-DistA)*NORMSDIST(I3701)),"")</f>
        <v/>
      </c>
      <c r="K3701">
        <f>IF(B3701,INDEX(MineScale,C3701),"")</f>
        <v/>
      </c>
      <c r="L3701">
        <f>IF(B3701,INDEX(Dow,1,WEEKDAY(E3701,2)),"")</f>
        <v/>
      </c>
      <c r="M3701">
        <f>IF(B3701,(1+Trend)^D3701,"")</f>
        <v/>
      </c>
      <c r="N3701">
        <f>IF(B3701,EXP(SUMPRODUCT(LN(1+(EvEff-1)*INDEX(Affected,0,C3701)*EXP(-((E3701-EvCenter)^2)/(2*EvSigma^2))))),"")</f>
        <v/>
      </c>
      <c r="O3701">
        <f>IF(B3701,ROUND(MAX(0,J3701*K3701*L3701*M3701*N3701),2),"")</f>
        <v/>
      </c>
    </row>
    <row r="3702">
      <c r="A3702" t="n">
        <v>3701</v>
      </c>
      <c r="B3702">
        <f>A3702&lt;=MineCount*Days</f>
        <v/>
      </c>
      <c r="C3702">
        <f>IF(B3702,INT((A3702-1)/Days)+1,"")</f>
        <v/>
      </c>
      <c r="D3702">
        <f>IF(B3702,MOD(A3702-1,Days),"")</f>
        <v/>
      </c>
      <c r="E3702" s="16">
        <f>IF(B3702,StartDate+D3702,"")</f>
        <v/>
      </c>
      <c r="F3702">
        <f>IF(B3702,MAX(MOD(SIN(Seed*0.1373+C3702*12.9898+D3702*78.233)*43758.5453,1),1E-9),"")</f>
        <v/>
      </c>
      <c r="G3702">
        <f>IF(B3702,MOD(SIN(Seed*0.5917+C3702*39.3468+D3702*11.135)*24634.6345,1),"")</f>
        <v/>
      </c>
      <c r="H3702">
        <f>IF(B3702,SQRT(-2*LN(F3702))*COS(2*PI()*G3702),"")</f>
        <v/>
      </c>
      <c r="I3702">
        <f>IF(B3702,IF(D3702=0,H3702,Rho*I3701+SQRT(1-Rho^2)*H3702),"")</f>
        <v/>
      </c>
      <c r="J3702">
        <f>IF(B3702,IF(Dist="Normal",DistA+DistB*I3702,DistA+(DistB-DistA)*NORMSDIST(I3702)),"")</f>
        <v/>
      </c>
      <c r="K3702">
        <f>IF(B3702,INDEX(MineScale,C3702),"")</f>
        <v/>
      </c>
      <c r="L3702">
        <f>IF(B3702,INDEX(Dow,1,WEEKDAY(E3702,2)),"")</f>
        <v/>
      </c>
      <c r="M3702">
        <f>IF(B3702,(1+Trend)^D3702,"")</f>
        <v/>
      </c>
      <c r="N3702">
        <f>IF(B3702,EXP(SUMPRODUCT(LN(1+(EvEff-1)*INDEX(Affected,0,C3702)*EXP(-((E3702-EvCenter)^2)/(2*EvSigma^2))))),"")</f>
        <v/>
      </c>
      <c r="O3702">
        <f>IF(B3702,ROUND(MAX(0,J3702*K3702*L3702*M3702*N3702),2),"")</f>
        <v/>
      </c>
    </row>
    <row r="3703">
      <c r="A3703" t="n">
        <v>3702</v>
      </c>
      <c r="B3703">
        <f>A3703&lt;=MineCount*Days</f>
        <v/>
      </c>
      <c r="C3703">
        <f>IF(B3703,INT((A3703-1)/Days)+1,"")</f>
        <v/>
      </c>
      <c r="D3703">
        <f>IF(B3703,MOD(A3703-1,Days),"")</f>
        <v/>
      </c>
      <c r="E3703" s="16">
        <f>IF(B3703,StartDate+D3703,"")</f>
        <v/>
      </c>
      <c r="F3703">
        <f>IF(B3703,MAX(MOD(SIN(Seed*0.1373+C3703*12.9898+D3703*78.233)*43758.5453,1),1E-9),"")</f>
        <v/>
      </c>
      <c r="G3703">
        <f>IF(B3703,MOD(SIN(Seed*0.5917+C3703*39.3468+D3703*11.135)*24634.6345,1),"")</f>
        <v/>
      </c>
      <c r="H3703">
        <f>IF(B3703,SQRT(-2*LN(F3703))*COS(2*PI()*G3703),"")</f>
        <v/>
      </c>
      <c r="I3703">
        <f>IF(B3703,IF(D3703=0,H3703,Rho*I3702+SQRT(1-Rho^2)*H3703),"")</f>
        <v/>
      </c>
      <c r="J3703">
        <f>IF(B3703,IF(Dist="Normal",DistA+DistB*I3703,DistA+(DistB-DistA)*NORMSDIST(I3703)),"")</f>
        <v/>
      </c>
      <c r="K3703">
        <f>IF(B3703,INDEX(MineScale,C3703),"")</f>
        <v/>
      </c>
      <c r="L3703">
        <f>IF(B3703,INDEX(Dow,1,WEEKDAY(E3703,2)),"")</f>
        <v/>
      </c>
      <c r="M3703">
        <f>IF(B3703,(1+Trend)^D3703,"")</f>
        <v/>
      </c>
      <c r="N3703">
        <f>IF(B3703,EXP(SUMPRODUCT(LN(1+(EvEff-1)*INDEX(Affected,0,C3703)*EXP(-((E3703-EvCenter)^2)/(2*EvSigma^2))))),"")</f>
        <v/>
      </c>
      <c r="O3703">
        <f>IF(B3703,ROUND(MAX(0,J3703*K3703*L3703*M3703*N3703),2),"")</f>
        <v/>
      </c>
    </row>
    <row r="3704">
      <c r="A3704" t="n">
        <v>3703</v>
      </c>
      <c r="B3704">
        <f>A3704&lt;=MineCount*Days</f>
        <v/>
      </c>
      <c r="C3704">
        <f>IF(B3704,INT((A3704-1)/Days)+1,"")</f>
        <v/>
      </c>
      <c r="D3704">
        <f>IF(B3704,MOD(A3704-1,Days),"")</f>
        <v/>
      </c>
      <c r="E3704" s="16">
        <f>IF(B3704,StartDate+D3704,"")</f>
        <v/>
      </c>
      <c r="F3704">
        <f>IF(B3704,MAX(MOD(SIN(Seed*0.1373+C3704*12.9898+D3704*78.233)*43758.5453,1),1E-9),"")</f>
        <v/>
      </c>
      <c r="G3704">
        <f>IF(B3704,MOD(SIN(Seed*0.5917+C3704*39.3468+D3704*11.135)*24634.6345,1),"")</f>
        <v/>
      </c>
      <c r="H3704">
        <f>IF(B3704,SQRT(-2*LN(F3704))*COS(2*PI()*G3704),"")</f>
        <v/>
      </c>
      <c r="I3704">
        <f>IF(B3704,IF(D3704=0,H3704,Rho*I3703+SQRT(1-Rho^2)*H3704),"")</f>
        <v/>
      </c>
      <c r="J3704">
        <f>IF(B3704,IF(Dist="Normal",DistA+DistB*I3704,DistA+(DistB-DistA)*NORMSDIST(I3704)),"")</f>
        <v/>
      </c>
      <c r="K3704">
        <f>IF(B3704,INDEX(MineScale,C3704),"")</f>
        <v/>
      </c>
      <c r="L3704">
        <f>IF(B3704,INDEX(Dow,1,WEEKDAY(E3704,2)),"")</f>
        <v/>
      </c>
      <c r="M3704">
        <f>IF(B3704,(1+Trend)^D3704,"")</f>
        <v/>
      </c>
      <c r="N3704">
        <f>IF(B3704,EXP(SUMPRODUCT(LN(1+(EvEff-1)*INDEX(Affected,0,C3704)*EXP(-((E3704-EvCenter)^2)/(2*EvSigma^2))))),"")</f>
        <v/>
      </c>
      <c r="O3704">
        <f>IF(B3704,ROUND(MAX(0,J3704*K3704*L3704*M3704*N3704),2),"")</f>
        <v/>
      </c>
    </row>
    <row r="3705">
      <c r="A3705" t="n">
        <v>3704</v>
      </c>
      <c r="B3705">
        <f>A3705&lt;=MineCount*Days</f>
        <v/>
      </c>
      <c r="C3705">
        <f>IF(B3705,INT((A3705-1)/Days)+1,"")</f>
        <v/>
      </c>
      <c r="D3705">
        <f>IF(B3705,MOD(A3705-1,Days),"")</f>
        <v/>
      </c>
      <c r="E3705" s="16">
        <f>IF(B3705,StartDate+D3705,"")</f>
        <v/>
      </c>
      <c r="F3705">
        <f>IF(B3705,MAX(MOD(SIN(Seed*0.1373+C3705*12.9898+D3705*78.233)*43758.5453,1),1E-9),"")</f>
        <v/>
      </c>
      <c r="G3705">
        <f>IF(B3705,MOD(SIN(Seed*0.5917+C3705*39.3468+D3705*11.135)*24634.6345,1),"")</f>
        <v/>
      </c>
      <c r="H3705">
        <f>IF(B3705,SQRT(-2*LN(F3705))*COS(2*PI()*G3705),"")</f>
        <v/>
      </c>
      <c r="I3705">
        <f>IF(B3705,IF(D3705=0,H3705,Rho*I3704+SQRT(1-Rho^2)*H3705),"")</f>
        <v/>
      </c>
      <c r="J3705">
        <f>IF(B3705,IF(Dist="Normal",DistA+DistB*I3705,DistA+(DistB-DistA)*NORMSDIST(I3705)),"")</f>
        <v/>
      </c>
      <c r="K3705">
        <f>IF(B3705,INDEX(MineScale,C3705),"")</f>
        <v/>
      </c>
      <c r="L3705">
        <f>IF(B3705,INDEX(Dow,1,WEEKDAY(E3705,2)),"")</f>
        <v/>
      </c>
      <c r="M3705">
        <f>IF(B3705,(1+Trend)^D3705,"")</f>
        <v/>
      </c>
      <c r="N3705">
        <f>IF(B3705,EXP(SUMPRODUCT(LN(1+(EvEff-1)*INDEX(Affected,0,C3705)*EXP(-((E3705-EvCenter)^2)/(2*EvSigma^2))))),"")</f>
        <v/>
      </c>
      <c r="O3705">
        <f>IF(B3705,ROUND(MAX(0,J3705*K3705*L3705*M3705*N3705),2),"")</f>
        <v/>
      </c>
    </row>
    <row r="3706">
      <c r="A3706" t="n">
        <v>3705</v>
      </c>
      <c r="B3706">
        <f>A3706&lt;=MineCount*Days</f>
        <v/>
      </c>
      <c r="C3706">
        <f>IF(B3706,INT((A3706-1)/Days)+1,"")</f>
        <v/>
      </c>
      <c r="D3706">
        <f>IF(B3706,MOD(A3706-1,Days),"")</f>
        <v/>
      </c>
      <c r="E3706" s="16">
        <f>IF(B3706,StartDate+D3706,"")</f>
        <v/>
      </c>
      <c r="F3706">
        <f>IF(B3706,MAX(MOD(SIN(Seed*0.1373+C3706*12.9898+D3706*78.233)*43758.5453,1),1E-9),"")</f>
        <v/>
      </c>
      <c r="G3706">
        <f>IF(B3706,MOD(SIN(Seed*0.5917+C3706*39.3468+D3706*11.135)*24634.6345,1),"")</f>
        <v/>
      </c>
      <c r="H3706">
        <f>IF(B3706,SQRT(-2*LN(F3706))*COS(2*PI()*G3706),"")</f>
        <v/>
      </c>
      <c r="I3706">
        <f>IF(B3706,IF(D3706=0,H3706,Rho*I3705+SQRT(1-Rho^2)*H3706),"")</f>
        <v/>
      </c>
      <c r="J3706">
        <f>IF(B3706,IF(Dist="Normal",DistA+DistB*I3706,DistA+(DistB-DistA)*NORMSDIST(I3706)),"")</f>
        <v/>
      </c>
      <c r="K3706">
        <f>IF(B3706,INDEX(MineScale,C3706),"")</f>
        <v/>
      </c>
      <c r="L3706">
        <f>IF(B3706,INDEX(Dow,1,WEEKDAY(E3706,2)),"")</f>
        <v/>
      </c>
      <c r="M3706">
        <f>IF(B3706,(1+Trend)^D3706,"")</f>
        <v/>
      </c>
      <c r="N3706">
        <f>IF(B3706,EXP(SUMPRODUCT(LN(1+(EvEff-1)*INDEX(Affected,0,C3706)*EXP(-((E3706-EvCenter)^2)/(2*EvSigma^2))))),"")</f>
        <v/>
      </c>
      <c r="O3706">
        <f>IF(B3706,ROUND(MAX(0,J3706*K3706*L3706*M3706*N3706),2),"")</f>
        <v/>
      </c>
    </row>
    <row r="3707">
      <c r="A3707" t="n">
        <v>3706</v>
      </c>
      <c r="B3707">
        <f>A3707&lt;=MineCount*Days</f>
        <v/>
      </c>
      <c r="C3707">
        <f>IF(B3707,INT((A3707-1)/Days)+1,"")</f>
        <v/>
      </c>
      <c r="D3707">
        <f>IF(B3707,MOD(A3707-1,Days),"")</f>
        <v/>
      </c>
      <c r="E3707" s="16">
        <f>IF(B3707,StartDate+D3707,"")</f>
        <v/>
      </c>
      <c r="F3707">
        <f>IF(B3707,MAX(MOD(SIN(Seed*0.1373+C3707*12.9898+D3707*78.233)*43758.5453,1),1E-9),"")</f>
        <v/>
      </c>
      <c r="G3707">
        <f>IF(B3707,MOD(SIN(Seed*0.5917+C3707*39.3468+D3707*11.135)*24634.6345,1),"")</f>
        <v/>
      </c>
      <c r="H3707">
        <f>IF(B3707,SQRT(-2*LN(F3707))*COS(2*PI()*G3707),"")</f>
        <v/>
      </c>
      <c r="I3707">
        <f>IF(B3707,IF(D3707=0,H3707,Rho*I3706+SQRT(1-Rho^2)*H3707),"")</f>
        <v/>
      </c>
      <c r="J3707">
        <f>IF(B3707,IF(Dist="Normal",DistA+DistB*I3707,DistA+(DistB-DistA)*NORMSDIST(I3707)),"")</f>
        <v/>
      </c>
      <c r="K3707">
        <f>IF(B3707,INDEX(MineScale,C3707),"")</f>
        <v/>
      </c>
      <c r="L3707">
        <f>IF(B3707,INDEX(Dow,1,WEEKDAY(E3707,2)),"")</f>
        <v/>
      </c>
      <c r="M3707">
        <f>IF(B3707,(1+Trend)^D3707,"")</f>
        <v/>
      </c>
      <c r="N3707">
        <f>IF(B3707,EXP(SUMPRODUCT(LN(1+(EvEff-1)*INDEX(Affected,0,C3707)*EXP(-((E3707-EvCenter)^2)/(2*EvSigma^2))))),"")</f>
        <v/>
      </c>
      <c r="O3707">
        <f>IF(B3707,ROUND(MAX(0,J3707*K3707*L3707*M3707*N3707),2),"")</f>
        <v/>
      </c>
    </row>
    <row r="3708">
      <c r="A3708" t="n">
        <v>3707</v>
      </c>
      <c r="B3708">
        <f>A3708&lt;=MineCount*Days</f>
        <v/>
      </c>
      <c r="C3708">
        <f>IF(B3708,INT((A3708-1)/Days)+1,"")</f>
        <v/>
      </c>
      <c r="D3708">
        <f>IF(B3708,MOD(A3708-1,Days),"")</f>
        <v/>
      </c>
      <c r="E3708" s="16">
        <f>IF(B3708,StartDate+D3708,"")</f>
        <v/>
      </c>
      <c r="F3708">
        <f>IF(B3708,MAX(MOD(SIN(Seed*0.1373+C3708*12.9898+D3708*78.233)*43758.5453,1),1E-9),"")</f>
        <v/>
      </c>
      <c r="G3708">
        <f>IF(B3708,MOD(SIN(Seed*0.5917+C3708*39.3468+D3708*11.135)*24634.6345,1),"")</f>
        <v/>
      </c>
      <c r="H3708">
        <f>IF(B3708,SQRT(-2*LN(F3708))*COS(2*PI()*G3708),"")</f>
        <v/>
      </c>
      <c r="I3708">
        <f>IF(B3708,IF(D3708=0,H3708,Rho*I3707+SQRT(1-Rho^2)*H3708),"")</f>
        <v/>
      </c>
      <c r="J3708">
        <f>IF(B3708,IF(Dist="Normal",DistA+DistB*I3708,DistA+(DistB-DistA)*NORMSDIST(I3708)),"")</f>
        <v/>
      </c>
      <c r="K3708">
        <f>IF(B3708,INDEX(MineScale,C3708),"")</f>
        <v/>
      </c>
      <c r="L3708">
        <f>IF(B3708,INDEX(Dow,1,WEEKDAY(E3708,2)),"")</f>
        <v/>
      </c>
      <c r="M3708">
        <f>IF(B3708,(1+Trend)^D3708,"")</f>
        <v/>
      </c>
      <c r="N3708">
        <f>IF(B3708,EXP(SUMPRODUCT(LN(1+(EvEff-1)*INDEX(Affected,0,C3708)*EXP(-((E3708-EvCenter)^2)/(2*EvSigma^2))))),"")</f>
        <v/>
      </c>
      <c r="O3708">
        <f>IF(B3708,ROUND(MAX(0,J3708*K3708*L3708*M3708*N3708),2),"")</f>
        <v/>
      </c>
    </row>
    <row r="3709">
      <c r="A3709" t="n">
        <v>3708</v>
      </c>
      <c r="B3709">
        <f>A3709&lt;=MineCount*Days</f>
        <v/>
      </c>
      <c r="C3709">
        <f>IF(B3709,INT((A3709-1)/Days)+1,"")</f>
        <v/>
      </c>
      <c r="D3709">
        <f>IF(B3709,MOD(A3709-1,Days),"")</f>
        <v/>
      </c>
      <c r="E3709" s="16">
        <f>IF(B3709,StartDate+D3709,"")</f>
        <v/>
      </c>
      <c r="F3709">
        <f>IF(B3709,MAX(MOD(SIN(Seed*0.1373+C3709*12.9898+D3709*78.233)*43758.5453,1),1E-9),"")</f>
        <v/>
      </c>
      <c r="G3709">
        <f>IF(B3709,MOD(SIN(Seed*0.5917+C3709*39.3468+D3709*11.135)*24634.6345,1),"")</f>
        <v/>
      </c>
      <c r="H3709">
        <f>IF(B3709,SQRT(-2*LN(F3709))*COS(2*PI()*G3709),"")</f>
        <v/>
      </c>
      <c r="I3709">
        <f>IF(B3709,IF(D3709=0,H3709,Rho*I3708+SQRT(1-Rho^2)*H3709),"")</f>
        <v/>
      </c>
      <c r="J3709">
        <f>IF(B3709,IF(Dist="Normal",DistA+DistB*I3709,DistA+(DistB-DistA)*NORMSDIST(I3709)),"")</f>
        <v/>
      </c>
      <c r="K3709">
        <f>IF(B3709,INDEX(MineScale,C3709),"")</f>
        <v/>
      </c>
      <c r="L3709">
        <f>IF(B3709,INDEX(Dow,1,WEEKDAY(E3709,2)),"")</f>
        <v/>
      </c>
      <c r="M3709">
        <f>IF(B3709,(1+Trend)^D3709,"")</f>
        <v/>
      </c>
      <c r="N3709">
        <f>IF(B3709,EXP(SUMPRODUCT(LN(1+(EvEff-1)*INDEX(Affected,0,C3709)*EXP(-((E3709-EvCenter)^2)/(2*EvSigma^2))))),"")</f>
        <v/>
      </c>
      <c r="O3709">
        <f>IF(B3709,ROUND(MAX(0,J3709*K3709*L3709*M3709*N3709),2),"")</f>
        <v/>
      </c>
    </row>
    <row r="3710">
      <c r="A3710" t="n">
        <v>3709</v>
      </c>
      <c r="B3710">
        <f>A3710&lt;=MineCount*Days</f>
        <v/>
      </c>
      <c r="C3710">
        <f>IF(B3710,INT((A3710-1)/Days)+1,"")</f>
        <v/>
      </c>
      <c r="D3710">
        <f>IF(B3710,MOD(A3710-1,Days),"")</f>
        <v/>
      </c>
      <c r="E3710" s="16">
        <f>IF(B3710,StartDate+D3710,"")</f>
        <v/>
      </c>
      <c r="F3710">
        <f>IF(B3710,MAX(MOD(SIN(Seed*0.1373+C3710*12.9898+D3710*78.233)*43758.5453,1),1E-9),"")</f>
        <v/>
      </c>
      <c r="G3710">
        <f>IF(B3710,MOD(SIN(Seed*0.5917+C3710*39.3468+D3710*11.135)*24634.6345,1),"")</f>
        <v/>
      </c>
      <c r="H3710">
        <f>IF(B3710,SQRT(-2*LN(F3710))*COS(2*PI()*G3710),"")</f>
        <v/>
      </c>
      <c r="I3710">
        <f>IF(B3710,IF(D3710=0,H3710,Rho*I3709+SQRT(1-Rho^2)*H3710),"")</f>
        <v/>
      </c>
      <c r="J3710">
        <f>IF(B3710,IF(Dist="Normal",DistA+DistB*I3710,DistA+(DistB-DistA)*NORMSDIST(I3710)),"")</f>
        <v/>
      </c>
      <c r="K3710">
        <f>IF(B3710,INDEX(MineScale,C3710),"")</f>
        <v/>
      </c>
      <c r="L3710">
        <f>IF(B3710,INDEX(Dow,1,WEEKDAY(E3710,2)),"")</f>
        <v/>
      </c>
      <c r="M3710">
        <f>IF(B3710,(1+Trend)^D3710,"")</f>
        <v/>
      </c>
      <c r="N3710">
        <f>IF(B3710,EXP(SUMPRODUCT(LN(1+(EvEff-1)*INDEX(Affected,0,C3710)*EXP(-((E3710-EvCenter)^2)/(2*EvSigma^2))))),"")</f>
        <v/>
      </c>
      <c r="O3710">
        <f>IF(B3710,ROUND(MAX(0,J3710*K3710*L3710*M3710*N3710),2),"")</f>
        <v/>
      </c>
    </row>
    <row r="3711">
      <c r="A3711" t="n">
        <v>3710</v>
      </c>
      <c r="B3711">
        <f>A3711&lt;=MineCount*Days</f>
        <v/>
      </c>
      <c r="C3711">
        <f>IF(B3711,INT((A3711-1)/Days)+1,"")</f>
        <v/>
      </c>
      <c r="D3711">
        <f>IF(B3711,MOD(A3711-1,Days),"")</f>
        <v/>
      </c>
      <c r="E3711" s="16">
        <f>IF(B3711,StartDate+D3711,"")</f>
        <v/>
      </c>
      <c r="F3711">
        <f>IF(B3711,MAX(MOD(SIN(Seed*0.1373+C3711*12.9898+D3711*78.233)*43758.5453,1),1E-9),"")</f>
        <v/>
      </c>
      <c r="G3711">
        <f>IF(B3711,MOD(SIN(Seed*0.5917+C3711*39.3468+D3711*11.135)*24634.6345,1),"")</f>
        <v/>
      </c>
      <c r="H3711">
        <f>IF(B3711,SQRT(-2*LN(F3711))*COS(2*PI()*G3711),"")</f>
        <v/>
      </c>
      <c r="I3711">
        <f>IF(B3711,IF(D3711=0,H3711,Rho*I3710+SQRT(1-Rho^2)*H3711),"")</f>
        <v/>
      </c>
      <c r="J3711">
        <f>IF(B3711,IF(Dist="Normal",DistA+DistB*I3711,DistA+(DistB-DistA)*NORMSDIST(I3711)),"")</f>
        <v/>
      </c>
      <c r="K3711">
        <f>IF(B3711,INDEX(MineScale,C3711),"")</f>
        <v/>
      </c>
      <c r="L3711">
        <f>IF(B3711,INDEX(Dow,1,WEEKDAY(E3711,2)),"")</f>
        <v/>
      </c>
      <c r="M3711">
        <f>IF(B3711,(1+Trend)^D3711,"")</f>
        <v/>
      </c>
      <c r="N3711">
        <f>IF(B3711,EXP(SUMPRODUCT(LN(1+(EvEff-1)*INDEX(Affected,0,C3711)*EXP(-((E3711-EvCenter)^2)/(2*EvSigma^2))))),"")</f>
        <v/>
      </c>
      <c r="O3711">
        <f>IF(B3711,ROUND(MAX(0,J3711*K3711*L3711*M3711*N3711),2),"")</f>
        <v/>
      </c>
    </row>
    <row r="3712">
      <c r="A3712" t="n">
        <v>3711</v>
      </c>
      <c r="B3712">
        <f>A3712&lt;=MineCount*Days</f>
        <v/>
      </c>
      <c r="C3712">
        <f>IF(B3712,INT((A3712-1)/Days)+1,"")</f>
        <v/>
      </c>
      <c r="D3712">
        <f>IF(B3712,MOD(A3712-1,Days),"")</f>
        <v/>
      </c>
      <c r="E3712" s="16">
        <f>IF(B3712,StartDate+D3712,"")</f>
        <v/>
      </c>
      <c r="F3712">
        <f>IF(B3712,MAX(MOD(SIN(Seed*0.1373+C3712*12.9898+D3712*78.233)*43758.5453,1),1E-9),"")</f>
        <v/>
      </c>
      <c r="G3712">
        <f>IF(B3712,MOD(SIN(Seed*0.5917+C3712*39.3468+D3712*11.135)*24634.6345,1),"")</f>
        <v/>
      </c>
      <c r="H3712">
        <f>IF(B3712,SQRT(-2*LN(F3712))*COS(2*PI()*G3712),"")</f>
        <v/>
      </c>
      <c r="I3712">
        <f>IF(B3712,IF(D3712=0,H3712,Rho*I3711+SQRT(1-Rho^2)*H3712),"")</f>
        <v/>
      </c>
      <c r="J3712">
        <f>IF(B3712,IF(Dist="Normal",DistA+DistB*I3712,DistA+(DistB-DistA)*NORMSDIST(I3712)),"")</f>
        <v/>
      </c>
      <c r="K3712">
        <f>IF(B3712,INDEX(MineScale,C3712),"")</f>
        <v/>
      </c>
      <c r="L3712">
        <f>IF(B3712,INDEX(Dow,1,WEEKDAY(E3712,2)),"")</f>
        <v/>
      </c>
      <c r="M3712">
        <f>IF(B3712,(1+Trend)^D3712,"")</f>
        <v/>
      </c>
      <c r="N3712">
        <f>IF(B3712,EXP(SUMPRODUCT(LN(1+(EvEff-1)*INDEX(Affected,0,C3712)*EXP(-((E3712-EvCenter)^2)/(2*EvSigma^2))))),"")</f>
        <v/>
      </c>
      <c r="O3712">
        <f>IF(B3712,ROUND(MAX(0,J3712*K3712*L3712*M3712*N3712),2),"")</f>
        <v/>
      </c>
    </row>
    <row r="3713">
      <c r="A3713" t="n">
        <v>3712</v>
      </c>
      <c r="B3713">
        <f>A3713&lt;=MineCount*Days</f>
        <v/>
      </c>
      <c r="C3713">
        <f>IF(B3713,INT((A3713-1)/Days)+1,"")</f>
        <v/>
      </c>
      <c r="D3713">
        <f>IF(B3713,MOD(A3713-1,Days),"")</f>
        <v/>
      </c>
      <c r="E3713" s="16">
        <f>IF(B3713,StartDate+D3713,"")</f>
        <v/>
      </c>
      <c r="F3713">
        <f>IF(B3713,MAX(MOD(SIN(Seed*0.1373+C3713*12.9898+D3713*78.233)*43758.5453,1),1E-9),"")</f>
        <v/>
      </c>
      <c r="G3713">
        <f>IF(B3713,MOD(SIN(Seed*0.5917+C3713*39.3468+D3713*11.135)*24634.6345,1),"")</f>
        <v/>
      </c>
      <c r="H3713">
        <f>IF(B3713,SQRT(-2*LN(F3713))*COS(2*PI()*G3713),"")</f>
        <v/>
      </c>
      <c r="I3713">
        <f>IF(B3713,IF(D3713=0,H3713,Rho*I3712+SQRT(1-Rho^2)*H3713),"")</f>
        <v/>
      </c>
      <c r="J3713">
        <f>IF(B3713,IF(Dist="Normal",DistA+DistB*I3713,DistA+(DistB-DistA)*NORMSDIST(I3713)),"")</f>
        <v/>
      </c>
      <c r="K3713">
        <f>IF(B3713,INDEX(MineScale,C3713),"")</f>
        <v/>
      </c>
      <c r="L3713">
        <f>IF(B3713,INDEX(Dow,1,WEEKDAY(E3713,2)),"")</f>
        <v/>
      </c>
      <c r="M3713">
        <f>IF(B3713,(1+Trend)^D3713,"")</f>
        <v/>
      </c>
      <c r="N3713">
        <f>IF(B3713,EXP(SUMPRODUCT(LN(1+(EvEff-1)*INDEX(Affected,0,C3713)*EXP(-((E3713-EvCenter)^2)/(2*EvSigma^2))))),"")</f>
        <v/>
      </c>
      <c r="O3713">
        <f>IF(B3713,ROUND(MAX(0,J3713*K3713*L3713*M3713*N3713),2),"")</f>
        <v/>
      </c>
    </row>
    <row r="3714">
      <c r="A3714" t="n">
        <v>3713</v>
      </c>
      <c r="B3714">
        <f>A3714&lt;=MineCount*Days</f>
        <v/>
      </c>
      <c r="C3714">
        <f>IF(B3714,INT((A3714-1)/Days)+1,"")</f>
        <v/>
      </c>
      <c r="D3714">
        <f>IF(B3714,MOD(A3714-1,Days),"")</f>
        <v/>
      </c>
      <c r="E3714" s="16">
        <f>IF(B3714,StartDate+D3714,"")</f>
        <v/>
      </c>
      <c r="F3714">
        <f>IF(B3714,MAX(MOD(SIN(Seed*0.1373+C3714*12.9898+D3714*78.233)*43758.5453,1),1E-9),"")</f>
        <v/>
      </c>
      <c r="G3714">
        <f>IF(B3714,MOD(SIN(Seed*0.5917+C3714*39.3468+D3714*11.135)*24634.6345,1),"")</f>
        <v/>
      </c>
      <c r="H3714">
        <f>IF(B3714,SQRT(-2*LN(F3714))*COS(2*PI()*G3714),"")</f>
        <v/>
      </c>
      <c r="I3714">
        <f>IF(B3714,IF(D3714=0,H3714,Rho*I3713+SQRT(1-Rho^2)*H3714),"")</f>
        <v/>
      </c>
      <c r="J3714">
        <f>IF(B3714,IF(Dist="Normal",DistA+DistB*I3714,DistA+(DistB-DistA)*NORMSDIST(I3714)),"")</f>
        <v/>
      </c>
      <c r="K3714">
        <f>IF(B3714,INDEX(MineScale,C3714),"")</f>
        <v/>
      </c>
      <c r="L3714">
        <f>IF(B3714,INDEX(Dow,1,WEEKDAY(E3714,2)),"")</f>
        <v/>
      </c>
      <c r="M3714">
        <f>IF(B3714,(1+Trend)^D3714,"")</f>
        <v/>
      </c>
      <c r="N3714">
        <f>IF(B3714,EXP(SUMPRODUCT(LN(1+(EvEff-1)*INDEX(Affected,0,C3714)*EXP(-((E3714-EvCenter)^2)/(2*EvSigma^2))))),"")</f>
        <v/>
      </c>
      <c r="O3714">
        <f>IF(B3714,ROUND(MAX(0,J3714*K3714*L3714*M3714*N3714),2),"")</f>
        <v/>
      </c>
    </row>
    <row r="3715">
      <c r="A3715" t="n">
        <v>3714</v>
      </c>
      <c r="B3715">
        <f>A3715&lt;=MineCount*Days</f>
        <v/>
      </c>
      <c r="C3715">
        <f>IF(B3715,INT((A3715-1)/Days)+1,"")</f>
        <v/>
      </c>
      <c r="D3715">
        <f>IF(B3715,MOD(A3715-1,Days),"")</f>
        <v/>
      </c>
      <c r="E3715" s="16">
        <f>IF(B3715,StartDate+D3715,"")</f>
        <v/>
      </c>
      <c r="F3715">
        <f>IF(B3715,MAX(MOD(SIN(Seed*0.1373+C3715*12.9898+D3715*78.233)*43758.5453,1),1E-9),"")</f>
        <v/>
      </c>
      <c r="G3715">
        <f>IF(B3715,MOD(SIN(Seed*0.5917+C3715*39.3468+D3715*11.135)*24634.6345,1),"")</f>
        <v/>
      </c>
      <c r="H3715">
        <f>IF(B3715,SQRT(-2*LN(F3715))*COS(2*PI()*G3715),"")</f>
        <v/>
      </c>
      <c r="I3715">
        <f>IF(B3715,IF(D3715=0,H3715,Rho*I3714+SQRT(1-Rho^2)*H3715),"")</f>
        <v/>
      </c>
      <c r="J3715">
        <f>IF(B3715,IF(Dist="Normal",DistA+DistB*I3715,DistA+(DistB-DistA)*NORMSDIST(I3715)),"")</f>
        <v/>
      </c>
      <c r="K3715">
        <f>IF(B3715,INDEX(MineScale,C3715),"")</f>
        <v/>
      </c>
      <c r="L3715">
        <f>IF(B3715,INDEX(Dow,1,WEEKDAY(E3715,2)),"")</f>
        <v/>
      </c>
      <c r="M3715">
        <f>IF(B3715,(1+Trend)^D3715,"")</f>
        <v/>
      </c>
      <c r="N3715">
        <f>IF(B3715,EXP(SUMPRODUCT(LN(1+(EvEff-1)*INDEX(Affected,0,C3715)*EXP(-((E3715-EvCenter)^2)/(2*EvSigma^2))))),"")</f>
        <v/>
      </c>
      <c r="O3715">
        <f>IF(B3715,ROUND(MAX(0,J3715*K3715*L3715*M3715*N3715),2),"")</f>
        <v/>
      </c>
    </row>
    <row r="3716">
      <c r="A3716" t="n">
        <v>3715</v>
      </c>
      <c r="B3716">
        <f>A3716&lt;=MineCount*Days</f>
        <v/>
      </c>
      <c r="C3716">
        <f>IF(B3716,INT((A3716-1)/Days)+1,"")</f>
        <v/>
      </c>
      <c r="D3716">
        <f>IF(B3716,MOD(A3716-1,Days),"")</f>
        <v/>
      </c>
      <c r="E3716" s="16">
        <f>IF(B3716,StartDate+D3716,"")</f>
        <v/>
      </c>
      <c r="F3716">
        <f>IF(B3716,MAX(MOD(SIN(Seed*0.1373+C3716*12.9898+D3716*78.233)*43758.5453,1),1E-9),"")</f>
        <v/>
      </c>
      <c r="G3716">
        <f>IF(B3716,MOD(SIN(Seed*0.5917+C3716*39.3468+D3716*11.135)*24634.6345,1),"")</f>
        <v/>
      </c>
      <c r="H3716">
        <f>IF(B3716,SQRT(-2*LN(F3716))*COS(2*PI()*G3716),"")</f>
        <v/>
      </c>
      <c r="I3716">
        <f>IF(B3716,IF(D3716=0,H3716,Rho*I3715+SQRT(1-Rho^2)*H3716),"")</f>
        <v/>
      </c>
      <c r="J3716">
        <f>IF(B3716,IF(Dist="Normal",DistA+DistB*I3716,DistA+(DistB-DistA)*NORMSDIST(I3716)),"")</f>
        <v/>
      </c>
      <c r="K3716">
        <f>IF(B3716,INDEX(MineScale,C3716),"")</f>
        <v/>
      </c>
      <c r="L3716">
        <f>IF(B3716,INDEX(Dow,1,WEEKDAY(E3716,2)),"")</f>
        <v/>
      </c>
      <c r="M3716">
        <f>IF(B3716,(1+Trend)^D3716,"")</f>
        <v/>
      </c>
      <c r="N3716">
        <f>IF(B3716,EXP(SUMPRODUCT(LN(1+(EvEff-1)*INDEX(Affected,0,C3716)*EXP(-((E3716-EvCenter)^2)/(2*EvSigma^2))))),"")</f>
        <v/>
      </c>
      <c r="O3716">
        <f>IF(B3716,ROUND(MAX(0,J3716*K3716*L3716*M3716*N3716),2),"")</f>
        <v/>
      </c>
    </row>
    <row r="3717">
      <c r="A3717" t="n">
        <v>3716</v>
      </c>
      <c r="B3717">
        <f>A3717&lt;=MineCount*Days</f>
        <v/>
      </c>
      <c r="C3717">
        <f>IF(B3717,INT((A3717-1)/Days)+1,"")</f>
        <v/>
      </c>
      <c r="D3717">
        <f>IF(B3717,MOD(A3717-1,Days),"")</f>
        <v/>
      </c>
      <c r="E3717" s="16">
        <f>IF(B3717,StartDate+D3717,"")</f>
        <v/>
      </c>
      <c r="F3717">
        <f>IF(B3717,MAX(MOD(SIN(Seed*0.1373+C3717*12.9898+D3717*78.233)*43758.5453,1),1E-9),"")</f>
        <v/>
      </c>
      <c r="G3717">
        <f>IF(B3717,MOD(SIN(Seed*0.5917+C3717*39.3468+D3717*11.135)*24634.6345,1),"")</f>
        <v/>
      </c>
      <c r="H3717">
        <f>IF(B3717,SQRT(-2*LN(F3717))*COS(2*PI()*G3717),"")</f>
        <v/>
      </c>
      <c r="I3717">
        <f>IF(B3717,IF(D3717=0,H3717,Rho*I3716+SQRT(1-Rho^2)*H3717),"")</f>
        <v/>
      </c>
      <c r="J3717">
        <f>IF(B3717,IF(Dist="Normal",DistA+DistB*I3717,DistA+(DistB-DistA)*NORMSDIST(I3717)),"")</f>
        <v/>
      </c>
      <c r="K3717">
        <f>IF(B3717,INDEX(MineScale,C3717),"")</f>
        <v/>
      </c>
      <c r="L3717">
        <f>IF(B3717,INDEX(Dow,1,WEEKDAY(E3717,2)),"")</f>
        <v/>
      </c>
      <c r="M3717">
        <f>IF(B3717,(1+Trend)^D3717,"")</f>
        <v/>
      </c>
      <c r="N3717">
        <f>IF(B3717,EXP(SUMPRODUCT(LN(1+(EvEff-1)*INDEX(Affected,0,C3717)*EXP(-((E3717-EvCenter)^2)/(2*EvSigma^2))))),"")</f>
        <v/>
      </c>
      <c r="O3717">
        <f>IF(B3717,ROUND(MAX(0,J3717*K3717*L3717*M3717*N3717),2),"")</f>
        <v/>
      </c>
    </row>
    <row r="3718">
      <c r="A3718" t="n">
        <v>3717</v>
      </c>
      <c r="B3718">
        <f>A3718&lt;=MineCount*Days</f>
        <v/>
      </c>
      <c r="C3718">
        <f>IF(B3718,INT((A3718-1)/Days)+1,"")</f>
        <v/>
      </c>
      <c r="D3718">
        <f>IF(B3718,MOD(A3718-1,Days),"")</f>
        <v/>
      </c>
      <c r="E3718" s="16">
        <f>IF(B3718,StartDate+D3718,"")</f>
        <v/>
      </c>
      <c r="F3718">
        <f>IF(B3718,MAX(MOD(SIN(Seed*0.1373+C3718*12.9898+D3718*78.233)*43758.5453,1),1E-9),"")</f>
        <v/>
      </c>
      <c r="G3718">
        <f>IF(B3718,MOD(SIN(Seed*0.5917+C3718*39.3468+D3718*11.135)*24634.6345,1),"")</f>
        <v/>
      </c>
      <c r="H3718">
        <f>IF(B3718,SQRT(-2*LN(F3718))*COS(2*PI()*G3718),"")</f>
        <v/>
      </c>
      <c r="I3718">
        <f>IF(B3718,IF(D3718=0,H3718,Rho*I3717+SQRT(1-Rho^2)*H3718),"")</f>
        <v/>
      </c>
      <c r="J3718">
        <f>IF(B3718,IF(Dist="Normal",DistA+DistB*I3718,DistA+(DistB-DistA)*NORMSDIST(I3718)),"")</f>
        <v/>
      </c>
      <c r="K3718">
        <f>IF(B3718,INDEX(MineScale,C3718),"")</f>
        <v/>
      </c>
      <c r="L3718">
        <f>IF(B3718,INDEX(Dow,1,WEEKDAY(E3718,2)),"")</f>
        <v/>
      </c>
      <c r="M3718">
        <f>IF(B3718,(1+Trend)^D3718,"")</f>
        <v/>
      </c>
      <c r="N3718">
        <f>IF(B3718,EXP(SUMPRODUCT(LN(1+(EvEff-1)*INDEX(Affected,0,C3718)*EXP(-((E3718-EvCenter)^2)/(2*EvSigma^2))))),"")</f>
        <v/>
      </c>
      <c r="O3718">
        <f>IF(B3718,ROUND(MAX(0,J3718*K3718*L3718*M3718*N3718),2),"")</f>
        <v/>
      </c>
    </row>
    <row r="3719">
      <c r="A3719" t="n">
        <v>3718</v>
      </c>
      <c r="B3719">
        <f>A3719&lt;=MineCount*Days</f>
        <v/>
      </c>
      <c r="C3719">
        <f>IF(B3719,INT((A3719-1)/Days)+1,"")</f>
        <v/>
      </c>
      <c r="D3719">
        <f>IF(B3719,MOD(A3719-1,Days),"")</f>
        <v/>
      </c>
      <c r="E3719" s="16">
        <f>IF(B3719,StartDate+D3719,"")</f>
        <v/>
      </c>
      <c r="F3719">
        <f>IF(B3719,MAX(MOD(SIN(Seed*0.1373+C3719*12.9898+D3719*78.233)*43758.5453,1),1E-9),"")</f>
        <v/>
      </c>
      <c r="G3719">
        <f>IF(B3719,MOD(SIN(Seed*0.5917+C3719*39.3468+D3719*11.135)*24634.6345,1),"")</f>
        <v/>
      </c>
      <c r="H3719">
        <f>IF(B3719,SQRT(-2*LN(F3719))*COS(2*PI()*G3719),"")</f>
        <v/>
      </c>
      <c r="I3719">
        <f>IF(B3719,IF(D3719=0,H3719,Rho*I3718+SQRT(1-Rho^2)*H3719),"")</f>
        <v/>
      </c>
      <c r="J3719">
        <f>IF(B3719,IF(Dist="Normal",DistA+DistB*I3719,DistA+(DistB-DistA)*NORMSDIST(I3719)),"")</f>
        <v/>
      </c>
      <c r="K3719">
        <f>IF(B3719,INDEX(MineScale,C3719),"")</f>
        <v/>
      </c>
      <c r="L3719">
        <f>IF(B3719,INDEX(Dow,1,WEEKDAY(E3719,2)),"")</f>
        <v/>
      </c>
      <c r="M3719">
        <f>IF(B3719,(1+Trend)^D3719,"")</f>
        <v/>
      </c>
      <c r="N3719">
        <f>IF(B3719,EXP(SUMPRODUCT(LN(1+(EvEff-1)*INDEX(Affected,0,C3719)*EXP(-((E3719-EvCenter)^2)/(2*EvSigma^2))))),"")</f>
        <v/>
      </c>
      <c r="O3719">
        <f>IF(B3719,ROUND(MAX(0,J3719*K3719*L3719*M3719*N3719),2),"")</f>
        <v/>
      </c>
    </row>
    <row r="3720">
      <c r="A3720" t="n">
        <v>3719</v>
      </c>
      <c r="B3720">
        <f>A3720&lt;=MineCount*Days</f>
        <v/>
      </c>
      <c r="C3720">
        <f>IF(B3720,INT((A3720-1)/Days)+1,"")</f>
        <v/>
      </c>
      <c r="D3720">
        <f>IF(B3720,MOD(A3720-1,Days),"")</f>
        <v/>
      </c>
      <c r="E3720" s="16">
        <f>IF(B3720,StartDate+D3720,"")</f>
        <v/>
      </c>
      <c r="F3720">
        <f>IF(B3720,MAX(MOD(SIN(Seed*0.1373+C3720*12.9898+D3720*78.233)*43758.5453,1),1E-9),"")</f>
        <v/>
      </c>
      <c r="G3720">
        <f>IF(B3720,MOD(SIN(Seed*0.5917+C3720*39.3468+D3720*11.135)*24634.6345,1),"")</f>
        <v/>
      </c>
      <c r="H3720">
        <f>IF(B3720,SQRT(-2*LN(F3720))*COS(2*PI()*G3720),"")</f>
        <v/>
      </c>
      <c r="I3720">
        <f>IF(B3720,IF(D3720=0,H3720,Rho*I3719+SQRT(1-Rho^2)*H3720),"")</f>
        <v/>
      </c>
      <c r="J3720">
        <f>IF(B3720,IF(Dist="Normal",DistA+DistB*I3720,DistA+(DistB-DistA)*NORMSDIST(I3720)),"")</f>
        <v/>
      </c>
      <c r="K3720">
        <f>IF(B3720,INDEX(MineScale,C3720),"")</f>
        <v/>
      </c>
      <c r="L3720">
        <f>IF(B3720,INDEX(Dow,1,WEEKDAY(E3720,2)),"")</f>
        <v/>
      </c>
      <c r="M3720">
        <f>IF(B3720,(1+Trend)^D3720,"")</f>
        <v/>
      </c>
      <c r="N3720">
        <f>IF(B3720,EXP(SUMPRODUCT(LN(1+(EvEff-1)*INDEX(Affected,0,C3720)*EXP(-((E3720-EvCenter)^2)/(2*EvSigma^2))))),"")</f>
        <v/>
      </c>
      <c r="O3720">
        <f>IF(B3720,ROUND(MAX(0,J3720*K3720*L3720*M3720*N3720),2),"")</f>
        <v/>
      </c>
    </row>
    <row r="3721">
      <c r="A3721" t="n">
        <v>3720</v>
      </c>
      <c r="B3721">
        <f>A3721&lt;=MineCount*Days</f>
        <v/>
      </c>
      <c r="C3721">
        <f>IF(B3721,INT((A3721-1)/Days)+1,"")</f>
        <v/>
      </c>
      <c r="D3721">
        <f>IF(B3721,MOD(A3721-1,Days),"")</f>
        <v/>
      </c>
      <c r="E3721" s="16">
        <f>IF(B3721,StartDate+D3721,"")</f>
        <v/>
      </c>
      <c r="F3721">
        <f>IF(B3721,MAX(MOD(SIN(Seed*0.1373+C3721*12.9898+D3721*78.233)*43758.5453,1),1E-9),"")</f>
        <v/>
      </c>
      <c r="G3721">
        <f>IF(B3721,MOD(SIN(Seed*0.5917+C3721*39.3468+D3721*11.135)*24634.6345,1),"")</f>
        <v/>
      </c>
      <c r="H3721">
        <f>IF(B3721,SQRT(-2*LN(F3721))*COS(2*PI()*G3721),"")</f>
        <v/>
      </c>
      <c r="I3721">
        <f>IF(B3721,IF(D3721=0,H3721,Rho*I3720+SQRT(1-Rho^2)*H3721),"")</f>
        <v/>
      </c>
      <c r="J3721">
        <f>IF(B3721,IF(Dist="Normal",DistA+DistB*I3721,DistA+(DistB-DistA)*NORMSDIST(I3721)),"")</f>
        <v/>
      </c>
      <c r="K3721">
        <f>IF(B3721,INDEX(MineScale,C3721),"")</f>
        <v/>
      </c>
      <c r="L3721">
        <f>IF(B3721,INDEX(Dow,1,WEEKDAY(E3721,2)),"")</f>
        <v/>
      </c>
      <c r="M3721">
        <f>IF(B3721,(1+Trend)^D3721,"")</f>
        <v/>
      </c>
      <c r="N3721">
        <f>IF(B3721,EXP(SUMPRODUCT(LN(1+(EvEff-1)*INDEX(Affected,0,C3721)*EXP(-((E3721-EvCenter)^2)/(2*EvSigma^2))))),"")</f>
        <v/>
      </c>
      <c r="O3721">
        <f>IF(B3721,ROUND(MAX(0,J3721*K3721*L3721*M3721*N3721),2),"")</f>
        <v/>
      </c>
    </row>
    <row r="3722">
      <c r="A3722" t="n">
        <v>3721</v>
      </c>
      <c r="B3722">
        <f>A3722&lt;=MineCount*Days</f>
        <v/>
      </c>
      <c r="C3722">
        <f>IF(B3722,INT((A3722-1)/Days)+1,"")</f>
        <v/>
      </c>
      <c r="D3722">
        <f>IF(B3722,MOD(A3722-1,Days),"")</f>
        <v/>
      </c>
      <c r="E3722" s="16">
        <f>IF(B3722,StartDate+D3722,"")</f>
        <v/>
      </c>
      <c r="F3722">
        <f>IF(B3722,MAX(MOD(SIN(Seed*0.1373+C3722*12.9898+D3722*78.233)*43758.5453,1),1E-9),"")</f>
        <v/>
      </c>
      <c r="G3722">
        <f>IF(B3722,MOD(SIN(Seed*0.5917+C3722*39.3468+D3722*11.135)*24634.6345,1),"")</f>
        <v/>
      </c>
      <c r="H3722">
        <f>IF(B3722,SQRT(-2*LN(F3722))*COS(2*PI()*G3722),"")</f>
        <v/>
      </c>
      <c r="I3722">
        <f>IF(B3722,IF(D3722=0,H3722,Rho*I3721+SQRT(1-Rho^2)*H3722),"")</f>
        <v/>
      </c>
      <c r="J3722">
        <f>IF(B3722,IF(Dist="Normal",DistA+DistB*I3722,DistA+(DistB-DistA)*NORMSDIST(I3722)),"")</f>
        <v/>
      </c>
      <c r="K3722">
        <f>IF(B3722,INDEX(MineScale,C3722),"")</f>
        <v/>
      </c>
      <c r="L3722">
        <f>IF(B3722,INDEX(Dow,1,WEEKDAY(E3722,2)),"")</f>
        <v/>
      </c>
      <c r="M3722">
        <f>IF(B3722,(1+Trend)^D3722,"")</f>
        <v/>
      </c>
      <c r="N3722">
        <f>IF(B3722,EXP(SUMPRODUCT(LN(1+(EvEff-1)*INDEX(Affected,0,C3722)*EXP(-((E3722-EvCenter)^2)/(2*EvSigma^2))))),"")</f>
        <v/>
      </c>
      <c r="O3722">
        <f>IF(B3722,ROUND(MAX(0,J3722*K3722*L3722*M3722*N3722),2),"")</f>
        <v/>
      </c>
    </row>
    <row r="3723">
      <c r="A3723" t="n">
        <v>3722</v>
      </c>
      <c r="B3723">
        <f>A3723&lt;=MineCount*Days</f>
        <v/>
      </c>
      <c r="C3723">
        <f>IF(B3723,INT((A3723-1)/Days)+1,"")</f>
        <v/>
      </c>
      <c r="D3723">
        <f>IF(B3723,MOD(A3723-1,Days),"")</f>
        <v/>
      </c>
      <c r="E3723" s="16">
        <f>IF(B3723,StartDate+D3723,"")</f>
        <v/>
      </c>
      <c r="F3723">
        <f>IF(B3723,MAX(MOD(SIN(Seed*0.1373+C3723*12.9898+D3723*78.233)*43758.5453,1),1E-9),"")</f>
        <v/>
      </c>
      <c r="G3723">
        <f>IF(B3723,MOD(SIN(Seed*0.5917+C3723*39.3468+D3723*11.135)*24634.6345,1),"")</f>
        <v/>
      </c>
      <c r="H3723">
        <f>IF(B3723,SQRT(-2*LN(F3723))*COS(2*PI()*G3723),"")</f>
        <v/>
      </c>
      <c r="I3723">
        <f>IF(B3723,IF(D3723=0,H3723,Rho*I3722+SQRT(1-Rho^2)*H3723),"")</f>
        <v/>
      </c>
      <c r="J3723">
        <f>IF(B3723,IF(Dist="Normal",DistA+DistB*I3723,DistA+(DistB-DistA)*NORMSDIST(I3723)),"")</f>
        <v/>
      </c>
      <c r="K3723">
        <f>IF(B3723,INDEX(MineScale,C3723),"")</f>
        <v/>
      </c>
      <c r="L3723">
        <f>IF(B3723,INDEX(Dow,1,WEEKDAY(E3723,2)),"")</f>
        <v/>
      </c>
      <c r="M3723">
        <f>IF(B3723,(1+Trend)^D3723,"")</f>
        <v/>
      </c>
      <c r="N3723">
        <f>IF(B3723,EXP(SUMPRODUCT(LN(1+(EvEff-1)*INDEX(Affected,0,C3723)*EXP(-((E3723-EvCenter)^2)/(2*EvSigma^2))))),"")</f>
        <v/>
      </c>
      <c r="O3723">
        <f>IF(B3723,ROUND(MAX(0,J3723*K3723*L3723*M3723*N3723),2),"")</f>
        <v/>
      </c>
    </row>
    <row r="3724">
      <c r="A3724" t="n">
        <v>3723</v>
      </c>
      <c r="B3724">
        <f>A3724&lt;=MineCount*Days</f>
        <v/>
      </c>
      <c r="C3724">
        <f>IF(B3724,INT((A3724-1)/Days)+1,"")</f>
        <v/>
      </c>
      <c r="D3724">
        <f>IF(B3724,MOD(A3724-1,Days),"")</f>
        <v/>
      </c>
      <c r="E3724" s="16">
        <f>IF(B3724,StartDate+D3724,"")</f>
        <v/>
      </c>
      <c r="F3724">
        <f>IF(B3724,MAX(MOD(SIN(Seed*0.1373+C3724*12.9898+D3724*78.233)*43758.5453,1),1E-9),"")</f>
        <v/>
      </c>
      <c r="G3724">
        <f>IF(B3724,MOD(SIN(Seed*0.5917+C3724*39.3468+D3724*11.135)*24634.6345,1),"")</f>
        <v/>
      </c>
      <c r="H3724">
        <f>IF(B3724,SQRT(-2*LN(F3724))*COS(2*PI()*G3724),"")</f>
        <v/>
      </c>
      <c r="I3724">
        <f>IF(B3724,IF(D3724=0,H3724,Rho*I3723+SQRT(1-Rho^2)*H3724),"")</f>
        <v/>
      </c>
      <c r="J3724">
        <f>IF(B3724,IF(Dist="Normal",DistA+DistB*I3724,DistA+(DistB-DistA)*NORMSDIST(I3724)),"")</f>
        <v/>
      </c>
      <c r="K3724">
        <f>IF(B3724,INDEX(MineScale,C3724),"")</f>
        <v/>
      </c>
      <c r="L3724">
        <f>IF(B3724,INDEX(Dow,1,WEEKDAY(E3724,2)),"")</f>
        <v/>
      </c>
      <c r="M3724">
        <f>IF(B3724,(1+Trend)^D3724,"")</f>
        <v/>
      </c>
      <c r="N3724">
        <f>IF(B3724,EXP(SUMPRODUCT(LN(1+(EvEff-1)*INDEX(Affected,0,C3724)*EXP(-((E3724-EvCenter)^2)/(2*EvSigma^2))))),"")</f>
        <v/>
      </c>
      <c r="O3724">
        <f>IF(B3724,ROUND(MAX(0,J3724*K3724*L3724*M3724*N3724),2),"")</f>
        <v/>
      </c>
    </row>
    <row r="3725">
      <c r="A3725" t="n">
        <v>3724</v>
      </c>
      <c r="B3725">
        <f>A3725&lt;=MineCount*Days</f>
        <v/>
      </c>
      <c r="C3725">
        <f>IF(B3725,INT((A3725-1)/Days)+1,"")</f>
        <v/>
      </c>
      <c r="D3725">
        <f>IF(B3725,MOD(A3725-1,Days),"")</f>
        <v/>
      </c>
      <c r="E3725" s="16">
        <f>IF(B3725,StartDate+D3725,"")</f>
        <v/>
      </c>
      <c r="F3725">
        <f>IF(B3725,MAX(MOD(SIN(Seed*0.1373+C3725*12.9898+D3725*78.233)*43758.5453,1),1E-9),"")</f>
        <v/>
      </c>
      <c r="G3725">
        <f>IF(B3725,MOD(SIN(Seed*0.5917+C3725*39.3468+D3725*11.135)*24634.6345,1),"")</f>
        <v/>
      </c>
      <c r="H3725">
        <f>IF(B3725,SQRT(-2*LN(F3725))*COS(2*PI()*G3725),"")</f>
        <v/>
      </c>
      <c r="I3725">
        <f>IF(B3725,IF(D3725=0,H3725,Rho*I3724+SQRT(1-Rho^2)*H3725),"")</f>
        <v/>
      </c>
      <c r="J3725">
        <f>IF(B3725,IF(Dist="Normal",DistA+DistB*I3725,DistA+(DistB-DistA)*NORMSDIST(I3725)),"")</f>
        <v/>
      </c>
      <c r="K3725">
        <f>IF(B3725,INDEX(MineScale,C3725),"")</f>
        <v/>
      </c>
      <c r="L3725">
        <f>IF(B3725,INDEX(Dow,1,WEEKDAY(E3725,2)),"")</f>
        <v/>
      </c>
      <c r="M3725">
        <f>IF(B3725,(1+Trend)^D3725,"")</f>
        <v/>
      </c>
      <c r="N3725">
        <f>IF(B3725,EXP(SUMPRODUCT(LN(1+(EvEff-1)*INDEX(Affected,0,C3725)*EXP(-((E3725-EvCenter)^2)/(2*EvSigma^2))))),"")</f>
        <v/>
      </c>
      <c r="O3725">
        <f>IF(B3725,ROUND(MAX(0,J3725*K3725*L3725*M3725*N3725),2),"")</f>
        <v/>
      </c>
    </row>
    <row r="3726">
      <c r="A3726" t="n">
        <v>3725</v>
      </c>
      <c r="B3726">
        <f>A3726&lt;=MineCount*Days</f>
        <v/>
      </c>
      <c r="C3726">
        <f>IF(B3726,INT((A3726-1)/Days)+1,"")</f>
        <v/>
      </c>
      <c r="D3726">
        <f>IF(B3726,MOD(A3726-1,Days),"")</f>
        <v/>
      </c>
      <c r="E3726" s="16">
        <f>IF(B3726,StartDate+D3726,"")</f>
        <v/>
      </c>
      <c r="F3726">
        <f>IF(B3726,MAX(MOD(SIN(Seed*0.1373+C3726*12.9898+D3726*78.233)*43758.5453,1),1E-9),"")</f>
        <v/>
      </c>
      <c r="G3726">
        <f>IF(B3726,MOD(SIN(Seed*0.5917+C3726*39.3468+D3726*11.135)*24634.6345,1),"")</f>
        <v/>
      </c>
      <c r="H3726">
        <f>IF(B3726,SQRT(-2*LN(F3726))*COS(2*PI()*G3726),"")</f>
        <v/>
      </c>
      <c r="I3726">
        <f>IF(B3726,IF(D3726=0,H3726,Rho*I3725+SQRT(1-Rho^2)*H3726),"")</f>
        <v/>
      </c>
      <c r="J3726">
        <f>IF(B3726,IF(Dist="Normal",DistA+DistB*I3726,DistA+(DistB-DistA)*NORMSDIST(I3726)),"")</f>
        <v/>
      </c>
      <c r="K3726">
        <f>IF(B3726,INDEX(MineScale,C3726),"")</f>
        <v/>
      </c>
      <c r="L3726">
        <f>IF(B3726,INDEX(Dow,1,WEEKDAY(E3726,2)),"")</f>
        <v/>
      </c>
      <c r="M3726">
        <f>IF(B3726,(1+Trend)^D3726,"")</f>
        <v/>
      </c>
      <c r="N3726">
        <f>IF(B3726,EXP(SUMPRODUCT(LN(1+(EvEff-1)*INDEX(Affected,0,C3726)*EXP(-((E3726-EvCenter)^2)/(2*EvSigma^2))))),"")</f>
        <v/>
      </c>
      <c r="O3726">
        <f>IF(B3726,ROUND(MAX(0,J3726*K3726*L3726*M3726*N3726),2),"")</f>
        <v/>
      </c>
    </row>
    <row r="3727">
      <c r="A3727" t="n">
        <v>3726</v>
      </c>
      <c r="B3727">
        <f>A3727&lt;=MineCount*Days</f>
        <v/>
      </c>
      <c r="C3727">
        <f>IF(B3727,INT((A3727-1)/Days)+1,"")</f>
        <v/>
      </c>
      <c r="D3727">
        <f>IF(B3727,MOD(A3727-1,Days),"")</f>
        <v/>
      </c>
      <c r="E3727" s="16">
        <f>IF(B3727,StartDate+D3727,"")</f>
        <v/>
      </c>
      <c r="F3727">
        <f>IF(B3727,MAX(MOD(SIN(Seed*0.1373+C3727*12.9898+D3727*78.233)*43758.5453,1),1E-9),"")</f>
        <v/>
      </c>
      <c r="G3727">
        <f>IF(B3727,MOD(SIN(Seed*0.5917+C3727*39.3468+D3727*11.135)*24634.6345,1),"")</f>
        <v/>
      </c>
      <c r="H3727">
        <f>IF(B3727,SQRT(-2*LN(F3727))*COS(2*PI()*G3727),"")</f>
        <v/>
      </c>
      <c r="I3727">
        <f>IF(B3727,IF(D3727=0,H3727,Rho*I3726+SQRT(1-Rho^2)*H3727),"")</f>
        <v/>
      </c>
      <c r="J3727">
        <f>IF(B3727,IF(Dist="Normal",DistA+DistB*I3727,DistA+(DistB-DistA)*NORMSDIST(I3727)),"")</f>
        <v/>
      </c>
      <c r="K3727">
        <f>IF(B3727,INDEX(MineScale,C3727),"")</f>
        <v/>
      </c>
      <c r="L3727">
        <f>IF(B3727,INDEX(Dow,1,WEEKDAY(E3727,2)),"")</f>
        <v/>
      </c>
      <c r="M3727">
        <f>IF(B3727,(1+Trend)^D3727,"")</f>
        <v/>
      </c>
      <c r="N3727">
        <f>IF(B3727,EXP(SUMPRODUCT(LN(1+(EvEff-1)*INDEX(Affected,0,C3727)*EXP(-((E3727-EvCenter)^2)/(2*EvSigma^2))))),"")</f>
        <v/>
      </c>
      <c r="O3727">
        <f>IF(B3727,ROUND(MAX(0,J3727*K3727*L3727*M3727*N3727),2),"")</f>
        <v/>
      </c>
    </row>
    <row r="3728">
      <c r="A3728" t="n">
        <v>3727</v>
      </c>
      <c r="B3728">
        <f>A3728&lt;=MineCount*Days</f>
        <v/>
      </c>
      <c r="C3728">
        <f>IF(B3728,INT((A3728-1)/Days)+1,"")</f>
        <v/>
      </c>
      <c r="D3728">
        <f>IF(B3728,MOD(A3728-1,Days),"")</f>
        <v/>
      </c>
      <c r="E3728" s="16">
        <f>IF(B3728,StartDate+D3728,"")</f>
        <v/>
      </c>
      <c r="F3728">
        <f>IF(B3728,MAX(MOD(SIN(Seed*0.1373+C3728*12.9898+D3728*78.233)*43758.5453,1),1E-9),"")</f>
        <v/>
      </c>
      <c r="G3728">
        <f>IF(B3728,MOD(SIN(Seed*0.5917+C3728*39.3468+D3728*11.135)*24634.6345,1),"")</f>
        <v/>
      </c>
      <c r="H3728">
        <f>IF(B3728,SQRT(-2*LN(F3728))*COS(2*PI()*G3728),"")</f>
        <v/>
      </c>
      <c r="I3728">
        <f>IF(B3728,IF(D3728=0,H3728,Rho*I3727+SQRT(1-Rho^2)*H3728),"")</f>
        <v/>
      </c>
      <c r="J3728">
        <f>IF(B3728,IF(Dist="Normal",DistA+DistB*I3728,DistA+(DistB-DistA)*NORMSDIST(I3728)),"")</f>
        <v/>
      </c>
      <c r="K3728">
        <f>IF(B3728,INDEX(MineScale,C3728),"")</f>
        <v/>
      </c>
      <c r="L3728">
        <f>IF(B3728,INDEX(Dow,1,WEEKDAY(E3728,2)),"")</f>
        <v/>
      </c>
      <c r="M3728">
        <f>IF(B3728,(1+Trend)^D3728,"")</f>
        <v/>
      </c>
      <c r="N3728">
        <f>IF(B3728,EXP(SUMPRODUCT(LN(1+(EvEff-1)*INDEX(Affected,0,C3728)*EXP(-((E3728-EvCenter)^2)/(2*EvSigma^2))))),"")</f>
        <v/>
      </c>
      <c r="O3728">
        <f>IF(B3728,ROUND(MAX(0,J3728*K3728*L3728*M3728*N3728),2),"")</f>
        <v/>
      </c>
    </row>
    <row r="3729">
      <c r="A3729" t="n">
        <v>3728</v>
      </c>
      <c r="B3729">
        <f>A3729&lt;=MineCount*Days</f>
        <v/>
      </c>
      <c r="C3729">
        <f>IF(B3729,INT((A3729-1)/Days)+1,"")</f>
        <v/>
      </c>
      <c r="D3729">
        <f>IF(B3729,MOD(A3729-1,Days),"")</f>
        <v/>
      </c>
      <c r="E3729" s="16">
        <f>IF(B3729,StartDate+D3729,"")</f>
        <v/>
      </c>
      <c r="F3729">
        <f>IF(B3729,MAX(MOD(SIN(Seed*0.1373+C3729*12.9898+D3729*78.233)*43758.5453,1),1E-9),"")</f>
        <v/>
      </c>
      <c r="G3729">
        <f>IF(B3729,MOD(SIN(Seed*0.5917+C3729*39.3468+D3729*11.135)*24634.6345,1),"")</f>
        <v/>
      </c>
      <c r="H3729">
        <f>IF(B3729,SQRT(-2*LN(F3729))*COS(2*PI()*G3729),"")</f>
        <v/>
      </c>
      <c r="I3729">
        <f>IF(B3729,IF(D3729=0,H3729,Rho*I3728+SQRT(1-Rho^2)*H3729),"")</f>
        <v/>
      </c>
      <c r="J3729">
        <f>IF(B3729,IF(Dist="Normal",DistA+DistB*I3729,DistA+(DistB-DistA)*NORMSDIST(I3729)),"")</f>
        <v/>
      </c>
      <c r="K3729">
        <f>IF(B3729,INDEX(MineScale,C3729),"")</f>
        <v/>
      </c>
      <c r="L3729">
        <f>IF(B3729,INDEX(Dow,1,WEEKDAY(E3729,2)),"")</f>
        <v/>
      </c>
      <c r="M3729">
        <f>IF(B3729,(1+Trend)^D3729,"")</f>
        <v/>
      </c>
      <c r="N3729">
        <f>IF(B3729,EXP(SUMPRODUCT(LN(1+(EvEff-1)*INDEX(Affected,0,C3729)*EXP(-((E3729-EvCenter)^2)/(2*EvSigma^2))))),"")</f>
        <v/>
      </c>
      <c r="O3729">
        <f>IF(B3729,ROUND(MAX(0,J3729*K3729*L3729*M3729*N3729),2),"")</f>
        <v/>
      </c>
    </row>
    <row r="3730">
      <c r="A3730" t="n">
        <v>3729</v>
      </c>
      <c r="B3730">
        <f>A3730&lt;=MineCount*Days</f>
        <v/>
      </c>
      <c r="C3730">
        <f>IF(B3730,INT((A3730-1)/Days)+1,"")</f>
        <v/>
      </c>
      <c r="D3730">
        <f>IF(B3730,MOD(A3730-1,Days),"")</f>
        <v/>
      </c>
      <c r="E3730" s="16">
        <f>IF(B3730,StartDate+D3730,"")</f>
        <v/>
      </c>
      <c r="F3730">
        <f>IF(B3730,MAX(MOD(SIN(Seed*0.1373+C3730*12.9898+D3730*78.233)*43758.5453,1),1E-9),"")</f>
        <v/>
      </c>
      <c r="G3730">
        <f>IF(B3730,MOD(SIN(Seed*0.5917+C3730*39.3468+D3730*11.135)*24634.6345,1),"")</f>
        <v/>
      </c>
      <c r="H3730">
        <f>IF(B3730,SQRT(-2*LN(F3730))*COS(2*PI()*G3730),"")</f>
        <v/>
      </c>
      <c r="I3730">
        <f>IF(B3730,IF(D3730=0,H3730,Rho*I3729+SQRT(1-Rho^2)*H3730),"")</f>
        <v/>
      </c>
      <c r="J3730">
        <f>IF(B3730,IF(Dist="Normal",DistA+DistB*I3730,DistA+(DistB-DistA)*NORMSDIST(I3730)),"")</f>
        <v/>
      </c>
      <c r="K3730">
        <f>IF(B3730,INDEX(MineScale,C3730),"")</f>
        <v/>
      </c>
      <c r="L3730">
        <f>IF(B3730,INDEX(Dow,1,WEEKDAY(E3730,2)),"")</f>
        <v/>
      </c>
      <c r="M3730">
        <f>IF(B3730,(1+Trend)^D3730,"")</f>
        <v/>
      </c>
      <c r="N3730">
        <f>IF(B3730,EXP(SUMPRODUCT(LN(1+(EvEff-1)*INDEX(Affected,0,C3730)*EXP(-((E3730-EvCenter)^2)/(2*EvSigma^2))))),"")</f>
        <v/>
      </c>
      <c r="O3730">
        <f>IF(B3730,ROUND(MAX(0,J3730*K3730*L3730*M3730*N3730),2),"")</f>
        <v/>
      </c>
    </row>
    <row r="3731">
      <c r="A3731" t="n">
        <v>3730</v>
      </c>
      <c r="B3731">
        <f>A3731&lt;=MineCount*Days</f>
        <v/>
      </c>
      <c r="C3731">
        <f>IF(B3731,INT((A3731-1)/Days)+1,"")</f>
        <v/>
      </c>
      <c r="D3731">
        <f>IF(B3731,MOD(A3731-1,Days),"")</f>
        <v/>
      </c>
      <c r="E3731" s="16">
        <f>IF(B3731,StartDate+D3731,"")</f>
        <v/>
      </c>
      <c r="F3731">
        <f>IF(B3731,MAX(MOD(SIN(Seed*0.1373+C3731*12.9898+D3731*78.233)*43758.5453,1),1E-9),"")</f>
        <v/>
      </c>
      <c r="G3731">
        <f>IF(B3731,MOD(SIN(Seed*0.5917+C3731*39.3468+D3731*11.135)*24634.6345,1),"")</f>
        <v/>
      </c>
      <c r="H3731">
        <f>IF(B3731,SQRT(-2*LN(F3731))*COS(2*PI()*G3731),"")</f>
        <v/>
      </c>
      <c r="I3731">
        <f>IF(B3731,IF(D3731=0,H3731,Rho*I3730+SQRT(1-Rho^2)*H3731),"")</f>
        <v/>
      </c>
      <c r="J3731">
        <f>IF(B3731,IF(Dist="Normal",DistA+DistB*I3731,DistA+(DistB-DistA)*NORMSDIST(I3731)),"")</f>
        <v/>
      </c>
      <c r="K3731">
        <f>IF(B3731,INDEX(MineScale,C3731),"")</f>
        <v/>
      </c>
      <c r="L3731">
        <f>IF(B3731,INDEX(Dow,1,WEEKDAY(E3731,2)),"")</f>
        <v/>
      </c>
      <c r="M3731">
        <f>IF(B3731,(1+Trend)^D3731,"")</f>
        <v/>
      </c>
      <c r="N3731">
        <f>IF(B3731,EXP(SUMPRODUCT(LN(1+(EvEff-1)*INDEX(Affected,0,C3731)*EXP(-((E3731-EvCenter)^2)/(2*EvSigma^2))))),"")</f>
        <v/>
      </c>
      <c r="O3731">
        <f>IF(B3731,ROUND(MAX(0,J3731*K3731*L3731*M3731*N3731),2),"")</f>
        <v/>
      </c>
    </row>
    <row r="3732">
      <c r="A3732" t="n">
        <v>3731</v>
      </c>
      <c r="B3732">
        <f>A3732&lt;=MineCount*Days</f>
        <v/>
      </c>
      <c r="C3732">
        <f>IF(B3732,INT((A3732-1)/Days)+1,"")</f>
        <v/>
      </c>
      <c r="D3732">
        <f>IF(B3732,MOD(A3732-1,Days),"")</f>
        <v/>
      </c>
      <c r="E3732" s="16">
        <f>IF(B3732,StartDate+D3732,"")</f>
        <v/>
      </c>
      <c r="F3732">
        <f>IF(B3732,MAX(MOD(SIN(Seed*0.1373+C3732*12.9898+D3732*78.233)*43758.5453,1),1E-9),"")</f>
        <v/>
      </c>
      <c r="G3732">
        <f>IF(B3732,MOD(SIN(Seed*0.5917+C3732*39.3468+D3732*11.135)*24634.6345,1),"")</f>
        <v/>
      </c>
      <c r="H3732">
        <f>IF(B3732,SQRT(-2*LN(F3732))*COS(2*PI()*G3732),"")</f>
        <v/>
      </c>
      <c r="I3732">
        <f>IF(B3732,IF(D3732=0,H3732,Rho*I3731+SQRT(1-Rho^2)*H3732),"")</f>
        <v/>
      </c>
      <c r="J3732">
        <f>IF(B3732,IF(Dist="Normal",DistA+DistB*I3732,DistA+(DistB-DistA)*NORMSDIST(I3732)),"")</f>
        <v/>
      </c>
      <c r="K3732">
        <f>IF(B3732,INDEX(MineScale,C3732),"")</f>
        <v/>
      </c>
      <c r="L3732">
        <f>IF(B3732,INDEX(Dow,1,WEEKDAY(E3732,2)),"")</f>
        <v/>
      </c>
      <c r="M3732">
        <f>IF(B3732,(1+Trend)^D3732,"")</f>
        <v/>
      </c>
      <c r="N3732">
        <f>IF(B3732,EXP(SUMPRODUCT(LN(1+(EvEff-1)*INDEX(Affected,0,C3732)*EXP(-((E3732-EvCenter)^2)/(2*EvSigma^2))))),"")</f>
        <v/>
      </c>
      <c r="O3732">
        <f>IF(B3732,ROUND(MAX(0,J3732*K3732*L3732*M3732*N3732),2),"")</f>
        <v/>
      </c>
    </row>
    <row r="3733">
      <c r="A3733" t="n">
        <v>3732</v>
      </c>
      <c r="B3733">
        <f>A3733&lt;=MineCount*Days</f>
        <v/>
      </c>
      <c r="C3733">
        <f>IF(B3733,INT((A3733-1)/Days)+1,"")</f>
        <v/>
      </c>
      <c r="D3733">
        <f>IF(B3733,MOD(A3733-1,Days),"")</f>
        <v/>
      </c>
      <c r="E3733" s="16">
        <f>IF(B3733,StartDate+D3733,"")</f>
        <v/>
      </c>
      <c r="F3733">
        <f>IF(B3733,MAX(MOD(SIN(Seed*0.1373+C3733*12.9898+D3733*78.233)*43758.5453,1),1E-9),"")</f>
        <v/>
      </c>
      <c r="G3733">
        <f>IF(B3733,MOD(SIN(Seed*0.5917+C3733*39.3468+D3733*11.135)*24634.6345,1),"")</f>
        <v/>
      </c>
      <c r="H3733">
        <f>IF(B3733,SQRT(-2*LN(F3733))*COS(2*PI()*G3733),"")</f>
        <v/>
      </c>
      <c r="I3733">
        <f>IF(B3733,IF(D3733=0,H3733,Rho*I3732+SQRT(1-Rho^2)*H3733),"")</f>
        <v/>
      </c>
      <c r="J3733">
        <f>IF(B3733,IF(Dist="Normal",DistA+DistB*I3733,DistA+(DistB-DistA)*NORMSDIST(I3733)),"")</f>
        <v/>
      </c>
      <c r="K3733">
        <f>IF(B3733,INDEX(MineScale,C3733),"")</f>
        <v/>
      </c>
      <c r="L3733">
        <f>IF(B3733,INDEX(Dow,1,WEEKDAY(E3733,2)),"")</f>
        <v/>
      </c>
      <c r="M3733">
        <f>IF(B3733,(1+Trend)^D3733,"")</f>
        <v/>
      </c>
      <c r="N3733">
        <f>IF(B3733,EXP(SUMPRODUCT(LN(1+(EvEff-1)*INDEX(Affected,0,C3733)*EXP(-((E3733-EvCenter)^2)/(2*EvSigma^2))))),"")</f>
        <v/>
      </c>
      <c r="O3733">
        <f>IF(B3733,ROUND(MAX(0,J3733*K3733*L3733*M3733*N3733),2),"")</f>
        <v/>
      </c>
    </row>
    <row r="3734">
      <c r="A3734" t="n">
        <v>3733</v>
      </c>
      <c r="B3734">
        <f>A3734&lt;=MineCount*Days</f>
        <v/>
      </c>
      <c r="C3734">
        <f>IF(B3734,INT((A3734-1)/Days)+1,"")</f>
        <v/>
      </c>
      <c r="D3734">
        <f>IF(B3734,MOD(A3734-1,Days),"")</f>
        <v/>
      </c>
      <c r="E3734" s="16">
        <f>IF(B3734,StartDate+D3734,"")</f>
        <v/>
      </c>
      <c r="F3734">
        <f>IF(B3734,MAX(MOD(SIN(Seed*0.1373+C3734*12.9898+D3734*78.233)*43758.5453,1),1E-9),"")</f>
        <v/>
      </c>
      <c r="G3734">
        <f>IF(B3734,MOD(SIN(Seed*0.5917+C3734*39.3468+D3734*11.135)*24634.6345,1),"")</f>
        <v/>
      </c>
      <c r="H3734">
        <f>IF(B3734,SQRT(-2*LN(F3734))*COS(2*PI()*G3734),"")</f>
        <v/>
      </c>
      <c r="I3734">
        <f>IF(B3734,IF(D3734=0,H3734,Rho*I3733+SQRT(1-Rho^2)*H3734),"")</f>
        <v/>
      </c>
      <c r="J3734">
        <f>IF(B3734,IF(Dist="Normal",DistA+DistB*I3734,DistA+(DistB-DistA)*NORMSDIST(I3734)),"")</f>
        <v/>
      </c>
      <c r="K3734">
        <f>IF(B3734,INDEX(MineScale,C3734),"")</f>
        <v/>
      </c>
      <c r="L3734">
        <f>IF(B3734,INDEX(Dow,1,WEEKDAY(E3734,2)),"")</f>
        <v/>
      </c>
      <c r="M3734">
        <f>IF(B3734,(1+Trend)^D3734,"")</f>
        <v/>
      </c>
      <c r="N3734">
        <f>IF(B3734,EXP(SUMPRODUCT(LN(1+(EvEff-1)*INDEX(Affected,0,C3734)*EXP(-((E3734-EvCenter)^2)/(2*EvSigma^2))))),"")</f>
        <v/>
      </c>
      <c r="O3734">
        <f>IF(B3734,ROUND(MAX(0,J3734*K3734*L3734*M3734*N3734),2),"")</f>
        <v/>
      </c>
    </row>
    <row r="3735">
      <c r="A3735" t="n">
        <v>3734</v>
      </c>
      <c r="B3735">
        <f>A3735&lt;=MineCount*Days</f>
        <v/>
      </c>
      <c r="C3735">
        <f>IF(B3735,INT((A3735-1)/Days)+1,"")</f>
        <v/>
      </c>
      <c r="D3735">
        <f>IF(B3735,MOD(A3735-1,Days),"")</f>
        <v/>
      </c>
      <c r="E3735" s="16">
        <f>IF(B3735,StartDate+D3735,"")</f>
        <v/>
      </c>
      <c r="F3735">
        <f>IF(B3735,MAX(MOD(SIN(Seed*0.1373+C3735*12.9898+D3735*78.233)*43758.5453,1),1E-9),"")</f>
        <v/>
      </c>
      <c r="G3735">
        <f>IF(B3735,MOD(SIN(Seed*0.5917+C3735*39.3468+D3735*11.135)*24634.6345,1),"")</f>
        <v/>
      </c>
      <c r="H3735">
        <f>IF(B3735,SQRT(-2*LN(F3735))*COS(2*PI()*G3735),"")</f>
        <v/>
      </c>
      <c r="I3735">
        <f>IF(B3735,IF(D3735=0,H3735,Rho*I3734+SQRT(1-Rho^2)*H3735),"")</f>
        <v/>
      </c>
      <c r="J3735">
        <f>IF(B3735,IF(Dist="Normal",DistA+DistB*I3735,DistA+(DistB-DistA)*NORMSDIST(I3735)),"")</f>
        <v/>
      </c>
      <c r="K3735">
        <f>IF(B3735,INDEX(MineScale,C3735),"")</f>
        <v/>
      </c>
      <c r="L3735">
        <f>IF(B3735,INDEX(Dow,1,WEEKDAY(E3735,2)),"")</f>
        <v/>
      </c>
      <c r="M3735">
        <f>IF(B3735,(1+Trend)^D3735,"")</f>
        <v/>
      </c>
      <c r="N3735">
        <f>IF(B3735,EXP(SUMPRODUCT(LN(1+(EvEff-1)*INDEX(Affected,0,C3735)*EXP(-((E3735-EvCenter)^2)/(2*EvSigma^2))))),"")</f>
        <v/>
      </c>
      <c r="O3735">
        <f>IF(B3735,ROUND(MAX(0,J3735*K3735*L3735*M3735*N3735),2),"")</f>
        <v/>
      </c>
    </row>
    <row r="3736">
      <c r="A3736" t="n">
        <v>3735</v>
      </c>
      <c r="B3736">
        <f>A3736&lt;=MineCount*Days</f>
        <v/>
      </c>
      <c r="C3736">
        <f>IF(B3736,INT((A3736-1)/Days)+1,"")</f>
        <v/>
      </c>
      <c r="D3736">
        <f>IF(B3736,MOD(A3736-1,Days),"")</f>
        <v/>
      </c>
      <c r="E3736" s="16">
        <f>IF(B3736,StartDate+D3736,"")</f>
        <v/>
      </c>
      <c r="F3736">
        <f>IF(B3736,MAX(MOD(SIN(Seed*0.1373+C3736*12.9898+D3736*78.233)*43758.5453,1),1E-9),"")</f>
        <v/>
      </c>
      <c r="G3736">
        <f>IF(B3736,MOD(SIN(Seed*0.5917+C3736*39.3468+D3736*11.135)*24634.6345,1),"")</f>
        <v/>
      </c>
      <c r="H3736">
        <f>IF(B3736,SQRT(-2*LN(F3736))*COS(2*PI()*G3736),"")</f>
        <v/>
      </c>
      <c r="I3736">
        <f>IF(B3736,IF(D3736=0,H3736,Rho*I3735+SQRT(1-Rho^2)*H3736),"")</f>
        <v/>
      </c>
      <c r="J3736">
        <f>IF(B3736,IF(Dist="Normal",DistA+DistB*I3736,DistA+(DistB-DistA)*NORMSDIST(I3736)),"")</f>
        <v/>
      </c>
      <c r="K3736">
        <f>IF(B3736,INDEX(MineScale,C3736),"")</f>
        <v/>
      </c>
      <c r="L3736">
        <f>IF(B3736,INDEX(Dow,1,WEEKDAY(E3736,2)),"")</f>
        <v/>
      </c>
      <c r="M3736">
        <f>IF(B3736,(1+Trend)^D3736,"")</f>
        <v/>
      </c>
      <c r="N3736">
        <f>IF(B3736,EXP(SUMPRODUCT(LN(1+(EvEff-1)*INDEX(Affected,0,C3736)*EXP(-((E3736-EvCenter)^2)/(2*EvSigma^2))))),"")</f>
        <v/>
      </c>
      <c r="O3736">
        <f>IF(B3736,ROUND(MAX(0,J3736*K3736*L3736*M3736*N3736),2),"")</f>
        <v/>
      </c>
    </row>
    <row r="3737">
      <c r="A3737" t="n">
        <v>3736</v>
      </c>
      <c r="B3737">
        <f>A3737&lt;=MineCount*Days</f>
        <v/>
      </c>
      <c r="C3737">
        <f>IF(B3737,INT((A3737-1)/Days)+1,"")</f>
        <v/>
      </c>
      <c r="D3737">
        <f>IF(B3737,MOD(A3737-1,Days),"")</f>
        <v/>
      </c>
      <c r="E3737" s="16">
        <f>IF(B3737,StartDate+D3737,"")</f>
        <v/>
      </c>
      <c r="F3737">
        <f>IF(B3737,MAX(MOD(SIN(Seed*0.1373+C3737*12.9898+D3737*78.233)*43758.5453,1),1E-9),"")</f>
        <v/>
      </c>
      <c r="G3737">
        <f>IF(B3737,MOD(SIN(Seed*0.5917+C3737*39.3468+D3737*11.135)*24634.6345,1),"")</f>
        <v/>
      </c>
      <c r="H3737">
        <f>IF(B3737,SQRT(-2*LN(F3737))*COS(2*PI()*G3737),"")</f>
        <v/>
      </c>
      <c r="I3737">
        <f>IF(B3737,IF(D3737=0,H3737,Rho*I3736+SQRT(1-Rho^2)*H3737),"")</f>
        <v/>
      </c>
      <c r="J3737">
        <f>IF(B3737,IF(Dist="Normal",DistA+DistB*I3737,DistA+(DistB-DistA)*NORMSDIST(I3737)),"")</f>
        <v/>
      </c>
      <c r="K3737">
        <f>IF(B3737,INDEX(MineScale,C3737),"")</f>
        <v/>
      </c>
      <c r="L3737">
        <f>IF(B3737,INDEX(Dow,1,WEEKDAY(E3737,2)),"")</f>
        <v/>
      </c>
      <c r="M3737">
        <f>IF(B3737,(1+Trend)^D3737,"")</f>
        <v/>
      </c>
      <c r="N3737">
        <f>IF(B3737,EXP(SUMPRODUCT(LN(1+(EvEff-1)*INDEX(Affected,0,C3737)*EXP(-((E3737-EvCenter)^2)/(2*EvSigma^2))))),"")</f>
        <v/>
      </c>
      <c r="O3737">
        <f>IF(B3737,ROUND(MAX(0,J3737*K3737*L3737*M3737*N3737),2),"")</f>
        <v/>
      </c>
    </row>
    <row r="3738">
      <c r="A3738" t="n">
        <v>3737</v>
      </c>
      <c r="B3738">
        <f>A3738&lt;=MineCount*Days</f>
        <v/>
      </c>
      <c r="C3738">
        <f>IF(B3738,INT((A3738-1)/Days)+1,"")</f>
        <v/>
      </c>
      <c r="D3738">
        <f>IF(B3738,MOD(A3738-1,Days),"")</f>
        <v/>
      </c>
      <c r="E3738" s="16">
        <f>IF(B3738,StartDate+D3738,"")</f>
        <v/>
      </c>
      <c r="F3738">
        <f>IF(B3738,MAX(MOD(SIN(Seed*0.1373+C3738*12.9898+D3738*78.233)*43758.5453,1),1E-9),"")</f>
        <v/>
      </c>
      <c r="G3738">
        <f>IF(B3738,MOD(SIN(Seed*0.5917+C3738*39.3468+D3738*11.135)*24634.6345,1),"")</f>
        <v/>
      </c>
      <c r="H3738">
        <f>IF(B3738,SQRT(-2*LN(F3738))*COS(2*PI()*G3738),"")</f>
        <v/>
      </c>
      <c r="I3738">
        <f>IF(B3738,IF(D3738=0,H3738,Rho*I3737+SQRT(1-Rho^2)*H3738),"")</f>
        <v/>
      </c>
      <c r="J3738">
        <f>IF(B3738,IF(Dist="Normal",DistA+DistB*I3738,DistA+(DistB-DistA)*NORMSDIST(I3738)),"")</f>
        <v/>
      </c>
      <c r="K3738">
        <f>IF(B3738,INDEX(MineScale,C3738),"")</f>
        <v/>
      </c>
      <c r="L3738">
        <f>IF(B3738,INDEX(Dow,1,WEEKDAY(E3738,2)),"")</f>
        <v/>
      </c>
      <c r="M3738">
        <f>IF(B3738,(1+Trend)^D3738,"")</f>
        <v/>
      </c>
      <c r="N3738">
        <f>IF(B3738,EXP(SUMPRODUCT(LN(1+(EvEff-1)*INDEX(Affected,0,C3738)*EXP(-((E3738-EvCenter)^2)/(2*EvSigma^2))))),"")</f>
        <v/>
      </c>
      <c r="O3738">
        <f>IF(B3738,ROUND(MAX(0,J3738*K3738*L3738*M3738*N3738),2),"")</f>
        <v/>
      </c>
    </row>
    <row r="3739">
      <c r="A3739" t="n">
        <v>3738</v>
      </c>
      <c r="B3739">
        <f>A3739&lt;=MineCount*Days</f>
        <v/>
      </c>
      <c r="C3739">
        <f>IF(B3739,INT((A3739-1)/Days)+1,"")</f>
        <v/>
      </c>
      <c r="D3739">
        <f>IF(B3739,MOD(A3739-1,Days),"")</f>
        <v/>
      </c>
      <c r="E3739" s="16">
        <f>IF(B3739,StartDate+D3739,"")</f>
        <v/>
      </c>
      <c r="F3739">
        <f>IF(B3739,MAX(MOD(SIN(Seed*0.1373+C3739*12.9898+D3739*78.233)*43758.5453,1),1E-9),"")</f>
        <v/>
      </c>
      <c r="G3739">
        <f>IF(B3739,MOD(SIN(Seed*0.5917+C3739*39.3468+D3739*11.135)*24634.6345,1),"")</f>
        <v/>
      </c>
      <c r="H3739">
        <f>IF(B3739,SQRT(-2*LN(F3739))*COS(2*PI()*G3739),"")</f>
        <v/>
      </c>
      <c r="I3739">
        <f>IF(B3739,IF(D3739=0,H3739,Rho*I3738+SQRT(1-Rho^2)*H3739),"")</f>
        <v/>
      </c>
      <c r="J3739">
        <f>IF(B3739,IF(Dist="Normal",DistA+DistB*I3739,DistA+(DistB-DistA)*NORMSDIST(I3739)),"")</f>
        <v/>
      </c>
      <c r="K3739">
        <f>IF(B3739,INDEX(MineScale,C3739),"")</f>
        <v/>
      </c>
      <c r="L3739">
        <f>IF(B3739,INDEX(Dow,1,WEEKDAY(E3739,2)),"")</f>
        <v/>
      </c>
      <c r="M3739">
        <f>IF(B3739,(1+Trend)^D3739,"")</f>
        <v/>
      </c>
      <c r="N3739">
        <f>IF(B3739,EXP(SUMPRODUCT(LN(1+(EvEff-1)*INDEX(Affected,0,C3739)*EXP(-((E3739-EvCenter)^2)/(2*EvSigma^2))))),"")</f>
        <v/>
      </c>
      <c r="O3739">
        <f>IF(B3739,ROUND(MAX(0,J3739*K3739*L3739*M3739*N3739),2),"")</f>
        <v/>
      </c>
    </row>
    <row r="3740">
      <c r="A3740" t="n">
        <v>3739</v>
      </c>
      <c r="B3740">
        <f>A3740&lt;=MineCount*Days</f>
        <v/>
      </c>
      <c r="C3740">
        <f>IF(B3740,INT((A3740-1)/Days)+1,"")</f>
        <v/>
      </c>
      <c r="D3740">
        <f>IF(B3740,MOD(A3740-1,Days),"")</f>
        <v/>
      </c>
      <c r="E3740" s="16">
        <f>IF(B3740,StartDate+D3740,"")</f>
        <v/>
      </c>
      <c r="F3740">
        <f>IF(B3740,MAX(MOD(SIN(Seed*0.1373+C3740*12.9898+D3740*78.233)*43758.5453,1),1E-9),"")</f>
        <v/>
      </c>
      <c r="G3740">
        <f>IF(B3740,MOD(SIN(Seed*0.5917+C3740*39.3468+D3740*11.135)*24634.6345,1),"")</f>
        <v/>
      </c>
      <c r="H3740">
        <f>IF(B3740,SQRT(-2*LN(F3740))*COS(2*PI()*G3740),"")</f>
        <v/>
      </c>
      <c r="I3740">
        <f>IF(B3740,IF(D3740=0,H3740,Rho*I3739+SQRT(1-Rho^2)*H3740),"")</f>
        <v/>
      </c>
      <c r="J3740">
        <f>IF(B3740,IF(Dist="Normal",DistA+DistB*I3740,DistA+(DistB-DistA)*NORMSDIST(I3740)),"")</f>
        <v/>
      </c>
      <c r="K3740">
        <f>IF(B3740,INDEX(MineScale,C3740),"")</f>
        <v/>
      </c>
      <c r="L3740">
        <f>IF(B3740,INDEX(Dow,1,WEEKDAY(E3740,2)),"")</f>
        <v/>
      </c>
      <c r="M3740">
        <f>IF(B3740,(1+Trend)^D3740,"")</f>
        <v/>
      </c>
      <c r="N3740">
        <f>IF(B3740,EXP(SUMPRODUCT(LN(1+(EvEff-1)*INDEX(Affected,0,C3740)*EXP(-((E3740-EvCenter)^2)/(2*EvSigma^2))))),"")</f>
        <v/>
      </c>
      <c r="O3740">
        <f>IF(B3740,ROUND(MAX(0,J3740*K3740*L3740*M3740*N3740),2),"")</f>
        <v/>
      </c>
    </row>
    <row r="3741">
      <c r="A3741" t="n">
        <v>3740</v>
      </c>
      <c r="B3741">
        <f>A3741&lt;=MineCount*Days</f>
        <v/>
      </c>
      <c r="C3741">
        <f>IF(B3741,INT((A3741-1)/Days)+1,"")</f>
        <v/>
      </c>
      <c r="D3741">
        <f>IF(B3741,MOD(A3741-1,Days),"")</f>
        <v/>
      </c>
      <c r="E3741" s="16">
        <f>IF(B3741,StartDate+D3741,"")</f>
        <v/>
      </c>
      <c r="F3741">
        <f>IF(B3741,MAX(MOD(SIN(Seed*0.1373+C3741*12.9898+D3741*78.233)*43758.5453,1),1E-9),"")</f>
        <v/>
      </c>
      <c r="G3741">
        <f>IF(B3741,MOD(SIN(Seed*0.5917+C3741*39.3468+D3741*11.135)*24634.6345,1),"")</f>
        <v/>
      </c>
      <c r="H3741">
        <f>IF(B3741,SQRT(-2*LN(F3741))*COS(2*PI()*G3741),"")</f>
        <v/>
      </c>
      <c r="I3741">
        <f>IF(B3741,IF(D3741=0,H3741,Rho*I3740+SQRT(1-Rho^2)*H3741),"")</f>
        <v/>
      </c>
      <c r="J3741">
        <f>IF(B3741,IF(Dist="Normal",DistA+DistB*I3741,DistA+(DistB-DistA)*NORMSDIST(I3741)),"")</f>
        <v/>
      </c>
      <c r="K3741">
        <f>IF(B3741,INDEX(MineScale,C3741),"")</f>
        <v/>
      </c>
      <c r="L3741">
        <f>IF(B3741,INDEX(Dow,1,WEEKDAY(E3741,2)),"")</f>
        <v/>
      </c>
      <c r="M3741">
        <f>IF(B3741,(1+Trend)^D3741,"")</f>
        <v/>
      </c>
      <c r="N3741">
        <f>IF(B3741,EXP(SUMPRODUCT(LN(1+(EvEff-1)*INDEX(Affected,0,C3741)*EXP(-((E3741-EvCenter)^2)/(2*EvSigma^2))))),"")</f>
        <v/>
      </c>
      <c r="O3741">
        <f>IF(B3741,ROUND(MAX(0,J3741*K3741*L3741*M3741*N3741),2),"")</f>
        <v/>
      </c>
    </row>
    <row r="3742">
      <c r="A3742" t="n">
        <v>3741</v>
      </c>
      <c r="B3742">
        <f>A3742&lt;=MineCount*Days</f>
        <v/>
      </c>
      <c r="C3742">
        <f>IF(B3742,INT((A3742-1)/Days)+1,"")</f>
        <v/>
      </c>
      <c r="D3742">
        <f>IF(B3742,MOD(A3742-1,Days),"")</f>
        <v/>
      </c>
      <c r="E3742" s="16">
        <f>IF(B3742,StartDate+D3742,"")</f>
        <v/>
      </c>
      <c r="F3742">
        <f>IF(B3742,MAX(MOD(SIN(Seed*0.1373+C3742*12.9898+D3742*78.233)*43758.5453,1),1E-9),"")</f>
        <v/>
      </c>
      <c r="G3742">
        <f>IF(B3742,MOD(SIN(Seed*0.5917+C3742*39.3468+D3742*11.135)*24634.6345,1),"")</f>
        <v/>
      </c>
      <c r="H3742">
        <f>IF(B3742,SQRT(-2*LN(F3742))*COS(2*PI()*G3742),"")</f>
        <v/>
      </c>
      <c r="I3742">
        <f>IF(B3742,IF(D3742=0,H3742,Rho*I3741+SQRT(1-Rho^2)*H3742),"")</f>
        <v/>
      </c>
      <c r="J3742">
        <f>IF(B3742,IF(Dist="Normal",DistA+DistB*I3742,DistA+(DistB-DistA)*NORMSDIST(I3742)),"")</f>
        <v/>
      </c>
      <c r="K3742">
        <f>IF(B3742,INDEX(MineScale,C3742),"")</f>
        <v/>
      </c>
      <c r="L3742">
        <f>IF(B3742,INDEX(Dow,1,WEEKDAY(E3742,2)),"")</f>
        <v/>
      </c>
      <c r="M3742">
        <f>IF(B3742,(1+Trend)^D3742,"")</f>
        <v/>
      </c>
      <c r="N3742">
        <f>IF(B3742,EXP(SUMPRODUCT(LN(1+(EvEff-1)*INDEX(Affected,0,C3742)*EXP(-((E3742-EvCenter)^2)/(2*EvSigma^2))))),"")</f>
        <v/>
      </c>
      <c r="O3742">
        <f>IF(B3742,ROUND(MAX(0,J3742*K3742*L3742*M3742*N3742),2),"")</f>
        <v/>
      </c>
    </row>
    <row r="3743">
      <c r="A3743" t="n">
        <v>3742</v>
      </c>
      <c r="B3743">
        <f>A3743&lt;=MineCount*Days</f>
        <v/>
      </c>
      <c r="C3743">
        <f>IF(B3743,INT((A3743-1)/Days)+1,"")</f>
        <v/>
      </c>
      <c r="D3743">
        <f>IF(B3743,MOD(A3743-1,Days),"")</f>
        <v/>
      </c>
      <c r="E3743" s="16">
        <f>IF(B3743,StartDate+D3743,"")</f>
        <v/>
      </c>
      <c r="F3743">
        <f>IF(B3743,MAX(MOD(SIN(Seed*0.1373+C3743*12.9898+D3743*78.233)*43758.5453,1),1E-9),"")</f>
        <v/>
      </c>
      <c r="G3743">
        <f>IF(B3743,MOD(SIN(Seed*0.5917+C3743*39.3468+D3743*11.135)*24634.6345,1),"")</f>
        <v/>
      </c>
      <c r="H3743">
        <f>IF(B3743,SQRT(-2*LN(F3743))*COS(2*PI()*G3743),"")</f>
        <v/>
      </c>
      <c r="I3743">
        <f>IF(B3743,IF(D3743=0,H3743,Rho*I3742+SQRT(1-Rho^2)*H3743),"")</f>
        <v/>
      </c>
      <c r="J3743">
        <f>IF(B3743,IF(Dist="Normal",DistA+DistB*I3743,DistA+(DistB-DistA)*NORMSDIST(I3743)),"")</f>
        <v/>
      </c>
      <c r="K3743">
        <f>IF(B3743,INDEX(MineScale,C3743),"")</f>
        <v/>
      </c>
      <c r="L3743">
        <f>IF(B3743,INDEX(Dow,1,WEEKDAY(E3743,2)),"")</f>
        <v/>
      </c>
      <c r="M3743">
        <f>IF(B3743,(1+Trend)^D3743,"")</f>
        <v/>
      </c>
      <c r="N3743">
        <f>IF(B3743,EXP(SUMPRODUCT(LN(1+(EvEff-1)*INDEX(Affected,0,C3743)*EXP(-((E3743-EvCenter)^2)/(2*EvSigma^2))))),"")</f>
        <v/>
      </c>
      <c r="O3743">
        <f>IF(B3743,ROUND(MAX(0,J3743*K3743*L3743*M3743*N3743),2),"")</f>
        <v/>
      </c>
    </row>
    <row r="3744">
      <c r="A3744" t="n">
        <v>3743</v>
      </c>
      <c r="B3744">
        <f>A3744&lt;=MineCount*Days</f>
        <v/>
      </c>
      <c r="C3744">
        <f>IF(B3744,INT((A3744-1)/Days)+1,"")</f>
        <v/>
      </c>
      <c r="D3744">
        <f>IF(B3744,MOD(A3744-1,Days),"")</f>
        <v/>
      </c>
      <c r="E3744" s="16">
        <f>IF(B3744,StartDate+D3744,"")</f>
        <v/>
      </c>
      <c r="F3744">
        <f>IF(B3744,MAX(MOD(SIN(Seed*0.1373+C3744*12.9898+D3744*78.233)*43758.5453,1),1E-9),"")</f>
        <v/>
      </c>
      <c r="G3744">
        <f>IF(B3744,MOD(SIN(Seed*0.5917+C3744*39.3468+D3744*11.135)*24634.6345,1),"")</f>
        <v/>
      </c>
      <c r="H3744">
        <f>IF(B3744,SQRT(-2*LN(F3744))*COS(2*PI()*G3744),"")</f>
        <v/>
      </c>
      <c r="I3744">
        <f>IF(B3744,IF(D3744=0,H3744,Rho*I3743+SQRT(1-Rho^2)*H3744),"")</f>
        <v/>
      </c>
      <c r="J3744">
        <f>IF(B3744,IF(Dist="Normal",DistA+DistB*I3744,DistA+(DistB-DistA)*NORMSDIST(I3744)),"")</f>
        <v/>
      </c>
      <c r="K3744">
        <f>IF(B3744,INDEX(MineScale,C3744),"")</f>
        <v/>
      </c>
      <c r="L3744">
        <f>IF(B3744,INDEX(Dow,1,WEEKDAY(E3744,2)),"")</f>
        <v/>
      </c>
      <c r="M3744">
        <f>IF(B3744,(1+Trend)^D3744,"")</f>
        <v/>
      </c>
      <c r="N3744">
        <f>IF(B3744,EXP(SUMPRODUCT(LN(1+(EvEff-1)*INDEX(Affected,0,C3744)*EXP(-((E3744-EvCenter)^2)/(2*EvSigma^2))))),"")</f>
        <v/>
      </c>
      <c r="O3744">
        <f>IF(B3744,ROUND(MAX(0,J3744*K3744*L3744*M3744*N3744),2),"")</f>
        <v/>
      </c>
    </row>
    <row r="3745">
      <c r="A3745" t="n">
        <v>3744</v>
      </c>
      <c r="B3745">
        <f>A3745&lt;=MineCount*Days</f>
        <v/>
      </c>
      <c r="C3745">
        <f>IF(B3745,INT((A3745-1)/Days)+1,"")</f>
        <v/>
      </c>
      <c r="D3745">
        <f>IF(B3745,MOD(A3745-1,Days),"")</f>
        <v/>
      </c>
      <c r="E3745" s="16">
        <f>IF(B3745,StartDate+D3745,"")</f>
        <v/>
      </c>
      <c r="F3745">
        <f>IF(B3745,MAX(MOD(SIN(Seed*0.1373+C3745*12.9898+D3745*78.233)*43758.5453,1),1E-9),"")</f>
        <v/>
      </c>
      <c r="G3745">
        <f>IF(B3745,MOD(SIN(Seed*0.5917+C3745*39.3468+D3745*11.135)*24634.6345,1),"")</f>
        <v/>
      </c>
      <c r="H3745">
        <f>IF(B3745,SQRT(-2*LN(F3745))*COS(2*PI()*G3745),"")</f>
        <v/>
      </c>
      <c r="I3745">
        <f>IF(B3745,IF(D3745=0,H3745,Rho*I3744+SQRT(1-Rho^2)*H3745),"")</f>
        <v/>
      </c>
      <c r="J3745">
        <f>IF(B3745,IF(Dist="Normal",DistA+DistB*I3745,DistA+(DistB-DistA)*NORMSDIST(I3745)),"")</f>
        <v/>
      </c>
      <c r="K3745">
        <f>IF(B3745,INDEX(MineScale,C3745),"")</f>
        <v/>
      </c>
      <c r="L3745">
        <f>IF(B3745,INDEX(Dow,1,WEEKDAY(E3745,2)),"")</f>
        <v/>
      </c>
      <c r="M3745">
        <f>IF(B3745,(1+Trend)^D3745,"")</f>
        <v/>
      </c>
      <c r="N3745">
        <f>IF(B3745,EXP(SUMPRODUCT(LN(1+(EvEff-1)*INDEX(Affected,0,C3745)*EXP(-((E3745-EvCenter)^2)/(2*EvSigma^2))))),"")</f>
        <v/>
      </c>
      <c r="O3745">
        <f>IF(B3745,ROUND(MAX(0,J3745*K3745*L3745*M3745*N3745),2),"")</f>
        <v/>
      </c>
    </row>
    <row r="3746">
      <c r="A3746" t="n">
        <v>3745</v>
      </c>
      <c r="B3746">
        <f>A3746&lt;=MineCount*Days</f>
        <v/>
      </c>
      <c r="C3746">
        <f>IF(B3746,INT((A3746-1)/Days)+1,"")</f>
        <v/>
      </c>
      <c r="D3746">
        <f>IF(B3746,MOD(A3746-1,Days),"")</f>
        <v/>
      </c>
      <c r="E3746" s="16">
        <f>IF(B3746,StartDate+D3746,"")</f>
        <v/>
      </c>
      <c r="F3746">
        <f>IF(B3746,MAX(MOD(SIN(Seed*0.1373+C3746*12.9898+D3746*78.233)*43758.5453,1),1E-9),"")</f>
        <v/>
      </c>
      <c r="G3746">
        <f>IF(B3746,MOD(SIN(Seed*0.5917+C3746*39.3468+D3746*11.135)*24634.6345,1),"")</f>
        <v/>
      </c>
      <c r="H3746">
        <f>IF(B3746,SQRT(-2*LN(F3746))*COS(2*PI()*G3746),"")</f>
        <v/>
      </c>
      <c r="I3746">
        <f>IF(B3746,IF(D3746=0,H3746,Rho*I3745+SQRT(1-Rho^2)*H3746),"")</f>
        <v/>
      </c>
      <c r="J3746">
        <f>IF(B3746,IF(Dist="Normal",DistA+DistB*I3746,DistA+(DistB-DistA)*NORMSDIST(I3746)),"")</f>
        <v/>
      </c>
      <c r="K3746">
        <f>IF(B3746,INDEX(MineScale,C3746),"")</f>
        <v/>
      </c>
      <c r="L3746">
        <f>IF(B3746,INDEX(Dow,1,WEEKDAY(E3746,2)),"")</f>
        <v/>
      </c>
      <c r="M3746">
        <f>IF(B3746,(1+Trend)^D3746,"")</f>
        <v/>
      </c>
      <c r="N3746">
        <f>IF(B3746,EXP(SUMPRODUCT(LN(1+(EvEff-1)*INDEX(Affected,0,C3746)*EXP(-((E3746-EvCenter)^2)/(2*EvSigma^2))))),"")</f>
        <v/>
      </c>
      <c r="O3746">
        <f>IF(B3746,ROUND(MAX(0,J3746*K3746*L3746*M3746*N3746),2),"")</f>
        <v/>
      </c>
    </row>
    <row r="3747">
      <c r="A3747" t="n">
        <v>3746</v>
      </c>
      <c r="B3747">
        <f>A3747&lt;=MineCount*Days</f>
        <v/>
      </c>
      <c r="C3747">
        <f>IF(B3747,INT((A3747-1)/Days)+1,"")</f>
        <v/>
      </c>
      <c r="D3747">
        <f>IF(B3747,MOD(A3747-1,Days),"")</f>
        <v/>
      </c>
      <c r="E3747" s="16">
        <f>IF(B3747,StartDate+D3747,"")</f>
        <v/>
      </c>
      <c r="F3747">
        <f>IF(B3747,MAX(MOD(SIN(Seed*0.1373+C3747*12.9898+D3747*78.233)*43758.5453,1),1E-9),"")</f>
        <v/>
      </c>
      <c r="G3747">
        <f>IF(B3747,MOD(SIN(Seed*0.5917+C3747*39.3468+D3747*11.135)*24634.6345,1),"")</f>
        <v/>
      </c>
      <c r="H3747">
        <f>IF(B3747,SQRT(-2*LN(F3747))*COS(2*PI()*G3747),"")</f>
        <v/>
      </c>
      <c r="I3747">
        <f>IF(B3747,IF(D3747=0,H3747,Rho*I3746+SQRT(1-Rho^2)*H3747),"")</f>
        <v/>
      </c>
      <c r="J3747">
        <f>IF(B3747,IF(Dist="Normal",DistA+DistB*I3747,DistA+(DistB-DistA)*NORMSDIST(I3747)),"")</f>
        <v/>
      </c>
      <c r="K3747">
        <f>IF(B3747,INDEX(MineScale,C3747),"")</f>
        <v/>
      </c>
      <c r="L3747">
        <f>IF(B3747,INDEX(Dow,1,WEEKDAY(E3747,2)),"")</f>
        <v/>
      </c>
      <c r="M3747">
        <f>IF(B3747,(1+Trend)^D3747,"")</f>
        <v/>
      </c>
      <c r="N3747">
        <f>IF(B3747,EXP(SUMPRODUCT(LN(1+(EvEff-1)*INDEX(Affected,0,C3747)*EXP(-((E3747-EvCenter)^2)/(2*EvSigma^2))))),"")</f>
        <v/>
      </c>
      <c r="O3747">
        <f>IF(B3747,ROUND(MAX(0,J3747*K3747*L3747*M3747*N3747),2),"")</f>
        <v/>
      </c>
    </row>
    <row r="3748">
      <c r="A3748" t="n">
        <v>3747</v>
      </c>
      <c r="B3748">
        <f>A3748&lt;=MineCount*Days</f>
        <v/>
      </c>
      <c r="C3748">
        <f>IF(B3748,INT((A3748-1)/Days)+1,"")</f>
        <v/>
      </c>
      <c r="D3748">
        <f>IF(B3748,MOD(A3748-1,Days),"")</f>
        <v/>
      </c>
      <c r="E3748" s="16">
        <f>IF(B3748,StartDate+D3748,"")</f>
        <v/>
      </c>
      <c r="F3748">
        <f>IF(B3748,MAX(MOD(SIN(Seed*0.1373+C3748*12.9898+D3748*78.233)*43758.5453,1),1E-9),"")</f>
        <v/>
      </c>
      <c r="G3748">
        <f>IF(B3748,MOD(SIN(Seed*0.5917+C3748*39.3468+D3748*11.135)*24634.6345,1),"")</f>
        <v/>
      </c>
      <c r="H3748">
        <f>IF(B3748,SQRT(-2*LN(F3748))*COS(2*PI()*G3748),"")</f>
        <v/>
      </c>
      <c r="I3748">
        <f>IF(B3748,IF(D3748=0,H3748,Rho*I3747+SQRT(1-Rho^2)*H3748),"")</f>
        <v/>
      </c>
      <c r="J3748">
        <f>IF(B3748,IF(Dist="Normal",DistA+DistB*I3748,DistA+(DistB-DistA)*NORMSDIST(I3748)),"")</f>
        <v/>
      </c>
      <c r="K3748">
        <f>IF(B3748,INDEX(MineScale,C3748),"")</f>
        <v/>
      </c>
      <c r="L3748">
        <f>IF(B3748,INDEX(Dow,1,WEEKDAY(E3748,2)),"")</f>
        <v/>
      </c>
      <c r="M3748">
        <f>IF(B3748,(1+Trend)^D3748,"")</f>
        <v/>
      </c>
      <c r="N3748">
        <f>IF(B3748,EXP(SUMPRODUCT(LN(1+(EvEff-1)*INDEX(Affected,0,C3748)*EXP(-((E3748-EvCenter)^2)/(2*EvSigma^2))))),"")</f>
        <v/>
      </c>
      <c r="O3748">
        <f>IF(B3748,ROUND(MAX(0,J3748*K3748*L3748*M3748*N3748),2),"")</f>
        <v/>
      </c>
    </row>
    <row r="3749">
      <c r="A3749" t="n">
        <v>3748</v>
      </c>
      <c r="B3749">
        <f>A3749&lt;=MineCount*Days</f>
        <v/>
      </c>
      <c r="C3749">
        <f>IF(B3749,INT((A3749-1)/Days)+1,"")</f>
        <v/>
      </c>
      <c r="D3749">
        <f>IF(B3749,MOD(A3749-1,Days),"")</f>
        <v/>
      </c>
      <c r="E3749" s="16">
        <f>IF(B3749,StartDate+D3749,"")</f>
        <v/>
      </c>
      <c r="F3749">
        <f>IF(B3749,MAX(MOD(SIN(Seed*0.1373+C3749*12.9898+D3749*78.233)*43758.5453,1),1E-9),"")</f>
        <v/>
      </c>
      <c r="G3749">
        <f>IF(B3749,MOD(SIN(Seed*0.5917+C3749*39.3468+D3749*11.135)*24634.6345,1),"")</f>
        <v/>
      </c>
      <c r="H3749">
        <f>IF(B3749,SQRT(-2*LN(F3749))*COS(2*PI()*G3749),"")</f>
        <v/>
      </c>
      <c r="I3749">
        <f>IF(B3749,IF(D3749=0,H3749,Rho*I3748+SQRT(1-Rho^2)*H3749),"")</f>
        <v/>
      </c>
      <c r="J3749">
        <f>IF(B3749,IF(Dist="Normal",DistA+DistB*I3749,DistA+(DistB-DistA)*NORMSDIST(I3749)),"")</f>
        <v/>
      </c>
      <c r="K3749">
        <f>IF(B3749,INDEX(MineScale,C3749),"")</f>
        <v/>
      </c>
      <c r="L3749">
        <f>IF(B3749,INDEX(Dow,1,WEEKDAY(E3749,2)),"")</f>
        <v/>
      </c>
      <c r="M3749">
        <f>IF(B3749,(1+Trend)^D3749,"")</f>
        <v/>
      </c>
      <c r="N3749">
        <f>IF(B3749,EXP(SUMPRODUCT(LN(1+(EvEff-1)*INDEX(Affected,0,C3749)*EXP(-((E3749-EvCenter)^2)/(2*EvSigma^2))))),"")</f>
        <v/>
      </c>
      <c r="O3749">
        <f>IF(B3749,ROUND(MAX(0,J3749*K3749*L3749*M3749*N3749),2),"")</f>
        <v/>
      </c>
    </row>
    <row r="3750">
      <c r="A3750" t="n">
        <v>3749</v>
      </c>
      <c r="B3750">
        <f>A3750&lt;=MineCount*Days</f>
        <v/>
      </c>
      <c r="C3750">
        <f>IF(B3750,INT((A3750-1)/Days)+1,"")</f>
        <v/>
      </c>
      <c r="D3750">
        <f>IF(B3750,MOD(A3750-1,Days),"")</f>
        <v/>
      </c>
      <c r="E3750" s="16">
        <f>IF(B3750,StartDate+D3750,"")</f>
        <v/>
      </c>
      <c r="F3750">
        <f>IF(B3750,MAX(MOD(SIN(Seed*0.1373+C3750*12.9898+D3750*78.233)*43758.5453,1),1E-9),"")</f>
        <v/>
      </c>
      <c r="G3750">
        <f>IF(B3750,MOD(SIN(Seed*0.5917+C3750*39.3468+D3750*11.135)*24634.6345,1),"")</f>
        <v/>
      </c>
      <c r="H3750">
        <f>IF(B3750,SQRT(-2*LN(F3750))*COS(2*PI()*G3750),"")</f>
        <v/>
      </c>
      <c r="I3750">
        <f>IF(B3750,IF(D3750=0,H3750,Rho*I3749+SQRT(1-Rho^2)*H3750),"")</f>
        <v/>
      </c>
      <c r="J3750">
        <f>IF(B3750,IF(Dist="Normal",DistA+DistB*I3750,DistA+(DistB-DistA)*NORMSDIST(I3750)),"")</f>
        <v/>
      </c>
      <c r="K3750">
        <f>IF(B3750,INDEX(MineScale,C3750),"")</f>
        <v/>
      </c>
      <c r="L3750">
        <f>IF(B3750,INDEX(Dow,1,WEEKDAY(E3750,2)),"")</f>
        <v/>
      </c>
      <c r="M3750">
        <f>IF(B3750,(1+Trend)^D3750,"")</f>
        <v/>
      </c>
      <c r="N3750">
        <f>IF(B3750,EXP(SUMPRODUCT(LN(1+(EvEff-1)*INDEX(Affected,0,C3750)*EXP(-((E3750-EvCenter)^2)/(2*EvSigma^2))))),"")</f>
        <v/>
      </c>
      <c r="O3750">
        <f>IF(B3750,ROUND(MAX(0,J3750*K3750*L3750*M3750*N3750),2),"")</f>
        <v/>
      </c>
    </row>
    <row r="3751">
      <c r="A3751" t="n">
        <v>3750</v>
      </c>
      <c r="B3751">
        <f>A3751&lt;=MineCount*Days</f>
        <v/>
      </c>
      <c r="C3751">
        <f>IF(B3751,INT((A3751-1)/Days)+1,"")</f>
        <v/>
      </c>
      <c r="D3751">
        <f>IF(B3751,MOD(A3751-1,Days),"")</f>
        <v/>
      </c>
      <c r="E3751" s="16">
        <f>IF(B3751,StartDate+D3751,"")</f>
        <v/>
      </c>
      <c r="F3751">
        <f>IF(B3751,MAX(MOD(SIN(Seed*0.1373+C3751*12.9898+D3751*78.233)*43758.5453,1),1E-9),"")</f>
        <v/>
      </c>
      <c r="G3751">
        <f>IF(B3751,MOD(SIN(Seed*0.5917+C3751*39.3468+D3751*11.135)*24634.6345,1),"")</f>
        <v/>
      </c>
      <c r="H3751">
        <f>IF(B3751,SQRT(-2*LN(F3751))*COS(2*PI()*G3751),"")</f>
        <v/>
      </c>
      <c r="I3751">
        <f>IF(B3751,IF(D3751=0,H3751,Rho*I3750+SQRT(1-Rho^2)*H3751),"")</f>
        <v/>
      </c>
      <c r="J3751">
        <f>IF(B3751,IF(Dist="Normal",DistA+DistB*I3751,DistA+(DistB-DistA)*NORMSDIST(I3751)),"")</f>
        <v/>
      </c>
      <c r="K3751">
        <f>IF(B3751,INDEX(MineScale,C3751),"")</f>
        <v/>
      </c>
      <c r="L3751">
        <f>IF(B3751,INDEX(Dow,1,WEEKDAY(E3751,2)),"")</f>
        <v/>
      </c>
      <c r="M3751">
        <f>IF(B3751,(1+Trend)^D3751,"")</f>
        <v/>
      </c>
      <c r="N3751">
        <f>IF(B3751,EXP(SUMPRODUCT(LN(1+(EvEff-1)*INDEX(Affected,0,C3751)*EXP(-((E3751-EvCenter)^2)/(2*EvSigma^2))))),"")</f>
        <v/>
      </c>
      <c r="O3751">
        <f>IF(B3751,ROUND(MAX(0,J3751*K3751*L3751*M3751*N3751),2),"")</f>
        <v/>
      </c>
    </row>
    <row r="3752">
      <c r="A3752" t="n">
        <v>3751</v>
      </c>
      <c r="B3752">
        <f>A3752&lt;=MineCount*Days</f>
        <v/>
      </c>
      <c r="C3752">
        <f>IF(B3752,INT((A3752-1)/Days)+1,"")</f>
        <v/>
      </c>
      <c r="D3752">
        <f>IF(B3752,MOD(A3752-1,Days),"")</f>
        <v/>
      </c>
      <c r="E3752" s="16">
        <f>IF(B3752,StartDate+D3752,"")</f>
        <v/>
      </c>
      <c r="F3752">
        <f>IF(B3752,MAX(MOD(SIN(Seed*0.1373+C3752*12.9898+D3752*78.233)*43758.5453,1),1E-9),"")</f>
        <v/>
      </c>
      <c r="G3752">
        <f>IF(B3752,MOD(SIN(Seed*0.5917+C3752*39.3468+D3752*11.135)*24634.6345,1),"")</f>
        <v/>
      </c>
      <c r="H3752">
        <f>IF(B3752,SQRT(-2*LN(F3752))*COS(2*PI()*G3752),"")</f>
        <v/>
      </c>
      <c r="I3752">
        <f>IF(B3752,IF(D3752=0,H3752,Rho*I3751+SQRT(1-Rho^2)*H3752),"")</f>
        <v/>
      </c>
      <c r="J3752">
        <f>IF(B3752,IF(Dist="Normal",DistA+DistB*I3752,DistA+(DistB-DistA)*NORMSDIST(I3752)),"")</f>
        <v/>
      </c>
      <c r="K3752">
        <f>IF(B3752,INDEX(MineScale,C3752),"")</f>
        <v/>
      </c>
      <c r="L3752">
        <f>IF(B3752,INDEX(Dow,1,WEEKDAY(E3752,2)),"")</f>
        <v/>
      </c>
      <c r="M3752">
        <f>IF(B3752,(1+Trend)^D3752,"")</f>
        <v/>
      </c>
      <c r="N3752">
        <f>IF(B3752,EXP(SUMPRODUCT(LN(1+(EvEff-1)*INDEX(Affected,0,C3752)*EXP(-((E3752-EvCenter)^2)/(2*EvSigma^2))))),"")</f>
        <v/>
      </c>
      <c r="O3752">
        <f>IF(B3752,ROUND(MAX(0,J3752*K3752*L3752*M3752*N3752),2),"")</f>
        <v/>
      </c>
    </row>
    <row r="3753">
      <c r="A3753" t="n">
        <v>3752</v>
      </c>
      <c r="B3753">
        <f>A3753&lt;=MineCount*Days</f>
        <v/>
      </c>
      <c r="C3753">
        <f>IF(B3753,INT((A3753-1)/Days)+1,"")</f>
        <v/>
      </c>
      <c r="D3753">
        <f>IF(B3753,MOD(A3753-1,Days),"")</f>
        <v/>
      </c>
      <c r="E3753" s="16">
        <f>IF(B3753,StartDate+D3753,"")</f>
        <v/>
      </c>
      <c r="F3753">
        <f>IF(B3753,MAX(MOD(SIN(Seed*0.1373+C3753*12.9898+D3753*78.233)*43758.5453,1),1E-9),"")</f>
        <v/>
      </c>
      <c r="G3753">
        <f>IF(B3753,MOD(SIN(Seed*0.5917+C3753*39.3468+D3753*11.135)*24634.6345,1),"")</f>
        <v/>
      </c>
      <c r="H3753">
        <f>IF(B3753,SQRT(-2*LN(F3753))*COS(2*PI()*G3753),"")</f>
        <v/>
      </c>
      <c r="I3753">
        <f>IF(B3753,IF(D3753=0,H3753,Rho*I3752+SQRT(1-Rho^2)*H3753),"")</f>
        <v/>
      </c>
      <c r="J3753">
        <f>IF(B3753,IF(Dist="Normal",DistA+DistB*I3753,DistA+(DistB-DistA)*NORMSDIST(I3753)),"")</f>
        <v/>
      </c>
      <c r="K3753">
        <f>IF(B3753,INDEX(MineScale,C3753),"")</f>
        <v/>
      </c>
      <c r="L3753">
        <f>IF(B3753,INDEX(Dow,1,WEEKDAY(E3753,2)),"")</f>
        <v/>
      </c>
      <c r="M3753">
        <f>IF(B3753,(1+Trend)^D3753,"")</f>
        <v/>
      </c>
      <c r="N3753">
        <f>IF(B3753,EXP(SUMPRODUCT(LN(1+(EvEff-1)*INDEX(Affected,0,C3753)*EXP(-((E3753-EvCenter)^2)/(2*EvSigma^2))))),"")</f>
        <v/>
      </c>
      <c r="O3753">
        <f>IF(B3753,ROUND(MAX(0,J3753*K3753*L3753*M3753*N3753),2),"")</f>
        <v/>
      </c>
    </row>
    <row r="3754">
      <c r="A3754" t="n">
        <v>3753</v>
      </c>
      <c r="B3754">
        <f>A3754&lt;=MineCount*Days</f>
        <v/>
      </c>
      <c r="C3754">
        <f>IF(B3754,INT((A3754-1)/Days)+1,"")</f>
        <v/>
      </c>
      <c r="D3754">
        <f>IF(B3754,MOD(A3754-1,Days),"")</f>
        <v/>
      </c>
      <c r="E3754" s="16">
        <f>IF(B3754,StartDate+D3754,"")</f>
        <v/>
      </c>
      <c r="F3754">
        <f>IF(B3754,MAX(MOD(SIN(Seed*0.1373+C3754*12.9898+D3754*78.233)*43758.5453,1),1E-9),"")</f>
        <v/>
      </c>
      <c r="G3754">
        <f>IF(B3754,MOD(SIN(Seed*0.5917+C3754*39.3468+D3754*11.135)*24634.6345,1),"")</f>
        <v/>
      </c>
      <c r="H3754">
        <f>IF(B3754,SQRT(-2*LN(F3754))*COS(2*PI()*G3754),"")</f>
        <v/>
      </c>
      <c r="I3754">
        <f>IF(B3754,IF(D3754=0,H3754,Rho*I3753+SQRT(1-Rho^2)*H3754),"")</f>
        <v/>
      </c>
      <c r="J3754">
        <f>IF(B3754,IF(Dist="Normal",DistA+DistB*I3754,DistA+(DistB-DistA)*NORMSDIST(I3754)),"")</f>
        <v/>
      </c>
      <c r="K3754">
        <f>IF(B3754,INDEX(MineScale,C3754),"")</f>
        <v/>
      </c>
      <c r="L3754">
        <f>IF(B3754,INDEX(Dow,1,WEEKDAY(E3754,2)),"")</f>
        <v/>
      </c>
      <c r="M3754">
        <f>IF(B3754,(1+Trend)^D3754,"")</f>
        <v/>
      </c>
      <c r="N3754">
        <f>IF(B3754,EXP(SUMPRODUCT(LN(1+(EvEff-1)*INDEX(Affected,0,C3754)*EXP(-((E3754-EvCenter)^2)/(2*EvSigma^2))))),"")</f>
        <v/>
      </c>
      <c r="O3754">
        <f>IF(B3754,ROUND(MAX(0,J3754*K3754*L3754*M3754*N3754),2),"")</f>
        <v/>
      </c>
    </row>
    <row r="3755">
      <c r="A3755" t="n">
        <v>3754</v>
      </c>
      <c r="B3755">
        <f>A3755&lt;=MineCount*Days</f>
        <v/>
      </c>
      <c r="C3755">
        <f>IF(B3755,INT((A3755-1)/Days)+1,"")</f>
        <v/>
      </c>
      <c r="D3755">
        <f>IF(B3755,MOD(A3755-1,Days),"")</f>
        <v/>
      </c>
      <c r="E3755" s="16">
        <f>IF(B3755,StartDate+D3755,"")</f>
        <v/>
      </c>
      <c r="F3755">
        <f>IF(B3755,MAX(MOD(SIN(Seed*0.1373+C3755*12.9898+D3755*78.233)*43758.5453,1),1E-9),"")</f>
        <v/>
      </c>
      <c r="G3755">
        <f>IF(B3755,MOD(SIN(Seed*0.5917+C3755*39.3468+D3755*11.135)*24634.6345,1),"")</f>
        <v/>
      </c>
      <c r="H3755">
        <f>IF(B3755,SQRT(-2*LN(F3755))*COS(2*PI()*G3755),"")</f>
        <v/>
      </c>
      <c r="I3755">
        <f>IF(B3755,IF(D3755=0,H3755,Rho*I3754+SQRT(1-Rho^2)*H3755),"")</f>
        <v/>
      </c>
      <c r="J3755">
        <f>IF(B3755,IF(Dist="Normal",DistA+DistB*I3755,DistA+(DistB-DistA)*NORMSDIST(I3755)),"")</f>
        <v/>
      </c>
      <c r="K3755">
        <f>IF(B3755,INDEX(MineScale,C3755),"")</f>
        <v/>
      </c>
      <c r="L3755">
        <f>IF(B3755,INDEX(Dow,1,WEEKDAY(E3755,2)),"")</f>
        <v/>
      </c>
      <c r="M3755">
        <f>IF(B3755,(1+Trend)^D3755,"")</f>
        <v/>
      </c>
      <c r="N3755">
        <f>IF(B3755,EXP(SUMPRODUCT(LN(1+(EvEff-1)*INDEX(Affected,0,C3755)*EXP(-((E3755-EvCenter)^2)/(2*EvSigma^2))))),"")</f>
        <v/>
      </c>
      <c r="O3755">
        <f>IF(B3755,ROUND(MAX(0,J3755*K3755*L3755*M3755*N3755),2),"")</f>
        <v/>
      </c>
    </row>
    <row r="3756">
      <c r="A3756" t="n">
        <v>3755</v>
      </c>
      <c r="B3756">
        <f>A3756&lt;=MineCount*Days</f>
        <v/>
      </c>
      <c r="C3756">
        <f>IF(B3756,INT((A3756-1)/Days)+1,"")</f>
        <v/>
      </c>
      <c r="D3756">
        <f>IF(B3756,MOD(A3756-1,Days),"")</f>
        <v/>
      </c>
      <c r="E3756" s="16">
        <f>IF(B3756,StartDate+D3756,"")</f>
        <v/>
      </c>
      <c r="F3756">
        <f>IF(B3756,MAX(MOD(SIN(Seed*0.1373+C3756*12.9898+D3756*78.233)*43758.5453,1),1E-9),"")</f>
        <v/>
      </c>
      <c r="G3756">
        <f>IF(B3756,MOD(SIN(Seed*0.5917+C3756*39.3468+D3756*11.135)*24634.6345,1),"")</f>
        <v/>
      </c>
      <c r="H3756">
        <f>IF(B3756,SQRT(-2*LN(F3756))*COS(2*PI()*G3756),"")</f>
        <v/>
      </c>
      <c r="I3756">
        <f>IF(B3756,IF(D3756=0,H3756,Rho*I3755+SQRT(1-Rho^2)*H3756),"")</f>
        <v/>
      </c>
      <c r="J3756">
        <f>IF(B3756,IF(Dist="Normal",DistA+DistB*I3756,DistA+(DistB-DistA)*NORMSDIST(I3756)),"")</f>
        <v/>
      </c>
      <c r="K3756">
        <f>IF(B3756,INDEX(MineScale,C3756),"")</f>
        <v/>
      </c>
      <c r="L3756">
        <f>IF(B3756,INDEX(Dow,1,WEEKDAY(E3756,2)),"")</f>
        <v/>
      </c>
      <c r="M3756">
        <f>IF(B3756,(1+Trend)^D3756,"")</f>
        <v/>
      </c>
      <c r="N3756">
        <f>IF(B3756,EXP(SUMPRODUCT(LN(1+(EvEff-1)*INDEX(Affected,0,C3756)*EXP(-((E3756-EvCenter)^2)/(2*EvSigma^2))))),"")</f>
        <v/>
      </c>
      <c r="O3756">
        <f>IF(B3756,ROUND(MAX(0,J3756*K3756*L3756*M3756*N3756),2),"")</f>
        <v/>
      </c>
    </row>
    <row r="3757">
      <c r="A3757" t="n">
        <v>3756</v>
      </c>
      <c r="B3757">
        <f>A3757&lt;=MineCount*Days</f>
        <v/>
      </c>
      <c r="C3757">
        <f>IF(B3757,INT((A3757-1)/Days)+1,"")</f>
        <v/>
      </c>
      <c r="D3757">
        <f>IF(B3757,MOD(A3757-1,Days),"")</f>
        <v/>
      </c>
      <c r="E3757" s="16">
        <f>IF(B3757,StartDate+D3757,"")</f>
        <v/>
      </c>
      <c r="F3757">
        <f>IF(B3757,MAX(MOD(SIN(Seed*0.1373+C3757*12.9898+D3757*78.233)*43758.5453,1),1E-9),"")</f>
        <v/>
      </c>
      <c r="G3757">
        <f>IF(B3757,MOD(SIN(Seed*0.5917+C3757*39.3468+D3757*11.135)*24634.6345,1),"")</f>
        <v/>
      </c>
      <c r="H3757">
        <f>IF(B3757,SQRT(-2*LN(F3757))*COS(2*PI()*G3757),"")</f>
        <v/>
      </c>
      <c r="I3757">
        <f>IF(B3757,IF(D3757=0,H3757,Rho*I3756+SQRT(1-Rho^2)*H3757),"")</f>
        <v/>
      </c>
      <c r="J3757">
        <f>IF(B3757,IF(Dist="Normal",DistA+DistB*I3757,DistA+(DistB-DistA)*NORMSDIST(I3757)),"")</f>
        <v/>
      </c>
      <c r="K3757">
        <f>IF(B3757,INDEX(MineScale,C3757),"")</f>
        <v/>
      </c>
      <c r="L3757">
        <f>IF(B3757,INDEX(Dow,1,WEEKDAY(E3757,2)),"")</f>
        <v/>
      </c>
      <c r="M3757">
        <f>IF(B3757,(1+Trend)^D3757,"")</f>
        <v/>
      </c>
      <c r="N3757">
        <f>IF(B3757,EXP(SUMPRODUCT(LN(1+(EvEff-1)*INDEX(Affected,0,C3757)*EXP(-((E3757-EvCenter)^2)/(2*EvSigma^2))))),"")</f>
        <v/>
      </c>
      <c r="O3757">
        <f>IF(B3757,ROUND(MAX(0,J3757*K3757*L3757*M3757*N3757),2),"")</f>
        <v/>
      </c>
    </row>
    <row r="3758">
      <c r="A3758" t="n">
        <v>3757</v>
      </c>
      <c r="B3758">
        <f>A3758&lt;=MineCount*Days</f>
        <v/>
      </c>
      <c r="C3758">
        <f>IF(B3758,INT((A3758-1)/Days)+1,"")</f>
        <v/>
      </c>
      <c r="D3758">
        <f>IF(B3758,MOD(A3758-1,Days),"")</f>
        <v/>
      </c>
      <c r="E3758" s="16">
        <f>IF(B3758,StartDate+D3758,"")</f>
        <v/>
      </c>
      <c r="F3758">
        <f>IF(B3758,MAX(MOD(SIN(Seed*0.1373+C3758*12.9898+D3758*78.233)*43758.5453,1),1E-9),"")</f>
        <v/>
      </c>
      <c r="G3758">
        <f>IF(B3758,MOD(SIN(Seed*0.5917+C3758*39.3468+D3758*11.135)*24634.6345,1),"")</f>
        <v/>
      </c>
      <c r="H3758">
        <f>IF(B3758,SQRT(-2*LN(F3758))*COS(2*PI()*G3758),"")</f>
        <v/>
      </c>
      <c r="I3758">
        <f>IF(B3758,IF(D3758=0,H3758,Rho*I3757+SQRT(1-Rho^2)*H3758),"")</f>
        <v/>
      </c>
      <c r="J3758">
        <f>IF(B3758,IF(Dist="Normal",DistA+DistB*I3758,DistA+(DistB-DistA)*NORMSDIST(I3758)),"")</f>
        <v/>
      </c>
      <c r="K3758">
        <f>IF(B3758,INDEX(MineScale,C3758),"")</f>
        <v/>
      </c>
      <c r="L3758">
        <f>IF(B3758,INDEX(Dow,1,WEEKDAY(E3758,2)),"")</f>
        <v/>
      </c>
      <c r="M3758">
        <f>IF(B3758,(1+Trend)^D3758,"")</f>
        <v/>
      </c>
      <c r="N3758">
        <f>IF(B3758,EXP(SUMPRODUCT(LN(1+(EvEff-1)*INDEX(Affected,0,C3758)*EXP(-((E3758-EvCenter)^2)/(2*EvSigma^2))))),"")</f>
        <v/>
      </c>
      <c r="O3758">
        <f>IF(B3758,ROUND(MAX(0,J3758*K3758*L3758*M3758*N3758),2),"")</f>
        <v/>
      </c>
    </row>
    <row r="3759">
      <c r="A3759" t="n">
        <v>3758</v>
      </c>
      <c r="B3759">
        <f>A3759&lt;=MineCount*Days</f>
        <v/>
      </c>
      <c r="C3759">
        <f>IF(B3759,INT((A3759-1)/Days)+1,"")</f>
        <v/>
      </c>
      <c r="D3759">
        <f>IF(B3759,MOD(A3759-1,Days),"")</f>
        <v/>
      </c>
      <c r="E3759" s="16">
        <f>IF(B3759,StartDate+D3759,"")</f>
        <v/>
      </c>
      <c r="F3759">
        <f>IF(B3759,MAX(MOD(SIN(Seed*0.1373+C3759*12.9898+D3759*78.233)*43758.5453,1),1E-9),"")</f>
        <v/>
      </c>
      <c r="G3759">
        <f>IF(B3759,MOD(SIN(Seed*0.5917+C3759*39.3468+D3759*11.135)*24634.6345,1),"")</f>
        <v/>
      </c>
      <c r="H3759">
        <f>IF(B3759,SQRT(-2*LN(F3759))*COS(2*PI()*G3759),"")</f>
        <v/>
      </c>
      <c r="I3759">
        <f>IF(B3759,IF(D3759=0,H3759,Rho*I3758+SQRT(1-Rho^2)*H3759),"")</f>
        <v/>
      </c>
      <c r="J3759">
        <f>IF(B3759,IF(Dist="Normal",DistA+DistB*I3759,DistA+(DistB-DistA)*NORMSDIST(I3759)),"")</f>
        <v/>
      </c>
      <c r="K3759">
        <f>IF(B3759,INDEX(MineScale,C3759),"")</f>
        <v/>
      </c>
      <c r="L3759">
        <f>IF(B3759,INDEX(Dow,1,WEEKDAY(E3759,2)),"")</f>
        <v/>
      </c>
      <c r="M3759">
        <f>IF(B3759,(1+Trend)^D3759,"")</f>
        <v/>
      </c>
      <c r="N3759">
        <f>IF(B3759,EXP(SUMPRODUCT(LN(1+(EvEff-1)*INDEX(Affected,0,C3759)*EXP(-((E3759-EvCenter)^2)/(2*EvSigma^2))))),"")</f>
        <v/>
      </c>
      <c r="O3759">
        <f>IF(B3759,ROUND(MAX(0,J3759*K3759*L3759*M3759*N3759),2),"")</f>
        <v/>
      </c>
    </row>
    <row r="3760">
      <c r="A3760" t="n">
        <v>3759</v>
      </c>
      <c r="B3760">
        <f>A3760&lt;=MineCount*Days</f>
        <v/>
      </c>
      <c r="C3760">
        <f>IF(B3760,INT((A3760-1)/Days)+1,"")</f>
        <v/>
      </c>
      <c r="D3760">
        <f>IF(B3760,MOD(A3760-1,Days),"")</f>
        <v/>
      </c>
      <c r="E3760" s="16">
        <f>IF(B3760,StartDate+D3760,"")</f>
        <v/>
      </c>
      <c r="F3760">
        <f>IF(B3760,MAX(MOD(SIN(Seed*0.1373+C3760*12.9898+D3760*78.233)*43758.5453,1),1E-9),"")</f>
        <v/>
      </c>
      <c r="G3760">
        <f>IF(B3760,MOD(SIN(Seed*0.5917+C3760*39.3468+D3760*11.135)*24634.6345,1),"")</f>
        <v/>
      </c>
      <c r="H3760">
        <f>IF(B3760,SQRT(-2*LN(F3760))*COS(2*PI()*G3760),"")</f>
        <v/>
      </c>
      <c r="I3760">
        <f>IF(B3760,IF(D3760=0,H3760,Rho*I3759+SQRT(1-Rho^2)*H3760),"")</f>
        <v/>
      </c>
      <c r="J3760">
        <f>IF(B3760,IF(Dist="Normal",DistA+DistB*I3760,DistA+(DistB-DistA)*NORMSDIST(I3760)),"")</f>
        <v/>
      </c>
      <c r="K3760">
        <f>IF(B3760,INDEX(MineScale,C3760),"")</f>
        <v/>
      </c>
      <c r="L3760">
        <f>IF(B3760,INDEX(Dow,1,WEEKDAY(E3760,2)),"")</f>
        <v/>
      </c>
      <c r="M3760">
        <f>IF(B3760,(1+Trend)^D3760,"")</f>
        <v/>
      </c>
      <c r="N3760">
        <f>IF(B3760,EXP(SUMPRODUCT(LN(1+(EvEff-1)*INDEX(Affected,0,C3760)*EXP(-((E3760-EvCenter)^2)/(2*EvSigma^2))))),"")</f>
        <v/>
      </c>
      <c r="O3760">
        <f>IF(B3760,ROUND(MAX(0,J3760*K3760*L3760*M3760*N3760),2),"")</f>
        <v/>
      </c>
    </row>
    <row r="3761">
      <c r="A3761" t="n">
        <v>3760</v>
      </c>
      <c r="B3761">
        <f>A3761&lt;=MineCount*Days</f>
        <v/>
      </c>
      <c r="C3761">
        <f>IF(B3761,INT((A3761-1)/Days)+1,"")</f>
        <v/>
      </c>
      <c r="D3761">
        <f>IF(B3761,MOD(A3761-1,Days),"")</f>
        <v/>
      </c>
      <c r="E3761" s="16">
        <f>IF(B3761,StartDate+D3761,"")</f>
        <v/>
      </c>
      <c r="F3761">
        <f>IF(B3761,MAX(MOD(SIN(Seed*0.1373+C3761*12.9898+D3761*78.233)*43758.5453,1),1E-9),"")</f>
        <v/>
      </c>
      <c r="G3761">
        <f>IF(B3761,MOD(SIN(Seed*0.5917+C3761*39.3468+D3761*11.135)*24634.6345,1),"")</f>
        <v/>
      </c>
      <c r="H3761">
        <f>IF(B3761,SQRT(-2*LN(F3761))*COS(2*PI()*G3761),"")</f>
        <v/>
      </c>
      <c r="I3761">
        <f>IF(B3761,IF(D3761=0,H3761,Rho*I3760+SQRT(1-Rho^2)*H3761),"")</f>
        <v/>
      </c>
      <c r="J3761">
        <f>IF(B3761,IF(Dist="Normal",DistA+DistB*I3761,DistA+(DistB-DistA)*NORMSDIST(I3761)),"")</f>
        <v/>
      </c>
      <c r="K3761">
        <f>IF(B3761,INDEX(MineScale,C3761),"")</f>
        <v/>
      </c>
      <c r="L3761">
        <f>IF(B3761,INDEX(Dow,1,WEEKDAY(E3761,2)),"")</f>
        <v/>
      </c>
      <c r="M3761">
        <f>IF(B3761,(1+Trend)^D3761,"")</f>
        <v/>
      </c>
      <c r="N3761">
        <f>IF(B3761,EXP(SUMPRODUCT(LN(1+(EvEff-1)*INDEX(Affected,0,C3761)*EXP(-((E3761-EvCenter)^2)/(2*EvSigma^2))))),"")</f>
        <v/>
      </c>
      <c r="O3761">
        <f>IF(B3761,ROUND(MAX(0,J3761*K3761*L3761*M3761*N3761),2),"")</f>
        <v/>
      </c>
    </row>
    <row r="3762">
      <c r="A3762" t="n">
        <v>3761</v>
      </c>
      <c r="B3762">
        <f>A3762&lt;=MineCount*Days</f>
        <v/>
      </c>
      <c r="C3762">
        <f>IF(B3762,INT((A3762-1)/Days)+1,"")</f>
        <v/>
      </c>
      <c r="D3762">
        <f>IF(B3762,MOD(A3762-1,Days),"")</f>
        <v/>
      </c>
      <c r="E3762" s="16">
        <f>IF(B3762,StartDate+D3762,"")</f>
        <v/>
      </c>
      <c r="F3762">
        <f>IF(B3762,MAX(MOD(SIN(Seed*0.1373+C3762*12.9898+D3762*78.233)*43758.5453,1),1E-9),"")</f>
        <v/>
      </c>
      <c r="G3762">
        <f>IF(B3762,MOD(SIN(Seed*0.5917+C3762*39.3468+D3762*11.135)*24634.6345,1),"")</f>
        <v/>
      </c>
      <c r="H3762">
        <f>IF(B3762,SQRT(-2*LN(F3762))*COS(2*PI()*G3762),"")</f>
        <v/>
      </c>
      <c r="I3762">
        <f>IF(B3762,IF(D3762=0,H3762,Rho*I3761+SQRT(1-Rho^2)*H3762),"")</f>
        <v/>
      </c>
      <c r="J3762">
        <f>IF(B3762,IF(Dist="Normal",DistA+DistB*I3762,DistA+(DistB-DistA)*NORMSDIST(I3762)),"")</f>
        <v/>
      </c>
      <c r="K3762">
        <f>IF(B3762,INDEX(MineScale,C3762),"")</f>
        <v/>
      </c>
      <c r="L3762">
        <f>IF(B3762,INDEX(Dow,1,WEEKDAY(E3762,2)),"")</f>
        <v/>
      </c>
      <c r="M3762">
        <f>IF(B3762,(1+Trend)^D3762,"")</f>
        <v/>
      </c>
      <c r="N3762">
        <f>IF(B3762,EXP(SUMPRODUCT(LN(1+(EvEff-1)*INDEX(Affected,0,C3762)*EXP(-((E3762-EvCenter)^2)/(2*EvSigma^2))))),"")</f>
        <v/>
      </c>
      <c r="O3762">
        <f>IF(B3762,ROUND(MAX(0,J3762*K3762*L3762*M3762*N3762),2),"")</f>
        <v/>
      </c>
    </row>
    <row r="3763">
      <c r="A3763" t="n">
        <v>3762</v>
      </c>
      <c r="B3763">
        <f>A3763&lt;=MineCount*Days</f>
        <v/>
      </c>
      <c r="C3763">
        <f>IF(B3763,INT((A3763-1)/Days)+1,"")</f>
        <v/>
      </c>
      <c r="D3763">
        <f>IF(B3763,MOD(A3763-1,Days),"")</f>
        <v/>
      </c>
      <c r="E3763" s="16">
        <f>IF(B3763,StartDate+D3763,"")</f>
        <v/>
      </c>
      <c r="F3763">
        <f>IF(B3763,MAX(MOD(SIN(Seed*0.1373+C3763*12.9898+D3763*78.233)*43758.5453,1),1E-9),"")</f>
        <v/>
      </c>
      <c r="G3763">
        <f>IF(B3763,MOD(SIN(Seed*0.5917+C3763*39.3468+D3763*11.135)*24634.6345,1),"")</f>
        <v/>
      </c>
      <c r="H3763">
        <f>IF(B3763,SQRT(-2*LN(F3763))*COS(2*PI()*G3763),"")</f>
        <v/>
      </c>
      <c r="I3763">
        <f>IF(B3763,IF(D3763=0,H3763,Rho*I3762+SQRT(1-Rho^2)*H3763),"")</f>
        <v/>
      </c>
      <c r="J3763">
        <f>IF(B3763,IF(Dist="Normal",DistA+DistB*I3763,DistA+(DistB-DistA)*NORMSDIST(I3763)),"")</f>
        <v/>
      </c>
      <c r="K3763">
        <f>IF(B3763,INDEX(MineScale,C3763),"")</f>
        <v/>
      </c>
      <c r="L3763">
        <f>IF(B3763,INDEX(Dow,1,WEEKDAY(E3763,2)),"")</f>
        <v/>
      </c>
      <c r="M3763">
        <f>IF(B3763,(1+Trend)^D3763,"")</f>
        <v/>
      </c>
      <c r="N3763">
        <f>IF(B3763,EXP(SUMPRODUCT(LN(1+(EvEff-1)*INDEX(Affected,0,C3763)*EXP(-((E3763-EvCenter)^2)/(2*EvSigma^2))))),"")</f>
        <v/>
      </c>
      <c r="O3763">
        <f>IF(B3763,ROUND(MAX(0,J3763*K3763*L3763*M3763*N3763),2),"")</f>
        <v/>
      </c>
    </row>
    <row r="3764">
      <c r="A3764" t="n">
        <v>3763</v>
      </c>
      <c r="B3764">
        <f>A3764&lt;=MineCount*Days</f>
        <v/>
      </c>
      <c r="C3764">
        <f>IF(B3764,INT((A3764-1)/Days)+1,"")</f>
        <v/>
      </c>
      <c r="D3764">
        <f>IF(B3764,MOD(A3764-1,Days),"")</f>
        <v/>
      </c>
      <c r="E3764" s="16">
        <f>IF(B3764,StartDate+D3764,"")</f>
        <v/>
      </c>
      <c r="F3764">
        <f>IF(B3764,MAX(MOD(SIN(Seed*0.1373+C3764*12.9898+D3764*78.233)*43758.5453,1),1E-9),"")</f>
        <v/>
      </c>
      <c r="G3764">
        <f>IF(B3764,MOD(SIN(Seed*0.5917+C3764*39.3468+D3764*11.135)*24634.6345,1),"")</f>
        <v/>
      </c>
      <c r="H3764">
        <f>IF(B3764,SQRT(-2*LN(F3764))*COS(2*PI()*G3764),"")</f>
        <v/>
      </c>
      <c r="I3764">
        <f>IF(B3764,IF(D3764=0,H3764,Rho*I3763+SQRT(1-Rho^2)*H3764),"")</f>
        <v/>
      </c>
      <c r="J3764">
        <f>IF(B3764,IF(Dist="Normal",DistA+DistB*I3764,DistA+(DistB-DistA)*NORMSDIST(I3764)),"")</f>
        <v/>
      </c>
      <c r="K3764">
        <f>IF(B3764,INDEX(MineScale,C3764),"")</f>
        <v/>
      </c>
      <c r="L3764">
        <f>IF(B3764,INDEX(Dow,1,WEEKDAY(E3764,2)),"")</f>
        <v/>
      </c>
      <c r="M3764">
        <f>IF(B3764,(1+Trend)^D3764,"")</f>
        <v/>
      </c>
      <c r="N3764">
        <f>IF(B3764,EXP(SUMPRODUCT(LN(1+(EvEff-1)*INDEX(Affected,0,C3764)*EXP(-((E3764-EvCenter)^2)/(2*EvSigma^2))))),"")</f>
        <v/>
      </c>
      <c r="O3764">
        <f>IF(B3764,ROUND(MAX(0,J3764*K3764*L3764*M3764*N3764),2),"")</f>
        <v/>
      </c>
    </row>
    <row r="3765">
      <c r="A3765" t="n">
        <v>3764</v>
      </c>
      <c r="B3765">
        <f>A3765&lt;=MineCount*Days</f>
        <v/>
      </c>
      <c r="C3765">
        <f>IF(B3765,INT((A3765-1)/Days)+1,"")</f>
        <v/>
      </c>
      <c r="D3765">
        <f>IF(B3765,MOD(A3765-1,Days),"")</f>
        <v/>
      </c>
      <c r="E3765" s="16">
        <f>IF(B3765,StartDate+D3765,"")</f>
        <v/>
      </c>
      <c r="F3765">
        <f>IF(B3765,MAX(MOD(SIN(Seed*0.1373+C3765*12.9898+D3765*78.233)*43758.5453,1),1E-9),"")</f>
        <v/>
      </c>
      <c r="G3765">
        <f>IF(B3765,MOD(SIN(Seed*0.5917+C3765*39.3468+D3765*11.135)*24634.6345,1),"")</f>
        <v/>
      </c>
      <c r="H3765">
        <f>IF(B3765,SQRT(-2*LN(F3765))*COS(2*PI()*G3765),"")</f>
        <v/>
      </c>
      <c r="I3765">
        <f>IF(B3765,IF(D3765=0,H3765,Rho*I3764+SQRT(1-Rho^2)*H3765),"")</f>
        <v/>
      </c>
      <c r="J3765">
        <f>IF(B3765,IF(Dist="Normal",DistA+DistB*I3765,DistA+(DistB-DistA)*NORMSDIST(I3765)),"")</f>
        <v/>
      </c>
      <c r="K3765">
        <f>IF(B3765,INDEX(MineScale,C3765),"")</f>
        <v/>
      </c>
      <c r="L3765">
        <f>IF(B3765,INDEX(Dow,1,WEEKDAY(E3765,2)),"")</f>
        <v/>
      </c>
      <c r="M3765">
        <f>IF(B3765,(1+Trend)^D3765,"")</f>
        <v/>
      </c>
      <c r="N3765">
        <f>IF(B3765,EXP(SUMPRODUCT(LN(1+(EvEff-1)*INDEX(Affected,0,C3765)*EXP(-((E3765-EvCenter)^2)/(2*EvSigma^2))))),"")</f>
        <v/>
      </c>
      <c r="O3765">
        <f>IF(B3765,ROUND(MAX(0,J3765*K3765*L3765*M3765*N3765),2),"")</f>
        <v/>
      </c>
    </row>
    <row r="3766">
      <c r="A3766" t="n">
        <v>3765</v>
      </c>
      <c r="B3766">
        <f>A3766&lt;=MineCount*Days</f>
        <v/>
      </c>
      <c r="C3766">
        <f>IF(B3766,INT((A3766-1)/Days)+1,"")</f>
        <v/>
      </c>
      <c r="D3766">
        <f>IF(B3766,MOD(A3766-1,Days),"")</f>
        <v/>
      </c>
      <c r="E3766" s="16">
        <f>IF(B3766,StartDate+D3766,"")</f>
        <v/>
      </c>
      <c r="F3766">
        <f>IF(B3766,MAX(MOD(SIN(Seed*0.1373+C3766*12.9898+D3766*78.233)*43758.5453,1),1E-9),"")</f>
        <v/>
      </c>
      <c r="G3766">
        <f>IF(B3766,MOD(SIN(Seed*0.5917+C3766*39.3468+D3766*11.135)*24634.6345,1),"")</f>
        <v/>
      </c>
      <c r="H3766">
        <f>IF(B3766,SQRT(-2*LN(F3766))*COS(2*PI()*G3766),"")</f>
        <v/>
      </c>
      <c r="I3766">
        <f>IF(B3766,IF(D3766=0,H3766,Rho*I3765+SQRT(1-Rho^2)*H3766),"")</f>
        <v/>
      </c>
      <c r="J3766">
        <f>IF(B3766,IF(Dist="Normal",DistA+DistB*I3766,DistA+(DistB-DistA)*NORMSDIST(I3766)),"")</f>
        <v/>
      </c>
      <c r="K3766">
        <f>IF(B3766,INDEX(MineScale,C3766),"")</f>
        <v/>
      </c>
      <c r="L3766">
        <f>IF(B3766,INDEX(Dow,1,WEEKDAY(E3766,2)),"")</f>
        <v/>
      </c>
      <c r="M3766">
        <f>IF(B3766,(1+Trend)^D3766,"")</f>
        <v/>
      </c>
      <c r="N3766">
        <f>IF(B3766,EXP(SUMPRODUCT(LN(1+(EvEff-1)*INDEX(Affected,0,C3766)*EXP(-((E3766-EvCenter)^2)/(2*EvSigma^2))))),"")</f>
        <v/>
      </c>
      <c r="O3766">
        <f>IF(B3766,ROUND(MAX(0,J3766*K3766*L3766*M3766*N3766),2),"")</f>
        <v/>
      </c>
    </row>
    <row r="3767">
      <c r="A3767" t="n">
        <v>3766</v>
      </c>
      <c r="B3767">
        <f>A3767&lt;=MineCount*Days</f>
        <v/>
      </c>
      <c r="C3767">
        <f>IF(B3767,INT((A3767-1)/Days)+1,"")</f>
        <v/>
      </c>
      <c r="D3767">
        <f>IF(B3767,MOD(A3767-1,Days),"")</f>
        <v/>
      </c>
      <c r="E3767" s="16">
        <f>IF(B3767,StartDate+D3767,"")</f>
        <v/>
      </c>
      <c r="F3767">
        <f>IF(B3767,MAX(MOD(SIN(Seed*0.1373+C3767*12.9898+D3767*78.233)*43758.5453,1),1E-9),"")</f>
        <v/>
      </c>
      <c r="G3767">
        <f>IF(B3767,MOD(SIN(Seed*0.5917+C3767*39.3468+D3767*11.135)*24634.6345,1),"")</f>
        <v/>
      </c>
      <c r="H3767">
        <f>IF(B3767,SQRT(-2*LN(F3767))*COS(2*PI()*G3767),"")</f>
        <v/>
      </c>
      <c r="I3767">
        <f>IF(B3767,IF(D3767=0,H3767,Rho*I3766+SQRT(1-Rho^2)*H3767),"")</f>
        <v/>
      </c>
      <c r="J3767">
        <f>IF(B3767,IF(Dist="Normal",DistA+DistB*I3767,DistA+(DistB-DistA)*NORMSDIST(I3767)),"")</f>
        <v/>
      </c>
      <c r="K3767">
        <f>IF(B3767,INDEX(MineScale,C3767),"")</f>
        <v/>
      </c>
      <c r="L3767">
        <f>IF(B3767,INDEX(Dow,1,WEEKDAY(E3767,2)),"")</f>
        <v/>
      </c>
      <c r="M3767">
        <f>IF(B3767,(1+Trend)^D3767,"")</f>
        <v/>
      </c>
      <c r="N3767">
        <f>IF(B3767,EXP(SUMPRODUCT(LN(1+(EvEff-1)*INDEX(Affected,0,C3767)*EXP(-((E3767-EvCenter)^2)/(2*EvSigma^2))))),"")</f>
        <v/>
      </c>
      <c r="O3767">
        <f>IF(B3767,ROUND(MAX(0,J3767*K3767*L3767*M3767*N3767),2),"")</f>
        <v/>
      </c>
    </row>
    <row r="3768">
      <c r="A3768" t="n">
        <v>3767</v>
      </c>
      <c r="B3768">
        <f>A3768&lt;=MineCount*Days</f>
        <v/>
      </c>
      <c r="C3768">
        <f>IF(B3768,INT((A3768-1)/Days)+1,"")</f>
        <v/>
      </c>
      <c r="D3768">
        <f>IF(B3768,MOD(A3768-1,Days),"")</f>
        <v/>
      </c>
      <c r="E3768" s="16">
        <f>IF(B3768,StartDate+D3768,"")</f>
        <v/>
      </c>
      <c r="F3768">
        <f>IF(B3768,MAX(MOD(SIN(Seed*0.1373+C3768*12.9898+D3768*78.233)*43758.5453,1),1E-9),"")</f>
        <v/>
      </c>
      <c r="G3768">
        <f>IF(B3768,MOD(SIN(Seed*0.5917+C3768*39.3468+D3768*11.135)*24634.6345,1),"")</f>
        <v/>
      </c>
      <c r="H3768">
        <f>IF(B3768,SQRT(-2*LN(F3768))*COS(2*PI()*G3768),"")</f>
        <v/>
      </c>
      <c r="I3768">
        <f>IF(B3768,IF(D3768=0,H3768,Rho*I3767+SQRT(1-Rho^2)*H3768),"")</f>
        <v/>
      </c>
      <c r="J3768">
        <f>IF(B3768,IF(Dist="Normal",DistA+DistB*I3768,DistA+(DistB-DistA)*NORMSDIST(I3768)),"")</f>
        <v/>
      </c>
      <c r="K3768">
        <f>IF(B3768,INDEX(MineScale,C3768),"")</f>
        <v/>
      </c>
      <c r="L3768">
        <f>IF(B3768,INDEX(Dow,1,WEEKDAY(E3768,2)),"")</f>
        <v/>
      </c>
      <c r="M3768">
        <f>IF(B3768,(1+Trend)^D3768,"")</f>
        <v/>
      </c>
      <c r="N3768">
        <f>IF(B3768,EXP(SUMPRODUCT(LN(1+(EvEff-1)*INDEX(Affected,0,C3768)*EXP(-((E3768-EvCenter)^2)/(2*EvSigma^2))))),"")</f>
        <v/>
      </c>
      <c r="O3768">
        <f>IF(B3768,ROUND(MAX(0,J3768*K3768*L3768*M3768*N3768),2),"")</f>
        <v/>
      </c>
    </row>
    <row r="3769">
      <c r="A3769" t="n">
        <v>3768</v>
      </c>
      <c r="B3769">
        <f>A3769&lt;=MineCount*Days</f>
        <v/>
      </c>
      <c r="C3769">
        <f>IF(B3769,INT((A3769-1)/Days)+1,"")</f>
        <v/>
      </c>
      <c r="D3769">
        <f>IF(B3769,MOD(A3769-1,Days),"")</f>
        <v/>
      </c>
      <c r="E3769" s="16">
        <f>IF(B3769,StartDate+D3769,"")</f>
        <v/>
      </c>
      <c r="F3769">
        <f>IF(B3769,MAX(MOD(SIN(Seed*0.1373+C3769*12.9898+D3769*78.233)*43758.5453,1),1E-9),"")</f>
        <v/>
      </c>
      <c r="G3769">
        <f>IF(B3769,MOD(SIN(Seed*0.5917+C3769*39.3468+D3769*11.135)*24634.6345,1),"")</f>
        <v/>
      </c>
      <c r="H3769">
        <f>IF(B3769,SQRT(-2*LN(F3769))*COS(2*PI()*G3769),"")</f>
        <v/>
      </c>
      <c r="I3769">
        <f>IF(B3769,IF(D3769=0,H3769,Rho*I3768+SQRT(1-Rho^2)*H3769),"")</f>
        <v/>
      </c>
      <c r="J3769">
        <f>IF(B3769,IF(Dist="Normal",DistA+DistB*I3769,DistA+(DistB-DistA)*NORMSDIST(I3769)),"")</f>
        <v/>
      </c>
      <c r="K3769">
        <f>IF(B3769,INDEX(MineScale,C3769),"")</f>
        <v/>
      </c>
      <c r="L3769">
        <f>IF(B3769,INDEX(Dow,1,WEEKDAY(E3769,2)),"")</f>
        <v/>
      </c>
      <c r="M3769">
        <f>IF(B3769,(1+Trend)^D3769,"")</f>
        <v/>
      </c>
      <c r="N3769">
        <f>IF(B3769,EXP(SUMPRODUCT(LN(1+(EvEff-1)*INDEX(Affected,0,C3769)*EXP(-((E3769-EvCenter)^2)/(2*EvSigma^2))))),"")</f>
        <v/>
      </c>
      <c r="O3769">
        <f>IF(B3769,ROUND(MAX(0,J3769*K3769*L3769*M3769*N3769),2),"")</f>
        <v/>
      </c>
    </row>
    <row r="3770">
      <c r="A3770" t="n">
        <v>3769</v>
      </c>
      <c r="B3770">
        <f>A3770&lt;=MineCount*Days</f>
        <v/>
      </c>
      <c r="C3770">
        <f>IF(B3770,INT((A3770-1)/Days)+1,"")</f>
        <v/>
      </c>
      <c r="D3770">
        <f>IF(B3770,MOD(A3770-1,Days),"")</f>
        <v/>
      </c>
      <c r="E3770" s="16">
        <f>IF(B3770,StartDate+D3770,"")</f>
        <v/>
      </c>
      <c r="F3770">
        <f>IF(B3770,MAX(MOD(SIN(Seed*0.1373+C3770*12.9898+D3770*78.233)*43758.5453,1),1E-9),"")</f>
        <v/>
      </c>
      <c r="G3770">
        <f>IF(B3770,MOD(SIN(Seed*0.5917+C3770*39.3468+D3770*11.135)*24634.6345,1),"")</f>
        <v/>
      </c>
      <c r="H3770">
        <f>IF(B3770,SQRT(-2*LN(F3770))*COS(2*PI()*G3770),"")</f>
        <v/>
      </c>
      <c r="I3770">
        <f>IF(B3770,IF(D3770=0,H3770,Rho*I3769+SQRT(1-Rho^2)*H3770),"")</f>
        <v/>
      </c>
      <c r="J3770">
        <f>IF(B3770,IF(Dist="Normal",DistA+DistB*I3770,DistA+(DistB-DistA)*NORMSDIST(I3770)),"")</f>
        <v/>
      </c>
      <c r="K3770">
        <f>IF(B3770,INDEX(MineScale,C3770),"")</f>
        <v/>
      </c>
      <c r="L3770">
        <f>IF(B3770,INDEX(Dow,1,WEEKDAY(E3770,2)),"")</f>
        <v/>
      </c>
      <c r="M3770">
        <f>IF(B3770,(1+Trend)^D3770,"")</f>
        <v/>
      </c>
      <c r="N3770">
        <f>IF(B3770,EXP(SUMPRODUCT(LN(1+(EvEff-1)*INDEX(Affected,0,C3770)*EXP(-((E3770-EvCenter)^2)/(2*EvSigma^2))))),"")</f>
        <v/>
      </c>
      <c r="O3770">
        <f>IF(B3770,ROUND(MAX(0,J3770*K3770*L3770*M3770*N3770),2),"")</f>
        <v/>
      </c>
    </row>
    <row r="3771">
      <c r="A3771" t="n">
        <v>3770</v>
      </c>
      <c r="B3771">
        <f>A3771&lt;=MineCount*Days</f>
        <v/>
      </c>
      <c r="C3771">
        <f>IF(B3771,INT((A3771-1)/Days)+1,"")</f>
        <v/>
      </c>
      <c r="D3771">
        <f>IF(B3771,MOD(A3771-1,Days),"")</f>
        <v/>
      </c>
      <c r="E3771" s="16">
        <f>IF(B3771,StartDate+D3771,"")</f>
        <v/>
      </c>
      <c r="F3771">
        <f>IF(B3771,MAX(MOD(SIN(Seed*0.1373+C3771*12.9898+D3771*78.233)*43758.5453,1),1E-9),"")</f>
        <v/>
      </c>
      <c r="G3771">
        <f>IF(B3771,MOD(SIN(Seed*0.5917+C3771*39.3468+D3771*11.135)*24634.6345,1),"")</f>
        <v/>
      </c>
      <c r="H3771">
        <f>IF(B3771,SQRT(-2*LN(F3771))*COS(2*PI()*G3771),"")</f>
        <v/>
      </c>
      <c r="I3771">
        <f>IF(B3771,IF(D3771=0,H3771,Rho*I3770+SQRT(1-Rho^2)*H3771),"")</f>
        <v/>
      </c>
      <c r="J3771">
        <f>IF(B3771,IF(Dist="Normal",DistA+DistB*I3771,DistA+(DistB-DistA)*NORMSDIST(I3771)),"")</f>
        <v/>
      </c>
      <c r="K3771">
        <f>IF(B3771,INDEX(MineScale,C3771),"")</f>
        <v/>
      </c>
      <c r="L3771">
        <f>IF(B3771,INDEX(Dow,1,WEEKDAY(E3771,2)),"")</f>
        <v/>
      </c>
      <c r="M3771">
        <f>IF(B3771,(1+Trend)^D3771,"")</f>
        <v/>
      </c>
      <c r="N3771">
        <f>IF(B3771,EXP(SUMPRODUCT(LN(1+(EvEff-1)*INDEX(Affected,0,C3771)*EXP(-((E3771-EvCenter)^2)/(2*EvSigma^2))))),"")</f>
        <v/>
      </c>
      <c r="O3771">
        <f>IF(B3771,ROUND(MAX(0,J3771*K3771*L3771*M3771*N3771),2),"")</f>
        <v/>
      </c>
    </row>
    <row r="3772">
      <c r="A3772" t="n">
        <v>3771</v>
      </c>
      <c r="B3772">
        <f>A3772&lt;=MineCount*Days</f>
        <v/>
      </c>
      <c r="C3772">
        <f>IF(B3772,INT((A3772-1)/Days)+1,"")</f>
        <v/>
      </c>
      <c r="D3772">
        <f>IF(B3772,MOD(A3772-1,Days),"")</f>
        <v/>
      </c>
      <c r="E3772" s="16">
        <f>IF(B3772,StartDate+D3772,"")</f>
        <v/>
      </c>
      <c r="F3772">
        <f>IF(B3772,MAX(MOD(SIN(Seed*0.1373+C3772*12.9898+D3772*78.233)*43758.5453,1),1E-9),"")</f>
        <v/>
      </c>
      <c r="G3772">
        <f>IF(B3772,MOD(SIN(Seed*0.5917+C3772*39.3468+D3772*11.135)*24634.6345,1),"")</f>
        <v/>
      </c>
      <c r="H3772">
        <f>IF(B3772,SQRT(-2*LN(F3772))*COS(2*PI()*G3772),"")</f>
        <v/>
      </c>
      <c r="I3772">
        <f>IF(B3772,IF(D3772=0,H3772,Rho*I3771+SQRT(1-Rho^2)*H3772),"")</f>
        <v/>
      </c>
      <c r="J3772">
        <f>IF(B3772,IF(Dist="Normal",DistA+DistB*I3772,DistA+(DistB-DistA)*NORMSDIST(I3772)),"")</f>
        <v/>
      </c>
      <c r="K3772">
        <f>IF(B3772,INDEX(MineScale,C3772),"")</f>
        <v/>
      </c>
      <c r="L3772">
        <f>IF(B3772,INDEX(Dow,1,WEEKDAY(E3772,2)),"")</f>
        <v/>
      </c>
      <c r="M3772">
        <f>IF(B3772,(1+Trend)^D3772,"")</f>
        <v/>
      </c>
      <c r="N3772">
        <f>IF(B3772,EXP(SUMPRODUCT(LN(1+(EvEff-1)*INDEX(Affected,0,C3772)*EXP(-((E3772-EvCenter)^2)/(2*EvSigma^2))))),"")</f>
        <v/>
      </c>
      <c r="O3772">
        <f>IF(B3772,ROUND(MAX(0,J3772*K3772*L3772*M3772*N3772),2),"")</f>
        <v/>
      </c>
    </row>
    <row r="3773">
      <c r="A3773" t="n">
        <v>3772</v>
      </c>
      <c r="B3773">
        <f>A3773&lt;=MineCount*Days</f>
        <v/>
      </c>
      <c r="C3773">
        <f>IF(B3773,INT((A3773-1)/Days)+1,"")</f>
        <v/>
      </c>
      <c r="D3773">
        <f>IF(B3773,MOD(A3773-1,Days),"")</f>
        <v/>
      </c>
      <c r="E3773" s="16">
        <f>IF(B3773,StartDate+D3773,"")</f>
        <v/>
      </c>
      <c r="F3773">
        <f>IF(B3773,MAX(MOD(SIN(Seed*0.1373+C3773*12.9898+D3773*78.233)*43758.5453,1),1E-9),"")</f>
        <v/>
      </c>
      <c r="G3773">
        <f>IF(B3773,MOD(SIN(Seed*0.5917+C3773*39.3468+D3773*11.135)*24634.6345,1),"")</f>
        <v/>
      </c>
      <c r="H3773">
        <f>IF(B3773,SQRT(-2*LN(F3773))*COS(2*PI()*G3773),"")</f>
        <v/>
      </c>
      <c r="I3773">
        <f>IF(B3773,IF(D3773=0,H3773,Rho*I3772+SQRT(1-Rho^2)*H3773),"")</f>
        <v/>
      </c>
      <c r="J3773">
        <f>IF(B3773,IF(Dist="Normal",DistA+DistB*I3773,DistA+(DistB-DistA)*NORMSDIST(I3773)),"")</f>
        <v/>
      </c>
      <c r="K3773">
        <f>IF(B3773,INDEX(MineScale,C3773),"")</f>
        <v/>
      </c>
      <c r="L3773">
        <f>IF(B3773,INDEX(Dow,1,WEEKDAY(E3773,2)),"")</f>
        <v/>
      </c>
      <c r="M3773">
        <f>IF(B3773,(1+Trend)^D3773,"")</f>
        <v/>
      </c>
      <c r="N3773">
        <f>IF(B3773,EXP(SUMPRODUCT(LN(1+(EvEff-1)*INDEX(Affected,0,C3773)*EXP(-((E3773-EvCenter)^2)/(2*EvSigma^2))))),"")</f>
        <v/>
      </c>
      <c r="O3773">
        <f>IF(B3773,ROUND(MAX(0,J3773*K3773*L3773*M3773*N3773),2),"")</f>
        <v/>
      </c>
    </row>
    <row r="3774">
      <c r="A3774" t="n">
        <v>3773</v>
      </c>
      <c r="B3774">
        <f>A3774&lt;=MineCount*Days</f>
        <v/>
      </c>
      <c r="C3774">
        <f>IF(B3774,INT((A3774-1)/Days)+1,"")</f>
        <v/>
      </c>
      <c r="D3774">
        <f>IF(B3774,MOD(A3774-1,Days),"")</f>
        <v/>
      </c>
      <c r="E3774" s="16">
        <f>IF(B3774,StartDate+D3774,"")</f>
        <v/>
      </c>
      <c r="F3774">
        <f>IF(B3774,MAX(MOD(SIN(Seed*0.1373+C3774*12.9898+D3774*78.233)*43758.5453,1),1E-9),"")</f>
        <v/>
      </c>
      <c r="G3774">
        <f>IF(B3774,MOD(SIN(Seed*0.5917+C3774*39.3468+D3774*11.135)*24634.6345,1),"")</f>
        <v/>
      </c>
      <c r="H3774">
        <f>IF(B3774,SQRT(-2*LN(F3774))*COS(2*PI()*G3774),"")</f>
        <v/>
      </c>
      <c r="I3774">
        <f>IF(B3774,IF(D3774=0,H3774,Rho*I3773+SQRT(1-Rho^2)*H3774),"")</f>
        <v/>
      </c>
      <c r="J3774">
        <f>IF(B3774,IF(Dist="Normal",DistA+DistB*I3774,DistA+(DistB-DistA)*NORMSDIST(I3774)),"")</f>
        <v/>
      </c>
      <c r="K3774">
        <f>IF(B3774,INDEX(MineScale,C3774),"")</f>
        <v/>
      </c>
      <c r="L3774">
        <f>IF(B3774,INDEX(Dow,1,WEEKDAY(E3774,2)),"")</f>
        <v/>
      </c>
      <c r="M3774">
        <f>IF(B3774,(1+Trend)^D3774,"")</f>
        <v/>
      </c>
      <c r="N3774">
        <f>IF(B3774,EXP(SUMPRODUCT(LN(1+(EvEff-1)*INDEX(Affected,0,C3774)*EXP(-((E3774-EvCenter)^2)/(2*EvSigma^2))))),"")</f>
        <v/>
      </c>
      <c r="O3774">
        <f>IF(B3774,ROUND(MAX(0,J3774*K3774*L3774*M3774*N3774),2),"")</f>
        <v/>
      </c>
    </row>
    <row r="3775">
      <c r="A3775" t="n">
        <v>3774</v>
      </c>
      <c r="B3775">
        <f>A3775&lt;=MineCount*Days</f>
        <v/>
      </c>
      <c r="C3775">
        <f>IF(B3775,INT((A3775-1)/Days)+1,"")</f>
        <v/>
      </c>
      <c r="D3775">
        <f>IF(B3775,MOD(A3775-1,Days),"")</f>
        <v/>
      </c>
      <c r="E3775" s="16">
        <f>IF(B3775,StartDate+D3775,"")</f>
        <v/>
      </c>
      <c r="F3775">
        <f>IF(B3775,MAX(MOD(SIN(Seed*0.1373+C3775*12.9898+D3775*78.233)*43758.5453,1),1E-9),"")</f>
        <v/>
      </c>
      <c r="G3775">
        <f>IF(B3775,MOD(SIN(Seed*0.5917+C3775*39.3468+D3775*11.135)*24634.6345,1),"")</f>
        <v/>
      </c>
      <c r="H3775">
        <f>IF(B3775,SQRT(-2*LN(F3775))*COS(2*PI()*G3775),"")</f>
        <v/>
      </c>
      <c r="I3775">
        <f>IF(B3775,IF(D3775=0,H3775,Rho*I3774+SQRT(1-Rho^2)*H3775),"")</f>
        <v/>
      </c>
      <c r="J3775">
        <f>IF(B3775,IF(Dist="Normal",DistA+DistB*I3775,DistA+(DistB-DistA)*NORMSDIST(I3775)),"")</f>
        <v/>
      </c>
      <c r="K3775">
        <f>IF(B3775,INDEX(MineScale,C3775),"")</f>
        <v/>
      </c>
      <c r="L3775">
        <f>IF(B3775,INDEX(Dow,1,WEEKDAY(E3775,2)),"")</f>
        <v/>
      </c>
      <c r="M3775">
        <f>IF(B3775,(1+Trend)^D3775,"")</f>
        <v/>
      </c>
      <c r="N3775">
        <f>IF(B3775,EXP(SUMPRODUCT(LN(1+(EvEff-1)*INDEX(Affected,0,C3775)*EXP(-((E3775-EvCenter)^2)/(2*EvSigma^2))))),"")</f>
        <v/>
      </c>
      <c r="O3775">
        <f>IF(B3775,ROUND(MAX(0,J3775*K3775*L3775*M3775*N3775),2),"")</f>
        <v/>
      </c>
    </row>
    <row r="3776">
      <c r="A3776" t="n">
        <v>3775</v>
      </c>
      <c r="B3776">
        <f>A3776&lt;=MineCount*Days</f>
        <v/>
      </c>
      <c r="C3776">
        <f>IF(B3776,INT((A3776-1)/Days)+1,"")</f>
        <v/>
      </c>
      <c r="D3776">
        <f>IF(B3776,MOD(A3776-1,Days),"")</f>
        <v/>
      </c>
      <c r="E3776" s="16">
        <f>IF(B3776,StartDate+D3776,"")</f>
        <v/>
      </c>
      <c r="F3776">
        <f>IF(B3776,MAX(MOD(SIN(Seed*0.1373+C3776*12.9898+D3776*78.233)*43758.5453,1),1E-9),"")</f>
        <v/>
      </c>
      <c r="G3776">
        <f>IF(B3776,MOD(SIN(Seed*0.5917+C3776*39.3468+D3776*11.135)*24634.6345,1),"")</f>
        <v/>
      </c>
      <c r="H3776">
        <f>IF(B3776,SQRT(-2*LN(F3776))*COS(2*PI()*G3776),"")</f>
        <v/>
      </c>
      <c r="I3776">
        <f>IF(B3776,IF(D3776=0,H3776,Rho*I3775+SQRT(1-Rho^2)*H3776),"")</f>
        <v/>
      </c>
      <c r="J3776">
        <f>IF(B3776,IF(Dist="Normal",DistA+DistB*I3776,DistA+(DistB-DistA)*NORMSDIST(I3776)),"")</f>
        <v/>
      </c>
      <c r="K3776">
        <f>IF(B3776,INDEX(MineScale,C3776),"")</f>
        <v/>
      </c>
      <c r="L3776">
        <f>IF(B3776,INDEX(Dow,1,WEEKDAY(E3776,2)),"")</f>
        <v/>
      </c>
      <c r="M3776">
        <f>IF(B3776,(1+Trend)^D3776,"")</f>
        <v/>
      </c>
      <c r="N3776">
        <f>IF(B3776,EXP(SUMPRODUCT(LN(1+(EvEff-1)*INDEX(Affected,0,C3776)*EXP(-((E3776-EvCenter)^2)/(2*EvSigma^2))))),"")</f>
        <v/>
      </c>
      <c r="O3776">
        <f>IF(B3776,ROUND(MAX(0,J3776*K3776*L3776*M3776*N3776),2),"")</f>
        <v/>
      </c>
    </row>
    <row r="3777">
      <c r="A3777" t="n">
        <v>3776</v>
      </c>
      <c r="B3777">
        <f>A3777&lt;=MineCount*Days</f>
        <v/>
      </c>
      <c r="C3777">
        <f>IF(B3777,INT((A3777-1)/Days)+1,"")</f>
        <v/>
      </c>
      <c r="D3777">
        <f>IF(B3777,MOD(A3777-1,Days),"")</f>
        <v/>
      </c>
      <c r="E3777" s="16">
        <f>IF(B3777,StartDate+D3777,"")</f>
        <v/>
      </c>
      <c r="F3777">
        <f>IF(B3777,MAX(MOD(SIN(Seed*0.1373+C3777*12.9898+D3777*78.233)*43758.5453,1),1E-9),"")</f>
        <v/>
      </c>
      <c r="G3777">
        <f>IF(B3777,MOD(SIN(Seed*0.5917+C3777*39.3468+D3777*11.135)*24634.6345,1),"")</f>
        <v/>
      </c>
      <c r="H3777">
        <f>IF(B3777,SQRT(-2*LN(F3777))*COS(2*PI()*G3777),"")</f>
        <v/>
      </c>
      <c r="I3777">
        <f>IF(B3777,IF(D3777=0,H3777,Rho*I3776+SQRT(1-Rho^2)*H3777),"")</f>
        <v/>
      </c>
      <c r="J3777">
        <f>IF(B3777,IF(Dist="Normal",DistA+DistB*I3777,DistA+(DistB-DistA)*NORMSDIST(I3777)),"")</f>
        <v/>
      </c>
      <c r="K3777">
        <f>IF(B3777,INDEX(MineScale,C3777),"")</f>
        <v/>
      </c>
      <c r="L3777">
        <f>IF(B3777,INDEX(Dow,1,WEEKDAY(E3777,2)),"")</f>
        <v/>
      </c>
      <c r="M3777">
        <f>IF(B3777,(1+Trend)^D3777,"")</f>
        <v/>
      </c>
      <c r="N3777">
        <f>IF(B3777,EXP(SUMPRODUCT(LN(1+(EvEff-1)*INDEX(Affected,0,C3777)*EXP(-((E3777-EvCenter)^2)/(2*EvSigma^2))))),"")</f>
        <v/>
      </c>
      <c r="O3777">
        <f>IF(B3777,ROUND(MAX(0,J3777*K3777*L3777*M3777*N3777),2),"")</f>
        <v/>
      </c>
    </row>
    <row r="3778">
      <c r="A3778" t="n">
        <v>3777</v>
      </c>
      <c r="B3778">
        <f>A3778&lt;=MineCount*Days</f>
        <v/>
      </c>
      <c r="C3778">
        <f>IF(B3778,INT((A3778-1)/Days)+1,"")</f>
        <v/>
      </c>
      <c r="D3778">
        <f>IF(B3778,MOD(A3778-1,Days),"")</f>
        <v/>
      </c>
      <c r="E3778" s="16">
        <f>IF(B3778,StartDate+D3778,"")</f>
        <v/>
      </c>
      <c r="F3778">
        <f>IF(B3778,MAX(MOD(SIN(Seed*0.1373+C3778*12.9898+D3778*78.233)*43758.5453,1),1E-9),"")</f>
        <v/>
      </c>
      <c r="G3778">
        <f>IF(B3778,MOD(SIN(Seed*0.5917+C3778*39.3468+D3778*11.135)*24634.6345,1),"")</f>
        <v/>
      </c>
      <c r="H3778">
        <f>IF(B3778,SQRT(-2*LN(F3778))*COS(2*PI()*G3778),"")</f>
        <v/>
      </c>
      <c r="I3778">
        <f>IF(B3778,IF(D3778=0,H3778,Rho*I3777+SQRT(1-Rho^2)*H3778),"")</f>
        <v/>
      </c>
      <c r="J3778">
        <f>IF(B3778,IF(Dist="Normal",DistA+DistB*I3778,DistA+(DistB-DistA)*NORMSDIST(I3778)),"")</f>
        <v/>
      </c>
      <c r="K3778">
        <f>IF(B3778,INDEX(MineScale,C3778),"")</f>
        <v/>
      </c>
      <c r="L3778">
        <f>IF(B3778,INDEX(Dow,1,WEEKDAY(E3778,2)),"")</f>
        <v/>
      </c>
      <c r="M3778">
        <f>IF(B3778,(1+Trend)^D3778,"")</f>
        <v/>
      </c>
      <c r="N3778">
        <f>IF(B3778,EXP(SUMPRODUCT(LN(1+(EvEff-1)*INDEX(Affected,0,C3778)*EXP(-((E3778-EvCenter)^2)/(2*EvSigma^2))))),"")</f>
        <v/>
      </c>
      <c r="O3778">
        <f>IF(B3778,ROUND(MAX(0,J3778*K3778*L3778*M3778*N3778),2),"")</f>
        <v/>
      </c>
    </row>
    <row r="3779">
      <c r="A3779" t="n">
        <v>3778</v>
      </c>
      <c r="B3779">
        <f>A3779&lt;=MineCount*Days</f>
        <v/>
      </c>
      <c r="C3779">
        <f>IF(B3779,INT((A3779-1)/Days)+1,"")</f>
        <v/>
      </c>
      <c r="D3779">
        <f>IF(B3779,MOD(A3779-1,Days),"")</f>
        <v/>
      </c>
      <c r="E3779" s="16">
        <f>IF(B3779,StartDate+D3779,"")</f>
        <v/>
      </c>
      <c r="F3779">
        <f>IF(B3779,MAX(MOD(SIN(Seed*0.1373+C3779*12.9898+D3779*78.233)*43758.5453,1),1E-9),"")</f>
        <v/>
      </c>
      <c r="G3779">
        <f>IF(B3779,MOD(SIN(Seed*0.5917+C3779*39.3468+D3779*11.135)*24634.6345,1),"")</f>
        <v/>
      </c>
      <c r="H3779">
        <f>IF(B3779,SQRT(-2*LN(F3779))*COS(2*PI()*G3779),"")</f>
        <v/>
      </c>
      <c r="I3779">
        <f>IF(B3779,IF(D3779=0,H3779,Rho*I3778+SQRT(1-Rho^2)*H3779),"")</f>
        <v/>
      </c>
      <c r="J3779">
        <f>IF(B3779,IF(Dist="Normal",DistA+DistB*I3779,DistA+(DistB-DistA)*NORMSDIST(I3779)),"")</f>
        <v/>
      </c>
      <c r="K3779">
        <f>IF(B3779,INDEX(MineScale,C3779),"")</f>
        <v/>
      </c>
      <c r="L3779">
        <f>IF(B3779,INDEX(Dow,1,WEEKDAY(E3779,2)),"")</f>
        <v/>
      </c>
      <c r="M3779">
        <f>IF(B3779,(1+Trend)^D3779,"")</f>
        <v/>
      </c>
      <c r="N3779">
        <f>IF(B3779,EXP(SUMPRODUCT(LN(1+(EvEff-1)*INDEX(Affected,0,C3779)*EXP(-((E3779-EvCenter)^2)/(2*EvSigma^2))))),"")</f>
        <v/>
      </c>
      <c r="O3779">
        <f>IF(B3779,ROUND(MAX(0,J3779*K3779*L3779*M3779*N3779),2),"")</f>
        <v/>
      </c>
    </row>
    <row r="3780">
      <c r="A3780" t="n">
        <v>3779</v>
      </c>
      <c r="B3780">
        <f>A3780&lt;=MineCount*Days</f>
        <v/>
      </c>
      <c r="C3780">
        <f>IF(B3780,INT((A3780-1)/Days)+1,"")</f>
        <v/>
      </c>
      <c r="D3780">
        <f>IF(B3780,MOD(A3780-1,Days),"")</f>
        <v/>
      </c>
      <c r="E3780" s="16">
        <f>IF(B3780,StartDate+D3780,"")</f>
        <v/>
      </c>
      <c r="F3780">
        <f>IF(B3780,MAX(MOD(SIN(Seed*0.1373+C3780*12.9898+D3780*78.233)*43758.5453,1),1E-9),"")</f>
        <v/>
      </c>
      <c r="G3780">
        <f>IF(B3780,MOD(SIN(Seed*0.5917+C3780*39.3468+D3780*11.135)*24634.6345,1),"")</f>
        <v/>
      </c>
      <c r="H3780">
        <f>IF(B3780,SQRT(-2*LN(F3780))*COS(2*PI()*G3780),"")</f>
        <v/>
      </c>
      <c r="I3780">
        <f>IF(B3780,IF(D3780=0,H3780,Rho*I3779+SQRT(1-Rho^2)*H3780),"")</f>
        <v/>
      </c>
      <c r="J3780">
        <f>IF(B3780,IF(Dist="Normal",DistA+DistB*I3780,DistA+(DistB-DistA)*NORMSDIST(I3780)),"")</f>
        <v/>
      </c>
      <c r="K3780">
        <f>IF(B3780,INDEX(MineScale,C3780),"")</f>
        <v/>
      </c>
      <c r="L3780">
        <f>IF(B3780,INDEX(Dow,1,WEEKDAY(E3780,2)),"")</f>
        <v/>
      </c>
      <c r="M3780">
        <f>IF(B3780,(1+Trend)^D3780,"")</f>
        <v/>
      </c>
      <c r="N3780">
        <f>IF(B3780,EXP(SUMPRODUCT(LN(1+(EvEff-1)*INDEX(Affected,0,C3780)*EXP(-((E3780-EvCenter)^2)/(2*EvSigma^2))))),"")</f>
        <v/>
      </c>
      <c r="O3780">
        <f>IF(B3780,ROUND(MAX(0,J3780*K3780*L3780*M3780*N3780),2),"")</f>
        <v/>
      </c>
    </row>
    <row r="3781">
      <c r="A3781" t="n">
        <v>3780</v>
      </c>
      <c r="B3781">
        <f>A3781&lt;=MineCount*Days</f>
        <v/>
      </c>
      <c r="C3781">
        <f>IF(B3781,INT((A3781-1)/Days)+1,"")</f>
        <v/>
      </c>
      <c r="D3781">
        <f>IF(B3781,MOD(A3781-1,Days),"")</f>
        <v/>
      </c>
      <c r="E3781" s="16">
        <f>IF(B3781,StartDate+D3781,"")</f>
        <v/>
      </c>
      <c r="F3781">
        <f>IF(B3781,MAX(MOD(SIN(Seed*0.1373+C3781*12.9898+D3781*78.233)*43758.5453,1),1E-9),"")</f>
        <v/>
      </c>
      <c r="G3781">
        <f>IF(B3781,MOD(SIN(Seed*0.5917+C3781*39.3468+D3781*11.135)*24634.6345,1),"")</f>
        <v/>
      </c>
      <c r="H3781">
        <f>IF(B3781,SQRT(-2*LN(F3781))*COS(2*PI()*G3781),"")</f>
        <v/>
      </c>
      <c r="I3781">
        <f>IF(B3781,IF(D3781=0,H3781,Rho*I3780+SQRT(1-Rho^2)*H3781),"")</f>
        <v/>
      </c>
      <c r="J3781">
        <f>IF(B3781,IF(Dist="Normal",DistA+DistB*I3781,DistA+(DistB-DistA)*NORMSDIST(I3781)),"")</f>
        <v/>
      </c>
      <c r="K3781">
        <f>IF(B3781,INDEX(MineScale,C3781),"")</f>
        <v/>
      </c>
      <c r="L3781">
        <f>IF(B3781,INDEX(Dow,1,WEEKDAY(E3781,2)),"")</f>
        <v/>
      </c>
      <c r="M3781">
        <f>IF(B3781,(1+Trend)^D3781,"")</f>
        <v/>
      </c>
      <c r="N3781">
        <f>IF(B3781,EXP(SUMPRODUCT(LN(1+(EvEff-1)*INDEX(Affected,0,C3781)*EXP(-((E3781-EvCenter)^2)/(2*EvSigma^2))))),"")</f>
        <v/>
      </c>
      <c r="O3781">
        <f>IF(B3781,ROUND(MAX(0,J3781*K3781*L3781*M3781*N3781),2),"")</f>
        <v/>
      </c>
    </row>
    <row r="3782">
      <c r="A3782" t="n">
        <v>3781</v>
      </c>
      <c r="B3782">
        <f>A3782&lt;=MineCount*Days</f>
        <v/>
      </c>
      <c r="C3782">
        <f>IF(B3782,INT((A3782-1)/Days)+1,"")</f>
        <v/>
      </c>
      <c r="D3782">
        <f>IF(B3782,MOD(A3782-1,Days),"")</f>
        <v/>
      </c>
      <c r="E3782" s="16">
        <f>IF(B3782,StartDate+D3782,"")</f>
        <v/>
      </c>
      <c r="F3782">
        <f>IF(B3782,MAX(MOD(SIN(Seed*0.1373+C3782*12.9898+D3782*78.233)*43758.5453,1),1E-9),"")</f>
        <v/>
      </c>
      <c r="G3782">
        <f>IF(B3782,MOD(SIN(Seed*0.5917+C3782*39.3468+D3782*11.135)*24634.6345,1),"")</f>
        <v/>
      </c>
      <c r="H3782">
        <f>IF(B3782,SQRT(-2*LN(F3782))*COS(2*PI()*G3782),"")</f>
        <v/>
      </c>
      <c r="I3782">
        <f>IF(B3782,IF(D3782=0,H3782,Rho*I3781+SQRT(1-Rho^2)*H3782),"")</f>
        <v/>
      </c>
      <c r="J3782">
        <f>IF(B3782,IF(Dist="Normal",DistA+DistB*I3782,DistA+(DistB-DistA)*NORMSDIST(I3782)),"")</f>
        <v/>
      </c>
      <c r="K3782">
        <f>IF(B3782,INDEX(MineScale,C3782),"")</f>
        <v/>
      </c>
      <c r="L3782">
        <f>IF(B3782,INDEX(Dow,1,WEEKDAY(E3782,2)),"")</f>
        <v/>
      </c>
      <c r="M3782">
        <f>IF(B3782,(1+Trend)^D3782,"")</f>
        <v/>
      </c>
      <c r="N3782">
        <f>IF(B3782,EXP(SUMPRODUCT(LN(1+(EvEff-1)*INDEX(Affected,0,C3782)*EXP(-((E3782-EvCenter)^2)/(2*EvSigma^2))))),"")</f>
        <v/>
      </c>
      <c r="O3782">
        <f>IF(B3782,ROUND(MAX(0,J3782*K3782*L3782*M3782*N3782),2),"")</f>
        <v/>
      </c>
    </row>
    <row r="3783">
      <c r="A3783" t="n">
        <v>3782</v>
      </c>
      <c r="B3783">
        <f>A3783&lt;=MineCount*Days</f>
        <v/>
      </c>
      <c r="C3783">
        <f>IF(B3783,INT((A3783-1)/Days)+1,"")</f>
        <v/>
      </c>
      <c r="D3783">
        <f>IF(B3783,MOD(A3783-1,Days),"")</f>
        <v/>
      </c>
      <c r="E3783" s="16">
        <f>IF(B3783,StartDate+D3783,"")</f>
        <v/>
      </c>
      <c r="F3783">
        <f>IF(B3783,MAX(MOD(SIN(Seed*0.1373+C3783*12.9898+D3783*78.233)*43758.5453,1),1E-9),"")</f>
        <v/>
      </c>
      <c r="G3783">
        <f>IF(B3783,MOD(SIN(Seed*0.5917+C3783*39.3468+D3783*11.135)*24634.6345,1),"")</f>
        <v/>
      </c>
      <c r="H3783">
        <f>IF(B3783,SQRT(-2*LN(F3783))*COS(2*PI()*G3783),"")</f>
        <v/>
      </c>
      <c r="I3783">
        <f>IF(B3783,IF(D3783=0,H3783,Rho*I3782+SQRT(1-Rho^2)*H3783),"")</f>
        <v/>
      </c>
      <c r="J3783">
        <f>IF(B3783,IF(Dist="Normal",DistA+DistB*I3783,DistA+(DistB-DistA)*NORMSDIST(I3783)),"")</f>
        <v/>
      </c>
      <c r="K3783">
        <f>IF(B3783,INDEX(MineScale,C3783),"")</f>
        <v/>
      </c>
      <c r="L3783">
        <f>IF(B3783,INDEX(Dow,1,WEEKDAY(E3783,2)),"")</f>
        <v/>
      </c>
      <c r="M3783">
        <f>IF(B3783,(1+Trend)^D3783,"")</f>
        <v/>
      </c>
      <c r="N3783">
        <f>IF(B3783,EXP(SUMPRODUCT(LN(1+(EvEff-1)*INDEX(Affected,0,C3783)*EXP(-((E3783-EvCenter)^2)/(2*EvSigma^2))))),"")</f>
        <v/>
      </c>
      <c r="O3783">
        <f>IF(B3783,ROUND(MAX(0,J3783*K3783*L3783*M3783*N3783),2),"")</f>
        <v/>
      </c>
    </row>
    <row r="3784">
      <c r="A3784" t="n">
        <v>3783</v>
      </c>
      <c r="B3784">
        <f>A3784&lt;=MineCount*Days</f>
        <v/>
      </c>
      <c r="C3784">
        <f>IF(B3784,INT((A3784-1)/Days)+1,"")</f>
        <v/>
      </c>
      <c r="D3784">
        <f>IF(B3784,MOD(A3784-1,Days),"")</f>
        <v/>
      </c>
      <c r="E3784" s="16">
        <f>IF(B3784,StartDate+D3784,"")</f>
        <v/>
      </c>
      <c r="F3784">
        <f>IF(B3784,MAX(MOD(SIN(Seed*0.1373+C3784*12.9898+D3784*78.233)*43758.5453,1),1E-9),"")</f>
        <v/>
      </c>
      <c r="G3784">
        <f>IF(B3784,MOD(SIN(Seed*0.5917+C3784*39.3468+D3784*11.135)*24634.6345,1),"")</f>
        <v/>
      </c>
      <c r="H3784">
        <f>IF(B3784,SQRT(-2*LN(F3784))*COS(2*PI()*G3784),"")</f>
        <v/>
      </c>
      <c r="I3784">
        <f>IF(B3784,IF(D3784=0,H3784,Rho*I3783+SQRT(1-Rho^2)*H3784),"")</f>
        <v/>
      </c>
      <c r="J3784">
        <f>IF(B3784,IF(Dist="Normal",DistA+DistB*I3784,DistA+(DistB-DistA)*NORMSDIST(I3784)),"")</f>
        <v/>
      </c>
      <c r="K3784">
        <f>IF(B3784,INDEX(MineScale,C3784),"")</f>
        <v/>
      </c>
      <c r="L3784">
        <f>IF(B3784,INDEX(Dow,1,WEEKDAY(E3784,2)),"")</f>
        <v/>
      </c>
      <c r="M3784">
        <f>IF(B3784,(1+Trend)^D3784,"")</f>
        <v/>
      </c>
      <c r="N3784">
        <f>IF(B3784,EXP(SUMPRODUCT(LN(1+(EvEff-1)*INDEX(Affected,0,C3784)*EXP(-((E3784-EvCenter)^2)/(2*EvSigma^2))))),"")</f>
        <v/>
      </c>
      <c r="O3784">
        <f>IF(B3784,ROUND(MAX(0,J3784*K3784*L3784*M3784*N3784),2),"")</f>
        <v/>
      </c>
    </row>
    <row r="3785">
      <c r="A3785" t="n">
        <v>3784</v>
      </c>
      <c r="B3785">
        <f>A3785&lt;=MineCount*Days</f>
        <v/>
      </c>
      <c r="C3785">
        <f>IF(B3785,INT((A3785-1)/Days)+1,"")</f>
        <v/>
      </c>
      <c r="D3785">
        <f>IF(B3785,MOD(A3785-1,Days),"")</f>
        <v/>
      </c>
      <c r="E3785" s="16">
        <f>IF(B3785,StartDate+D3785,"")</f>
        <v/>
      </c>
      <c r="F3785">
        <f>IF(B3785,MAX(MOD(SIN(Seed*0.1373+C3785*12.9898+D3785*78.233)*43758.5453,1),1E-9),"")</f>
        <v/>
      </c>
      <c r="G3785">
        <f>IF(B3785,MOD(SIN(Seed*0.5917+C3785*39.3468+D3785*11.135)*24634.6345,1),"")</f>
        <v/>
      </c>
      <c r="H3785">
        <f>IF(B3785,SQRT(-2*LN(F3785))*COS(2*PI()*G3785),"")</f>
        <v/>
      </c>
      <c r="I3785">
        <f>IF(B3785,IF(D3785=0,H3785,Rho*I3784+SQRT(1-Rho^2)*H3785),"")</f>
        <v/>
      </c>
      <c r="J3785">
        <f>IF(B3785,IF(Dist="Normal",DistA+DistB*I3785,DistA+(DistB-DistA)*NORMSDIST(I3785)),"")</f>
        <v/>
      </c>
      <c r="K3785">
        <f>IF(B3785,INDEX(MineScale,C3785),"")</f>
        <v/>
      </c>
      <c r="L3785">
        <f>IF(B3785,INDEX(Dow,1,WEEKDAY(E3785,2)),"")</f>
        <v/>
      </c>
      <c r="M3785">
        <f>IF(B3785,(1+Trend)^D3785,"")</f>
        <v/>
      </c>
      <c r="N3785">
        <f>IF(B3785,EXP(SUMPRODUCT(LN(1+(EvEff-1)*INDEX(Affected,0,C3785)*EXP(-((E3785-EvCenter)^2)/(2*EvSigma^2))))),"")</f>
        <v/>
      </c>
      <c r="O3785">
        <f>IF(B3785,ROUND(MAX(0,J3785*K3785*L3785*M3785*N3785),2),"")</f>
        <v/>
      </c>
    </row>
    <row r="3786">
      <c r="A3786" t="n">
        <v>3785</v>
      </c>
      <c r="B3786">
        <f>A3786&lt;=MineCount*Days</f>
        <v/>
      </c>
      <c r="C3786">
        <f>IF(B3786,INT((A3786-1)/Days)+1,"")</f>
        <v/>
      </c>
      <c r="D3786">
        <f>IF(B3786,MOD(A3786-1,Days),"")</f>
        <v/>
      </c>
      <c r="E3786" s="16">
        <f>IF(B3786,StartDate+D3786,"")</f>
        <v/>
      </c>
      <c r="F3786">
        <f>IF(B3786,MAX(MOD(SIN(Seed*0.1373+C3786*12.9898+D3786*78.233)*43758.5453,1),1E-9),"")</f>
        <v/>
      </c>
      <c r="G3786">
        <f>IF(B3786,MOD(SIN(Seed*0.5917+C3786*39.3468+D3786*11.135)*24634.6345,1),"")</f>
        <v/>
      </c>
      <c r="H3786">
        <f>IF(B3786,SQRT(-2*LN(F3786))*COS(2*PI()*G3786),"")</f>
        <v/>
      </c>
      <c r="I3786">
        <f>IF(B3786,IF(D3786=0,H3786,Rho*I3785+SQRT(1-Rho^2)*H3786),"")</f>
        <v/>
      </c>
      <c r="J3786">
        <f>IF(B3786,IF(Dist="Normal",DistA+DistB*I3786,DistA+(DistB-DistA)*NORMSDIST(I3786)),"")</f>
        <v/>
      </c>
      <c r="K3786">
        <f>IF(B3786,INDEX(MineScale,C3786),"")</f>
        <v/>
      </c>
      <c r="L3786">
        <f>IF(B3786,INDEX(Dow,1,WEEKDAY(E3786,2)),"")</f>
        <v/>
      </c>
      <c r="M3786">
        <f>IF(B3786,(1+Trend)^D3786,"")</f>
        <v/>
      </c>
      <c r="N3786">
        <f>IF(B3786,EXP(SUMPRODUCT(LN(1+(EvEff-1)*INDEX(Affected,0,C3786)*EXP(-((E3786-EvCenter)^2)/(2*EvSigma^2))))),"")</f>
        <v/>
      </c>
      <c r="O3786">
        <f>IF(B3786,ROUND(MAX(0,J3786*K3786*L3786*M3786*N3786),2),"")</f>
        <v/>
      </c>
    </row>
    <row r="3787">
      <c r="A3787" t="n">
        <v>3786</v>
      </c>
      <c r="B3787">
        <f>A3787&lt;=MineCount*Days</f>
        <v/>
      </c>
      <c r="C3787">
        <f>IF(B3787,INT((A3787-1)/Days)+1,"")</f>
        <v/>
      </c>
      <c r="D3787">
        <f>IF(B3787,MOD(A3787-1,Days),"")</f>
        <v/>
      </c>
      <c r="E3787" s="16">
        <f>IF(B3787,StartDate+D3787,"")</f>
        <v/>
      </c>
      <c r="F3787">
        <f>IF(B3787,MAX(MOD(SIN(Seed*0.1373+C3787*12.9898+D3787*78.233)*43758.5453,1),1E-9),"")</f>
        <v/>
      </c>
      <c r="G3787">
        <f>IF(B3787,MOD(SIN(Seed*0.5917+C3787*39.3468+D3787*11.135)*24634.6345,1),"")</f>
        <v/>
      </c>
      <c r="H3787">
        <f>IF(B3787,SQRT(-2*LN(F3787))*COS(2*PI()*G3787),"")</f>
        <v/>
      </c>
      <c r="I3787">
        <f>IF(B3787,IF(D3787=0,H3787,Rho*I3786+SQRT(1-Rho^2)*H3787),"")</f>
        <v/>
      </c>
      <c r="J3787">
        <f>IF(B3787,IF(Dist="Normal",DistA+DistB*I3787,DistA+(DistB-DistA)*NORMSDIST(I3787)),"")</f>
        <v/>
      </c>
      <c r="K3787">
        <f>IF(B3787,INDEX(MineScale,C3787),"")</f>
        <v/>
      </c>
      <c r="L3787">
        <f>IF(B3787,INDEX(Dow,1,WEEKDAY(E3787,2)),"")</f>
        <v/>
      </c>
      <c r="M3787">
        <f>IF(B3787,(1+Trend)^D3787,"")</f>
        <v/>
      </c>
      <c r="N3787">
        <f>IF(B3787,EXP(SUMPRODUCT(LN(1+(EvEff-1)*INDEX(Affected,0,C3787)*EXP(-((E3787-EvCenter)^2)/(2*EvSigma^2))))),"")</f>
        <v/>
      </c>
      <c r="O3787">
        <f>IF(B3787,ROUND(MAX(0,J3787*K3787*L3787*M3787*N3787),2),"")</f>
        <v/>
      </c>
    </row>
    <row r="3788">
      <c r="A3788" t="n">
        <v>3787</v>
      </c>
      <c r="B3788">
        <f>A3788&lt;=MineCount*Days</f>
        <v/>
      </c>
      <c r="C3788">
        <f>IF(B3788,INT((A3788-1)/Days)+1,"")</f>
        <v/>
      </c>
      <c r="D3788">
        <f>IF(B3788,MOD(A3788-1,Days),"")</f>
        <v/>
      </c>
      <c r="E3788" s="16">
        <f>IF(B3788,StartDate+D3788,"")</f>
        <v/>
      </c>
      <c r="F3788">
        <f>IF(B3788,MAX(MOD(SIN(Seed*0.1373+C3788*12.9898+D3788*78.233)*43758.5453,1),1E-9),"")</f>
        <v/>
      </c>
      <c r="G3788">
        <f>IF(B3788,MOD(SIN(Seed*0.5917+C3788*39.3468+D3788*11.135)*24634.6345,1),"")</f>
        <v/>
      </c>
      <c r="H3788">
        <f>IF(B3788,SQRT(-2*LN(F3788))*COS(2*PI()*G3788),"")</f>
        <v/>
      </c>
      <c r="I3788">
        <f>IF(B3788,IF(D3788=0,H3788,Rho*I3787+SQRT(1-Rho^2)*H3788),"")</f>
        <v/>
      </c>
      <c r="J3788">
        <f>IF(B3788,IF(Dist="Normal",DistA+DistB*I3788,DistA+(DistB-DistA)*NORMSDIST(I3788)),"")</f>
        <v/>
      </c>
      <c r="K3788">
        <f>IF(B3788,INDEX(MineScale,C3788),"")</f>
        <v/>
      </c>
      <c r="L3788">
        <f>IF(B3788,INDEX(Dow,1,WEEKDAY(E3788,2)),"")</f>
        <v/>
      </c>
      <c r="M3788">
        <f>IF(B3788,(1+Trend)^D3788,"")</f>
        <v/>
      </c>
      <c r="N3788">
        <f>IF(B3788,EXP(SUMPRODUCT(LN(1+(EvEff-1)*INDEX(Affected,0,C3788)*EXP(-((E3788-EvCenter)^2)/(2*EvSigma^2))))),"")</f>
        <v/>
      </c>
      <c r="O3788">
        <f>IF(B3788,ROUND(MAX(0,J3788*K3788*L3788*M3788*N3788),2),"")</f>
        <v/>
      </c>
    </row>
    <row r="3789">
      <c r="A3789" t="n">
        <v>3788</v>
      </c>
      <c r="B3789">
        <f>A3789&lt;=MineCount*Days</f>
        <v/>
      </c>
      <c r="C3789">
        <f>IF(B3789,INT((A3789-1)/Days)+1,"")</f>
        <v/>
      </c>
      <c r="D3789">
        <f>IF(B3789,MOD(A3789-1,Days),"")</f>
        <v/>
      </c>
      <c r="E3789" s="16">
        <f>IF(B3789,StartDate+D3789,"")</f>
        <v/>
      </c>
      <c r="F3789">
        <f>IF(B3789,MAX(MOD(SIN(Seed*0.1373+C3789*12.9898+D3789*78.233)*43758.5453,1),1E-9),"")</f>
        <v/>
      </c>
      <c r="G3789">
        <f>IF(B3789,MOD(SIN(Seed*0.5917+C3789*39.3468+D3789*11.135)*24634.6345,1),"")</f>
        <v/>
      </c>
      <c r="H3789">
        <f>IF(B3789,SQRT(-2*LN(F3789))*COS(2*PI()*G3789),"")</f>
        <v/>
      </c>
      <c r="I3789">
        <f>IF(B3789,IF(D3789=0,H3789,Rho*I3788+SQRT(1-Rho^2)*H3789),"")</f>
        <v/>
      </c>
      <c r="J3789">
        <f>IF(B3789,IF(Dist="Normal",DistA+DistB*I3789,DistA+(DistB-DistA)*NORMSDIST(I3789)),"")</f>
        <v/>
      </c>
      <c r="K3789">
        <f>IF(B3789,INDEX(MineScale,C3789),"")</f>
        <v/>
      </c>
      <c r="L3789">
        <f>IF(B3789,INDEX(Dow,1,WEEKDAY(E3789,2)),"")</f>
        <v/>
      </c>
      <c r="M3789">
        <f>IF(B3789,(1+Trend)^D3789,"")</f>
        <v/>
      </c>
      <c r="N3789">
        <f>IF(B3789,EXP(SUMPRODUCT(LN(1+(EvEff-1)*INDEX(Affected,0,C3789)*EXP(-((E3789-EvCenter)^2)/(2*EvSigma^2))))),"")</f>
        <v/>
      </c>
      <c r="O3789">
        <f>IF(B3789,ROUND(MAX(0,J3789*K3789*L3789*M3789*N3789),2),"")</f>
        <v/>
      </c>
    </row>
    <row r="3790">
      <c r="A3790" t="n">
        <v>3789</v>
      </c>
      <c r="B3790">
        <f>A3790&lt;=MineCount*Days</f>
        <v/>
      </c>
      <c r="C3790">
        <f>IF(B3790,INT((A3790-1)/Days)+1,"")</f>
        <v/>
      </c>
      <c r="D3790">
        <f>IF(B3790,MOD(A3790-1,Days),"")</f>
        <v/>
      </c>
      <c r="E3790" s="16">
        <f>IF(B3790,StartDate+D3790,"")</f>
        <v/>
      </c>
      <c r="F3790">
        <f>IF(B3790,MAX(MOD(SIN(Seed*0.1373+C3790*12.9898+D3790*78.233)*43758.5453,1),1E-9),"")</f>
        <v/>
      </c>
      <c r="G3790">
        <f>IF(B3790,MOD(SIN(Seed*0.5917+C3790*39.3468+D3790*11.135)*24634.6345,1),"")</f>
        <v/>
      </c>
      <c r="H3790">
        <f>IF(B3790,SQRT(-2*LN(F3790))*COS(2*PI()*G3790),"")</f>
        <v/>
      </c>
      <c r="I3790">
        <f>IF(B3790,IF(D3790=0,H3790,Rho*I3789+SQRT(1-Rho^2)*H3790),"")</f>
        <v/>
      </c>
      <c r="J3790">
        <f>IF(B3790,IF(Dist="Normal",DistA+DistB*I3790,DistA+(DistB-DistA)*NORMSDIST(I3790)),"")</f>
        <v/>
      </c>
      <c r="K3790">
        <f>IF(B3790,INDEX(MineScale,C3790),"")</f>
        <v/>
      </c>
      <c r="L3790">
        <f>IF(B3790,INDEX(Dow,1,WEEKDAY(E3790,2)),"")</f>
        <v/>
      </c>
      <c r="M3790">
        <f>IF(B3790,(1+Trend)^D3790,"")</f>
        <v/>
      </c>
      <c r="N3790">
        <f>IF(B3790,EXP(SUMPRODUCT(LN(1+(EvEff-1)*INDEX(Affected,0,C3790)*EXP(-((E3790-EvCenter)^2)/(2*EvSigma^2))))),"")</f>
        <v/>
      </c>
      <c r="O3790">
        <f>IF(B3790,ROUND(MAX(0,J3790*K3790*L3790*M3790*N3790),2),"")</f>
        <v/>
      </c>
    </row>
    <row r="3791">
      <c r="A3791" t="n">
        <v>3790</v>
      </c>
      <c r="B3791">
        <f>A3791&lt;=MineCount*Days</f>
        <v/>
      </c>
      <c r="C3791">
        <f>IF(B3791,INT((A3791-1)/Days)+1,"")</f>
        <v/>
      </c>
      <c r="D3791">
        <f>IF(B3791,MOD(A3791-1,Days),"")</f>
        <v/>
      </c>
      <c r="E3791" s="16">
        <f>IF(B3791,StartDate+D3791,"")</f>
        <v/>
      </c>
      <c r="F3791">
        <f>IF(B3791,MAX(MOD(SIN(Seed*0.1373+C3791*12.9898+D3791*78.233)*43758.5453,1),1E-9),"")</f>
        <v/>
      </c>
      <c r="G3791">
        <f>IF(B3791,MOD(SIN(Seed*0.5917+C3791*39.3468+D3791*11.135)*24634.6345,1),"")</f>
        <v/>
      </c>
      <c r="H3791">
        <f>IF(B3791,SQRT(-2*LN(F3791))*COS(2*PI()*G3791),"")</f>
        <v/>
      </c>
      <c r="I3791">
        <f>IF(B3791,IF(D3791=0,H3791,Rho*I3790+SQRT(1-Rho^2)*H3791),"")</f>
        <v/>
      </c>
      <c r="J3791">
        <f>IF(B3791,IF(Dist="Normal",DistA+DistB*I3791,DistA+(DistB-DistA)*NORMSDIST(I3791)),"")</f>
        <v/>
      </c>
      <c r="K3791">
        <f>IF(B3791,INDEX(MineScale,C3791),"")</f>
        <v/>
      </c>
      <c r="L3791">
        <f>IF(B3791,INDEX(Dow,1,WEEKDAY(E3791,2)),"")</f>
        <v/>
      </c>
      <c r="M3791">
        <f>IF(B3791,(1+Trend)^D3791,"")</f>
        <v/>
      </c>
      <c r="N3791">
        <f>IF(B3791,EXP(SUMPRODUCT(LN(1+(EvEff-1)*INDEX(Affected,0,C3791)*EXP(-((E3791-EvCenter)^2)/(2*EvSigma^2))))),"")</f>
        <v/>
      </c>
      <c r="O3791">
        <f>IF(B3791,ROUND(MAX(0,J3791*K3791*L3791*M3791*N3791),2),"")</f>
        <v/>
      </c>
    </row>
    <row r="3792">
      <c r="A3792" t="n">
        <v>3791</v>
      </c>
      <c r="B3792">
        <f>A3792&lt;=MineCount*Days</f>
        <v/>
      </c>
      <c r="C3792">
        <f>IF(B3792,INT((A3792-1)/Days)+1,"")</f>
        <v/>
      </c>
      <c r="D3792">
        <f>IF(B3792,MOD(A3792-1,Days),"")</f>
        <v/>
      </c>
      <c r="E3792" s="16">
        <f>IF(B3792,StartDate+D3792,"")</f>
        <v/>
      </c>
      <c r="F3792">
        <f>IF(B3792,MAX(MOD(SIN(Seed*0.1373+C3792*12.9898+D3792*78.233)*43758.5453,1),1E-9),"")</f>
        <v/>
      </c>
      <c r="G3792">
        <f>IF(B3792,MOD(SIN(Seed*0.5917+C3792*39.3468+D3792*11.135)*24634.6345,1),"")</f>
        <v/>
      </c>
      <c r="H3792">
        <f>IF(B3792,SQRT(-2*LN(F3792))*COS(2*PI()*G3792),"")</f>
        <v/>
      </c>
      <c r="I3792">
        <f>IF(B3792,IF(D3792=0,H3792,Rho*I3791+SQRT(1-Rho^2)*H3792),"")</f>
        <v/>
      </c>
      <c r="J3792">
        <f>IF(B3792,IF(Dist="Normal",DistA+DistB*I3792,DistA+(DistB-DistA)*NORMSDIST(I3792)),"")</f>
        <v/>
      </c>
      <c r="K3792">
        <f>IF(B3792,INDEX(MineScale,C3792),"")</f>
        <v/>
      </c>
      <c r="L3792">
        <f>IF(B3792,INDEX(Dow,1,WEEKDAY(E3792,2)),"")</f>
        <v/>
      </c>
      <c r="M3792">
        <f>IF(B3792,(1+Trend)^D3792,"")</f>
        <v/>
      </c>
      <c r="N3792">
        <f>IF(B3792,EXP(SUMPRODUCT(LN(1+(EvEff-1)*INDEX(Affected,0,C3792)*EXP(-((E3792-EvCenter)^2)/(2*EvSigma^2))))),"")</f>
        <v/>
      </c>
      <c r="O3792">
        <f>IF(B3792,ROUND(MAX(0,J3792*K3792*L3792*M3792*N3792),2),"")</f>
        <v/>
      </c>
    </row>
    <row r="3793">
      <c r="A3793" t="n">
        <v>3792</v>
      </c>
      <c r="B3793">
        <f>A3793&lt;=MineCount*Days</f>
        <v/>
      </c>
      <c r="C3793">
        <f>IF(B3793,INT((A3793-1)/Days)+1,"")</f>
        <v/>
      </c>
      <c r="D3793">
        <f>IF(B3793,MOD(A3793-1,Days),"")</f>
        <v/>
      </c>
      <c r="E3793" s="16">
        <f>IF(B3793,StartDate+D3793,"")</f>
        <v/>
      </c>
      <c r="F3793">
        <f>IF(B3793,MAX(MOD(SIN(Seed*0.1373+C3793*12.9898+D3793*78.233)*43758.5453,1),1E-9),"")</f>
        <v/>
      </c>
      <c r="G3793">
        <f>IF(B3793,MOD(SIN(Seed*0.5917+C3793*39.3468+D3793*11.135)*24634.6345,1),"")</f>
        <v/>
      </c>
      <c r="H3793">
        <f>IF(B3793,SQRT(-2*LN(F3793))*COS(2*PI()*G3793),"")</f>
        <v/>
      </c>
      <c r="I3793">
        <f>IF(B3793,IF(D3793=0,H3793,Rho*I3792+SQRT(1-Rho^2)*H3793),"")</f>
        <v/>
      </c>
      <c r="J3793">
        <f>IF(B3793,IF(Dist="Normal",DistA+DistB*I3793,DistA+(DistB-DistA)*NORMSDIST(I3793)),"")</f>
        <v/>
      </c>
      <c r="K3793">
        <f>IF(B3793,INDEX(MineScale,C3793),"")</f>
        <v/>
      </c>
      <c r="L3793">
        <f>IF(B3793,INDEX(Dow,1,WEEKDAY(E3793,2)),"")</f>
        <v/>
      </c>
      <c r="M3793">
        <f>IF(B3793,(1+Trend)^D3793,"")</f>
        <v/>
      </c>
      <c r="N3793">
        <f>IF(B3793,EXP(SUMPRODUCT(LN(1+(EvEff-1)*INDEX(Affected,0,C3793)*EXP(-((E3793-EvCenter)^2)/(2*EvSigma^2))))),"")</f>
        <v/>
      </c>
      <c r="O3793">
        <f>IF(B3793,ROUND(MAX(0,J3793*K3793*L3793*M3793*N3793),2),"")</f>
        <v/>
      </c>
    </row>
    <row r="3794">
      <c r="A3794" t="n">
        <v>3793</v>
      </c>
      <c r="B3794">
        <f>A3794&lt;=MineCount*Days</f>
        <v/>
      </c>
      <c r="C3794">
        <f>IF(B3794,INT((A3794-1)/Days)+1,"")</f>
        <v/>
      </c>
      <c r="D3794">
        <f>IF(B3794,MOD(A3794-1,Days),"")</f>
        <v/>
      </c>
      <c r="E3794" s="16">
        <f>IF(B3794,StartDate+D3794,"")</f>
        <v/>
      </c>
      <c r="F3794">
        <f>IF(B3794,MAX(MOD(SIN(Seed*0.1373+C3794*12.9898+D3794*78.233)*43758.5453,1),1E-9),"")</f>
        <v/>
      </c>
      <c r="G3794">
        <f>IF(B3794,MOD(SIN(Seed*0.5917+C3794*39.3468+D3794*11.135)*24634.6345,1),"")</f>
        <v/>
      </c>
      <c r="H3794">
        <f>IF(B3794,SQRT(-2*LN(F3794))*COS(2*PI()*G3794),"")</f>
        <v/>
      </c>
      <c r="I3794">
        <f>IF(B3794,IF(D3794=0,H3794,Rho*I3793+SQRT(1-Rho^2)*H3794),"")</f>
        <v/>
      </c>
      <c r="J3794">
        <f>IF(B3794,IF(Dist="Normal",DistA+DistB*I3794,DistA+(DistB-DistA)*NORMSDIST(I3794)),"")</f>
        <v/>
      </c>
      <c r="K3794">
        <f>IF(B3794,INDEX(MineScale,C3794),"")</f>
        <v/>
      </c>
      <c r="L3794">
        <f>IF(B3794,INDEX(Dow,1,WEEKDAY(E3794,2)),"")</f>
        <v/>
      </c>
      <c r="M3794">
        <f>IF(B3794,(1+Trend)^D3794,"")</f>
        <v/>
      </c>
      <c r="N3794">
        <f>IF(B3794,EXP(SUMPRODUCT(LN(1+(EvEff-1)*INDEX(Affected,0,C3794)*EXP(-((E3794-EvCenter)^2)/(2*EvSigma^2))))),"")</f>
        <v/>
      </c>
      <c r="O3794">
        <f>IF(B3794,ROUND(MAX(0,J3794*K3794*L3794*M3794*N3794),2),"")</f>
        <v/>
      </c>
    </row>
    <row r="3795">
      <c r="A3795" t="n">
        <v>3794</v>
      </c>
      <c r="B3795">
        <f>A3795&lt;=MineCount*Days</f>
        <v/>
      </c>
      <c r="C3795">
        <f>IF(B3795,INT((A3795-1)/Days)+1,"")</f>
        <v/>
      </c>
      <c r="D3795">
        <f>IF(B3795,MOD(A3795-1,Days),"")</f>
        <v/>
      </c>
      <c r="E3795" s="16">
        <f>IF(B3795,StartDate+D3795,"")</f>
        <v/>
      </c>
      <c r="F3795">
        <f>IF(B3795,MAX(MOD(SIN(Seed*0.1373+C3795*12.9898+D3795*78.233)*43758.5453,1),1E-9),"")</f>
        <v/>
      </c>
      <c r="G3795">
        <f>IF(B3795,MOD(SIN(Seed*0.5917+C3795*39.3468+D3795*11.135)*24634.6345,1),"")</f>
        <v/>
      </c>
      <c r="H3795">
        <f>IF(B3795,SQRT(-2*LN(F3795))*COS(2*PI()*G3795),"")</f>
        <v/>
      </c>
      <c r="I3795">
        <f>IF(B3795,IF(D3795=0,H3795,Rho*I3794+SQRT(1-Rho^2)*H3795),"")</f>
        <v/>
      </c>
      <c r="J3795">
        <f>IF(B3795,IF(Dist="Normal",DistA+DistB*I3795,DistA+(DistB-DistA)*NORMSDIST(I3795)),"")</f>
        <v/>
      </c>
      <c r="K3795">
        <f>IF(B3795,INDEX(MineScale,C3795),"")</f>
        <v/>
      </c>
      <c r="L3795">
        <f>IF(B3795,INDEX(Dow,1,WEEKDAY(E3795,2)),"")</f>
        <v/>
      </c>
      <c r="M3795">
        <f>IF(B3795,(1+Trend)^D3795,"")</f>
        <v/>
      </c>
      <c r="N3795">
        <f>IF(B3795,EXP(SUMPRODUCT(LN(1+(EvEff-1)*INDEX(Affected,0,C3795)*EXP(-((E3795-EvCenter)^2)/(2*EvSigma^2))))),"")</f>
        <v/>
      </c>
      <c r="O3795">
        <f>IF(B3795,ROUND(MAX(0,J3795*K3795*L3795*M3795*N3795),2),"")</f>
        <v/>
      </c>
    </row>
    <row r="3796">
      <c r="A3796" t="n">
        <v>3795</v>
      </c>
      <c r="B3796">
        <f>A3796&lt;=MineCount*Days</f>
        <v/>
      </c>
      <c r="C3796">
        <f>IF(B3796,INT((A3796-1)/Days)+1,"")</f>
        <v/>
      </c>
      <c r="D3796">
        <f>IF(B3796,MOD(A3796-1,Days),"")</f>
        <v/>
      </c>
      <c r="E3796" s="16">
        <f>IF(B3796,StartDate+D3796,"")</f>
        <v/>
      </c>
      <c r="F3796">
        <f>IF(B3796,MAX(MOD(SIN(Seed*0.1373+C3796*12.9898+D3796*78.233)*43758.5453,1),1E-9),"")</f>
        <v/>
      </c>
      <c r="G3796">
        <f>IF(B3796,MOD(SIN(Seed*0.5917+C3796*39.3468+D3796*11.135)*24634.6345,1),"")</f>
        <v/>
      </c>
      <c r="H3796">
        <f>IF(B3796,SQRT(-2*LN(F3796))*COS(2*PI()*G3796),"")</f>
        <v/>
      </c>
      <c r="I3796">
        <f>IF(B3796,IF(D3796=0,H3796,Rho*I3795+SQRT(1-Rho^2)*H3796),"")</f>
        <v/>
      </c>
      <c r="J3796">
        <f>IF(B3796,IF(Dist="Normal",DistA+DistB*I3796,DistA+(DistB-DistA)*NORMSDIST(I3796)),"")</f>
        <v/>
      </c>
      <c r="K3796">
        <f>IF(B3796,INDEX(MineScale,C3796),"")</f>
        <v/>
      </c>
      <c r="L3796">
        <f>IF(B3796,INDEX(Dow,1,WEEKDAY(E3796,2)),"")</f>
        <v/>
      </c>
      <c r="M3796">
        <f>IF(B3796,(1+Trend)^D3796,"")</f>
        <v/>
      </c>
      <c r="N3796">
        <f>IF(B3796,EXP(SUMPRODUCT(LN(1+(EvEff-1)*INDEX(Affected,0,C3796)*EXP(-((E3796-EvCenter)^2)/(2*EvSigma^2))))),"")</f>
        <v/>
      </c>
      <c r="O3796">
        <f>IF(B3796,ROUND(MAX(0,J3796*K3796*L3796*M3796*N3796),2),"")</f>
        <v/>
      </c>
    </row>
    <row r="3797">
      <c r="A3797" t="n">
        <v>3796</v>
      </c>
      <c r="B3797">
        <f>A3797&lt;=MineCount*Days</f>
        <v/>
      </c>
      <c r="C3797">
        <f>IF(B3797,INT((A3797-1)/Days)+1,"")</f>
        <v/>
      </c>
      <c r="D3797">
        <f>IF(B3797,MOD(A3797-1,Days),"")</f>
        <v/>
      </c>
      <c r="E3797" s="16">
        <f>IF(B3797,StartDate+D3797,"")</f>
        <v/>
      </c>
      <c r="F3797">
        <f>IF(B3797,MAX(MOD(SIN(Seed*0.1373+C3797*12.9898+D3797*78.233)*43758.5453,1),1E-9),"")</f>
        <v/>
      </c>
      <c r="G3797">
        <f>IF(B3797,MOD(SIN(Seed*0.5917+C3797*39.3468+D3797*11.135)*24634.6345,1),"")</f>
        <v/>
      </c>
      <c r="H3797">
        <f>IF(B3797,SQRT(-2*LN(F3797))*COS(2*PI()*G3797),"")</f>
        <v/>
      </c>
      <c r="I3797">
        <f>IF(B3797,IF(D3797=0,H3797,Rho*I3796+SQRT(1-Rho^2)*H3797),"")</f>
        <v/>
      </c>
      <c r="J3797">
        <f>IF(B3797,IF(Dist="Normal",DistA+DistB*I3797,DistA+(DistB-DistA)*NORMSDIST(I3797)),"")</f>
        <v/>
      </c>
      <c r="K3797">
        <f>IF(B3797,INDEX(MineScale,C3797),"")</f>
        <v/>
      </c>
      <c r="L3797">
        <f>IF(B3797,INDEX(Dow,1,WEEKDAY(E3797,2)),"")</f>
        <v/>
      </c>
      <c r="M3797">
        <f>IF(B3797,(1+Trend)^D3797,"")</f>
        <v/>
      </c>
      <c r="N3797">
        <f>IF(B3797,EXP(SUMPRODUCT(LN(1+(EvEff-1)*INDEX(Affected,0,C3797)*EXP(-((E3797-EvCenter)^2)/(2*EvSigma^2))))),"")</f>
        <v/>
      </c>
      <c r="O3797">
        <f>IF(B3797,ROUND(MAX(0,J3797*K3797*L3797*M3797*N3797),2),"")</f>
        <v/>
      </c>
    </row>
    <row r="3798">
      <c r="A3798" t="n">
        <v>3797</v>
      </c>
      <c r="B3798">
        <f>A3798&lt;=MineCount*Days</f>
        <v/>
      </c>
      <c r="C3798">
        <f>IF(B3798,INT((A3798-1)/Days)+1,"")</f>
        <v/>
      </c>
      <c r="D3798">
        <f>IF(B3798,MOD(A3798-1,Days),"")</f>
        <v/>
      </c>
      <c r="E3798" s="16">
        <f>IF(B3798,StartDate+D3798,"")</f>
        <v/>
      </c>
      <c r="F3798">
        <f>IF(B3798,MAX(MOD(SIN(Seed*0.1373+C3798*12.9898+D3798*78.233)*43758.5453,1),1E-9),"")</f>
        <v/>
      </c>
      <c r="G3798">
        <f>IF(B3798,MOD(SIN(Seed*0.5917+C3798*39.3468+D3798*11.135)*24634.6345,1),"")</f>
        <v/>
      </c>
      <c r="H3798">
        <f>IF(B3798,SQRT(-2*LN(F3798))*COS(2*PI()*G3798),"")</f>
        <v/>
      </c>
      <c r="I3798">
        <f>IF(B3798,IF(D3798=0,H3798,Rho*I3797+SQRT(1-Rho^2)*H3798),"")</f>
        <v/>
      </c>
      <c r="J3798">
        <f>IF(B3798,IF(Dist="Normal",DistA+DistB*I3798,DistA+(DistB-DistA)*NORMSDIST(I3798)),"")</f>
        <v/>
      </c>
      <c r="K3798">
        <f>IF(B3798,INDEX(MineScale,C3798),"")</f>
        <v/>
      </c>
      <c r="L3798">
        <f>IF(B3798,INDEX(Dow,1,WEEKDAY(E3798,2)),"")</f>
        <v/>
      </c>
      <c r="M3798">
        <f>IF(B3798,(1+Trend)^D3798,"")</f>
        <v/>
      </c>
      <c r="N3798">
        <f>IF(B3798,EXP(SUMPRODUCT(LN(1+(EvEff-1)*INDEX(Affected,0,C3798)*EXP(-((E3798-EvCenter)^2)/(2*EvSigma^2))))),"")</f>
        <v/>
      </c>
      <c r="O3798">
        <f>IF(B3798,ROUND(MAX(0,J3798*K3798*L3798*M3798*N3798),2),"")</f>
        <v/>
      </c>
    </row>
    <row r="3799">
      <c r="A3799" t="n">
        <v>3798</v>
      </c>
      <c r="B3799">
        <f>A3799&lt;=MineCount*Days</f>
        <v/>
      </c>
      <c r="C3799">
        <f>IF(B3799,INT((A3799-1)/Days)+1,"")</f>
        <v/>
      </c>
      <c r="D3799">
        <f>IF(B3799,MOD(A3799-1,Days),"")</f>
        <v/>
      </c>
      <c r="E3799" s="16">
        <f>IF(B3799,StartDate+D3799,"")</f>
        <v/>
      </c>
      <c r="F3799">
        <f>IF(B3799,MAX(MOD(SIN(Seed*0.1373+C3799*12.9898+D3799*78.233)*43758.5453,1),1E-9),"")</f>
        <v/>
      </c>
      <c r="G3799">
        <f>IF(B3799,MOD(SIN(Seed*0.5917+C3799*39.3468+D3799*11.135)*24634.6345,1),"")</f>
        <v/>
      </c>
      <c r="H3799">
        <f>IF(B3799,SQRT(-2*LN(F3799))*COS(2*PI()*G3799),"")</f>
        <v/>
      </c>
      <c r="I3799">
        <f>IF(B3799,IF(D3799=0,H3799,Rho*I3798+SQRT(1-Rho^2)*H3799),"")</f>
        <v/>
      </c>
      <c r="J3799">
        <f>IF(B3799,IF(Dist="Normal",DistA+DistB*I3799,DistA+(DistB-DistA)*NORMSDIST(I3799)),"")</f>
        <v/>
      </c>
      <c r="K3799">
        <f>IF(B3799,INDEX(MineScale,C3799),"")</f>
        <v/>
      </c>
      <c r="L3799">
        <f>IF(B3799,INDEX(Dow,1,WEEKDAY(E3799,2)),"")</f>
        <v/>
      </c>
      <c r="M3799">
        <f>IF(B3799,(1+Trend)^D3799,"")</f>
        <v/>
      </c>
      <c r="N3799">
        <f>IF(B3799,EXP(SUMPRODUCT(LN(1+(EvEff-1)*INDEX(Affected,0,C3799)*EXP(-((E3799-EvCenter)^2)/(2*EvSigma^2))))),"")</f>
        <v/>
      </c>
      <c r="O3799">
        <f>IF(B3799,ROUND(MAX(0,J3799*K3799*L3799*M3799*N3799),2),"")</f>
        <v/>
      </c>
    </row>
    <row r="3800">
      <c r="A3800" t="n">
        <v>3799</v>
      </c>
      <c r="B3800">
        <f>A3800&lt;=MineCount*Days</f>
        <v/>
      </c>
      <c r="C3800">
        <f>IF(B3800,INT((A3800-1)/Days)+1,"")</f>
        <v/>
      </c>
      <c r="D3800">
        <f>IF(B3800,MOD(A3800-1,Days),"")</f>
        <v/>
      </c>
      <c r="E3800" s="16">
        <f>IF(B3800,StartDate+D3800,"")</f>
        <v/>
      </c>
      <c r="F3800">
        <f>IF(B3800,MAX(MOD(SIN(Seed*0.1373+C3800*12.9898+D3800*78.233)*43758.5453,1),1E-9),"")</f>
        <v/>
      </c>
      <c r="G3800">
        <f>IF(B3800,MOD(SIN(Seed*0.5917+C3800*39.3468+D3800*11.135)*24634.6345,1),"")</f>
        <v/>
      </c>
      <c r="H3800">
        <f>IF(B3800,SQRT(-2*LN(F3800))*COS(2*PI()*G3800),"")</f>
        <v/>
      </c>
      <c r="I3800">
        <f>IF(B3800,IF(D3800=0,H3800,Rho*I3799+SQRT(1-Rho^2)*H3800),"")</f>
        <v/>
      </c>
      <c r="J3800">
        <f>IF(B3800,IF(Dist="Normal",DistA+DistB*I3800,DistA+(DistB-DistA)*NORMSDIST(I3800)),"")</f>
        <v/>
      </c>
      <c r="K3800">
        <f>IF(B3800,INDEX(MineScale,C3800),"")</f>
        <v/>
      </c>
      <c r="L3800">
        <f>IF(B3800,INDEX(Dow,1,WEEKDAY(E3800,2)),"")</f>
        <v/>
      </c>
      <c r="M3800">
        <f>IF(B3800,(1+Trend)^D3800,"")</f>
        <v/>
      </c>
      <c r="N3800">
        <f>IF(B3800,EXP(SUMPRODUCT(LN(1+(EvEff-1)*INDEX(Affected,0,C3800)*EXP(-((E3800-EvCenter)^2)/(2*EvSigma^2))))),"")</f>
        <v/>
      </c>
      <c r="O3800">
        <f>IF(B3800,ROUND(MAX(0,J3800*K3800*L3800*M3800*N3800),2),"")</f>
        <v/>
      </c>
    </row>
    <row r="3801">
      <c r="A3801" t="n">
        <v>3800</v>
      </c>
      <c r="B3801">
        <f>A3801&lt;=MineCount*Days</f>
        <v/>
      </c>
      <c r="C3801">
        <f>IF(B3801,INT((A3801-1)/Days)+1,"")</f>
        <v/>
      </c>
      <c r="D3801">
        <f>IF(B3801,MOD(A3801-1,Days),"")</f>
        <v/>
      </c>
      <c r="E3801" s="16">
        <f>IF(B3801,StartDate+D3801,"")</f>
        <v/>
      </c>
      <c r="F3801">
        <f>IF(B3801,MAX(MOD(SIN(Seed*0.1373+C3801*12.9898+D3801*78.233)*43758.5453,1),1E-9),"")</f>
        <v/>
      </c>
      <c r="G3801">
        <f>IF(B3801,MOD(SIN(Seed*0.5917+C3801*39.3468+D3801*11.135)*24634.6345,1),"")</f>
        <v/>
      </c>
      <c r="H3801">
        <f>IF(B3801,SQRT(-2*LN(F3801))*COS(2*PI()*G3801),"")</f>
        <v/>
      </c>
      <c r="I3801">
        <f>IF(B3801,IF(D3801=0,H3801,Rho*I3800+SQRT(1-Rho^2)*H3801),"")</f>
        <v/>
      </c>
      <c r="J3801">
        <f>IF(B3801,IF(Dist="Normal",DistA+DistB*I3801,DistA+(DistB-DistA)*NORMSDIST(I3801)),"")</f>
        <v/>
      </c>
      <c r="K3801">
        <f>IF(B3801,INDEX(MineScale,C3801),"")</f>
        <v/>
      </c>
      <c r="L3801">
        <f>IF(B3801,INDEX(Dow,1,WEEKDAY(E3801,2)),"")</f>
        <v/>
      </c>
      <c r="M3801">
        <f>IF(B3801,(1+Trend)^D3801,"")</f>
        <v/>
      </c>
      <c r="N3801">
        <f>IF(B3801,EXP(SUMPRODUCT(LN(1+(EvEff-1)*INDEX(Affected,0,C3801)*EXP(-((E3801-EvCenter)^2)/(2*EvSigma^2))))),"")</f>
        <v/>
      </c>
      <c r="O3801">
        <f>IF(B3801,ROUND(MAX(0,J3801*K3801*L3801*M3801*N3801),2),"")</f>
        <v/>
      </c>
    </row>
    <row r="3802">
      <c r="A3802" t="n">
        <v>3801</v>
      </c>
      <c r="B3802">
        <f>A3802&lt;=MineCount*Days</f>
        <v/>
      </c>
      <c r="C3802">
        <f>IF(B3802,INT((A3802-1)/Days)+1,"")</f>
        <v/>
      </c>
      <c r="D3802">
        <f>IF(B3802,MOD(A3802-1,Days),"")</f>
        <v/>
      </c>
      <c r="E3802" s="16">
        <f>IF(B3802,StartDate+D3802,"")</f>
        <v/>
      </c>
      <c r="F3802">
        <f>IF(B3802,MAX(MOD(SIN(Seed*0.1373+C3802*12.9898+D3802*78.233)*43758.5453,1),1E-9),"")</f>
        <v/>
      </c>
      <c r="G3802">
        <f>IF(B3802,MOD(SIN(Seed*0.5917+C3802*39.3468+D3802*11.135)*24634.6345,1),"")</f>
        <v/>
      </c>
      <c r="H3802">
        <f>IF(B3802,SQRT(-2*LN(F3802))*COS(2*PI()*G3802),"")</f>
        <v/>
      </c>
      <c r="I3802">
        <f>IF(B3802,IF(D3802=0,H3802,Rho*I3801+SQRT(1-Rho^2)*H3802),"")</f>
        <v/>
      </c>
      <c r="J3802">
        <f>IF(B3802,IF(Dist="Normal",DistA+DistB*I3802,DistA+(DistB-DistA)*NORMSDIST(I3802)),"")</f>
        <v/>
      </c>
      <c r="K3802">
        <f>IF(B3802,INDEX(MineScale,C3802),"")</f>
        <v/>
      </c>
      <c r="L3802">
        <f>IF(B3802,INDEX(Dow,1,WEEKDAY(E3802,2)),"")</f>
        <v/>
      </c>
      <c r="M3802">
        <f>IF(B3802,(1+Trend)^D3802,"")</f>
        <v/>
      </c>
      <c r="N3802">
        <f>IF(B3802,EXP(SUMPRODUCT(LN(1+(EvEff-1)*INDEX(Affected,0,C3802)*EXP(-((E3802-EvCenter)^2)/(2*EvSigma^2))))),"")</f>
        <v/>
      </c>
      <c r="O3802">
        <f>IF(B3802,ROUND(MAX(0,J3802*K3802*L3802*M3802*N3802),2),"")</f>
        <v/>
      </c>
    </row>
    <row r="3803">
      <c r="A3803" t="n">
        <v>3802</v>
      </c>
      <c r="B3803">
        <f>A3803&lt;=MineCount*Days</f>
        <v/>
      </c>
      <c r="C3803">
        <f>IF(B3803,INT((A3803-1)/Days)+1,"")</f>
        <v/>
      </c>
      <c r="D3803">
        <f>IF(B3803,MOD(A3803-1,Days),"")</f>
        <v/>
      </c>
      <c r="E3803" s="16">
        <f>IF(B3803,StartDate+D3803,"")</f>
        <v/>
      </c>
      <c r="F3803">
        <f>IF(B3803,MAX(MOD(SIN(Seed*0.1373+C3803*12.9898+D3803*78.233)*43758.5453,1),1E-9),"")</f>
        <v/>
      </c>
      <c r="G3803">
        <f>IF(B3803,MOD(SIN(Seed*0.5917+C3803*39.3468+D3803*11.135)*24634.6345,1),"")</f>
        <v/>
      </c>
      <c r="H3803">
        <f>IF(B3803,SQRT(-2*LN(F3803))*COS(2*PI()*G3803),"")</f>
        <v/>
      </c>
      <c r="I3803">
        <f>IF(B3803,IF(D3803=0,H3803,Rho*I3802+SQRT(1-Rho^2)*H3803),"")</f>
        <v/>
      </c>
      <c r="J3803">
        <f>IF(B3803,IF(Dist="Normal",DistA+DistB*I3803,DistA+(DistB-DistA)*NORMSDIST(I3803)),"")</f>
        <v/>
      </c>
      <c r="K3803">
        <f>IF(B3803,INDEX(MineScale,C3803),"")</f>
        <v/>
      </c>
      <c r="L3803">
        <f>IF(B3803,INDEX(Dow,1,WEEKDAY(E3803,2)),"")</f>
        <v/>
      </c>
      <c r="M3803">
        <f>IF(B3803,(1+Trend)^D3803,"")</f>
        <v/>
      </c>
      <c r="N3803">
        <f>IF(B3803,EXP(SUMPRODUCT(LN(1+(EvEff-1)*INDEX(Affected,0,C3803)*EXP(-((E3803-EvCenter)^2)/(2*EvSigma^2))))),"")</f>
        <v/>
      </c>
      <c r="O3803">
        <f>IF(B3803,ROUND(MAX(0,J3803*K3803*L3803*M3803*N3803),2),"")</f>
        <v/>
      </c>
    </row>
    <row r="3804">
      <c r="A3804" t="n">
        <v>3803</v>
      </c>
      <c r="B3804">
        <f>A3804&lt;=MineCount*Days</f>
        <v/>
      </c>
      <c r="C3804">
        <f>IF(B3804,INT((A3804-1)/Days)+1,"")</f>
        <v/>
      </c>
      <c r="D3804">
        <f>IF(B3804,MOD(A3804-1,Days),"")</f>
        <v/>
      </c>
      <c r="E3804" s="16">
        <f>IF(B3804,StartDate+D3804,"")</f>
        <v/>
      </c>
      <c r="F3804">
        <f>IF(B3804,MAX(MOD(SIN(Seed*0.1373+C3804*12.9898+D3804*78.233)*43758.5453,1),1E-9),"")</f>
        <v/>
      </c>
      <c r="G3804">
        <f>IF(B3804,MOD(SIN(Seed*0.5917+C3804*39.3468+D3804*11.135)*24634.6345,1),"")</f>
        <v/>
      </c>
      <c r="H3804">
        <f>IF(B3804,SQRT(-2*LN(F3804))*COS(2*PI()*G3804),"")</f>
        <v/>
      </c>
      <c r="I3804">
        <f>IF(B3804,IF(D3804=0,H3804,Rho*I3803+SQRT(1-Rho^2)*H3804),"")</f>
        <v/>
      </c>
      <c r="J3804">
        <f>IF(B3804,IF(Dist="Normal",DistA+DistB*I3804,DistA+(DistB-DistA)*NORMSDIST(I3804)),"")</f>
        <v/>
      </c>
      <c r="K3804">
        <f>IF(B3804,INDEX(MineScale,C3804),"")</f>
        <v/>
      </c>
      <c r="L3804">
        <f>IF(B3804,INDEX(Dow,1,WEEKDAY(E3804,2)),"")</f>
        <v/>
      </c>
      <c r="M3804">
        <f>IF(B3804,(1+Trend)^D3804,"")</f>
        <v/>
      </c>
      <c r="N3804">
        <f>IF(B3804,EXP(SUMPRODUCT(LN(1+(EvEff-1)*INDEX(Affected,0,C3804)*EXP(-((E3804-EvCenter)^2)/(2*EvSigma^2))))),"")</f>
        <v/>
      </c>
      <c r="O3804">
        <f>IF(B3804,ROUND(MAX(0,J3804*K3804*L3804*M3804*N3804),2),"")</f>
        <v/>
      </c>
    </row>
    <row r="3805">
      <c r="A3805" t="n">
        <v>3804</v>
      </c>
      <c r="B3805">
        <f>A3805&lt;=MineCount*Days</f>
        <v/>
      </c>
      <c r="C3805">
        <f>IF(B3805,INT((A3805-1)/Days)+1,"")</f>
        <v/>
      </c>
      <c r="D3805">
        <f>IF(B3805,MOD(A3805-1,Days),"")</f>
        <v/>
      </c>
      <c r="E3805" s="16">
        <f>IF(B3805,StartDate+D3805,"")</f>
        <v/>
      </c>
      <c r="F3805">
        <f>IF(B3805,MAX(MOD(SIN(Seed*0.1373+C3805*12.9898+D3805*78.233)*43758.5453,1),1E-9),"")</f>
        <v/>
      </c>
      <c r="G3805">
        <f>IF(B3805,MOD(SIN(Seed*0.5917+C3805*39.3468+D3805*11.135)*24634.6345,1),"")</f>
        <v/>
      </c>
      <c r="H3805">
        <f>IF(B3805,SQRT(-2*LN(F3805))*COS(2*PI()*G3805),"")</f>
        <v/>
      </c>
      <c r="I3805">
        <f>IF(B3805,IF(D3805=0,H3805,Rho*I3804+SQRT(1-Rho^2)*H3805),"")</f>
        <v/>
      </c>
      <c r="J3805">
        <f>IF(B3805,IF(Dist="Normal",DistA+DistB*I3805,DistA+(DistB-DistA)*NORMSDIST(I3805)),"")</f>
        <v/>
      </c>
      <c r="K3805">
        <f>IF(B3805,INDEX(MineScale,C3805),"")</f>
        <v/>
      </c>
      <c r="L3805">
        <f>IF(B3805,INDEX(Dow,1,WEEKDAY(E3805,2)),"")</f>
        <v/>
      </c>
      <c r="M3805">
        <f>IF(B3805,(1+Trend)^D3805,"")</f>
        <v/>
      </c>
      <c r="N3805">
        <f>IF(B3805,EXP(SUMPRODUCT(LN(1+(EvEff-1)*INDEX(Affected,0,C3805)*EXP(-((E3805-EvCenter)^2)/(2*EvSigma^2))))),"")</f>
        <v/>
      </c>
      <c r="O3805">
        <f>IF(B3805,ROUND(MAX(0,J3805*K3805*L3805*M3805*N3805),2),"")</f>
        <v/>
      </c>
    </row>
    <row r="3806">
      <c r="A3806" t="n">
        <v>3805</v>
      </c>
      <c r="B3806">
        <f>A3806&lt;=MineCount*Days</f>
        <v/>
      </c>
      <c r="C3806">
        <f>IF(B3806,INT((A3806-1)/Days)+1,"")</f>
        <v/>
      </c>
      <c r="D3806">
        <f>IF(B3806,MOD(A3806-1,Days),"")</f>
        <v/>
      </c>
      <c r="E3806" s="16">
        <f>IF(B3806,StartDate+D3806,"")</f>
        <v/>
      </c>
      <c r="F3806">
        <f>IF(B3806,MAX(MOD(SIN(Seed*0.1373+C3806*12.9898+D3806*78.233)*43758.5453,1),1E-9),"")</f>
        <v/>
      </c>
      <c r="G3806">
        <f>IF(B3806,MOD(SIN(Seed*0.5917+C3806*39.3468+D3806*11.135)*24634.6345,1),"")</f>
        <v/>
      </c>
      <c r="H3806">
        <f>IF(B3806,SQRT(-2*LN(F3806))*COS(2*PI()*G3806),"")</f>
        <v/>
      </c>
      <c r="I3806">
        <f>IF(B3806,IF(D3806=0,H3806,Rho*I3805+SQRT(1-Rho^2)*H3806),"")</f>
        <v/>
      </c>
      <c r="J3806">
        <f>IF(B3806,IF(Dist="Normal",DistA+DistB*I3806,DistA+(DistB-DistA)*NORMSDIST(I3806)),"")</f>
        <v/>
      </c>
      <c r="K3806">
        <f>IF(B3806,INDEX(MineScale,C3806),"")</f>
        <v/>
      </c>
      <c r="L3806">
        <f>IF(B3806,INDEX(Dow,1,WEEKDAY(E3806,2)),"")</f>
        <v/>
      </c>
      <c r="M3806">
        <f>IF(B3806,(1+Trend)^D3806,"")</f>
        <v/>
      </c>
      <c r="N3806">
        <f>IF(B3806,EXP(SUMPRODUCT(LN(1+(EvEff-1)*INDEX(Affected,0,C3806)*EXP(-((E3806-EvCenter)^2)/(2*EvSigma^2))))),"")</f>
        <v/>
      </c>
      <c r="O3806">
        <f>IF(B3806,ROUND(MAX(0,J3806*K3806*L3806*M3806*N3806),2),"")</f>
        <v/>
      </c>
    </row>
    <row r="3807">
      <c r="A3807" t="n">
        <v>3806</v>
      </c>
      <c r="B3807">
        <f>A3807&lt;=MineCount*Days</f>
        <v/>
      </c>
      <c r="C3807">
        <f>IF(B3807,INT((A3807-1)/Days)+1,"")</f>
        <v/>
      </c>
      <c r="D3807">
        <f>IF(B3807,MOD(A3807-1,Days),"")</f>
        <v/>
      </c>
      <c r="E3807" s="16">
        <f>IF(B3807,StartDate+D3807,"")</f>
        <v/>
      </c>
      <c r="F3807">
        <f>IF(B3807,MAX(MOD(SIN(Seed*0.1373+C3807*12.9898+D3807*78.233)*43758.5453,1),1E-9),"")</f>
        <v/>
      </c>
      <c r="G3807">
        <f>IF(B3807,MOD(SIN(Seed*0.5917+C3807*39.3468+D3807*11.135)*24634.6345,1),"")</f>
        <v/>
      </c>
      <c r="H3807">
        <f>IF(B3807,SQRT(-2*LN(F3807))*COS(2*PI()*G3807),"")</f>
        <v/>
      </c>
      <c r="I3807">
        <f>IF(B3807,IF(D3807=0,H3807,Rho*I3806+SQRT(1-Rho^2)*H3807),"")</f>
        <v/>
      </c>
      <c r="J3807">
        <f>IF(B3807,IF(Dist="Normal",DistA+DistB*I3807,DistA+(DistB-DistA)*NORMSDIST(I3807)),"")</f>
        <v/>
      </c>
      <c r="K3807">
        <f>IF(B3807,INDEX(MineScale,C3807),"")</f>
        <v/>
      </c>
      <c r="L3807">
        <f>IF(B3807,INDEX(Dow,1,WEEKDAY(E3807,2)),"")</f>
        <v/>
      </c>
      <c r="M3807">
        <f>IF(B3807,(1+Trend)^D3807,"")</f>
        <v/>
      </c>
      <c r="N3807">
        <f>IF(B3807,EXP(SUMPRODUCT(LN(1+(EvEff-1)*INDEX(Affected,0,C3807)*EXP(-((E3807-EvCenter)^2)/(2*EvSigma^2))))),"")</f>
        <v/>
      </c>
      <c r="O3807">
        <f>IF(B3807,ROUND(MAX(0,J3807*K3807*L3807*M3807*N3807),2),"")</f>
        <v/>
      </c>
    </row>
    <row r="3808">
      <c r="A3808" t="n">
        <v>3807</v>
      </c>
      <c r="B3808">
        <f>A3808&lt;=MineCount*Days</f>
        <v/>
      </c>
      <c r="C3808">
        <f>IF(B3808,INT((A3808-1)/Days)+1,"")</f>
        <v/>
      </c>
      <c r="D3808">
        <f>IF(B3808,MOD(A3808-1,Days),"")</f>
        <v/>
      </c>
      <c r="E3808" s="16">
        <f>IF(B3808,StartDate+D3808,"")</f>
        <v/>
      </c>
      <c r="F3808">
        <f>IF(B3808,MAX(MOD(SIN(Seed*0.1373+C3808*12.9898+D3808*78.233)*43758.5453,1),1E-9),"")</f>
        <v/>
      </c>
      <c r="G3808">
        <f>IF(B3808,MOD(SIN(Seed*0.5917+C3808*39.3468+D3808*11.135)*24634.6345,1),"")</f>
        <v/>
      </c>
      <c r="H3808">
        <f>IF(B3808,SQRT(-2*LN(F3808))*COS(2*PI()*G3808),"")</f>
        <v/>
      </c>
      <c r="I3808">
        <f>IF(B3808,IF(D3808=0,H3808,Rho*I3807+SQRT(1-Rho^2)*H3808),"")</f>
        <v/>
      </c>
      <c r="J3808">
        <f>IF(B3808,IF(Dist="Normal",DistA+DistB*I3808,DistA+(DistB-DistA)*NORMSDIST(I3808)),"")</f>
        <v/>
      </c>
      <c r="K3808">
        <f>IF(B3808,INDEX(MineScale,C3808),"")</f>
        <v/>
      </c>
      <c r="L3808">
        <f>IF(B3808,INDEX(Dow,1,WEEKDAY(E3808,2)),"")</f>
        <v/>
      </c>
      <c r="M3808">
        <f>IF(B3808,(1+Trend)^D3808,"")</f>
        <v/>
      </c>
      <c r="N3808">
        <f>IF(B3808,EXP(SUMPRODUCT(LN(1+(EvEff-1)*INDEX(Affected,0,C3808)*EXP(-((E3808-EvCenter)^2)/(2*EvSigma^2))))),"")</f>
        <v/>
      </c>
      <c r="O3808">
        <f>IF(B3808,ROUND(MAX(0,J3808*K3808*L3808*M3808*N3808),2),"")</f>
        <v/>
      </c>
    </row>
    <row r="3809">
      <c r="A3809" t="n">
        <v>3808</v>
      </c>
      <c r="B3809">
        <f>A3809&lt;=MineCount*Days</f>
        <v/>
      </c>
      <c r="C3809">
        <f>IF(B3809,INT((A3809-1)/Days)+1,"")</f>
        <v/>
      </c>
      <c r="D3809">
        <f>IF(B3809,MOD(A3809-1,Days),"")</f>
        <v/>
      </c>
      <c r="E3809" s="16">
        <f>IF(B3809,StartDate+D3809,"")</f>
        <v/>
      </c>
      <c r="F3809">
        <f>IF(B3809,MAX(MOD(SIN(Seed*0.1373+C3809*12.9898+D3809*78.233)*43758.5453,1),1E-9),"")</f>
        <v/>
      </c>
      <c r="G3809">
        <f>IF(B3809,MOD(SIN(Seed*0.5917+C3809*39.3468+D3809*11.135)*24634.6345,1),"")</f>
        <v/>
      </c>
      <c r="H3809">
        <f>IF(B3809,SQRT(-2*LN(F3809))*COS(2*PI()*G3809),"")</f>
        <v/>
      </c>
      <c r="I3809">
        <f>IF(B3809,IF(D3809=0,H3809,Rho*I3808+SQRT(1-Rho^2)*H3809),"")</f>
        <v/>
      </c>
      <c r="J3809">
        <f>IF(B3809,IF(Dist="Normal",DistA+DistB*I3809,DistA+(DistB-DistA)*NORMSDIST(I3809)),"")</f>
        <v/>
      </c>
      <c r="K3809">
        <f>IF(B3809,INDEX(MineScale,C3809),"")</f>
        <v/>
      </c>
      <c r="L3809">
        <f>IF(B3809,INDEX(Dow,1,WEEKDAY(E3809,2)),"")</f>
        <v/>
      </c>
      <c r="M3809">
        <f>IF(B3809,(1+Trend)^D3809,"")</f>
        <v/>
      </c>
      <c r="N3809">
        <f>IF(B3809,EXP(SUMPRODUCT(LN(1+(EvEff-1)*INDEX(Affected,0,C3809)*EXP(-((E3809-EvCenter)^2)/(2*EvSigma^2))))),"")</f>
        <v/>
      </c>
      <c r="O3809">
        <f>IF(B3809,ROUND(MAX(0,J3809*K3809*L3809*M3809*N3809),2),"")</f>
        <v/>
      </c>
    </row>
    <row r="3810">
      <c r="A3810" t="n">
        <v>3809</v>
      </c>
      <c r="B3810">
        <f>A3810&lt;=MineCount*Days</f>
        <v/>
      </c>
      <c r="C3810">
        <f>IF(B3810,INT((A3810-1)/Days)+1,"")</f>
        <v/>
      </c>
      <c r="D3810">
        <f>IF(B3810,MOD(A3810-1,Days),"")</f>
        <v/>
      </c>
      <c r="E3810" s="16">
        <f>IF(B3810,StartDate+D3810,"")</f>
        <v/>
      </c>
      <c r="F3810">
        <f>IF(B3810,MAX(MOD(SIN(Seed*0.1373+C3810*12.9898+D3810*78.233)*43758.5453,1),1E-9),"")</f>
        <v/>
      </c>
      <c r="G3810">
        <f>IF(B3810,MOD(SIN(Seed*0.5917+C3810*39.3468+D3810*11.135)*24634.6345,1),"")</f>
        <v/>
      </c>
      <c r="H3810">
        <f>IF(B3810,SQRT(-2*LN(F3810))*COS(2*PI()*G3810),"")</f>
        <v/>
      </c>
      <c r="I3810">
        <f>IF(B3810,IF(D3810=0,H3810,Rho*I3809+SQRT(1-Rho^2)*H3810),"")</f>
        <v/>
      </c>
      <c r="J3810">
        <f>IF(B3810,IF(Dist="Normal",DistA+DistB*I3810,DistA+(DistB-DistA)*NORMSDIST(I3810)),"")</f>
        <v/>
      </c>
      <c r="K3810">
        <f>IF(B3810,INDEX(MineScale,C3810),"")</f>
        <v/>
      </c>
      <c r="L3810">
        <f>IF(B3810,INDEX(Dow,1,WEEKDAY(E3810,2)),"")</f>
        <v/>
      </c>
      <c r="M3810">
        <f>IF(B3810,(1+Trend)^D3810,"")</f>
        <v/>
      </c>
      <c r="N3810">
        <f>IF(B3810,EXP(SUMPRODUCT(LN(1+(EvEff-1)*INDEX(Affected,0,C3810)*EXP(-((E3810-EvCenter)^2)/(2*EvSigma^2))))),"")</f>
        <v/>
      </c>
      <c r="O3810">
        <f>IF(B3810,ROUND(MAX(0,J3810*K3810*L3810*M3810*N3810),2),"")</f>
        <v/>
      </c>
    </row>
    <row r="3811">
      <c r="A3811" t="n">
        <v>3810</v>
      </c>
      <c r="B3811">
        <f>A3811&lt;=MineCount*Days</f>
        <v/>
      </c>
      <c r="C3811">
        <f>IF(B3811,INT((A3811-1)/Days)+1,"")</f>
        <v/>
      </c>
      <c r="D3811">
        <f>IF(B3811,MOD(A3811-1,Days),"")</f>
        <v/>
      </c>
      <c r="E3811" s="16">
        <f>IF(B3811,StartDate+D3811,"")</f>
        <v/>
      </c>
      <c r="F3811">
        <f>IF(B3811,MAX(MOD(SIN(Seed*0.1373+C3811*12.9898+D3811*78.233)*43758.5453,1),1E-9),"")</f>
        <v/>
      </c>
      <c r="G3811">
        <f>IF(B3811,MOD(SIN(Seed*0.5917+C3811*39.3468+D3811*11.135)*24634.6345,1),"")</f>
        <v/>
      </c>
      <c r="H3811">
        <f>IF(B3811,SQRT(-2*LN(F3811))*COS(2*PI()*G3811),"")</f>
        <v/>
      </c>
      <c r="I3811">
        <f>IF(B3811,IF(D3811=0,H3811,Rho*I3810+SQRT(1-Rho^2)*H3811),"")</f>
        <v/>
      </c>
      <c r="J3811">
        <f>IF(B3811,IF(Dist="Normal",DistA+DistB*I3811,DistA+(DistB-DistA)*NORMSDIST(I3811)),"")</f>
        <v/>
      </c>
      <c r="K3811">
        <f>IF(B3811,INDEX(MineScale,C3811),"")</f>
        <v/>
      </c>
      <c r="L3811">
        <f>IF(B3811,INDEX(Dow,1,WEEKDAY(E3811,2)),"")</f>
        <v/>
      </c>
      <c r="M3811">
        <f>IF(B3811,(1+Trend)^D3811,"")</f>
        <v/>
      </c>
      <c r="N3811">
        <f>IF(B3811,EXP(SUMPRODUCT(LN(1+(EvEff-1)*INDEX(Affected,0,C3811)*EXP(-((E3811-EvCenter)^2)/(2*EvSigma^2))))),"")</f>
        <v/>
      </c>
      <c r="O3811">
        <f>IF(B3811,ROUND(MAX(0,J3811*K3811*L3811*M3811*N3811),2),"")</f>
        <v/>
      </c>
    </row>
    <row r="3812">
      <c r="A3812" t="n">
        <v>3811</v>
      </c>
      <c r="B3812">
        <f>A3812&lt;=MineCount*Days</f>
        <v/>
      </c>
      <c r="C3812">
        <f>IF(B3812,INT((A3812-1)/Days)+1,"")</f>
        <v/>
      </c>
      <c r="D3812">
        <f>IF(B3812,MOD(A3812-1,Days),"")</f>
        <v/>
      </c>
      <c r="E3812" s="16">
        <f>IF(B3812,StartDate+D3812,"")</f>
        <v/>
      </c>
      <c r="F3812">
        <f>IF(B3812,MAX(MOD(SIN(Seed*0.1373+C3812*12.9898+D3812*78.233)*43758.5453,1),1E-9),"")</f>
        <v/>
      </c>
      <c r="G3812">
        <f>IF(B3812,MOD(SIN(Seed*0.5917+C3812*39.3468+D3812*11.135)*24634.6345,1),"")</f>
        <v/>
      </c>
      <c r="H3812">
        <f>IF(B3812,SQRT(-2*LN(F3812))*COS(2*PI()*G3812),"")</f>
        <v/>
      </c>
      <c r="I3812">
        <f>IF(B3812,IF(D3812=0,H3812,Rho*I3811+SQRT(1-Rho^2)*H3812),"")</f>
        <v/>
      </c>
      <c r="J3812">
        <f>IF(B3812,IF(Dist="Normal",DistA+DistB*I3812,DistA+(DistB-DistA)*NORMSDIST(I3812)),"")</f>
        <v/>
      </c>
      <c r="K3812">
        <f>IF(B3812,INDEX(MineScale,C3812),"")</f>
        <v/>
      </c>
      <c r="L3812">
        <f>IF(B3812,INDEX(Dow,1,WEEKDAY(E3812,2)),"")</f>
        <v/>
      </c>
      <c r="M3812">
        <f>IF(B3812,(1+Trend)^D3812,"")</f>
        <v/>
      </c>
      <c r="N3812">
        <f>IF(B3812,EXP(SUMPRODUCT(LN(1+(EvEff-1)*INDEX(Affected,0,C3812)*EXP(-((E3812-EvCenter)^2)/(2*EvSigma^2))))),"")</f>
        <v/>
      </c>
      <c r="O3812">
        <f>IF(B3812,ROUND(MAX(0,J3812*K3812*L3812*M3812*N3812),2),"")</f>
        <v/>
      </c>
    </row>
    <row r="3813">
      <c r="A3813" t="n">
        <v>3812</v>
      </c>
      <c r="B3813">
        <f>A3813&lt;=MineCount*Days</f>
        <v/>
      </c>
      <c r="C3813">
        <f>IF(B3813,INT((A3813-1)/Days)+1,"")</f>
        <v/>
      </c>
      <c r="D3813">
        <f>IF(B3813,MOD(A3813-1,Days),"")</f>
        <v/>
      </c>
      <c r="E3813" s="16">
        <f>IF(B3813,StartDate+D3813,"")</f>
        <v/>
      </c>
      <c r="F3813">
        <f>IF(B3813,MAX(MOD(SIN(Seed*0.1373+C3813*12.9898+D3813*78.233)*43758.5453,1),1E-9),"")</f>
        <v/>
      </c>
      <c r="G3813">
        <f>IF(B3813,MOD(SIN(Seed*0.5917+C3813*39.3468+D3813*11.135)*24634.6345,1),"")</f>
        <v/>
      </c>
      <c r="H3813">
        <f>IF(B3813,SQRT(-2*LN(F3813))*COS(2*PI()*G3813),"")</f>
        <v/>
      </c>
      <c r="I3813">
        <f>IF(B3813,IF(D3813=0,H3813,Rho*I3812+SQRT(1-Rho^2)*H3813),"")</f>
        <v/>
      </c>
      <c r="J3813">
        <f>IF(B3813,IF(Dist="Normal",DistA+DistB*I3813,DistA+(DistB-DistA)*NORMSDIST(I3813)),"")</f>
        <v/>
      </c>
      <c r="K3813">
        <f>IF(B3813,INDEX(MineScale,C3813),"")</f>
        <v/>
      </c>
      <c r="L3813">
        <f>IF(B3813,INDEX(Dow,1,WEEKDAY(E3813,2)),"")</f>
        <v/>
      </c>
      <c r="M3813">
        <f>IF(B3813,(1+Trend)^D3813,"")</f>
        <v/>
      </c>
      <c r="N3813">
        <f>IF(B3813,EXP(SUMPRODUCT(LN(1+(EvEff-1)*INDEX(Affected,0,C3813)*EXP(-((E3813-EvCenter)^2)/(2*EvSigma^2))))),"")</f>
        <v/>
      </c>
      <c r="O3813">
        <f>IF(B3813,ROUND(MAX(0,J3813*K3813*L3813*M3813*N3813),2),"")</f>
        <v/>
      </c>
    </row>
    <row r="3814">
      <c r="A3814" t="n">
        <v>3813</v>
      </c>
      <c r="B3814">
        <f>A3814&lt;=MineCount*Days</f>
        <v/>
      </c>
      <c r="C3814">
        <f>IF(B3814,INT((A3814-1)/Days)+1,"")</f>
        <v/>
      </c>
      <c r="D3814">
        <f>IF(B3814,MOD(A3814-1,Days),"")</f>
        <v/>
      </c>
      <c r="E3814" s="16">
        <f>IF(B3814,StartDate+D3814,"")</f>
        <v/>
      </c>
      <c r="F3814">
        <f>IF(B3814,MAX(MOD(SIN(Seed*0.1373+C3814*12.9898+D3814*78.233)*43758.5453,1),1E-9),"")</f>
        <v/>
      </c>
      <c r="G3814">
        <f>IF(B3814,MOD(SIN(Seed*0.5917+C3814*39.3468+D3814*11.135)*24634.6345,1),"")</f>
        <v/>
      </c>
      <c r="H3814">
        <f>IF(B3814,SQRT(-2*LN(F3814))*COS(2*PI()*G3814),"")</f>
        <v/>
      </c>
      <c r="I3814">
        <f>IF(B3814,IF(D3814=0,H3814,Rho*I3813+SQRT(1-Rho^2)*H3814),"")</f>
        <v/>
      </c>
      <c r="J3814">
        <f>IF(B3814,IF(Dist="Normal",DistA+DistB*I3814,DistA+(DistB-DistA)*NORMSDIST(I3814)),"")</f>
        <v/>
      </c>
      <c r="K3814">
        <f>IF(B3814,INDEX(MineScale,C3814),"")</f>
        <v/>
      </c>
      <c r="L3814">
        <f>IF(B3814,INDEX(Dow,1,WEEKDAY(E3814,2)),"")</f>
        <v/>
      </c>
      <c r="M3814">
        <f>IF(B3814,(1+Trend)^D3814,"")</f>
        <v/>
      </c>
      <c r="N3814">
        <f>IF(B3814,EXP(SUMPRODUCT(LN(1+(EvEff-1)*INDEX(Affected,0,C3814)*EXP(-((E3814-EvCenter)^2)/(2*EvSigma^2))))),"")</f>
        <v/>
      </c>
      <c r="O3814">
        <f>IF(B3814,ROUND(MAX(0,J3814*K3814*L3814*M3814*N3814),2),"")</f>
        <v/>
      </c>
    </row>
    <row r="3815">
      <c r="A3815" t="n">
        <v>3814</v>
      </c>
      <c r="B3815">
        <f>A3815&lt;=MineCount*Days</f>
        <v/>
      </c>
      <c r="C3815">
        <f>IF(B3815,INT((A3815-1)/Days)+1,"")</f>
        <v/>
      </c>
      <c r="D3815">
        <f>IF(B3815,MOD(A3815-1,Days),"")</f>
        <v/>
      </c>
      <c r="E3815" s="16">
        <f>IF(B3815,StartDate+D3815,"")</f>
        <v/>
      </c>
      <c r="F3815">
        <f>IF(B3815,MAX(MOD(SIN(Seed*0.1373+C3815*12.9898+D3815*78.233)*43758.5453,1),1E-9),"")</f>
        <v/>
      </c>
      <c r="G3815">
        <f>IF(B3815,MOD(SIN(Seed*0.5917+C3815*39.3468+D3815*11.135)*24634.6345,1),"")</f>
        <v/>
      </c>
      <c r="H3815">
        <f>IF(B3815,SQRT(-2*LN(F3815))*COS(2*PI()*G3815),"")</f>
        <v/>
      </c>
      <c r="I3815">
        <f>IF(B3815,IF(D3815=0,H3815,Rho*I3814+SQRT(1-Rho^2)*H3815),"")</f>
        <v/>
      </c>
      <c r="J3815">
        <f>IF(B3815,IF(Dist="Normal",DistA+DistB*I3815,DistA+(DistB-DistA)*NORMSDIST(I3815)),"")</f>
        <v/>
      </c>
      <c r="K3815">
        <f>IF(B3815,INDEX(MineScale,C3815),"")</f>
        <v/>
      </c>
      <c r="L3815">
        <f>IF(B3815,INDEX(Dow,1,WEEKDAY(E3815,2)),"")</f>
        <v/>
      </c>
      <c r="M3815">
        <f>IF(B3815,(1+Trend)^D3815,"")</f>
        <v/>
      </c>
      <c r="N3815">
        <f>IF(B3815,EXP(SUMPRODUCT(LN(1+(EvEff-1)*INDEX(Affected,0,C3815)*EXP(-((E3815-EvCenter)^2)/(2*EvSigma^2))))),"")</f>
        <v/>
      </c>
      <c r="O3815">
        <f>IF(B3815,ROUND(MAX(0,J3815*K3815*L3815*M3815*N3815),2),"")</f>
        <v/>
      </c>
    </row>
    <row r="3816">
      <c r="A3816" t="n">
        <v>3815</v>
      </c>
      <c r="B3816">
        <f>A3816&lt;=MineCount*Days</f>
        <v/>
      </c>
      <c r="C3816">
        <f>IF(B3816,INT((A3816-1)/Days)+1,"")</f>
        <v/>
      </c>
      <c r="D3816">
        <f>IF(B3816,MOD(A3816-1,Days),"")</f>
        <v/>
      </c>
      <c r="E3816" s="16">
        <f>IF(B3816,StartDate+D3816,"")</f>
        <v/>
      </c>
      <c r="F3816">
        <f>IF(B3816,MAX(MOD(SIN(Seed*0.1373+C3816*12.9898+D3816*78.233)*43758.5453,1),1E-9),"")</f>
        <v/>
      </c>
      <c r="G3816">
        <f>IF(B3816,MOD(SIN(Seed*0.5917+C3816*39.3468+D3816*11.135)*24634.6345,1),"")</f>
        <v/>
      </c>
      <c r="H3816">
        <f>IF(B3816,SQRT(-2*LN(F3816))*COS(2*PI()*G3816),"")</f>
        <v/>
      </c>
      <c r="I3816">
        <f>IF(B3816,IF(D3816=0,H3816,Rho*I3815+SQRT(1-Rho^2)*H3816),"")</f>
        <v/>
      </c>
      <c r="J3816">
        <f>IF(B3816,IF(Dist="Normal",DistA+DistB*I3816,DistA+(DistB-DistA)*NORMSDIST(I3816)),"")</f>
        <v/>
      </c>
      <c r="K3816">
        <f>IF(B3816,INDEX(MineScale,C3816),"")</f>
        <v/>
      </c>
      <c r="L3816">
        <f>IF(B3816,INDEX(Dow,1,WEEKDAY(E3816,2)),"")</f>
        <v/>
      </c>
      <c r="M3816">
        <f>IF(B3816,(1+Trend)^D3816,"")</f>
        <v/>
      </c>
      <c r="N3816">
        <f>IF(B3816,EXP(SUMPRODUCT(LN(1+(EvEff-1)*INDEX(Affected,0,C3816)*EXP(-((E3816-EvCenter)^2)/(2*EvSigma^2))))),"")</f>
        <v/>
      </c>
      <c r="O3816">
        <f>IF(B3816,ROUND(MAX(0,J3816*K3816*L3816*M3816*N3816),2),"")</f>
        <v/>
      </c>
    </row>
    <row r="3817">
      <c r="A3817" t="n">
        <v>3816</v>
      </c>
      <c r="B3817">
        <f>A3817&lt;=MineCount*Days</f>
        <v/>
      </c>
      <c r="C3817">
        <f>IF(B3817,INT((A3817-1)/Days)+1,"")</f>
        <v/>
      </c>
      <c r="D3817">
        <f>IF(B3817,MOD(A3817-1,Days),"")</f>
        <v/>
      </c>
      <c r="E3817" s="16">
        <f>IF(B3817,StartDate+D3817,"")</f>
        <v/>
      </c>
      <c r="F3817">
        <f>IF(B3817,MAX(MOD(SIN(Seed*0.1373+C3817*12.9898+D3817*78.233)*43758.5453,1),1E-9),"")</f>
        <v/>
      </c>
      <c r="G3817">
        <f>IF(B3817,MOD(SIN(Seed*0.5917+C3817*39.3468+D3817*11.135)*24634.6345,1),"")</f>
        <v/>
      </c>
      <c r="H3817">
        <f>IF(B3817,SQRT(-2*LN(F3817))*COS(2*PI()*G3817),"")</f>
        <v/>
      </c>
      <c r="I3817">
        <f>IF(B3817,IF(D3817=0,H3817,Rho*I3816+SQRT(1-Rho^2)*H3817),"")</f>
        <v/>
      </c>
      <c r="J3817">
        <f>IF(B3817,IF(Dist="Normal",DistA+DistB*I3817,DistA+(DistB-DistA)*NORMSDIST(I3817)),"")</f>
        <v/>
      </c>
      <c r="K3817">
        <f>IF(B3817,INDEX(MineScale,C3817),"")</f>
        <v/>
      </c>
      <c r="L3817">
        <f>IF(B3817,INDEX(Dow,1,WEEKDAY(E3817,2)),"")</f>
        <v/>
      </c>
      <c r="M3817">
        <f>IF(B3817,(1+Trend)^D3817,"")</f>
        <v/>
      </c>
      <c r="N3817">
        <f>IF(B3817,EXP(SUMPRODUCT(LN(1+(EvEff-1)*INDEX(Affected,0,C3817)*EXP(-((E3817-EvCenter)^2)/(2*EvSigma^2))))),"")</f>
        <v/>
      </c>
      <c r="O3817">
        <f>IF(B3817,ROUND(MAX(0,J3817*K3817*L3817*M3817*N3817),2),"")</f>
        <v/>
      </c>
    </row>
    <row r="3818">
      <c r="A3818" t="n">
        <v>3817</v>
      </c>
      <c r="B3818">
        <f>A3818&lt;=MineCount*Days</f>
        <v/>
      </c>
      <c r="C3818">
        <f>IF(B3818,INT((A3818-1)/Days)+1,"")</f>
        <v/>
      </c>
      <c r="D3818">
        <f>IF(B3818,MOD(A3818-1,Days),"")</f>
        <v/>
      </c>
      <c r="E3818" s="16">
        <f>IF(B3818,StartDate+D3818,"")</f>
        <v/>
      </c>
      <c r="F3818">
        <f>IF(B3818,MAX(MOD(SIN(Seed*0.1373+C3818*12.9898+D3818*78.233)*43758.5453,1),1E-9),"")</f>
        <v/>
      </c>
      <c r="G3818">
        <f>IF(B3818,MOD(SIN(Seed*0.5917+C3818*39.3468+D3818*11.135)*24634.6345,1),"")</f>
        <v/>
      </c>
      <c r="H3818">
        <f>IF(B3818,SQRT(-2*LN(F3818))*COS(2*PI()*G3818),"")</f>
        <v/>
      </c>
      <c r="I3818">
        <f>IF(B3818,IF(D3818=0,H3818,Rho*I3817+SQRT(1-Rho^2)*H3818),"")</f>
        <v/>
      </c>
      <c r="J3818">
        <f>IF(B3818,IF(Dist="Normal",DistA+DistB*I3818,DistA+(DistB-DistA)*NORMSDIST(I3818)),"")</f>
        <v/>
      </c>
      <c r="K3818">
        <f>IF(B3818,INDEX(MineScale,C3818),"")</f>
        <v/>
      </c>
      <c r="L3818">
        <f>IF(B3818,INDEX(Dow,1,WEEKDAY(E3818,2)),"")</f>
        <v/>
      </c>
      <c r="M3818">
        <f>IF(B3818,(1+Trend)^D3818,"")</f>
        <v/>
      </c>
      <c r="N3818">
        <f>IF(B3818,EXP(SUMPRODUCT(LN(1+(EvEff-1)*INDEX(Affected,0,C3818)*EXP(-((E3818-EvCenter)^2)/(2*EvSigma^2))))),"")</f>
        <v/>
      </c>
      <c r="O3818">
        <f>IF(B3818,ROUND(MAX(0,J3818*K3818*L3818*M3818*N3818),2),"")</f>
        <v/>
      </c>
    </row>
    <row r="3819">
      <c r="A3819" t="n">
        <v>3818</v>
      </c>
      <c r="B3819">
        <f>A3819&lt;=MineCount*Days</f>
        <v/>
      </c>
      <c r="C3819">
        <f>IF(B3819,INT((A3819-1)/Days)+1,"")</f>
        <v/>
      </c>
      <c r="D3819">
        <f>IF(B3819,MOD(A3819-1,Days),"")</f>
        <v/>
      </c>
      <c r="E3819" s="16">
        <f>IF(B3819,StartDate+D3819,"")</f>
        <v/>
      </c>
      <c r="F3819">
        <f>IF(B3819,MAX(MOD(SIN(Seed*0.1373+C3819*12.9898+D3819*78.233)*43758.5453,1),1E-9),"")</f>
        <v/>
      </c>
      <c r="G3819">
        <f>IF(B3819,MOD(SIN(Seed*0.5917+C3819*39.3468+D3819*11.135)*24634.6345,1),"")</f>
        <v/>
      </c>
      <c r="H3819">
        <f>IF(B3819,SQRT(-2*LN(F3819))*COS(2*PI()*G3819),"")</f>
        <v/>
      </c>
      <c r="I3819">
        <f>IF(B3819,IF(D3819=0,H3819,Rho*I3818+SQRT(1-Rho^2)*H3819),"")</f>
        <v/>
      </c>
      <c r="J3819">
        <f>IF(B3819,IF(Dist="Normal",DistA+DistB*I3819,DistA+(DistB-DistA)*NORMSDIST(I3819)),"")</f>
        <v/>
      </c>
      <c r="K3819">
        <f>IF(B3819,INDEX(MineScale,C3819),"")</f>
        <v/>
      </c>
      <c r="L3819">
        <f>IF(B3819,INDEX(Dow,1,WEEKDAY(E3819,2)),"")</f>
        <v/>
      </c>
      <c r="M3819">
        <f>IF(B3819,(1+Trend)^D3819,"")</f>
        <v/>
      </c>
      <c r="N3819">
        <f>IF(B3819,EXP(SUMPRODUCT(LN(1+(EvEff-1)*INDEX(Affected,0,C3819)*EXP(-((E3819-EvCenter)^2)/(2*EvSigma^2))))),"")</f>
        <v/>
      </c>
      <c r="O3819">
        <f>IF(B3819,ROUND(MAX(0,J3819*K3819*L3819*M3819*N3819),2),"")</f>
        <v/>
      </c>
    </row>
    <row r="3820">
      <c r="A3820" t="n">
        <v>3819</v>
      </c>
      <c r="B3820">
        <f>A3820&lt;=MineCount*Days</f>
        <v/>
      </c>
      <c r="C3820">
        <f>IF(B3820,INT((A3820-1)/Days)+1,"")</f>
        <v/>
      </c>
      <c r="D3820">
        <f>IF(B3820,MOD(A3820-1,Days),"")</f>
        <v/>
      </c>
      <c r="E3820" s="16">
        <f>IF(B3820,StartDate+D3820,"")</f>
        <v/>
      </c>
      <c r="F3820">
        <f>IF(B3820,MAX(MOD(SIN(Seed*0.1373+C3820*12.9898+D3820*78.233)*43758.5453,1),1E-9),"")</f>
        <v/>
      </c>
      <c r="G3820">
        <f>IF(B3820,MOD(SIN(Seed*0.5917+C3820*39.3468+D3820*11.135)*24634.6345,1),"")</f>
        <v/>
      </c>
      <c r="H3820">
        <f>IF(B3820,SQRT(-2*LN(F3820))*COS(2*PI()*G3820),"")</f>
        <v/>
      </c>
      <c r="I3820">
        <f>IF(B3820,IF(D3820=0,H3820,Rho*I3819+SQRT(1-Rho^2)*H3820),"")</f>
        <v/>
      </c>
      <c r="J3820">
        <f>IF(B3820,IF(Dist="Normal",DistA+DistB*I3820,DistA+(DistB-DistA)*NORMSDIST(I3820)),"")</f>
        <v/>
      </c>
      <c r="K3820">
        <f>IF(B3820,INDEX(MineScale,C3820),"")</f>
        <v/>
      </c>
      <c r="L3820">
        <f>IF(B3820,INDEX(Dow,1,WEEKDAY(E3820,2)),"")</f>
        <v/>
      </c>
      <c r="M3820">
        <f>IF(B3820,(1+Trend)^D3820,"")</f>
        <v/>
      </c>
      <c r="N3820">
        <f>IF(B3820,EXP(SUMPRODUCT(LN(1+(EvEff-1)*INDEX(Affected,0,C3820)*EXP(-((E3820-EvCenter)^2)/(2*EvSigma^2))))),"")</f>
        <v/>
      </c>
      <c r="O3820">
        <f>IF(B3820,ROUND(MAX(0,J3820*K3820*L3820*M3820*N3820),2),"")</f>
        <v/>
      </c>
    </row>
    <row r="3821">
      <c r="A3821" t="n">
        <v>3820</v>
      </c>
      <c r="B3821">
        <f>A3821&lt;=MineCount*Days</f>
        <v/>
      </c>
      <c r="C3821">
        <f>IF(B3821,INT((A3821-1)/Days)+1,"")</f>
        <v/>
      </c>
      <c r="D3821">
        <f>IF(B3821,MOD(A3821-1,Days),"")</f>
        <v/>
      </c>
      <c r="E3821" s="16">
        <f>IF(B3821,StartDate+D3821,"")</f>
        <v/>
      </c>
      <c r="F3821">
        <f>IF(B3821,MAX(MOD(SIN(Seed*0.1373+C3821*12.9898+D3821*78.233)*43758.5453,1),1E-9),"")</f>
        <v/>
      </c>
      <c r="G3821">
        <f>IF(B3821,MOD(SIN(Seed*0.5917+C3821*39.3468+D3821*11.135)*24634.6345,1),"")</f>
        <v/>
      </c>
      <c r="H3821">
        <f>IF(B3821,SQRT(-2*LN(F3821))*COS(2*PI()*G3821),"")</f>
        <v/>
      </c>
      <c r="I3821">
        <f>IF(B3821,IF(D3821=0,H3821,Rho*I3820+SQRT(1-Rho^2)*H3821),"")</f>
        <v/>
      </c>
      <c r="J3821">
        <f>IF(B3821,IF(Dist="Normal",DistA+DistB*I3821,DistA+(DistB-DistA)*NORMSDIST(I3821)),"")</f>
        <v/>
      </c>
      <c r="K3821">
        <f>IF(B3821,INDEX(MineScale,C3821),"")</f>
        <v/>
      </c>
      <c r="L3821">
        <f>IF(B3821,INDEX(Dow,1,WEEKDAY(E3821,2)),"")</f>
        <v/>
      </c>
      <c r="M3821">
        <f>IF(B3821,(1+Trend)^D3821,"")</f>
        <v/>
      </c>
      <c r="N3821">
        <f>IF(B3821,EXP(SUMPRODUCT(LN(1+(EvEff-1)*INDEX(Affected,0,C3821)*EXP(-((E3821-EvCenter)^2)/(2*EvSigma^2))))),"")</f>
        <v/>
      </c>
      <c r="O3821">
        <f>IF(B3821,ROUND(MAX(0,J3821*K3821*L3821*M3821*N3821),2),"")</f>
        <v/>
      </c>
    </row>
    <row r="3822">
      <c r="A3822" t="n">
        <v>3821</v>
      </c>
      <c r="B3822">
        <f>A3822&lt;=MineCount*Days</f>
        <v/>
      </c>
      <c r="C3822">
        <f>IF(B3822,INT((A3822-1)/Days)+1,"")</f>
        <v/>
      </c>
      <c r="D3822">
        <f>IF(B3822,MOD(A3822-1,Days),"")</f>
        <v/>
      </c>
      <c r="E3822" s="16">
        <f>IF(B3822,StartDate+D3822,"")</f>
        <v/>
      </c>
      <c r="F3822">
        <f>IF(B3822,MAX(MOD(SIN(Seed*0.1373+C3822*12.9898+D3822*78.233)*43758.5453,1),1E-9),"")</f>
        <v/>
      </c>
      <c r="G3822">
        <f>IF(B3822,MOD(SIN(Seed*0.5917+C3822*39.3468+D3822*11.135)*24634.6345,1),"")</f>
        <v/>
      </c>
      <c r="H3822">
        <f>IF(B3822,SQRT(-2*LN(F3822))*COS(2*PI()*G3822),"")</f>
        <v/>
      </c>
      <c r="I3822">
        <f>IF(B3822,IF(D3822=0,H3822,Rho*I3821+SQRT(1-Rho^2)*H3822),"")</f>
        <v/>
      </c>
      <c r="J3822">
        <f>IF(B3822,IF(Dist="Normal",DistA+DistB*I3822,DistA+(DistB-DistA)*NORMSDIST(I3822)),"")</f>
        <v/>
      </c>
      <c r="K3822">
        <f>IF(B3822,INDEX(MineScale,C3822),"")</f>
        <v/>
      </c>
      <c r="L3822">
        <f>IF(B3822,INDEX(Dow,1,WEEKDAY(E3822,2)),"")</f>
        <v/>
      </c>
      <c r="M3822">
        <f>IF(B3822,(1+Trend)^D3822,"")</f>
        <v/>
      </c>
      <c r="N3822">
        <f>IF(B3822,EXP(SUMPRODUCT(LN(1+(EvEff-1)*INDEX(Affected,0,C3822)*EXP(-((E3822-EvCenter)^2)/(2*EvSigma^2))))),"")</f>
        <v/>
      </c>
      <c r="O3822">
        <f>IF(B3822,ROUND(MAX(0,J3822*K3822*L3822*M3822*N3822),2),"")</f>
        <v/>
      </c>
    </row>
    <row r="3823">
      <c r="A3823" t="n">
        <v>3822</v>
      </c>
      <c r="B3823">
        <f>A3823&lt;=MineCount*Days</f>
        <v/>
      </c>
      <c r="C3823">
        <f>IF(B3823,INT((A3823-1)/Days)+1,"")</f>
        <v/>
      </c>
      <c r="D3823">
        <f>IF(B3823,MOD(A3823-1,Days),"")</f>
        <v/>
      </c>
      <c r="E3823" s="16">
        <f>IF(B3823,StartDate+D3823,"")</f>
        <v/>
      </c>
      <c r="F3823">
        <f>IF(B3823,MAX(MOD(SIN(Seed*0.1373+C3823*12.9898+D3823*78.233)*43758.5453,1),1E-9),"")</f>
        <v/>
      </c>
      <c r="G3823">
        <f>IF(B3823,MOD(SIN(Seed*0.5917+C3823*39.3468+D3823*11.135)*24634.6345,1),"")</f>
        <v/>
      </c>
      <c r="H3823">
        <f>IF(B3823,SQRT(-2*LN(F3823))*COS(2*PI()*G3823),"")</f>
        <v/>
      </c>
      <c r="I3823">
        <f>IF(B3823,IF(D3823=0,H3823,Rho*I3822+SQRT(1-Rho^2)*H3823),"")</f>
        <v/>
      </c>
      <c r="J3823">
        <f>IF(B3823,IF(Dist="Normal",DistA+DistB*I3823,DistA+(DistB-DistA)*NORMSDIST(I3823)),"")</f>
        <v/>
      </c>
      <c r="K3823">
        <f>IF(B3823,INDEX(MineScale,C3823),"")</f>
        <v/>
      </c>
      <c r="L3823">
        <f>IF(B3823,INDEX(Dow,1,WEEKDAY(E3823,2)),"")</f>
        <v/>
      </c>
      <c r="M3823">
        <f>IF(B3823,(1+Trend)^D3823,"")</f>
        <v/>
      </c>
      <c r="N3823">
        <f>IF(B3823,EXP(SUMPRODUCT(LN(1+(EvEff-1)*INDEX(Affected,0,C3823)*EXP(-((E3823-EvCenter)^2)/(2*EvSigma^2))))),"")</f>
        <v/>
      </c>
      <c r="O3823">
        <f>IF(B3823,ROUND(MAX(0,J3823*K3823*L3823*M3823*N3823),2),"")</f>
        <v/>
      </c>
    </row>
    <row r="3824">
      <c r="A3824" t="n">
        <v>3823</v>
      </c>
      <c r="B3824">
        <f>A3824&lt;=MineCount*Days</f>
        <v/>
      </c>
      <c r="C3824">
        <f>IF(B3824,INT((A3824-1)/Days)+1,"")</f>
        <v/>
      </c>
      <c r="D3824">
        <f>IF(B3824,MOD(A3824-1,Days),"")</f>
        <v/>
      </c>
      <c r="E3824" s="16">
        <f>IF(B3824,StartDate+D3824,"")</f>
        <v/>
      </c>
      <c r="F3824">
        <f>IF(B3824,MAX(MOD(SIN(Seed*0.1373+C3824*12.9898+D3824*78.233)*43758.5453,1),1E-9),"")</f>
        <v/>
      </c>
      <c r="G3824">
        <f>IF(B3824,MOD(SIN(Seed*0.5917+C3824*39.3468+D3824*11.135)*24634.6345,1),"")</f>
        <v/>
      </c>
      <c r="H3824">
        <f>IF(B3824,SQRT(-2*LN(F3824))*COS(2*PI()*G3824),"")</f>
        <v/>
      </c>
      <c r="I3824">
        <f>IF(B3824,IF(D3824=0,H3824,Rho*I3823+SQRT(1-Rho^2)*H3824),"")</f>
        <v/>
      </c>
      <c r="J3824">
        <f>IF(B3824,IF(Dist="Normal",DistA+DistB*I3824,DistA+(DistB-DistA)*NORMSDIST(I3824)),"")</f>
        <v/>
      </c>
      <c r="K3824">
        <f>IF(B3824,INDEX(MineScale,C3824),"")</f>
        <v/>
      </c>
      <c r="L3824">
        <f>IF(B3824,INDEX(Dow,1,WEEKDAY(E3824,2)),"")</f>
        <v/>
      </c>
      <c r="M3824">
        <f>IF(B3824,(1+Trend)^D3824,"")</f>
        <v/>
      </c>
      <c r="N3824">
        <f>IF(B3824,EXP(SUMPRODUCT(LN(1+(EvEff-1)*INDEX(Affected,0,C3824)*EXP(-((E3824-EvCenter)^2)/(2*EvSigma^2))))),"")</f>
        <v/>
      </c>
      <c r="O3824">
        <f>IF(B3824,ROUND(MAX(0,J3824*K3824*L3824*M3824*N3824),2),"")</f>
        <v/>
      </c>
    </row>
    <row r="3825">
      <c r="A3825" t="n">
        <v>3824</v>
      </c>
      <c r="B3825">
        <f>A3825&lt;=MineCount*Days</f>
        <v/>
      </c>
      <c r="C3825">
        <f>IF(B3825,INT((A3825-1)/Days)+1,"")</f>
        <v/>
      </c>
      <c r="D3825">
        <f>IF(B3825,MOD(A3825-1,Days),"")</f>
        <v/>
      </c>
      <c r="E3825" s="16">
        <f>IF(B3825,StartDate+D3825,"")</f>
        <v/>
      </c>
      <c r="F3825">
        <f>IF(B3825,MAX(MOD(SIN(Seed*0.1373+C3825*12.9898+D3825*78.233)*43758.5453,1),1E-9),"")</f>
        <v/>
      </c>
      <c r="G3825">
        <f>IF(B3825,MOD(SIN(Seed*0.5917+C3825*39.3468+D3825*11.135)*24634.6345,1),"")</f>
        <v/>
      </c>
      <c r="H3825">
        <f>IF(B3825,SQRT(-2*LN(F3825))*COS(2*PI()*G3825),"")</f>
        <v/>
      </c>
      <c r="I3825">
        <f>IF(B3825,IF(D3825=0,H3825,Rho*I3824+SQRT(1-Rho^2)*H3825),"")</f>
        <v/>
      </c>
      <c r="J3825">
        <f>IF(B3825,IF(Dist="Normal",DistA+DistB*I3825,DistA+(DistB-DistA)*NORMSDIST(I3825)),"")</f>
        <v/>
      </c>
      <c r="K3825">
        <f>IF(B3825,INDEX(MineScale,C3825),"")</f>
        <v/>
      </c>
      <c r="L3825">
        <f>IF(B3825,INDEX(Dow,1,WEEKDAY(E3825,2)),"")</f>
        <v/>
      </c>
      <c r="M3825">
        <f>IF(B3825,(1+Trend)^D3825,"")</f>
        <v/>
      </c>
      <c r="N3825">
        <f>IF(B3825,EXP(SUMPRODUCT(LN(1+(EvEff-1)*INDEX(Affected,0,C3825)*EXP(-((E3825-EvCenter)^2)/(2*EvSigma^2))))),"")</f>
        <v/>
      </c>
      <c r="O3825">
        <f>IF(B3825,ROUND(MAX(0,J3825*K3825*L3825*M3825*N3825),2),"")</f>
        <v/>
      </c>
    </row>
    <row r="3826">
      <c r="A3826" t="n">
        <v>3825</v>
      </c>
      <c r="B3826">
        <f>A3826&lt;=MineCount*Days</f>
        <v/>
      </c>
      <c r="C3826">
        <f>IF(B3826,INT((A3826-1)/Days)+1,"")</f>
        <v/>
      </c>
      <c r="D3826">
        <f>IF(B3826,MOD(A3826-1,Days),"")</f>
        <v/>
      </c>
      <c r="E3826" s="16">
        <f>IF(B3826,StartDate+D3826,"")</f>
        <v/>
      </c>
      <c r="F3826">
        <f>IF(B3826,MAX(MOD(SIN(Seed*0.1373+C3826*12.9898+D3826*78.233)*43758.5453,1),1E-9),"")</f>
        <v/>
      </c>
      <c r="G3826">
        <f>IF(B3826,MOD(SIN(Seed*0.5917+C3826*39.3468+D3826*11.135)*24634.6345,1),"")</f>
        <v/>
      </c>
      <c r="H3826">
        <f>IF(B3826,SQRT(-2*LN(F3826))*COS(2*PI()*G3826),"")</f>
        <v/>
      </c>
      <c r="I3826">
        <f>IF(B3826,IF(D3826=0,H3826,Rho*I3825+SQRT(1-Rho^2)*H3826),"")</f>
        <v/>
      </c>
      <c r="J3826">
        <f>IF(B3826,IF(Dist="Normal",DistA+DistB*I3826,DistA+(DistB-DistA)*NORMSDIST(I3826)),"")</f>
        <v/>
      </c>
      <c r="K3826">
        <f>IF(B3826,INDEX(MineScale,C3826),"")</f>
        <v/>
      </c>
      <c r="L3826">
        <f>IF(B3826,INDEX(Dow,1,WEEKDAY(E3826,2)),"")</f>
        <v/>
      </c>
      <c r="M3826">
        <f>IF(B3826,(1+Trend)^D3826,"")</f>
        <v/>
      </c>
      <c r="N3826">
        <f>IF(B3826,EXP(SUMPRODUCT(LN(1+(EvEff-1)*INDEX(Affected,0,C3826)*EXP(-((E3826-EvCenter)^2)/(2*EvSigma^2))))),"")</f>
        <v/>
      </c>
      <c r="O3826">
        <f>IF(B3826,ROUND(MAX(0,J3826*K3826*L3826*M3826*N3826),2),"")</f>
        <v/>
      </c>
    </row>
    <row r="3827">
      <c r="A3827" t="n">
        <v>3826</v>
      </c>
      <c r="B3827">
        <f>A3827&lt;=MineCount*Days</f>
        <v/>
      </c>
      <c r="C3827">
        <f>IF(B3827,INT((A3827-1)/Days)+1,"")</f>
        <v/>
      </c>
      <c r="D3827">
        <f>IF(B3827,MOD(A3827-1,Days),"")</f>
        <v/>
      </c>
      <c r="E3827" s="16">
        <f>IF(B3827,StartDate+D3827,"")</f>
        <v/>
      </c>
      <c r="F3827">
        <f>IF(B3827,MAX(MOD(SIN(Seed*0.1373+C3827*12.9898+D3827*78.233)*43758.5453,1),1E-9),"")</f>
        <v/>
      </c>
      <c r="G3827">
        <f>IF(B3827,MOD(SIN(Seed*0.5917+C3827*39.3468+D3827*11.135)*24634.6345,1),"")</f>
        <v/>
      </c>
      <c r="H3827">
        <f>IF(B3827,SQRT(-2*LN(F3827))*COS(2*PI()*G3827),"")</f>
        <v/>
      </c>
      <c r="I3827">
        <f>IF(B3827,IF(D3827=0,H3827,Rho*I3826+SQRT(1-Rho^2)*H3827),"")</f>
        <v/>
      </c>
      <c r="J3827">
        <f>IF(B3827,IF(Dist="Normal",DistA+DistB*I3827,DistA+(DistB-DistA)*NORMSDIST(I3827)),"")</f>
        <v/>
      </c>
      <c r="K3827">
        <f>IF(B3827,INDEX(MineScale,C3827),"")</f>
        <v/>
      </c>
      <c r="L3827">
        <f>IF(B3827,INDEX(Dow,1,WEEKDAY(E3827,2)),"")</f>
        <v/>
      </c>
      <c r="M3827">
        <f>IF(B3827,(1+Trend)^D3827,"")</f>
        <v/>
      </c>
      <c r="N3827">
        <f>IF(B3827,EXP(SUMPRODUCT(LN(1+(EvEff-1)*INDEX(Affected,0,C3827)*EXP(-((E3827-EvCenter)^2)/(2*EvSigma^2))))),"")</f>
        <v/>
      </c>
      <c r="O3827">
        <f>IF(B3827,ROUND(MAX(0,J3827*K3827*L3827*M3827*N3827),2),"")</f>
        <v/>
      </c>
    </row>
    <row r="3828">
      <c r="A3828" t="n">
        <v>3827</v>
      </c>
      <c r="B3828">
        <f>A3828&lt;=MineCount*Days</f>
        <v/>
      </c>
      <c r="C3828">
        <f>IF(B3828,INT((A3828-1)/Days)+1,"")</f>
        <v/>
      </c>
      <c r="D3828">
        <f>IF(B3828,MOD(A3828-1,Days),"")</f>
        <v/>
      </c>
      <c r="E3828" s="16">
        <f>IF(B3828,StartDate+D3828,"")</f>
        <v/>
      </c>
      <c r="F3828">
        <f>IF(B3828,MAX(MOD(SIN(Seed*0.1373+C3828*12.9898+D3828*78.233)*43758.5453,1),1E-9),"")</f>
        <v/>
      </c>
      <c r="G3828">
        <f>IF(B3828,MOD(SIN(Seed*0.5917+C3828*39.3468+D3828*11.135)*24634.6345,1),"")</f>
        <v/>
      </c>
      <c r="H3828">
        <f>IF(B3828,SQRT(-2*LN(F3828))*COS(2*PI()*G3828),"")</f>
        <v/>
      </c>
      <c r="I3828">
        <f>IF(B3828,IF(D3828=0,H3828,Rho*I3827+SQRT(1-Rho^2)*H3828),"")</f>
        <v/>
      </c>
      <c r="J3828">
        <f>IF(B3828,IF(Dist="Normal",DistA+DistB*I3828,DistA+(DistB-DistA)*NORMSDIST(I3828)),"")</f>
        <v/>
      </c>
      <c r="K3828">
        <f>IF(B3828,INDEX(MineScale,C3828),"")</f>
        <v/>
      </c>
      <c r="L3828">
        <f>IF(B3828,INDEX(Dow,1,WEEKDAY(E3828,2)),"")</f>
        <v/>
      </c>
      <c r="M3828">
        <f>IF(B3828,(1+Trend)^D3828,"")</f>
        <v/>
      </c>
      <c r="N3828">
        <f>IF(B3828,EXP(SUMPRODUCT(LN(1+(EvEff-1)*INDEX(Affected,0,C3828)*EXP(-((E3828-EvCenter)^2)/(2*EvSigma^2))))),"")</f>
        <v/>
      </c>
      <c r="O3828">
        <f>IF(B3828,ROUND(MAX(0,J3828*K3828*L3828*M3828*N3828),2),"")</f>
        <v/>
      </c>
    </row>
    <row r="3829">
      <c r="A3829" t="n">
        <v>3828</v>
      </c>
      <c r="B3829">
        <f>A3829&lt;=MineCount*Days</f>
        <v/>
      </c>
      <c r="C3829">
        <f>IF(B3829,INT((A3829-1)/Days)+1,"")</f>
        <v/>
      </c>
      <c r="D3829">
        <f>IF(B3829,MOD(A3829-1,Days),"")</f>
        <v/>
      </c>
      <c r="E3829" s="16">
        <f>IF(B3829,StartDate+D3829,"")</f>
        <v/>
      </c>
      <c r="F3829">
        <f>IF(B3829,MAX(MOD(SIN(Seed*0.1373+C3829*12.9898+D3829*78.233)*43758.5453,1),1E-9),"")</f>
        <v/>
      </c>
      <c r="G3829">
        <f>IF(B3829,MOD(SIN(Seed*0.5917+C3829*39.3468+D3829*11.135)*24634.6345,1),"")</f>
        <v/>
      </c>
      <c r="H3829">
        <f>IF(B3829,SQRT(-2*LN(F3829))*COS(2*PI()*G3829),"")</f>
        <v/>
      </c>
      <c r="I3829">
        <f>IF(B3829,IF(D3829=0,H3829,Rho*I3828+SQRT(1-Rho^2)*H3829),"")</f>
        <v/>
      </c>
      <c r="J3829">
        <f>IF(B3829,IF(Dist="Normal",DistA+DistB*I3829,DistA+(DistB-DistA)*NORMSDIST(I3829)),"")</f>
        <v/>
      </c>
      <c r="K3829">
        <f>IF(B3829,INDEX(MineScale,C3829),"")</f>
        <v/>
      </c>
      <c r="L3829">
        <f>IF(B3829,INDEX(Dow,1,WEEKDAY(E3829,2)),"")</f>
        <v/>
      </c>
      <c r="M3829">
        <f>IF(B3829,(1+Trend)^D3829,"")</f>
        <v/>
      </c>
      <c r="N3829">
        <f>IF(B3829,EXP(SUMPRODUCT(LN(1+(EvEff-1)*INDEX(Affected,0,C3829)*EXP(-((E3829-EvCenter)^2)/(2*EvSigma^2))))),"")</f>
        <v/>
      </c>
      <c r="O3829">
        <f>IF(B3829,ROUND(MAX(0,J3829*K3829*L3829*M3829*N3829),2),"")</f>
        <v/>
      </c>
    </row>
    <row r="3830">
      <c r="A3830" t="n">
        <v>3829</v>
      </c>
      <c r="B3830">
        <f>A3830&lt;=MineCount*Days</f>
        <v/>
      </c>
      <c r="C3830">
        <f>IF(B3830,INT((A3830-1)/Days)+1,"")</f>
        <v/>
      </c>
      <c r="D3830">
        <f>IF(B3830,MOD(A3830-1,Days),"")</f>
        <v/>
      </c>
      <c r="E3830" s="16">
        <f>IF(B3830,StartDate+D3830,"")</f>
        <v/>
      </c>
      <c r="F3830">
        <f>IF(B3830,MAX(MOD(SIN(Seed*0.1373+C3830*12.9898+D3830*78.233)*43758.5453,1),1E-9),"")</f>
        <v/>
      </c>
      <c r="G3830">
        <f>IF(B3830,MOD(SIN(Seed*0.5917+C3830*39.3468+D3830*11.135)*24634.6345,1),"")</f>
        <v/>
      </c>
      <c r="H3830">
        <f>IF(B3830,SQRT(-2*LN(F3830))*COS(2*PI()*G3830),"")</f>
        <v/>
      </c>
      <c r="I3830">
        <f>IF(B3830,IF(D3830=0,H3830,Rho*I3829+SQRT(1-Rho^2)*H3830),"")</f>
        <v/>
      </c>
      <c r="J3830">
        <f>IF(B3830,IF(Dist="Normal",DistA+DistB*I3830,DistA+(DistB-DistA)*NORMSDIST(I3830)),"")</f>
        <v/>
      </c>
      <c r="K3830">
        <f>IF(B3830,INDEX(MineScale,C3830),"")</f>
        <v/>
      </c>
      <c r="L3830">
        <f>IF(B3830,INDEX(Dow,1,WEEKDAY(E3830,2)),"")</f>
        <v/>
      </c>
      <c r="M3830">
        <f>IF(B3830,(1+Trend)^D3830,"")</f>
        <v/>
      </c>
      <c r="N3830">
        <f>IF(B3830,EXP(SUMPRODUCT(LN(1+(EvEff-1)*INDEX(Affected,0,C3830)*EXP(-((E3830-EvCenter)^2)/(2*EvSigma^2))))),"")</f>
        <v/>
      </c>
      <c r="O3830">
        <f>IF(B3830,ROUND(MAX(0,J3830*K3830*L3830*M3830*N3830),2),"")</f>
        <v/>
      </c>
    </row>
    <row r="3831">
      <c r="A3831" t="n">
        <v>3830</v>
      </c>
      <c r="B3831">
        <f>A3831&lt;=MineCount*Days</f>
        <v/>
      </c>
      <c r="C3831">
        <f>IF(B3831,INT((A3831-1)/Days)+1,"")</f>
        <v/>
      </c>
      <c r="D3831">
        <f>IF(B3831,MOD(A3831-1,Days),"")</f>
        <v/>
      </c>
      <c r="E3831" s="16">
        <f>IF(B3831,StartDate+D3831,"")</f>
        <v/>
      </c>
      <c r="F3831">
        <f>IF(B3831,MAX(MOD(SIN(Seed*0.1373+C3831*12.9898+D3831*78.233)*43758.5453,1),1E-9),"")</f>
        <v/>
      </c>
      <c r="G3831">
        <f>IF(B3831,MOD(SIN(Seed*0.5917+C3831*39.3468+D3831*11.135)*24634.6345,1),"")</f>
        <v/>
      </c>
      <c r="H3831">
        <f>IF(B3831,SQRT(-2*LN(F3831))*COS(2*PI()*G3831),"")</f>
        <v/>
      </c>
      <c r="I3831">
        <f>IF(B3831,IF(D3831=0,H3831,Rho*I3830+SQRT(1-Rho^2)*H3831),"")</f>
        <v/>
      </c>
      <c r="J3831">
        <f>IF(B3831,IF(Dist="Normal",DistA+DistB*I3831,DistA+(DistB-DistA)*NORMSDIST(I3831)),"")</f>
        <v/>
      </c>
      <c r="K3831">
        <f>IF(B3831,INDEX(MineScale,C3831),"")</f>
        <v/>
      </c>
      <c r="L3831">
        <f>IF(B3831,INDEX(Dow,1,WEEKDAY(E3831,2)),"")</f>
        <v/>
      </c>
      <c r="M3831">
        <f>IF(B3831,(1+Trend)^D3831,"")</f>
        <v/>
      </c>
      <c r="N3831">
        <f>IF(B3831,EXP(SUMPRODUCT(LN(1+(EvEff-1)*INDEX(Affected,0,C3831)*EXP(-((E3831-EvCenter)^2)/(2*EvSigma^2))))),"")</f>
        <v/>
      </c>
      <c r="O3831">
        <f>IF(B3831,ROUND(MAX(0,J3831*K3831*L3831*M3831*N3831),2),"")</f>
        <v/>
      </c>
    </row>
    <row r="3832">
      <c r="A3832" t="n">
        <v>3831</v>
      </c>
      <c r="B3832">
        <f>A3832&lt;=MineCount*Days</f>
        <v/>
      </c>
      <c r="C3832">
        <f>IF(B3832,INT((A3832-1)/Days)+1,"")</f>
        <v/>
      </c>
      <c r="D3832">
        <f>IF(B3832,MOD(A3832-1,Days),"")</f>
        <v/>
      </c>
      <c r="E3832" s="16">
        <f>IF(B3832,StartDate+D3832,"")</f>
        <v/>
      </c>
      <c r="F3832">
        <f>IF(B3832,MAX(MOD(SIN(Seed*0.1373+C3832*12.9898+D3832*78.233)*43758.5453,1),1E-9),"")</f>
        <v/>
      </c>
      <c r="G3832">
        <f>IF(B3832,MOD(SIN(Seed*0.5917+C3832*39.3468+D3832*11.135)*24634.6345,1),"")</f>
        <v/>
      </c>
      <c r="H3832">
        <f>IF(B3832,SQRT(-2*LN(F3832))*COS(2*PI()*G3832),"")</f>
        <v/>
      </c>
      <c r="I3832">
        <f>IF(B3832,IF(D3832=0,H3832,Rho*I3831+SQRT(1-Rho^2)*H3832),"")</f>
        <v/>
      </c>
      <c r="J3832">
        <f>IF(B3832,IF(Dist="Normal",DistA+DistB*I3832,DistA+(DistB-DistA)*NORMSDIST(I3832)),"")</f>
        <v/>
      </c>
      <c r="K3832">
        <f>IF(B3832,INDEX(MineScale,C3832),"")</f>
        <v/>
      </c>
      <c r="L3832">
        <f>IF(B3832,INDEX(Dow,1,WEEKDAY(E3832,2)),"")</f>
        <v/>
      </c>
      <c r="M3832">
        <f>IF(B3832,(1+Trend)^D3832,"")</f>
        <v/>
      </c>
      <c r="N3832">
        <f>IF(B3832,EXP(SUMPRODUCT(LN(1+(EvEff-1)*INDEX(Affected,0,C3832)*EXP(-((E3832-EvCenter)^2)/(2*EvSigma^2))))),"")</f>
        <v/>
      </c>
      <c r="O3832">
        <f>IF(B3832,ROUND(MAX(0,J3832*K3832*L3832*M3832*N3832),2),"")</f>
        <v/>
      </c>
    </row>
    <row r="3833">
      <c r="A3833" t="n">
        <v>3832</v>
      </c>
      <c r="B3833">
        <f>A3833&lt;=MineCount*Days</f>
        <v/>
      </c>
      <c r="C3833">
        <f>IF(B3833,INT((A3833-1)/Days)+1,"")</f>
        <v/>
      </c>
      <c r="D3833">
        <f>IF(B3833,MOD(A3833-1,Days),"")</f>
        <v/>
      </c>
      <c r="E3833" s="16">
        <f>IF(B3833,StartDate+D3833,"")</f>
        <v/>
      </c>
      <c r="F3833">
        <f>IF(B3833,MAX(MOD(SIN(Seed*0.1373+C3833*12.9898+D3833*78.233)*43758.5453,1),1E-9),"")</f>
        <v/>
      </c>
      <c r="G3833">
        <f>IF(B3833,MOD(SIN(Seed*0.5917+C3833*39.3468+D3833*11.135)*24634.6345,1),"")</f>
        <v/>
      </c>
      <c r="H3833">
        <f>IF(B3833,SQRT(-2*LN(F3833))*COS(2*PI()*G3833),"")</f>
        <v/>
      </c>
      <c r="I3833">
        <f>IF(B3833,IF(D3833=0,H3833,Rho*I3832+SQRT(1-Rho^2)*H3833),"")</f>
        <v/>
      </c>
      <c r="J3833">
        <f>IF(B3833,IF(Dist="Normal",DistA+DistB*I3833,DistA+(DistB-DistA)*NORMSDIST(I3833)),"")</f>
        <v/>
      </c>
      <c r="K3833">
        <f>IF(B3833,INDEX(MineScale,C3833),"")</f>
        <v/>
      </c>
      <c r="L3833">
        <f>IF(B3833,INDEX(Dow,1,WEEKDAY(E3833,2)),"")</f>
        <v/>
      </c>
      <c r="M3833">
        <f>IF(B3833,(1+Trend)^D3833,"")</f>
        <v/>
      </c>
      <c r="N3833">
        <f>IF(B3833,EXP(SUMPRODUCT(LN(1+(EvEff-1)*INDEX(Affected,0,C3833)*EXP(-((E3833-EvCenter)^2)/(2*EvSigma^2))))),"")</f>
        <v/>
      </c>
      <c r="O3833">
        <f>IF(B3833,ROUND(MAX(0,J3833*K3833*L3833*M3833*N3833),2),"")</f>
        <v/>
      </c>
    </row>
    <row r="3834">
      <c r="A3834" t="n">
        <v>3833</v>
      </c>
      <c r="B3834">
        <f>A3834&lt;=MineCount*Days</f>
        <v/>
      </c>
      <c r="C3834">
        <f>IF(B3834,INT((A3834-1)/Days)+1,"")</f>
        <v/>
      </c>
      <c r="D3834">
        <f>IF(B3834,MOD(A3834-1,Days),"")</f>
        <v/>
      </c>
      <c r="E3834" s="16">
        <f>IF(B3834,StartDate+D3834,"")</f>
        <v/>
      </c>
      <c r="F3834">
        <f>IF(B3834,MAX(MOD(SIN(Seed*0.1373+C3834*12.9898+D3834*78.233)*43758.5453,1),1E-9),"")</f>
        <v/>
      </c>
      <c r="G3834">
        <f>IF(B3834,MOD(SIN(Seed*0.5917+C3834*39.3468+D3834*11.135)*24634.6345,1),"")</f>
        <v/>
      </c>
      <c r="H3834">
        <f>IF(B3834,SQRT(-2*LN(F3834))*COS(2*PI()*G3834),"")</f>
        <v/>
      </c>
      <c r="I3834">
        <f>IF(B3834,IF(D3834=0,H3834,Rho*I3833+SQRT(1-Rho^2)*H3834),"")</f>
        <v/>
      </c>
      <c r="J3834">
        <f>IF(B3834,IF(Dist="Normal",DistA+DistB*I3834,DistA+(DistB-DistA)*NORMSDIST(I3834)),"")</f>
        <v/>
      </c>
      <c r="K3834">
        <f>IF(B3834,INDEX(MineScale,C3834),"")</f>
        <v/>
      </c>
      <c r="L3834">
        <f>IF(B3834,INDEX(Dow,1,WEEKDAY(E3834,2)),"")</f>
        <v/>
      </c>
      <c r="M3834">
        <f>IF(B3834,(1+Trend)^D3834,"")</f>
        <v/>
      </c>
      <c r="N3834">
        <f>IF(B3834,EXP(SUMPRODUCT(LN(1+(EvEff-1)*INDEX(Affected,0,C3834)*EXP(-((E3834-EvCenter)^2)/(2*EvSigma^2))))),"")</f>
        <v/>
      </c>
      <c r="O3834">
        <f>IF(B3834,ROUND(MAX(0,J3834*K3834*L3834*M3834*N3834),2),"")</f>
        <v/>
      </c>
    </row>
    <row r="3835">
      <c r="A3835" t="n">
        <v>3834</v>
      </c>
      <c r="B3835">
        <f>A3835&lt;=MineCount*Days</f>
        <v/>
      </c>
      <c r="C3835">
        <f>IF(B3835,INT((A3835-1)/Days)+1,"")</f>
        <v/>
      </c>
      <c r="D3835">
        <f>IF(B3835,MOD(A3835-1,Days),"")</f>
        <v/>
      </c>
      <c r="E3835" s="16">
        <f>IF(B3835,StartDate+D3835,"")</f>
        <v/>
      </c>
      <c r="F3835">
        <f>IF(B3835,MAX(MOD(SIN(Seed*0.1373+C3835*12.9898+D3835*78.233)*43758.5453,1),1E-9),"")</f>
        <v/>
      </c>
      <c r="G3835">
        <f>IF(B3835,MOD(SIN(Seed*0.5917+C3835*39.3468+D3835*11.135)*24634.6345,1),"")</f>
        <v/>
      </c>
      <c r="H3835">
        <f>IF(B3835,SQRT(-2*LN(F3835))*COS(2*PI()*G3835),"")</f>
        <v/>
      </c>
      <c r="I3835">
        <f>IF(B3835,IF(D3835=0,H3835,Rho*I3834+SQRT(1-Rho^2)*H3835),"")</f>
        <v/>
      </c>
      <c r="J3835">
        <f>IF(B3835,IF(Dist="Normal",DistA+DistB*I3835,DistA+(DistB-DistA)*NORMSDIST(I3835)),"")</f>
        <v/>
      </c>
      <c r="K3835">
        <f>IF(B3835,INDEX(MineScale,C3835),"")</f>
        <v/>
      </c>
      <c r="L3835">
        <f>IF(B3835,INDEX(Dow,1,WEEKDAY(E3835,2)),"")</f>
        <v/>
      </c>
      <c r="M3835">
        <f>IF(B3835,(1+Trend)^D3835,"")</f>
        <v/>
      </c>
      <c r="N3835">
        <f>IF(B3835,EXP(SUMPRODUCT(LN(1+(EvEff-1)*INDEX(Affected,0,C3835)*EXP(-((E3835-EvCenter)^2)/(2*EvSigma^2))))),"")</f>
        <v/>
      </c>
      <c r="O3835">
        <f>IF(B3835,ROUND(MAX(0,J3835*K3835*L3835*M3835*N3835),2),"")</f>
        <v/>
      </c>
    </row>
    <row r="3836">
      <c r="A3836" t="n">
        <v>3835</v>
      </c>
      <c r="B3836">
        <f>A3836&lt;=MineCount*Days</f>
        <v/>
      </c>
      <c r="C3836">
        <f>IF(B3836,INT((A3836-1)/Days)+1,"")</f>
        <v/>
      </c>
      <c r="D3836">
        <f>IF(B3836,MOD(A3836-1,Days),"")</f>
        <v/>
      </c>
      <c r="E3836" s="16">
        <f>IF(B3836,StartDate+D3836,"")</f>
        <v/>
      </c>
      <c r="F3836">
        <f>IF(B3836,MAX(MOD(SIN(Seed*0.1373+C3836*12.9898+D3836*78.233)*43758.5453,1),1E-9),"")</f>
        <v/>
      </c>
      <c r="G3836">
        <f>IF(B3836,MOD(SIN(Seed*0.5917+C3836*39.3468+D3836*11.135)*24634.6345,1),"")</f>
        <v/>
      </c>
      <c r="H3836">
        <f>IF(B3836,SQRT(-2*LN(F3836))*COS(2*PI()*G3836),"")</f>
        <v/>
      </c>
      <c r="I3836">
        <f>IF(B3836,IF(D3836=0,H3836,Rho*I3835+SQRT(1-Rho^2)*H3836),"")</f>
        <v/>
      </c>
      <c r="J3836">
        <f>IF(B3836,IF(Dist="Normal",DistA+DistB*I3836,DistA+(DistB-DistA)*NORMSDIST(I3836)),"")</f>
        <v/>
      </c>
      <c r="K3836">
        <f>IF(B3836,INDEX(MineScale,C3836),"")</f>
        <v/>
      </c>
      <c r="L3836">
        <f>IF(B3836,INDEX(Dow,1,WEEKDAY(E3836,2)),"")</f>
        <v/>
      </c>
      <c r="M3836">
        <f>IF(B3836,(1+Trend)^D3836,"")</f>
        <v/>
      </c>
      <c r="N3836">
        <f>IF(B3836,EXP(SUMPRODUCT(LN(1+(EvEff-1)*INDEX(Affected,0,C3836)*EXP(-((E3836-EvCenter)^2)/(2*EvSigma^2))))),"")</f>
        <v/>
      </c>
      <c r="O3836">
        <f>IF(B3836,ROUND(MAX(0,J3836*K3836*L3836*M3836*N3836),2),"")</f>
        <v/>
      </c>
    </row>
    <row r="3837">
      <c r="A3837" t="n">
        <v>3836</v>
      </c>
      <c r="B3837">
        <f>A3837&lt;=MineCount*Days</f>
        <v/>
      </c>
      <c r="C3837">
        <f>IF(B3837,INT((A3837-1)/Days)+1,"")</f>
        <v/>
      </c>
      <c r="D3837">
        <f>IF(B3837,MOD(A3837-1,Days),"")</f>
        <v/>
      </c>
      <c r="E3837" s="16">
        <f>IF(B3837,StartDate+D3837,"")</f>
        <v/>
      </c>
      <c r="F3837">
        <f>IF(B3837,MAX(MOD(SIN(Seed*0.1373+C3837*12.9898+D3837*78.233)*43758.5453,1),1E-9),"")</f>
        <v/>
      </c>
      <c r="G3837">
        <f>IF(B3837,MOD(SIN(Seed*0.5917+C3837*39.3468+D3837*11.135)*24634.6345,1),"")</f>
        <v/>
      </c>
      <c r="H3837">
        <f>IF(B3837,SQRT(-2*LN(F3837))*COS(2*PI()*G3837),"")</f>
        <v/>
      </c>
      <c r="I3837">
        <f>IF(B3837,IF(D3837=0,H3837,Rho*I3836+SQRT(1-Rho^2)*H3837),"")</f>
        <v/>
      </c>
      <c r="J3837">
        <f>IF(B3837,IF(Dist="Normal",DistA+DistB*I3837,DistA+(DistB-DistA)*NORMSDIST(I3837)),"")</f>
        <v/>
      </c>
      <c r="K3837">
        <f>IF(B3837,INDEX(MineScale,C3837),"")</f>
        <v/>
      </c>
      <c r="L3837">
        <f>IF(B3837,INDEX(Dow,1,WEEKDAY(E3837,2)),"")</f>
        <v/>
      </c>
      <c r="M3837">
        <f>IF(B3837,(1+Trend)^D3837,"")</f>
        <v/>
      </c>
      <c r="N3837">
        <f>IF(B3837,EXP(SUMPRODUCT(LN(1+(EvEff-1)*INDEX(Affected,0,C3837)*EXP(-((E3837-EvCenter)^2)/(2*EvSigma^2))))),"")</f>
        <v/>
      </c>
      <c r="O3837">
        <f>IF(B3837,ROUND(MAX(0,J3837*K3837*L3837*M3837*N3837),2),"")</f>
        <v/>
      </c>
    </row>
    <row r="3838">
      <c r="A3838" t="n">
        <v>3837</v>
      </c>
      <c r="B3838">
        <f>A3838&lt;=MineCount*Days</f>
        <v/>
      </c>
      <c r="C3838">
        <f>IF(B3838,INT((A3838-1)/Days)+1,"")</f>
        <v/>
      </c>
      <c r="D3838">
        <f>IF(B3838,MOD(A3838-1,Days),"")</f>
        <v/>
      </c>
      <c r="E3838" s="16">
        <f>IF(B3838,StartDate+D3838,"")</f>
        <v/>
      </c>
      <c r="F3838">
        <f>IF(B3838,MAX(MOD(SIN(Seed*0.1373+C3838*12.9898+D3838*78.233)*43758.5453,1),1E-9),"")</f>
        <v/>
      </c>
      <c r="G3838">
        <f>IF(B3838,MOD(SIN(Seed*0.5917+C3838*39.3468+D3838*11.135)*24634.6345,1),"")</f>
        <v/>
      </c>
      <c r="H3838">
        <f>IF(B3838,SQRT(-2*LN(F3838))*COS(2*PI()*G3838),"")</f>
        <v/>
      </c>
      <c r="I3838">
        <f>IF(B3838,IF(D3838=0,H3838,Rho*I3837+SQRT(1-Rho^2)*H3838),"")</f>
        <v/>
      </c>
      <c r="J3838">
        <f>IF(B3838,IF(Dist="Normal",DistA+DistB*I3838,DistA+(DistB-DistA)*NORMSDIST(I3838)),"")</f>
        <v/>
      </c>
      <c r="K3838">
        <f>IF(B3838,INDEX(MineScale,C3838),"")</f>
        <v/>
      </c>
      <c r="L3838">
        <f>IF(B3838,INDEX(Dow,1,WEEKDAY(E3838,2)),"")</f>
        <v/>
      </c>
      <c r="M3838">
        <f>IF(B3838,(1+Trend)^D3838,"")</f>
        <v/>
      </c>
      <c r="N3838">
        <f>IF(B3838,EXP(SUMPRODUCT(LN(1+(EvEff-1)*INDEX(Affected,0,C3838)*EXP(-((E3838-EvCenter)^2)/(2*EvSigma^2))))),"")</f>
        <v/>
      </c>
      <c r="O3838">
        <f>IF(B3838,ROUND(MAX(0,J3838*K3838*L3838*M3838*N3838),2),"")</f>
        <v/>
      </c>
    </row>
    <row r="3839">
      <c r="A3839" t="n">
        <v>3838</v>
      </c>
      <c r="B3839">
        <f>A3839&lt;=MineCount*Days</f>
        <v/>
      </c>
      <c r="C3839">
        <f>IF(B3839,INT((A3839-1)/Days)+1,"")</f>
        <v/>
      </c>
      <c r="D3839">
        <f>IF(B3839,MOD(A3839-1,Days),"")</f>
        <v/>
      </c>
      <c r="E3839" s="16">
        <f>IF(B3839,StartDate+D3839,"")</f>
        <v/>
      </c>
      <c r="F3839">
        <f>IF(B3839,MAX(MOD(SIN(Seed*0.1373+C3839*12.9898+D3839*78.233)*43758.5453,1),1E-9),"")</f>
        <v/>
      </c>
      <c r="G3839">
        <f>IF(B3839,MOD(SIN(Seed*0.5917+C3839*39.3468+D3839*11.135)*24634.6345,1),"")</f>
        <v/>
      </c>
      <c r="H3839">
        <f>IF(B3839,SQRT(-2*LN(F3839))*COS(2*PI()*G3839),"")</f>
        <v/>
      </c>
      <c r="I3839">
        <f>IF(B3839,IF(D3839=0,H3839,Rho*I3838+SQRT(1-Rho^2)*H3839),"")</f>
        <v/>
      </c>
      <c r="J3839">
        <f>IF(B3839,IF(Dist="Normal",DistA+DistB*I3839,DistA+(DistB-DistA)*NORMSDIST(I3839)),"")</f>
        <v/>
      </c>
      <c r="K3839">
        <f>IF(B3839,INDEX(MineScale,C3839),"")</f>
        <v/>
      </c>
      <c r="L3839">
        <f>IF(B3839,INDEX(Dow,1,WEEKDAY(E3839,2)),"")</f>
        <v/>
      </c>
      <c r="M3839">
        <f>IF(B3839,(1+Trend)^D3839,"")</f>
        <v/>
      </c>
      <c r="N3839">
        <f>IF(B3839,EXP(SUMPRODUCT(LN(1+(EvEff-1)*INDEX(Affected,0,C3839)*EXP(-((E3839-EvCenter)^2)/(2*EvSigma^2))))),"")</f>
        <v/>
      </c>
      <c r="O3839">
        <f>IF(B3839,ROUND(MAX(0,J3839*K3839*L3839*M3839*N3839),2),"")</f>
        <v/>
      </c>
    </row>
    <row r="3840">
      <c r="A3840" t="n">
        <v>3839</v>
      </c>
      <c r="B3840">
        <f>A3840&lt;=MineCount*Days</f>
        <v/>
      </c>
      <c r="C3840">
        <f>IF(B3840,INT((A3840-1)/Days)+1,"")</f>
        <v/>
      </c>
      <c r="D3840">
        <f>IF(B3840,MOD(A3840-1,Days),"")</f>
        <v/>
      </c>
      <c r="E3840" s="16">
        <f>IF(B3840,StartDate+D3840,"")</f>
        <v/>
      </c>
      <c r="F3840">
        <f>IF(B3840,MAX(MOD(SIN(Seed*0.1373+C3840*12.9898+D3840*78.233)*43758.5453,1),1E-9),"")</f>
        <v/>
      </c>
      <c r="G3840">
        <f>IF(B3840,MOD(SIN(Seed*0.5917+C3840*39.3468+D3840*11.135)*24634.6345,1),"")</f>
        <v/>
      </c>
      <c r="H3840">
        <f>IF(B3840,SQRT(-2*LN(F3840))*COS(2*PI()*G3840),"")</f>
        <v/>
      </c>
      <c r="I3840">
        <f>IF(B3840,IF(D3840=0,H3840,Rho*I3839+SQRT(1-Rho^2)*H3840),"")</f>
        <v/>
      </c>
      <c r="J3840">
        <f>IF(B3840,IF(Dist="Normal",DistA+DistB*I3840,DistA+(DistB-DistA)*NORMSDIST(I3840)),"")</f>
        <v/>
      </c>
      <c r="K3840">
        <f>IF(B3840,INDEX(MineScale,C3840),"")</f>
        <v/>
      </c>
      <c r="L3840">
        <f>IF(B3840,INDEX(Dow,1,WEEKDAY(E3840,2)),"")</f>
        <v/>
      </c>
      <c r="M3840">
        <f>IF(B3840,(1+Trend)^D3840,"")</f>
        <v/>
      </c>
      <c r="N3840">
        <f>IF(B3840,EXP(SUMPRODUCT(LN(1+(EvEff-1)*INDEX(Affected,0,C3840)*EXP(-((E3840-EvCenter)^2)/(2*EvSigma^2))))),"")</f>
        <v/>
      </c>
      <c r="O3840">
        <f>IF(B3840,ROUND(MAX(0,J3840*K3840*L3840*M3840*N3840),2),"")</f>
        <v/>
      </c>
    </row>
    <row r="3841">
      <c r="A3841" t="n">
        <v>3840</v>
      </c>
      <c r="B3841">
        <f>A3841&lt;=MineCount*Days</f>
        <v/>
      </c>
      <c r="C3841">
        <f>IF(B3841,INT((A3841-1)/Days)+1,"")</f>
        <v/>
      </c>
      <c r="D3841">
        <f>IF(B3841,MOD(A3841-1,Days),"")</f>
        <v/>
      </c>
      <c r="E3841" s="16">
        <f>IF(B3841,StartDate+D3841,"")</f>
        <v/>
      </c>
      <c r="F3841">
        <f>IF(B3841,MAX(MOD(SIN(Seed*0.1373+C3841*12.9898+D3841*78.233)*43758.5453,1),1E-9),"")</f>
        <v/>
      </c>
      <c r="G3841">
        <f>IF(B3841,MOD(SIN(Seed*0.5917+C3841*39.3468+D3841*11.135)*24634.6345,1),"")</f>
        <v/>
      </c>
      <c r="H3841">
        <f>IF(B3841,SQRT(-2*LN(F3841))*COS(2*PI()*G3841),"")</f>
        <v/>
      </c>
      <c r="I3841">
        <f>IF(B3841,IF(D3841=0,H3841,Rho*I3840+SQRT(1-Rho^2)*H3841),"")</f>
        <v/>
      </c>
      <c r="J3841">
        <f>IF(B3841,IF(Dist="Normal",DistA+DistB*I3841,DistA+(DistB-DistA)*NORMSDIST(I3841)),"")</f>
        <v/>
      </c>
      <c r="K3841">
        <f>IF(B3841,INDEX(MineScale,C3841),"")</f>
        <v/>
      </c>
      <c r="L3841">
        <f>IF(B3841,INDEX(Dow,1,WEEKDAY(E3841,2)),"")</f>
        <v/>
      </c>
      <c r="M3841">
        <f>IF(B3841,(1+Trend)^D3841,"")</f>
        <v/>
      </c>
      <c r="N3841">
        <f>IF(B3841,EXP(SUMPRODUCT(LN(1+(EvEff-1)*INDEX(Affected,0,C3841)*EXP(-((E3841-EvCenter)^2)/(2*EvSigma^2))))),"")</f>
        <v/>
      </c>
      <c r="O3841">
        <f>IF(B3841,ROUND(MAX(0,J3841*K3841*L3841*M3841*N3841),2),"")</f>
        <v/>
      </c>
    </row>
    <row r="3842">
      <c r="A3842" t="n">
        <v>3841</v>
      </c>
      <c r="B3842">
        <f>A3842&lt;=MineCount*Days</f>
        <v/>
      </c>
      <c r="C3842">
        <f>IF(B3842,INT((A3842-1)/Days)+1,"")</f>
        <v/>
      </c>
      <c r="D3842">
        <f>IF(B3842,MOD(A3842-1,Days),"")</f>
        <v/>
      </c>
      <c r="E3842" s="16">
        <f>IF(B3842,StartDate+D3842,"")</f>
        <v/>
      </c>
      <c r="F3842">
        <f>IF(B3842,MAX(MOD(SIN(Seed*0.1373+C3842*12.9898+D3842*78.233)*43758.5453,1),1E-9),"")</f>
        <v/>
      </c>
      <c r="G3842">
        <f>IF(B3842,MOD(SIN(Seed*0.5917+C3842*39.3468+D3842*11.135)*24634.6345,1),"")</f>
        <v/>
      </c>
      <c r="H3842">
        <f>IF(B3842,SQRT(-2*LN(F3842))*COS(2*PI()*G3842),"")</f>
        <v/>
      </c>
      <c r="I3842">
        <f>IF(B3842,IF(D3842=0,H3842,Rho*I3841+SQRT(1-Rho^2)*H3842),"")</f>
        <v/>
      </c>
      <c r="J3842">
        <f>IF(B3842,IF(Dist="Normal",DistA+DistB*I3842,DistA+(DistB-DistA)*NORMSDIST(I3842)),"")</f>
        <v/>
      </c>
      <c r="K3842">
        <f>IF(B3842,INDEX(MineScale,C3842),"")</f>
        <v/>
      </c>
      <c r="L3842">
        <f>IF(B3842,INDEX(Dow,1,WEEKDAY(E3842,2)),"")</f>
        <v/>
      </c>
      <c r="M3842">
        <f>IF(B3842,(1+Trend)^D3842,"")</f>
        <v/>
      </c>
      <c r="N3842">
        <f>IF(B3842,EXP(SUMPRODUCT(LN(1+(EvEff-1)*INDEX(Affected,0,C3842)*EXP(-((E3842-EvCenter)^2)/(2*EvSigma^2))))),"")</f>
        <v/>
      </c>
      <c r="O3842">
        <f>IF(B3842,ROUND(MAX(0,J3842*K3842*L3842*M3842*N3842),2),"")</f>
        <v/>
      </c>
    </row>
    <row r="3843">
      <c r="A3843" t="n">
        <v>3842</v>
      </c>
      <c r="B3843">
        <f>A3843&lt;=MineCount*Days</f>
        <v/>
      </c>
      <c r="C3843">
        <f>IF(B3843,INT((A3843-1)/Days)+1,"")</f>
        <v/>
      </c>
      <c r="D3843">
        <f>IF(B3843,MOD(A3843-1,Days),"")</f>
        <v/>
      </c>
      <c r="E3843" s="16">
        <f>IF(B3843,StartDate+D3843,"")</f>
        <v/>
      </c>
      <c r="F3843">
        <f>IF(B3843,MAX(MOD(SIN(Seed*0.1373+C3843*12.9898+D3843*78.233)*43758.5453,1),1E-9),"")</f>
        <v/>
      </c>
      <c r="G3843">
        <f>IF(B3843,MOD(SIN(Seed*0.5917+C3843*39.3468+D3843*11.135)*24634.6345,1),"")</f>
        <v/>
      </c>
      <c r="H3843">
        <f>IF(B3843,SQRT(-2*LN(F3843))*COS(2*PI()*G3843),"")</f>
        <v/>
      </c>
      <c r="I3843">
        <f>IF(B3843,IF(D3843=0,H3843,Rho*I3842+SQRT(1-Rho^2)*H3843),"")</f>
        <v/>
      </c>
      <c r="J3843">
        <f>IF(B3843,IF(Dist="Normal",DistA+DistB*I3843,DistA+(DistB-DistA)*NORMSDIST(I3843)),"")</f>
        <v/>
      </c>
      <c r="K3843">
        <f>IF(B3843,INDEX(MineScale,C3843),"")</f>
        <v/>
      </c>
      <c r="L3843">
        <f>IF(B3843,INDEX(Dow,1,WEEKDAY(E3843,2)),"")</f>
        <v/>
      </c>
      <c r="M3843">
        <f>IF(B3843,(1+Trend)^D3843,"")</f>
        <v/>
      </c>
      <c r="N3843">
        <f>IF(B3843,EXP(SUMPRODUCT(LN(1+(EvEff-1)*INDEX(Affected,0,C3843)*EXP(-((E3843-EvCenter)^2)/(2*EvSigma^2))))),"")</f>
        <v/>
      </c>
      <c r="O3843">
        <f>IF(B3843,ROUND(MAX(0,J3843*K3843*L3843*M3843*N3843),2),"")</f>
        <v/>
      </c>
    </row>
    <row r="3844">
      <c r="A3844" t="n">
        <v>3843</v>
      </c>
      <c r="B3844">
        <f>A3844&lt;=MineCount*Days</f>
        <v/>
      </c>
      <c r="C3844">
        <f>IF(B3844,INT((A3844-1)/Days)+1,"")</f>
        <v/>
      </c>
      <c r="D3844">
        <f>IF(B3844,MOD(A3844-1,Days),"")</f>
        <v/>
      </c>
      <c r="E3844" s="16">
        <f>IF(B3844,StartDate+D3844,"")</f>
        <v/>
      </c>
      <c r="F3844">
        <f>IF(B3844,MAX(MOD(SIN(Seed*0.1373+C3844*12.9898+D3844*78.233)*43758.5453,1),1E-9),"")</f>
        <v/>
      </c>
      <c r="G3844">
        <f>IF(B3844,MOD(SIN(Seed*0.5917+C3844*39.3468+D3844*11.135)*24634.6345,1),"")</f>
        <v/>
      </c>
      <c r="H3844">
        <f>IF(B3844,SQRT(-2*LN(F3844))*COS(2*PI()*G3844),"")</f>
        <v/>
      </c>
      <c r="I3844">
        <f>IF(B3844,IF(D3844=0,H3844,Rho*I3843+SQRT(1-Rho^2)*H3844),"")</f>
        <v/>
      </c>
      <c r="J3844">
        <f>IF(B3844,IF(Dist="Normal",DistA+DistB*I3844,DistA+(DistB-DistA)*NORMSDIST(I3844)),"")</f>
        <v/>
      </c>
      <c r="K3844">
        <f>IF(B3844,INDEX(MineScale,C3844),"")</f>
        <v/>
      </c>
      <c r="L3844">
        <f>IF(B3844,INDEX(Dow,1,WEEKDAY(E3844,2)),"")</f>
        <v/>
      </c>
      <c r="M3844">
        <f>IF(B3844,(1+Trend)^D3844,"")</f>
        <v/>
      </c>
      <c r="N3844">
        <f>IF(B3844,EXP(SUMPRODUCT(LN(1+(EvEff-1)*INDEX(Affected,0,C3844)*EXP(-((E3844-EvCenter)^2)/(2*EvSigma^2))))),"")</f>
        <v/>
      </c>
      <c r="O3844">
        <f>IF(B3844,ROUND(MAX(0,J3844*K3844*L3844*M3844*N3844),2),"")</f>
        <v/>
      </c>
    </row>
    <row r="3845">
      <c r="A3845" t="n">
        <v>3844</v>
      </c>
      <c r="B3845">
        <f>A3845&lt;=MineCount*Days</f>
        <v/>
      </c>
      <c r="C3845">
        <f>IF(B3845,INT((A3845-1)/Days)+1,"")</f>
        <v/>
      </c>
      <c r="D3845">
        <f>IF(B3845,MOD(A3845-1,Days),"")</f>
        <v/>
      </c>
      <c r="E3845" s="16">
        <f>IF(B3845,StartDate+D3845,"")</f>
        <v/>
      </c>
      <c r="F3845">
        <f>IF(B3845,MAX(MOD(SIN(Seed*0.1373+C3845*12.9898+D3845*78.233)*43758.5453,1),1E-9),"")</f>
        <v/>
      </c>
      <c r="G3845">
        <f>IF(B3845,MOD(SIN(Seed*0.5917+C3845*39.3468+D3845*11.135)*24634.6345,1),"")</f>
        <v/>
      </c>
      <c r="H3845">
        <f>IF(B3845,SQRT(-2*LN(F3845))*COS(2*PI()*G3845),"")</f>
        <v/>
      </c>
      <c r="I3845">
        <f>IF(B3845,IF(D3845=0,H3845,Rho*I3844+SQRT(1-Rho^2)*H3845),"")</f>
        <v/>
      </c>
      <c r="J3845">
        <f>IF(B3845,IF(Dist="Normal",DistA+DistB*I3845,DistA+(DistB-DistA)*NORMSDIST(I3845)),"")</f>
        <v/>
      </c>
      <c r="K3845">
        <f>IF(B3845,INDEX(MineScale,C3845),"")</f>
        <v/>
      </c>
      <c r="L3845">
        <f>IF(B3845,INDEX(Dow,1,WEEKDAY(E3845,2)),"")</f>
        <v/>
      </c>
      <c r="M3845">
        <f>IF(B3845,(1+Trend)^D3845,"")</f>
        <v/>
      </c>
      <c r="N3845">
        <f>IF(B3845,EXP(SUMPRODUCT(LN(1+(EvEff-1)*INDEX(Affected,0,C3845)*EXP(-((E3845-EvCenter)^2)/(2*EvSigma^2))))),"")</f>
        <v/>
      </c>
      <c r="O3845">
        <f>IF(B3845,ROUND(MAX(0,J3845*K3845*L3845*M3845*N3845),2),"")</f>
        <v/>
      </c>
    </row>
    <row r="3846">
      <c r="A3846" t="n">
        <v>3845</v>
      </c>
      <c r="B3846">
        <f>A3846&lt;=MineCount*Days</f>
        <v/>
      </c>
      <c r="C3846">
        <f>IF(B3846,INT((A3846-1)/Days)+1,"")</f>
        <v/>
      </c>
      <c r="D3846">
        <f>IF(B3846,MOD(A3846-1,Days),"")</f>
        <v/>
      </c>
      <c r="E3846" s="16">
        <f>IF(B3846,StartDate+D3846,"")</f>
        <v/>
      </c>
      <c r="F3846">
        <f>IF(B3846,MAX(MOD(SIN(Seed*0.1373+C3846*12.9898+D3846*78.233)*43758.5453,1),1E-9),"")</f>
        <v/>
      </c>
      <c r="G3846">
        <f>IF(B3846,MOD(SIN(Seed*0.5917+C3846*39.3468+D3846*11.135)*24634.6345,1),"")</f>
        <v/>
      </c>
      <c r="H3846">
        <f>IF(B3846,SQRT(-2*LN(F3846))*COS(2*PI()*G3846),"")</f>
        <v/>
      </c>
      <c r="I3846">
        <f>IF(B3846,IF(D3846=0,H3846,Rho*I3845+SQRT(1-Rho^2)*H3846),"")</f>
        <v/>
      </c>
      <c r="J3846">
        <f>IF(B3846,IF(Dist="Normal",DistA+DistB*I3846,DistA+(DistB-DistA)*NORMSDIST(I3846)),"")</f>
        <v/>
      </c>
      <c r="K3846">
        <f>IF(B3846,INDEX(MineScale,C3846),"")</f>
        <v/>
      </c>
      <c r="L3846">
        <f>IF(B3846,INDEX(Dow,1,WEEKDAY(E3846,2)),"")</f>
        <v/>
      </c>
      <c r="M3846">
        <f>IF(B3846,(1+Trend)^D3846,"")</f>
        <v/>
      </c>
      <c r="N3846">
        <f>IF(B3846,EXP(SUMPRODUCT(LN(1+(EvEff-1)*INDEX(Affected,0,C3846)*EXP(-((E3846-EvCenter)^2)/(2*EvSigma^2))))),"")</f>
        <v/>
      </c>
      <c r="O3846">
        <f>IF(B3846,ROUND(MAX(0,J3846*K3846*L3846*M3846*N3846),2),"")</f>
        <v/>
      </c>
    </row>
    <row r="3847">
      <c r="A3847" t="n">
        <v>3846</v>
      </c>
      <c r="B3847">
        <f>A3847&lt;=MineCount*Days</f>
        <v/>
      </c>
      <c r="C3847">
        <f>IF(B3847,INT((A3847-1)/Days)+1,"")</f>
        <v/>
      </c>
      <c r="D3847">
        <f>IF(B3847,MOD(A3847-1,Days),"")</f>
        <v/>
      </c>
      <c r="E3847" s="16">
        <f>IF(B3847,StartDate+D3847,"")</f>
        <v/>
      </c>
      <c r="F3847">
        <f>IF(B3847,MAX(MOD(SIN(Seed*0.1373+C3847*12.9898+D3847*78.233)*43758.5453,1),1E-9),"")</f>
        <v/>
      </c>
      <c r="G3847">
        <f>IF(B3847,MOD(SIN(Seed*0.5917+C3847*39.3468+D3847*11.135)*24634.6345,1),"")</f>
        <v/>
      </c>
      <c r="H3847">
        <f>IF(B3847,SQRT(-2*LN(F3847))*COS(2*PI()*G3847),"")</f>
        <v/>
      </c>
      <c r="I3847">
        <f>IF(B3847,IF(D3847=0,H3847,Rho*I3846+SQRT(1-Rho^2)*H3847),"")</f>
        <v/>
      </c>
      <c r="J3847">
        <f>IF(B3847,IF(Dist="Normal",DistA+DistB*I3847,DistA+(DistB-DistA)*NORMSDIST(I3847)),"")</f>
        <v/>
      </c>
      <c r="K3847">
        <f>IF(B3847,INDEX(MineScale,C3847),"")</f>
        <v/>
      </c>
      <c r="L3847">
        <f>IF(B3847,INDEX(Dow,1,WEEKDAY(E3847,2)),"")</f>
        <v/>
      </c>
      <c r="M3847">
        <f>IF(B3847,(1+Trend)^D3847,"")</f>
        <v/>
      </c>
      <c r="N3847">
        <f>IF(B3847,EXP(SUMPRODUCT(LN(1+(EvEff-1)*INDEX(Affected,0,C3847)*EXP(-((E3847-EvCenter)^2)/(2*EvSigma^2))))),"")</f>
        <v/>
      </c>
      <c r="O3847">
        <f>IF(B3847,ROUND(MAX(0,J3847*K3847*L3847*M3847*N3847),2),"")</f>
        <v/>
      </c>
    </row>
    <row r="3848">
      <c r="A3848" t="n">
        <v>3847</v>
      </c>
      <c r="B3848">
        <f>A3848&lt;=MineCount*Days</f>
        <v/>
      </c>
      <c r="C3848">
        <f>IF(B3848,INT((A3848-1)/Days)+1,"")</f>
        <v/>
      </c>
      <c r="D3848">
        <f>IF(B3848,MOD(A3848-1,Days),"")</f>
        <v/>
      </c>
      <c r="E3848" s="16">
        <f>IF(B3848,StartDate+D3848,"")</f>
        <v/>
      </c>
      <c r="F3848">
        <f>IF(B3848,MAX(MOD(SIN(Seed*0.1373+C3848*12.9898+D3848*78.233)*43758.5453,1),1E-9),"")</f>
        <v/>
      </c>
      <c r="G3848">
        <f>IF(B3848,MOD(SIN(Seed*0.5917+C3848*39.3468+D3848*11.135)*24634.6345,1),"")</f>
        <v/>
      </c>
      <c r="H3848">
        <f>IF(B3848,SQRT(-2*LN(F3848))*COS(2*PI()*G3848),"")</f>
        <v/>
      </c>
      <c r="I3848">
        <f>IF(B3848,IF(D3848=0,H3848,Rho*I3847+SQRT(1-Rho^2)*H3848),"")</f>
        <v/>
      </c>
      <c r="J3848">
        <f>IF(B3848,IF(Dist="Normal",DistA+DistB*I3848,DistA+(DistB-DistA)*NORMSDIST(I3848)),"")</f>
        <v/>
      </c>
      <c r="K3848">
        <f>IF(B3848,INDEX(MineScale,C3848),"")</f>
        <v/>
      </c>
      <c r="L3848">
        <f>IF(B3848,INDEX(Dow,1,WEEKDAY(E3848,2)),"")</f>
        <v/>
      </c>
      <c r="M3848">
        <f>IF(B3848,(1+Trend)^D3848,"")</f>
        <v/>
      </c>
      <c r="N3848">
        <f>IF(B3848,EXP(SUMPRODUCT(LN(1+(EvEff-1)*INDEX(Affected,0,C3848)*EXP(-((E3848-EvCenter)^2)/(2*EvSigma^2))))),"")</f>
        <v/>
      </c>
      <c r="O3848">
        <f>IF(B3848,ROUND(MAX(0,J3848*K3848*L3848*M3848*N3848),2),"")</f>
        <v/>
      </c>
    </row>
    <row r="3849">
      <c r="A3849" t="n">
        <v>3848</v>
      </c>
      <c r="B3849">
        <f>A3849&lt;=MineCount*Days</f>
        <v/>
      </c>
      <c r="C3849">
        <f>IF(B3849,INT((A3849-1)/Days)+1,"")</f>
        <v/>
      </c>
      <c r="D3849">
        <f>IF(B3849,MOD(A3849-1,Days),"")</f>
        <v/>
      </c>
      <c r="E3849" s="16">
        <f>IF(B3849,StartDate+D3849,"")</f>
        <v/>
      </c>
      <c r="F3849">
        <f>IF(B3849,MAX(MOD(SIN(Seed*0.1373+C3849*12.9898+D3849*78.233)*43758.5453,1),1E-9),"")</f>
        <v/>
      </c>
      <c r="G3849">
        <f>IF(B3849,MOD(SIN(Seed*0.5917+C3849*39.3468+D3849*11.135)*24634.6345,1),"")</f>
        <v/>
      </c>
      <c r="H3849">
        <f>IF(B3849,SQRT(-2*LN(F3849))*COS(2*PI()*G3849),"")</f>
        <v/>
      </c>
      <c r="I3849">
        <f>IF(B3849,IF(D3849=0,H3849,Rho*I3848+SQRT(1-Rho^2)*H3849),"")</f>
        <v/>
      </c>
      <c r="J3849">
        <f>IF(B3849,IF(Dist="Normal",DistA+DistB*I3849,DistA+(DistB-DistA)*NORMSDIST(I3849)),"")</f>
        <v/>
      </c>
      <c r="K3849">
        <f>IF(B3849,INDEX(MineScale,C3849),"")</f>
        <v/>
      </c>
      <c r="L3849">
        <f>IF(B3849,INDEX(Dow,1,WEEKDAY(E3849,2)),"")</f>
        <v/>
      </c>
      <c r="M3849">
        <f>IF(B3849,(1+Trend)^D3849,"")</f>
        <v/>
      </c>
      <c r="N3849">
        <f>IF(B3849,EXP(SUMPRODUCT(LN(1+(EvEff-1)*INDEX(Affected,0,C3849)*EXP(-((E3849-EvCenter)^2)/(2*EvSigma^2))))),"")</f>
        <v/>
      </c>
      <c r="O3849">
        <f>IF(B3849,ROUND(MAX(0,J3849*K3849*L3849*M3849*N3849),2),"")</f>
        <v/>
      </c>
    </row>
    <row r="3850">
      <c r="A3850" t="n">
        <v>3849</v>
      </c>
      <c r="B3850">
        <f>A3850&lt;=MineCount*Days</f>
        <v/>
      </c>
      <c r="C3850">
        <f>IF(B3850,INT((A3850-1)/Days)+1,"")</f>
        <v/>
      </c>
      <c r="D3850">
        <f>IF(B3850,MOD(A3850-1,Days),"")</f>
        <v/>
      </c>
      <c r="E3850" s="16">
        <f>IF(B3850,StartDate+D3850,"")</f>
        <v/>
      </c>
      <c r="F3850">
        <f>IF(B3850,MAX(MOD(SIN(Seed*0.1373+C3850*12.9898+D3850*78.233)*43758.5453,1),1E-9),"")</f>
        <v/>
      </c>
      <c r="G3850">
        <f>IF(B3850,MOD(SIN(Seed*0.5917+C3850*39.3468+D3850*11.135)*24634.6345,1),"")</f>
        <v/>
      </c>
      <c r="H3850">
        <f>IF(B3850,SQRT(-2*LN(F3850))*COS(2*PI()*G3850),"")</f>
        <v/>
      </c>
      <c r="I3850">
        <f>IF(B3850,IF(D3850=0,H3850,Rho*I3849+SQRT(1-Rho^2)*H3850),"")</f>
        <v/>
      </c>
      <c r="J3850">
        <f>IF(B3850,IF(Dist="Normal",DistA+DistB*I3850,DistA+(DistB-DistA)*NORMSDIST(I3850)),"")</f>
        <v/>
      </c>
      <c r="K3850">
        <f>IF(B3850,INDEX(MineScale,C3850),"")</f>
        <v/>
      </c>
      <c r="L3850">
        <f>IF(B3850,INDEX(Dow,1,WEEKDAY(E3850,2)),"")</f>
        <v/>
      </c>
      <c r="M3850">
        <f>IF(B3850,(1+Trend)^D3850,"")</f>
        <v/>
      </c>
      <c r="N3850">
        <f>IF(B3850,EXP(SUMPRODUCT(LN(1+(EvEff-1)*INDEX(Affected,0,C3850)*EXP(-((E3850-EvCenter)^2)/(2*EvSigma^2))))),"")</f>
        <v/>
      </c>
      <c r="O3850">
        <f>IF(B3850,ROUND(MAX(0,J3850*K3850*L3850*M3850*N3850),2),"")</f>
        <v/>
      </c>
    </row>
    <row r="3851">
      <c r="A3851" t="n">
        <v>3850</v>
      </c>
      <c r="B3851">
        <f>A3851&lt;=MineCount*Days</f>
        <v/>
      </c>
      <c r="C3851">
        <f>IF(B3851,INT((A3851-1)/Days)+1,"")</f>
        <v/>
      </c>
      <c r="D3851">
        <f>IF(B3851,MOD(A3851-1,Days),"")</f>
        <v/>
      </c>
      <c r="E3851" s="16">
        <f>IF(B3851,StartDate+D3851,"")</f>
        <v/>
      </c>
      <c r="F3851">
        <f>IF(B3851,MAX(MOD(SIN(Seed*0.1373+C3851*12.9898+D3851*78.233)*43758.5453,1),1E-9),"")</f>
        <v/>
      </c>
      <c r="G3851">
        <f>IF(B3851,MOD(SIN(Seed*0.5917+C3851*39.3468+D3851*11.135)*24634.6345,1),"")</f>
        <v/>
      </c>
      <c r="H3851">
        <f>IF(B3851,SQRT(-2*LN(F3851))*COS(2*PI()*G3851),"")</f>
        <v/>
      </c>
      <c r="I3851">
        <f>IF(B3851,IF(D3851=0,H3851,Rho*I3850+SQRT(1-Rho^2)*H3851),"")</f>
        <v/>
      </c>
      <c r="J3851">
        <f>IF(B3851,IF(Dist="Normal",DistA+DistB*I3851,DistA+(DistB-DistA)*NORMSDIST(I3851)),"")</f>
        <v/>
      </c>
      <c r="K3851">
        <f>IF(B3851,INDEX(MineScale,C3851),"")</f>
        <v/>
      </c>
      <c r="L3851">
        <f>IF(B3851,INDEX(Dow,1,WEEKDAY(E3851,2)),"")</f>
        <v/>
      </c>
      <c r="M3851">
        <f>IF(B3851,(1+Trend)^D3851,"")</f>
        <v/>
      </c>
      <c r="N3851">
        <f>IF(B3851,EXP(SUMPRODUCT(LN(1+(EvEff-1)*INDEX(Affected,0,C3851)*EXP(-((E3851-EvCenter)^2)/(2*EvSigma^2))))),"")</f>
        <v/>
      </c>
      <c r="O3851">
        <f>IF(B3851,ROUND(MAX(0,J3851*K3851*L3851*M3851*N3851),2),"")</f>
        <v/>
      </c>
    </row>
    <row r="3852">
      <c r="A3852" t="n">
        <v>3851</v>
      </c>
      <c r="B3852">
        <f>A3852&lt;=MineCount*Days</f>
        <v/>
      </c>
      <c r="C3852">
        <f>IF(B3852,INT((A3852-1)/Days)+1,"")</f>
        <v/>
      </c>
      <c r="D3852">
        <f>IF(B3852,MOD(A3852-1,Days),"")</f>
        <v/>
      </c>
      <c r="E3852" s="16">
        <f>IF(B3852,StartDate+D3852,"")</f>
        <v/>
      </c>
      <c r="F3852">
        <f>IF(B3852,MAX(MOD(SIN(Seed*0.1373+C3852*12.9898+D3852*78.233)*43758.5453,1),1E-9),"")</f>
        <v/>
      </c>
      <c r="G3852">
        <f>IF(B3852,MOD(SIN(Seed*0.5917+C3852*39.3468+D3852*11.135)*24634.6345,1),"")</f>
        <v/>
      </c>
      <c r="H3852">
        <f>IF(B3852,SQRT(-2*LN(F3852))*COS(2*PI()*G3852),"")</f>
        <v/>
      </c>
      <c r="I3852">
        <f>IF(B3852,IF(D3852=0,H3852,Rho*I3851+SQRT(1-Rho^2)*H3852),"")</f>
        <v/>
      </c>
      <c r="J3852">
        <f>IF(B3852,IF(Dist="Normal",DistA+DistB*I3852,DistA+(DistB-DistA)*NORMSDIST(I3852)),"")</f>
        <v/>
      </c>
      <c r="K3852">
        <f>IF(B3852,INDEX(MineScale,C3852),"")</f>
        <v/>
      </c>
      <c r="L3852">
        <f>IF(B3852,INDEX(Dow,1,WEEKDAY(E3852,2)),"")</f>
        <v/>
      </c>
      <c r="M3852">
        <f>IF(B3852,(1+Trend)^D3852,"")</f>
        <v/>
      </c>
      <c r="N3852">
        <f>IF(B3852,EXP(SUMPRODUCT(LN(1+(EvEff-1)*INDEX(Affected,0,C3852)*EXP(-((E3852-EvCenter)^2)/(2*EvSigma^2))))),"")</f>
        <v/>
      </c>
      <c r="O3852">
        <f>IF(B3852,ROUND(MAX(0,J3852*K3852*L3852*M3852*N3852),2),"")</f>
        <v/>
      </c>
    </row>
    <row r="3853">
      <c r="A3853" t="n">
        <v>3852</v>
      </c>
      <c r="B3853">
        <f>A3853&lt;=MineCount*Days</f>
        <v/>
      </c>
      <c r="C3853">
        <f>IF(B3853,INT((A3853-1)/Days)+1,"")</f>
        <v/>
      </c>
      <c r="D3853">
        <f>IF(B3853,MOD(A3853-1,Days),"")</f>
        <v/>
      </c>
      <c r="E3853" s="16">
        <f>IF(B3853,StartDate+D3853,"")</f>
        <v/>
      </c>
      <c r="F3853">
        <f>IF(B3853,MAX(MOD(SIN(Seed*0.1373+C3853*12.9898+D3853*78.233)*43758.5453,1),1E-9),"")</f>
        <v/>
      </c>
      <c r="G3853">
        <f>IF(B3853,MOD(SIN(Seed*0.5917+C3853*39.3468+D3853*11.135)*24634.6345,1),"")</f>
        <v/>
      </c>
      <c r="H3853">
        <f>IF(B3853,SQRT(-2*LN(F3853))*COS(2*PI()*G3853),"")</f>
        <v/>
      </c>
      <c r="I3853">
        <f>IF(B3853,IF(D3853=0,H3853,Rho*I3852+SQRT(1-Rho^2)*H3853),"")</f>
        <v/>
      </c>
      <c r="J3853">
        <f>IF(B3853,IF(Dist="Normal",DistA+DistB*I3853,DistA+(DistB-DistA)*NORMSDIST(I3853)),"")</f>
        <v/>
      </c>
      <c r="K3853">
        <f>IF(B3853,INDEX(MineScale,C3853),"")</f>
        <v/>
      </c>
      <c r="L3853">
        <f>IF(B3853,INDEX(Dow,1,WEEKDAY(E3853,2)),"")</f>
        <v/>
      </c>
      <c r="M3853">
        <f>IF(B3853,(1+Trend)^D3853,"")</f>
        <v/>
      </c>
      <c r="N3853">
        <f>IF(B3853,EXP(SUMPRODUCT(LN(1+(EvEff-1)*INDEX(Affected,0,C3853)*EXP(-((E3853-EvCenter)^2)/(2*EvSigma^2))))),"")</f>
        <v/>
      </c>
      <c r="O3853">
        <f>IF(B3853,ROUND(MAX(0,J3853*K3853*L3853*M3853*N3853),2),"")</f>
        <v/>
      </c>
    </row>
    <row r="3854">
      <c r="A3854" t="n">
        <v>3853</v>
      </c>
      <c r="B3854">
        <f>A3854&lt;=MineCount*Days</f>
        <v/>
      </c>
      <c r="C3854">
        <f>IF(B3854,INT((A3854-1)/Days)+1,"")</f>
        <v/>
      </c>
      <c r="D3854">
        <f>IF(B3854,MOD(A3854-1,Days),"")</f>
        <v/>
      </c>
      <c r="E3854" s="16">
        <f>IF(B3854,StartDate+D3854,"")</f>
        <v/>
      </c>
      <c r="F3854">
        <f>IF(B3854,MAX(MOD(SIN(Seed*0.1373+C3854*12.9898+D3854*78.233)*43758.5453,1),1E-9),"")</f>
        <v/>
      </c>
      <c r="G3854">
        <f>IF(B3854,MOD(SIN(Seed*0.5917+C3854*39.3468+D3854*11.135)*24634.6345,1),"")</f>
        <v/>
      </c>
      <c r="H3854">
        <f>IF(B3854,SQRT(-2*LN(F3854))*COS(2*PI()*G3854),"")</f>
        <v/>
      </c>
      <c r="I3854">
        <f>IF(B3854,IF(D3854=0,H3854,Rho*I3853+SQRT(1-Rho^2)*H3854),"")</f>
        <v/>
      </c>
      <c r="J3854">
        <f>IF(B3854,IF(Dist="Normal",DistA+DistB*I3854,DistA+(DistB-DistA)*NORMSDIST(I3854)),"")</f>
        <v/>
      </c>
      <c r="K3854">
        <f>IF(B3854,INDEX(MineScale,C3854),"")</f>
        <v/>
      </c>
      <c r="L3854">
        <f>IF(B3854,INDEX(Dow,1,WEEKDAY(E3854,2)),"")</f>
        <v/>
      </c>
      <c r="M3854">
        <f>IF(B3854,(1+Trend)^D3854,"")</f>
        <v/>
      </c>
      <c r="N3854">
        <f>IF(B3854,EXP(SUMPRODUCT(LN(1+(EvEff-1)*INDEX(Affected,0,C3854)*EXP(-((E3854-EvCenter)^2)/(2*EvSigma^2))))),"")</f>
        <v/>
      </c>
      <c r="O3854">
        <f>IF(B3854,ROUND(MAX(0,J3854*K3854*L3854*M3854*N3854),2),"")</f>
        <v/>
      </c>
    </row>
    <row r="3855">
      <c r="A3855" t="n">
        <v>3854</v>
      </c>
      <c r="B3855">
        <f>A3855&lt;=MineCount*Days</f>
        <v/>
      </c>
      <c r="C3855">
        <f>IF(B3855,INT((A3855-1)/Days)+1,"")</f>
        <v/>
      </c>
      <c r="D3855">
        <f>IF(B3855,MOD(A3855-1,Days),"")</f>
        <v/>
      </c>
      <c r="E3855" s="16">
        <f>IF(B3855,StartDate+D3855,"")</f>
        <v/>
      </c>
      <c r="F3855">
        <f>IF(B3855,MAX(MOD(SIN(Seed*0.1373+C3855*12.9898+D3855*78.233)*43758.5453,1),1E-9),"")</f>
        <v/>
      </c>
      <c r="G3855">
        <f>IF(B3855,MOD(SIN(Seed*0.5917+C3855*39.3468+D3855*11.135)*24634.6345,1),"")</f>
        <v/>
      </c>
      <c r="H3855">
        <f>IF(B3855,SQRT(-2*LN(F3855))*COS(2*PI()*G3855),"")</f>
        <v/>
      </c>
      <c r="I3855">
        <f>IF(B3855,IF(D3855=0,H3855,Rho*I3854+SQRT(1-Rho^2)*H3855),"")</f>
        <v/>
      </c>
      <c r="J3855">
        <f>IF(B3855,IF(Dist="Normal",DistA+DistB*I3855,DistA+(DistB-DistA)*NORMSDIST(I3855)),"")</f>
        <v/>
      </c>
      <c r="K3855">
        <f>IF(B3855,INDEX(MineScale,C3855),"")</f>
        <v/>
      </c>
      <c r="L3855">
        <f>IF(B3855,INDEX(Dow,1,WEEKDAY(E3855,2)),"")</f>
        <v/>
      </c>
      <c r="M3855">
        <f>IF(B3855,(1+Trend)^D3855,"")</f>
        <v/>
      </c>
      <c r="N3855">
        <f>IF(B3855,EXP(SUMPRODUCT(LN(1+(EvEff-1)*INDEX(Affected,0,C3855)*EXP(-((E3855-EvCenter)^2)/(2*EvSigma^2))))),"")</f>
        <v/>
      </c>
      <c r="O3855">
        <f>IF(B3855,ROUND(MAX(0,J3855*K3855*L3855*M3855*N3855),2),"")</f>
        <v/>
      </c>
    </row>
    <row r="3856">
      <c r="A3856" t="n">
        <v>3855</v>
      </c>
      <c r="B3856">
        <f>A3856&lt;=MineCount*Days</f>
        <v/>
      </c>
      <c r="C3856">
        <f>IF(B3856,INT((A3856-1)/Days)+1,"")</f>
        <v/>
      </c>
      <c r="D3856">
        <f>IF(B3856,MOD(A3856-1,Days),"")</f>
        <v/>
      </c>
      <c r="E3856" s="16">
        <f>IF(B3856,StartDate+D3856,"")</f>
        <v/>
      </c>
      <c r="F3856">
        <f>IF(B3856,MAX(MOD(SIN(Seed*0.1373+C3856*12.9898+D3856*78.233)*43758.5453,1),1E-9),"")</f>
        <v/>
      </c>
      <c r="G3856">
        <f>IF(B3856,MOD(SIN(Seed*0.5917+C3856*39.3468+D3856*11.135)*24634.6345,1),"")</f>
        <v/>
      </c>
      <c r="H3856">
        <f>IF(B3856,SQRT(-2*LN(F3856))*COS(2*PI()*G3856),"")</f>
        <v/>
      </c>
      <c r="I3856">
        <f>IF(B3856,IF(D3856=0,H3856,Rho*I3855+SQRT(1-Rho^2)*H3856),"")</f>
        <v/>
      </c>
      <c r="J3856">
        <f>IF(B3856,IF(Dist="Normal",DistA+DistB*I3856,DistA+(DistB-DistA)*NORMSDIST(I3856)),"")</f>
        <v/>
      </c>
      <c r="K3856">
        <f>IF(B3856,INDEX(MineScale,C3856),"")</f>
        <v/>
      </c>
      <c r="L3856">
        <f>IF(B3856,INDEX(Dow,1,WEEKDAY(E3856,2)),"")</f>
        <v/>
      </c>
      <c r="M3856">
        <f>IF(B3856,(1+Trend)^D3856,"")</f>
        <v/>
      </c>
      <c r="N3856">
        <f>IF(B3856,EXP(SUMPRODUCT(LN(1+(EvEff-1)*INDEX(Affected,0,C3856)*EXP(-((E3856-EvCenter)^2)/(2*EvSigma^2))))),"")</f>
        <v/>
      </c>
      <c r="O3856">
        <f>IF(B3856,ROUND(MAX(0,J3856*K3856*L3856*M3856*N3856),2),"")</f>
        <v/>
      </c>
    </row>
    <row r="3857">
      <c r="A3857" t="n">
        <v>3856</v>
      </c>
      <c r="B3857">
        <f>A3857&lt;=MineCount*Days</f>
        <v/>
      </c>
      <c r="C3857">
        <f>IF(B3857,INT((A3857-1)/Days)+1,"")</f>
        <v/>
      </c>
      <c r="D3857">
        <f>IF(B3857,MOD(A3857-1,Days),"")</f>
        <v/>
      </c>
      <c r="E3857" s="16">
        <f>IF(B3857,StartDate+D3857,"")</f>
        <v/>
      </c>
      <c r="F3857">
        <f>IF(B3857,MAX(MOD(SIN(Seed*0.1373+C3857*12.9898+D3857*78.233)*43758.5453,1),1E-9),"")</f>
        <v/>
      </c>
      <c r="G3857">
        <f>IF(B3857,MOD(SIN(Seed*0.5917+C3857*39.3468+D3857*11.135)*24634.6345,1),"")</f>
        <v/>
      </c>
      <c r="H3857">
        <f>IF(B3857,SQRT(-2*LN(F3857))*COS(2*PI()*G3857),"")</f>
        <v/>
      </c>
      <c r="I3857">
        <f>IF(B3857,IF(D3857=0,H3857,Rho*I3856+SQRT(1-Rho^2)*H3857),"")</f>
        <v/>
      </c>
      <c r="J3857">
        <f>IF(B3857,IF(Dist="Normal",DistA+DistB*I3857,DistA+(DistB-DistA)*NORMSDIST(I3857)),"")</f>
        <v/>
      </c>
      <c r="K3857">
        <f>IF(B3857,INDEX(MineScale,C3857),"")</f>
        <v/>
      </c>
      <c r="L3857">
        <f>IF(B3857,INDEX(Dow,1,WEEKDAY(E3857,2)),"")</f>
        <v/>
      </c>
      <c r="M3857">
        <f>IF(B3857,(1+Trend)^D3857,"")</f>
        <v/>
      </c>
      <c r="N3857">
        <f>IF(B3857,EXP(SUMPRODUCT(LN(1+(EvEff-1)*INDEX(Affected,0,C3857)*EXP(-((E3857-EvCenter)^2)/(2*EvSigma^2))))),"")</f>
        <v/>
      </c>
      <c r="O3857">
        <f>IF(B3857,ROUND(MAX(0,J3857*K3857*L3857*M3857*N3857),2),"")</f>
        <v/>
      </c>
    </row>
    <row r="3858">
      <c r="A3858" t="n">
        <v>3857</v>
      </c>
      <c r="B3858">
        <f>A3858&lt;=MineCount*Days</f>
        <v/>
      </c>
      <c r="C3858">
        <f>IF(B3858,INT((A3858-1)/Days)+1,"")</f>
        <v/>
      </c>
      <c r="D3858">
        <f>IF(B3858,MOD(A3858-1,Days),"")</f>
        <v/>
      </c>
      <c r="E3858" s="16">
        <f>IF(B3858,StartDate+D3858,"")</f>
        <v/>
      </c>
      <c r="F3858">
        <f>IF(B3858,MAX(MOD(SIN(Seed*0.1373+C3858*12.9898+D3858*78.233)*43758.5453,1),1E-9),"")</f>
        <v/>
      </c>
      <c r="G3858">
        <f>IF(B3858,MOD(SIN(Seed*0.5917+C3858*39.3468+D3858*11.135)*24634.6345,1),"")</f>
        <v/>
      </c>
      <c r="H3858">
        <f>IF(B3858,SQRT(-2*LN(F3858))*COS(2*PI()*G3858),"")</f>
        <v/>
      </c>
      <c r="I3858">
        <f>IF(B3858,IF(D3858=0,H3858,Rho*I3857+SQRT(1-Rho^2)*H3858),"")</f>
        <v/>
      </c>
      <c r="J3858">
        <f>IF(B3858,IF(Dist="Normal",DistA+DistB*I3858,DistA+(DistB-DistA)*NORMSDIST(I3858)),"")</f>
        <v/>
      </c>
      <c r="K3858">
        <f>IF(B3858,INDEX(MineScale,C3858),"")</f>
        <v/>
      </c>
      <c r="L3858">
        <f>IF(B3858,INDEX(Dow,1,WEEKDAY(E3858,2)),"")</f>
        <v/>
      </c>
      <c r="M3858">
        <f>IF(B3858,(1+Trend)^D3858,"")</f>
        <v/>
      </c>
      <c r="N3858">
        <f>IF(B3858,EXP(SUMPRODUCT(LN(1+(EvEff-1)*INDEX(Affected,0,C3858)*EXP(-((E3858-EvCenter)^2)/(2*EvSigma^2))))),"")</f>
        <v/>
      </c>
      <c r="O3858">
        <f>IF(B3858,ROUND(MAX(0,J3858*K3858*L3858*M3858*N3858),2),"")</f>
        <v/>
      </c>
    </row>
    <row r="3859">
      <c r="A3859" t="n">
        <v>3858</v>
      </c>
      <c r="B3859">
        <f>A3859&lt;=MineCount*Days</f>
        <v/>
      </c>
      <c r="C3859">
        <f>IF(B3859,INT((A3859-1)/Days)+1,"")</f>
        <v/>
      </c>
      <c r="D3859">
        <f>IF(B3859,MOD(A3859-1,Days),"")</f>
        <v/>
      </c>
      <c r="E3859" s="16">
        <f>IF(B3859,StartDate+D3859,"")</f>
        <v/>
      </c>
      <c r="F3859">
        <f>IF(B3859,MAX(MOD(SIN(Seed*0.1373+C3859*12.9898+D3859*78.233)*43758.5453,1),1E-9),"")</f>
        <v/>
      </c>
      <c r="G3859">
        <f>IF(B3859,MOD(SIN(Seed*0.5917+C3859*39.3468+D3859*11.135)*24634.6345,1),"")</f>
        <v/>
      </c>
      <c r="H3859">
        <f>IF(B3859,SQRT(-2*LN(F3859))*COS(2*PI()*G3859),"")</f>
        <v/>
      </c>
      <c r="I3859">
        <f>IF(B3859,IF(D3859=0,H3859,Rho*I3858+SQRT(1-Rho^2)*H3859),"")</f>
        <v/>
      </c>
      <c r="J3859">
        <f>IF(B3859,IF(Dist="Normal",DistA+DistB*I3859,DistA+(DistB-DistA)*NORMSDIST(I3859)),"")</f>
        <v/>
      </c>
      <c r="K3859">
        <f>IF(B3859,INDEX(MineScale,C3859),"")</f>
        <v/>
      </c>
      <c r="L3859">
        <f>IF(B3859,INDEX(Dow,1,WEEKDAY(E3859,2)),"")</f>
        <v/>
      </c>
      <c r="M3859">
        <f>IF(B3859,(1+Trend)^D3859,"")</f>
        <v/>
      </c>
      <c r="N3859">
        <f>IF(B3859,EXP(SUMPRODUCT(LN(1+(EvEff-1)*INDEX(Affected,0,C3859)*EXP(-((E3859-EvCenter)^2)/(2*EvSigma^2))))),"")</f>
        <v/>
      </c>
      <c r="O3859">
        <f>IF(B3859,ROUND(MAX(0,J3859*K3859*L3859*M3859*N3859),2),"")</f>
        <v/>
      </c>
    </row>
    <row r="3860">
      <c r="A3860" t="n">
        <v>3859</v>
      </c>
      <c r="B3860">
        <f>A3860&lt;=MineCount*Days</f>
        <v/>
      </c>
      <c r="C3860">
        <f>IF(B3860,INT((A3860-1)/Days)+1,"")</f>
        <v/>
      </c>
      <c r="D3860">
        <f>IF(B3860,MOD(A3860-1,Days),"")</f>
        <v/>
      </c>
      <c r="E3860" s="16">
        <f>IF(B3860,StartDate+D3860,"")</f>
        <v/>
      </c>
      <c r="F3860">
        <f>IF(B3860,MAX(MOD(SIN(Seed*0.1373+C3860*12.9898+D3860*78.233)*43758.5453,1),1E-9),"")</f>
        <v/>
      </c>
      <c r="G3860">
        <f>IF(B3860,MOD(SIN(Seed*0.5917+C3860*39.3468+D3860*11.135)*24634.6345,1),"")</f>
        <v/>
      </c>
      <c r="H3860">
        <f>IF(B3860,SQRT(-2*LN(F3860))*COS(2*PI()*G3860),"")</f>
        <v/>
      </c>
      <c r="I3860">
        <f>IF(B3860,IF(D3860=0,H3860,Rho*I3859+SQRT(1-Rho^2)*H3860),"")</f>
        <v/>
      </c>
      <c r="J3860">
        <f>IF(B3860,IF(Dist="Normal",DistA+DistB*I3860,DistA+(DistB-DistA)*NORMSDIST(I3860)),"")</f>
        <v/>
      </c>
      <c r="K3860">
        <f>IF(B3860,INDEX(MineScale,C3860),"")</f>
        <v/>
      </c>
      <c r="L3860">
        <f>IF(B3860,INDEX(Dow,1,WEEKDAY(E3860,2)),"")</f>
        <v/>
      </c>
      <c r="M3860">
        <f>IF(B3860,(1+Trend)^D3860,"")</f>
        <v/>
      </c>
      <c r="N3860">
        <f>IF(B3860,EXP(SUMPRODUCT(LN(1+(EvEff-1)*INDEX(Affected,0,C3860)*EXP(-((E3860-EvCenter)^2)/(2*EvSigma^2))))),"")</f>
        <v/>
      </c>
      <c r="O3860">
        <f>IF(B3860,ROUND(MAX(0,J3860*K3860*L3860*M3860*N3860),2),"")</f>
        <v/>
      </c>
    </row>
    <row r="3861">
      <c r="A3861" t="n">
        <v>3860</v>
      </c>
      <c r="B3861">
        <f>A3861&lt;=MineCount*Days</f>
        <v/>
      </c>
      <c r="C3861">
        <f>IF(B3861,INT((A3861-1)/Days)+1,"")</f>
        <v/>
      </c>
      <c r="D3861">
        <f>IF(B3861,MOD(A3861-1,Days),"")</f>
        <v/>
      </c>
      <c r="E3861" s="16">
        <f>IF(B3861,StartDate+D3861,"")</f>
        <v/>
      </c>
      <c r="F3861">
        <f>IF(B3861,MAX(MOD(SIN(Seed*0.1373+C3861*12.9898+D3861*78.233)*43758.5453,1),1E-9),"")</f>
        <v/>
      </c>
      <c r="G3861">
        <f>IF(B3861,MOD(SIN(Seed*0.5917+C3861*39.3468+D3861*11.135)*24634.6345,1),"")</f>
        <v/>
      </c>
      <c r="H3861">
        <f>IF(B3861,SQRT(-2*LN(F3861))*COS(2*PI()*G3861),"")</f>
        <v/>
      </c>
      <c r="I3861">
        <f>IF(B3861,IF(D3861=0,H3861,Rho*I3860+SQRT(1-Rho^2)*H3861),"")</f>
        <v/>
      </c>
      <c r="J3861">
        <f>IF(B3861,IF(Dist="Normal",DistA+DistB*I3861,DistA+(DistB-DistA)*NORMSDIST(I3861)),"")</f>
        <v/>
      </c>
      <c r="K3861">
        <f>IF(B3861,INDEX(MineScale,C3861),"")</f>
        <v/>
      </c>
      <c r="L3861">
        <f>IF(B3861,INDEX(Dow,1,WEEKDAY(E3861,2)),"")</f>
        <v/>
      </c>
      <c r="M3861">
        <f>IF(B3861,(1+Trend)^D3861,"")</f>
        <v/>
      </c>
      <c r="N3861">
        <f>IF(B3861,EXP(SUMPRODUCT(LN(1+(EvEff-1)*INDEX(Affected,0,C3861)*EXP(-((E3861-EvCenter)^2)/(2*EvSigma^2))))),"")</f>
        <v/>
      </c>
      <c r="O3861">
        <f>IF(B3861,ROUND(MAX(0,J3861*K3861*L3861*M3861*N3861),2),"")</f>
        <v/>
      </c>
    </row>
    <row r="3862">
      <c r="A3862" t="n">
        <v>3861</v>
      </c>
      <c r="B3862">
        <f>A3862&lt;=MineCount*Days</f>
        <v/>
      </c>
      <c r="C3862">
        <f>IF(B3862,INT((A3862-1)/Days)+1,"")</f>
        <v/>
      </c>
      <c r="D3862">
        <f>IF(B3862,MOD(A3862-1,Days),"")</f>
        <v/>
      </c>
      <c r="E3862" s="16">
        <f>IF(B3862,StartDate+D3862,"")</f>
        <v/>
      </c>
      <c r="F3862">
        <f>IF(B3862,MAX(MOD(SIN(Seed*0.1373+C3862*12.9898+D3862*78.233)*43758.5453,1),1E-9),"")</f>
        <v/>
      </c>
      <c r="G3862">
        <f>IF(B3862,MOD(SIN(Seed*0.5917+C3862*39.3468+D3862*11.135)*24634.6345,1),"")</f>
        <v/>
      </c>
      <c r="H3862">
        <f>IF(B3862,SQRT(-2*LN(F3862))*COS(2*PI()*G3862),"")</f>
        <v/>
      </c>
      <c r="I3862">
        <f>IF(B3862,IF(D3862=0,H3862,Rho*I3861+SQRT(1-Rho^2)*H3862),"")</f>
        <v/>
      </c>
      <c r="J3862">
        <f>IF(B3862,IF(Dist="Normal",DistA+DistB*I3862,DistA+(DistB-DistA)*NORMSDIST(I3862)),"")</f>
        <v/>
      </c>
      <c r="K3862">
        <f>IF(B3862,INDEX(MineScale,C3862),"")</f>
        <v/>
      </c>
      <c r="L3862">
        <f>IF(B3862,INDEX(Dow,1,WEEKDAY(E3862,2)),"")</f>
        <v/>
      </c>
      <c r="M3862">
        <f>IF(B3862,(1+Trend)^D3862,"")</f>
        <v/>
      </c>
      <c r="N3862">
        <f>IF(B3862,EXP(SUMPRODUCT(LN(1+(EvEff-1)*INDEX(Affected,0,C3862)*EXP(-((E3862-EvCenter)^2)/(2*EvSigma^2))))),"")</f>
        <v/>
      </c>
      <c r="O3862">
        <f>IF(B3862,ROUND(MAX(0,J3862*K3862*L3862*M3862*N3862),2),"")</f>
        <v/>
      </c>
    </row>
    <row r="3863">
      <c r="A3863" t="n">
        <v>3862</v>
      </c>
      <c r="B3863">
        <f>A3863&lt;=MineCount*Days</f>
        <v/>
      </c>
      <c r="C3863">
        <f>IF(B3863,INT((A3863-1)/Days)+1,"")</f>
        <v/>
      </c>
      <c r="D3863">
        <f>IF(B3863,MOD(A3863-1,Days),"")</f>
        <v/>
      </c>
      <c r="E3863" s="16">
        <f>IF(B3863,StartDate+D3863,"")</f>
        <v/>
      </c>
      <c r="F3863">
        <f>IF(B3863,MAX(MOD(SIN(Seed*0.1373+C3863*12.9898+D3863*78.233)*43758.5453,1),1E-9),"")</f>
        <v/>
      </c>
      <c r="G3863">
        <f>IF(B3863,MOD(SIN(Seed*0.5917+C3863*39.3468+D3863*11.135)*24634.6345,1),"")</f>
        <v/>
      </c>
      <c r="H3863">
        <f>IF(B3863,SQRT(-2*LN(F3863))*COS(2*PI()*G3863),"")</f>
        <v/>
      </c>
      <c r="I3863">
        <f>IF(B3863,IF(D3863=0,H3863,Rho*I3862+SQRT(1-Rho^2)*H3863),"")</f>
        <v/>
      </c>
      <c r="J3863">
        <f>IF(B3863,IF(Dist="Normal",DistA+DistB*I3863,DistA+(DistB-DistA)*NORMSDIST(I3863)),"")</f>
        <v/>
      </c>
      <c r="K3863">
        <f>IF(B3863,INDEX(MineScale,C3863),"")</f>
        <v/>
      </c>
      <c r="L3863">
        <f>IF(B3863,INDEX(Dow,1,WEEKDAY(E3863,2)),"")</f>
        <v/>
      </c>
      <c r="M3863">
        <f>IF(B3863,(1+Trend)^D3863,"")</f>
        <v/>
      </c>
      <c r="N3863">
        <f>IF(B3863,EXP(SUMPRODUCT(LN(1+(EvEff-1)*INDEX(Affected,0,C3863)*EXP(-((E3863-EvCenter)^2)/(2*EvSigma^2))))),"")</f>
        <v/>
      </c>
      <c r="O3863">
        <f>IF(B3863,ROUND(MAX(0,J3863*K3863*L3863*M3863*N3863),2),"")</f>
        <v/>
      </c>
    </row>
    <row r="3864">
      <c r="A3864" t="n">
        <v>3863</v>
      </c>
      <c r="B3864">
        <f>A3864&lt;=MineCount*Days</f>
        <v/>
      </c>
      <c r="C3864">
        <f>IF(B3864,INT((A3864-1)/Days)+1,"")</f>
        <v/>
      </c>
      <c r="D3864">
        <f>IF(B3864,MOD(A3864-1,Days),"")</f>
        <v/>
      </c>
      <c r="E3864" s="16">
        <f>IF(B3864,StartDate+D3864,"")</f>
        <v/>
      </c>
      <c r="F3864">
        <f>IF(B3864,MAX(MOD(SIN(Seed*0.1373+C3864*12.9898+D3864*78.233)*43758.5453,1),1E-9),"")</f>
        <v/>
      </c>
      <c r="G3864">
        <f>IF(B3864,MOD(SIN(Seed*0.5917+C3864*39.3468+D3864*11.135)*24634.6345,1),"")</f>
        <v/>
      </c>
      <c r="H3864">
        <f>IF(B3864,SQRT(-2*LN(F3864))*COS(2*PI()*G3864),"")</f>
        <v/>
      </c>
      <c r="I3864">
        <f>IF(B3864,IF(D3864=0,H3864,Rho*I3863+SQRT(1-Rho^2)*H3864),"")</f>
        <v/>
      </c>
      <c r="J3864">
        <f>IF(B3864,IF(Dist="Normal",DistA+DistB*I3864,DistA+(DistB-DistA)*NORMSDIST(I3864)),"")</f>
        <v/>
      </c>
      <c r="K3864">
        <f>IF(B3864,INDEX(MineScale,C3864),"")</f>
        <v/>
      </c>
      <c r="L3864">
        <f>IF(B3864,INDEX(Dow,1,WEEKDAY(E3864,2)),"")</f>
        <v/>
      </c>
      <c r="M3864">
        <f>IF(B3864,(1+Trend)^D3864,"")</f>
        <v/>
      </c>
      <c r="N3864">
        <f>IF(B3864,EXP(SUMPRODUCT(LN(1+(EvEff-1)*INDEX(Affected,0,C3864)*EXP(-((E3864-EvCenter)^2)/(2*EvSigma^2))))),"")</f>
        <v/>
      </c>
      <c r="O3864">
        <f>IF(B3864,ROUND(MAX(0,J3864*K3864*L3864*M3864*N3864),2),"")</f>
        <v/>
      </c>
    </row>
    <row r="3865">
      <c r="A3865" t="n">
        <v>3864</v>
      </c>
      <c r="B3865">
        <f>A3865&lt;=MineCount*Days</f>
        <v/>
      </c>
      <c r="C3865">
        <f>IF(B3865,INT((A3865-1)/Days)+1,"")</f>
        <v/>
      </c>
      <c r="D3865">
        <f>IF(B3865,MOD(A3865-1,Days),"")</f>
        <v/>
      </c>
      <c r="E3865" s="16">
        <f>IF(B3865,StartDate+D3865,"")</f>
        <v/>
      </c>
      <c r="F3865">
        <f>IF(B3865,MAX(MOD(SIN(Seed*0.1373+C3865*12.9898+D3865*78.233)*43758.5453,1),1E-9),"")</f>
        <v/>
      </c>
      <c r="G3865">
        <f>IF(B3865,MOD(SIN(Seed*0.5917+C3865*39.3468+D3865*11.135)*24634.6345,1),"")</f>
        <v/>
      </c>
      <c r="H3865">
        <f>IF(B3865,SQRT(-2*LN(F3865))*COS(2*PI()*G3865),"")</f>
        <v/>
      </c>
      <c r="I3865">
        <f>IF(B3865,IF(D3865=0,H3865,Rho*I3864+SQRT(1-Rho^2)*H3865),"")</f>
        <v/>
      </c>
      <c r="J3865">
        <f>IF(B3865,IF(Dist="Normal",DistA+DistB*I3865,DistA+(DistB-DistA)*NORMSDIST(I3865)),"")</f>
        <v/>
      </c>
      <c r="K3865">
        <f>IF(B3865,INDEX(MineScale,C3865),"")</f>
        <v/>
      </c>
      <c r="L3865">
        <f>IF(B3865,INDEX(Dow,1,WEEKDAY(E3865,2)),"")</f>
        <v/>
      </c>
      <c r="M3865">
        <f>IF(B3865,(1+Trend)^D3865,"")</f>
        <v/>
      </c>
      <c r="N3865">
        <f>IF(B3865,EXP(SUMPRODUCT(LN(1+(EvEff-1)*INDEX(Affected,0,C3865)*EXP(-((E3865-EvCenter)^2)/(2*EvSigma^2))))),"")</f>
        <v/>
      </c>
      <c r="O3865">
        <f>IF(B3865,ROUND(MAX(0,J3865*K3865*L3865*M3865*N3865),2),"")</f>
        <v/>
      </c>
    </row>
    <row r="3866">
      <c r="A3866" t="n">
        <v>3865</v>
      </c>
      <c r="B3866">
        <f>A3866&lt;=MineCount*Days</f>
        <v/>
      </c>
      <c r="C3866">
        <f>IF(B3866,INT((A3866-1)/Days)+1,"")</f>
        <v/>
      </c>
      <c r="D3866">
        <f>IF(B3866,MOD(A3866-1,Days),"")</f>
        <v/>
      </c>
      <c r="E3866" s="16">
        <f>IF(B3866,StartDate+D3866,"")</f>
        <v/>
      </c>
      <c r="F3866">
        <f>IF(B3866,MAX(MOD(SIN(Seed*0.1373+C3866*12.9898+D3866*78.233)*43758.5453,1),1E-9),"")</f>
        <v/>
      </c>
      <c r="G3866">
        <f>IF(B3866,MOD(SIN(Seed*0.5917+C3866*39.3468+D3866*11.135)*24634.6345,1),"")</f>
        <v/>
      </c>
      <c r="H3866">
        <f>IF(B3866,SQRT(-2*LN(F3866))*COS(2*PI()*G3866),"")</f>
        <v/>
      </c>
      <c r="I3866">
        <f>IF(B3866,IF(D3866=0,H3866,Rho*I3865+SQRT(1-Rho^2)*H3866),"")</f>
        <v/>
      </c>
      <c r="J3866">
        <f>IF(B3866,IF(Dist="Normal",DistA+DistB*I3866,DistA+(DistB-DistA)*NORMSDIST(I3866)),"")</f>
        <v/>
      </c>
      <c r="K3866">
        <f>IF(B3866,INDEX(MineScale,C3866),"")</f>
        <v/>
      </c>
      <c r="L3866">
        <f>IF(B3866,INDEX(Dow,1,WEEKDAY(E3866,2)),"")</f>
        <v/>
      </c>
      <c r="M3866">
        <f>IF(B3866,(1+Trend)^D3866,"")</f>
        <v/>
      </c>
      <c r="N3866">
        <f>IF(B3866,EXP(SUMPRODUCT(LN(1+(EvEff-1)*INDEX(Affected,0,C3866)*EXP(-((E3866-EvCenter)^2)/(2*EvSigma^2))))),"")</f>
        <v/>
      </c>
      <c r="O3866">
        <f>IF(B3866,ROUND(MAX(0,J3866*K3866*L3866*M3866*N3866),2),"")</f>
        <v/>
      </c>
    </row>
    <row r="3867">
      <c r="A3867" t="n">
        <v>3866</v>
      </c>
      <c r="B3867">
        <f>A3867&lt;=MineCount*Days</f>
        <v/>
      </c>
      <c r="C3867">
        <f>IF(B3867,INT((A3867-1)/Days)+1,"")</f>
        <v/>
      </c>
      <c r="D3867">
        <f>IF(B3867,MOD(A3867-1,Days),"")</f>
        <v/>
      </c>
      <c r="E3867" s="16">
        <f>IF(B3867,StartDate+D3867,"")</f>
        <v/>
      </c>
      <c r="F3867">
        <f>IF(B3867,MAX(MOD(SIN(Seed*0.1373+C3867*12.9898+D3867*78.233)*43758.5453,1),1E-9),"")</f>
        <v/>
      </c>
      <c r="G3867">
        <f>IF(B3867,MOD(SIN(Seed*0.5917+C3867*39.3468+D3867*11.135)*24634.6345,1),"")</f>
        <v/>
      </c>
      <c r="H3867">
        <f>IF(B3867,SQRT(-2*LN(F3867))*COS(2*PI()*G3867),"")</f>
        <v/>
      </c>
      <c r="I3867">
        <f>IF(B3867,IF(D3867=0,H3867,Rho*I3866+SQRT(1-Rho^2)*H3867),"")</f>
        <v/>
      </c>
      <c r="J3867">
        <f>IF(B3867,IF(Dist="Normal",DistA+DistB*I3867,DistA+(DistB-DistA)*NORMSDIST(I3867)),"")</f>
        <v/>
      </c>
      <c r="K3867">
        <f>IF(B3867,INDEX(MineScale,C3867),"")</f>
        <v/>
      </c>
      <c r="L3867">
        <f>IF(B3867,INDEX(Dow,1,WEEKDAY(E3867,2)),"")</f>
        <v/>
      </c>
      <c r="M3867">
        <f>IF(B3867,(1+Trend)^D3867,"")</f>
        <v/>
      </c>
      <c r="N3867">
        <f>IF(B3867,EXP(SUMPRODUCT(LN(1+(EvEff-1)*INDEX(Affected,0,C3867)*EXP(-((E3867-EvCenter)^2)/(2*EvSigma^2))))),"")</f>
        <v/>
      </c>
      <c r="O3867">
        <f>IF(B3867,ROUND(MAX(0,J3867*K3867*L3867*M3867*N3867),2),"")</f>
        <v/>
      </c>
    </row>
    <row r="3868">
      <c r="A3868" t="n">
        <v>3867</v>
      </c>
      <c r="B3868">
        <f>A3868&lt;=MineCount*Days</f>
        <v/>
      </c>
      <c r="C3868">
        <f>IF(B3868,INT((A3868-1)/Days)+1,"")</f>
        <v/>
      </c>
      <c r="D3868">
        <f>IF(B3868,MOD(A3868-1,Days),"")</f>
        <v/>
      </c>
      <c r="E3868" s="16">
        <f>IF(B3868,StartDate+D3868,"")</f>
        <v/>
      </c>
      <c r="F3868">
        <f>IF(B3868,MAX(MOD(SIN(Seed*0.1373+C3868*12.9898+D3868*78.233)*43758.5453,1),1E-9),"")</f>
        <v/>
      </c>
      <c r="G3868">
        <f>IF(B3868,MOD(SIN(Seed*0.5917+C3868*39.3468+D3868*11.135)*24634.6345,1),"")</f>
        <v/>
      </c>
      <c r="H3868">
        <f>IF(B3868,SQRT(-2*LN(F3868))*COS(2*PI()*G3868),"")</f>
        <v/>
      </c>
      <c r="I3868">
        <f>IF(B3868,IF(D3868=0,H3868,Rho*I3867+SQRT(1-Rho^2)*H3868),"")</f>
        <v/>
      </c>
      <c r="J3868">
        <f>IF(B3868,IF(Dist="Normal",DistA+DistB*I3868,DistA+(DistB-DistA)*NORMSDIST(I3868)),"")</f>
        <v/>
      </c>
      <c r="K3868">
        <f>IF(B3868,INDEX(MineScale,C3868),"")</f>
        <v/>
      </c>
      <c r="L3868">
        <f>IF(B3868,INDEX(Dow,1,WEEKDAY(E3868,2)),"")</f>
        <v/>
      </c>
      <c r="M3868">
        <f>IF(B3868,(1+Trend)^D3868,"")</f>
        <v/>
      </c>
      <c r="N3868">
        <f>IF(B3868,EXP(SUMPRODUCT(LN(1+(EvEff-1)*INDEX(Affected,0,C3868)*EXP(-((E3868-EvCenter)^2)/(2*EvSigma^2))))),"")</f>
        <v/>
      </c>
      <c r="O3868">
        <f>IF(B3868,ROUND(MAX(0,J3868*K3868*L3868*M3868*N3868),2),"")</f>
        <v/>
      </c>
    </row>
    <row r="3869">
      <c r="A3869" t="n">
        <v>3868</v>
      </c>
      <c r="B3869">
        <f>A3869&lt;=MineCount*Days</f>
        <v/>
      </c>
      <c r="C3869">
        <f>IF(B3869,INT((A3869-1)/Days)+1,"")</f>
        <v/>
      </c>
      <c r="D3869">
        <f>IF(B3869,MOD(A3869-1,Days),"")</f>
        <v/>
      </c>
      <c r="E3869" s="16">
        <f>IF(B3869,StartDate+D3869,"")</f>
        <v/>
      </c>
      <c r="F3869">
        <f>IF(B3869,MAX(MOD(SIN(Seed*0.1373+C3869*12.9898+D3869*78.233)*43758.5453,1),1E-9),"")</f>
        <v/>
      </c>
      <c r="G3869">
        <f>IF(B3869,MOD(SIN(Seed*0.5917+C3869*39.3468+D3869*11.135)*24634.6345,1),"")</f>
        <v/>
      </c>
      <c r="H3869">
        <f>IF(B3869,SQRT(-2*LN(F3869))*COS(2*PI()*G3869),"")</f>
        <v/>
      </c>
      <c r="I3869">
        <f>IF(B3869,IF(D3869=0,H3869,Rho*I3868+SQRT(1-Rho^2)*H3869),"")</f>
        <v/>
      </c>
      <c r="J3869">
        <f>IF(B3869,IF(Dist="Normal",DistA+DistB*I3869,DistA+(DistB-DistA)*NORMSDIST(I3869)),"")</f>
        <v/>
      </c>
      <c r="K3869">
        <f>IF(B3869,INDEX(MineScale,C3869),"")</f>
        <v/>
      </c>
      <c r="L3869">
        <f>IF(B3869,INDEX(Dow,1,WEEKDAY(E3869,2)),"")</f>
        <v/>
      </c>
      <c r="M3869">
        <f>IF(B3869,(1+Trend)^D3869,"")</f>
        <v/>
      </c>
      <c r="N3869">
        <f>IF(B3869,EXP(SUMPRODUCT(LN(1+(EvEff-1)*INDEX(Affected,0,C3869)*EXP(-((E3869-EvCenter)^2)/(2*EvSigma^2))))),"")</f>
        <v/>
      </c>
      <c r="O3869">
        <f>IF(B3869,ROUND(MAX(0,J3869*K3869*L3869*M3869*N3869),2),"")</f>
        <v/>
      </c>
    </row>
    <row r="3870">
      <c r="A3870" t="n">
        <v>3869</v>
      </c>
      <c r="B3870">
        <f>A3870&lt;=MineCount*Days</f>
        <v/>
      </c>
      <c r="C3870">
        <f>IF(B3870,INT((A3870-1)/Days)+1,"")</f>
        <v/>
      </c>
      <c r="D3870">
        <f>IF(B3870,MOD(A3870-1,Days),"")</f>
        <v/>
      </c>
      <c r="E3870" s="16">
        <f>IF(B3870,StartDate+D3870,"")</f>
        <v/>
      </c>
      <c r="F3870">
        <f>IF(B3870,MAX(MOD(SIN(Seed*0.1373+C3870*12.9898+D3870*78.233)*43758.5453,1),1E-9),"")</f>
        <v/>
      </c>
      <c r="G3870">
        <f>IF(B3870,MOD(SIN(Seed*0.5917+C3870*39.3468+D3870*11.135)*24634.6345,1),"")</f>
        <v/>
      </c>
      <c r="H3870">
        <f>IF(B3870,SQRT(-2*LN(F3870))*COS(2*PI()*G3870),"")</f>
        <v/>
      </c>
      <c r="I3870">
        <f>IF(B3870,IF(D3870=0,H3870,Rho*I3869+SQRT(1-Rho^2)*H3870),"")</f>
        <v/>
      </c>
      <c r="J3870">
        <f>IF(B3870,IF(Dist="Normal",DistA+DistB*I3870,DistA+(DistB-DistA)*NORMSDIST(I3870)),"")</f>
        <v/>
      </c>
      <c r="K3870">
        <f>IF(B3870,INDEX(MineScale,C3870),"")</f>
        <v/>
      </c>
      <c r="L3870">
        <f>IF(B3870,INDEX(Dow,1,WEEKDAY(E3870,2)),"")</f>
        <v/>
      </c>
      <c r="M3870">
        <f>IF(B3870,(1+Trend)^D3870,"")</f>
        <v/>
      </c>
      <c r="N3870">
        <f>IF(B3870,EXP(SUMPRODUCT(LN(1+(EvEff-1)*INDEX(Affected,0,C3870)*EXP(-((E3870-EvCenter)^2)/(2*EvSigma^2))))),"")</f>
        <v/>
      </c>
      <c r="O3870">
        <f>IF(B3870,ROUND(MAX(0,J3870*K3870*L3870*M3870*N3870),2),"")</f>
        <v/>
      </c>
    </row>
    <row r="3871">
      <c r="A3871" t="n">
        <v>3870</v>
      </c>
      <c r="B3871">
        <f>A3871&lt;=MineCount*Days</f>
        <v/>
      </c>
      <c r="C3871">
        <f>IF(B3871,INT((A3871-1)/Days)+1,"")</f>
        <v/>
      </c>
      <c r="D3871">
        <f>IF(B3871,MOD(A3871-1,Days),"")</f>
        <v/>
      </c>
      <c r="E3871" s="16">
        <f>IF(B3871,StartDate+D3871,"")</f>
        <v/>
      </c>
      <c r="F3871">
        <f>IF(B3871,MAX(MOD(SIN(Seed*0.1373+C3871*12.9898+D3871*78.233)*43758.5453,1),1E-9),"")</f>
        <v/>
      </c>
      <c r="G3871">
        <f>IF(B3871,MOD(SIN(Seed*0.5917+C3871*39.3468+D3871*11.135)*24634.6345,1),"")</f>
        <v/>
      </c>
      <c r="H3871">
        <f>IF(B3871,SQRT(-2*LN(F3871))*COS(2*PI()*G3871),"")</f>
        <v/>
      </c>
      <c r="I3871">
        <f>IF(B3871,IF(D3871=0,H3871,Rho*I3870+SQRT(1-Rho^2)*H3871),"")</f>
        <v/>
      </c>
      <c r="J3871">
        <f>IF(B3871,IF(Dist="Normal",DistA+DistB*I3871,DistA+(DistB-DistA)*NORMSDIST(I3871)),"")</f>
        <v/>
      </c>
      <c r="K3871">
        <f>IF(B3871,INDEX(MineScale,C3871),"")</f>
        <v/>
      </c>
      <c r="L3871">
        <f>IF(B3871,INDEX(Dow,1,WEEKDAY(E3871,2)),"")</f>
        <v/>
      </c>
      <c r="M3871">
        <f>IF(B3871,(1+Trend)^D3871,"")</f>
        <v/>
      </c>
      <c r="N3871">
        <f>IF(B3871,EXP(SUMPRODUCT(LN(1+(EvEff-1)*INDEX(Affected,0,C3871)*EXP(-((E3871-EvCenter)^2)/(2*EvSigma^2))))),"")</f>
        <v/>
      </c>
      <c r="O3871">
        <f>IF(B3871,ROUND(MAX(0,J3871*K3871*L3871*M3871*N3871),2),"")</f>
        <v/>
      </c>
    </row>
    <row r="3872">
      <c r="A3872" t="n">
        <v>3871</v>
      </c>
      <c r="B3872">
        <f>A3872&lt;=MineCount*Days</f>
        <v/>
      </c>
      <c r="C3872">
        <f>IF(B3872,INT((A3872-1)/Days)+1,"")</f>
        <v/>
      </c>
      <c r="D3872">
        <f>IF(B3872,MOD(A3872-1,Days),"")</f>
        <v/>
      </c>
      <c r="E3872" s="16">
        <f>IF(B3872,StartDate+D3872,"")</f>
        <v/>
      </c>
      <c r="F3872">
        <f>IF(B3872,MAX(MOD(SIN(Seed*0.1373+C3872*12.9898+D3872*78.233)*43758.5453,1),1E-9),"")</f>
        <v/>
      </c>
      <c r="G3872">
        <f>IF(B3872,MOD(SIN(Seed*0.5917+C3872*39.3468+D3872*11.135)*24634.6345,1),"")</f>
        <v/>
      </c>
      <c r="H3872">
        <f>IF(B3872,SQRT(-2*LN(F3872))*COS(2*PI()*G3872),"")</f>
        <v/>
      </c>
      <c r="I3872">
        <f>IF(B3872,IF(D3872=0,H3872,Rho*I3871+SQRT(1-Rho^2)*H3872),"")</f>
        <v/>
      </c>
      <c r="J3872">
        <f>IF(B3872,IF(Dist="Normal",DistA+DistB*I3872,DistA+(DistB-DistA)*NORMSDIST(I3872)),"")</f>
        <v/>
      </c>
      <c r="K3872">
        <f>IF(B3872,INDEX(MineScale,C3872),"")</f>
        <v/>
      </c>
      <c r="L3872">
        <f>IF(B3872,INDEX(Dow,1,WEEKDAY(E3872,2)),"")</f>
        <v/>
      </c>
      <c r="M3872">
        <f>IF(B3872,(1+Trend)^D3872,"")</f>
        <v/>
      </c>
      <c r="N3872">
        <f>IF(B3872,EXP(SUMPRODUCT(LN(1+(EvEff-1)*INDEX(Affected,0,C3872)*EXP(-((E3872-EvCenter)^2)/(2*EvSigma^2))))),"")</f>
        <v/>
      </c>
      <c r="O3872">
        <f>IF(B3872,ROUND(MAX(0,J3872*K3872*L3872*M3872*N3872),2),"")</f>
        <v/>
      </c>
    </row>
    <row r="3873">
      <c r="A3873" t="n">
        <v>3872</v>
      </c>
      <c r="B3873">
        <f>A3873&lt;=MineCount*Days</f>
        <v/>
      </c>
      <c r="C3873">
        <f>IF(B3873,INT((A3873-1)/Days)+1,"")</f>
        <v/>
      </c>
      <c r="D3873">
        <f>IF(B3873,MOD(A3873-1,Days),"")</f>
        <v/>
      </c>
      <c r="E3873" s="16">
        <f>IF(B3873,StartDate+D3873,"")</f>
        <v/>
      </c>
      <c r="F3873">
        <f>IF(B3873,MAX(MOD(SIN(Seed*0.1373+C3873*12.9898+D3873*78.233)*43758.5453,1),1E-9),"")</f>
        <v/>
      </c>
      <c r="G3873">
        <f>IF(B3873,MOD(SIN(Seed*0.5917+C3873*39.3468+D3873*11.135)*24634.6345,1),"")</f>
        <v/>
      </c>
      <c r="H3873">
        <f>IF(B3873,SQRT(-2*LN(F3873))*COS(2*PI()*G3873),"")</f>
        <v/>
      </c>
      <c r="I3873">
        <f>IF(B3873,IF(D3873=0,H3873,Rho*I3872+SQRT(1-Rho^2)*H3873),"")</f>
        <v/>
      </c>
      <c r="J3873">
        <f>IF(B3873,IF(Dist="Normal",DistA+DistB*I3873,DistA+(DistB-DistA)*NORMSDIST(I3873)),"")</f>
        <v/>
      </c>
      <c r="K3873">
        <f>IF(B3873,INDEX(MineScale,C3873),"")</f>
        <v/>
      </c>
      <c r="L3873">
        <f>IF(B3873,INDEX(Dow,1,WEEKDAY(E3873,2)),"")</f>
        <v/>
      </c>
      <c r="M3873">
        <f>IF(B3873,(1+Trend)^D3873,"")</f>
        <v/>
      </c>
      <c r="N3873">
        <f>IF(B3873,EXP(SUMPRODUCT(LN(1+(EvEff-1)*INDEX(Affected,0,C3873)*EXP(-((E3873-EvCenter)^2)/(2*EvSigma^2))))),"")</f>
        <v/>
      </c>
      <c r="O3873">
        <f>IF(B3873,ROUND(MAX(0,J3873*K3873*L3873*M3873*N3873),2),"")</f>
        <v/>
      </c>
    </row>
    <row r="3874">
      <c r="A3874" t="n">
        <v>3873</v>
      </c>
      <c r="B3874">
        <f>A3874&lt;=MineCount*Days</f>
        <v/>
      </c>
      <c r="C3874">
        <f>IF(B3874,INT((A3874-1)/Days)+1,"")</f>
        <v/>
      </c>
      <c r="D3874">
        <f>IF(B3874,MOD(A3874-1,Days),"")</f>
        <v/>
      </c>
      <c r="E3874" s="16">
        <f>IF(B3874,StartDate+D3874,"")</f>
        <v/>
      </c>
      <c r="F3874">
        <f>IF(B3874,MAX(MOD(SIN(Seed*0.1373+C3874*12.9898+D3874*78.233)*43758.5453,1),1E-9),"")</f>
        <v/>
      </c>
      <c r="G3874">
        <f>IF(B3874,MOD(SIN(Seed*0.5917+C3874*39.3468+D3874*11.135)*24634.6345,1),"")</f>
        <v/>
      </c>
      <c r="H3874">
        <f>IF(B3874,SQRT(-2*LN(F3874))*COS(2*PI()*G3874),"")</f>
        <v/>
      </c>
      <c r="I3874">
        <f>IF(B3874,IF(D3874=0,H3874,Rho*I3873+SQRT(1-Rho^2)*H3874),"")</f>
        <v/>
      </c>
      <c r="J3874">
        <f>IF(B3874,IF(Dist="Normal",DistA+DistB*I3874,DistA+(DistB-DistA)*NORMSDIST(I3874)),"")</f>
        <v/>
      </c>
      <c r="K3874">
        <f>IF(B3874,INDEX(MineScale,C3874),"")</f>
        <v/>
      </c>
      <c r="L3874">
        <f>IF(B3874,INDEX(Dow,1,WEEKDAY(E3874,2)),"")</f>
        <v/>
      </c>
      <c r="M3874">
        <f>IF(B3874,(1+Trend)^D3874,"")</f>
        <v/>
      </c>
      <c r="N3874">
        <f>IF(B3874,EXP(SUMPRODUCT(LN(1+(EvEff-1)*INDEX(Affected,0,C3874)*EXP(-((E3874-EvCenter)^2)/(2*EvSigma^2))))),"")</f>
        <v/>
      </c>
      <c r="O3874">
        <f>IF(B3874,ROUND(MAX(0,J3874*K3874*L3874*M3874*N3874),2),"")</f>
        <v/>
      </c>
    </row>
    <row r="3875">
      <c r="A3875" t="n">
        <v>3874</v>
      </c>
      <c r="B3875">
        <f>A3875&lt;=MineCount*Days</f>
        <v/>
      </c>
      <c r="C3875">
        <f>IF(B3875,INT((A3875-1)/Days)+1,"")</f>
        <v/>
      </c>
      <c r="D3875">
        <f>IF(B3875,MOD(A3875-1,Days),"")</f>
        <v/>
      </c>
      <c r="E3875" s="16">
        <f>IF(B3875,StartDate+D3875,"")</f>
        <v/>
      </c>
      <c r="F3875">
        <f>IF(B3875,MAX(MOD(SIN(Seed*0.1373+C3875*12.9898+D3875*78.233)*43758.5453,1),1E-9),"")</f>
        <v/>
      </c>
      <c r="G3875">
        <f>IF(B3875,MOD(SIN(Seed*0.5917+C3875*39.3468+D3875*11.135)*24634.6345,1),"")</f>
        <v/>
      </c>
      <c r="H3875">
        <f>IF(B3875,SQRT(-2*LN(F3875))*COS(2*PI()*G3875),"")</f>
        <v/>
      </c>
      <c r="I3875">
        <f>IF(B3875,IF(D3875=0,H3875,Rho*I3874+SQRT(1-Rho^2)*H3875),"")</f>
        <v/>
      </c>
      <c r="J3875">
        <f>IF(B3875,IF(Dist="Normal",DistA+DistB*I3875,DistA+(DistB-DistA)*NORMSDIST(I3875)),"")</f>
        <v/>
      </c>
      <c r="K3875">
        <f>IF(B3875,INDEX(MineScale,C3875),"")</f>
        <v/>
      </c>
      <c r="L3875">
        <f>IF(B3875,INDEX(Dow,1,WEEKDAY(E3875,2)),"")</f>
        <v/>
      </c>
      <c r="M3875">
        <f>IF(B3875,(1+Trend)^D3875,"")</f>
        <v/>
      </c>
      <c r="N3875">
        <f>IF(B3875,EXP(SUMPRODUCT(LN(1+(EvEff-1)*INDEX(Affected,0,C3875)*EXP(-((E3875-EvCenter)^2)/(2*EvSigma^2))))),"")</f>
        <v/>
      </c>
      <c r="O3875">
        <f>IF(B3875,ROUND(MAX(0,J3875*K3875*L3875*M3875*N3875),2),"")</f>
        <v/>
      </c>
    </row>
    <row r="3876">
      <c r="A3876" t="n">
        <v>3875</v>
      </c>
      <c r="B3876">
        <f>A3876&lt;=MineCount*Days</f>
        <v/>
      </c>
      <c r="C3876">
        <f>IF(B3876,INT((A3876-1)/Days)+1,"")</f>
        <v/>
      </c>
      <c r="D3876">
        <f>IF(B3876,MOD(A3876-1,Days),"")</f>
        <v/>
      </c>
      <c r="E3876" s="16">
        <f>IF(B3876,StartDate+D3876,"")</f>
        <v/>
      </c>
      <c r="F3876">
        <f>IF(B3876,MAX(MOD(SIN(Seed*0.1373+C3876*12.9898+D3876*78.233)*43758.5453,1),1E-9),"")</f>
        <v/>
      </c>
      <c r="G3876">
        <f>IF(B3876,MOD(SIN(Seed*0.5917+C3876*39.3468+D3876*11.135)*24634.6345,1),"")</f>
        <v/>
      </c>
      <c r="H3876">
        <f>IF(B3876,SQRT(-2*LN(F3876))*COS(2*PI()*G3876),"")</f>
        <v/>
      </c>
      <c r="I3876">
        <f>IF(B3876,IF(D3876=0,H3876,Rho*I3875+SQRT(1-Rho^2)*H3876),"")</f>
        <v/>
      </c>
      <c r="J3876">
        <f>IF(B3876,IF(Dist="Normal",DistA+DistB*I3876,DistA+(DistB-DistA)*NORMSDIST(I3876)),"")</f>
        <v/>
      </c>
      <c r="K3876">
        <f>IF(B3876,INDEX(MineScale,C3876),"")</f>
        <v/>
      </c>
      <c r="L3876">
        <f>IF(B3876,INDEX(Dow,1,WEEKDAY(E3876,2)),"")</f>
        <v/>
      </c>
      <c r="M3876">
        <f>IF(B3876,(1+Trend)^D3876,"")</f>
        <v/>
      </c>
      <c r="N3876">
        <f>IF(B3876,EXP(SUMPRODUCT(LN(1+(EvEff-1)*INDEX(Affected,0,C3876)*EXP(-((E3876-EvCenter)^2)/(2*EvSigma^2))))),"")</f>
        <v/>
      </c>
      <c r="O3876">
        <f>IF(B3876,ROUND(MAX(0,J3876*K3876*L3876*M3876*N3876),2),"")</f>
        <v/>
      </c>
    </row>
    <row r="3877">
      <c r="A3877" t="n">
        <v>3876</v>
      </c>
      <c r="B3877">
        <f>A3877&lt;=MineCount*Days</f>
        <v/>
      </c>
      <c r="C3877">
        <f>IF(B3877,INT((A3877-1)/Days)+1,"")</f>
        <v/>
      </c>
      <c r="D3877">
        <f>IF(B3877,MOD(A3877-1,Days),"")</f>
        <v/>
      </c>
      <c r="E3877" s="16">
        <f>IF(B3877,StartDate+D3877,"")</f>
        <v/>
      </c>
      <c r="F3877">
        <f>IF(B3877,MAX(MOD(SIN(Seed*0.1373+C3877*12.9898+D3877*78.233)*43758.5453,1),1E-9),"")</f>
        <v/>
      </c>
      <c r="G3877">
        <f>IF(B3877,MOD(SIN(Seed*0.5917+C3877*39.3468+D3877*11.135)*24634.6345,1),"")</f>
        <v/>
      </c>
      <c r="H3877">
        <f>IF(B3877,SQRT(-2*LN(F3877))*COS(2*PI()*G3877),"")</f>
        <v/>
      </c>
      <c r="I3877">
        <f>IF(B3877,IF(D3877=0,H3877,Rho*I3876+SQRT(1-Rho^2)*H3877),"")</f>
        <v/>
      </c>
      <c r="J3877">
        <f>IF(B3877,IF(Dist="Normal",DistA+DistB*I3877,DistA+(DistB-DistA)*NORMSDIST(I3877)),"")</f>
        <v/>
      </c>
      <c r="K3877">
        <f>IF(B3877,INDEX(MineScale,C3877),"")</f>
        <v/>
      </c>
      <c r="L3877">
        <f>IF(B3877,INDEX(Dow,1,WEEKDAY(E3877,2)),"")</f>
        <v/>
      </c>
      <c r="M3877">
        <f>IF(B3877,(1+Trend)^D3877,"")</f>
        <v/>
      </c>
      <c r="N3877">
        <f>IF(B3877,EXP(SUMPRODUCT(LN(1+(EvEff-1)*INDEX(Affected,0,C3877)*EXP(-((E3877-EvCenter)^2)/(2*EvSigma^2))))),"")</f>
        <v/>
      </c>
      <c r="O3877">
        <f>IF(B3877,ROUND(MAX(0,J3877*K3877*L3877*M3877*N3877),2),"")</f>
        <v/>
      </c>
    </row>
    <row r="3878">
      <c r="A3878" t="n">
        <v>3877</v>
      </c>
      <c r="B3878">
        <f>A3878&lt;=MineCount*Days</f>
        <v/>
      </c>
      <c r="C3878">
        <f>IF(B3878,INT((A3878-1)/Days)+1,"")</f>
        <v/>
      </c>
      <c r="D3878">
        <f>IF(B3878,MOD(A3878-1,Days),"")</f>
        <v/>
      </c>
      <c r="E3878" s="16">
        <f>IF(B3878,StartDate+D3878,"")</f>
        <v/>
      </c>
      <c r="F3878">
        <f>IF(B3878,MAX(MOD(SIN(Seed*0.1373+C3878*12.9898+D3878*78.233)*43758.5453,1),1E-9),"")</f>
        <v/>
      </c>
      <c r="G3878">
        <f>IF(B3878,MOD(SIN(Seed*0.5917+C3878*39.3468+D3878*11.135)*24634.6345,1),"")</f>
        <v/>
      </c>
      <c r="H3878">
        <f>IF(B3878,SQRT(-2*LN(F3878))*COS(2*PI()*G3878),"")</f>
        <v/>
      </c>
      <c r="I3878">
        <f>IF(B3878,IF(D3878=0,H3878,Rho*I3877+SQRT(1-Rho^2)*H3878),"")</f>
        <v/>
      </c>
      <c r="J3878">
        <f>IF(B3878,IF(Dist="Normal",DistA+DistB*I3878,DistA+(DistB-DistA)*NORMSDIST(I3878)),"")</f>
        <v/>
      </c>
      <c r="K3878">
        <f>IF(B3878,INDEX(MineScale,C3878),"")</f>
        <v/>
      </c>
      <c r="L3878">
        <f>IF(B3878,INDEX(Dow,1,WEEKDAY(E3878,2)),"")</f>
        <v/>
      </c>
      <c r="M3878">
        <f>IF(B3878,(1+Trend)^D3878,"")</f>
        <v/>
      </c>
      <c r="N3878">
        <f>IF(B3878,EXP(SUMPRODUCT(LN(1+(EvEff-1)*INDEX(Affected,0,C3878)*EXP(-((E3878-EvCenter)^2)/(2*EvSigma^2))))),"")</f>
        <v/>
      </c>
      <c r="O3878">
        <f>IF(B3878,ROUND(MAX(0,J3878*K3878*L3878*M3878*N3878),2),"")</f>
        <v/>
      </c>
    </row>
    <row r="3879">
      <c r="A3879" t="n">
        <v>3878</v>
      </c>
      <c r="B3879">
        <f>A3879&lt;=MineCount*Days</f>
        <v/>
      </c>
      <c r="C3879">
        <f>IF(B3879,INT((A3879-1)/Days)+1,"")</f>
        <v/>
      </c>
      <c r="D3879">
        <f>IF(B3879,MOD(A3879-1,Days),"")</f>
        <v/>
      </c>
      <c r="E3879" s="16">
        <f>IF(B3879,StartDate+D3879,"")</f>
        <v/>
      </c>
      <c r="F3879">
        <f>IF(B3879,MAX(MOD(SIN(Seed*0.1373+C3879*12.9898+D3879*78.233)*43758.5453,1),1E-9),"")</f>
        <v/>
      </c>
      <c r="G3879">
        <f>IF(B3879,MOD(SIN(Seed*0.5917+C3879*39.3468+D3879*11.135)*24634.6345,1),"")</f>
        <v/>
      </c>
      <c r="H3879">
        <f>IF(B3879,SQRT(-2*LN(F3879))*COS(2*PI()*G3879),"")</f>
        <v/>
      </c>
      <c r="I3879">
        <f>IF(B3879,IF(D3879=0,H3879,Rho*I3878+SQRT(1-Rho^2)*H3879),"")</f>
        <v/>
      </c>
      <c r="J3879">
        <f>IF(B3879,IF(Dist="Normal",DistA+DistB*I3879,DistA+(DistB-DistA)*NORMSDIST(I3879)),"")</f>
        <v/>
      </c>
      <c r="K3879">
        <f>IF(B3879,INDEX(MineScale,C3879),"")</f>
        <v/>
      </c>
      <c r="L3879">
        <f>IF(B3879,INDEX(Dow,1,WEEKDAY(E3879,2)),"")</f>
        <v/>
      </c>
      <c r="M3879">
        <f>IF(B3879,(1+Trend)^D3879,"")</f>
        <v/>
      </c>
      <c r="N3879">
        <f>IF(B3879,EXP(SUMPRODUCT(LN(1+(EvEff-1)*INDEX(Affected,0,C3879)*EXP(-((E3879-EvCenter)^2)/(2*EvSigma^2))))),"")</f>
        <v/>
      </c>
      <c r="O3879">
        <f>IF(B3879,ROUND(MAX(0,J3879*K3879*L3879*M3879*N3879),2),"")</f>
        <v/>
      </c>
    </row>
    <row r="3880">
      <c r="A3880" t="n">
        <v>3879</v>
      </c>
      <c r="B3880">
        <f>A3880&lt;=MineCount*Days</f>
        <v/>
      </c>
      <c r="C3880">
        <f>IF(B3880,INT((A3880-1)/Days)+1,"")</f>
        <v/>
      </c>
      <c r="D3880">
        <f>IF(B3880,MOD(A3880-1,Days),"")</f>
        <v/>
      </c>
      <c r="E3880" s="16">
        <f>IF(B3880,StartDate+D3880,"")</f>
        <v/>
      </c>
      <c r="F3880">
        <f>IF(B3880,MAX(MOD(SIN(Seed*0.1373+C3880*12.9898+D3880*78.233)*43758.5453,1),1E-9),"")</f>
        <v/>
      </c>
      <c r="G3880">
        <f>IF(B3880,MOD(SIN(Seed*0.5917+C3880*39.3468+D3880*11.135)*24634.6345,1),"")</f>
        <v/>
      </c>
      <c r="H3880">
        <f>IF(B3880,SQRT(-2*LN(F3880))*COS(2*PI()*G3880),"")</f>
        <v/>
      </c>
      <c r="I3880">
        <f>IF(B3880,IF(D3880=0,H3880,Rho*I3879+SQRT(1-Rho^2)*H3880),"")</f>
        <v/>
      </c>
      <c r="J3880">
        <f>IF(B3880,IF(Dist="Normal",DistA+DistB*I3880,DistA+(DistB-DistA)*NORMSDIST(I3880)),"")</f>
        <v/>
      </c>
      <c r="K3880">
        <f>IF(B3880,INDEX(MineScale,C3880),"")</f>
        <v/>
      </c>
      <c r="L3880">
        <f>IF(B3880,INDEX(Dow,1,WEEKDAY(E3880,2)),"")</f>
        <v/>
      </c>
      <c r="M3880">
        <f>IF(B3880,(1+Trend)^D3880,"")</f>
        <v/>
      </c>
      <c r="N3880">
        <f>IF(B3880,EXP(SUMPRODUCT(LN(1+(EvEff-1)*INDEX(Affected,0,C3880)*EXP(-((E3880-EvCenter)^2)/(2*EvSigma^2))))),"")</f>
        <v/>
      </c>
      <c r="O3880">
        <f>IF(B3880,ROUND(MAX(0,J3880*K3880*L3880*M3880*N3880),2),"")</f>
        <v/>
      </c>
    </row>
    <row r="3881">
      <c r="A3881" t="n">
        <v>3880</v>
      </c>
      <c r="B3881">
        <f>A3881&lt;=MineCount*Days</f>
        <v/>
      </c>
      <c r="C3881">
        <f>IF(B3881,INT((A3881-1)/Days)+1,"")</f>
        <v/>
      </c>
      <c r="D3881">
        <f>IF(B3881,MOD(A3881-1,Days),"")</f>
        <v/>
      </c>
      <c r="E3881" s="16">
        <f>IF(B3881,StartDate+D3881,"")</f>
        <v/>
      </c>
      <c r="F3881">
        <f>IF(B3881,MAX(MOD(SIN(Seed*0.1373+C3881*12.9898+D3881*78.233)*43758.5453,1),1E-9),"")</f>
        <v/>
      </c>
      <c r="G3881">
        <f>IF(B3881,MOD(SIN(Seed*0.5917+C3881*39.3468+D3881*11.135)*24634.6345,1),"")</f>
        <v/>
      </c>
      <c r="H3881">
        <f>IF(B3881,SQRT(-2*LN(F3881))*COS(2*PI()*G3881),"")</f>
        <v/>
      </c>
      <c r="I3881">
        <f>IF(B3881,IF(D3881=0,H3881,Rho*I3880+SQRT(1-Rho^2)*H3881),"")</f>
        <v/>
      </c>
      <c r="J3881">
        <f>IF(B3881,IF(Dist="Normal",DistA+DistB*I3881,DistA+(DistB-DistA)*NORMSDIST(I3881)),"")</f>
        <v/>
      </c>
      <c r="K3881">
        <f>IF(B3881,INDEX(MineScale,C3881),"")</f>
        <v/>
      </c>
      <c r="L3881">
        <f>IF(B3881,INDEX(Dow,1,WEEKDAY(E3881,2)),"")</f>
        <v/>
      </c>
      <c r="M3881">
        <f>IF(B3881,(1+Trend)^D3881,"")</f>
        <v/>
      </c>
      <c r="N3881">
        <f>IF(B3881,EXP(SUMPRODUCT(LN(1+(EvEff-1)*INDEX(Affected,0,C3881)*EXP(-((E3881-EvCenter)^2)/(2*EvSigma^2))))),"")</f>
        <v/>
      </c>
      <c r="O3881">
        <f>IF(B3881,ROUND(MAX(0,J3881*K3881*L3881*M3881*N3881),2),"")</f>
        <v/>
      </c>
    </row>
    <row r="3882">
      <c r="A3882" t="n">
        <v>3881</v>
      </c>
      <c r="B3882">
        <f>A3882&lt;=MineCount*Days</f>
        <v/>
      </c>
      <c r="C3882">
        <f>IF(B3882,INT((A3882-1)/Days)+1,"")</f>
        <v/>
      </c>
      <c r="D3882">
        <f>IF(B3882,MOD(A3882-1,Days),"")</f>
        <v/>
      </c>
      <c r="E3882" s="16">
        <f>IF(B3882,StartDate+D3882,"")</f>
        <v/>
      </c>
      <c r="F3882">
        <f>IF(B3882,MAX(MOD(SIN(Seed*0.1373+C3882*12.9898+D3882*78.233)*43758.5453,1),1E-9),"")</f>
        <v/>
      </c>
      <c r="G3882">
        <f>IF(B3882,MOD(SIN(Seed*0.5917+C3882*39.3468+D3882*11.135)*24634.6345,1),"")</f>
        <v/>
      </c>
      <c r="H3882">
        <f>IF(B3882,SQRT(-2*LN(F3882))*COS(2*PI()*G3882),"")</f>
        <v/>
      </c>
      <c r="I3882">
        <f>IF(B3882,IF(D3882=0,H3882,Rho*I3881+SQRT(1-Rho^2)*H3882),"")</f>
        <v/>
      </c>
      <c r="J3882">
        <f>IF(B3882,IF(Dist="Normal",DistA+DistB*I3882,DistA+(DistB-DistA)*NORMSDIST(I3882)),"")</f>
        <v/>
      </c>
      <c r="K3882">
        <f>IF(B3882,INDEX(MineScale,C3882),"")</f>
        <v/>
      </c>
      <c r="L3882">
        <f>IF(B3882,INDEX(Dow,1,WEEKDAY(E3882,2)),"")</f>
        <v/>
      </c>
      <c r="M3882">
        <f>IF(B3882,(1+Trend)^D3882,"")</f>
        <v/>
      </c>
      <c r="N3882">
        <f>IF(B3882,EXP(SUMPRODUCT(LN(1+(EvEff-1)*INDEX(Affected,0,C3882)*EXP(-((E3882-EvCenter)^2)/(2*EvSigma^2))))),"")</f>
        <v/>
      </c>
      <c r="O3882">
        <f>IF(B3882,ROUND(MAX(0,J3882*K3882*L3882*M3882*N3882),2),"")</f>
        <v/>
      </c>
    </row>
    <row r="3883">
      <c r="A3883" t="n">
        <v>3882</v>
      </c>
      <c r="B3883">
        <f>A3883&lt;=MineCount*Days</f>
        <v/>
      </c>
      <c r="C3883">
        <f>IF(B3883,INT((A3883-1)/Days)+1,"")</f>
        <v/>
      </c>
      <c r="D3883">
        <f>IF(B3883,MOD(A3883-1,Days),"")</f>
        <v/>
      </c>
      <c r="E3883" s="16">
        <f>IF(B3883,StartDate+D3883,"")</f>
        <v/>
      </c>
      <c r="F3883">
        <f>IF(B3883,MAX(MOD(SIN(Seed*0.1373+C3883*12.9898+D3883*78.233)*43758.5453,1),1E-9),"")</f>
        <v/>
      </c>
      <c r="G3883">
        <f>IF(B3883,MOD(SIN(Seed*0.5917+C3883*39.3468+D3883*11.135)*24634.6345,1),"")</f>
        <v/>
      </c>
      <c r="H3883">
        <f>IF(B3883,SQRT(-2*LN(F3883))*COS(2*PI()*G3883),"")</f>
        <v/>
      </c>
      <c r="I3883">
        <f>IF(B3883,IF(D3883=0,H3883,Rho*I3882+SQRT(1-Rho^2)*H3883),"")</f>
        <v/>
      </c>
      <c r="J3883">
        <f>IF(B3883,IF(Dist="Normal",DistA+DistB*I3883,DistA+(DistB-DistA)*NORMSDIST(I3883)),"")</f>
        <v/>
      </c>
      <c r="K3883">
        <f>IF(B3883,INDEX(MineScale,C3883),"")</f>
        <v/>
      </c>
      <c r="L3883">
        <f>IF(B3883,INDEX(Dow,1,WEEKDAY(E3883,2)),"")</f>
        <v/>
      </c>
      <c r="M3883">
        <f>IF(B3883,(1+Trend)^D3883,"")</f>
        <v/>
      </c>
      <c r="N3883">
        <f>IF(B3883,EXP(SUMPRODUCT(LN(1+(EvEff-1)*INDEX(Affected,0,C3883)*EXP(-((E3883-EvCenter)^2)/(2*EvSigma^2))))),"")</f>
        <v/>
      </c>
      <c r="O3883">
        <f>IF(B3883,ROUND(MAX(0,J3883*K3883*L3883*M3883*N3883),2),"")</f>
        <v/>
      </c>
    </row>
    <row r="3884">
      <c r="A3884" t="n">
        <v>3883</v>
      </c>
      <c r="B3884">
        <f>A3884&lt;=MineCount*Days</f>
        <v/>
      </c>
      <c r="C3884">
        <f>IF(B3884,INT((A3884-1)/Days)+1,"")</f>
        <v/>
      </c>
      <c r="D3884">
        <f>IF(B3884,MOD(A3884-1,Days),"")</f>
        <v/>
      </c>
      <c r="E3884" s="16">
        <f>IF(B3884,StartDate+D3884,"")</f>
        <v/>
      </c>
      <c r="F3884">
        <f>IF(B3884,MAX(MOD(SIN(Seed*0.1373+C3884*12.9898+D3884*78.233)*43758.5453,1),1E-9),"")</f>
        <v/>
      </c>
      <c r="G3884">
        <f>IF(B3884,MOD(SIN(Seed*0.5917+C3884*39.3468+D3884*11.135)*24634.6345,1),"")</f>
        <v/>
      </c>
      <c r="H3884">
        <f>IF(B3884,SQRT(-2*LN(F3884))*COS(2*PI()*G3884),"")</f>
        <v/>
      </c>
      <c r="I3884">
        <f>IF(B3884,IF(D3884=0,H3884,Rho*I3883+SQRT(1-Rho^2)*H3884),"")</f>
        <v/>
      </c>
      <c r="J3884">
        <f>IF(B3884,IF(Dist="Normal",DistA+DistB*I3884,DistA+(DistB-DistA)*NORMSDIST(I3884)),"")</f>
        <v/>
      </c>
      <c r="K3884">
        <f>IF(B3884,INDEX(MineScale,C3884),"")</f>
        <v/>
      </c>
      <c r="L3884">
        <f>IF(B3884,INDEX(Dow,1,WEEKDAY(E3884,2)),"")</f>
        <v/>
      </c>
      <c r="M3884">
        <f>IF(B3884,(1+Trend)^D3884,"")</f>
        <v/>
      </c>
      <c r="N3884">
        <f>IF(B3884,EXP(SUMPRODUCT(LN(1+(EvEff-1)*INDEX(Affected,0,C3884)*EXP(-((E3884-EvCenter)^2)/(2*EvSigma^2))))),"")</f>
        <v/>
      </c>
      <c r="O3884">
        <f>IF(B3884,ROUND(MAX(0,J3884*K3884*L3884*M3884*N3884),2),"")</f>
        <v/>
      </c>
    </row>
    <row r="3885">
      <c r="A3885" t="n">
        <v>3884</v>
      </c>
      <c r="B3885">
        <f>A3885&lt;=MineCount*Days</f>
        <v/>
      </c>
      <c r="C3885">
        <f>IF(B3885,INT((A3885-1)/Days)+1,"")</f>
        <v/>
      </c>
      <c r="D3885">
        <f>IF(B3885,MOD(A3885-1,Days),"")</f>
        <v/>
      </c>
      <c r="E3885" s="16">
        <f>IF(B3885,StartDate+D3885,"")</f>
        <v/>
      </c>
      <c r="F3885">
        <f>IF(B3885,MAX(MOD(SIN(Seed*0.1373+C3885*12.9898+D3885*78.233)*43758.5453,1),1E-9),"")</f>
        <v/>
      </c>
      <c r="G3885">
        <f>IF(B3885,MOD(SIN(Seed*0.5917+C3885*39.3468+D3885*11.135)*24634.6345,1),"")</f>
        <v/>
      </c>
      <c r="H3885">
        <f>IF(B3885,SQRT(-2*LN(F3885))*COS(2*PI()*G3885),"")</f>
        <v/>
      </c>
      <c r="I3885">
        <f>IF(B3885,IF(D3885=0,H3885,Rho*I3884+SQRT(1-Rho^2)*H3885),"")</f>
        <v/>
      </c>
      <c r="J3885">
        <f>IF(B3885,IF(Dist="Normal",DistA+DistB*I3885,DistA+(DistB-DistA)*NORMSDIST(I3885)),"")</f>
        <v/>
      </c>
      <c r="K3885">
        <f>IF(B3885,INDEX(MineScale,C3885),"")</f>
        <v/>
      </c>
      <c r="L3885">
        <f>IF(B3885,INDEX(Dow,1,WEEKDAY(E3885,2)),"")</f>
        <v/>
      </c>
      <c r="M3885">
        <f>IF(B3885,(1+Trend)^D3885,"")</f>
        <v/>
      </c>
      <c r="N3885">
        <f>IF(B3885,EXP(SUMPRODUCT(LN(1+(EvEff-1)*INDEX(Affected,0,C3885)*EXP(-((E3885-EvCenter)^2)/(2*EvSigma^2))))),"")</f>
        <v/>
      </c>
      <c r="O3885">
        <f>IF(B3885,ROUND(MAX(0,J3885*K3885*L3885*M3885*N3885),2),"")</f>
        <v/>
      </c>
    </row>
    <row r="3886">
      <c r="A3886" t="n">
        <v>3885</v>
      </c>
      <c r="B3886">
        <f>A3886&lt;=MineCount*Days</f>
        <v/>
      </c>
      <c r="C3886">
        <f>IF(B3886,INT((A3886-1)/Days)+1,"")</f>
        <v/>
      </c>
      <c r="D3886">
        <f>IF(B3886,MOD(A3886-1,Days),"")</f>
        <v/>
      </c>
      <c r="E3886" s="16">
        <f>IF(B3886,StartDate+D3886,"")</f>
        <v/>
      </c>
      <c r="F3886">
        <f>IF(B3886,MAX(MOD(SIN(Seed*0.1373+C3886*12.9898+D3886*78.233)*43758.5453,1),1E-9),"")</f>
        <v/>
      </c>
      <c r="G3886">
        <f>IF(B3886,MOD(SIN(Seed*0.5917+C3886*39.3468+D3886*11.135)*24634.6345,1),"")</f>
        <v/>
      </c>
      <c r="H3886">
        <f>IF(B3886,SQRT(-2*LN(F3886))*COS(2*PI()*G3886),"")</f>
        <v/>
      </c>
      <c r="I3886">
        <f>IF(B3886,IF(D3886=0,H3886,Rho*I3885+SQRT(1-Rho^2)*H3886),"")</f>
        <v/>
      </c>
      <c r="J3886">
        <f>IF(B3886,IF(Dist="Normal",DistA+DistB*I3886,DistA+(DistB-DistA)*NORMSDIST(I3886)),"")</f>
        <v/>
      </c>
      <c r="K3886">
        <f>IF(B3886,INDEX(MineScale,C3886),"")</f>
        <v/>
      </c>
      <c r="L3886">
        <f>IF(B3886,INDEX(Dow,1,WEEKDAY(E3886,2)),"")</f>
        <v/>
      </c>
      <c r="M3886">
        <f>IF(B3886,(1+Trend)^D3886,"")</f>
        <v/>
      </c>
      <c r="N3886">
        <f>IF(B3886,EXP(SUMPRODUCT(LN(1+(EvEff-1)*INDEX(Affected,0,C3886)*EXP(-((E3886-EvCenter)^2)/(2*EvSigma^2))))),"")</f>
        <v/>
      </c>
      <c r="O3886">
        <f>IF(B3886,ROUND(MAX(0,J3886*K3886*L3886*M3886*N3886),2),"")</f>
        <v/>
      </c>
    </row>
    <row r="3887">
      <c r="A3887" t="n">
        <v>3886</v>
      </c>
      <c r="B3887">
        <f>A3887&lt;=MineCount*Days</f>
        <v/>
      </c>
      <c r="C3887">
        <f>IF(B3887,INT((A3887-1)/Days)+1,"")</f>
        <v/>
      </c>
      <c r="D3887">
        <f>IF(B3887,MOD(A3887-1,Days),"")</f>
        <v/>
      </c>
      <c r="E3887" s="16">
        <f>IF(B3887,StartDate+D3887,"")</f>
        <v/>
      </c>
      <c r="F3887">
        <f>IF(B3887,MAX(MOD(SIN(Seed*0.1373+C3887*12.9898+D3887*78.233)*43758.5453,1),1E-9),"")</f>
        <v/>
      </c>
      <c r="G3887">
        <f>IF(B3887,MOD(SIN(Seed*0.5917+C3887*39.3468+D3887*11.135)*24634.6345,1),"")</f>
        <v/>
      </c>
      <c r="H3887">
        <f>IF(B3887,SQRT(-2*LN(F3887))*COS(2*PI()*G3887),"")</f>
        <v/>
      </c>
      <c r="I3887">
        <f>IF(B3887,IF(D3887=0,H3887,Rho*I3886+SQRT(1-Rho^2)*H3887),"")</f>
        <v/>
      </c>
      <c r="J3887">
        <f>IF(B3887,IF(Dist="Normal",DistA+DistB*I3887,DistA+(DistB-DistA)*NORMSDIST(I3887)),"")</f>
        <v/>
      </c>
      <c r="K3887">
        <f>IF(B3887,INDEX(MineScale,C3887),"")</f>
        <v/>
      </c>
      <c r="L3887">
        <f>IF(B3887,INDEX(Dow,1,WEEKDAY(E3887,2)),"")</f>
        <v/>
      </c>
      <c r="M3887">
        <f>IF(B3887,(1+Trend)^D3887,"")</f>
        <v/>
      </c>
      <c r="N3887">
        <f>IF(B3887,EXP(SUMPRODUCT(LN(1+(EvEff-1)*INDEX(Affected,0,C3887)*EXP(-((E3887-EvCenter)^2)/(2*EvSigma^2))))),"")</f>
        <v/>
      </c>
      <c r="O3887">
        <f>IF(B3887,ROUND(MAX(0,J3887*K3887*L3887*M3887*N3887),2),"")</f>
        <v/>
      </c>
    </row>
    <row r="3888">
      <c r="A3888" t="n">
        <v>3887</v>
      </c>
      <c r="B3888">
        <f>A3888&lt;=MineCount*Days</f>
        <v/>
      </c>
      <c r="C3888">
        <f>IF(B3888,INT((A3888-1)/Days)+1,"")</f>
        <v/>
      </c>
      <c r="D3888">
        <f>IF(B3888,MOD(A3888-1,Days),"")</f>
        <v/>
      </c>
      <c r="E3888" s="16">
        <f>IF(B3888,StartDate+D3888,"")</f>
        <v/>
      </c>
      <c r="F3888">
        <f>IF(B3888,MAX(MOD(SIN(Seed*0.1373+C3888*12.9898+D3888*78.233)*43758.5453,1),1E-9),"")</f>
        <v/>
      </c>
      <c r="G3888">
        <f>IF(B3888,MOD(SIN(Seed*0.5917+C3888*39.3468+D3888*11.135)*24634.6345,1),"")</f>
        <v/>
      </c>
      <c r="H3888">
        <f>IF(B3888,SQRT(-2*LN(F3888))*COS(2*PI()*G3888),"")</f>
        <v/>
      </c>
      <c r="I3888">
        <f>IF(B3888,IF(D3888=0,H3888,Rho*I3887+SQRT(1-Rho^2)*H3888),"")</f>
        <v/>
      </c>
      <c r="J3888">
        <f>IF(B3888,IF(Dist="Normal",DistA+DistB*I3888,DistA+(DistB-DistA)*NORMSDIST(I3888)),"")</f>
        <v/>
      </c>
      <c r="K3888">
        <f>IF(B3888,INDEX(MineScale,C3888),"")</f>
        <v/>
      </c>
      <c r="L3888">
        <f>IF(B3888,INDEX(Dow,1,WEEKDAY(E3888,2)),"")</f>
        <v/>
      </c>
      <c r="M3888">
        <f>IF(B3888,(1+Trend)^D3888,"")</f>
        <v/>
      </c>
      <c r="N3888">
        <f>IF(B3888,EXP(SUMPRODUCT(LN(1+(EvEff-1)*INDEX(Affected,0,C3888)*EXP(-((E3888-EvCenter)^2)/(2*EvSigma^2))))),"")</f>
        <v/>
      </c>
      <c r="O3888">
        <f>IF(B3888,ROUND(MAX(0,J3888*K3888*L3888*M3888*N3888),2),"")</f>
        <v/>
      </c>
    </row>
    <row r="3889">
      <c r="A3889" t="n">
        <v>3888</v>
      </c>
      <c r="B3889">
        <f>A3889&lt;=MineCount*Days</f>
        <v/>
      </c>
      <c r="C3889">
        <f>IF(B3889,INT((A3889-1)/Days)+1,"")</f>
        <v/>
      </c>
      <c r="D3889">
        <f>IF(B3889,MOD(A3889-1,Days),"")</f>
        <v/>
      </c>
      <c r="E3889" s="16">
        <f>IF(B3889,StartDate+D3889,"")</f>
        <v/>
      </c>
      <c r="F3889">
        <f>IF(B3889,MAX(MOD(SIN(Seed*0.1373+C3889*12.9898+D3889*78.233)*43758.5453,1),1E-9),"")</f>
        <v/>
      </c>
      <c r="G3889">
        <f>IF(B3889,MOD(SIN(Seed*0.5917+C3889*39.3468+D3889*11.135)*24634.6345,1),"")</f>
        <v/>
      </c>
      <c r="H3889">
        <f>IF(B3889,SQRT(-2*LN(F3889))*COS(2*PI()*G3889),"")</f>
        <v/>
      </c>
      <c r="I3889">
        <f>IF(B3889,IF(D3889=0,H3889,Rho*I3888+SQRT(1-Rho^2)*H3889),"")</f>
        <v/>
      </c>
      <c r="J3889">
        <f>IF(B3889,IF(Dist="Normal",DistA+DistB*I3889,DistA+(DistB-DistA)*NORMSDIST(I3889)),"")</f>
        <v/>
      </c>
      <c r="K3889">
        <f>IF(B3889,INDEX(MineScale,C3889),"")</f>
        <v/>
      </c>
      <c r="L3889">
        <f>IF(B3889,INDEX(Dow,1,WEEKDAY(E3889,2)),"")</f>
        <v/>
      </c>
      <c r="M3889">
        <f>IF(B3889,(1+Trend)^D3889,"")</f>
        <v/>
      </c>
      <c r="N3889">
        <f>IF(B3889,EXP(SUMPRODUCT(LN(1+(EvEff-1)*INDEX(Affected,0,C3889)*EXP(-((E3889-EvCenter)^2)/(2*EvSigma^2))))),"")</f>
        <v/>
      </c>
      <c r="O3889">
        <f>IF(B3889,ROUND(MAX(0,J3889*K3889*L3889*M3889*N3889),2),"")</f>
        <v/>
      </c>
    </row>
    <row r="3890">
      <c r="A3890" t="n">
        <v>3889</v>
      </c>
      <c r="B3890">
        <f>A3890&lt;=MineCount*Days</f>
        <v/>
      </c>
      <c r="C3890">
        <f>IF(B3890,INT((A3890-1)/Days)+1,"")</f>
        <v/>
      </c>
      <c r="D3890">
        <f>IF(B3890,MOD(A3890-1,Days),"")</f>
        <v/>
      </c>
      <c r="E3890" s="16">
        <f>IF(B3890,StartDate+D3890,"")</f>
        <v/>
      </c>
      <c r="F3890">
        <f>IF(B3890,MAX(MOD(SIN(Seed*0.1373+C3890*12.9898+D3890*78.233)*43758.5453,1),1E-9),"")</f>
        <v/>
      </c>
      <c r="G3890">
        <f>IF(B3890,MOD(SIN(Seed*0.5917+C3890*39.3468+D3890*11.135)*24634.6345,1),"")</f>
        <v/>
      </c>
      <c r="H3890">
        <f>IF(B3890,SQRT(-2*LN(F3890))*COS(2*PI()*G3890),"")</f>
        <v/>
      </c>
      <c r="I3890">
        <f>IF(B3890,IF(D3890=0,H3890,Rho*I3889+SQRT(1-Rho^2)*H3890),"")</f>
        <v/>
      </c>
      <c r="J3890">
        <f>IF(B3890,IF(Dist="Normal",DistA+DistB*I3890,DistA+(DistB-DistA)*NORMSDIST(I3890)),"")</f>
        <v/>
      </c>
      <c r="K3890">
        <f>IF(B3890,INDEX(MineScale,C3890),"")</f>
        <v/>
      </c>
      <c r="L3890">
        <f>IF(B3890,INDEX(Dow,1,WEEKDAY(E3890,2)),"")</f>
        <v/>
      </c>
      <c r="M3890">
        <f>IF(B3890,(1+Trend)^D3890,"")</f>
        <v/>
      </c>
      <c r="N3890">
        <f>IF(B3890,EXP(SUMPRODUCT(LN(1+(EvEff-1)*INDEX(Affected,0,C3890)*EXP(-((E3890-EvCenter)^2)/(2*EvSigma^2))))),"")</f>
        <v/>
      </c>
      <c r="O3890">
        <f>IF(B3890,ROUND(MAX(0,J3890*K3890*L3890*M3890*N3890),2),"")</f>
        <v/>
      </c>
    </row>
    <row r="3891">
      <c r="A3891" t="n">
        <v>3890</v>
      </c>
      <c r="B3891">
        <f>A3891&lt;=MineCount*Days</f>
        <v/>
      </c>
      <c r="C3891">
        <f>IF(B3891,INT((A3891-1)/Days)+1,"")</f>
        <v/>
      </c>
      <c r="D3891">
        <f>IF(B3891,MOD(A3891-1,Days),"")</f>
        <v/>
      </c>
      <c r="E3891" s="16">
        <f>IF(B3891,StartDate+D3891,"")</f>
        <v/>
      </c>
      <c r="F3891">
        <f>IF(B3891,MAX(MOD(SIN(Seed*0.1373+C3891*12.9898+D3891*78.233)*43758.5453,1),1E-9),"")</f>
        <v/>
      </c>
      <c r="G3891">
        <f>IF(B3891,MOD(SIN(Seed*0.5917+C3891*39.3468+D3891*11.135)*24634.6345,1),"")</f>
        <v/>
      </c>
      <c r="H3891">
        <f>IF(B3891,SQRT(-2*LN(F3891))*COS(2*PI()*G3891),"")</f>
        <v/>
      </c>
      <c r="I3891">
        <f>IF(B3891,IF(D3891=0,H3891,Rho*I3890+SQRT(1-Rho^2)*H3891),"")</f>
        <v/>
      </c>
      <c r="J3891">
        <f>IF(B3891,IF(Dist="Normal",DistA+DistB*I3891,DistA+(DistB-DistA)*NORMSDIST(I3891)),"")</f>
        <v/>
      </c>
      <c r="K3891">
        <f>IF(B3891,INDEX(MineScale,C3891),"")</f>
        <v/>
      </c>
      <c r="L3891">
        <f>IF(B3891,INDEX(Dow,1,WEEKDAY(E3891,2)),"")</f>
        <v/>
      </c>
      <c r="M3891">
        <f>IF(B3891,(1+Trend)^D3891,"")</f>
        <v/>
      </c>
      <c r="N3891">
        <f>IF(B3891,EXP(SUMPRODUCT(LN(1+(EvEff-1)*INDEX(Affected,0,C3891)*EXP(-((E3891-EvCenter)^2)/(2*EvSigma^2))))),"")</f>
        <v/>
      </c>
      <c r="O3891">
        <f>IF(B3891,ROUND(MAX(0,J3891*K3891*L3891*M3891*N3891),2),"")</f>
        <v/>
      </c>
    </row>
    <row r="3892">
      <c r="A3892" t="n">
        <v>3891</v>
      </c>
      <c r="B3892">
        <f>A3892&lt;=MineCount*Days</f>
        <v/>
      </c>
      <c r="C3892">
        <f>IF(B3892,INT((A3892-1)/Days)+1,"")</f>
        <v/>
      </c>
      <c r="D3892">
        <f>IF(B3892,MOD(A3892-1,Days),"")</f>
        <v/>
      </c>
      <c r="E3892" s="16">
        <f>IF(B3892,StartDate+D3892,"")</f>
        <v/>
      </c>
      <c r="F3892">
        <f>IF(B3892,MAX(MOD(SIN(Seed*0.1373+C3892*12.9898+D3892*78.233)*43758.5453,1),1E-9),"")</f>
        <v/>
      </c>
      <c r="G3892">
        <f>IF(B3892,MOD(SIN(Seed*0.5917+C3892*39.3468+D3892*11.135)*24634.6345,1),"")</f>
        <v/>
      </c>
      <c r="H3892">
        <f>IF(B3892,SQRT(-2*LN(F3892))*COS(2*PI()*G3892),"")</f>
        <v/>
      </c>
      <c r="I3892">
        <f>IF(B3892,IF(D3892=0,H3892,Rho*I3891+SQRT(1-Rho^2)*H3892),"")</f>
        <v/>
      </c>
      <c r="J3892">
        <f>IF(B3892,IF(Dist="Normal",DistA+DistB*I3892,DistA+(DistB-DistA)*NORMSDIST(I3892)),"")</f>
        <v/>
      </c>
      <c r="K3892">
        <f>IF(B3892,INDEX(MineScale,C3892),"")</f>
        <v/>
      </c>
      <c r="L3892">
        <f>IF(B3892,INDEX(Dow,1,WEEKDAY(E3892,2)),"")</f>
        <v/>
      </c>
      <c r="M3892">
        <f>IF(B3892,(1+Trend)^D3892,"")</f>
        <v/>
      </c>
      <c r="N3892">
        <f>IF(B3892,EXP(SUMPRODUCT(LN(1+(EvEff-1)*INDEX(Affected,0,C3892)*EXP(-((E3892-EvCenter)^2)/(2*EvSigma^2))))),"")</f>
        <v/>
      </c>
      <c r="O3892">
        <f>IF(B3892,ROUND(MAX(0,J3892*K3892*L3892*M3892*N3892),2),"")</f>
        <v/>
      </c>
    </row>
    <row r="3893">
      <c r="A3893" t="n">
        <v>3892</v>
      </c>
      <c r="B3893">
        <f>A3893&lt;=MineCount*Days</f>
        <v/>
      </c>
      <c r="C3893">
        <f>IF(B3893,INT((A3893-1)/Days)+1,"")</f>
        <v/>
      </c>
      <c r="D3893">
        <f>IF(B3893,MOD(A3893-1,Days),"")</f>
        <v/>
      </c>
      <c r="E3893" s="16">
        <f>IF(B3893,StartDate+D3893,"")</f>
        <v/>
      </c>
      <c r="F3893">
        <f>IF(B3893,MAX(MOD(SIN(Seed*0.1373+C3893*12.9898+D3893*78.233)*43758.5453,1),1E-9),"")</f>
        <v/>
      </c>
      <c r="G3893">
        <f>IF(B3893,MOD(SIN(Seed*0.5917+C3893*39.3468+D3893*11.135)*24634.6345,1),"")</f>
        <v/>
      </c>
      <c r="H3893">
        <f>IF(B3893,SQRT(-2*LN(F3893))*COS(2*PI()*G3893),"")</f>
        <v/>
      </c>
      <c r="I3893">
        <f>IF(B3893,IF(D3893=0,H3893,Rho*I3892+SQRT(1-Rho^2)*H3893),"")</f>
        <v/>
      </c>
      <c r="J3893">
        <f>IF(B3893,IF(Dist="Normal",DistA+DistB*I3893,DistA+(DistB-DistA)*NORMSDIST(I3893)),"")</f>
        <v/>
      </c>
      <c r="K3893">
        <f>IF(B3893,INDEX(MineScale,C3893),"")</f>
        <v/>
      </c>
      <c r="L3893">
        <f>IF(B3893,INDEX(Dow,1,WEEKDAY(E3893,2)),"")</f>
        <v/>
      </c>
      <c r="M3893">
        <f>IF(B3893,(1+Trend)^D3893,"")</f>
        <v/>
      </c>
      <c r="N3893">
        <f>IF(B3893,EXP(SUMPRODUCT(LN(1+(EvEff-1)*INDEX(Affected,0,C3893)*EXP(-((E3893-EvCenter)^2)/(2*EvSigma^2))))),"")</f>
        <v/>
      </c>
      <c r="O3893">
        <f>IF(B3893,ROUND(MAX(0,J3893*K3893*L3893*M3893*N3893),2),"")</f>
        <v/>
      </c>
    </row>
    <row r="3894">
      <c r="A3894" t="n">
        <v>3893</v>
      </c>
      <c r="B3894">
        <f>A3894&lt;=MineCount*Days</f>
        <v/>
      </c>
      <c r="C3894">
        <f>IF(B3894,INT((A3894-1)/Days)+1,"")</f>
        <v/>
      </c>
      <c r="D3894">
        <f>IF(B3894,MOD(A3894-1,Days),"")</f>
        <v/>
      </c>
      <c r="E3894" s="16">
        <f>IF(B3894,StartDate+D3894,"")</f>
        <v/>
      </c>
      <c r="F3894">
        <f>IF(B3894,MAX(MOD(SIN(Seed*0.1373+C3894*12.9898+D3894*78.233)*43758.5453,1),1E-9),"")</f>
        <v/>
      </c>
      <c r="G3894">
        <f>IF(B3894,MOD(SIN(Seed*0.5917+C3894*39.3468+D3894*11.135)*24634.6345,1),"")</f>
        <v/>
      </c>
      <c r="H3894">
        <f>IF(B3894,SQRT(-2*LN(F3894))*COS(2*PI()*G3894),"")</f>
        <v/>
      </c>
      <c r="I3894">
        <f>IF(B3894,IF(D3894=0,H3894,Rho*I3893+SQRT(1-Rho^2)*H3894),"")</f>
        <v/>
      </c>
      <c r="J3894">
        <f>IF(B3894,IF(Dist="Normal",DistA+DistB*I3894,DistA+(DistB-DistA)*NORMSDIST(I3894)),"")</f>
        <v/>
      </c>
      <c r="K3894">
        <f>IF(B3894,INDEX(MineScale,C3894),"")</f>
        <v/>
      </c>
      <c r="L3894">
        <f>IF(B3894,INDEX(Dow,1,WEEKDAY(E3894,2)),"")</f>
        <v/>
      </c>
      <c r="M3894">
        <f>IF(B3894,(1+Trend)^D3894,"")</f>
        <v/>
      </c>
      <c r="N3894">
        <f>IF(B3894,EXP(SUMPRODUCT(LN(1+(EvEff-1)*INDEX(Affected,0,C3894)*EXP(-((E3894-EvCenter)^2)/(2*EvSigma^2))))),"")</f>
        <v/>
      </c>
      <c r="O3894">
        <f>IF(B3894,ROUND(MAX(0,J3894*K3894*L3894*M3894*N3894),2),"")</f>
        <v/>
      </c>
    </row>
    <row r="3895">
      <c r="A3895" t="n">
        <v>3894</v>
      </c>
      <c r="B3895">
        <f>A3895&lt;=MineCount*Days</f>
        <v/>
      </c>
      <c r="C3895">
        <f>IF(B3895,INT((A3895-1)/Days)+1,"")</f>
        <v/>
      </c>
      <c r="D3895">
        <f>IF(B3895,MOD(A3895-1,Days),"")</f>
        <v/>
      </c>
      <c r="E3895" s="16">
        <f>IF(B3895,StartDate+D3895,"")</f>
        <v/>
      </c>
      <c r="F3895">
        <f>IF(B3895,MAX(MOD(SIN(Seed*0.1373+C3895*12.9898+D3895*78.233)*43758.5453,1),1E-9),"")</f>
        <v/>
      </c>
      <c r="G3895">
        <f>IF(B3895,MOD(SIN(Seed*0.5917+C3895*39.3468+D3895*11.135)*24634.6345,1),"")</f>
        <v/>
      </c>
      <c r="H3895">
        <f>IF(B3895,SQRT(-2*LN(F3895))*COS(2*PI()*G3895),"")</f>
        <v/>
      </c>
      <c r="I3895">
        <f>IF(B3895,IF(D3895=0,H3895,Rho*I3894+SQRT(1-Rho^2)*H3895),"")</f>
        <v/>
      </c>
      <c r="J3895">
        <f>IF(B3895,IF(Dist="Normal",DistA+DistB*I3895,DistA+(DistB-DistA)*NORMSDIST(I3895)),"")</f>
        <v/>
      </c>
      <c r="K3895">
        <f>IF(B3895,INDEX(MineScale,C3895),"")</f>
        <v/>
      </c>
      <c r="L3895">
        <f>IF(B3895,INDEX(Dow,1,WEEKDAY(E3895,2)),"")</f>
        <v/>
      </c>
      <c r="M3895">
        <f>IF(B3895,(1+Trend)^D3895,"")</f>
        <v/>
      </c>
      <c r="N3895">
        <f>IF(B3895,EXP(SUMPRODUCT(LN(1+(EvEff-1)*INDEX(Affected,0,C3895)*EXP(-((E3895-EvCenter)^2)/(2*EvSigma^2))))),"")</f>
        <v/>
      </c>
      <c r="O3895">
        <f>IF(B3895,ROUND(MAX(0,J3895*K3895*L3895*M3895*N3895),2),"")</f>
        <v/>
      </c>
    </row>
    <row r="3896">
      <c r="A3896" t="n">
        <v>3895</v>
      </c>
      <c r="B3896">
        <f>A3896&lt;=MineCount*Days</f>
        <v/>
      </c>
      <c r="C3896">
        <f>IF(B3896,INT((A3896-1)/Days)+1,"")</f>
        <v/>
      </c>
      <c r="D3896">
        <f>IF(B3896,MOD(A3896-1,Days),"")</f>
        <v/>
      </c>
      <c r="E3896" s="16">
        <f>IF(B3896,StartDate+D3896,"")</f>
        <v/>
      </c>
      <c r="F3896">
        <f>IF(B3896,MAX(MOD(SIN(Seed*0.1373+C3896*12.9898+D3896*78.233)*43758.5453,1),1E-9),"")</f>
        <v/>
      </c>
      <c r="G3896">
        <f>IF(B3896,MOD(SIN(Seed*0.5917+C3896*39.3468+D3896*11.135)*24634.6345,1),"")</f>
        <v/>
      </c>
      <c r="H3896">
        <f>IF(B3896,SQRT(-2*LN(F3896))*COS(2*PI()*G3896),"")</f>
        <v/>
      </c>
      <c r="I3896">
        <f>IF(B3896,IF(D3896=0,H3896,Rho*I3895+SQRT(1-Rho^2)*H3896),"")</f>
        <v/>
      </c>
      <c r="J3896">
        <f>IF(B3896,IF(Dist="Normal",DistA+DistB*I3896,DistA+(DistB-DistA)*NORMSDIST(I3896)),"")</f>
        <v/>
      </c>
      <c r="K3896">
        <f>IF(B3896,INDEX(MineScale,C3896),"")</f>
        <v/>
      </c>
      <c r="L3896">
        <f>IF(B3896,INDEX(Dow,1,WEEKDAY(E3896,2)),"")</f>
        <v/>
      </c>
      <c r="M3896">
        <f>IF(B3896,(1+Trend)^D3896,"")</f>
        <v/>
      </c>
      <c r="N3896">
        <f>IF(B3896,EXP(SUMPRODUCT(LN(1+(EvEff-1)*INDEX(Affected,0,C3896)*EXP(-((E3896-EvCenter)^2)/(2*EvSigma^2))))),"")</f>
        <v/>
      </c>
      <c r="O3896">
        <f>IF(B3896,ROUND(MAX(0,J3896*K3896*L3896*M3896*N3896),2),"")</f>
        <v/>
      </c>
    </row>
    <row r="3897">
      <c r="A3897" t="n">
        <v>3896</v>
      </c>
      <c r="B3897">
        <f>A3897&lt;=MineCount*Days</f>
        <v/>
      </c>
      <c r="C3897">
        <f>IF(B3897,INT((A3897-1)/Days)+1,"")</f>
        <v/>
      </c>
      <c r="D3897">
        <f>IF(B3897,MOD(A3897-1,Days),"")</f>
        <v/>
      </c>
      <c r="E3897" s="16">
        <f>IF(B3897,StartDate+D3897,"")</f>
        <v/>
      </c>
      <c r="F3897">
        <f>IF(B3897,MAX(MOD(SIN(Seed*0.1373+C3897*12.9898+D3897*78.233)*43758.5453,1),1E-9),"")</f>
        <v/>
      </c>
      <c r="G3897">
        <f>IF(B3897,MOD(SIN(Seed*0.5917+C3897*39.3468+D3897*11.135)*24634.6345,1),"")</f>
        <v/>
      </c>
      <c r="H3897">
        <f>IF(B3897,SQRT(-2*LN(F3897))*COS(2*PI()*G3897),"")</f>
        <v/>
      </c>
      <c r="I3897">
        <f>IF(B3897,IF(D3897=0,H3897,Rho*I3896+SQRT(1-Rho^2)*H3897),"")</f>
        <v/>
      </c>
      <c r="J3897">
        <f>IF(B3897,IF(Dist="Normal",DistA+DistB*I3897,DistA+(DistB-DistA)*NORMSDIST(I3897)),"")</f>
        <v/>
      </c>
      <c r="K3897">
        <f>IF(B3897,INDEX(MineScale,C3897),"")</f>
        <v/>
      </c>
      <c r="L3897">
        <f>IF(B3897,INDEX(Dow,1,WEEKDAY(E3897,2)),"")</f>
        <v/>
      </c>
      <c r="M3897">
        <f>IF(B3897,(1+Trend)^D3897,"")</f>
        <v/>
      </c>
      <c r="N3897">
        <f>IF(B3897,EXP(SUMPRODUCT(LN(1+(EvEff-1)*INDEX(Affected,0,C3897)*EXP(-((E3897-EvCenter)^2)/(2*EvSigma^2))))),"")</f>
        <v/>
      </c>
      <c r="O3897">
        <f>IF(B3897,ROUND(MAX(0,J3897*K3897*L3897*M3897*N3897),2),"")</f>
        <v/>
      </c>
    </row>
    <row r="3898">
      <c r="A3898" t="n">
        <v>3897</v>
      </c>
      <c r="B3898">
        <f>A3898&lt;=MineCount*Days</f>
        <v/>
      </c>
      <c r="C3898">
        <f>IF(B3898,INT((A3898-1)/Days)+1,"")</f>
        <v/>
      </c>
      <c r="D3898">
        <f>IF(B3898,MOD(A3898-1,Days),"")</f>
        <v/>
      </c>
      <c r="E3898" s="16">
        <f>IF(B3898,StartDate+D3898,"")</f>
        <v/>
      </c>
      <c r="F3898">
        <f>IF(B3898,MAX(MOD(SIN(Seed*0.1373+C3898*12.9898+D3898*78.233)*43758.5453,1),1E-9),"")</f>
        <v/>
      </c>
      <c r="G3898">
        <f>IF(B3898,MOD(SIN(Seed*0.5917+C3898*39.3468+D3898*11.135)*24634.6345,1),"")</f>
        <v/>
      </c>
      <c r="H3898">
        <f>IF(B3898,SQRT(-2*LN(F3898))*COS(2*PI()*G3898),"")</f>
        <v/>
      </c>
      <c r="I3898">
        <f>IF(B3898,IF(D3898=0,H3898,Rho*I3897+SQRT(1-Rho^2)*H3898),"")</f>
        <v/>
      </c>
      <c r="J3898">
        <f>IF(B3898,IF(Dist="Normal",DistA+DistB*I3898,DistA+(DistB-DistA)*NORMSDIST(I3898)),"")</f>
        <v/>
      </c>
      <c r="K3898">
        <f>IF(B3898,INDEX(MineScale,C3898),"")</f>
        <v/>
      </c>
      <c r="L3898">
        <f>IF(B3898,INDEX(Dow,1,WEEKDAY(E3898,2)),"")</f>
        <v/>
      </c>
      <c r="M3898">
        <f>IF(B3898,(1+Trend)^D3898,"")</f>
        <v/>
      </c>
      <c r="N3898">
        <f>IF(B3898,EXP(SUMPRODUCT(LN(1+(EvEff-1)*INDEX(Affected,0,C3898)*EXP(-((E3898-EvCenter)^2)/(2*EvSigma^2))))),"")</f>
        <v/>
      </c>
      <c r="O3898">
        <f>IF(B3898,ROUND(MAX(0,J3898*K3898*L3898*M3898*N3898),2),"")</f>
        <v/>
      </c>
    </row>
    <row r="3899">
      <c r="A3899" t="n">
        <v>3898</v>
      </c>
      <c r="B3899">
        <f>A3899&lt;=MineCount*Days</f>
        <v/>
      </c>
      <c r="C3899">
        <f>IF(B3899,INT((A3899-1)/Days)+1,"")</f>
        <v/>
      </c>
      <c r="D3899">
        <f>IF(B3899,MOD(A3899-1,Days),"")</f>
        <v/>
      </c>
      <c r="E3899" s="16">
        <f>IF(B3899,StartDate+D3899,"")</f>
        <v/>
      </c>
      <c r="F3899">
        <f>IF(B3899,MAX(MOD(SIN(Seed*0.1373+C3899*12.9898+D3899*78.233)*43758.5453,1),1E-9),"")</f>
        <v/>
      </c>
      <c r="G3899">
        <f>IF(B3899,MOD(SIN(Seed*0.5917+C3899*39.3468+D3899*11.135)*24634.6345,1),"")</f>
        <v/>
      </c>
      <c r="H3899">
        <f>IF(B3899,SQRT(-2*LN(F3899))*COS(2*PI()*G3899),"")</f>
        <v/>
      </c>
      <c r="I3899">
        <f>IF(B3899,IF(D3899=0,H3899,Rho*I3898+SQRT(1-Rho^2)*H3899),"")</f>
        <v/>
      </c>
      <c r="J3899">
        <f>IF(B3899,IF(Dist="Normal",DistA+DistB*I3899,DistA+(DistB-DistA)*NORMSDIST(I3899)),"")</f>
        <v/>
      </c>
      <c r="K3899">
        <f>IF(B3899,INDEX(MineScale,C3899),"")</f>
        <v/>
      </c>
      <c r="L3899">
        <f>IF(B3899,INDEX(Dow,1,WEEKDAY(E3899,2)),"")</f>
        <v/>
      </c>
      <c r="M3899">
        <f>IF(B3899,(1+Trend)^D3899,"")</f>
        <v/>
      </c>
      <c r="N3899">
        <f>IF(B3899,EXP(SUMPRODUCT(LN(1+(EvEff-1)*INDEX(Affected,0,C3899)*EXP(-((E3899-EvCenter)^2)/(2*EvSigma^2))))),"")</f>
        <v/>
      </c>
      <c r="O3899">
        <f>IF(B3899,ROUND(MAX(0,J3899*K3899*L3899*M3899*N3899),2),"")</f>
        <v/>
      </c>
    </row>
    <row r="3900">
      <c r="A3900" t="n">
        <v>3899</v>
      </c>
      <c r="B3900">
        <f>A3900&lt;=MineCount*Days</f>
        <v/>
      </c>
      <c r="C3900">
        <f>IF(B3900,INT((A3900-1)/Days)+1,"")</f>
        <v/>
      </c>
      <c r="D3900">
        <f>IF(B3900,MOD(A3900-1,Days),"")</f>
        <v/>
      </c>
      <c r="E3900" s="16">
        <f>IF(B3900,StartDate+D3900,"")</f>
        <v/>
      </c>
      <c r="F3900">
        <f>IF(B3900,MAX(MOD(SIN(Seed*0.1373+C3900*12.9898+D3900*78.233)*43758.5453,1),1E-9),"")</f>
        <v/>
      </c>
      <c r="G3900">
        <f>IF(B3900,MOD(SIN(Seed*0.5917+C3900*39.3468+D3900*11.135)*24634.6345,1),"")</f>
        <v/>
      </c>
      <c r="H3900">
        <f>IF(B3900,SQRT(-2*LN(F3900))*COS(2*PI()*G3900),"")</f>
        <v/>
      </c>
      <c r="I3900">
        <f>IF(B3900,IF(D3900=0,H3900,Rho*I3899+SQRT(1-Rho^2)*H3900),"")</f>
        <v/>
      </c>
      <c r="J3900">
        <f>IF(B3900,IF(Dist="Normal",DistA+DistB*I3900,DistA+(DistB-DistA)*NORMSDIST(I3900)),"")</f>
        <v/>
      </c>
      <c r="K3900">
        <f>IF(B3900,INDEX(MineScale,C3900),"")</f>
        <v/>
      </c>
      <c r="L3900">
        <f>IF(B3900,INDEX(Dow,1,WEEKDAY(E3900,2)),"")</f>
        <v/>
      </c>
      <c r="M3900">
        <f>IF(B3900,(1+Trend)^D3900,"")</f>
        <v/>
      </c>
      <c r="N3900">
        <f>IF(B3900,EXP(SUMPRODUCT(LN(1+(EvEff-1)*INDEX(Affected,0,C3900)*EXP(-((E3900-EvCenter)^2)/(2*EvSigma^2))))),"")</f>
        <v/>
      </c>
      <c r="O3900">
        <f>IF(B3900,ROUND(MAX(0,J3900*K3900*L3900*M3900*N3900),2),"")</f>
        <v/>
      </c>
    </row>
    <row r="3901">
      <c r="A3901" t="n">
        <v>3900</v>
      </c>
      <c r="B3901">
        <f>A3901&lt;=MineCount*Days</f>
        <v/>
      </c>
      <c r="C3901">
        <f>IF(B3901,INT((A3901-1)/Days)+1,"")</f>
        <v/>
      </c>
      <c r="D3901">
        <f>IF(B3901,MOD(A3901-1,Days),"")</f>
        <v/>
      </c>
      <c r="E3901" s="16">
        <f>IF(B3901,StartDate+D3901,"")</f>
        <v/>
      </c>
      <c r="F3901">
        <f>IF(B3901,MAX(MOD(SIN(Seed*0.1373+C3901*12.9898+D3901*78.233)*43758.5453,1),1E-9),"")</f>
        <v/>
      </c>
      <c r="G3901">
        <f>IF(B3901,MOD(SIN(Seed*0.5917+C3901*39.3468+D3901*11.135)*24634.6345,1),"")</f>
        <v/>
      </c>
      <c r="H3901">
        <f>IF(B3901,SQRT(-2*LN(F3901))*COS(2*PI()*G3901),"")</f>
        <v/>
      </c>
      <c r="I3901">
        <f>IF(B3901,IF(D3901=0,H3901,Rho*I3900+SQRT(1-Rho^2)*H3901),"")</f>
        <v/>
      </c>
      <c r="J3901">
        <f>IF(B3901,IF(Dist="Normal",DistA+DistB*I3901,DistA+(DistB-DistA)*NORMSDIST(I3901)),"")</f>
        <v/>
      </c>
      <c r="K3901">
        <f>IF(B3901,INDEX(MineScale,C3901),"")</f>
        <v/>
      </c>
      <c r="L3901">
        <f>IF(B3901,INDEX(Dow,1,WEEKDAY(E3901,2)),"")</f>
        <v/>
      </c>
      <c r="M3901">
        <f>IF(B3901,(1+Trend)^D3901,"")</f>
        <v/>
      </c>
      <c r="N3901">
        <f>IF(B3901,EXP(SUMPRODUCT(LN(1+(EvEff-1)*INDEX(Affected,0,C3901)*EXP(-((E3901-EvCenter)^2)/(2*EvSigma^2))))),"")</f>
        <v/>
      </c>
      <c r="O3901">
        <f>IF(B3901,ROUND(MAX(0,J3901*K3901*L3901*M3901*N3901),2),"")</f>
        <v/>
      </c>
    </row>
    <row r="3902">
      <c r="A3902" t="n">
        <v>3901</v>
      </c>
      <c r="B3902">
        <f>A3902&lt;=MineCount*Days</f>
        <v/>
      </c>
      <c r="C3902">
        <f>IF(B3902,INT((A3902-1)/Days)+1,"")</f>
        <v/>
      </c>
      <c r="D3902">
        <f>IF(B3902,MOD(A3902-1,Days),"")</f>
        <v/>
      </c>
      <c r="E3902" s="16">
        <f>IF(B3902,StartDate+D3902,"")</f>
        <v/>
      </c>
      <c r="F3902">
        <f>IF(B3902,MAX(MOD(SIN(Seed*0.1373+C3902*12.9898+D3902*78.233)*43758.5453,1),1E-9),"")</f>
        <v/>
      </c>
      <c r="G3902">
        <f>IF(B3902,MOD(SIN(Seed*0.5917+C3902*39.3468+D3902*11.135)*24634.6345,1),"")</f>
        <v/>
      </c>
      <c r="H3902">
        <f>IF(B3902,SQRT(-2*LN(F3902))*COS(2*PI()*G3902),"")</f>
        <v/>
      </c>
      <c r="I3902">
        <f>IF(B3902,IF(D3902=0,H3902,Rho*I3901+SQRT(1-Rho^2)*H3902),"")</f>
        <v/>
      </c>
      <c r="J3902">
        <f>IF(B3902,IF(Dist="Normal",DistA+DistB*I3902,DistA+(DistB-DistA)*NORMSDIST(I3902)),"")</f>
        <v/>
      </c>
      <c r="K3902">
        <f>IF(B3902,INDEX(MineScale,C3902),"")</f>
        <v/>
      </c>
      <c r="L3902">
        <f>IF(B3902,INDEX(Dow,1,WEEKDAY(E3902,2)),"")</f>
        <v/>
      </c>
      <c r="M3902">
        <f>IF(B3902,(1+Trend)^D3902,"")</f>
        <v/>
      </c>
      <c r="N3902">
        <f>IF(B3902,EXP(SUMPRODUCT(LN(1+(EvEff-1)*INDEX(Affected,0,C3902)*EXP(-((E3902-EvCenter)^2)/(2*EvSigma^2))))),"")</f>
        <v/>
      </c>
      <c r="O3902">
        <f>IF(B3902,ROUND(MAX(0,J3902*K3902*L3902*M3902*N3902),2),"")</f>
        <v/>
      </c>
    </row>
    <row r="3903">
      <c r="A3903" t="n">
        <v>3902</v>
      </c>
      <c r="B3903">
        <f>A3903&lt;=MineCount*Days</f>
        <v/>
      </c>
      <c r="C3903">
        <f>IF(B3903,INT((A3903-1)/Days)+1,"")</f>
        <v/>
      </c>
      <c r="D3903">
        <f>IF(B3903,MOD(A3903-1,Days),"")</f>
        <v/>
      </c>
      <c r="E3903" s="16">
        <f>IF(B3903,StartDate+D3903,"")</f>
        <v/>
      </c>
      <c r="F3903">
        <f>IF(B3903,MAX(MOD(SIN(Seed*0.1373+C3903*12.9898+D3903*78.233)*43758.5453,1),1E-9),"")</f>
        <v/>
      </c>
      <c r="G3903">
        <f>IF(B3903,MOD(SIN(Seed*0.5917+C3903*39.3468+D3903*11.135)*24634.6345,1),"")</f>
        <v/>
      </c>
      <c r="H3903">
        <f>IF(B3903,SQRT(-2*LN(F3903))*COS(2*PI()*G3903),"")</f>
        <v/>
      </c>
      <c r="I3903">
        <f>IF(B3903,IF(D3903=0,H3903,Rho*I3902+SQRT(1-Rho^2)*H3903),"")</f>
        <v/>
      </c>
      <c r="J3903">
        <f>IF(B3903,IF(Dist="Normal",DistA+DistB*I3903,DistA+(DistB-DistA)*NORMSDIST(I3903)),"")</f>
        <v/>
      </c>
      <c r="K3903">
        <f>IF(B3903,INDEX(MineScale,C3903),"")</f>
        <v/>
      </c>
      <c r="L3903">
        <f>IF(B3903,INDEX(Dow,1,WEEKDAY(E3903,2)),"")</f>
        <v/>
      </c>
      <c r="M3903">
        <f>IF(B3903,(1+Trend)^D3903,"")</f>
        <v/>
      </c>
      <c r="N3903">
        <f>IF(B3903,EXP(SUMPRODUCT(LN(1+(EvEff-1)*INDEX(Affected,0,C3903)*EXP(-((E3903-EvCenter)^2)/(2*EvSigma^2))))),"")</f>
        <v/>
      </c>
      <c r="O3903">
        <f>IF(B3903,ROUND(MAX(0,J3903*K3903*L3903*M3903*N3903),2),"")</f>
        <v/>
      </c>
    </row>
    <row r="3904">
      <c r="A3904" t="n">
        <v>3903</v>
      </c>
      <c r="B3904">
        <f>A3904&lt;=MineCount*Days</f>
        <v/>
      </c>
      <c r="C3904">
        <f>IF(B3904,INT((A3904-1)/Days)+1,"")</f>
        <v/>
      </c>
      <c r="D3904">
        <f>IF(B3904,MOD(A3904-1,Days),"")</f>
        <v/>
      </c>
      <c r="E3904" s="16">
        <f>IF(B3904,StartDate+D3904,"")</f>
        <v/>
      </c>
      <c r="F3904">
        <f>IF(B3904,MAX(MOD(SIN(Seed*0.1373+C3904*12.9898+D3904*78.233)*43758.5453,1),1E-9),"")</f>
        <v/>
      </c>
      <c r="G3904">
        <f>IF(B3904,MOD(SIN(Seed*0.5917+C3904*39.3468+D3904*11.135)*24634.6345,1),"")</f>
        <v/>
      </c>
      <c r="H3904">
        <f>IF(B3904,SQRT(-2*LN(F3904))*COS(2*PI()*G3904),"")</f>
        <v/>
      </c>
      <c r="I3904">
        <f>IF(B3904,IF(D3904=0,H3904,Rho*I3903+SQRT(1-Rho^2)*H3904),"")</f>
        <v/>
      </c>
      <c r="J3904">
        <f>IF(B3904,IF(Dist="Normal",DistA+DistB*I3904,DistA+(DistB-DistA)*NORMSDIST(I3904)),"")</f>
        <v/>
      </c>
      <c r="K3904">
        <f>IF(B3904,INDEX(MineScale,C3904),"")</f>
        <v/>
      </c>
      <c r="L3904">
        <f>IF(B3904,INDEX(Dow,1,WEEKDAY(E3904,2)),"")</f>
        <v/>
      </c>
      <c r="M3904">
        <f>IF(B3904,(1+Trend)^D3904,"")</f>
        <v/>
      </c>
      <c r="N3904">
        <f>IF(B3904,EXP(SUMPRODUCT(LN(1+(EvEff-1)*INDEX(Affected,0,C3904)*EXP(-((E3904-EvCenter)^2)/(2*EvSigma^2))))),"")</f>
        <v/>
      </c>
      <c r="O3904">
        <f>IF(B3904,ROUND(MAX(0,J3904*K3904*L3904*M3904*N3904),2),"")</f>
        <v/>
      </c>
    </row>
    <row r="3905">
      <c r="A3905" t="n">
        <v>3904</v>
      </c>
      <c r="B3905">
        <f>A3905&lt;=MineCount*Days</f>
        <v/>
      </c>
      <c r="C3905">
        <f>IF(B3905,INT((A3905-1)/Days)+1,"")</f>
        <v/>
      </c>
      <c r="D3905">
        <f>IF(B3905,MOD(A3905-1,Days),"")</f>
        <v/>
      </c>
      <c r="E3905" s="16">
        <f>IF(B3905,StartDate+D3905,"")</f>
        <v/>
      </c>
      <c r="F3905">
        <f>IF(B3905,MAX(MOD(SIN(Seed*0.1373+C3905*12.9898+D3905*78.233)*43758.5453,1),1E-9),"")</f>
        <v/>
      </c>
      <c r="G3905">
        <f>IF(B3905,MOD(SIN(Seed*0.5917+C3905*39.3468+D3905*11.135)*24634.6345,1),"")</f>
        <v/>
      </c>
      <c r="H3905">
        <f>IF(B3905,SQRT(-2*LN(F3905))*COS(2*PI()*G3905),"")</f>
        <v/>
      </c>
      <c r="I3905">
        <f>IF(B3905,IF(D3905=0,H3905,Rho*I3904+SQRT(1-Rho^2)*H3905),"")</f>
        <v/>
      </c>
      <c r="J3905">
        <f>IF(B3905,IF(Dist="Normal",DistA+DistB*I3905,DistA+(DistB-DistA)*NORMSDIST(I3905)),"")</f>
        <v/>
      </c>
      <c r="K3905">
        <f>IF(B3905,INDEX(MineScale,C3905),"")</f>
        <v/>
      </c>
      <c r="L3905">
        <f>IF(B3905,INDEX(Dow,1,WEEKDAY(E3905,2)),"")</f>
        <v/>
      </c>
      <c r="M3905">
        <f>IF(B3905,(1+Trend)^D3905,"")</f>
        <v/>
      </c>
      <c r="N3905">
        <f>IF(B3905,EXP(SUMPRODUCT(LN(1+(EvEff-1)*INDEX(Affected,0,C3905)*EXP(-((E3905-EvCenter)^2)/(2*EvSigma^2))))),"")</f>
        <v/>
      </c>
      <c r="O3905">
        <f>IF(B3905,ROUND(MAX(0,J3905*K3905*L3905*M3905*N3905),2),"")</f>
        <v/>
      </c>
    </row>
    <row r="3906">
      <c r="A3906" t="n">
        <v>3905</v>
      </c>
      <c r="B3906">
        <f>A3906&lt;=MineCount*Days</f>
        <v/>
      </c>
      <c r="C3906">
        <f>IF(B3906,INT((A3906-1)/Days)+1,"")</f>
        <v/>
      </c>
      <c r="D3906">
        <f>IF(B3906,MOD(A3906-1,Days),"")</f>
        <v/>
      </c>
      <c r="E3906" s="16">
        <f>IF(B3906,StartDate+D3906,"")</f>
        <v/>
      </c>
      <c r="F3906">
        <f>IF(B3906,MAX(MOD(SIN(Seed*0.1373+C3906*12.9898+D3906*78.233)*43758.5453,1),1E-9),"")</f>
        <v/>
      </c>
      <c r="G3906">
        <f>IF(B3906,MOD(SIN(Seed*0.5917+C3906*39.3468+D3906*11.135)*24634.6345,1),"")</f>
        <v/>
      </c>
      <c r="H3906">
        <f>IF(B3906,SQRT(-2*LN(F3906))*COS(2*PI()*G3906),"")</f>
        <v/>
      </c>
      <c r="I3906">
        <f>IF(B3906,IF(D3906=0,H3906,Rho*I3905+SQRT(1-Rho^2)*H3906),"")</f>
        <v/>
      </c>
      <c r="J3906">
        <f>IF(B3906,IF(Dist="Normal",DistA+DistB*I3906,DistA+(DistB-DistA)*NORMSDIST(I3906)),"")</f>
        <v/>
      </c>
      <c r="K3906">
        <f>IF(B3906,INDEX(MineScale,C3906),"")</f>
        <v/>
      </c>
      <c r="L3906">
        <f>IF(B3906,INDEX(Dow,1,WEEKDAY(E3906,2)),"")</f>
        <v/>
      </c>
      <c r="M3906">
        <f>IF(B3906,(1+Trend)^D3906,"")</f>
        <v/>
      </c>
      <c r="N3906">
        <f>IF(B3906,EXP(SUMPRODUCT(LN(1+(EvEff-1)*INDEX(Affected,0,C3906)*EXP(-((E3906-EvCenter)^2)/(2*EvSigma^2))))),"")</f>
        <v/>
      </c>
      <c r="O3906">
        <f>IF(B3906,ROUND(MAX(0,J3906*K3906*L3906*M3906*N3906),2),"")</f>
        <v/>
      </c>
    </row>
    <row r="3907">
      <c r="A3907" t="n">
        <v>3906</v>
      </c>
      <c r="B3907">
        <f>A3907&lt;=MineCount*Days</f>
        <v/>
      </c>
      <c r="C3907">
        <f>IF(B3907,INT((A3907-1)/Days)+1,"")</f>
        <v/>
      </c>
      <c r="D3907">
        <f>IF(B3907,MOD(A3907-1,Days),"")</f>
        <v/>
      </c>
      <c r="E3907" s="16">
        <f>IF(B3907,StartDate+D3907,"")</f>
        <v/>
      </c>
      <c r="F3907">
        <f>IF(B3907,MAX(MOD(SIN(Seed*0.1373+C3907*12.9898+D3907*78.233)*43758.5453,1),1E-9),"")</f>
        <v/>
      </c>
      <c r="G3907">
        <f>IF(B3907,MOD(SIN(Seed*0.5917+C3907*39.3468+D3907*11.135)*24634.6345,1),"")</f>
        <v/>
      </c>
      <c r="H3907">
        <f>IF(B3907,SQRT(-2*LN(F3907))*COS(2*PI()*G3907),"")</f>
        <v/>
      </c>
      <c r="I3907">
        <f>IF(B3907,IF(D3907=0,H3907,Rho*I3906+SQRT(1-Rho^2)*H3907),"")</f>
        <v/>
      </c>
      <c r="J3907">
        <f>IF(B3907,IF(Dist="Normal",DistA+DistB*I3907,DistA+(DistB-DistA)*NORMSDIST(I3907)),"")</f>
        <v/>
      </c>
      <c r="K3907">
        <f>IF(B3907,INDEX(MineScale,C3907),"")</f>
        <v/>
      </c>
      <c r="L3907">
        <f>IF(B3907,INDEX(Dow,1,WEEKDAY(E3907,2)),"")</f>
        <v/>
      </c>
      <c r="M3907">
        <f>IF(B3907,(1+Trend)^D3907,"")</f>
        <v/>
      </c>
      <c r="N3907">
        <f>IF(B3907,EXP(SUMPRODUCT(LN(1+(EvEff-1)*INDEX(Affected,0,C3907)*EXP(-((E3907-EvCenter)^2)/(2*EvSigma^2))))),"")</f>
        <v/>
      </c>
      <c r="O3907">
        <f>IF(B3907,ROUND(MAX(0,J3907*K3907*L3907*M3907*N3907),2),"")</f>
        <v/>
      </c>
    </row>
    <row r="3908">
      <c r="A3908" t="n">
        <v>3907</v>
      </c>
      <c r="B3908">
        <f>A3908&lt;=MineCount*Days</f>
        <v/>
      </c>
      <c r="C3908">
        <f>IF(B3908,INT((A3908-1)/Days)+1,"")</f>
        <v/>
      </c>
      <c r="D3908">
        <f>IF(B3908,MOD(A3908-1,Days),"")</f>
        <v/>
      </c>
      <c r="E3908" s="16">
        <f>IF(B3908,StartDate+D3908,"")</f>
        <v/>
      </c>
      <c r="F3908">
        <f>IF(B3908,MAX(MOD(SIN(Seed*0.1373+C3908*12.9898+D3908*78.233)*43758.5453,1),1E-9),"")</f>
        <v/>
      </c>
      <c r="G3908">
        <f>IF(B3908,MOD(SIN(Seed*0.5917+C3908*39.3468+D3908*11.135)*24634.6345,1),"")</f>
        <v/>
      </c>
      <c r="H3908">
        <f>IF(B3908,SQRT(-2*LN(F3908))*COS(2*PI()*G3908),"")</f>
        <v/>
      </c>
      <c r="I3908">
        <f>IF(B3908,IF(D3908=0,H3908,Rho*I3907+SQRT(1-Rho^2)*H3908),"")</f>
        <v/>
      </c>
      <c r="J3908">
        <f>IF(B3908,IF(Dist="Normal",DistA+DistB*I3908,DistA+(DistB-DistA)*NORMSDIST(I3908)),"")</f>
        <v/>
      </c>
      <c r="K3908">
        <f>IF(B3908,INDEX(MineScale,C3908),"")</f>
        <v/>
      </c>
      <c r="L3908">
        <f>IF(B3908,INDEX(Dow,1,WEEKDAY(E3908,2)),"")</f>
        <v/>
      </c>
      <c r="M3908">
        <f>IF(B3908,(1+Trend)^D3908,"")</f>
        <v/>
      </c>
      <c r="N3908">
        <f>IF(B3908,EXP(SUMPRODUCT(LN(1+(EvEff-1)*INDEX(Affected,0,C3908)*EXP(-((E3908-EvCenter)^2)/(2*EvSigma^2))))),"")</f>
        <v/>
      </c>
      <c r="O3908">
        <f>IF(B3908,ROUND(MAX(0,J3908*K3908*L3908*M3908*N3908),2),"")</f>
        <v/>
      </c>
    </row>
    <row r="3909">
      <c r="A3909" t="n">
        <v>3908</v>
      </c>
      <c r="B3909">
        <f>A3909&lt;=MineCount*Days</f>
        <v/>
      </c>
      <c r="C3909">
        <f>IF(B3909,INT((A3909-1)/Days)+1,"")</f>
        <v/>
      </c>
      <c r="D3909">
        <f>IF(B3909,MOD(A3909-1,Days),"")</f>
        <v/>
      </c>
      <c r="E3909" s="16">
        <f>IF(B3909,StartDate+D3909,"")</f>
        <v/>
      </c>
      <c r="F3909">
        <f>IF(B3909,MAX(MOD(SIN(Seed*0.1373+C3909*12.9898+D3909*78.233)*43758.5453,1),1E-9),"")</f>
        <v/>
      </c>
      <c r="G3909">
        <f>IF(B3909,MOD(SIN(Seed*0.5917+C3909*39.3468+D3909*11.135)*24634.6345,1),"")</f>
        <v/>
      </c>
      <c r="H3909">
        <f>IF(B3909,SQRT(-2*LN(F3909))*COS(2*PI()*G3909),"")</f>
        <v/>
      </c>
      <c r="I3909">
        <f>IF(B3909,IF(D3909=0,H3909,Rho*I3908+SQRT(1-Rho^2)*H3909),"")</f>
        <v/>
      </c>
      <c r="J3909">
        <f>IF(B3909,IF(Dist="Normal",DistA+DistB*I3909,DistA+(DistB-DistA)*NORMSDIST(I3909)),"")</f>
        <v/>
      </c>
      <c r="K3909">
        <f>IF(B3909,INDEX(MineScale,C3909),"")</f>
        <v/>
      </c>
      <c r="L3909">
        <f>IF(B3909,INDEX(Dow,1,WEEKDAY(E3909,2)),"")</f>
        <v/>
      </c>
      <c r="M3909">
        <f>IF(B3909,(1+Trend)^D3909,"")</f>
        <v/>
      </c>
      <c r="N3909">
        <f>IF(B3909,EXP(SUMPRODUCT(LN(1+(EvEff-1)*INDEX(Affected,0,C3909)*EXP(-((E3909-EvCenter)^2)/(2*EvSigma^2))))),"")</f>
        <v/>
      </c>
      <c r="O3909">
        <f>IF(B3909,ROUND(MAX(0,J3909*K3909*L3909*M3909*N3909),2),"")</f>
        <v/>
      </c>
    </row>
    <row r="3910">
      <c r="A3910" t="n">
        <v>3909</v>
      </c>
      <c r="B3910">
        <f>A3910&lt;=MineCount*Days</f>
        <v/>
      </c>
      <c r="C3910">
        <f>IF(B3910,INT((A3910-1)/Days)+1,"")</f>
        <v/>
      </c>
      <c r="D3910">
        <f>IF(B3910,MOD(A3910-1,Days),"")</f>
        <v/>
      </c>
      <c r="E3910" s="16">
        <f>IF(B3910,StartDate+D3910,"")</f>
        <v/>
      </c>
      <c r="F3910">
        <f>IF(B3910,MAX(MOD(SIN(Seed*0.1373+C3910*12.9898+D3910*78.233)*43758.5453,1),1E-9),"")</f>
        <v/>
      </c>
      <c r="G3910">
        <f>IF(B3910,MOD(SIN(Seed*0.5917+C3910*39.3468+D3910*11.135)*24634.6345,1),"")</f>
        <v/>
      </c>
      <c r="H3910">
        <f>IF(B3910,SQRT(-2*LN(F3910))*COS(2*PI()*G3910),"")</f>
        <v/>
      </c>
      <c r="I3910">
        <f>IF(B3910,IF(D3910=0,H3910,Rho*I3909+SQRT(1-Rho^2)*H3910),"")</f>
        <v/>
      </c>
      <c r="J3910">
        <f>IF(B3910,IF(Dist="Normal",DistA+DistB*I3910,DistA+(DistB-DistA)*NORMSDIST(I3910)),"")</f>
        <v/>
      </c>
      <c r="K3910">
        <f>IF(B3910,INDEX(MineScale,C3910),"")</f>
        <v/>
      </c>
      <c r="L3910">
        <f>IF(B3910,INDEX(Dow,1,WEEKDAY(E3910,2)),"")</f>
        <v/>
      </c>
      <c r="M3910">
        <f>IF(B3910,(1+Trend)^D3910,"")</f>
        <v/>
      </c>
      <c r="N3910">
        <f>IF(B3910,EXP(SUMPRODUCT(LN(1+(EvEff-1)*INDEX(Affected,0,C3910)*EXP(-((E3910-EvCenter)^2)/(2*EvSigma^2))))),"")</f>
        <v/>
      </c>
      <c r="O3910">
        <f>IF(B3910,ROUND(MAX(0,J3910*K3910*L3910*M3910*N3910),2),"")</f>
        <v/>
      </c>
    </row>
    <row r="3911">
      <c r="A3911" t="n">
        <v>3910</v>
      </c>
      <c r="B3911">
        <f>A3911&lt;=MineCount*Days</f>
        <v/>
      </c>
      <c r="C3911">
        <f>IF(B3911,INT((A3911-1)/Days)+1,"")</f>
        <v/>
      </c>
      <c r="D3911">
        <f>IF(B3911,MOD(A3911-1,Days),"")</f>
        <v/>
      </c>
      <c r="E3911" s="16">
        <f>IF(B3911,StartDate+D3911,"")</f>
        <v/>
      </c>
      <c r="F3911">
        <f>IF(B3911,MAX(MOD(SIN(Seed*0.1373+C3911*12.9898+D3911*78.233)*43758.5453,1),1E-9),"")</f>
        <v/>
      </c>
      <c r="G3911">
        <f>IF(B3911,MOD(SIN(Seed*0.5917+C3911*39.3468+D3911*11.135)*24634.6345,1),"")</f>
        <v/>
      </c>
      <c r="H3911">
        <f>IF(B3911,SQRT(-2*LN(F3911))*COS(2*PI()*G3911),"")</f>
        <v/>
      </c>
      <c r="I3911">
        <f>IF(B3911,IF(D3911=0,H3911,Rho*I3910+SQRT(1-Rho^2)*H3911),"")</f>
        <v/>
      </c>
      <c r="J3911">
        <f>IF(B3911,IF(Dist="Normal",DistA+DistB*I3911,DistA+(DistB-DistA)*NORMSDIST(I3911)),"")</f>
        <v/>
      </c>
      <c r="K3911">
        <f>IF(B3911,INDEX(MineScale,C3911),"")</f>
        <v/>
      </c>
      <c r="L3911">
        <f>IF(B3911,INDEX(Dow,1,WEEKDAY(E3911,2)),"")</f>
        <v/>
      </c>
      <c r="M3911">
        <f>IF(B3911,(1+Trend)^D3911,"")</f>
        <v/>
      </c>
      <c r="N3911">
        <f>IF(B3911,EXP(SUMPRODUCT(LN(1+(EvEff-1)*INDEX(Affected,0,C3911)*EXP(-((E3911-EvCenter)^2)/(2*EvSigma^2))))),"")</f>
        <v/>
      </c>
      <c r="O3911">
        <f>IF(B3911,ROUND(MAX(0,J3911*K3911*L3911*M3911*N3911),2),"")</f>
        <v/>
      </c>
    </row>
    <row r="3912">
      <c r="A3912" t="n">
        <v>3911</v>
      </c>
      <c r="B3912">
        <f>A3912&lt;=MineCount*Days</f>
        <v/>
      </c>
      <c r="C3912">
        <f>IF(B3912,INT((A3912-1)/Days)+1,"")</f>
        <v/>
      </c>
      <c r="D3912">
        <f>IF(B3912,MOD(A3912-1,Days),"")</f>
        <v/>
      </c>
      <c r="E3912" s="16">
        <f>IF(B3912,StartDate+D3912,"")</f>
        <v/>
      </c>
      <c r="F3912">
        <f>IF(B3912,MAX(MOD(SIN(Seed*0.1373+C3912*12.9898+D3912*78.233)*43758.5453,1),1E-9),"")</f>
        <v/>
      </c>
      <c r="G3912">
        <f>IF(B3912,MOD(SIN(Seed*0.5917+C3912*39.3468+D3912*11.135)*24634.6345,1),"")</f>
        <v/>
      </c>
      <c r="H3912">
        <f>IF(B3912,SQRT(-2*LN(F3912))*COS(2*PI()*G3912),"")</f>
        <v/>
      </c>
      <c r="I3912">
        <f>IF(B3912,IF(D3912=0,H3912,Rho*I3911+SQRT(1-Rho^2)*H3912),"")</f>
        <v/>
      </c>
      <c r="J3912">
        <f>IF(B3912,IF(Dist="Normal",DistA+DistB*I3912,DistA+(DistB-DistA)*NORMSDIST(I3912)),"")</f>
        <v/>
      </c>
      <c r="K3912">
        <f>IF(B3912,INDEX(MineScale,C3912),"")</f>
        <v/>
      </c>
      <c r="L3912">
        <f>IF(B3912,INDEX(Dow,1,WEEKDAY(E3912,2)),"")</f>
        <v/>
      </c>
      <c r="M3912">
        <f>IF(B3912,(1+Trend)^D3912,"")</f>
        <v/>
      </c>
      <c r="N3912">
        <f>IF(B3912,EXP(SUMPRODUCT(LN(1+(EvEff-1)*INDEX(Affected,0,C3912)*EXP(-((E3912-EvCenter)^2)/(2*EvSigma^2))))),"")</f>
        <v/>
      </c>
      <c r="O3912">
        <f>IF(B3912,ROUND(MAX(0,J3912*K3912*L3912*M3912*N3912),2),"")</f>
        <v/>
      </c>
    </row>
    <row r="3913">
      <c r="A3913" t="n">
        <v>3912</v>
      </c>
      <c r="B3913">
        <f>A3913&lt;=MineCount*Days</f>
        <v/>
      </c>
      <c r="C3913">
        <f>IF(B3913,INT((A3913-1)/Days)+1,"")</f>
        <v/>
      </c>
      <c r="D3913">
        <f>IF(B3913,MOD(A3913-1,Days),"")</f>
        <v/>
      </c>
      <c r="E3913" s="16">
        <f>IF(B3913,StartDate+D3913,"")</f>
        <v/>
      </c>
      <c r="F3913">
        <f>IF(B3913,MAX(MOD(SIN(Seed*0.1373+C3913*12.9898+D3913*78.233)*43758.5453,1),1E-9),"")</f>
        <v/>
      </c>
      <c r="G3913">
        <f>IF(B3913,MOD(SIN(Seed*0.5917+C3913*39.3468+D3913*11.135)*24634.6345,1),"")</f>
        <v/>
      </c>
      <c r="H3913">
        <f>IF(B3913,SQRT(-2*LN(F3913))*COS(2*PI()*G3913),"")</f>
        <v/>
      </c>
      <c r="I3913">
        <f>IF(B3913,IF(D3913=0,H3913,Rho*I3912+SQRT(1-Rho^2)*H3913),"")</f>
        <v/>
      </c>
      <c r="J3913">
        <f>IF(B3913,IF(Dist="Normal",DistA+DistB*I3913,DistA+(DistB-DistA)*NORMSDIST(I3913)),"")</f>
        <v/>
      </c>
      <c r="K3913">
        <f>IF(B3913,INDEX(MineScale,C3913),"")</f>
        <v/>
      </c>
      <c r="L3913">
        <f>IF(B3913,INDEX(Dow,1,WEEKDAY(E3913,2)),"")</f>
        <v/>
      </c>
      <c r="M3913">
        <f>IF(B3913,(1+Trend)^D3913,"")</f>
        <v/>
      </c>
      <c r="N3913">
        <f>IF(B3913,EXP(SUMPRODUCT(LN(1+(EvEff-1)*INDEX(Affected,0,C3913)*EXP(-((E3913-EvCenter)^2)/(2*EvSigma^2))))),"")</f>
        <v/>
      </c>
      <c r="O3913">
        <f>IF(B3913,ROUND(MAX(0,J3913*K3913*L3913*M3913*N3913),2),"")</f>
        <v/>
      </c>
    </row>
    <row r="3914">
      <c r="A3914" t="n">
        <v>3913</v>
      </c>
      <c r="B3914">
        <f>A3914&lt;=MineCount*Days</f>
        <v/>
      </c>
      <c r="C3914">
        <f>IF(B3914,INT((A3914-1)/Days)+1,"")</f>
        <v/>
      </c>
      <c r="D3914">
        <f>IF(B3914,MOD(A3914-1,Days),"")</f>
        <v/>
      </c>
      <c r="E3914" s="16">
        <f>IF(B3914,StartDate+D3914,"")</f>
        <v/>
      </c>
      <c r="F3914">
        <f>IF(B3914,MAX(MOD(SIN(Seed*0.1373+C3914*12.9898+D3914*78.233)*43758.5453,1),1E-9),"")</f>
        <v/>
      </c>
      <c r="G3914">
        <f>IF(B3914,MOD(SIN(Seed*0.5917+C3914*39.3468+D3914*11.135)*24634.6345,1),"")</f>
        <v/>
      </c>
      <c r="H3914">
        <f>IF(B3914,SQRT(-2*LN(F3914))*COS(2*PI()*G3914),"")</f>
        <v/>
      </c>
      <c r="I3914">
        <f>IF(B3914,IF(D3914=0,H3914,Rho*I3913+SQRT(1-Rho^2)*H3914),"")</f>
        <v/>
      </c>
      <c r="J3914">
        <f>IF(B3914,IF(Dist="Normal",DistA+DistB*I3914,DistA+(DistB-DistA)*NORMSDIST(I3914)),"")</f>
        <v/>
      </c>
      <c r="K3914">
        <f>IF(B3914,INDEX(MineScale,C3914),"")</f>
        <v/>
      </c>
      <c r="L3914">
        <f>IF(B3914,INDEX(Dow,1,WEEKDAY(E3914,2)),"")</f>
        <v/>
      </c>
      <c r="M3914">
        <f>IF(B3914,(1+Trend)^D3914,"")</f>
        <v/>
      </c>
      <c r="N3914">
        <f>IF(B3914,EXP(SUMPRODUCT(LN(1+(EvEff-1)*INDEX(Affected,0,C3914)*EXP(-((E3914-EvCenter)^2)/(2*EvSigma^2))))),"")</f>
        <v/>
      </c>
      <c r="O3914">
        <f>IF(B3914,ROUND(MAX(0,J3914*K3914*L3914*M3914*N3914),2),"")</f>
        <v/>
      </c>
    </row>
    <row r="3915">
      <c r="A3915" t="n">
        <v>3914</v>
      </c>
      <c r="B3915">
        <f>A3915&lt;=MineCount*Days</f>
        <v/>
      </c>
      <c r="C3915">
        <f>IF(B3915,INT((A3915-1)/Days)+1,"")</f>
        <v/>
      </c>
      <c r="D3915">
        <f>IF(B3915,MOD(A3915-1,Days),"")</f>
        <v/>
      </c>
      <c r="E3915" s="16">
        <f>IF(B3915,StartDate+D3915,"")</f>
        <v/>
      </c>
      <c r="F3915">
        <f>IF(B3915,MAX(MOD(SIN(Seed*0.1373+C3915*12.9898+D3915*78.233)*43758.5453,1),1E-9),"")</f>
        <v/>
      </c>
      <c r="G3915">
        <f>IF(B3915,MOD(SIN(Seed*0.5917+C3915*39.3468+D3915*11.135)*24634.6345,1),"")</f>
        <v/>
      </c>
      <c r="H3915">
        <f>IF(B3915,SQRT(-2*LN(F3915))*COS(2*PI()*G3915),"")</f>
        <v/>
      </c>
      <c r="I3915">
        <f>IF(B3915,IF(D3915=0,H3915,Rho*I3914+SQRT(1-Rho^2)*H3915),"")</f>
        <v/>
      </c>
      <c r="J3915">
        <f>IF(B3915,IF(Dist="Normal",DistA+DistB*I3915,DistA+(DistB-DistA)*NORMSDIST(I3915)),"")</f>
        <v/>
      </c>
      <c r="K3915">
        <f>IF(B3915,INDEX(MineScale,C3915),"")</f>
        <v/>
      </c>
      <c r="L3915">
        <f>IF(B3915,INDEX(Dow,1,WEEKDAY(E3915,2)),"")</f>
        <v/>
      </c>
      <c r="M3915">
        <f>IF(B3915,(1+Trend)^D3915,"")</f>
        <v/>
      </c>
      <c r="N3915">
        <f>IF(B3915,EXP(SUMPRODUCT(LN(1+(EvEff-1)*INDEX(Affected,0,C3915)*EXP(-((E3915-EvCenter)^2)/(2*EvSigma^2))))),"")</f>
        <v/>
      </c>
      <c r="O3915">
        <f>IF(B3915,ROUND(MAX(0,J3915*K3915*L3915*M3915*N3915),2),"")</f>
        <v/>
      </c>
    </row>
    <row r="3916">
      <c r="A3916" t="n">
        <v>3915</v>
      </c>
      <c r="B3916">
        <f>A3916&lt;=MineCount*Days</f>
        <v/>
      </c>
      <c r="C3916">
        <f>IF(B3916,INT((A3916-1)/Days)+1,"")</f>
        <v/>
      </c>
      <c r="D3916">
        <f>IF(B3916,MOD(A3916-1,Days),"")</f>
        <v/>
      </c>
      <c r="E3916" s="16">
        <f>IF(B3916,StartDate+D3916,"")</f>
        <v/>
      </c>
      <c r="F3916">
        <f>IF(B3916,MAX(MOD(SIN(Seed*0.1373+C3916*12.9898+D3916*78.233)*43758.5453,1),1E-9),"")</f>
        <v/>
      </c>
      <c r="G3916">
        <f>IF(B3916,MOD(SIN(Seed*0.5917+C3916*39.3468+D3916*11.135)*24634.6345,1),"")</f>
        <v/>
      </c>
      <c r="H3916">
        <f>IF(B3916,SQRT(-2*LN(F3916))*COS(2*PI()*G3916),"")</f>
        <v/>
      </c>
      <c r="I3916">
        <f>IF(B3916,IF(D3916=0,H3916,Rho*I3915+SQRT(1-Rho^2)*H3916),"")</f>
        <v/>
      </c>
      <c r="J3916">
        <f>IF(B3916,IF(Dist="Normal",DistA+DistB*I3916,DistA+(DistB-DistA)*NORMSDIST(I3916)),"")</f>
        <v/>
      </c>
      <c r="K3916">
        <f>IF(B3916,INDEX(MineScale,C3916),"")</f>
        <v/>
      </c>
      <c r="L3916">
        <f>IF(B3916,INDEX(Dow,1,WEEKDAY(E3916,2)),"")</f>
        <v/>
      </c>
      <c r="M3916">
        <f>IF(B3916,(1+Trend)^D3916,"")</f>
        <v/>
      </c>
      <c r="N3916">
        <f>IF(B3916,EXP(SUMPRODUCT(LN(1+(EvEff-1)*INDEX(Affected,0,C3916)*EXP(-((E3916-EvCenter)^2)/(2*EvSigma^2))))),"")</f>
        <v/>
      </c>
      <c r="O3916">
        <f>IF(B3916,ROUND(MAX(0,J3916*K3916*L3916*M3916*N3916),2),"")</f>
        <v/>
      </c>
    </row>
    <row r="3917">
      <c r="A3917" t="n">
        <v>3916</v>
      </c>
      <c r="B3917">
        <f>A3917&lt;=MineCount*Days</f>
        <v/>
      </c>
      <c r="C3917">
        <f>IF(B3917,INT((A3917-1)/Days)+1,"")</f>
        <v/>
      </c>
      <c r="D3917">
        <f>IF(B3917,MOD(A3917-1,Days),"")</f>
        <v/>
      </c>
      <c r="E3917" s="16">
        <f>IF(B3917,StartDate+D3917,"")</f>
        <v/>
      </c>
      <c r="F3917">
        <f>IF(B3917,MAX(MOD(SIN(Seed*0.1373+C3917*12.9898+D3917*78.233)*43758.5453,1),1E-9),"")</f>
        <v/>
      </c>
      <c r="G3917">
        <f>IF(B3917,MOD(SIN(Seed*0.5917+C3917*39.3468+D3917*11.135)*24634.6345,1),"")</f>
        <v/>
      </c>
      <c r="H3917">
        <f>IF(B3917,SQRT(-2*LN(F3917))*COS(2*PI()*G3917),"")</f>
        <v/>
      </c>
      <c r="I3917">
        <f>IF(B3917,IF(D3917=0,H3917,Rho*I3916+SQRT(1-Rho^2)*H3917),"")</f>
        <v/>
      </c>
      <c r="J3917">
        <f>IF(B3917,IF(Dist="Normal",DistA+DistB*I3917,DistA+(DistB-DistA)*NORMSDIST(I3917)),"")</f>
        <v/>
      </c>
      <c r="K3917">
        <f>IF(B3917,INDEX(MineScale,C3917),"")</f>
        <v/>
      </c>
      <c r="L3917">
        <f>IF(B3917,INDEX(Dow,1,WEEKDAY(E3917,2)),"")</f>
        <v/>
      </c>
      <c r="M3917">
        <f>IF(B3917,(1+Trend)^D3917,"")</f>
        <v/>
      </c>
      <c r="N3917">
        <f>IF(B3917,EXP(SUMPRODUCT(LN(1+(EvEff-1)*INDEX(Affected,0,C3917)*EXP(-((E3917-EvCenter)^2)/(2*EvSigma^2))))),"")</f>
        <v/>
      </c>
      <c r="O3917">
        <f>IF(B3917,ROUND(MAX(0,J3917*K3917*L3917*M3917*N3917),2),"")</f>
        <v/>
      </c>
    </row>
    <row r="3918">
      <c r="A3918" t="n">
        <v>3917</v>
      </c>
      <c r="B3918">
        <f>A3918&lt;=MineCount*Days</f>
        <v/>
      </c>
      <c r="C3918">
        <f>IF(B3918,INT((A3918-1)/Days)+1,"")</f>
        <v/>
      </c>
      <c r="D3918">
        <f>IF(B3918,MOD(A3918-1,Days),"")</f>
        <v/>
      </c>
      <c r="E3918" s="16">
        <f>IF(B3918,StartDate+D3918,"")</f>
        <v/>
      </c>
      <c r="F3918">
        <f>IF(B3918,MAX(MOD(SIN(Seed*0.1373+C3918*12.9898+D3918*78.233)*43758.5453,1),1E-9),"")</f>
        <v/>
      </c>
      <c r="G3918">
        <f>IF(B3918,MOD(SIN(Seed*0.5917+C3918*39.3468+D3918*11.135)*24634.6345,1),"")</f>
        <v/>
      </c>
      <c r="H3918">
        <f>IF(B3918,SQRT(-2*LN(F3918))*COS(2*PI()*G3918),"")</f>
        <v/>
      </c>
      <c r="I3918">
        <f>IF(B3918,IF(D3918=0,H3918,Rho*I3917+SQRT(1-Rho^2)*H3918),"")</f>
        <v/>
      </c>
      <c r="J3918">
        <f>IF(B3918,IF(Dist="Normal",DistA+DistB*I3918,DistA+(DistB-DistA)*NORMSDIST(I3918)),"")</f>
        <v/>
      </c>
      <c r="K3918">
        <f>IF(B3918,INDEX(MineScale,C3918),"")</f>
        <v/>
      </c>
      <c r="L3918">
        <f>IF(B3918,INDEX(Dow,1,WEEKDAY(E3918,2)),"")</f>
        <v/>
      </c>
      <c r="M3918">
        <f>IF(B3918,(1+Trend)^D3918,"")</f>
        <v/>
      </c>
      <c r="N3918">
        <f>IF(B3918,EXP(SUMPRODUCT(LN(1+(EvEff-1)*INDEX(Affected,0,C3918)*EXP(-((E3918-EvCenter)^2)/(2*EvSigma^2))))),"")</f>
        <v/>
      </c>
      <c r="O3918">
        <f>IF(B3918,ROUND(MAX(0,J3918*K3918*L3918*M3918*N3918),2),"")</f>
        <v/>
      </c>
    </row>
    <row r="3919">
      <c r="A3919" t="n">
        <v>3918</v>
      </c>
      <c r="B3919">
        <f>A3919&lt;=MineCount*Days</f>
        <v/>
      </c>
      <c r="C3919">
        <f>IF(B3919,INT((A3919-1)/Days)+1,"")</f>
        <v/>
      </c>
      <c r="D3919">
        <f>IF(B3919,MOD(A3919-1,Days),"")</f>
        <v/>
      </c>
      <c r="E3919" s="16">
        <f>IF(B3919,StartDate+D3919,"")</f>
        <v/>
      </c>
      <c r="F3919">
        <f>IF(B3919,MAX(MOD(SIN(Seed*0.1373+C3919*12.9898+D3919*78.233)*43758.5453,1),1E-9),"")</f>
        <v/>
      </c>
      <c r="G3919">
        <f>IF(B3919,MOD(SIN(Seed*0.5917+C3919*39.3468+D3919*11.135)*24634.6345,1),"")</f>
        <v/>
      </c>
      <c r="H3919">
        <f>IF(B3919,SQRT(-2*LN(F3919))*COS(2*PI()*G3919),"")</f>
        <v/>
      </c>
      <c r="I3919">
        <f>IF(B3919,IF(D3919=0,H3919,Rho*I3918+SQRT(1-Rho^2)*H3919),"")</f>
        <v/>
      </c>
      <c r="J3919">
        <f>IF(B3919,IF(Dist="Normal",DistA+DistB*I3919,DistA+(DistB-DistA)*NORMSDIST(I3919)),"")</f>
        <v/>
      </c>
      <c r="K3919">
        <f>IF(B3919,INDEX(MineScale,C3919),"")</f>
        <v/>
      </c>
      <c r="L3919">
        <f>IF(B3919,INDEX(Dow,1,WEEKDAY(E3919,2)),"")</f>
        <v/>
      </c>
      <c r="M3919">
        <f>IF(B3919,(1+Trend)^D3919,"")</f>
        <v/>
      </c>
      <c r="N3919">
        <f>IF(B3919,EXP(SUMPRODUCT(LN(1+(EvEff-1)*INDEX(Affected,0,C3919)*EXP(-((E3919-EvCenter)^2)/(2*EvSigma^2))))),"")</f>
        <v/>
      </c>
      <c r="O3919">
        <f>IF(B3919,ROUND(MAX(0,J3919*K3919*L3919*M3919*N3919),2),"")</f>
        <v/>
      </c>
    </row>
    <row r="3920">
      <c r="A3920" t="n">
        <v>3919</v>
      </c>
      <c r="B3920">
        <f>A3920&lt;=MineCount*Days</f>
        <v/>
      </c>
      <c r="C3920">
        <f>IF(B3920,INT((A3920-1)/Days)+1,"")</f>
        <v/>
      </c>
      <c r="D3920">
        <f>IF(B3920,MOD(A3920-1,Days),"")</f>
        <v/>
      </c>
      <c r="E3920" s="16">
        <f>IF(B3920,StartDate+D3920,"")</f>
        <v/>
      </c>
      <c r="F3920">
        <f>IF(B3920,MAX(MOD(SIN(Seed*0.1373+C3920*12.9898+D3920*78.233)*43758.5453,1),1E-9),"")</f>
        <v/>
      </c>
      <c r="G3920">
        <f>IF(B3920,MOD(SIN(Seed*0.5917+C3920*39.3468+D3920*11.135)*24634.6345,1),"")</f>
        <v/>
      </c>
      <c r="H3920">
        <f>IF(B3920,SQRT(-2*LN(F3920))*COS(2*PI()*G3920),"")</f>
        <v/>
      </c>
      <c r="I3920">
        <f>IF(B3920,IF(D3920=0,H3920,Rho*I3919+SQRT(1-Rho^2)*H3920),"")</f>
        <v/>
      </c>
      <c r="J3920">
        <f>IF(B3920,IF(Dist="Normal",DistA+DistB*I3920,DistA+(DistB-DistA)*NORMSDIST(I3920)),"")</f>
        <v/>
      </c>
      <c r="K3920">
        <f>IF(B3920,INDEX(MineScale,C3920),"")</f>
        <v/>
      </c>
      <c r="L3920">
        <f>IF(B3920,INDEX(Dow,1,WEEKDAY(E3920,2)),"")</f>
        <v/>
      </c>
      <c r="M3920">
        <f>IF(B3920,(1+Trend)^D3920,"")</f>
        <v/>
      </c>
      <c r="N3920">
        <f>IF(B3920,EXP(SUMPRODUCT(LN(1+(EvEff-1)*INDEX(Affected,0,C3920)*EXP(-((E3920-EvCenter)^2)/(2*EvSigma^2))))),"")</f>
        <v/>
      </c>
      <c r="O3920">
        <f>IF(B3920,ROUND(MAX(0,J3920*K3920*L3920*M3920*N3920),2),"")</f>
        <v/>
      </c>
    </row>
    <row r="3921">
      <c r="A3921" t="n">
        <v>3920</v>
      </c>
      <c r="B3921">
        <f>A3921&lt;=MineCount*Days</f>
        <v/>
      </c>
      <c r="C3921">
        <f>IF(B3921,INT((A3921-1)/Days)+1,"")</f>
        <v/>
      </c>
      <c r="D3921">
        <f>IF(B3921,MOD(A3921-1,Days),"")</f>
        <v/>
      </c>
      <c r="E3921" s="16">
        <f>IF(B3921,StartDate+D3921,"")</f>
        <v/>
      </c>
      <c r="F3921">
        <f>IF(B3921,MAX(MOD(SIN(Seed*0.1373+C3921*12.9898+D3921*78.233)*43758.5453,1),1E-9),"")</f>
        <v/>
      </c>
      <c r="G3921">
        <f>IF(B3921,MOD(SIN(Seed*0.5917+C3921*39.3468+D3921*11.135)*24634.6345,1),"")</f>
        <v/>
      </c>
      <c r="H3921">
        <f>IF(B3921,SQRT(-2*LN(F3921))*COS(2*PI()*G3921),"")</f>
        <v/>
      </c>
      <c r="I3921">
        <f>IF(B3921,IF(D3921=0,H3921,Rho*I3920+SQRT(1-Rho^2)*H3921),"")</f>
        <v/>
      </c>
      <c r="J3921">
        <f>IF(B3921,IF(Dist="Normal",DistA+DistB*I3921,DistA+(DistB-DistA)*NORMSDIST(I3921)),"")</f>
        <v/>
      </c>
      <c r="K3921">
        <f>IF(B3921,INDEX(MineScale,C3921),"")</f>
        <v/>
      </c>
      <c r="L3921">
        <f>IF(B3921,INDEX(Dow,1,WEEKDAY(E3921,2)),"")</f>
        <v/>
      </c>
      <c r="M3921">
        <f>IF(B3921,(1+Trend)^D3921,"")</f>
        <v/>
      </c>
      <c r="N3921">
        <f>IF(B3921,EXP(SUMPRODUCT(LN(1+(EvEff-1)*INDEX(Affected,0,C3921)*EXP(-((E3921-EvCenter)^2)/(2*EvSigma^2))))),"")</f>
        <v/>
      </c>
      <c r="O3921">
        <f>IF(B3921,ROUND(MAX(0,J3921*K3921*L3921*M3921*N3921),2),"")</f>
        <v/>
      </c>
    </row>
    <row r="3922">
      <c r="A3922" t="n">
        <v>3921</v>
      </c>
      <c r="B3922">
        <f>A3922&lt;=MineCount*Days</f>
        <v/>
      </c>
      <c r="C3922">
        <f>IF(B3922,INT((A3922-1)/Days)+1,"")</f>
        <v/>
      </c>
      <c r="D3922">
        <f>IF(B3922,MOD(A3922-1,Days),"")</f>
        <v/>
      </c>
      <c r="E3922" s="16">
        <f>IF(B3922,StartDate+D3922,"")</f>
        <v/>
      </c>
      <c r="F3922">
        <f>IF(B3922,MAX(MOD(SIN(Seed*0.1373+C3922*12.9898+D3922*78.233)*43758.5453,1),1E-9),"")</f>
        <v/>
      </c>
      <c r="G3922">
        <f>IF(B3922,MOD(SIN(Seed*0.5917+C3922*39.3468+D3922*11.135)*24634.6345,1),"")</f>
        <v/>
      </c>
      <c r="H3922">
        <f>IF(B3922,SQRT(-2*LN(F3922))*COS(2*PI()*G3922),"")</f>
        <v/>
      </c>
      <c r="I3922">
        <f>IF(B3922,IF(D3922=0,H3922,Rho*I3921+SQRT(1-Rho^2)*H3922),"")</f>
        <v/>
      </c>
      <c r="J3922">
        <f>IF(B3922,IF(Dist="Normal",DistA+DistB*I3922,DistA+(DistB-DistA)*NORMSDIST(I3922)),"")</f>
        <v/>
      </c>
      <c r="K3922">
        <f>IF(B3922,INDEX(MineScale,C3922),"")</f>
        <v/>
      </c>
      <c r="L3922">
        <f>IF(B3922,INDEX(Dow,1,WEEKDAY(E3922,2)),"")</f>
        <v/>
      </c>
      <c r="M3922">
        <f>IF(B3922,(1+Trend)^D3922,"")</f>
        <v/>
      </c>
      <c r="N3922">
        <f>IF(B3922,EXP(SUMPRODUCT(LN(1+(EvEff-1)*INDEX(Affected,0,C3922)*EXP(-((E3922-EvCenter)^2)/(2*EvSigma^2))))),"")</f>
        <v/>
      </c>
      <c r="O3922">
        <f>IF(B3922,ROUND(MAX(0,J3922*K3922*L3922*M3922*N3922),2),"")</f>
        <v/>
      </c>
    </row>
    <row r="3923">
      <c r="A3923" t="n">
        <v>3922</v>
      </c>
      <c r="B3923">
        <f>A3923&lt;=MineCount*Days</f>
        <v/>
      </c>
      <c r="C3923">
        <f>IF(B3923,INT((A3923-1)/Days)+1,"")</f>
        <v/>
      </c>
      <c r="D3923">
        <f>IF(B3923,MOD(A3923-1,Days),"")</f>
        <v/>
      </c>
      <c r="E3923" s="16">
        <f>IF(B3923,StartDate+D3923,"")</f>
        <v/>
      </c>
      <c r="F3923">
        <f>IF(B3923,MAX(MOD(SIN(Seed*0.1373+C3923*12.9898+D3923*78.233)*43758.5453,1),1E-9),"")</f>
        <v/>
      </c>
      <c r="G3923">
        <f>IF(B3923,MOD(SIN(Seed*0.5917+C3923*39.3468+D3923*11.135)*24634.6345,1),"")</f>
        <v/>
      </c>
      <c r="H3923">
        <f>IF(B3923,SQRT(-2*LN(F3923))*COS(2*PI()*G3923),"")</f>
        <v/>
      </c>
      <c r="I3923">
        <f>IF(B3923,IF(D3923=0,H3923,Rho*I3922+SQRT(1-Rho^2)*H3923),"")</f>
        <v/>
      </c>
      <c r="J3923">
        <f>IF(B3923,IF(Dist="Normal",DistA+DistB*I3923,DistA+(DistB-DistA)*NORMSDIST(I3923)),"")</f>
        <v/>
      </c>
      <c r="K3923">
        <f>IF(B3923,INDEX(MineScale,C3923),"")</f>
        <v/>
      </c>
      <c r="L3923">
        <f>IF(B3923,INDEX(Dow,1,WEEKDAY(E3923,2)),"")</f>
        <v/>
      </c>
      <c r="M3923">
        <f>IF(B3923,(1+Trend)^D3923,"")</f>
        <v/>
      </c>
      <c r="N3923">
        <f>IF(B3923,EXP(SUMPRODUCT(LN(1+(EvEff-1)*INDEX(Affected,0,C3923)*EXP(-((E3923-EvCenter)^2)/(2*EvSigma^2))))),"")</f>
        <v/>
      </c>
      <c r="O3923">
        <f>IF(B3923,ROUND(MAX(0,J3923*K3923*L3923*M3923*N3923),2),"")</f>
        <v/>
      </c>
    </row>
    <row r="3924">
      <c r="A3924" t="n">
        <v>3923</v>
      </c>
      <c r="B3924">
        <f>A3924&lt;=MineCount*Days</f>
        <v/>
      </c>
      <c r="C3924">
        <f>IF(B3924,INT((A3924-1)/Days)+1,"")</f>
        <v/>
      </c>
      <c r="D3924">
        <f>IF(B3924,MOD(A3924-1,Days),"")</f>
        <v/>
      </c>
      <c r="E3924" s="16">
        <f>IF(B3924,StartDate+D3924,"")</f>
        <v/>
      </c>
      <c r="F3924">
        <f>IF(B3924,MAX(MOD(SIN(Seed*0.1373+C3924*12.9898+D3924*78.233)*43758.5453,1),1E-9),"")</f>
        <v/>
      </c>
      <c r="G3924">
        <f>IF(B3924,MOD(SIN(Seed*0.5917+C3924*39.3468+D3924*11.135)*24634.6345,1),"")</f>
        <v/>
      </c>
      <c r="H3924">
        <f>IF(B3924,SQRT(-2*LN(F3924))*COS(2*PI()*G3924),"")</f>
        <v/>
      </c>
      <c r="I3924">
        <f>IF(B3924,IF(D3924=0,H3924,Rho*I3923+SQRT(1-Rho^2)*H3924),"")</f>
        <v/>
      </c>
      <c r="J3924">
        <f>IF(B3924,IF(Dist="Normal",DistA+DistB*I3924,DistA+(DistB-DistA)*NORMSDIST(I3924)),"")</f>
        <v/>
      </c>
      <c r="K3924">
        <f>IF(B3924,INDEX(MineScale,C3924),"")</f>
        <v/>
      </c>
      <c r="L3924">
        <f>IF(B3924,INDEX(Dow,1,WEEKDAY(E3924,2)),"")</f>
        <v/>
      </c>
      <c r="M3924">
        <f>IF(B3924,(1+Trend)^D3924,"")</f>
        <v/>
      </c>
      <c r="N3924">
        <f>IF(B3924,EXP(SUMPRODUCT(LN(1+(EvEff-1)*INDEX(Affected,0,C3924)*EXP(-((E3924-EvCenter)^2)/(2*EvSigma^2))))),"")</f>
        <v/>
      </c>
      <c r="O3924">
        <f>IF(B3924,ROUND(MAX(0,J3924*K3924*L3924*M3924*N3924),2),"")</f>
        <v/>
      </c>
    </row>
    <row r="3925">
      <c r="A3925" t="n">
        <v>3924</v>
      </c>
      <c r="B3925">
        <f>A3925&lt;=MineCount*Days</f>
        <v/>
      </c>
      <c r="C3925">
        <f>IF(B3925,INT((A3925-1)/Days)+1,"")</f>
        <v/>
      </c>
      <c r="D3925">
        <f>IF(B3925,MOD(A3925-1,Days),"")</f>
        <v/>
      </c>
      <c r="E3925" s="16">
        <f>IF(B3925,StartDate+D3925,"")</f>
        <v/>
      </c>
      <c r="F3925">
        <f>IF(B3925,MAX(MOD(SIN(Seed*0.1373+C3925*12.9898+D3925*78.233)*43758.5453,1),1E-9),"")</f>
        <v/>
      </c>
      <c r="G3925">
        <f>IF(B3925,MOD(SIN(Seed*0.5917+C3925*39.3468+D3925*11.135)*24634.6345,1),"")</f>
        <v/>
      </c>
      <c r="H3925">
        <f>IF(B3925,SQRT(-2*LN(F3925))*COS(2*PI()*G3925),"")</f>
        <v/>
      </c>
      <c r="I3925">
        <f>IF(B3925,IF(D3925=0,H3925,Rho*I3924+SQRT(1-Rho^2)*H3925),"")</f>
        <v/>
      </c>
      <c r="J3925">
        <f>IF(B3925,IF(Dist="Normal",DistA+DistB*I3925,DistA+(DistB-DistA)*NORMSDIST(I3925)),"")</f>
        <v/>
      </c>
      <c r="K3925">
        <f>IF(B3925,INDEX(MineScale,C3925),"")</f>
        <v/>
      </c>
      <c r="L3925">
        <f>IF(B3925,INDEX(Dow,1,WEEKDAY(E3925,2)),"")</f>
        <v/>
      </c>
      <c r="M3925">
        <f>IF(B3925,(1+Trend)^D3925,"")</f>
        <v/>
      </c>
      <c r="N3925">
        <f>IF(B3925,EXP(SUMPRODUCT(LN(1+(EvEff-1)*INDEX(Affected,0,C3925)*EXP(-((E3925-EvCenter)^2)/(2*EvSigma^2))))),"")</f>
        <v/>
      </c>
      <c r="O3925">
        <f>IF(B3925,ROUND(MAX(0,J3925*K3925*L3925*M3925*N3925),2),"")</f>
        <v/>
      </c>
    </row>
    <row r="3926">
      <c r="A3926" t="n">
        <v>3925</v>
      </c>
      <c r="B3926">
        <f>A3926&lt;=MineCount*Days</f>
        <v/>
      </c>
      <c r="C3926">
        <f>IF(B3926,INT((A3926-1)/Days)+1,"")</f>
        <v/>
      </c>
      <c r="D3926">
        <f>IF(B3926,MOD(A3926-1,Days),"")</f>
        <v/>
      </c>
      <c r="E3926" s="16">
        <f>IF(B3926,StartDate+D3926,"")</f>
        <v/>
      </c>
      <c r="F3926">
        <f>IF(B3926,MAX(MOD(SIN(Seed*0.1373+C3926*12.9898+D3926*78.233)*43758.5453,1),1E-9),"")</f>
        <v/>
      </c>
      <c r="G3926">
        <f>IF(B3926,MOD(SIN(Seed*0.5917+C3926*39.3468+D3926*11.135)*24634.6345,1),"")</f>
        <v/>
      </c>
      <c r="H3926">
        <f>IF(B3926,SQRT(-2*LN(F3926))*COS(2*PI()*G3926),"")</f>
        <v/>
      </c>
      <c r="I3926">
        <f>IF(B3926,IF(D3926=0,H3926,Rho*I3925+SQRT(1-Rho^2)*H3926),"")</f>
        <v/>
      </c>
      <c r="J3926">
        <f>IF(B3926,IF(Dist="Normal",DistA+DistB*I3926,DistA+(DistB-DistA)*NORMSDIST(I3926)),"")</f>
        <v/>
      </c>
      <c r="K3926">
        <f>IF(B3926,INDEX(MineScale,C3926),"")</f>
        <v/>
      </c>
      <c r="L3926">
        <f>IF(B3926,INDEX(Dow,1,WEEKDAY(E3926,2)),"")</f>
        <v/>
      </c>
      <c r="M3926">
        <f>IF(B3926,(1+Trend)^D3926,"")</f>
        <v/>
      </c>
      <c r="N3926">
        <f>IF(B3926,EXP(SUMPRODUCT(LN(1+(EvEff-1)*INDEX(Affected,0,C3926)*EXP(-((E3926-EvCenter)^2)/(2*EvSigma^2))))),"")</f>
        <v/>
      </c>
      <c r="O3926">
        <f>IF(B3926,ROUND(MAX(0,J3926*K3926*L3926*M3926*N3926),2),"")</f>
        <v/>
      </c>
    </row>
    <row r="3927">
      <c r="A3927" t="n">
        <v>3926</v>
      </c>
      <c r="B3927">
        <f>A3927&lt;=MineCount*Days</f>
        <v/>
      </c>
      <c r="C3927">
        <f>IF(B3927,INT((A3927-1)/Days)+1,"")</f>
        <v/>
      </c>
      <c r="D3927">
        <f>IF(B3927,MOD(A3927-1,Days),"")</f>
        <v/>
      </c>
      <c r="E3927" s="16">
        <f>IF(B3927,StartDate+D3927,"")</f>
        <v/>
      </c>
      <c r="F3927">
        <f>IF(B3927,MAX(MOD(SIN(Seed*0.1373+C3927*12.9898+D3927*78.233)*43758.5453,1),1E-9),"")</f>
        <v/>
      </c>
      <c r="G3927">
        <f>IF(B3927,MOD(SIN(Seed*0.5917+C3927*39.3468+D3927*11.135)*24634.6345,1),"")</f>
        <v/>
      </c>
      <c r="H3927">
        <f>IF(B3927,SQRT(-2*LN(F3927))*COS(2*PI()*G3927),"")</f>
        <v/>
      </c>
      <c r="I3927">
        <f>IF(B3927,IF(D3927=0,H3927,Rho*I3926+SQRT(1-Rho^2)*H3927),"")</f>
        <v/>
      </c>
      <c r="J3927">
        <f>IF(B3927,IF(Dist="Normal",DistA+DistB*I3927,DistA+(DistB-DistA)*NORMSDIST(I3927)),"")</f>
        <v/>
      </c>
      <c r="K3927">
        <f>IF(B3927,INDEX(MineScale,C3927),"")</f>
        <v/>
      </c>
      <c r="L3927">
        <f>IF(B3927,INDEX(Dow,1,WEEKDAY(E3927,2)),"")</f>
        <v/>
      </c>
      <c r="M3927">
        <f>IF(B3927,(1+Trend)^D3927,"")</f>
        <v/>
      </c>
      <c r="N3927">
        <f>IF(B3927,EXP(SUMPRODUCT(LN(1+(EvEff-1)*INDEX(Affected,0,C3927)*EXP(-((E3927-EvCenter)^2)/(2*EvSigma^2))))),"")</f>
        <v/>
      </c>
      <c r="O3927">
        <f>IF(B3927,ROUND(MAX(0,J3927*K3927*L3927*M3927*N3927),2),"")</f>
        <v/>
      </c>
    </row>
    <row r="3928">
      <c r="A3928" t="n">
        <v>3927</v>
      </c>
      <c r="B3928">
        <f>A3928&lt;=MineCount*Days</f>
        <v/>
      </c>
      <c r="C3928">
        <f>IF(B3928,INT((A3928-1)/Days)+1,"")</f>
        <v/>
      </c>
      <c r="D3928">
        <f>IF(B3928,MOD(A3928-1,Days),"")</f>
        <v/>
      </c>
      <c r="E3928" s="16">
        <f>IF(B3928,StartDate+D3928,"")</f>
        <v/>
      </c>
      <c r="F3928">
        <f>IF(B3928,MAX(MOD(SIN(Seed*0.1373+C3928*12.9898+D3928*78.233)*43758.5453,1),1E-9),"")</f>
        <v/>
      </c>
      <c r="G3928">
        <f>IF(B3928,MOD(SIN(Seed*0.5917+C3928*39.3468+D3928*11.135)*24634.6345,1),"")</f>
        <v/>
      </c>
      <c r="H3928">
        <f>IF(B3928,SQRT(-2*LN(F3928))*COS(2*PI()*G3928),"")</f>
        <v/>
      </c>
      <c r="I3928">
        <f>IF(B3928,IF(D3928=0,H3928,Rho*I3927+SQRT(1-Rho^2)*H3928),"")</f>
        <v/>
      </c>
      <c r="J3928">
        <f>IF(B3928,IF(Dist="Normal",DistA+DistB*I3928,DistA+(DistB-DistA)*NORMSDIST(I3928)),"")</f>
        <v/>
      </c>
      <c r="K3928">
        <f>IF(B3928,INDEX(MineScale,C3928),"")</f>
        <v/>
      </c>
      <c r="L3928">
        <f>IF(B3928,INDEX(Dow,1,WEEKDAY(E3928,2)),"")</f>
        <v/>
      </c>
      <c r="M3928">
        <f>IF(B3928,(1+Trend)^D3928,"")</f>
        <v/>
      </c>
      <c r="N3928">
        <f>IF(B3928,EXP(SUMPRODUCT(LN(1+(EvEff-1)*INDEX(Affected,0,C3928)*EXP(-((E3928-EvCenter)^2)/(2*EvSigma^2))))),"")</f>
        <v/>
      </c>
      <c r="O3928">
        <f>IF(B3928,ROUND(MAX(0,J3928*K3928*L3928*M3928*N3928),2),"")</f>
        <v/>
      </c>
    </row>
    <row r="3929">
      <c r="A3929" t="n">
        <v>3928</v>
      </c>
      <c r="B3929">
        <f>A3929&lt;=MineCount*Days</f>
        <v/>
      </c>
      <c r="C3929">
        <f>IF(B3929,INT((A3929-1)/Days)+1,"")</f>
        <v/>
      </c>
      <c r="D3929">
        <f>IF(B3929,MOD(A3929-1,Days),"")</f>
        <v/>
      </c>
      <c r="E3929" s="16">
        <f>IF(B3929,StartDate+D3929,"")</f>
        <v/>
      </c>
      <c r="F3929">
        <f>IF(B3929,MAX(MOD(SIN(Seed*0.1373+C3929*12.9898+D3929*78.233)*43758.5453,1),1E-9),"")</f>
        <v/>
      </c>
      <c r="G3929">
        <f>IF(B3929,MOD(SIN(Seed*0.5917+C3929*39.3468+D3929*11.135)*24634.6345,1),"")</f>
        <v/>
      </c>
      <c r="H3929">
        <f>IF(B3929,SQRT(-2*LN(F3929))*COS(2*PI()*G3929),"")</f>
        <v/>
      </c>
      <c r="I3929">
        <f>IF(B3929,IF(D3929=0,H3929,Rho*I3928+SQRT(1-Rho^2)*H3929),"")</f>
        <v/>
      </c>
      <c r="J3929">
        <f>IF(B3929,IF(Dist="Normal",DistA+DistB*I3929,DistA+(DistB-DistA)*NORMSDIST(I3929)),"")</f>
        <v/>
      </c>
      <c r="K3929">
        <f>IF(B3929,INDEX(MineScale,C3929),"")</f>
        <v/>
      </c>
      <c r="L3929">
        <f>IF(B3929,INDEX(Dow,1,WEEKDAY(E3929,2)),"")</f>
        <v/>
      </c>
      <c r="M3929">
        <f>IF(B3929,(1+Trend)^D3929,"")</f>
        <v/>
      </c>
      <c r="N3929">
        <f>IF(B3929,EXP(SUMPRODUCT(LN(1+(EvEff-1)*INDEX(Affected,0,C3929)*EXP(-((E3929-EvCenter)^2)/(2*EvSigma^2))))),"")</f>
        <v/>
      </c>
      <c r="O3929">
        <f>IF(B3929,ROUND(MAX(0,J3929*K3929*L3929*M3929*N3929),2),"")</f>
        <v/>
      </c>
    </row>
    <row r="3930">
      <c r="A3930" t="n">
        <v>3929</v>
      </c>
      <c r="B3930">
        <f>A3930&lt;=MineCount*Days</f>
        <v/>
      </c>
      <c r="C3930">
        <f>IF(B3930,INT((A3930-1)/Days)+1,"")</f>
        <v/>
      </c>
      <c r="D3930">
        <f>IF(B3930,MOD(A3930-1,Days),"")</f>
        <v/>
      </c>
      <c r="E3930" s="16">
        <f>IF(B3930,StartDate+D3930,"")</f>
        <v/>
      </c>
      <c r="F3930">
        <f>IF(B3930,MAX(MOD(SIN(Seed*0.1373+C3930*12.9898+D3930*78.233)*43758.5453,1),1E-9),"")</f>
        <v/>
      </c>
      <c r="G3930">
        <f>IF(B3930,MOD(SIN(Seed*0.5917+C3930*39.3468+D3930*11.135)*24634.6345,1),"")</f>
        <v/>
      </c>
      <c r="H3930">
        <f>IF(B3930,SQRT(-2*LN(F3930))*COS(2*PI()*G3930),"")</f>
        <v/>
      </c>
      <c r="I3930">
        <f>IF(B3930,IF(D3930=0,H3930,Rho*I3929+SQRT(1-Rho^2)*H3930),"")</f>
        <v/>
      </c>
      <c r="J3930">
        <f>IF(B3930,IF(Dist="Normal",DistA+DistB*I3930,DistA+(DistB-DistA)*NORMSDIST(I3930)),"")</f>
        <v/>
      </c>
      <c r="K3930">
        <f>IF(B3930,INDEX(MineScale,C3930),"")</f>
        <v/>
      </c>
      <c r="L3930">
        <f>IF(B3930,INDEX(Dow,1,WEEKDAY(E3930,2)),"")</f>
        <v/>
      </c>
      <c r="M3930">
        <f>IF(B3930,(1+Trend)^D3930,"")</f>
        <v/>
      </c>
      <c r="N3930">
        <f>IF(B3930,EXP(SUMPRODUCT(LN(1+(EvEff-1)*INDEX(Affected,0,C3930)*EXP(-((E3930-EvCenter)^2)/(2*EvSigma^2))))),"")</f>
        <v/>
      </c>
      <c r="O3930">
        <f>IF(B3930,ROUND(MAX(0,J3930*K3930*L3930*M3930*N3930),2),"")</f>
        <v/>
      </c>
    </row>
    <row r="3931">
      <c r="A3931" t="n">
        <v>3930</v>
      </c>
      <c r="B3931">
        <f>A3931&lt;=MineCount*Days</f>
        <v/>
      </c>
      <c r="C3931">
        <f>IF(B3931,INT((A3931-1)/Days)+1,"")</f>
        <v/>
      </c>
      <c r="D3931">
        <f>IF(B3931,MOD(A3931-1,Days),"")</f>
        <v/>
      </c>
      <c r="E3931" s="16">
        <f>IF(B3931,StartDate+D3931,"")</f>
        <v/>
      </c>
      <c r="F3931">
        <f>IF(B3931,MAX(MOD(SIN(Seed*0.1373+C3931*12.9898+D3931*78.233)*43758.5453,1),1E-9),"")</f>
        <v/>
      </c>
      <c r="G3931">
        <f>IF(B3931,MOD(SIN(Seed*0.5917+C3931*39.3468+D3931*11.135)*24634.6345,1),"")</f>
        <v/>
      </c>
      <c r="H3931">
        <f>IF(B3931,SQRT(-2*LN(F3931))*COS(2*PI()*G3931),"")</f>
        <v/>
      </c>
      <c r="I3931">
        <f>IF(B3931,IF(D3931=0,H3931,Rho*I3930+SQRT(1-Rho^2)*H3931),"")</f>
        <v/>
      </c>
      <c r="J3931">
        <f>IF(B3931,IF(Dist="Normal",DistA+DistB*I3931,DistA+(DistB-DistA)*NORMSDIST(I3931)),"")</f>
        <v/>
      </c>
      <c r="K3931">
        <f>IF(B3931,INDEX(MineScale,C3931),"")</f>
        <v/>
      </c>
      <c r="L3931">
        <f>IF(B3931,INDEX(Dow,1,WEEKDAY(E3931,2)),"")</f>
        <v/>
      </c>
      <c r="M3931">
        <f>IF(B3931,(1+Trend)^D3931,"")</f>
        <v/>
      </c>
      <c r="N3931">
        <f>IF(B3931,EXP(SUMPRODUCT(LN(1+(EvEff-1)*INDEX(Affected,0,C3931)*EXP(-((E3931-EvCenter)^2)/(2*EvSigma^2))))),"")</f>
        <v/>
      </c>
      <c r="O3931">
        <f>IF(B3931,ROUND(MAX(0,J3931*K3931*L3931*M3931*N3931),2),"")</f>
        <v/>
      </c>
    </row>
    <row r="3932">
      <c r="A3932" t="n">
        <v>3931</v>
      </c>
      <c r="B3932">
        <f>A3932&lt;=MineCount*Days</f>
        <v/>
      </c>
      <c r="C3932">
        <f>IF(B3932,INT((A3932-1)/Days)+1,"")</f>
        <v/>
      </c>
      <c r="D3932">
        <f>IF(B3932,MOD(A3932-1,Days),"")</f>
        <v/>
      </c>
      <c r="E3932" s="16">
        <f>IF(B3932,StartDate+D3932,"")</f>
        <v/>
      </c>
      <c r="F3932">
        <f>IF(B3932,MAX(MOD(SIN(Seed*0.1373+C3932*12.9898+D3932*78.233)*43758.5453,1),1E-9),"")</f>
        <v/>
      </c>
      <c r="G3932">
        <f>IF(B3932,MOD(SIN(Seed*0.5917+C3932*39.3468+D3932*11.135)*24634.6345,1),"")</f>
        <v/>
      </c>
      <c r="H3932">
        <f>IF(B3932,SQRT(-2*LN(F3932))*COS(2*PI()*G3932),"")</f>
        <v/>
      </c>
      <c r="I3932">
        <f>IF(B3932,IF(D3932=0,H3932,Rho*I3931+SQRT(1-Rho^2)*H3932),"")</f>
        <v/>
      </c>
      <c r="J3932">
        <f>IF(B3932,IF(Dist="Normal",DistA+DistB*I3932,DistA+(DistB-DistA)*NORMSDIST(I3932)),"")</f>
        <v/>
      </c>
      <c r="K3932">
        <f>IF(B3932,INDEX(MineScale,C3932),"")</f>
        <v/>
      </c>
      <c r="L3932">
        <f>IF(B3932,INDEX(Dow,1,WEEKDAY(E3932,2)),"")</f>
        <v/>
      </c>
      <c r="M3932">
        <f>IF(B3932,(1+Trend)^D3932,"")</f>
        <v/>
      </c>
      <c r="N3932">
        <f>IF(B3932,EXP(SUMPRODUCT(LN(1+(EvEff-1)*INDEX(Affected,0,C3932)*EXP(-((E3932-EvCenter)^2)/(2*EvSigma^2))))),"")</f>
        <v/>
      </c>
      <c r="O3932">
        <f>IF(B3932,ROUND(MAX(0,J3932*K3932*L3932*M3932*N3932),2),"")</f>
        <v/>
      </c>
    </row>
    <row r="3933">
      <c r="A3933" t="n">
        <v>3932</v>
      </c>
      <c r="B3933">
        <f>A3933&lt;=MineCount*Days</f>
        <v/>
      </c>
      <c r="C3933">
        <f>IF(B3933,INT((A3933-1)/Days)+1,"")</f>
        <v/>
      </c>
      <c r="D3933">
        <f>IF(B3933,MOD(A3933-1,Days),"")</f>
        <v/>
      </c>
      <c r="E3933" s="16">
        <f>IF(B3933,StartDate+D3933,"")</f>
        <v/>
      </c>
      <c r="F3933">
        <f>IF(B3933,MAX(MOD(SIN(Seed*0.1373+C3933*12.9898+D3933*78.233)*43758.5453,1),1E-9),"")</f>
        <v/>
      </c>
      <c r="G3933">
        <f>IF(B3933,MOD(SIN(Seed*0.5917+C3933*39.3468+D3933*11.135)*24634.6345,1),"")</f>
        <v/>
      </c>
      <c r="H3933">
        <f>IF(B3933,SQRT(-2*LN(F3933))*COS(2*PI()*G3933),"")</f>
        <v/>
      </c>
      <c r="I3933">
        <f>IF(B3933,IF(D3933=0,H3933,Rho*I3932+SQRT(1-Rho^2)*H3933),"")</f>
        <v/>
      </c>
      <c r="J3933">
        <f>IF(B3933,IF(Dist="Normal",DistA+DistB*I3933,DistA+(DistB-DistA)*NORMSDIST(I3933)),"")</f>
        <v/>
      </c>
      <c r="K3933">
        <f>IF(B3933,INDEX(MineScale,C3933),"")</f>
        <v/>
      </c>
      <c r="L3933">
        <f>IF(B3933,INDEX(Dow,1,WEEKDAY(E3933,2)),"")</f>
        <v/>
      </c>
      <c r="M3933">
        <f>IF(B3933,(1+Trend)^D3933,"")</f>
        <v/>
      </c>
      <c r="N3933">
        <f>IF(B3933,EXP(SUMPRODUCT(LN(1+(EvEff-1)*INDEX(Affected,0,C3933)*EXP(-((E3933-EvCenter)^2)/(2*EvSigma^2))))),"")</f>
        <v/>
      </c>
      <c r="O3933">
        <f>IF(B3933,ROUND(MAX(0,J3933*K3933*L3933*M3933*N3933),2),"")</f>
        <v/>
      </c>
    </row>
    <row r="3934">
      <c r="A3934" t="n">
        <v>3933</v>
      </c>
      <c r="B3934">
        <f>A3934&lt;=MineCount*Days</f>
        <v/>
      </c>
      <c r="C3934">
        <f>IF(B3934,INT((A3934-1)/Days)+1,"")</f>
        <v/>
      </c>
      <c r="D3934">
        <f>IF(B3934,MOD(A3934-1,Days),"")</f>
        <v/>
      </c>
      <c r="E3934" s="16">
        <f>IF(B3934,StartDate+D3934,"")</f>
        <v/>
      </c>
      <c r="F3934">
        <f>IF(B3934,MAX(MOD(SIN(Seed*0.1373+C3934*12.9898+D3934*78.233)*43758.5453,1),1E-9),"")</f>
        <v/>
      </c>
      <c r="G3934">
        <f>IF(B3934,MOD(SIN(Seed*0.5917+C3934*39.3468+D3934*11.135)*24634.6345,1),"")</f>
        <v/>
      </c>
      <c r="H3934">
        <f>IF(B3934,SQRT(-2*LN(F3934))*COS(2*PI()*G3934),"")</f>
        <v/>
      </c>
      <c r="I3934">
        <f>IF(B3934,IF(D3934=0,H3934,Rho*I3933+SQRT(1-Rho^2)*H3934),"")</f>
        <v/>
      </c>
      <c r="J3934">
        <f>IF(B3934,IF(Dist="Normal",DistA+DistB*I3934,DistA+(DistB-DistA)*NORMSDIST(I3934)),"")</f>
        <v/>
      </c>
      <c r="K3934">
        <f>IF(B3934,INDEX(MineScale,C3934),"")</f>
        <v/>
      </c>
      <c r="L3934">
        <f>IF(B3934,INDEX(Dow,1,WEEKDAY(E3934,2)),"")</f>
        <v/>
      </c>
      <c r="M3934">
        <f>IF(B3934,(1+Trend)^D3934,"")</f>
        <v/>
      </c>
      <c r="N3934">
        <f>IF(B3934,EXP(SUMPRODUCT(LN(1+(EvEff-1)*INDEX(Affected,0,C3934)*EXP(-((E3934-EvCenter)^2)/(2*EvSigma^2))))),"")</f>
        <v/>
      </c>
      <c r="O3934">
        <f>IF(B3934,ROUND(MAX(0,J3934*K3934*L3934*M3934*N3934),2),"")</f>
        <v/>
      </c>
    </row>
    <row r="3935">
      <c r="A3935" t="n">
        <v>3934</v>
      </c>
      <c r="B3935">
        <f>A3935&lt;=MineCount*Days</f>
        <v/>
      </c>
      <c r="C3935">
        <f>IF(B3935,INT((A3935-1)/Days)+1,"")</f>
        <v/>
      </c>
      <c r="D3935">
        <f>IF(B3935,MOD(A3935-1,Days),"")</f>
        <v/>
      </c>
      <c r="E3935" s="16">
        <f>IF(B3935,StartDate+D3935,"")</f>
        <v/>
      </c>
      <c r="F3935">
        <f>IF(B3935,MAX(MOD(SIN(Seed*0.1373+C3935*12.9898+D3935*78.233)*43758.5453,1),1E-9),"")</f>
        <v/>
      </c>
      <c r="G3935">
        <f>IF(B3935,MOD(SIN(Seed*0.5917+C3935*39.3468+D3935*11.135)*24634.6345,1),"")</f>
        <v/>
      </c>
      <c r="H3935">
        <f>IF(B3935,SQRT(-2*LN(F3935))*COS(2*PI()*G3935),"")</f>
        <v/>
      </c>
      <c r="I3935">
        <f>IF(B3935,IF(D3935=0,H3935,Rho*I3934+SQRT(1-Rho^2)*H3935),"")</f>
        <v/>
      </c>
      <c r="J3935">
        <f>IF(B3935,IF(Dist="Normal",DistA+DistB*I3935,DistA+(DistB-DistA)*NORMSDIST(I3935)),"")</f>
        <v/>
      </c>
      <c r="K3935">
        <f>IF(B3935,INDEX(MineScale,C3935),"")</f>
        <v/>
      </c>
      <c r="L3935">
        <f>IF(B3935,INDEX(Dow,1,WEEKDAY(E3935,2)),"")</f>
        <v/>
      </c>
      <c r="M3935">
        <f>IF(B3935,(1+Trend)^D3935,"")</f>
        <v/>
      </c>
      <c r="N3935">
        <f>IF(B3935,EXP(SUMPRODUCT(LN(1+(EvEff-1)*INDEX(Affected,0,C3935)*EXP(-((E3935-EvCenter)^2)/(2*EvSigma^2))))),"")</f>
        <v/>
      </c>
      <c r="O3935">
        <f>IF(B3935,ROUND(MAX(0,J3935*K3935*L3935*M3935*N3935),2),"")</f>
        <v/>
      </c>
    </row>
    <row r="3936">
      <c r="A3936" t="n">
        <v>3935</v>
      </c>
      <c r="B3936">
        <f>A3936&lt;=MineCount*Days</f>
        <v/>
      </c>
      <c r="C3936">
        <f>IF(B3936,INT((A3936-1)/Days)+1,"")</f>
        <v/>
      </c>
      <c r="D3936">
        <f>IF(B3936,MOD(A3936-1,Days),"")</f>
        <v/>
      </c>
      <c r="E3936" s="16">
        <f>IF(B3936,StartDate+D3936,"")</f>
        <v/>
      </c>
      <c r="F3936">
        <f>IF(B3936,MAX(MOD(SIN(Seed*0.1373+C3936*12.9898+D3936*78.233)*43758.5453,1),1E-9),"")</f>
        <v/>
      </c>
      <c r="G3936">
        <f>IF(B3936,MOD(SIN(Seed*0.5917+C3936*39.3468+D3936*11.135)*24634.6345,1),"")</f>
        <v/>
      </c>
      <c r="H3936">
        <f>IF(B3936,SQRT(-2*LN(F3936))*COS(2*PI()*G3936),"")</f>
        <v/>
      </c>
      <c r="I3936">
        <f>IF(B3936,IF(D3936=0,H3936,Rho*I3935+SQRT(1-Rho^2)*H3936),"")</f>
        <v/>
      </c>
      <c r="J3936">
        <f>IF(B3936,IF(Dist="Normal",DistA+DistB*I3936,DistA+(DistB-DistA)*NORMSDIST(I3936)),"")</f>
        <v/>
      </c>
      <c r="K3936">
        <f>IF(B3936,INDEX(MineScale,C3936),"")</f>
        <v/>
      </c>
      <c r="L3936">
        <f>IF(B3936,INDEX(Dow,1,WEEKDAY(E3936,2)),"")</f>
        <v/>
      </c>
      <c r="M3936">
        <f>IF(B3936,(1+Trend)^D3936,"")</f>
        <v/>
      </c>
      <c r="N3936">
        <f>IF(B3936,EXP(SUMPRODUCT(LN(1+(EvEff-1)*INDEX(Affected,0,C3936)*EXP(-((E3936-EvCenter)^2)/(2*EvSigma^2))))),"")</f>
        <v/>
      </c>
      <c r="O3936">
        <f>IF(B3936,ROUND(MAX(0,J3936*K3936*L3936*M3936*N3936),2),"")</f>
        <v/>
      </c>
    </row>
    <row r="3937">
      <c r="A3937" t="n">
        <v>3936</v>
      </c>
      <c r="B3937">
        <f>A3937&lt;=MineCount*Days</f>
        <v/>
      </c>
      <c r="C3937">
        <f>IF(B3937,INT((A3937-1)/Days)+1,"")</f>
        <v/>
      </c>
      <c r="D3937">
        <f>IF(B3937,MOD(A3937-1,Days),"")</f>
        <v/>
      </c>
      <c r="E3937" s="16">
        <f>IF(B3937,StartDate+D3937,"")</f>
        <v/>
      </c>
      <c r="F3937">
        <f>IF(B3937,MAX(MOD(SIN(Seed*0.1373+C3937*12.9898+D3937*78.233)*43758.5453,1),1E-9),"")</f>
        <v/>
      </c>
      <c r="G3937">
        <f>IF(B3937,MOD(SIN(Seed*0.5917+C3937*39.3468+D3937*11.135)*24634.6345,1),"")</f>
        <v/>
      </c>
      <c r="H3937">
        <f>IF(B3937,SQRT(-2*LN(F3937))*COS(2*PI()*G3937),"")</f>
        <v/>
      </c>
      <c r="I3937">
        <f>IF(B3937,IF(D3937=0,H3937,Rho*I3936+SQRT(1-Rho^2)*H3937),"")</f>
        <v/>
      </c>
      <c r="J3937">
        <f>IF(B3937,IF(Dist="Normal",DistA+DistB*I3937,DistA+(DistB-DistA)*NORMSDIST(I3937)),"")</f>
        <v/>
      </c>
      <c r="K3937">
        <f>IF(B3937,INDEX(MineScale,C3937),"")</f>
        <v/>
      </c>
      <c r="L3937">
        <f>IF(B3937,INDEX(Dow,1,WEEKDAY(E3937,2)),"")</f>
        <v/>
      </c>
      <c r="M3937">
        <f>IF(B3937,(1+Trend)^D3937,"")</f>
        <v/>
      </c>
      <c r="N3937">
        <f>IF(B3937,EXP(SUMPRODUCT(LN(1+(EvEff-1)*INDEX(Affected,0,C3937)*EXP(-((E3937-EvCenter)^2)/(2*EvSigma^2))))),"")</f>
        <v/>
      </c>
      <c r="O3937">
        <f>IF(B3937,ROUND(MAX(0,J3937*K3937*L3937*M3937*N3937),2),"")</f>
        <v/>
      </c>
    </row>
    <row r="3938">
      <c r="A3938" t="n">
        <v>3937</v>
      </c>
      <c r="B3938">
        <f>A3938&lt;=MineCount*Days</f>
        <v/>
      </c>
      <c r="C3938">
        <f>IF(B3938,INT((A3938-1)/Days)+1,"")</f>
        <v/>
      </c>
      <c r="D3938">
        <f>IF(B3938,MOD(A3938-1,Days),"")</f>
        <v/>
      </c>
      <c r="E3938" s="16">
        <f>IF(B3938,StartDate+D3938,"")</f>
        <v/>
      </c>
      <c r="F3938">
        <f>IF(B3938,MAX(MOD(SIN(Seed*0.1373+C3938*12.9898+D3938*78.233)*43758.5453,1),1E-9),"")</f>
        <v/>
      </c>
      <c r="G3938">
        <f>IF(B3938,MOD(SIN(Seed*0.5917+C3938*39.3468+D3938*11.135)*24634.6345,1),"")</f>
        <v/>
      </c>
      <c r="H3938">
        <f>IF(B3938,SQRT(-2*LN(F3938))*COS(2*PI()*G3938),"")</f>
        <v/>
      </c>
      <c r="I3938">
        <f>IF(B3938,IF(D3938=0,H3938,Rho*I3937+SQRT(1-Rho^2)*H3938),"")</f>
        <v/>
      </c>
      <c r="J3938">
        <f>IF(B3938,IF(Dist="Normal",DistA+DistB*I3938,DistA+(DistB-DistA)*NORMSDIST(I3938)),"")</f>
        <v/>
      </c>
      <c r="K3938">
        <f>IF(B3938,INDEX(MineScale,C3938),"")</f>
        <v/>
      </c>
      <c r="L3938">
        <f>IF(B3938,INDEX(Dow,1,WEEKDAY(E3938,2)),"")</f>
        <v/>
      </c>
      <c r="M3938">
        <f>IF(B3938,(1+Trend)^D3938,"")</f>
        <v/>
      </c>
      <c r="N3938">
        <f>IF(B3938,EXP(SUMPRODUCT(LN(1+(EvEff-1)*INDEX(Affected,0,C3938)*EXP(-((E3938-EvCenter)^2)/(2*EvSigma^2))))),"")</f>
        <v/>
      </c>
      <c r="O3938">
        <f>IF(B3938,ROUND(MAX(0,J3938*K3938*L3938*M3938*N3938),2),"")</f>
        <v/>
      </c>
    </row>
    <row r="3939">
      <c r="A3939" t="n">
        <v>3938</v>
      </c>
      <c r="B3939">
        <f>A3939&lt;=MineCount*Days</f>
        <v/>
      </c>
      <c r="C3939">
        <f>IF(B3939,INT((A3939-1)/Days)+1,"")</f>
        <v/>
      </c>
      <c r="D3939">
        <f>IF(B3939,MOD(A3939-1,Days),"")</f>
        <v/>
      </c>
      <c r="E3939" s="16">
        <f>IF(B3939,StartDate+D3939,"")</f>
        <v/>
      </c>
      <c r="F3939">
        <f>IF(B3939,MAX(MOD(SIN(Seed*0.1373+C3939*12.9898+D3939*78.233)*43758.5453,1),1E-9),"")</f>
        <v/>
      </c>
      <c r="G3939">
        <f>IF(B3939,MOD(SIN(Seed*0.5917+C3939*39.3468+D3939*11.135)*24634.6345,1),"")</f>
        <v/>
      </c>
      <c r="H3939">
        <f>IF(B3939,SQRT(-2*LN(F3939))*COS(2*PI()*G3939),"")</f>
        <v/>
      </c>
      <c r="I3939">
        <f>IF(B3939,IF(D3939=0,H3939,Rho*I3938+SQRT(1-Rho^2)*H3939),"")</f>
        <v/>
      </c>
      <c r="J3939">
        <f>IF(B3939,IF(Dist="Normal",DistA+DistB*I3939,DistA+(DistB-DistA)*NORMSDIST(I3939)),"")</f>
        <v/>
      </c>
      <c r="K3939">
        <f>IF(B3939,INDEX(MineScale,C3939),"")</f>
        <v/>
      </c>
      <c r="L3939">
        <f>IF(B3939,INDEX(Dow,1,WEEKDAY(E3939,2)),"")</f>
        <v/>
      </c>
      <c r="M3939">
        <f>IF(B3939,(1+Trend)^D3939,"")</f>
        <v/>
      </c>
      <c r="N3939">
        <f>IF(B3939,EXP(SUMPRODUCT(LN(1+(EvEff-1)*INDEX(Affected,0,C3939)*EXP(-((E3939-EvCenter)^2)/(2*EvSigma^2))))),"")</f>
        <v/>
      </c>
      <c r="O3939">
        <f>IF(B3939,ROUND(MAX(0,J3939*K3939*L3939*M3939*N3939),2),"")</f>
        <v/>
      </c>
    </row>
    <row r="3940">
      <c r="A3940" t="n">
        <v>3939</v>
      </c>
      <c r="B3940">
        <f>A3940&lt;=MineCount*Days</f>
        <v/>
      </c>
      <c r="C3940">
        <f>IF(B3940,INT((A3940-1)/Days)+1,"")</f>
        <v/>
      </c>
      <c r="D3940">
        <f>IF(B3940,MOD(A3940-1,Days),"")</f>
        <v/>
      </c>
      <c r="E3940" s="16">
        <f>IF(B3940,StartDate+D3940,"")</f>
        <v/>
      </c>
      <c r="F3940">
        <f>IF(B3940,MAX(MOD(SIN(Seed*0.1373+C3940*12.9898+D3940*78.233)*43758.5453,1),1E-9),"")</f>
        <v/>
      </c>
      <c r="G3940">
        <f>IF(B3940,MOD(SIN(Seed*0.5917+C3940*39.3468+D3940*11.135)*24634.6345,1),"")</f>
        <v/>
      </c>
      <c r="H3940">
        <f>IF(B3940,SQRT(-2*LN(F3940))*COS(2*PI()*G3940),"")</f>
        <v/>
      </c>
      <c r="I3940">
        <f>IF(B3940,IF(D3940=0,H3940,Rho*I3939+SQRT(1-Rho^2)*H3940),"")</f>
        <v/>
      </c>
      <c r="J3940">
        <f>IF(B3940,IF(Dist="Normal",DistA+DistB*I3940,DistA+(DistB-DistA)*NORMSDIST(I3940)),"")</f>
        <v/>
      </c>
      <c r="K3940">
        <f>IF(B3940,INDEX(MineScale,C3940),"")</f>
        <v/>
      </c>
      <c r="L3940">
        <f>IF(B3940,INDEX(Dow,1,WEEKDAY(E3940,2)),"")</f>
        <v/>
      </c>
      <c r="M3940">
        <f>IF(B3940,(1+Trend)^D3940,"")</f>
        <v/>
      </c>
      <c r="N3940">
        <f>IF(B3940,EXP(SUMPRODUCT(LN(1+(EvEff-1)*INDEX(Affected,0,C3940)*EXP(-((E3940-EvCenter)^2)/(2*EvSigma^2))))),"")</f>
        <v/>
      </c>
      <c r="O3940">
        <f>IF(B3940,ROUND(MAX(0,J3940*K3940*L3940*M3940*N3940),2),"")</f>
        <v/>
      </c>
    </row>
    <row r="3941">
      <c r="A3941" t="n">
        <v>3940</v>
      </c>
      <c r="B3941">
        <f>A3941&lt;=MineCount*Days</f>
        <v/>
      </c>
      <c r="C3941">
        <f>IF(B3941,INT((A3941-1)/Days)+1,"")</f>
        <v/>
      </c>
      <c r="D3941">
        <f>IF(B3941,MOD(A3941-1,Days),"")</f>
        <v/>
      </c>
      <c r="E3941" s="16">
        <f>IF(B3941,StartDate+D3941,"")</f>
        <v/>
      </c>
      <c r="F3941">
        <f>IF(B3941,MAX(MOD(SIN(Seed*0.1373+C3941*12.9898+D3941*78.233)*43758.5453,1),1E-9),"")</f>
        <v/>
      </c>
      <c r="G3941">
        <f>IF(B3941,MOD(SIN(Seed*0.5917+C3941*39.3468+D3941*11.135)*24634.6345,1),"")</f>
        <v/>
      </c>
      <c r="H3941">
        <f>IF(B3941,SQRT(-2*LN(F3941))*COS(2*PI()*G3941),"")</f>
        <v/>
      </c>
      <c r="I3941">
        <f>IF(B3941,IF(D3941=0,H3941,Rho*I3940+SQRT(1-Rho^2)*H3941),"")</f>
        <v/>
      </c>
      <c r="J3941">
        <f>IF(B3941,IF(Dist="Normal",DistA+DistB*I3941,DistA+(DistB-DistA)*NORMSDIST(I3941)),"")</f>
        <v/>
      </c>
      <c r="K3941">
        <f>IF(B3941,INDEX(MineScale,C3941),"")</f>
        <v/>
      </c>
      <c r="L3941">
        <f>IF(B3941,INDEX(Dow,1,WEEKDAY(E3941,2)),"")</f>
        <v/>
      </c>
      <c r="M3941">
        <f>IF(B3941,(1+Trend)^D3941,"")</f>
        <v/>
      </c>
      <c r="N3941">
        <f>IF(B3941,EXP(SUMPRODUCT(LN(1+(EvEff-1)*INDEX(Affected,0,C3941)*EXP(-((E3941-EvCenter)^2)/(2*EvSigma^2))))),"")</f>
        <v/>
      </c>
      <c r="O3941">
        <f>IF(B3941,ROUND(MAX(0,J3941*K3941*L3941*M3941*N3941),2),"")</f>
        <v/>
      </c>
    </row>
    <row r="3942">
      <c r="A3942" t="n">
        <v>3941</v>
      </c>
      <c r="B3942">
        <f>A3942&lt;=MineCount*Days</f>
        <v/>
      </c>
      <c r="C3942">
        <f>IF(B3942,INT((A3942-1)/Days)+1,"")</f>
        <v/>
      </c>
      <c r="D3942">
        <f>IF(B3942,MOD(A3942-1,Days),"")</f>
        <v/>
      </c>
      <c r="E3942" s="16">
        <f>IF(B3942,StartDate+D3942,"")</f>
        <v/>
      </c>
      <c r="F3942">
        <f>IF(B3942,MAX(MOD(SIN(Seed*0.1373+C3942*12.9898+D3942*78.233)*43758.5453,1),1E-9),"")</f>
        <v/>
      </c>
      <c r="G3942">
        <f>IF(B3942,MOD(SIN(Seed*0.5917+C3942*39.3468+D3942*11.135)*24634.6345,1),"")</f>
        <v/>
      </c>
      <c r="H3942">
        <f>IF(B3942,SQRT(-2*LN(F3942))*COS(2*PI()*G3942),"")</f>
        <v/>
      </c>
      <c r="I3942">
        <f>IF(B3942,IF(D3942=0,H3942,Rho*I3941+SQRT(1-Rho^2)*H3942),"")</f>
        <v/>
      </c>
      <c r="J3942">
        <f>IF(B3942,IF(Dist="Normal",DistA+DistB*I3942,DistA+(DistB-DistA)*NORMSDIST(I3942)),"")</f>
        <v/>
      </c>
      <c r="K3942">
        <f>IF(B3942,INDEX(MineScale,C3942),"")</f>
        <v/>
      </c>
      <c r="L3942">
        <f>IF(B3942,INDEX(Dow,1,WEEKDAY(E3942,2)),"")</f>
        <v/>
      </c>
      <c r="M3942">
        <f>IF(B3942,(1+Trend)^D3942,"")</f>
        <v/>
      </c>
      <c r="N3942">
        <f>IF(B3942,EXP(SUMPRODUCT(LN(1+(EvEff-1)*INDEX(Affected,0,C3942)*EXP(-((E3942-EvCenter)^2)/(2*EvSigma^2))))),"")</f>
        <v/>
      </c>
      <c r="O3942">
        <f>IF(B3942,ROUND(MAX(0,J3942*K3942*L3942*M3942*N3942),2),"")</f>
        <v/>
      </c>
    </row>
    <row r="3943">
      <c r="A3943" t="n">
        <v>3942</v>
      </c>
      <c r="B3943">
        <f>A3943&lt;=MineCount*Days</f>
        <v/>
      </c>
      <c r="C3943">
        <f>IF(B3943,INT((A3943-1)/Days)+1,"")</f>
        <v/>
      </c>
      <c r="D3943">
        <f>IF(B3943,MOD(A3943-1,Days),"")</f>
        <v/>
      </c>
      <c r="E3943" s="16">
        <f>IF(B3943,StartDate+D3943,"")</f>
        <v/>
      </c>
      <c r="F3943">
        <f>IF(B3943,MAX(MOD(SIN(Seed*0.1373+C3943*12.9898+D3943*78.233)*43758.5453,1),1E-9),"")</f>
        <v/>
      </c>
      <c r="G3943">
        <f>IF(B3943,MOD(SIN(Seed*0.5917+C3943*39.3468+D3943*11.135)*24634.6345,1),"")</f>
        <v/>
      </c>
      <c r="H3943">
        <f>IF(B3943,SQRT(-2*LN(F3943))*COS(2*PI()*G3943),"")</f>
        <v/>
      </c>
      <c r="I3943">
        <f>IF(B3943,IF(D3943=0,H3943,Rho*I3942+SQRT(1-Rho^2)*H3943),"")</f>
        <v/>
      </c>
      <c r="J3943">
        <f>IF(B3943,IF(Dist="Normal",DistA+DistB*I3943,DistA+(DistB-DistA)*NORMSDIST(I3943)),"")</f>
        <v/>
      </c>
      <c r="K3943">
        <f>IF(B3943,INDEX(MineScale,C3943),"")</f>
        <v/>
      </c>
      <c r="L3943">
        <f>IF(B3943,INDEX(Dow,1,WEEKDAY(E3943,2)),"")</f>
        <v/>
      </c>
      <c r="M3943">
        <f>IF(B3943,(1+Trend)^D3943,"")</f>
        <v/>
      </c>
      <c r="N3943">
        <f>IF(B3943,EXP(SUMPRODUCT(LN(1+(EvEff-1)*INDEX(Affected,0,C3943)*EXP(-((E3943-EvCenter)^2)/(2*EvSigma^2))))),"")</f>
        <v/>
      </c>
      <c r="O3943">
        <f>IF(B3943,ROUND(MAX(0,J3943*K3943*L3943*M3943*N3943),2),"")</f>
        <v/>
      </c>
    </row>
    <row r="3944">
      <c r="A3944" t="n">
        <v>3943</v>
      </c>
      <c r="B3944">
        <f>A3944&lt;=MineCount*Days</f>
        <v/>
      </c>
      <c r="C3944">
        <f>IF(B3944,INT((A3944-1)/Days)+1,"")</f>
        <v/>
      </c>
      <c r="D3944">
        <f>IF(B3944,MOD(A3944-1,Days),"")</f>
        <v/>
      </c>
      <c r="E3944" s="16">
        <f>IF(B3944,StartDate+D3944,"")</f>
        <v/>
      </c>
      <c r="F3944">
        <f>IF(B3944,MAX(MOD(SIN(Seed*0.1373+C3944*12.9898+D3944*78.233)*43758.5453,1),1E-9),"")</f>
        <v/>
      </c>
      <c r="G3944">
        <f>IF(B3944,MOD(SIN(Seed*0.5917+C3944*39.3468+D3944*11.135)*24634.6345,1),"")</f>
        <v/>
      </c>
      <c r="H3944">
        <f>IF(B3944,SQRT(-2*LN(F3944))*COS(2*PI()*G3944),"")</f>
        <v/>
      </c>
      <c r="I3944">
        <f>IF(B3944,IF(D3944=0,H3944,Rho*I3943+SQRT(1-Rho^2)*H3944),"")</f>
        <v/>
      </c>
      <c r="J3944">
        <f>IF(B3944,IF(Dist="Normal",DistA+DistB*I3944,DistA+(DistB-DistA)*NORMSDIST(I3944)),"")</f>
        <v/>
      </c>
      <c r="K3944">
        <f>IF(B3944,INDEX(MineScale,C3944),"")</f>
        <v/>
      </c>
      <c r="L3944">
        <f>IF(B3944,INDEX(Dow,1,WEEKDAY(E3944,2)),"")</f>
        <v/>
      </c>
      <c r="M3944">
        <f>IF(B3944,(1+Trend)^D3944,"")</f>
        <v/>
      </c>
      <c r="N3944">
        <f>IF(B3944,EXP(SUMPRODUCT(LN(1+(EvEff-1)*INDEX(Affected,0,C3944)*EXP(-((E3944-EvCenter)^2)/(2*EvSigma^2))))),"")</f>
        <v/>
      </c>
      <c r="O3944">
        <f>IF(B3944,ROUND(MAX(0,J3944*K3944*L3944*M3944*N3944),2),"")</f>
        <v/>
      </c>
    </row>
    <row r="3945">
      <c r="A3945" t="n">
        <v>3944</v>
      </c>
      <c r="B3945">
        <f>A3945&lt;=MineCount*Days</f>
        <v/>
      </c>
      <c r="C3945">
        <f>IF(B3945,INT((A3945-1)/Days)+1,"")</f>
        <v/>
      </c>
      <c r="D3945">
        <f>IF(B3945,MOD(A3945-1,Days),"")</f>
        <v/>
      </c>
      <c r="E3945" s="16">
        <f>IF(B3945,StartDate+D3945,"")</f>
        <v/>
      </c>
      <c r="F3945">
        <f>IF(B3945,MAX(MOD(SIN(Seed*0.1373+C3945*12.9898+D3945*78.233)*43758.5453,1),1E-9),"")</f>
        <v/>
      </c>
      <c r="G3945">
        <f>IF(B3945,MOD(SIN(Seed*0.5917+C3945*39.3468+D3945*11.135)*24634.6345,1),"")</f>
        <v/>
      </c>
      <c r="H3945">
        <f>IF(B3945,SQRT(-2*LN(F3945))*COS(2*PI()*G3945),"")</f>
        <v/>
      </c>
      <c r="I3945">
        <f>IF(B3945,IF(D3945=0,H3945,Rho*I3944+SQRT(1-Rho^2)*H3945),"")</f>
        <v/>
      </c>
      <c r="J3945">
        <f>IF(B3945,IF(Dist="Normal",DistA+DistB*I3945,DistA+(DistB-DistA)*NORMSDIST(I3945)),"")</f>
        <v/>
      </c>
      <c r="K3945">
        <f>IF(B3945,INDEX(MineScale,C3945),"")</f>
        <v/>
      </c>
      <c r="L3945">
        <f>IF(B3945,INDEX(Dow,1,WEEKDAY(E3945,2)),"")</f>
        <v/>
      </c>
      <c r="M3945">
        <f>IF(B3945,(1+Trend)^D3945,"")</f>
        <v/>
      </c>
      <c r="N3945">
        <f>IF(B3945,EXP(SUMPRODUCT(LN(1+(EvEff-1)*INDEX(Affected,0,C3945)*EXP(-((E3945-EvCenter)^2)/(2*EvSigma^2))))),"")</f>
        <v/>
      </c>
      <c r="O3945">
        <f>IF(B3945,ROUND(MAX(0,J3945*K3945*L3945*M3945*N3945),2),"")</f>
        <v/>
      </c>
    </row>
    <row r="3946">
      <c r="A3946" t="n">
        <v>3945</v>
      </c>
      <c r="B3946">
        <f>A3946&lt;=MineCount*Days</f>
        <v/>
      </c>
      <c r="C3946">
        <f>IF(B3946,INT((A3946-1)/Days)+1,"")</f>
        <v/>
      </c>
      <c r="D3946">
        <f>IF(B3946,MOD(A3946-1,Days),"")</f>
        <v/>
      </c>
      <c r="E3946" s="16">
        <f>IF(B3946,StartDate+D3946,"")</f>
        <v/>
      </c>
      <c r="F3946">
        <f>IF(B3946,MAX(MOD(SIN(Seed*0.1373+C3946*12.9898+D3946*78.233)*43758.5453,1),1E-9),"")</f>
        <v/>
      </c>
      <c r="G3946">
        <f>IF(B3946,MOD(SIN(Seed*0.5917+C3946*39.3468+D3946*11.135)*24634.6345,1),"")</f>
        <v/>
      </c>
      <c r="H3946">
        <f>IF(B3946,SQRT(-2*LN(F3946))*COS(2*PI()*G3946),"")</f>
        <v/>
      </c>
      <c r="I3946">
        <f>IF(B3946,IF(D3946=0,H3946,Rho*I3945+SQRT(1-Rho^2)*H3946),"")</f>
        <v/>
      </c>
      <c r="J3946">
        <f>IF(B3946,IF(Dist="Normal",DistA+DistB*I3946,DistA+(DistB-DistA)*NORMSDIST(I3946)),"")</f>
        <v/>
      </c>
      <c r="K3946">
        <f>IF(B3946,INDEX(MineScale,C3946),"")</f>
        <v/>
      </c>
      <c r="L3946">
        <f>IF(B3946,INDEX(Dow,1,WEEKDAY(E3946,2)),"")</f>
        <v/>
      </c>
      <c r="M3946">
        <f>IF(B3946,(1+Trend)^D3946,"")</f>
        <v/>
      </c>
      <c r="N3946">
        <f>IF(B3946,EXP(SUMPRODUCT(LN(1+(EvEff-1)*INDEX(Affected,0,C3946)*EXP(-((E3946-EvCenter)^2)/(2*EvSigma^2))))),"")</f>
        <v/>
      </c>
      <c r="O3946">
        <f>IF(B3946,ROUND(MAX(0,J3946*K3946*L3946*M3946*N3946),2),"")</f>
        <v/>
      </c>
    </row>
    <row r="3947">
      <c r="A3947" t="n">
        <v>3946</v>
      </c>
      <c r="B3947">
        <f>A3947&lt;=MineCount*Days</f>
        <v/>
      </c>
      <c r="C3947">
        <f>IF(B3947,INT((A3947-1)/Days)+1,"")</f>
        <v/>
      </c>
      <c r="D3947">
        <f>IF(B3947,MOD(A3947-1,Days),"")</f>
        <v/>
      </c>
      <c r="E3947" s="16">
        <f>IF(B3947,StartDate+D3947,"")</f>
        <v/>
      </c>
      <c r="F3947">
        <f>IF(B3947,MAX(MOD(SIN(Seed*0.1373+C3947*12.9898+D3947*78.233)*43758.5453,1),1E-9),"")</f>
        <v/>
      </c>
      <c r="G3947">
        <f>IF(B3947,MOD(SIN(Seed*0.5917+C3947*39.3468+D3947*11.135)*24634.6345,1),"")</f>
        <v/>
      </c>
      <c r="H3947">
        <f>IF(B3947,SQRT(-2*LN(F3947))*COS(2*PI()*G3947),"")</f>
        <v/>
      </c>
      <c r="I3947">
        <f>IF(B3947,IF(D3947=0,H3947,Rho*I3946+SQRT(1-Rho^2)*H3947),"")</f>
        <v/>
      </c>
      <c r="J3947">
        <f>IF(B3947,IF(Dist="Normal",DistA+DistB*I3947,DistA+(DistB-DistA)*NORMSDIST(I3947)),"")</f>
        <v/>
      </c>
      <c r="K3947">
        <f>IF(B3947,INDEX(MineScale,C3947),"")</f>
        <v/>
      </c>
      <c r="L3947">
        <f>IF(B3947,INDEX(Dow,1,WEEKDAY(E3947,2)),"")</f>
        <v/>
      </c>
      <c r="M3947">
        <f>IF(B3947,(1+Trend)^D3947,"")</f>
        <v/>
      </c>
      <c r="N3947">
        <f>IF(B3947,EXP(SUMPRODUCT(LN(1+(EvEff-1)*INDEX(Affected,0,C3947)*EXP(-((E3947-EvCenter)^2)/(2*EvSigma^2))))),"")</f>
        <v/>
      </c>
      <c r="O3947">
        <f>IF(B3947,ROUND(MAX(0,J3947*K3947*L3947*M3947*N3947),2),"")</f>
        <v/>
      </c>
    </row>
    <row r="3948">
      <c r="A3948" t="n">
        <v>3947</v>
      </c>
      <c r="B3948">
        <f>A3948&lt;=MineCount*Days</f>
        <v/>
      </c>
      <c r="C3948">
        <f>IF(B3948,INT((A3948-1)/Days)+1,"")</f>
        <v/>
      </c>
      <c r="D3948">
        <f>IF(B3948,MOD(A3948-1,Days),"")</f>
        <v/>
      </c>
      <c r="E3948" s="16">
        <f>IF(B3948,StartDate+D3948,"")</f>
        <v/>
      </c>
      <c r="F3948">
        <f>IF(B3948,MAX(MOD(SIN(Seed*0.1373+C3948*12.9898+D3948*78.233)*43758.5453,1),1E-9),"")</f>
        <v/>
      </c>
      <c r="G3948">
        <f>IF(B3948,MOD(SIN(Seed*0.5917+C3948*39.3468+D3948*11.135)*24634.6345,1),"")</f>
        <v/>
      </c>
      <c r="H3948">
        <f>IF(B3948,SQRT(-2*LN(F3948))*COS(2*PI()*G3948),"")</f>
        <v/>
      </c>
      <c r="I3948">
        <f>IF(B3948,IF(D3948=0,H3948,Rho*I3947+SQRT(1-Rho^2)*H3948),"")</f>
        <v/>
      </c>
      <c r="J3948">
        <f>IF(B3948,IF(Dist="Normal",DistA+DistB*I3948,DistA+(DistB-DistA)*NORMSDIST(I3948)),"")</f>
        <v/>
      </c>
      <c r="K3948">
        <f>IF(B3948,INDEX(MineScale,C3948),"")</f>
        <v/>
      </c>
      <c r="L3948">
        <f>IF(B3948,INDEX(Dow,1,WEEKDAY(E3948,2)),"")</f>
        <v/>
      </c>
      <c r="M3948">
        <f>IF(B3948,(1+Trend)^D3948,"")</f>
        <v/>
      </c>
      <c r="N3948">
        <f>IF(B3948,EXP(SUMPRODUCT(LN(1+(EvEff-1)*INDEX(Affected,0,C3948)*EXP(-((E3948-EvCenter)^2)/(2*EvSigma^2))))),"")</f>
        <v/>
      </c>
      <c r="O3948">
        <f>IF(B3948,ROUND(MAX(0,J3948*K3948*L3948*M3948*N3948),2),"")</f>
        <v/>
      </c>
    </row>
    <row r="3949">
      <c r="A3949" t="n">
        <v>3948</v>
      </c>
      <c r="B3949">
        <f>A3949&lt;=MineCount*Days</f>
        <v/>
      </c>
      <c r="C3949">
        <f>IF(B3949,INT((A3949-1)/Days)+1,"")</f>
        <v/>
      </c>
      <c r="D3949">
        <f>IF(B3949,MOD(A3949-1,Days),"")</f>
        <v/>
      </c>
      <c r="E3949" s="16">
        <f>IF(B3949,StartDate+D3949,"")</f>
        <v/>
      </c>
      <c r="F3949">
        <f>IF(B3949,MAX(MOD(SIN(Seed*0.1373+C3949*12.9898+D3949*78.233)*43758.5453,1),1E-9),"")</f>
        <v/>
      </c>
      <c r="G3949">
        <f>IF(B3949,MOD(SIN(Seed*0.5917+C3949*39.3468+D3949*11.135)*24634.6345,1),"")</f>
        <v/>
      </c>
      <c r="H3949">
        <f>IF(B3949,SQRT(-2*LN(F3949))*COS(2*PI()*G3949),"")</f>
        <v/>
      </c>
      <c r="I3949">
        <f>IF(B3949,IF(D3949=0,H3949,Rho*I3948+SQRT(1-Rho^2)*H3949),"")</f>
        <v/>
      </c>
      <c r="J3949">
        <f>IF(B3949,IF(Dist="Normal",DistA+DistB*I3949,DistA+(DistB-DistA)*NORMSDIST(I3949)),"")</f>
        <v/>
      </c>
      <c r="K3949">
        <f>IF(B3949,INDEX(MineScale,C3949),"")</f>
        <v/>
      </c>
      <c r="L3949">
        <f>IF(B3949,INDEX(Dow,1,WEEKDAY(E3949,2)),"")</f>
        <v/>
      </c>
      <c r="M3949">
        <f>IF(B3949,(1+Trend)^D3949,"")</f>
        <v/>
      </c>
      <c r="N3949">
        <f>IF(B3949,EXP(SUMPRODUCT(LN(1+(EvEff-1)*INDEX(Affected,0,C3949)*EXP(-((E3949-EvCenter)^2)/(2*EvSigma^2))))),"")</f>
        <v/>
      </c>
      <c r="O3949">
        <f>IF(B3949,ROUND(MAX(0,J3949*K3949*L3949*M3949*N3949),2),"")</f>
        <v/>
      </c>
    </row>
    <row r="3950">
      <c r="A3950" t="n">
        <v>3949</v>
      </c>
      <c r="B3950">
        <f>A3950&lt;=MineCount*Days</f>
        <v/>
      </c>
      <c r="C3950">
        <f>IF(B3950,INT((A3950-1)/Days)+1,"")</f>
        <v/>
      </c>
      <c r="D3950">
        <f>IF(B3950,MOD(A3950-1,Days),"")</f>
        <v/>
      </c>
      <c r="E3950" s="16">
        <f>IF(B3950,StartDate+D3950,"")</f>
        <v/>
      </c>
      <c r="F3950">
        <f>IF(B3950,MAX(MOD(SIN(Seed*0.1373+C3950*12.9898+D3950*78.233)*43758.5453,1),1E-9),"")</f>
        <v/>
      </c>
      <c r="G3950">
        <f>IF(B3950,MOD(SIN(Seed*0.5917+C3950*39.3468+D3950*11.135)*24634.6345,1),"")</f>
        <v/>
      </c>
      <c r="H3950">
        <f>IF(B3950,SQRT(-2*LN(F3950))*COS(2*PI()*G3950),"")</f>
        <v/>
      </c>
      <c r="I3950">
        <f>IF(B3950,IF(D3950=0,H3950,Rho*I3949+SQRT(1-Rho^2)*H3950),"")</f>
        <v/>
      </c>
      <c r="J3950">
        <f>IF(B3950,IF(Dist="Normal",DistA+DistB*I3950,DistA+(DistB-DistA)*NORMSDIST(I3950)),"")</f>
        <v/>
      </c>
      <c r="K3950">
        <f>IF(B3950,INDEX(MineScale,C3950),"")</f>
        <v/>
      </c>
      <c r="L3950">
        <f>IF(B3950,INDEX(Dow,1,WEEKDAY(E3950,2)),"")</f>
        <v/>
      </c>
      <c r="M3950">
        <f>IF(B3950,(1+Trend)^D3950,"")</f>
        <v/>
      </c>
      <c r="N3950">
        <f>IF(B3950,EXP(SUMPRODUCT(LN(1+(EvEff-1)*INDEX(Affected,0,C3950)*EXP(-((E3950-EvCenter)^2)/(2*EvSigma^2))))),"")</f>
        <v/>
      </c>
      <c r="O3950">
        <f>IF(B3950,ROUND(MAX(0,J3950*K3950*L3950*M3950*N3950),2),"")</f>
        <v/>
      </c>
    </row>
    <row r="3951">
      <c r="A3951" t="n">
        <v>3950</v>
      </c>
      <c r="B3951">
        <f>A3951&lt;=MineCount*Days</f>
        <v/>
      </c>
      <c r="C3951">
        <f>IF(B3951,INT((A3951-1)/Days)+1,"")</f>
        <v/>
      </c>
      <c r="D3951">
        <f>IF(B3951,MOD(A3951-1,Days),"")</f>
        <v/>
      </c>
      <c r="E3951" s="16">
        <f>IF(B3951,StartDate+D3951,"")</f>
        <v/>
      </c>
      <c r="F3951">
        <f>IF(B3951,MAX(MOD(SIN(Seed*0.1373+C3951*12.9898+D3951*78.233)*43758.5453,1),1E-9),"")</f>
        <v/>
      </c>
      <c r="G3951">
        <f>IF(B3951,MOD(SIN(Seed*0.5917+C3951*39.3468+D3951*11.135)*24634.6345,1),"")</f>
        <v/>
      </c>
      <c r="H3951">
        <f>IF(B3951,SQRT(-2*LN(F3951))*COS(2*PI()*G3951),"")</f>
        <v/>
      </c>
      <c r="I3951">
        <f>IF(B3951,IF(D3951=0,H3951,Rho*I3950+SQRT(1-Rho^2)*H3951),"")</f>
        <v/>
      </c>
      <c r="J3951">
        <f>IF(B3951,IF(Dist="Normal",DistA+DistB*I3951,DistA+(DistB-DistA)*NORMSDIST(I3951)),"")</f>
        <v/>
      </c>
      <c r="K3951">
        <f>IF(B3951,INDEX(MineScale,C3951),"")</f>
        <v/>
      </c>
      <c r="L3951">
        <f>IF(B3951,INDEX(Dow,1,WEEKDAY(E3951,2)),"")</f>
        <v/>
      </c>
      <c r="M3951">
        <f>IF(B3951,(1+Trend)^D3951,"")</f>
        <v/>
      </c>
      <c r="N3951">
        <f>IF(B3951,EXP(SUMPRODUCT(LN(1+(EvEff-1)*INDEX(Affected,0,C3951)*EXP(-((E3951-EvCenter)^2)/(2*EvSigma^2))))),"")</f>
        <v/>
      </c>
      <c r="O3951">
        <f>IF(B3951,ROUND(MAX(0,J3951*K3951*L3951*M3951*N3951),2),"")</f>
        <v/>
      </c>
    </row>
    <row r="3952">
      <c r="A3952" t="n">
        <v>3951</v>
      </c>
      <c r="B3952">
        <f>A3952&lt;=MineCount*Days</f>
        <v/>
      </c>
      <c r="C3952">
        <f>IF(B3952,INT((A3952-1)/Days)+1,"")</f>
        <v/>
      </c>
      <c r="D3952">
        <f>IF(B3952,MOD(A3952-1,Days),"")</f>
        <v/>
      </c>
      <c r="E3952" s="16">
        <f>IF(B3952,StartDate+D3952,"")</f>
        <v/>
      </c>
      <c r="F3952">
        <f>IF(B3952,MAX(MOD(SIN(Seed*0.1373+C3952*12.9898+D3952*78.233)*43758.5453,1),1E-9),"")</f>
        <v/>
      </c>
      <c r="G3952">
        <f>IF(B3952,MOD(SIN(Seed*0.5917+C3952*39.3468+D3952*11.135)*24634.6345,1),"")</f>
        <v/>
      </c>
      <c r="H3952">
        <f>IF(B3952,SQRT(-2*LN(F3952))*COS(2*PI()*G3952),"")</f>
        <v/>
      </c>
      <c r="I3952">
        <f>IF(B3952,IF(D3952=0,H3952,Rho*I3951+SQRT(1-Rho^2)*H3952),"")</f>
        <v/>
      </c>
      <c r="J3952">
        <f>IF(B3952,IF(Dist="Normal",DistA+DistB*I3952,DistA+(DistB-DistA)*NORMSDIST(I3952)),"")</f>
        <v/>
      </c>
      <c r="K3952">
        <f>IF(B3952,INDEX(MineScale,C3952),"")</f>
        <v/>
      </c>
      <c r="L3952">
        <f>IF(B3952,INDEX(Dow,1,WEEKDAY(E3952,2)),"")</f>
        <v/>
      </c>
      <c r="M3952">
        <f>IF(B3952,(1+Trend)^D3952,"")</f>
        <v/>
      </c>
      <c r="N3952">
        <f>IF(B3952,EXP(SUMPRODUCT(LN(1+(EvEff-1)*INDEX(Affected,0,C3952)*EXP(-((E3952-EvCenter)^2)/(2*EvSigma^2))))),"")</f>
        <v/>
      </c>
      <c r="O3952">
        <f>IF(B3952,ROUND(MAX(0,J3952*K3952*L3952*M3952*N3952),2),"")</f>
        <v/>
      </c>
    </row>
    <row r="3953">
      <c r="A3953" t="n">
        <v>3952</v>
      </c>
      <c r="B3953">
        <f>A3953&lt;=MineCount*Days</f>
        <v/>
      </c>
      <c r="C3953">
        <f>IF(B3953,INT((A3953-1)/Days)+1,"")</f>
        <v/>
      </c>
      <c r="D3953">
        <f>IF(B3953,MOD(A3953-1,Days),"")</f>
        <v/>
      </c>
      <c r="E3953" s="16">
        <f>IF(B3953,StartDate+D3953,"")</f>
        <v/>
      </c>
      <c r="F3953">
        <f>IF(B3953,MAX(MOD(SIN(Seed*0.1373+C3953*12.9898+D3953*78.233)*43758.5453,1),1E-9),"")</f>
        <v/>
      </c>
      <c r="G3953">
        <f>IF(B3953,MOD(SIN(Seed*0.5917+C3953*39.3468+D3953*11.135)*24634.6345,1),"")</f>
        <v/>
      </c>
      <c r="H3953">
        <f>IF(B3953,SQRT(-2*LN(F3953))*COS(2*PI()*G3953),"")</f>
        <v/>
      </c>
      <c r="I3953">
        <f>IF(B3953,IF(D3953=0,H3953,Rho*I3952+SQRT(1-Rho^2)*H3953),"")</f>
        <v/>
      </c>
      <c r="J3953">
        <f>IF(B3953,IF(Dist="Normal",DistA+DistB*I3953,DistA+(DistB-DistA)*NORMSDIST(I3953)),"")</f>
        <v/>
      </c>
      <c r="K3953">
        <f>IF(B3953,INDEX(MineScale,C3953),"")</f>
        <v/>
      </c>
      <c r="L3953">
        <f>IF(B3953,INDEX(Dow,1,WEEKDAY(E3953,2)),"")</f>
        <v/>
      </c>
      <c r="M3953">
        <f>IF(B3953,(1+Trend)^D3953,"")</f>
        <v/>
      </c>
      <c r="N3953">
        <f>IF(B3953,EXP(SUMPRODUCT(LN(1+(EvEff-1)*INDEX(Affected,0,C3953)*EXP(-((E3953-EvCenter)^2)/(2*EvSigma^2))))),"")</f>
        <v/>
      </c>
      <c r="O3953">
        <f>IF(B3953,ROUND(MAX(0,J3953*K3953*L3953*M3953*N3953),2),"")</f>
        <v/>
      </c>
    </row>
    <row r="3954">
      <c r="A3954" t="n">
        <v>3953</v>
      </c>
      <c r="B3954">
        <f>A3954&lt;=MineCount*Days</f>
        <v/>
      </c>
      <c r="C3954">
        <f>IF(B3954,INT((A3954-1)/Days)+1,"")</f>
        <v/>
      </c>
      <c r="D3954">
        <f>IF(B3954,MOD(A3954-1,Days),"")</f>
        <v/>
      </c>
      <c r="E3954" s="16">
        <f>IF(B3954,StartDate+D3954,"")</f>
        <v/>
      </c>
      <c r="F3954">
        <f>IF(B3954,MAX(MOD(SIN(Seed*0.1373+C3954*12.9898+D3954*78.233)*43758.5453,1),1E-9),"")</f>
        <v/>
      </c>
      <c r="G3954">
        <f>IF(B3954,MOD(SIN(Seed*0.5917+C3954*39.3468+D3954*11.135)*24634.6345,1),"")</f>
        <v/>
      </c>
      <c r="H3954">
        <f>IF(B3954,SQRT(-2*LN(F3954))*COS(2*PI()*G3954),"")</f>
        <v/>
      </c>
      <c r="I3954">
        <f>IF(B3954,IF(D3954=0,H3954,Rho*I3953+SQRT(1-Rho^2)*H3954),"")</f>
        <v/>
      </c>
      <c r="J3954">
        <f>IF(B3954,IF(Dist="Normal",DistA+DistB*I3954,DistA+(DistB-DistA)*NORMSDIST(I3954)),"")</f>
        <v/>
      </c>
      <c r="K3954">
        <f>IF(B3954,INDEX(MineScale,C3954),"")</f>
        <v/>
      </c>
      <c r="L3954">
        <f>IF(B3954,INDEX(Dow,1,WEEKDAY(E3954,2)),"")</f>
        <v/>
      </c>
      <c r="M3954">
        <f>IF(B3954,(1+Trend)^D3954,"")</f>
        <v/>
      </c>
      <c r="N3954">
        <f>IF(B3954,EXP(SUMPRODUCT(LN(1+(EvEff-1)*INDEX(Affected,0,C3954)*EXP(-((E3954-EvCenter)^2)/(2*EvSigma^2))))),"")</f>
        <v/>
      </c>
      <c r="O3954">
        <f>IF(B3954,ROUND(MAX(0,J3954*K3954*L3954*M3954*N3954),2),"")</f>
        <v/>
      </c>
    </row>
    <row r="3955">
      <c r="A3955" t="n">
        <v>3954</v>
      </c>
      <c r="B3955">
        <f>A3955&lt;=MineCount*Days</f>
        <v/>
      </c>
      <c r="C3955">
        <f>IF(B3955,INT((A3955-1)/Days)+1,"")</f>
        <v/>
      </c>
      <c r="D3955">
        <f>IF(B3955,MOD(A3955-1,Days),"")</f>
        <v/>
      </c>
      <c r="E3955" s="16">
        <f>IF(B3955,StartDate+D3955,"")</f>
        <v/>
      </c>
      <c r="F3955">
        <f>IF(B3955,MAX(MOD(SIN(Seed*0.1373+C3955*12.9898+D3955*78.233)*43758.5453,1),1E-9),"")</f>
        <v/>
      </c>
      <c r="G3955">
        <f>IF(B3955,MOD(SIN(Seed*0.5917+C3955*39.3468+D3955*11.135)*24634.6345,1),"")</f>
        <v/>
      </c>
      <c r="H3955">
        <f>IF(B3955,SQRT(-2*LN(F3955))*COS(2*PI()*G3955),"")</f>
        <v/>
      </c>
      <c r="I3955">
        <f>IF(B3955,IF(D3955=0,H3955,Rho*I3954+SQRT(1-Rho^2)*H3955),"")</f>
        <v/>
      </c>
      <c r="J3955">
        <f>IF(B3955,IF(Dist="Normal",DistA+DistB*I3955,DistA+(DistB-DistA)*NORMSDIST(I3955)),"")</f>
        <v/>
      </c>
      <c r="K3955">
        <f>IF(B3955,INDEX(MineScale,C3955),"")</f>
        <v/>
      </c>
      <c r="L3955">
        <f>IF(B3955,INDEX(Dow,1,WEEKDAY(E3955,2)),"")</f>
        <v/>
      </c>
      <c r="M3955">
        <f>IF(B3955,(1+Trend)^D3955,"")</f>
        <v/>
      </c>
      <c r="N3955">
        <f>IF(B3955,EXP(SUMPRODUCT(LN(1+(EvEff-1)*INDEX(Affected,0,C3955)*EXP(-((E3955-EvCenter)^2)/(2*EvSigma^2))))),"")</f>
        <v/>
      </c>
      <c r="O3955">
        <f>IF(B3955,ROUND(MAX(0,J3955*K3955*L3955*M3955*N3955),2),"")</f>
        <v/>
      </c>
    </row>
    <row r="3956">
      <c r="A3956" t="n">
        <v>3955</v>
      </c>
      <c r="B3956">
        <f>A3956&lt;=MineCount*Days</f>
        <v/>
      </c>
      <c r="C3956">
        <f>IF(B3956,INT((A3956-1)/Days)+1,"")</f>
        <v/>
      </c>
      <c r="D3956">
        <f>IF(B3956,MOD(A3956-1,Days),"")</f>
        <v/>
      </c>
      <c r="E3956" s="16">
        <f>IF(B3956,StartDate+D3956,"")</f>
        <v/>
      </c>
      <c r="F3956">
        <f>IF(B3956,MAX(MOD(SIN(Seed*0.1373+C3956*12.9898+D3956*78.233)*43758.5453,1),1E-9),"")</f>
        <v/>
      </c>
      <c r="G3956">
        <f>IF(B3956,MOD(SIN(Seed*0.5917+C3956*39.3468+D3956*11.135)*24634.6345,1),"")</f>
        <v/>
      </c>
      <c r="H3956">
        <f>IF(B3956,SQRT(-2*LN(F3956))*COS(2*PI()*G3956),"")</f>
        <v/>
      </c>
      <c r="I3956">
        <f>IF(B3956,IF(D3956=0,H3956,Rho*I3955+SQRT(1-Rho^2)*H3956),"")</f>
        <v/>
      </c>
      <c r="J3956">
        <f>IF(B3956,IF(Dist="Normal",DistA+DistB*I3956,DistA+(DistB-DistA)*NORMSDIST(I3956)),"")</f>
        <v/>
      </c>
      <c r="K3956">
        <f>IF(B3956,INDEX(MineScale,C3956),"")</f>
        <v/>
      </c>
      <c r="L3956">
        <f>IF(B3956,INDEX(Dow,1,WEEKDAY(E3956,2)),"")</f>
        <v/>
      </c>
      <c r="M3956">
        <f>IF(B3956,(1+Trend)^D3956,"")</f>
        <v/>
      </c>
      <c r="N3956">
        <f>IF(B3956,EXP(SUMPRODUCT(LN(1+(EvEff-1)*INDEX(Affected,0,C3956)*EXP(-((E3956-EvCenter)^2)/(2*EvSigma^2))))),"")</f>
        <v/>
      </c>
      <c r="O3956">
        <f>IF(B3956,ROUND(MAX(0,J3956*K3956*L3956*M3956*N3956),2),"")</f>
        <v/>
      </c>
    </row>
    <row r="3957">
      <c r="A3957" t="n">
        <v>3956</v>
      </c>
      <c r="B3957">
        <f>A3957&lt;=MineCount*Days</f>
        <v/>
      </c>
      <c r="C3957">
        <f>IF(B3957,INT((A3957-1)/Days)+1,"")</f>
        <v/>
      </c>
      <c r="D3957">
        <f>IF(B3957,MOD(A3957-1,Days),"")</f>
        <v/>
      </c>
      <c r="E3957" s="16">
        <f>IF(B3957,StartDate+D3957,"")</f>
        <v/>
      </c>
      <c r="F3957">
        <f>IF(B3957,MAX(MOD(SIN(Seed*0.1373+C3957*12.9898+D3957*78.233)*43758.5453,1),1E-9),"")</f>
        <v/>
      </c>
      <c r="G3957">
        <f>IF(B3957,MOD(SIN(Seed*0.5917+C3957*39.3468+D3957*11.135)*24634.6345,1),"")</f>
        <v/>
      </c>
      <c r="H3957">
        <f>IF(B3957,SQRT(-2*LN(F3957))*COS(2*PI()*G3957),"")</f>
        <v/>
      </c>
      <c r="I3957">
        <f>IF(B3957,IF(D3957=0,H3957,Rho*I3956+SQRT(1-Rho^2)*H3957),"")</f>
        <v/>
      </c>
      <c r="J3957">
        <f>IF(B3957,IF(Dist="Normal",DistA+DistB*I3957,DistA+(DistB-DistA)*NORMSDIST(I3957)),"")</f>
        <v/>
      </c>
      <c r="K3957">
        <f>IF(B3957,INDEX(MineScale,C3957),"")</f>
        <v/>
      </c>
      <c r="L3957">
        <f>IF(B3957,INDEX(Dow,1,WEEKDAY(E3957,2)),"")</f>
        <v/>
      </c>
      <c r="M3957">
        <f>IF(B3957,(1+Trend)^D3957,"")</f>
        <v/>
      </c>
      <c r="N3957">
        <f>IF(B3957,EXP(SUMPRODUCT(LN(1+(EvEff-1)*INDEX(Affected,0,C3957)*EXP(-((E3957-EvCenter)^2)/(2*EvSigma^2))))),"")</f>
        <v/>
      </c>
      <c r="O3957">
        <f>IF(B3957,ROUND(MAX(0,J3957*K3957*L3957*M3957*N3957),2),"")</f>
        <v/>
      </c>
    </row>
    <row r="3958">
      <c r="A3958" t="n">
        <v>3957</v>
      </c>
      <c r="B3958">
        <f>A3958&lt;=MineCount*Days</f>
        <v/>
      </c>
      <c r="C3958">
        <f>IF(B3958,INT((A3958-1)/Days)+1,"")</f>
        <v/>
      </c>
      <c r="D3958">
        <f>IF(B3958,MOD(A3958-1,Days),"")</f>
        <v/>
      </c>
      <c r="E3958" s="16">
        <f>IF(B3958,StartDate+D3958,"")</f>
        <v/>
      </c>
      <c r="F3958">
        <f>IF(B3958,MAX(MOD(SIN(Seed*0.1373+C3958*12.9898+D3958*78.233)*43758.5453,1),1E-9),"")</f>
        <v/>
      </c>
      <c r="G3958">
        <f>IF(B3958,MOD(SIN(Seed*0.5917+C3958*39.3468+D3958*11.135)*24634.6345,1),"")</f>
        <v/>
      </c>
      <c r="H3958">
        <f>IF(B3958,SQRT(-2*LN(F3958))*COS(2*PI()*G3958),"")</f>
        <v/>
      </c>
      <c r="I3958">
        <f>IF(B3958,IF(D3958=0,H3958,Rho*I3957+SQRT(1-Rho^2)*H3958),"")</f>
        <v/>
      </c>
      <c r="J3958">
        <f>IF(B3958,IF(Dist="Normal",DistA+DistB*I3958,DistA+(DistB-DistA)*NORMSDIST(I3958)),"")</f>
        <v/>
      </c>
      <c r="K3958">
        <f>IF(B3958,INDEX(MineScale,C3958),"")</f>
        <v/>
      </c>
      <c r="L3958">
        <f>IF(B3958,INDEX(Dow,1,WEEKDAY(E3958,2)),"")</f>
        <v/>
      </c>
      <c r="M3958">
        <f>IF(B3958,(1+Trend)^D3958,"")</f>
        <v/>
      </c>
      <c r="N3958">
        <f>IF(B3958,EXP(SUMPRODUCT(LN(1+(EvEff-1)*INDEX(Affected,0,C3958)*EXP(-((E3958-EvCenter)^2)/(2*EvSigma^2))))),"")</f>
        <v/>
      </c>
      <c r="O3958">
        <f>IF(B3958,ROUND(MAX(0,J3958*K3958*L3958*M3958*N3958),2),"")</f>
        <v/>
      </c>
    </row>
    <row r="3959">
      <c r="A3959" t="n">
        <v>3958</v>
      </c>
      <c r="B3959">
        <f>A3959&lt;=MineCount*Days</f>
        <v/>
      </c>
      <c r="C3959">
        <f>IF(B3959,INT((A3959-1)/Days)+1,"")</f>
        <v/>
      </c>
      <c r="D3959">
        <f>IF(B3959,MOD(A3959-1,Days),"")</f>
        <v/>
      </c>
      <c r="E3959" s="16">
        <f>IF(B3959,StartDate+D3959,"")</f>
        <v/>
      </c>
      <c r="F3959">
        <f>IF(B3959,MAX(MOD(SIN(Seed*0.1373+C3959*12.9898+D3959*78.233)*43758.5453,1),1E-9),"")</f>
        <v/>
      </c>
      <c r="G3959">
        <f>IF(B3959,MOD(SIN(Seed*0.5917+C3959*39.3468+D3959*11.135)*24634.6345,1),"")</f>
        <v/>
      </c>
      <c r="H3959">
        <f>IF(B3959,SQRT(-2*LN(F3959))*COS(2*PI()*G3959),"")</f>
        <v/>
      </c>
      <c r="I3959">
        <f>IF(B3959,IF(D3959=0,H3959,Rho*I3958+SQRT(1-Rho^2)*H3959),"")</f>
        <v/>
      </c>
      <c r="J3959">
        <f>IF(B3959,IF(Dist="Normal",DistA+DistB*I3959,DistA+(DistB-DistA)*NORMSDIST(I3959)),"")</f>
        <v/>
      </c>
      <c r="K3959">
        <f>IF(B3959,INDEX(MineScale,C3959),"")</f>
        <v/>
      </c>
      <c r="L3959">
        <f>IF(B3959,INDEX(Dow,1,WEEKDAY(E3959,2)),"")</f>
        <v/>
      </c>
      <c r="M3959">
        <f>IF(B3959,(1+Trend)^D3959,"")</f>
        <v/>
      </c>
      <c r="N3959">
        <f>IF(B3959,EXP(SUMPRODUCT(LN(1+(EvEff-1)*INDEX(Affected,0,C3959)*EXP(-((E3959-EvCenter)^2)/(2*EvSigma^2))))),"")</f>
        <v/>
      </c>
      <c r="O3959">
        <f>IF(B3959,ROUND(MAX(0,J3959*K3959*L3959*M3959*N3959),2),"")</f>
        <v/>
      </c>
    </row>
    <row r="3960">
      <c r="A3960" t="n">
        <v>3959</v>
      </c>
      <c r="B3960">
        <f>A3960&lt;=MineCount*Days</f>
        <v/>
      </c>
      <c r="C3960">
        <f>IF(B3960,INT((A3960-1)/Days)+1,"")</f>
        <v/>
      </c>
      <c r="D3960">
        <f>IF(B3960,MOD(A3960-1,Days),"")</f>
        <v/>
      </c>
      <c r="E3960" s="16">
        <f>IF(B3960,StartDate+D3960,"")</f>
        <v/>
      </c>
      <c r="F3960">
        <f>IF(B3960,MAX(MOD(SIN(Seed*0.1373+C3960*12.9898+D3960*78.233)*43758.5453,1),1E-9),"")</f>
        <v/>
      </c>
      <c r="G3960">
        <f>IF(B3960,MOD(SIN(Seed*0.5917+C3960*39.3468+D3960*11.135)*24634.6345,1),"")</f>
        <v/>
      </c>
      <c r="H3960">
        <f>IF(B3960,SQRT(-2*LN(F3960))*COS(2*PI()*G3960),"")</f>
        <v/>
      </c>
      <c r="I3960">
        <f>IF(B3960,IF(D3960=0,H3960,Rho*I3959+SQRT(1-Rho^2)*H3960),"")</f>
        <v/>
      </c>
      <c r="J3960">
        <f>IF(B3960,IF(Dist="Normal",DistA+DistB*I3960,DistA+(DistB-DistA)*NORMSDIST(I3960)),"")</f>
        <v/>
      </c>
      <c r="K3960">
        <f>IF(B3960,INDEX(MineScale,C3960),"")</f>
        <v/>
      </c>
      <c r="L3960">
        <f>IF(B3960,INDEX(Dow,1,WEEKDAY(E3960,2)),"")</f>
        <v/>
      </c>
      <c r="M3960">
        <f>IF(B3960,(1+Trend)^D3960,"")</f>
        <v/>
      </c>
      <c r="N3960">
        <f>IF(B3960,EXP(SUMPRODUCT(LN(1+(EvEff-1)*INDEX(Affected,0,C3960)*EXP(-((E3960-EvCenter)^2)/(2*EvSigma^2))))),"")</f>
        <v/>
      </c>
      <c r="O3960">
        <f>IF(B3960,ROUND(MAX(0,J3960*K3960*L3960*M3960*N3960),2),"")</f>
        <v/>
      </c>
    </row>
    <row r="3961">
      <c r="A3961" t="n">
        <v>3960</v>
      </c>
      <c r="B3961">
        <f>A3961&lt;=MineCount*Days</f>
        <v/>
      </c>
      <c r="C3961">
        <f>IF(B3961,INT((A3961-1)/Days)+1,"")</f>
        <v/>
      </c>
      <c r="D3961">
        <f>IF(B3961,MOD(A3961-1,Days),"")</f>
        <v/>
      </c>
      <c r="E3961" s="16">
        <f>IF(B3961,StartDate+D3961,"")</f>
        <v/>
      </c>
      <c r="F3961">
        <f>IF(B3961,MAX(MOD(SIN(Seed*0.1373+C3961*12.9898+D3961*78.233)*43758.5453,1),1E-9),"")</f>
        <v/>
      </c>
      <c r="G3961">
        <f>IF(B3961,MOD(SIN(Seed*0.5917+C3961*39.3468+D3961*11.135)*24634.6345,1),"")</f>
        <v/>
      </c>
      <c r="H3961">
        <f>IF(B3961,SQRT(-2*LN(F3961))*COS(2*PI()*G3961),"")</f>
        <v/>
      </c>
      <c r="I3961">
        <f>IF(B3961,IF(D3961=0,H3961,Rho*I3960+SQRT(1-Rho^2)*H3961),"")</f>
        <v/>
      </c>
      <c r="J3961">
        <f>IF(B3961,IF(Dist="Normal",DistA+DistB*I3961,DistA+(DistB-DistA)*NORMSDIST(I3961)),"")</f>
        <v/>
      </c>
      <c r="K3961">
        <f>IF(B3961,INDEX(MineScale,C3961),"")</f>
        <v/>
      </c>
      <c r="L3961">
        <f>IF(B3961,INDEX(Dow,1,WEEKDAY(E3961,2)),"")</f>
        <v/>
      </c>
      <c r="M3961">
        <f>IF(B3961,(1+Trend)^D3961,"")</f>
        <v/>
      </c>
      <c r="N3961">
        <f>IF(B3961,EXP(SUMPRODUCT(LN(1+(EvEff-1)*INDEX(Affected,0,C3961)*EXP(-((E3961-EvCenter)^2)/(2*EvSigma^2))))),"")</f>
        <v/>
      </c>
      <c r="O3961">
        <f>IF(B3961,ROUND(MAX(0,J3961*K3961*L3961*M3961*N3961),2),"")</f>
        <v/>
      </c>
    </row>
    <row r="3962">
      <c r="A3962" t="n">
        <v>3961</v>
      </c>
      <c r="B3962">
        <f>A3962&lt;=MineCount*Days</f>
        <v/>
      </c>
      <c r="C3962">
        <f>IF(B3962,INT((A3962-1)/Days)+1,"")</f>
        <v/>
      </c>
      <c r="D3962">
        <f>IF(B3962,MOD(A3962-1,Days),"")</f>
        <v/>
      </c>
      <c r="E3962" s="16">
        <f>IF(B3962,StartDate+D3962,"")</f>
        <v/>
      </c>
      <c r="F3962">
        <f>IF(B3962,MAX(MOD(SIN(Seed*0.1373+C3962*12.9898+D3962*78.233)*43758.5453,1),1E-9),"")</f>
        <v/>
      </c>
      <c r="G3962">
        <f>IF(B3962,MOD(SIN(Seed*0.5917+C3962*39.3468+D3962*11.135)*24634.6345,1),"")</f>
        <v/>
      </c>
      <c r="H3962">
        <f>IF(B3962,SQRT(-2*LN(F3962))*COS(2*PI()*G3962),"")</f>
        <v/>
      </c>
      <c r="I3962">
        <f>IF(B3962,IF(D3962=0,H3962,Rho*I3961+SQRT(1-Rho^2)*H3962),"")</f>
        <v/>
      </c>
      <c r="J3962">
        <f>IF(B3962,IF(Dist="Normal",DistA+DistB*I3962,DistA+(DistB-DistA)*NORMSDIST(I3962)),"")</f>
        <v/>
      </c>
      <c r="K3962">
        <f>IF(B3962,INDEX(MineScale,C3962),"")</f>
        <v/>
      </c>
      <c r="L3962">
        <f>IF(B3962,INDEX(Dow,1,WEEKDAY(E3962,2)),"")</f>
        <v/>
      </c>
      <c r="M3962">
        <f>IF(B3962,(1+Trend)^D3962,"")</f>
        <v/>
      </c>
      <c r="N3962">
        <f>IF(B3962,EXP(SUMPRODUCT(LN(1+(EvEff-1)*INDEX(Affected,0,C3962)*EXP(-((E3962-EvCenter)^2)/(2*EvSigma^2))))),"")</f>
        <v/>
      </c>
      <c r="O3962">
        <f>IF(B3962,ROUND(MAX(0,J3962*K3962*L3962*M3962*N3962),2),"")</f>
        <v/>
      </c>
    </row>
    <row r="3963">
      <c r="A3963" t="n">
        <v>3962</v>
      </c>
      <c r="B3963">
        <f>A3963&lt;=MineCount*Days</f>
        <v/>
      </c>
      <c r="C3963">
        <f>IF(B3963,INT((A3963-1)/Days)+1,"")</f>
        <v/>
      </c>
      <c r="D3963">
        <f>IF(B3963,MOD(A3963-1,Days),"")</f>
        <v/>
      </c>
      <c r="E3963" s="16">
        <f>IF(B3963,StartDate+D3963,"")</f>
        <v/>
      </c>
      <c r="F3963">
        <f>IF(B3963,MAX(MOD(SIN(Seed*0.1373+C3963*12.9898+D3963*78.233)*43758.5453,1),1E-9),"")</f>
        <v/>
      </c>
      <c r="G3963">
        <f>IF(B3963,MOD(SIN(Seed*0.5917+C3963*39.3468+D3963*11.135)*24634.6345,1),"")</f>
        <v/>
      </c>
      <c r="H3963">
        <f>IF(B3963,SQRT(-2*LN(F3963))*COS(2*PI()*G3963),"")</f>
        <v/>
      </c>
      <c r="I3963">
        <f>IF(B3963,IF(D3963=0,H3963,Rho*I3962+SQRT(1-Rho^2)*H3963),"")</f>
        <v/>
      </c>
      <c r="J3963">
        <f>IF(B3963,IF(Dist="Normal",DistA+DistB*I3963,DistA+(DistB-DistA)*NORMSDIST(I3963)),"")</f>
        <v/>
      </c>
      <c r="K3963">
        <f>IF(B3963,INDEX(MineScale,C3963),"")</f>
        <v/>
      </c>
      <c r="L3963">
        <f>IF(B3963,INDEX(Dow,1,WEEKDAY(E3963,2)),"")</f>
        <v/>
      </c>
      <c r="M3963">
        <f>IF(B3963,(1+Trend)^D3963,"")</f>
        <v/>
      </c>
      <c r="N3963">
        <f>IF(B3963,EXP(SUMPRODUCT(LN(1+(EvEff-1)*INDEX(Affected,0,C3963)*EXP(-((E3963-EvCenter)^2)/(2*EvSigma^2))))),"")</f>
        <v/>
      </c>
      <c r="O3963">
        <f>IF(B3963,ROUND(MAX(0,J3963*K3963*L3963*M3963*N3963),2),"")</f>
        <v/>
      </c>
    </row>
    <row r="3964">
      <c r="A3964" t="n">
        <v>3963</v>
      </c>
      <c r="B3964">
        <f>A3964&lt;=MineCount*Days</f>
        <v/>
      </c>
      <c r="C3964">
        <f>IF(B3964,INT((A3964-1)/Days)+1,"")</f>
        <v/>
      </c>
      <c r="D3964">
        <f>IF(B3964,MOD(A3964-1,Days),"")</f>
        <v/>
      </c>
      <c r="E3964" s="16">
        <f>IF(B3964,StartDate+D3964,"")</f>
        <v/>
      </c>
      <c r="F3964">
        <f>IF(B3964,MAX(MOD(SIN(Seed*0.1373+C3964*12.9898+D3964*78.233)*43758.5453,1),1E-9),"")</f>
        <v/>
      </c>
      <c r="G3964">
        <f>IF(B3964,MOD(SIN(Seed*0.5917+C3964*39.3468+D3964*11.135)*24634.6345,1),"")</f>
        <v/>
      </c>
      <c r="H3964">
        <f>IF(B3964,SQRT(-2*LN(F3964))*COS(2*PI()*G3964),"")</f>
        <v/>
      </c>
      <c r="I3964">
        <f>IF(B3964,IF(D3964=0,H3964,Rho*I3963+SQRT(1-Rho^2)*H3964),"")</f>
        <v/>
      </c>
      <c r="J3964">
        <f>IF(B3964,IF(Dist="Normal",DistA+DistB*I3964,DistA+(DistB-DistA)*NORMSDIST(I3964)),"")</f>
        <v/>
      </c>
      <c r="K3964">
        <f>IF(B3964,INDEX(MineScale,C3964),"")</f>
        <v/>
      </c>
      <c r="L3964">
        <f>IF(B3964,INDEX(Dow,1,WEEKDAY(E3964,2)),"")</f>
        <v/>
      </c>
      <c r="M3964">
        <f>IF(B3964,(1+Trend)^D3964,"")</f>
        <v/>
      </c>
      <c r="N3964">
        <f>IF(B3964,EXP(SUMPRODUCT(LN(1+(EvEff-1)*INDEX(Affected,0,C3964)*EXP(-((E3964-EvCenter)^2)/(2*EvSigma^2))))),"")</f>
        <v/>
      </c>
      <c r="O3964">
        <f>IF(B3964,ROUND(MAX(0,J3964*K3964*L3964*M3964*N3964),2),"")</f>
        <v/>
      </c>
    </row>
    <row r="3965">
      <c r="A3965" t="n">
        <v>3964</v>
      </c>
      <c r="B3965">
        <f>A3965&lt;=MineCount*Days</f>
        <v/>
      </c>
      <c r="C3965">
        <f>IF(B3965,INT((A3965-1)/Days)+1,"")</f>
        <v/>
      </c>
      <c r="D3965">
        <f>IF(B3965,MOD(A3965-1,Days),"")</f>
        <v/>
      </c>
      <c r="E3965" s="16">
        <f>IF(B3965,StartDate+D3965,"")</f>
        <v/>
      </c>
      <c r="F3965">
        <f>IF(B3965,MAX(MOD(SIN(Seed*0.1373+C3965*12.9898+D3965*78.233)*43758.5453,1),1E-9),"")</f>
        <v/>
      </c>
      <c r="G3965">
        <f>IF(B3965,MOD(SIN(Seed*0.5917+C3965*39.3468+D3965*11.135)*24634.6345,1),"")</f>
        <v/>
      </c>
      <c r="H3965">
        <f>IF(B3965,SQRT(-2*LN(F3965))*COS(2*PI()*G3965),"")</f>
        <v/>
      </c>
      <c r="I3965">
        <f>IF(B3965,IF(D3965=0,H3965,Rho*I3964+SQRT(1-Rho^2)*H3965),"")</f>
        <v/>
      </c>
      <c r="J3965">
        <f>IF(B3965,IF(Dist="Normal",DistA+DistB*I3965,DistA+(DistB-DistA)*NORMSDIST(I3965)),"")</f>
        <v/>
      </c>
      <c r="K3965">
        <f>IF(B3965,INDEX(MineScale,C3965),"")</f>
        <v/>
      </c>
      <c r="L3965">
        <f>IF(B3965,INDEX(Dow,1,WEEKDAY(E3965,2)),"")</f>
        <v/>
      </c>
      <c r="M3965">
        <f>IF(B3965,(1+Trend)^D3965,"")</f>
        <v/>
      </c>
      <c r="N3965">
        <f>IF(B3965,EXP(SUMPRODUCT(LN(1+(EvEff-1)*INDEX(Affected,0,C3965)*EXP(-((E3965-EvCenter)^2)/(2*EvSigma^2))))),"")</f>
        <v/>
      </c>
      <c r="O3965">
        <f>IF(B3965,ROUND(MAX(0,J3965*K3965*L3965*M3965*N3965),2),"")</f>
        <v/>
      </c>
    </row>
    <row r="3966">
      <c r="A3966" t="n">
        <v>3965</v>
      </c>
      <c r="B3966">
        <f>A3966&lt;=MineCount*Days</f>
        <v/>
      </c>
      <c r="C3966">
        <f>IF(B3966,INT((A3966-1)/Days)+1,"")</f>
        <v/>
      </c>
      <c r="D3966">
        <f>IF(B3966,MOD(A3966-1,Days),"")</f>
        <v/>
      </c>
      <c r="E3966" s="16">
        <f>IF(B3966,StartDate+D3966,"")</f>
        <v/>
      </c>
      <c r="F3966">
        <f>IF(B3966,MAX(MOD(SIN(Seed*0.1373+C3966*12.9898+D3966*78.233)*43758.5453,1),1E-9),"")</f>
        <v/>
      </c>
      <c r="G3966">
        <f>IF(B3966,MOD(SIN(Seed*0.5917+C3966*39.3468+D3966*11.135)*24634.6345,1),"")</f>
        <v/>
      </c>
      <c r="H3966">
        <f>IF(B3966,SQRT(-2*LN(F3966))*COS(2*PI()*G3966),"")</f>
        <v/>
      </c>
      <c r="I3966">
        <f>IF(B3966,IF(D3966=0,H3966,Rho*I3965+SQRT(1-Rho^2)*H3966),"")</f>
        <v/>
      </c>
      <c r="J3966">
        <f>IF(B3966,IF(Dist="Normal",DistA+DistB*I3966,DistA+(DistB-DistA)*NORMSDIST(I3966)),"")</f>
        <v/>
      </c>
      <c r="K3966">
        <f>IF(B3966,INDEX(MineScale,C3966),"")</f>
        <v/>
      </c>
      <c r="L3966">
        <f>IF(B3966,INDEX(Dow,1,WEEKDAY(E3966,2)),"")</f>
        <v/>
      </c>
      <c r="M3966">
        <f>IF(B3966,(1+Trend)^D3966,"")</f>
        <v/>
      </c>
      <c r="N3966">
        <f>IF(B3966,EXP(SUMPRODUCT(LN(1+(EvEff-1)*INDEX(Affected,0,C3966)*EXP(-((E3966-EvCenter)^2)/(2*EvSigma^2))))),"")</f>
        <v/>
      </c>
      <c r="O3966">
        <f>IF(B3966,ROUND(MAX(0,J3966*K3966*L3966*M3966*N3966),2),"")</f>
        <v/>
      </c>
    </row>
    <row r="3967">
      <c r="A3967" t="n">
        <v>3966</v>
      </c>
      <c r="B3967">
        <f>A3967&lt;=MineCount*Days</f>
        <v/>
      </c>
      <c r="C3967">
        <f>IF(B3967,INT((A3967-1)/Days)+1,"")</f>
        <v/>
      </c>
      <c r="D3967">
        <f>IF(B3967,MOD(A3967-1,Days),"")</f>
        <v/>
      </c>
      <c r="E3967" s="16">
        <f>IF(B3967,StartDate+D3967,"")</f>
        <v/>
      </c>
      <c r="F3967">
        <f>IF(B3967,MAX(MOD(SIN(Seed*0.1373+C3967*12.9898+D3967*78.233)*43758.5453,1),1E-9),"")</f>
        <v/>
      </c>
      <c r="G3967">
        <f>IF(B3967,MOD(SIN(Seed*0.5917+C3967*39.3468+D3967*11.135)*24634.6345,1),"")</f>
        <v/>
      </c>
      <c r="H3967">
        <f>IF(B3967,SQRT(-2*LN(F3967))*COS(2*PI()*G3967),"")</f>
        <v/>
      </c>
      <c r="I3967">
        <f>IF(B3967,IF(D3967=0,H3967,Rho*I3966+SQRT(1-Rho^2)*H3967),"")</f>
        <v/>
      </c>
      <c r="J3967">
        <f>IF(B3967,IF(Dist="Normal",DistA+DistB*I3967,DistA+(DistB-DistA)*NORMSDIST(I3967)),"")</f>
        <v/>
      </c>
      <c r="K3967">
        <f>IF(B3967,INDEX(MineScale,C3967),"")</f>
        <v/>
      </c>
      <c r="L3967">
        <f>IF(B3967,INDEX(Dow,1,WEEKDAY(E3967,2)),"")</f>
        <v/>
      </c>
      <c r="M3967">
        <f>IF(B3967,(1+Trend)^D3967,"")</f>
        <v/>
      </c>
      <c r="N3967">
        <f>IF(B3967,EXP(SUMPRODUCT(LN(1+(EvEff-1)*INDEX(Affected,0,C3967)*EXP(-((E3967-EvCenter)^2)/(2*EvSigma^2))))),"")</f>
        <v/>
      </c>
      <c r="O3967">
        <f>IF(B3967,ROUND(MAX(0,J3967*K3967*L3967*M3967*N3967),2),"")</f>
        <v/>
      </c>
    </row>
    <row r="3968">
      <c r="A3968" t="n">
        <v>3967</v>
      </c>
      <c r="B3968">
        <f>A3968&lt;=MineCount*Days</f>
        <v/>
      </c>
      <c r="C3968">
        <f>IF(B3968,INT((A3968-1)/Days)+1,"")</f>
        <v/>
      </c>
      <c r="D3968">
        <f>IF(B3968,MOD(A3968-1,Days),"")</f>
        <v/>
      </c>
      <c r="E3968" s="16">
        <f>IF(B3968,StartDate+D3968,"")</f>
        <v/>
      </c>
      <c r="F3968">
        <f>IF(B3968,MAX(MOD(SIN(Seed*0.1373+C3968*12.9898+D3968*78.233)*43758.5453,1),1E-9),"")</f>
        <v/>
      </c>
      <c r="G3968">
        <f>IF(B3968,MOD(SIN(Seed*0.5917+C3968*39.3468+D3968*11.135)*24634.6345,1),"")</f>
        <v/>
      </c>
      <c r="H3968">
        <f>IF(B3968,SQRT(-2*LN(F3968))*COS(2*PI()*G3968),"")</f>
        <v/>
      </c>
      <c r="I3968">
        <f>IF(B3968,IF(D3968=0,H3968,Rho*I3967+SQRT(1-Rho^2)*H3968),"")</f>
        <v/>
      </c>
      <c r="J3968">
        <f>IF(B3968,IF(Dist="Normal",DistA+DistB*I3968,DistA+(DistB-DistA)*NORMSDIST(I3968)),"")</f>
        <v/>
      </c>
      <c r="K3968">
        <f>IF(B3968,INDEX(MineScale,C3968),"")</f>
        <v/>
      </c>
      <c r="L3968">
        <f>IF(B3968,INDEX(Dow,1,WEEKDAY(E3968,2)),"")</f>
        <v/>
      </c>
      <c r="M3968">
        <f>IF(B3968,(1+Trend)^D3968,"")</f>
        <v/>
      </c>
      <c r="N3968">
        <f>IF(B3968,EXP(SUMPRODUCT(LN(1+(EvEff-1)*INDEX(Affected,0,C3968)*EXP(-((E3968-EvCenter)^2)/(2*EvSigma^2))))),"")</f>
        <v/>
      </c>
      <c r="O3968">
        <f>IF(B3968,ROUND(MAX(0,J3968*K3968*L3968*M3968*N3968),2),"")</f>
        <v/>
      </c>
    </row>
    <row r="3969">
      <c r="A3969" t="n">
        <v>3968</v>
      </c>
      <c r="B3969">
        <f>A3969&lt;=MineCount*Days</f>
        <v/>
      </c>
      <c r="C3969">
        <f>IF(B3969,INT((A3969-1)/Days)+1,"")</f>
        <v/>
      </c>
      <c r="D3969">
        <f>IF(B3969,MOD(A3969-1,Days),"")</f>
        <v/>
      </c>
      <c r="E3969" s="16">
        <f>IF(B3969,StartDate+D3969,"")</f>
        <v/>
      </c>
      <c r="F3969">
        <f>IF(B3969,MAX(MOD(SIN(Seed*0.1373+C3969*12.9898+D3969*78.233)*43758.5453,1),1E-9),"")</f>
        <v/>
      </c>
      <c r="G3969">
        <f>IF(B3969,MOD(SIN(Seed*0.5917+C3969*39.3468+D3969*11.135)*24634.6345,1),"")</f>
        <v/>
      </c>
      <c r="H3969">
        <f>IF(B3969,SQRT(-2*LN(F3969))*COS(2*PI()*G3969),"")</f>
        <v/>
      </c>
      <c r="I3969">
        <f>IF(B3969,IF(D3969=0,H3969,Rho*I3968+SQRT(1-Rho^2)*H3969),"")</f>
        <v/>
      </c>
      <c r="J3969">
        <f>IF(B3969,IF(Dist="Normal",DistA+DistB*I3969,DistA+(DistB-DistA)*NORMSDIST(I3969)),"")</f>
        <v/>
      </c>
      <c r="K3969">
        <f>IF(B3969,INDEX(MineScale,C3969),"")</f>
        <v/>
      </c>
      <c r="L3969">
        <f>IF(B3969,INDEX(Dow,1,WEEKDAY(E3969,2)),"")</f>
        <v/>
      </c>
      <c r="M3969">
        <f>IF(B3969,(1+Trend)^D3969,"")</f>
        <v/>
      </c>
      <c r="N3969">
        <f>IF(B3969,EXP(SUMPRODUCT(LN(1+(EvEff-1)*INDEX(Affected,0,C3969)*EXP(-((E3969-EvCenter)^2)/(2*EvSigma^2))))),"")</f>
        <v/>
      </c>
      <c r="O3969">
        <f>IF(B3969,ROUND(MAX(0,J3969*K3969*L3969*M3969*N3969),2),"")</f>
        <v/>
      </c>
    </row>
    <row r="3970">
      <c r="A3970" t="n">
        <v>3969</v>
      </c>
      <c r="B3970">
        <f>A3970&lt;=MineCount*Days</f>
        <v/>
      </c>
      <c r="C3970">
        <f>IF(B3970,INT((A3970-1)/Days)+1,"")</f>
        <v/>
      </c>
      <c r="D3970">
        <f>IF(B3970,MOD(A3970-1,Days),"")</f>
        <v/>
      </c>
      <c r="E3970" s="16">
        <f>IF(B3970,StartDate+D3970,"")</f>
        <v/>
      </c>
      <c r="F3970">
        <f>IF(B3970,MAX(MOD(SIN(Seed*0.1373+C3970*12.9898+D3970*78.233)*43758.5453,1),1E-9),"")</f>
        <v/>
      </c>
      <c r="G3970">
        <f>IF(B3970,MOD(SIN(Seed*0.5917+C3970*39.3468+D3970*11.135)*24634.6345,1),"")</f>
        <v/>
      </c>
      <c r="H3970">
        <f>IF(B3970,SQRT(-2*LN(F3970))*COS(2*PI()*G3970),"")</f>
        <v/>
      </c>
      <c r="I3970">
        <f>IF(B3970,IF(D3970=0,H3970,Rho*I3969+SQRT(1-Rho^2)*H3970),"")</f>
        <v/>
      </c>
      <c r="J3970">
        <f>IF(B3970,IF(Dist="Normal",DistA+DistB*I3970,DistA+(DistB-DistA)*NORMSDIST(I3970)),"")</f>
        <v/>
      </c>
      <c r="K3970">
        <f>IF(B3970,INDEX(MineScale,C3970),"")</f>
        <v/>
      </c>
      <c r="L3970">
        <f>IF(B3970,INDEX(Dow,1,WEEKDAY(E3970,2)),"")</f>
        <v/>
      </c>
      <c r="M3970">
        <f>IF(B3970,(1+Trend)^D3970,"")</f>
        <v/>
      </c>
      <c r="N3970">
        <f>IF(B3970,EXP(SUMPRODUCT(LN(1+(EvEff-1)*INDEX(Affected,0,C3970)*EXP(-((E3970-EvCenter)^2)/(2*EvSigma^2))))),"")</f>
        <v/>
      </c>
      <c r="O3970">
        <f>IF(B3970,ROUND(MAX(0,J3970*K3970*L3970*M3970*N3970),2),"")</f>
        <v/>
      </c>
    </row>
    <row r="3971">
      <c r="A3971" t="n">
        <v>3970</v>
      </c>
      <c r="B3971">
        <f>A3971&lt;=MineCount*Days</f>
        <v/>
      </c>
      <c r="C3971">
        <f>IF(B3971,INT((A3971-1)/Days)+1,"")</f>
        <v/>
      </c>
      <c r="D3971">
        <f>IF(B3971,MOD(A3971-1,Days),"")</f>
        <v/>
      </c>
      <c r="E3971" s="16">
        <f>IF(B3971,StartDate+D3971,"")</f>
        <v/>
      </c>
      <c r="F3971">
        <f>IF(B3971,MAX(MOD(SIN(Seed*0.1373+C3971*12.9898+D3971*78.233)*43758.5453,1),1E-9),"")</f>
        <v/>
      </c>
      <c r="G3971">
        <f>IF(B3971,MOD(SIN(Seed*0.5917+C3971*39.3468+D3971*11.135)*24634.6345,1),"")</f>
        <v/>
      </c>
      <c r="H3971">
        <f>IF(B3971,SQRT(-2*LN(F3971))*COS(2*PI()*G3971),"")</f>
        <v/>
      </c>
      <c r="I3971">
        <f>IF(B3971,IF(D3971=0,H3971,Rho*I3970+SQRT(1-Rho^2)*H3971),"")</f>
        <v/>
      </c>
      <c r="J3971">
        <f>IF(B3971,IF(Dist="Normal",DistA+DistB*I3971,DistA+(DistB-DistA)*NORMSDIST(I3971)),"")</f>
        <v/>
      </c>
      <c r="K3971">
        <f>IF(B3971,INDEX(MineScale,C3971),"")</f>
        <v/>
      </c>
      <c r="L3971">
        <f>IF(B3971,INDEX(Dow,1,WEEKDAY(E3971,2)),"")</f>
        <v/>
      </c>
      <c r="M3971">
        <f>IF(B3971,(1+Trend)^D3971,"")</f>
        <v/>
      </c>
      <c r="N3971">
        <f>IF(B3971,EXP(SUMPRODUCT(LN(1+(EvEff-1)*INDEX(Affected,0,C3971)*EXP(-((E3971-EvCenter)^2)/(2*EvSigma^2))))),"")</f>
        <v/>
      </c>
      <c r="O3971">
        <f>IF(B3971,ROUND(MAX(0,J3971*K3971*L3971*M3971*N3971),2),"")</f>
        <v/>
      </c>
    </row>
    <row r="3972">
      <c r="A3972" t="n">
        <v>3971</v>
      </c>
      <c r="B3972">
        <f>A3972&lt;=MineCount*Days</f>
        <v/>
      </c>
      <c r="C3972">
        <f>IF(B3972,INT((A3972-1)/Days)+1,"")</f>
        <v/>
      </c>
      <c r="D3972">
        <f>IF(B3972,MOD(A3972-1,Days),"")</f>
        <v/>
      </c>
      <c r="E3972" s="16">
        <f>IF(B3972,StartDate+D3972,"")</f>
        <v/>
      </c>
      <c r="F3972">
        <f>IF(B3972,MAX(MOD(SIN(Seed*0.1373+C3972*12.9898+D3972*78.233)*43758.5453,1),1E-9),"")</f>
        <v/>
      </c>
      <c r="G3972">
        <f>IF(B3972,MOD(SIN(Seed*0.5917+C3972*39.3468+D3972*11.135)*24634.6345,1),"")</f>
        <v/>
      </c>
      <c r="H3972">
        <f>IF(B3972,SQRT(-2*LN(F3972))*COS(2*PI()*G3972),"")</f>
        <v/>
      </c>
      <c r="I3972">
        <f>IF(B3972,IF(D3972=0,H3972,Rho*I3971+SQRT(1-Rho^2)*H3972),"")</f>
        <v/>
      </c>
      <c r="J3972">
        <f>IF(B3972,IF(Dist="Normal",DistA+DistB*I3972,DistA+(DistB-DistA)*NORMSDIST(I3972)),"")</f>
        <v/>
      </c>
      <c r="K3972">
        <f>IF(B3972,INDEX(MineScale,C3972),"")</f>
        <v/>
      </c>
      <c r="L3972">
        <f>IF(B3972,INDEX(Dow,1,WEEKDAY(E3972,2)),"")</f>
        <v/>
      </c>
      <c r="M3972">
        <f>IF(B3972,(1+Trend)^D3972,"")</f>
        <v/>
      </c>
      <c r="N3972">
        <f>IF(B3972,EXP(SUMPRODUCT(LN(1+(EvEff-1)*INDEX(Affected,0,C3972)*EXP(-((E3972-EvCenter)^2)/(2*EvSigma^2))))),"")</f>
        <v/>
      </c>
      <c r="O3972">
        <f>IF(B3972,ROUND(MAX(0,J3972*K3972*L3972*M3972*N3972),2),"")</f>
        <v/>
      </c>
    </row>
    <row r="3973">
      <c r="A3973" t="n">
        <v>3972</v>
      </c>
      <c r="B3973">
        <f>A3973&lt;=MineCount*Days</f>
        <v/>
      </c>
      <c r="C3973">
        <f>IF(B3973,INT((A3973-1)/Days)+1,"")</f>
        <v/>
      </c>
      <c r="D3973">
        <f>IF(B3973,MOD(A3973-1,Days),"")</f>
        <v/>
      </c>
      <c r="E3973" s="16">
        <f>IF(B3973,StartDate+D3973,"")</f>
        <v/>
      </c>
      <c r="F3973">
        <f>IF(B3973,MAX(MOD(SIN(Seed*0.1373+C3973*12.9898+D3973*78.233)*43758.5453,1),1E-9),"")</f>
        <v/>
      </c>
      <c r="G3973">
        <f>IF(B3973,MOD(SIN(Seed*0.5917+C3973*39.3468+D3973*11.135)*24634.6345,1),"")</f>
        <v/>
      </c>
      <c r="H3973">
        <f>IF(B3973,SQRT(-2*LN(F3973))*COS(2*PI()*G3973),"")</f>
        <v/>
      </c>
      <c r="I3973">
        <f>IF(B3973,IF(D3973=0,H3973,Rho*I3972+SQRT(1-Rho^2)*H3973),"")</f>
        <v/>
      </c>
      <c r="J3973">
        <f>IF(B3973,IF(Dist="Normal",DistA+DistB*I3973,DistA+(DistB-DistA)*NORMSDIST(I3973)),"")</f>
        <v/>
      </c>
      <c r="K3973">
        <f>IF(B3973,INDEX(MineScale,C3973),"")</f>
        <v/>
      </c>
      <c r="L3973">
        <f>IF(B3973,INDEX(Dow,1,WEEKDAY(E3973,2)),"")</f>
        <v/>
      </c>
      <c r="M3973">
        <f>IF(B3973,(1+Trend)^D3973,"")</f>
        <v/>
      </c>
      <c r="N3973">
        <f>IF(B3973,EXP(SUMPRODUCT(LN(1+(EvEff-1)*INDEX(Affected,0,C3973)*EXP(-((E3973-EvCenter)^2)/(2*EvSigma^2))))),"")</f>
        <v/>
      </c>
      <c r="O3973">
        <f>IF(B3973,ROUND(MAX(0,J3973*K3973*L3973*M3973*N3973),2),"")</f>
        <v/>
      </c>
    </row>
    <row r="3974">
      <c r="A3974" t="n">
        <v>3973</v>
      </c>
      <c r="B3974">
        <f>A3974&lt;=MineCount*Days</f>
        <v/>
      </c>
      <c r="C3974">
        <f>IF(B3974,INT((A3974-1)/Days)+1,"")</f>
        <v/>
      </c>
      <c r="D3974">
        <f>IF(B3974,MOD(A3974-1,Days),"")</f>
        <v/>
      </c>
      <c r="E3974" s="16">
        <f>IF(B3974,StartDate+D3974,"")</f>
        <v/>
      </c>
      <c r="F3974">
        <f>IF(B3974,MAX(MOD(SIN(Seed*0.1373+C3974*12.9898+D3974*78.233)*43758.5453,1),1E-9),"")</f>
        <v/>
      </c>
      <c r="G3974">
        <f>IF(B3974,MOD(SIN(Seed*0.5917+C3974*39.3468+D3974*11.135)*24634.6345,1),"")</f>
        <v/>
      </c>
      <c r="H3974">
        <f>IF(B3974,SQRT(-2*LN(F3974))*COS(2*PI()*G3974),"")</f>
        <v/>
      </c>
      <c r="I3974">
        <f>IF(B3974,IF(D3974=0,H3974,Rho*I3973+SQRT(1-Rho^2)*H3974),"")</f>
        <v/>
      </c>
      <c r="J3974">
        <f>IF(B3974,IF(Dist="Normal",DistA+DistB*I3974,DistA+(DistB-DistA)*NORMSDIST(I3974)),"")</f>
        <v/>
      </c>
      <c r="K3974">
        <f>IF(B3974,INDEX(MineScale,C3974),"")</f>
        <v/>
      </c>
      <c r="L3974">
        <f>IF(B3974,INDEX(Dow,1,WEEKDAY(E3974,2)),"")</f>
        <v/>
      </c>
      <c r="M3974">
        <f>IF(B3974,(1+Trend)^D3974,"")</f>
        <v/>
      </c>
      <c r="N3974">
        <f>IF(B3974,EXP(SUMPRODUCT(LN(1+(EvEff-1)*INDEX(Affected,0,C3974)*EXP(-((E3974-EvCenter)^2)/(2*EvSigma^2))))),"")</f>
        <v/>
      </c>
      <c r="O3974">
        <f>IF(B3974,ROUND(MAX(0,J3974*K3974*L3974*M3974*N3974),2),"")</f>
        <v/>
      </c>
    </row>
    <row r="3975">
      <c r="A3975" t="n">
        <v>3974</v>
      </c>
      <c r="B3975">
        <f>A3975&lt;=MineCount*Days</f>
        <v/>
      </c>
      <c r="C3975">
        <f>IF(B3975,INT((A3975-1)/Days)+1,"")</f>
        <v/>
      </c>
      <c r="D3975">
        <f>IF(B3975,MOD(A3975-1,Days),"")</f>
        <v/>
      </c>
      <c r="E3975" s="16">
        <f>IF(B3975,StartDate+D3975,"")</f>
        <v/>
      </c>
      <c r="F3975">
        <f>IF(B3975,MAX(MOD(SIN(Seed*0.1373+C3975*12.9898+D3975*78.233)*43758.5453,1),1E-9),"")</f>
        <v/>
      </c>
      <c r="G3975">
        <f>IF(B3975,MOD(SIN(Seed*0.5917+C3975*39.3468+D3975*11.135)*24634.6345,1),"")</f>
        <v/>
      </c>
      <c r="H3975">
        <f>IF(B3975,SQRT(-2*LN(F3975))*COS(2*PI()*G3975),"")</f>
        <v/>
      </c>
      <c r="I3975">
        <f>IF(B3975,IF(D3975=0,H3975,Rho*I3974+SQRT(1-Rho^2)*H3975),"")</f>
        <v/>
      </c>
      <c r="J3975">
        <f>IF(B3975,IF(Dist="Normal",DistA+DistB*I3975,DistA+(DistB-DistA)*NORMSDIST(I3975)),"")</f>
        <v/>
      </c>
      <c r="K3975">
        <f>IF(B3975,INDEX(MineScale,C3975),"")</f>
        <v/>
      </c>
      <c r="L3975">
        <f>IF(B3975,INDEX(Dow,1,WEEKDAY(E3975,2)),"")</f>
        <v/>
      </c>
      <c r="M3975">
        <f>IF(B3975,(1+Trend)^D3975,"")</f>
        <v/>
      </c>
      <c r="N3975">
        <f>IF(B3975,EXP(SUMPRODUCT(LN(1+(EvEff-1)*INDEX(Affected,0,C3975)*EXP(-((E3975-EvCenter)^2)/(2*EvSigma^2))))),"")</f>
        <v/>
      </c>
      <c r="O3975">
        <f>IF(B3975,ROUND(MAX(0,J3975*K3975*L3975*M3975*N3975),2),"")</f>
        <v/>
      </c>
    </row>
    <row r="3976">
      <c r="A3976" t="n">
        <v>3975</v>
      </c>
      <c r="B3976">
        <f>A3976&lt;=MineCount*Days</f>
        <v/>
      </c>
      <c r="C3976">
        <f>IF(B3976,INT((A3976-1)/Days)+1,"")</f>
        <v/>
      </c>
      <c r="D3976">
        <f>IF(B3976,MOD(A3976-1,Days),"")</f>
        <v/>
      </c>
      <c r="E3976" s="16">
        <f>IF(B3976,StartDate+D3976,"")</f>
        <v/>
      </c>
      <c r="F3976">
        <f>IF(B3976,MAX(MOD(SIN(Seed*0.1373+C3976*12.9898+D3976*78.233)*43758.5453,1),1E-9),"")</f>
        <v/>
      </c>
      <c r="G3976">
        <f>IF(B3976,MOD(SIN(Seed*0.5917+C3976*39.3468+D3976*11.135)*24634.6345,1),"")</f>
        <v/>
      </c>
      <c r="H3976">
        <f>IF(B3976,SQRT(-2*LN(F3976))*COS(2*PI()*G3976),"")</f>
        <v/>
      </c>
      <c r="I3976">
        <f>IF(B3976,IF(D3976=0,H3976,Rho*I3975+SQRT(1-Rho^2)*H3976),"")</f>
        <v/>
      </c>
      <c r="J3976">
        <f>IF(B3976,IF(Dist="Normal",DistA+DistB*I3976,DistA+(DistB-DistA)*NORMSDIST(I3976)),"")</f>
        <v/>
      </c>
      <c r="K3976">
        <f>IF(B3976,INDEX(MineScale,C3976),"")</f>
        <v/>
      </c>
      <c r="L3976">
        <f>IF(B3976,INDEX(Dow,1,WEEKDAY(E3976,2)),"")</f>
        <v/>
      </c>
      <c r="M3976">
        <f>IF(B3976,(1+Trend)^D3976,"")</f>
        <v/>
      </c>
      <c r="N3976">
        <f>IF(B3976,EXP(SUMPRODUCT(LN(1+(EvEff-1)*INDEX(Affected,0,C3976)*EXP(-((E3976-EvCenter)^2)/(2*EvSigma^2))))),"")</f>
        <v/>
      </c>
      <c r="O3976">
        <f>IF(B3976,ROUND(MAX(0,J3976*K3976*L3976*M3976*N3976),2),"")</f>
        <v/>
      </c>
    </row>
    <row r="3977">
      <c r="A3977" t="n">
        <v>3976</v>
      </c>
      <c r="B3977">
        <f>A3977&lt;=MineCount*Days</f>
        <v/>
      </c>
      <c r="C3977">
        <f>IF(B3977,INT((A3977-1)/Days)+1,"")</f>
        <v/>
      </c>
      <c r="D3977">
        <f>IF(B3977,MOD(A3977-1,Days),"")</f>
        <v/>
      </c>
      <c r="E3977" s="16">
        <f>IF(B3977,StartDate+D3977,"")</f>
        <v/>
      </c>
      <c r="F3977">
        <f>IF(B3977,MAX(MOD(SIN(Seed*0.1373+C3977*12.9898+D3977*78.233)*43758.5453,1),1E-9),"")</f>
        <v/>
      </c>
      <c r="G3977">
        <f>IF(B3977,MOD(SIN(Seed*0.5917+C3977*39.3468+D3977*11.135)*24634.6345,1),"")</f>
        <v/>
      </c>
      <c r="H3977">
        <f>IF(B3977,SQRT(-2*LN(F3977))*COS(2*PI()*G3977),"")</f>
        <v/>
      </c>
      <c r="I3977">
        <f>IF(B3977,IF(D3977=0,H3977,Rho*I3976+SQRT(1-Rho^2)*H3977),"")</f>
        <v/>
      </c>
      <c r="J3977">
        <f>IF(B3977,IF(Dist="Normal",DistA+DistB*I3977,DistA+(DistB-DistA)*NORMSDIST(I3977)),"")</f>
        <v/>
      </c>
      <c r="K3977">
        <f>IF(B3977,INDEX(MineScale,C3977),"")</f>
        <v/>
      </c>
      <c r="L3977">
        <f>IF(B3977,INDEX(Dow,1,WEEKDAY(E3977,2)),"")</f>
        <v/>
      </c>
      <c r="M3977">
        <f>IF(B3977,(1+Trend)^D3977,"")</f>
        <v/>
      </c>
      <c r="N3977">
        <f>IF(B3977,EXP(SUMPRODUCT(LN(1+(EvEff-1)*INDEX(Affected,0,C3977)*EXP(-((E3977-EvCenter)^2)/(2*EvSigma^2))))),"")</f>
        <v/>
      </c>
      <c r="O3977">
        <f>IF(B3977,ROUND(MAX(0,J3977*K3977*L3977*M3977*N3977),2),"")</f>
        <v/>
      </c>
    </row>
    <row r="3978">
      <c r="A3978" t="n">
        <v>3977</v>
      </c>
      <c r="B3978">
        <f>A3978&lt;=MineCount*Days</f>
        <v/>
      </c>
      <c r="C3978">
        <f>IF(B3978,INT((A3978-1)/Days)+1,"")</f>
        <v/>
      </c>
      <c r="D3978">
        <f>IF(B3978,MOD(A3978-1,Days),"")</f>
        <v/>
      </c>
      <c r="E3978" s="16">
        <f>IF(B3978,StartDate+D3978,"")</f>
        <v/>
      </c>
      <c r="F3978">
        <f>IF(B3978,MAX(MOD(SIN(Seed*0.1373+C3978*12.9898+D3978*78.233)*43758.5453,1),1E-9),"")</f>
        <v/>
      </c>
      <c r="G3978">
        <f>IF(B3978,MOD(SIN(Seed*0.5917+C3978*39.3468+D3978*11.135)*24634.6345,1),"")</f>
        <v/>
      </c>
      <c r="H3978">
        <f>IF(B3978,SQRT(-2*LN(F3978))*COS(2*PI()*G3978),"")</f>
        <v/>
      </c>
      <c r="I3978">
        <f>IF(B3978,IF(D3978=0,H3978,Rho*I3977+SQRT(1-Rho^2)*H3978),"")</f>
        <v/>
      </c>
      <c r="J3978">
        <f>IF(B3978,IF(Dist="Normal",DistA+DistB*I3978,DistA+(DistB-DistA)*NORMSDIST(I3978)),"")</f>
        <v/>
      </c>
      <c r="K3978">
        <f>IF(B3978,INDEX(MineScale,C3978),"")</f>
        <v/>
      </c>
      <c r="L3978">
        <f>IF(B3978,INDEX(Dow,1,WEEKDAY(E3978,2)),"")</f>
        <v/>
      </c>
      <c r="M3978">
        <f>IF(B3978,(1+Trend)^D3978,"")</f>
        <v/>
      </c>
      <c r="N3978">
        <f>IF(B3978,EXP(SUMPRODUCT(LN(1+(EvEff-1)*INDEX(Affected,0,C3978)*EXP(-((E3978-EvCenter)^2)/(2*EvSigma^2))))),"")</f>
        <v/>
      </c>
      <c r="O3978">
        <f>IF(B3978,ROUND(MAX(0,J3978*K3978*L3978*M3978*N3978),2),"")</f>
        <v/>
      </c>
    </row>
    <row r="3979">
      <c r="A3979" t="n">
        <v>3978</v>
      </c>
      <c r="B3979">
        <f>A3979&lt;=MineCount*Days</f>
        <v/>
      </c>
      <c r="C3979">
        <f>IF(B3979,INT((A3979-1)/Days)+1,"")</f>
        <v/>
      </c>
      <c r="D3979">
        <f>IF(B3979,MOD(A3979-1,Days),"")</f>
        <v/>
      </c>
      <c r="E3979" s="16">
        <f>IF(B3979,StartDate+D3979,"")</f>
        <v/>
      </c>
      <c r="F3979">
        <f>IF(B3979,MAX(MOD(SIN(Seed*0.1373+C3979*12.9898+D3979*78.233)*43758.5453,1),1E-9),"")</f>
        <v/>
      </c>
      <c r="G3979">
        <f>IF(B3979,MOD(SIN(Seed*0.5917+C3979*39.3468+D3979*11.135)*24634.6345,1),"")</f>
        <v/>
      </c>
      <c r="H3979">
        <f>IF(B3979,SQRT(-2*LN(F3979))*COS(2*PI()*G3979),"")</f>
        <v/>
      </c>
      <c r="I3979">
        <f>IF(B3979,IF(D3979=0,H3979,Rho*I3978+SQRT(1-Rho^2)*H3979),"")</f>
        <v/>
      </c>
      <c r="J3979">
        <f>IF(B3979,IF(Dist="Normal",DistA+DistB*I3979,DistA+(DistB-DistA)*NORMSDIST(I3979)),"")</f>
        <v/>
      </c>
      <c r="K3979">
        <f>IF(B3979,INDEX(MineScale,C3979),"")</f>
        <v/>
      </c>
      <c r="L3979">
        <f>IF(B3979,INDEX(Dow,1,WEEKDAY(E3979,2)),"")</f>
        <v/>
      </c>
      <c r="M3979">
        <f>IF(B3979,(1+Trend)^D3979,"")</f>
        <v/>
      </c>
      <c r="N3979">
        <f>IF(B3979,EXP(SUMPRODUCT(LN(1+(EvEff-1)*INDEX(Affected,0,C3979)*EXP(-((E3979-EvCenter)^2)/(2*EvSigma^2))))),"")</f>
        <v/>
      </c>
      <c r="O3979">
        <f>IF(B3979,ROUND(MAX(0,J3979*K3979*L3979*M3979*N3979),2),"")</f>
        <v/>
      </c>
    </row>
    <row r="3980">
      <c r="A3980" t="n">
        <v>3979</v>
      </c>
      <c r="B3980">
        <f>A3980&lt;=MineCount*Days</f>
        <v/>
      </c>
      <c r="C3980">
        <f>IF(B3980,INT((A3980-1)/Days)+1,"")</f>
        <v/>
      </c>
      <c r="D3980">
        <f>IF(B3980,MOD(A3980-1,Days),"")</f>
        <v/>
      </c>
      <c r="E3980" s="16">
        <f>IF(B3980,StartDate+D3980,"")</f>
        <v/>
      </c>
      <c r="F3980">
        <f>IF(B3980,MAX(MOD(SIN(Seed*0.1373+C3980*12.9898+D3980*78.233)*43758.5453,1),1E-9),"")</f>
        <v/>
      </c>
      <c r="G3980">
        <f>IF(B3980,MOD(SIN(Seed*0.5917+C3980*39.3468+D3980*11.135)*24634.6345,1),"")</f>
        <v/>
      </c>
      <c r="H3980">
        <f>IF(B3980,SQRT(-2*LN(F3980))*COS(2*PI()*G3980),"")</f>
        <v/>
      </c>
      <c r="I3980">
        <f>IF(B3980,IF(D3980=0,H3980,Rho*I3979+SQRT(1-Rho^2)*H3980),"")</f>
        <v/>
      </c>
      <c r="J3980">
        <f>IF(B3980,IF(Dist="Normal",DistA+DistB*I3980,DistA+(DistB-DistA)*NORMSDIST(I3980)),"")</f>
        <v/>
      </c>
      <c r="K3980">
        <f>IF(B3980,INDEX(MineScale,C3980),"")</f>
        <v/>
      </c>
      <c r="L3980">
        <f>IF(B3980,INDEX(Dow,1,WEEKDAY(E3980,2)),"")</f>
        <v/>
      </c>
      <c r="M3980">
        <f>IF(B3980,(1+Trend)^D3980,"")</f>
        <v/>
      </c>
      <c r="N3980">
        <f>IF(B3980,EXP(SUMPRODUCT(LN(1+(EvEff-1)*INDEX(Affected,0,C3980)*EXP(-((E3980-EvCenter)^2)/(2*EvSigma^2))))),"")</f>
        <v/>
      </c>
      <c r="O3980">
        <f>IF(B3980,ROUND(MAX(0,J3980*K3980*L3980*M3980*N3980),2),"")</f>
        <v/>
      </c>
    </row>
    <row r="3981">
      <c r="A3981" t="n">
        <v>3980</v>
      </c>
      <c r="B3981">
        <f>A3981&lt;=MineCount*Days</f>
        <v/>
      </c>
      <c r="C3981">
        <f>IF(B3981,INT((A3981-1)/Days)+1,"")</f>
        <v/>
      </c>
      <c r="D3981">
        <f>IF(B3981,MOD(A3981-1,Days),"")</f>
        <v/>
      </c>
      <c r="E3981" s="16">
        <f>IF(B3981,StartDate+D3981,"")</f>
        <v/>
      </c>
      <c r="F3981">
        <f>IF(B3981,MAX(MOD(SIN(Seed*0.1373+C3981*12.9898+D3981*78.233)*43758.5453,1),1E-9),"")</f>
        <v/>
      </c>
      <c r="G3981">
        <f>IF(B3981,MOD(SIN(Seed*0.5917+C3981*39.3468+D3981*11.135)*24634.6345,1),"")</f>
        <v/>
      </c>
      <c r="H3981">
        <f>IF(B3981,SQRT(-2*LN(F3981))*COS(2*PI()*G3981),"")</f>
        <v/>
      </c>
      <c r="I3981">
        <f>IF(B3981,IF(D3981=0,H3981,Rho*I3980+SQRT(1-Rho^2)*H3981),"")</f>
        <v/>
      </c>
      <c r="J3981">
        <f>IF(B3981,IF(Dist="Normal",DistA+DistB*I3981,DistA+(DistB-DistA)*NORMSDIST(I3981)),"")</f>
        <v/>
      </c>
      <c r="K3981">
        <f>IF(B3981,INDEX(MineScale,C3981),"")</f>
        <v/>
      </c>
      <c r="L3981">
        <f>IF(B3981,INDEX(Dow,1,WEEKDAY(E3981,2)),"")</f>
        <v/>
      </c>
      <c r="M3981">
        <f>IF(B3981,(1+Trend)^D3981,"")</f>
        <v/>
      </c>
      <c r="N3981">
        <f>IF(B3981,EXP(SUMPRODUCT(LN(1+(EvEff-1)*INDEX(Affected,0,C3981)*EXP(-((E3981-EvCenter)^2)/(2*EvSigma^2))))),"")</f>
        <v/>
      </c>
      <c r="O3981">
        <f>IF(B3981,ROUND(MAX(0,J3981*K3981*L3981*M3981*N3981),2),"")</f>
        <v/>
      </c>
    </row>
    <row r="3982">
      <c r="A3982" t="n">
        <v>3981</v>
      </c>
      <c r="B3982">
        <f>A3982&lt;=MineCount*Days</f>
        <v/>
      </c>
      <c r="C3982">
        <f>IF(B3982,INT((A3982-1)/Days)+1,"")</f>
        <v/>
      </c>
      <c r="D3982">
        <f>IF(B3982,MOD(A3982-1,Days),"")</f>
        <v/>
      </c>
      <c r="E3982" s="16">
        <f>IF(B3982,StartDate+D3982,"")</f>
        <v/>
      </c>
      <c r="F3982">
        <f>IF(B3982,MAX(MOD(SIN(Seed*0.1373+C3982*12.9898+D3982*78.233)*43758.5453,1),1E-9),"")</f>
        <v/>
      </c>
      <c r="G3982">
        <f>IF(B3982,MOD(SIN(Seed*0.5917+C3982*39.3468+D3982*11.135)*24634.6345,1),"")</f>
        <v/>
      </c>
      <c r="H3982">
        <f>IF(B3982,SQRT(-2*LN(F3982))*COS(2*PI()*G3982),"")</f>
        <v/>
      </c>
      <c r="I3982">
        <f>IF(B3982,IF(D3982=0,H3982,Rho*I3981+SQRT(1-Rho^2)*H3982),"")</f>
        <v/>
      </c>
      <c r="J3982">
        <f>IF(B3982,IF(Dist="Normal",DistA+DistB*I3982,DistA+(DistB-DistA)*NORMSDIST(I3982)),"")</f>
        <v/>
      </c>
      <c r="K3982">
        <f>IF(B3982,INDEX(MineScale,C3982),"")</f>
        <v/>
      </c>
      <c r="L3982">
        <f>IF(B3982,INDEX(Dow,1,WEEKDAY(E3982,2)),"")</f>
        <v/>
      </c>
      <c r="M3982">
        <f>IF(B3982,(1+Trend)^D3982,"")</f>
        <v/>
      </c>
      <c r="N3982">
        <f>IF(B3982,EXP(SUMPRODUCT(LN(1+(EvEff-1)*INDEX(Affected,0,C3982)*EXP(-((E3982-EvCenter)^2)/(2*EvSigma^2))))),"")</f>
        <v/>
      </c>
      <c r="O3982">
        <f>IF(B3982,ROUND(MAX(0,J3982*K3982*L3982*M3982*N3982),2),"")</f>
        <v/>
      </c>
    </row>
    <row r="3983">
      <c r="A3983" t="n">
        <v>3982</v>
      </c>
      <c r="B3983">
        <f>A3983&lt;=MineCount*Days</f>
        <v/>
      </c>
      <c r="C3983">
        <f>IF(B3983,INT((A3983-1)/Days)+1,"")</f>
        <v/>
      </c>
      <c r="D3983">
        <f>IF(B3983,MOD(A3983-1,Days),"")</f>
        <v/>
      </c>
      <c r="E3983" s="16">
        <f>IF(B3983,StartDate+D3983,"")</f>
        <v/>
      </c>
      <c r="F3983">
        <f>IF(B3983,MAX(MOD(SIN(Seed*0.1373+C3983*12.9898+D3983*78.233)*43758.5453,1),1E-9),"")</f>
        <v/>
      </c>
      <c r="G3983">
        <f>IF(B3983,MOD(SIN(Seed*0.5917+C3983*39.3468+D3983*11.135)*24634.6345,1),"")</f>
        <v/>
      </c>
      <c r="H3983">
        <f>IF(B3983,SQRT(-2*LN(F3983))*COS(2*PI()*G3983),"")</f>
        <v/>
      </c>
      <c r="I3983">
        <f>IF(B3983,IF(D3983=0,H3983,Rho*I3982+SQRT(1-Rho^2)*H3983),"")</f>
        <v/>
      </c>
      <c r="J3983">
        <f>IF(B3983,IF(Dist="Normal",DistA+DistB*I3983,DistA+(DistB-DistA)*NORMSDIST(I3983)),"")</f>
        <v/>
      </c>
      <c r="K3983">
        <f>IF(B3983,INDEX(MineScale,C3983),"")</f>
        <v/>
      </c>
      <c r="L3983">
        <f>IF(B3983,INDEX(Dow,1,WEEKDAY(E3983,2)),"")</f>
        <v/>
      </c>
      <c r="M3983">
        <f>IF(B3983,(1+Trend)^D3983,"")</f>
        <v/>
      </c>
      <c r="N3983">
        <f>IF(B3983,EXP(SUMPRODUCT(LN(1+(EvEff-1)*INDEX(Affected,0,C3983)*EXP(-((E3983-EvCenter)^2)/(2*EvSigma^2))))),"")</f>
        <v/>
      </c>
      <c r="O3983">
        <f>IF(B3983,ROUND(MAX(0,J3983*K3983*L3983*M3983*N3983),2),"")</f>
        <v/>
      </c>
    </row>
    <row r="3984">
      <c r="A3984" t="n">
        <v>3983</v>
      </c>
      <c r="B3984">
        <f>A3984&lt;=MineCount*Days</f>
        <v/>
      </c>
      <c r="C3984">
        <f>IF(B3984,INT((A3984-1)/Days)+1,"")</f>
        <v/>
      </c>
      <c r="D3984">
        <f>IF(B3984,MOD(A3984-1,Days),"")</f>
        <v/>
      </c>
      <c r="E3984" s="16">
        <f>IF(B3984,StartDate+D3984,"")</f>
        <v/>
      </c>
      <c r="F3984">
        <f>IF(B3984,MAX(MOD(SIN(Seed*0.1373+C3984*12.9898+D3984*78.233)*43758.5453,1),1E-9),"")</f>
        <v/>
      </c>
      <c r="G3984">
        <f>IF(B3984,MOD(SIN(Seed*0.5917+C3984*39.3468+D3984*11.135)*24634.6345,1),"")</f>
        <v/>
      </c>
      <c r="H3984">
        <f>IF(B3984,SQRT(-2*LN(F3984))*COS(2*PI()*G3984),"")</f>
        <v/>
      </c>
      <c r="I3984">
        <f>IF(B3984,IF(D3984=0,H3984,Rho*I3983+SQRT(1-Rho^2)*H3984),"")</f>
        <v/>
      </c>
      <c r="J3984">
        <f>IF(B3984,IF(Dist="Normal",DistA+DistB*I3984,DistA+(DistB-DistA)*NORMSDIST(I3984)),"")</f>
        <v/>
      </c>
      <c r="K3984">
        <f>IF(B3984,INDEX(MineScale,C3984),"")</f>
        <v/>
      </c>
      <c r="L3984">
        <f>IF(B3984,INDEX(Dow,1,WEEKDAY(E3984,2)),"")</f>
        <v/>
      </c>
      <c r="M3984">
        <f>IF(B3984,(1+Trend)^D3984,"")</f>
        <v/>
      </c>
      <c r="N3984">
        <f>IF(B3984,EXP(SUMPRODUCT(LN(1+(EvEff-1)*INDEX(Affected,0,C3984)*EXP(-((E3984-EvCenter)^2)/(2*EvSigma^2))))),"")</f>
        <v/>
      </c>
      <c r="O3984">
        <f>IF(B3984,ROUND(MAX(0,J3984*K3984*L3984*M3984*N3984),2),"")</f>
        <v/>
      </c>
    </row>
    <row r="3985">
      <c r="A3985" t="n">
        <v>3984</v>
      </c>
      <c r="B3985">
        <f>A3985&lt;=MineCount*Days</f>
        <v/>
      </c>
      <c r="C3985">
        <f>IF(B3985,INT((A3985-1)/Days)+1,"")</f>
        <v/>
      </c>
      <c r="D3985">
        <f>IF(B3985,MOD(A3985-1,Days),"")</f>
        <v/>
      </c>
      <c r="E3985" s="16">
        <f>IF(B3985,StartDate+D3985,"")</f>
        <v/>
      </c>
      <c r="F3985">
        <f>IF(B3985,MAX(MOD(SIN(Seed*0.1373+C3985*12.9898+D3985*78.233)*43758.5453,1),1E-9),"")</f>
        <v/>
      </c>
      <c r="G3985">
        <f>IF(B3985,MOD(SIN(Seed*0.5917+C3985*39.3468+D3985*11.135)*24634.6345,1),"")</f>
        <v/>
      </c>
      <c r="H3985">
        <f>IF(B3985,SQRT(-2*LN(F3985))*COS(2*PI()*G3985),"")</f>
        <v/>
      </c>
      <c r="I3985">
        <f>IF(B3985,IF(D3985=0,H3985,Rho*I3984+SQRT(1-Rho^2)*H3985),"")</f>
        <v/>
      </c>
      <c r="J3985">
        <f>IF(B3985,IF(Dist="Normal",DistA+DistB*I3985,DistA+(DistB-DistA)*NORMSDIST(I3985)),"")</f>
        <v/>
      </c>
      <c r="K3985">
        <f>IF(B3985,INDEX(MineScale,C3985),"")</f>
        <v/>
      </c>
      <c r="L3985">
        <f>IF(B3985,INDEX(Dow,1,WEEKDAY(E3985,2)),"")</f>
        <v/>
      </c>
      <c r="M3985">
        <f>IF(B3985,(1+Trend)^D3985,"")</f>
        <v/>
      </c>
      <c r="N3985">
        <f>IF(B3985,EXP(SUMPRODUCT(LN(1+(EvEff-1)*INDEX(Affected,0,C3985)*EXP(-((E3985-EvCenter)^2)/(2*EvSigma^2))))),"")</f>
        <v/>
      </c>
      <c r="O3985">
        <f>IF(B3985,ROUND(MAX(0,J3985*K3985*L3985*M3985*N3985),2),"")</f>
        <v/>
      </c>
    </row>
    <row r="3986">
      <c r="A3986" t="n">
        <v>3985</v>
      </c>
      <c r="B3986">
        <f>A3986&lt;=MineCount*Days</f>
        <v/>
      </c>
      <c r="C3986">
        <f>IF(B3986,INT((A3986-1)/Days)+1,"")</f>
        <v/>
      </c>
      <c r="D3986">
        <f>IF(B3986,MOD(A3986-1,Days),"")</f>
        <v/>
      </c>
      <c r="E3986" s="16">
        <f>IF(B3986,StartDate+D3986,"")</f>
        <v/>
      </c>
      <c r="F3986">
        <f>IF(B3986,MAX(MOD(SIN(Seed*0.1373+C3986*12.9898+D3986*78.233)*43758.5453,1),1E-9),"")</f>
        <v/>
      </c>
      <c r="G3986">
        <f>IF(B3986,MOD(SIN(Seed*0.5917+C3986*39.3468+D3986*11.135)*24634.6345,1),"")</f>
        <v/>
      </c>
      <c r="H3986">
        <f>IF(B3986,SQRT(-2*LN(F3986))*COS(2*PI()*G3986),"")</f>
        <v/>
      </c>
      <c r="I3986">
        <f>IF(B3986,IF(D3986=0,H3986,Rho*I3985+SQRT(1-Rho^2)*H3986),"")</f>
        <v/>
      </c>
      <c r="J3986">
        <f>IF(B3986,IF(Dist="Normal",DistA+DistB*I3986,DistA+(DistB-DistA)*NORMSDIST(I3986)),"")</f>
        <v/>
      </c>
      <c r="K3986">
        <f>IF(B3986,INDEX(MineScale,C3986),"")</f>
        <v/>
      </c>
      <c r="L3986">
        <f>IF(B3986,INDEX(Dow,1,WEEKDAY(E3986,2)),"")</f>
        <v/>
      </c>
      <c r="M3986">
        <f>IF(B3986,(1+Trend)^D3986,"")</f>
        <v/>
      </c>
      <c r="N3986">
        <f>IF(B3986,EXP(SUMPRODUCT(LN(1+(EvEff-1)*INDEX(Affected,0,C3986)*EXP(-((E3986-EvCenter)^2)/(2*EvSigma^2))))),"")</f>
        <v/>
      </c>
      <c r="O3986">
        <f>IF(B3986,ROUND(MAX(0,J3986*K3986*L3986*M3986*N3986),2),"")</f>
        <v/>
      </c>
    </row>
    <row r="3987">
      <c r="A3987" t="n">
        <v>3986</v>
      </c>
      <c r="B3987">
        <f>A3987&lt;=MineCount*Days</f>
        <v/>
      </c>
      <c r="C3987">
        <f>IF(B3987,INT((A3987-1)/Days)+1,"")</f>
        <v/>
      </c>
      <c r="D3987">
        <f>IF(B3987,MOD(A3987-1,Days),"")</f>
        <v/>
      </c>
      <c r="E3987" s="16">
        <f>IF(B3987,StartDate+D3987,"")</f>
        <v/>
      </c>
      <c r="F3987">
        <f>IF(B3987,MAX(MOD(SIN(Seed*0.1373+C3987*12.9898+D3987*78.233)*43758.5453,1),1E-9),"")</f>
        <v/>
      </c>
      <c r="G3987">
        <f>IF(B3987,MOD(SIN(Seed*0.5917+C3987*39.3468+D3987*11.135)*24634.6345,1),"")</f>
        <v/>
      </c>
      <c r="H3987">
        <f>IF(B3987,SQRT(-2*LN(F3987))*COS(2*PI()*G3987),"")</f>
        <v/>
      </c>
      <c r="I3987">
        <f>IF(B3987,IF(D3987=0,H3987,Rho*I3986+SQRT(1-Rho^2)*H3987),"")</f>
        <v/>
      </c>
      <c r="J3987">
        <f>IF(B3987,IF(Dist="Normal",DistA+DistB*I3987,DistA+(DistB-DistA)*NORMSDIST(I3987)),"")</f>
        <v/>
      </c>
      <c r="K3987">
        <f>IF(B3987,INDEX(MineScale,C3987),"")</f>
        <v/>
      </c>
      <c r="L3987">
        <f>IF(B3987,INDEX(Dow,1,WEEKDAY(E3987,2)),"")</f>
        <v/>
      </c>
      <c r="M3987">
        <f>IF(B3987,(1+Trend)^D3987,"")</f>
        <v/>
      </c>
      <c r="N3987">
        <f>IF(B3987,EXP(SUMPRODUCT(LN(1+(EvEff-1)*INDEX(Affected,0,C3987)*EXP(-((E3987-EvCenter)^2)/(2*EvSigma^2))))),"")</f>
        <v/>
      </c>
      <c r="O3987">
        <f>IF(B3987,ROUND(MAX(0,J3987*K3987*L3987*M3987*N3987),2),"")</f>
        <v/>
      </c>
    </row>
    <row r="3988">
      <c r="A3988" t="n">
        <v>3987</v>
      </c>
      <c r="B3988">
        <f>A3988&lt;=MineCount*Days</f>
        <v/>
      </c>
      <c r="C3988">
        <f>IF(B3988,INT((A3988-1)/Days)+1,"")</f>
        <v/>
      </c>
      <c r="D3988">
        <f>IF(B3988,MOD(A3988-1,Days),"")</f>
        <v/>
      </c>
      <c r="E3988" s="16">
        <f>IF(B3988,StartDate+D3988,"")</f>
        <v/>
      </c>
      <c r="F3988">
        <f>IF(B3988,MAX(MOD(SIN(Seed*0.1373+C3988*12.9898+D3988*78.233)*43758.5453,1),1E-9),"")</f>
        <v/>
      </c>
      <c r="G3988">
        <f>IF(B3988,MOD(SIN(Seed*0.5917+C3988*39.3468+D3988*11.135)*24634.6345,1),"")</f>
        <v/>
      </c>
      <c r="H3988">
        <f>IF(B3988,SQRT(-2*LN(F3988))*COS(2*PI()*G3988),"")</f>
        <v/>
      </c>
      <c r="I3988">
        <f>IF(B3988,IF(D3988=0,H3988,Rho*I3987+SQRT(1-Rho^2)*H3988),"")</f>
        <v/>
      </c>
      <c r="J3988">
        <f>IF(B3988,IF(Dist="Normal",DistA+DistB*I3988,DistA+(DistB-DistA)*NORMSDIST(I3988)),"")</f>
        <v/>
      </c>
      <c r="K3988">
        <f>IF(B3988,INDEX(MineScale,C3988),"")</f>
        <v/>
      </c>
      <c r="L3988">
        <f>IF(B3988,INDEX(Dow,1,WEEKDAY(E3988,2)),"")</f>
        <v/>
      </c>
      <c r="M3988">
        <f>IF(B3988,(1+Trend)^D3988,"")</f>
        <v/>
      </c>
      <c r="N3988">
        <f>IF(B3988,EXP(SUMPRODUCT(LN(1+(EvEff-1)*INDEX(Affected,0,C3988)*EXP(-((E3988-EvCenter)^2)/(2*EvSigma^2))))),"")</f>
        <v/>
      </c>
      <c r="O3988">
        <f>IF(B3988,ROUND(MAX(0,J3988*K3988*L3988*M3988*N3988),2),"")</f>
        <v/>
      </c>
    </row>
    <row r="3989">
      <c r="A3989" t="n">
        <v>3988</v>
      </c>
      <c r="B3989">
        <f>A3989&lt;=MineCount*Days</f>
        <v/>
      </c>
      <c r="C3989">
        <f>IF(B3989,INT((A3989-1)/Days)+1,"")</f>
        <v/>
      </c>
      <c r="D3989">
        <f>IF(B3989,MOD(A3989-1,Days),"")</f>
        <v/>
      </c>
      <c r="E3989" s="16">
        <f>IF(B3989,StartDate+D3989,"")</f>
        <v/>
      </c>
      <c r="F3989">
        <f>IF(B3989,MAX(MOD(SIN(Seed*0.1373+C3989*12.9898+D3989*78.233)*43758.5453,1),1E-9),"")</f>
        <v/>
      </c>
      <c r="G3989">
        <f>IF(B3989,MOD(SIN(Seed*0.5917+C3989*39.3468+D3989*11.135)*24634.6345,1),"")</f>
        <v/>
      </c>
      <c r="H3989">
        <f>IF(B3989,SQRT(-2*LN(F3989))*COS(2*PI()*G3989),"")</f>
        <v/>
      </c>
      <c r="I3989">
        <f>IF(B3989,IF(D3989=0,H3989,Rho*I3988+SQRT(1-Rho^2)*H3989),"")</f>
        <v/>
      </c>
      <c r="J3989">
        <f>IF(B3989,IF(Dist="Normal",DistA+DistB*I3989,DistA+(DistB-DistA)*NORMSDIST(I3989)),"")</f>
        <v/>
      </c>
      <c r="K3989">
        <f>IF(B3989,INDEX(MineScale,C3989),"")</f>
        <v/>
      </c>
      <c r="L3989">
        <f>IF(B3989,INDEX(Dow,1,WEEKDAY(E3989,2)),"")</f>
        <v/>
      </c>
      <c r="M3989">
        <f>IF(B3989,(1+Trend)^D3989,"")</f>
        <v/>
      </c>
      <c r="N3989">
        <f>IF(B3989,EXP(SUMPRODUCT(LN(1+(EvEff-1)*INDEX(Affected,0,C3989)*EXP(-((E3989-EvCenter)^2)/(2*EvSigma^2))))),"")</f>
        <v/>
      </c>
      <c r="O3989">
        <f>IF(B3989,ROUND(MAX(0,J3989*K3989*L3989*M3989*N3989),2),"")</f>
        <v/>
      </c>
    </row>
    <row r="3990">
      <c r="A3990" t="n">
        <v>3989</v>
      </c>
      <c r="B3990">
        <f>A3990&lt;=MineCount*Days</f>
        <v/>
      </c>
      <c r="C3990">
        <f>IF(B3990,INT((A3990-1)/Days)+1,"")</f>
        <v/>
      </c>
      <c r="D3990">
        <f>IF(B3990,MOD(A3990-1,Days),"")</f>
        <v/>
      </c>
      <c r="E3990" s="16">
        <f>IF(B3990,StartDate+D3990,"")</f>
        <v/>
      </c>
      <c r="F3990">
        <f>IF(B3990,MAX(MOD(SIN(Seed*0.1373+C3990*12.9898+D3990*78.233)*43758.5453,1),1E-9),"")</f>
        <v/>
      </c>
      <c r="G3990">
        <f>IF(B3990,MOD(SIN(Seed*0.5917+C3990*39.3468+D3990*11.135)*24634.6345,1),"")</f>
        <v/>
      </c>
      <c r="H3990">
        <f>IF(B3990,SQRT(-2*LN(F3990))*COS(2*PI()*G3990),"")</f>
        <v/>
      </c>
      <c r="I3990">
        <f>IF(B3990,IF(D3990=0,H3990,Rho*I3989+SQRT(1-Rho^2)*H3990),"")</f>
        <v/>
      </c>
      <c r="J3990">
        <f>IF(B3990,IF(Dist="Normal",DistA+DistB*I3990,DistA+(DistB-DistA)*NORMSDIST(I3990)),"")</f>
        <v/>
      </c>
      <c r="K3990">
        <f>IF(B3990,INDEX(MineScale,C3990),"")</f>
        <v/>
      </c>
      <c r="L3990">
        <f>IF(B3990,INDEX(Dow,1,WEEKDAY(E3990,2)),"")</f>
        <v/>
      </c>
      <c r="M3990">
        <f>IF(B3990,(1+Trend)^D3990,"")</f>
        <v/>
      </c>
      <c r="N3990">
        <f>IF(B3990,EXP(SUMPRODUCT(LN(1+(EvEff-1)*INDEX(Affected,0,C3990)*EXP(-((E3990-EvCenter)^2)/(2*EvSigma^2))))),"")</f>
        <v/>
      </c>
      <c r="O3990">
        <f>IF(B3990,ROUND(MAX(0,J3990*K3990*L3990*M3990*N3990),2),"")</f>
        <v/>
      </c>
    </row>
    <row r="3991">
      <c r="A3991" t="n">
        <v>3990</v>
      </c>
      <c r="B3991">
        <f>A3991&lt;=MineCount*Days</f>
        <v/>
      </c>
      <c r="C3991">
        <f>IF(B3991,INT((A3991-1)/Days)+1,"")</f>
        <v/>
      </c>
      <c r="D3991">
        <f>IF(B3991,MOD(A3991-1,Days),"")</f>
        <v/>
      </c>
      <c r="E3991" s="16">
        <f>IF(B3991,StartDate+D3991,"")</f>
        <v/>
      </c>
      <c r="F3991">
        <f>IF(B3991,MAX(MOD(SIN(Seed*0.1373+C3991*12.9898+D3991*78.233)*43758.5453,1),1E-9),"")</f>
        <v/>
      </c>
      <c r="G3991">
        <f>IF(B3991,MOD(SIN(Seed*0.5917+C3991*39.3468+D3991*11.135)*24634.6345,1),"")</f>
        <v/>
      </c>
      <c r="H3991">
        <f>IF(B3991,SQRT(-2*LN(F3991))*COS(2*PI()*G3991),"")</f>
        <v/>
      </c>
      <c r="I3991">
        <f>IF(B3991,IF(D3991=0,H3991,Rho*I3990+SQRT(1-Rho^2)*H3991),"")</f>
        <v/>
      </c>
      <c r="J3991">
        <f>IF(B3991,IF(Dist="Normal",DistA+DistB*I3991,DistA+(DistB-DistA)*NORMSDIST(I3991)),"")</f>
        <v/>
      </c>
      <c r="K3991">
        <f>IF(B3991,INDEX(MineScale,C3991),"")</f>
        <v/>
      </c>
      <c r="L3991">
        <f>IF(B3991,INDEX(Dow,1,WEEKDAY(E3991,2)),"")</f>
        <v/>
      </c>
      <c r="M3991">
        <f>IF(B3991,(1+Trend)^D3991,"")</f>
        <v/>
      </c>
      <c r="N3991">
        <f>IF(B3991,EXP(SUMPRODUCT(LN(1+(EvEff-1)*INDEX(Affected,0,C3991)*EXP(-((E3991-EvCenter)^2)/(2*EvSigma^2))))),"")</f>
        <v/>
      </c>
      <c r="O3991">
        <f>IF(B3991,ROUND(MAX(0,J3991*K3991*L3991*M3991*N3991),2),"")</f>
        <v/>
      </c>
    </row>
    <row r="3992">
      <c r="A3992" t="n">
        <v>3991</v>
      </c>
      <c r="B3992">
        <f>A3992&lt;=MineCount*Days</f>
        <v/>
      </c>
      <c r="C3992">
        <f>IF(B3992,INT((A3992-1)/Days)+1,"")</f>
        <v/>
      </c>
      <c r="D3992">
        <f>IF(B3992,MOD(A3992-1,Days),"")</f>
        <v/>
      </c>
      <c r="E3992" s="16">
        <f>IF(B3992,StartDate+D3992,"")</f>
        <v/>
      </c>
      <c r="F3992">
        <f>IF(B3992,MAX(MOD(SIN(Seed*0.1373+C3992*12.9898+D3992*78.233)*43758.5453,1),1E-9),"")</f>
        <v/>
      </c>
      <c r="G3992">
        <f>IF(B3992,MOD(SIN(Seed*0.5917+C3992*39.3468+D3992*11.135)*24634.6345,1),"")</f>
        <v/>
      </c>
      <c r="H3992">
        <f>IF(B3992,SQRT(-2*LN(F3992))*COS(2*PI()*G3992),"")</f>
        <v/>
      </c>
      <c r="I3992">
        <f>IF(B3992,IF(D3992=0,H3992,Rho*I3991+SQRT(1-Rho^2)*H3992),"")</f>
        <v/>
      </c>
      <c r="J3992">
        <f>IF(B3992,IF(Dist="Normal",DistA+DistB*I3992,DistA+(DistB-DistA)*NORMSDIST(I3992)),"")</f>
        <v/>
      </c>
      <c r="K3992">
        <f>IF(B3992,INDEX(MineScale,C3992),"")</f>
        <v/>
      </c>
      <c r="L3992">
        <f>IF(B3992,INDEX(Dow,1,WEEKDAY(E3992,2)),"")</f>
        <v/>
      </c>
      <c r="M3992">
        <f>IF(B3992,(1+Trend)^D3992,"")</f>
        <v/>
      </c>
      <c r="N3992">
        <f>IF(B3992,EXP(SUMPRODUCT(LN(1+(EvEff-1)*INDEX(Affected,0,C3992)*EXP(-((E3992-EvCenter)^2)/(2*EvSigma^2))))),"")</f>
        <v/>
      </c>
      <c r="O3992">
        <f>IF(B3992,ROUND(MAX(0,J3992*K3992*L3992*M3992*N3992),2),"")</f>
        <v/>
      </c>
    </row>
    <row r="3993">
      <c r="A3993" t="n">
        <v>3992</v>
      </c>
      <c r="B3993">
        <f>A3993&lt;=MineCount*Days</f>
        <v/>
      </c>
      <c r="C3993">
        <f>IF(B3993,INT((A3993-1)/Days)+1,"")</f>
        <v/>
      </c>
      <c r="D3993">
        <f>IF(B3993,MOD(A3993-1,Days),"")</f>
        <v/>
      </c>
      <c r="E3993" s="16">
        <f>IF(B3993,StartDate+D3993,"")</f>
        <v/>
      </c>
      <c r="F3993">
        <f>IF(B3993,MAX(MOD(SIN(Seed*0.1373+C3993*12.9898+D3993*78.233)*43758.5453,1),1E-9),"")</f>
        <v/>
      </c>
      <c r="G3993">
        <f>IF(B3993,MOD(SIN(Seed*0.5917+C3993*39.3468+D3993*11.135)*24634.6345,1),"")</f>
        <v/>
      </c>
      <c r="H3993">
        <f>IF(B3993,SQRT(-2*LN(F3993))*COS(2*PI()*G3993),"")</f>
        <v/>
      </c>
      <c r="I3993">
        <f>IF(B3993,IF(D3993=0,H3993,Rho*I3992+SQRT(1-Rho^2)*H3993),"")</f>
        <v/>
      </c>
      <c r="J3993">
        <f>IF(B3993,IF(Dist="Normal",DistA+DistB*I3993,DistA+(DistB-DistA)*NORMSDIST(I3993)),"")</f>
        <v/>
      </c>
      <c r="K3993">
        <f>IF(B3993,INDEX(MineScale,C3993),"")</f>
        <v/>
      </c>
      <c r="L3993">
        <f>IF(B3993,INDEX(Dow,1,WEEKDAY(E3993,2)),"")</f>
        <v/>
      </c>
      <c r="M3993">
        <f>IF(B3993,(1+Trend)^D3993,"")</f>
        <v/>
      </c>
      <c r="N3993">
        <f>IF(B3993,EXP(SUMPRODUCT(LN(1+(EvEff-1)*INDEX(Affected,0,C3993)*EXP(-((E3993-EvCenter)^2)/(2*EvSigma^2))))),"")</f>
        <v/>
      </c>
      <c r="O3993">
        <f>IF(B3993,ROUND(MAX(0,J3993*K3993*L3993*M3993*N3993),2),"")</f>
        <v/>
      </c>
    </row>
    <row r="3994">
      <c r="A3994" t="n">
        <v>3993</v>
      </c>
      <c r="B3994">
        <f>A3994&lt;=MineCount*Days</f>
        <v/>
      </c>
      <c r="C3994">
        <f>IF(B3994,INT((A3994-1)/Days)+1,"")</f>
        <v/>
      </c>
      <c r="D3994">
        <f>IF(B3994,MOD(A3994-1,Days),"")</f>
        <v/>
      </c>
      <c r="E3994" s="16">
        <f>IF(B3994,StartDate+D3994,"")</f>
        <v/>
      </c>
      <c r="F3994">
        <f>IF(B3994,MAX(MOD(SIN(Seed*0.1373+C3994*12.9898+D3994*78.233)*43758.5453,1),1E-9),"")</f>
        <v/>
      </c>
      <c r="G3994">
        <f>IF(B3994,MOD(SIN(Seed*0.5917+C3994*39.3468+D3994*11.135)*24634.6345,1),"")</f>
        <v/>
      </c>
      <c r="H3994">
        <f>IF(B3994,SQRT(-2*LN(F3994))*COS(2*PI()*G3994),"")</f>
        <v/>
      </c>
      <c r="I3994">
        <f>IF(B3994,IF(D3994=0,H3994,Rho*I3993+SQRT(1-Rho^2)*H3994),"")</f>
        <v/>
      </c>
      <c r="J3994">
        <f>IF(B3994,IF(Dist="Normal",DistA+DistB*I3994,DistA+(DistB-DistA)*NORMSDIST(I3994)),"")</f>
        <v/>
      </c>
      <c r="K3994">
        <f>IF(B3994,INDEX(MineScale,C3994),"")</f>
        <v/>
      </c>
      <c r="L3994">
        <f>IF(B3994,INDEX(Dow,1,WEEKDAY(E3994,2)),"")</f>
        <v/>
      </c>
      <c r="M3994">
        <f>IF(B3994,(1+Trend)^D3994,"")</f>
        <v/>
      </c>
      <c r="N3994">
        <f>IF(B3994,EXP(SUMPRODUCT(LN(1+(EvEff-1)*INDEX(Affected,0,C3994)*EXP(-((E3994-EvCenter)^2)/(2*EvSigma^2))))),"")</f>
        <v/>
      </c>
      <c r="O3994">
        <f>IF(B3994,ROUND(MAX(0,J3994*K3994*L3994*M3994*N3994),2),"")</f>
        <v/>
      </c>
    </row>
    <row r="3995">
      <c r="A3995" t="n">
        <v>3994</v>
      </c>
      <c r="B3995">
        <f>A3995&lt;=MineCount*Days</f>
        <v/>
      </c>
      <c r="C3995">
        <f>IF(B3995,INT((A3995-1)/Days)+1,"")</f>
        <v/>
      </c>
      <c r="D3995">
        <f>IF(B3995,MOD(A3995-1,Days),"")</f>
        <v/>
      </c>
      <c r="E3995" s="16">
        <f>IF(B3995,StartDate+D3995,"")</f>
        <v/>
      </c>
      <c r="F3995">
        <f>IF(B3995,MAX(MOD(SIN(Seed*0.1373+C3995*12.9898+D3995*78.233)*43758.5453,1),1E-9),"")</f>
        <v/>
      </c>
      <c r="G3995">
        <f>IF(B3995,MOD(SIN(Seed*0.5917+C3995*39.3468+D3995*11.135)*24634.6345,1),"")</f>
        <v/>
      </c>
      <c r="H3995">
        <f>IF(B3995,SQRT(-2*LN(F3995))*COS(2*PI()*G3995),"")</f>
        <v/>
      </c>
      <c r="I3995">
        <f>IF(B3995,IF(D3995=0,H3995,Rho*I3994+SQRT(1-Rho^2)*H3995),"")</f>
        <v/>
      </c>
      <c r="J3995">
        <f>IF(B3995,IF(Dist="Normal",DistA+DistB*I3995,DistA+(DistB-DistA)*NORMSDIST(I3995)),"")</f>
        <v/>
      </c>
      <c r="K3995">
        <f>IF(B3995,INDEX(MineScale,C3995),"")</f>
        <v/>
      </c>
      <c r="L3995">
        <f>IF(B3995,INDEX(Dow,1,WEEKDAY(E3995,2)),"")</f>
        <v/>
      </c>
      <c r="M3995">
        <f>IF(B3995,(1+Trend)^D3995,"")</f>
        <v/>
      </c>
      <c r="N3995">
        <f>IF(B3995,EXP(SUMPRODUCT(LN(1+(EvEff-1)*INDEX(Affected,0,C3995)*EXP(-((E3995-EvCenter)^2)/(2*EvSigma^2))))),"")</f>
        <v/>
      </c>
      <c r="O3995">
        <f>IF(B3995,ROUND(MAX(0,J3995*K3995*L3995*M3995*N3995),2),"")</f>
        <v/>
      </c>
    </row>
    <row r="3996">
      <c r="A3996" t="n">
        <v>3995</v>
      </c>
      <c r="B3996">
        <f>A3996&lt;=MineCount*Days</f>
        <v/>
      </c>
      <c r="C3996">
        <f>IF(B3996,INT((A3996-1)/Days)+1,"")</f>
        <v/>
      </c>
      <c r="D3996">
        <f>IF(B3996,MOD(A3996-1,Days),"")</f>
        <v/>
      </c>
      <c r="E3996" s="16">
        <f>IF(B3996,StartDate+D3996,"")</f>
        <v/>
      </c>
      <c r="F3996">
        <f>IF(B3996,MAX(MOD(SIN(Seed*0.1373+C3996*12.9898+D3996*78.233)*43758.5453,1),1E-9),"")</f>
        <v/>
      </c>
      <c r="G3996">
        <f>IF(B3996,MOD(SIN(Seed*0.5917+C3996*39.3468+D3996*11.135)*24634.6345,1),"")</f>
        <v/>
      </c>
      <c r="H3996">
        <f>IF(B3996,SQRT(-2*LN(F3996))*COS(2*PI()*G3996),"")</f>
        <v/>
      </c>
      <c r="I3996">
        <f>IF(B3996,IF(D3996=0,H3996,Rho*I3995+SQRT(1-Rho^2)*H3996),"")</f>
        <v/>
      </c>
      <c r="J3996">
        <f>IF(B3996,IF(Dist="Normal",DistA+DistB*I3996,DistA+(DistB-DistA)*NORMSDIST(I3996)),"")</f>
        <v/>
      </c>
      <c r="K3996">
        <f>IF(B3996,INDEX(MineScale,C3996),"")</f>
        <v/>
      </c>
      <c r="L3996">
        <f>IF(B3996,INDEX(Dow,1,WEEKDAY(E3996,2)),"")</f>
        <v/>
      </c>
      <c r="M3996">
        <f>IF(B3996,(1+Trend)^D3996,"")</f>
        <v/>
      </c>
      <c r="N3996">
        <f>IF(B3996,EXP(SUMPRODUCT(LN(1+(EvEff-1)*INDEX(Affected,0,C3996)*EXP(-((E3996-EvCenter)^2)/(2*EvSigma^2))))),"")</f>
        <v/>
      </c>
      <c r="O3996">
        <f>IF(B3996,ROUND(MAX(0,J3996*K3996*L3996*M3996*N3996),2),"")</f>
        <v/>
      </c>
    </row>
    <row r="3997">
      <c r="A3997" t="n">
        <v>3996</v>
      </c>
      <c r="B3997">
        <f>A3997&lt;=MineCount*Days</f>
        <v/>
      </c>
      <c r="C3997">
        <f>IF(B3997,INT((A3997-1)/Days)+1,"")</f>
        <v/>
      </c>
      <c r="D3997">
        <f>IF(B3997,MOD(A3997-1,Days),"")</f>
        <v/>
      </c>
      <c r="E3997" s="16">
        <f>IF(B3997,StartDate+D3997,"")</f>
        <v/>
      </c>
      <c r="F3997">
        <f>IF(B3997,MAX(MOD(SIN(Seed*0.1373+C3997*12.9898+D3997*78.233)*43758.5453,1),1E-9),"")</f>
        <v/>
      </c>
      <c r="G3997">
        <f>IF(B3997,MOD(SIN(Seed*0.5917+C3997*39.3468+D3997*11.135)*24634.6345,1),"")</f>
        <v/>
      </c>
      <c r="H3997">
        <f>IF(B3997,SQRT(-2*LN(F3997))*COS(2*PI()*G3997),"")</f>
        <v/>
      </c>
      <c r="I3997">
        <f>IF(B3997,IF(D3997=0,H3997,Rho*I3996+SQRT(1-Rho^2)*H3997),"")</f>
        <v/>
      </c>
      <c r="J3997">
        <f>IF(B3997,IF(Dist="Normal",DistA+DistB*I3997,DistA+(DistB-DistA)*NORMSDIST(I3997)),"")</f>
        <v/>
      </c>
      <c r="K3997">
        <f>IF(B3997,INDEX(MineScale,C3997),"")</f>
        <v/>
      </c>
      <c r="L3997">
        <f>IF(B3997,INDEX(Dow,1,WEEKDAY(E3997,2)),"")</f>
        <v/>
      </c>
      <c r="M3997">
        <f>IF(B3997,(1+Trend)^D3997,"")</f>
        <v/>
      </c>
      <c r="N3997">
        <f>IF(B3997,EXP(SUMPRODUCT(LN(1+(EvEff-1)*INDEX(Affected,0,C3997)*EXP(-((E3997-EvCenter)^2)/(2*EvSigma^2))))),"")</f>
        <v/>
      </c>
      <c r="O3997">
        <f>IF(B3997,ROUND(MAX(0,J3997*K3997*L3997*M3997*N3997),2),"")</f>
        <v/>
      </c>
    </row>
    <row r="3998">
      <c r="A3998" t="n">
        <v>3997</v>
      </c>
      <c r="B3998">
        <f>A3998&lt;=MineCount*Days</f>
        <v/>
      </c>
      <c r="C3998">
        <f>IF(B3998,INT((A3998-1)/Days)+1,"")</f>
        <v/>
      </c>
      <c r="D3998">
        <f>IF(B3998,MOD(A3998-1,Days),"")</f>
        <v/>
      </c>
      <c r="E3998" s="16">
        <f>IF(B3998,StartDate+D3998,"")</f>
        <v/>
      </c>
      <c r="F3998">
        <f>IF(B3998,MAX(MOD(SIN(Seed*0.1373+C3998*12.9898+D3998*78.233)*43758.5453,1),1E-9),"")</f>
        <v/>
      </c>
      <c r="G3998">
        <f>IF(B3998,MOD(SIN(Seed*0.5917+C3998*39.3468+D3998*11.135)*24634.6345,1),"")</f>
        <v/>
      </c>
      <c r="H3998">
        <f>IF(B3998,SQRT(-2*LN(F3998))*COS(2*PI()*G3998),"")</f>
        <v/>
      </c>
      <c r="I3998">
        <f>IF(B3998,IF(D3998=0,H3998,Rho*I3997+SQRT(1-Rho^2)*H3998),"")</f>
        <v/>
      </c>
      <c r="J3998">
        <f>IF(B3998,IF(Dist="Normal",DistA+DistB*I3998,DistA+(DistB-DistA)*NORMSDIST(I3998)),"")</f>
        <v/>
      </c>
      <c r="K3998">
        <f>IF(B3998,INDEX(MineScale,C3998),"")</f>
        <v/>
      </c>
      <c r="L3998">
        <f>IF(B3998,INDEX(Dow,1,WEEKDAY(E3998,2)),"")</f>
        <v/>
      </c>
      <c r="M3998">
        <f>IF(B3998,(1+Trend)^D3998,"")</f>
        <v/>
      </c>
      <c r="N3998">
        <f>IF(B3998,EXP(SUMPRODUCT(LN(1+(EvEff-1)*INDEX(Affected,0,C3998)*EXP(-((E3998-EvCenter)^2)/(2*EvSigma^2))))),"")</f>
        <v/>
      </c>
      <c r="O3998">
        <f>IF(B3998,ROUND(MAX(0,J3998*K3998*L3998*M3998*N3998),2),"")</f>
        <v/>
      </c>
    </row>
    <row r="3999">
      <c r="A3999" t="n">
        <v>3998</v>
      </c>
      <c r="B3999">
        <f>A3999&lt;=MineCount*Days</f>
        <v/>
      </c>
      <c r="C3999">
        <f>IF(B3999,INT((A3999-1)/Days)+1,"")</f>
        <v/>
      </c>
      <c r="D3999">
        <f>IF(B3999,MOD(A3999-1,Days),"")</f>
        <v/>
      </c>
      <c r="E3999" s="16">
        <f>IF(B3999,StartDate+D3999,"")</f>
        <v/>
      </c>
      <c r="F3999">
        <f>IF(B3999,MAX(MOD(SIN(Seed*0.1373+C3999*12.9898+D3999*78.233)*43758.5453,1),1E-9),"")</f>
        <v/>
      </c>
      <c r="G3999">
        <f>IF(B3999,MOD(SIN(Seed*0.5917+C3999*39.3468+D3999*11.135)*24634.6345,1),"")</f>
        <v/>
      </c>
      <c r="H3999">
        <f>IF(B3999,SQRT(-2*LN(F3999))*COS(2*PI()*G3999),"")</f>
        <v/>
      </c>
      <c r="I3999">
        <f>IF(B3999,IF(D3999=0,H3999,Rho*I3998+SQRT(1-Rho^2)*H3999),"")</f>
        <v/>
      </c>
      <c r="J3999">
        <f>IF(B3999,IF(Dist="Normal",DistA+DistB*I3999,DistA+(DistB-DistA)*NORMSDIST(I3999)),"")</f>
        <v/>
      </c>
      <c r="K3999">
        <f>IF(B3999,INDEX(MineScale,C3999),"")</f>
        <v/>
      </c>
      <c r="L3999">
        <f>IF(B3999,INDEX(Dow,1,WEEKDAY(E3999,2)),"")</f>
        <v/>
      </c>
      <c r="M3999">
        <f>IF(B3999,(1+Trend)^D3999,"")</f>
        <v/>
      </c>
      <c r="N3999">
        <f>IF(B3999,EXP(SUMPRODUCT(LN(1+(EvEff-1)*INDEX(Affected,0,C3999)*EXP(-((E3999-EvCenter)^2)/(2*EvSigma^2))))),"")</f>
        <v/>
      </c>
      <c r="O3999">
        <f>IF(B3999,ROUND(MAX(0,J3999*K3999*L3999*M3999*N3999),2),"")</f>
        <v/>
      </c>
    </row>
    <row r="4000">
      <c r="A4000" t="n">
        <v>3999</v>
      </c>
      <c r="B4000">
        <f>A4000&lt;=MineCount*Days</f>
        <v/>
      </c>
      <c r="C4000">
        <f>IF(B4000,INT((A4000-1)/Days)+1,"")</f>
        <v/>
      </c>
      <c r="D4000">
        <f>IF(B4000,MOD(A4000-1,Days),"")</f>
        <v/>
      </c>
      <c r="E4000" s="16">
        <f>IF(B4000,StartDate+D4000,"")</f>
        <v/>
      </c>
      <c r="F4000">
        <f>IF(B4000,MAX(MOD(SIN(Seed*0.1373+C4000*12.9898+D4000*78.233)*43758.5453,1),1E-9),"")</f>
        <v/>
      </c>
      <c r="G4000">
        <f>IF(B4000,MOD(SIN(Seed*0.5917+C4000*39.3468+D4000*11.135)*24634.6345,1),"")</f>
        <v/>
      </c>
      <c r="H4000">
        <f>IF(B4000,SQRT(-2*LN(F4000))*COS(2*PI()*G4000),"")</f>
        <v/>
      </c>
      <c r="I4000">
        <f>IF(B4000,IF(D4000=0,H4000,Rho*I3999+SQRT(1-Rho^2)*H4000),"")</f>
        <v/>
      </c>
      <c r="J4000">
        <f>IF(B4000,IF(Dist="Normal",DistA+DistB*I4000,DistA+(DistB-DistA)*NORMSDIST(I4000)),"")</f>
        <v/>
      </c>
      <c r="K4000">
        <f>IF(B4000,INDEX(MineScale,C4000),"")</f>
        <v/>
      </c>
      <c r="L4000">
        <f>IF(B4000,INDEX(Dow,1,WEEKDAY(E4000,2)),"")</f>
        <v/>
      </c>
      <c r="M4000">
        <f>IF(B4000,(1+Trend)^D4000,"")</f>
        <v/>
      </c>
      <c r="N4000">
        <f>IF(B4000,EXP(SUMPRODUCT(LN(1+(EvEff-1)*INDEX(Affected,0,C4000)*EXP(-((E4000-EvCenter)^2)/(2*EvSigma^2))))),"")</f>
        <v/>
      </c>
      <c r="O4000">
        <f>IF(B4000,ROUND(MAX(0,J4000*K4000*L4000*M4000*N4000),2),"")</f>
        <v/>
      </c>
    </row>
    <row r="4001">
      <c r="A4001" t="n">
        <v>4000</v>
      </c>
      <c r="B4001">
        <f>A4001&lt;=MineCount*Days</f>
        <v/>
      </c>
      <c r="C4001">
        <f>IF(B4001,INT((A4001-1)/Days)+1,"")</f>
        <v/>
      </c>
      <c r="D4001">
        <f>IF(B4001,MOD(A4001-1,Days),"")</f>
        <v/>
      </c>
      <c r="E4001" s="16">
        <f>IF(B4001,StartDate+D4001,"")</f>
        <v/>
      </c>
      <c r="F4001">
        <f>IF(B4001,MAX(MOD(SIN(Seed*0.1373+C4001*12.9898+D4001*78.233)*43758.5453,1),1E-9),"")</f>
        <v/>
      </c>
      <c r="G4001">
        <f>IF(B4001,MOD(SIN(Seed*0.5917+C4001*39.3468+D4001*11.135)*24634.6345,1),"")</f>
        <v/>
      </c>
      <c r="H4001">
        <f>IF(B4001,SQRT(-2*LN(F4001))*COS(2*PI()*G4001),"")</f>
        <v/>
      </c>
      <c r="I4001">
        <f>IF(B4001,IF(D4001=0,H4001,Rho*I4000+SQRT(1-Rho^2)*H4001),"")</f>
        <v/>
      </c>
      <c r="J4001">
        <f>IF(B4001,IF(Dist="Normal",DistA+DistB*I4001,DistA+(DistB-DistA)*NORMSDIST(I4001)),"")</f>
        <v/>
      </c>
      <c r="K4001">
        <f>IF(B4001,INDEX(MineScale,C4001),"")</f>
        <v/>
      </c>
      <c r="L4001">
        <f>IF(B4001,INDEX(Dow,1,WEEKDAY(E4001,2)),"")</f>
        <v/>
      </c>
      <c r="M4001">
        <f>IF(B4001,(1+Trend)^D4001,"")</f>
        <v/>
      </c>
      <c r="N4001">
        <f>IF(B4001,EXP(SUMPRODUCT(LN(1+(EvEff-1)*INDEX(Affected,0,C4001)*EXP(-((E4001-EvCenter)^2)/(2*EvSigma^2))))),"")</f>
        <v/>
      </c>
      <c r="O4001">
        <f>IF(B4001,ROUND(MAX(0,J4001*K4001*L4001*M4001*N4001),2),"")</f>
        <v/>
      </c>
    </row>
    <row r="4002">
      <c r="A4002" t="n">
        <v>4001</v>
      </c>
      <c r="B4002">
        <f>A4002&lt;=MineCount*Days</f>
        <v/>
      </c>
      <c r="C4002">
        <f>IF(B4002,INT((A4002-1)/Days)+1,"")</f>
        <v/>
      </c>
      <c r="D4002">
        <f>IF(B4002,MOD(A4002-1,Days),"")</f>
        <v/>
      </c>
      <c r="E4002" s="16">
        <f>IF(B4002,StartDate+D4002,"")</f>
        <v/>
      </c>
      <c r="F4002">
        <f>IF(B4002,MAX(MOD(SIN(Seed*0.1373+C4002*12.9898+D4002*78.233)*43758.5453,1),1E-9),"")</f>
        <v/>
      </c>
      <c r="G4002">
        <f>IF(B4002,MOD(SIN(Seed*0.5917+C4002*39.3468+D4002*11.135)*24634.6345,1),"")</f>
        <v/>
      </c>
      <c r="H4002">
        <f>IF(B4002,SQRT(-2*LN(F4002))*COS(2*PI()*G4002),"")</f>
        <v/>
      </c>
      <c r="I4002">
        <f>IF(B4002,IF(D4002=0,H4002,Rho*I4001+SQRT(1-Rho^2)*H4002),"")</f>
        <v/>
      </c>
      <c r="J4002">
        <f>IF(B4002,IF(Dist="Normal",DistA+DistB*I4002,DistA+(DistB-DistA)*NORMSDIST(I4002)),"")</f>
        <v/>
      </c>
      <c r="K4002">
        <f>IF(B4002,INDEX(MineScale,C4002),"")</f>
        <v/>
      </c>
      <c r="L4002">
        <f>IF(B4002,INDEX(Dow,1,WEEKDAY(E4002,2)),"")</f>
        <v/>
      </c>
      <c r="M4002">
        <f>IF(B4002,(1+Trend)^D4002,"")</f>
        <v/>
      </c>
      <c r="N4002">
        <f>IF(B4002,EXP(SUMPRODUCT(LN(1+(EvEff-1)*INDEX(Affected,0,C4002)*EXP(-((E4002-EvCenter)^2)/(2*EvSigma^2))))),"")</f>
        <v/>
      </c>
      <c r="O4002">
        <f>IF(B4002,ROUND(MAX(0,J4002*K4002*L4002*M4002*N4002),2),"")</f>
        <v/>
      </c>
    </row>
    <row r="4003">
      <c r="A4003" t="n">
        <v>4002</v>
      </c>
      <c r="B4003">
        <f>A4003&lt;=MineCount*Days</f>
        <v/>
      </c>
      <c r="C4003">
        <f>IF(B4003,INT((A4003-1)/Days)+1,"")</f>
        <v/>
      </c>
      <c r="D4003">
        <f>IF(B4003,MOD(A4003-1,Days),"")</f>
        <v/>
      </c>
      <c r="E4003" s="16">
        <f>IF(B4003,StartDate+D4003,"")</f>
        <v/>
      </c>
      <c r="F4003">
        <f>IF(B4003,MAX(MOD(SIN(Seed*0.1373+C4003*12.9898+D4003*78.233)*43758.5453,1),1E-9),"")</f>
        <v/>
      </c>
      <c r="G4003">
        <f>IF(B4003,MOD(SIN(Seed*0.5917+C4003*39.3468+D4003*11.135)*24634.6345,1),"")</f>
        <v/>
      </c>
      <c r="H4003">
        <f>IF(B4003,SQRT(-2*LN(F4003))*COS(2*PI()*G4003),"")</f>
        <v/>
      </c>
      <c r="I4003">
        <f>IF(B4003,IF(D4003=0,H4003,Rho*I4002+SQRT(1-Rho^2)*H4003),"")</f>
        <v/>
      </c>
      <c r="J4003">
        <f>IF(B4003,IF(Dist="Normal",DistA+DistB*I4003,DistA+(DistB-DistA)*NORMSDIST(I4003)),"")</f>
        <v/>
      </c>
      <c r="K4003">
        <f>IF(B4003,INDEX(MineScale,C4003),"")</f>
        <v/>
      </c>
      <c r="L4003">
        <f>IF(B4003,INDEX(Dow,1,WEEKDAY(E4003,2)),"")</f>
        <v/>
      </c>
      <c r="M4003">
        <f>IF(B4003,(1+Trend)^D4003,"")</f>
        <v/>
      </c>
      <c r="N4003">
        <f>IF(B4003,EXP(SUMPRODUCT(LN(1+(EvEff-1)*INDEX(Affected,0,C4003)*EXP(-((E4003-EvCenter)^2)/(2*EvSigma^2))))),"")</f>
        <v/>
      </c>
      <c r="O4003">
        <f>IF(B4003,ROUND(MAX(0,J4003*K4003*L4003*M4003*N4003),2),"")</f>
        <v/>
      </c>
    </row>
    <row r="4004">
      <c r="A4004" t="n">
        <v>4003</v>
      </c>
      <c r="B4004">
        <f>A4004&lt;=MineCount*Days</f>
        <v/>
      </c>
      <c r="C4004">
        <f>IF(B4004,INT((A4004-1)/Days)+1,"")</f>
        <v/>
      </c>
      <c r="D4004">
        <f>IF(B4004,MOD(A4004-1,Days),"")</f>
        <v/>
      </c>
      <c r="E4004" s="16">
        <f>IF(B4004,StartDate+D4004,"")</f>
        <v/>
      </c>
      <c r="F4004">
        <f>IF(B4004,MAX(MOD(SIN(Seed*0.1373+C4004*12.9898+D4004*78.233)*43758.5453,1),1E-9),"")</f>
        <v/>
      </c>
      <c r="G4004">
        <f>IF(B4004,MOD(SIN(Seed*0.5917+C4004*39.3468+D4004*11.135)*24634.6345,1),"")</f>
        <v/>
      </c>
      <c r="H4004">
        <f>IF(B4004,SQRT(-2*LN(F4004))*COS(2*PI()*G4004),"")</f>
        <v/>
      </c>
      <c r="I4004">
        <f>IF(B4004,IF(D4004=0,H4004,Rho*I4003+SQRT(1-Rho^2)*H4004),"")</f>
        <v/>
      </c>
      <c r="J4004">
        <f>IF(B4004,IF(Dist="Normal",DistA+DistB*I4004,DistA+(DistB-DistA)*NORMSDIST(I4004)),"")</f>
        <v/>
      </c>
      <c r="K4004">
        <f>IF(B4004,INDEX(MineScale,C4004),"")</f>
        <v/>
      </c>
      <c r="L4004">
        <f>IF(B4004,INDEX(Dow,1,WEEKDAY(E4004,2)),"")</f>
        <v/>
      </c>
      <c r="M4004">
        <f>IF(B4004,(1+Trend)^D4004,"")</f>
        <v/>
      </c>
      <c r="N4004">
        <f>IF(B4004,EXP(SUMPRODUCT(LN(1+(EvEff-1)*INDEX(Affected,0,C4004)*EXP(-((E4004-EvCenter)^2)/(2*EvSigma^2))))),"")</f>
        <v/>
      </c>
      <c r="O4004">
        <f>IF(B4004,ROUND(MAX(0,J4004*K4004*L4004*M4004*N4004),2),"")</f>
        <v/>
      </c>
    </row>
    <row r="4005">
      <c r="A4005" t="n">
        <v>4004</v>
      </c>
      <c r="B4005">
        <f>A4005&lt;=MineCount*Days</f>
        <v/>
      </c>
      <c r="C4005">
        <f>IF(B4005,INT((A4005-1)/Days)+1,"")</f>
        <v/>
      </c>
      <c r="D4005">
        <f>IF(B4005,MOD(A4005-1,Days),"")</f>
        <v/>
      </c>
      <c r="E4005" s="16">
        <f>IF(B4005,StartDate+D4005,"")</f>
        <v/>
      </c>
      <c r="F4005">
        <f>IF(B4005,MAX(MOD(SIN(Seed*0.1373+C4005*12.9898+D4005*78.233)*43758.5453,1),1E-9),"")</f>
        <v/>
      </c>
      <c r="G4005">
        <f>IF(B4005,MOD(SIN(Seed*0.5917+C4005*39.3468+D4005*11.135)*24634.6345,1),"")</f>
        <v/>
      </c>
      <c r="H4005">
        <f>IF(B4005,SQRT(-2*LN(F4005))*COS(2*PI()*G4005),"")</f>
        <v/>
      </c>
      <c r="I4005">
        <f>IF(B4005,IF(D4005=0,H4005,Rho*I4004+SQRT(1-Rho^2)*H4005),"")</f>
        <v/>
      </c>
      <c r="J4005">
        <f>IF(B4005,IF(Dist="Normal",DistA+DistB*I4005,DistA+(DistB-DistA)*NORMSDIST(I4005)),"")</f>
        <v/>
      </c>
      <c r="K4005">
        <f>IF(B4005,INDEX(MineScale,C4005),"")</f>
        <v/>
      </c>
      <c r="L4005">
        <f>IF(B4005,INDEX(Dow,1,WEEKDAY(E4005,2)),"")</f>
        <v/>
      </c>
      <c r="M4005">
        <f>IF(B4005,(1+Trend)^D4005,"")</f>
        <v/>
      </c>
      <c r="N4005">
        <f>IF(B4005,EXP(SUMPRODUCT(LN(1+(EvEff-1)*INDEX(Affected,0,C4005)*EXP(-((E4005-EvCenter)^2)/(2*EvSigma^2))))),"")</f>
        <v/>
      </c>
      <c r="O4005">
        <f>IF(B4005,ROUND(MAX(0,J4005*K4005*L4005*M4005*N4005),2),"")</f>
        <v/>
      </c>
    </row>
    <row r="4006">
      <c r="A4006" t="n">
        <v>4005</v>
      </c>
      <c r="B4006">
        <f>A4006&lt;=MineCount*Days</f>
        <v/>
      </c>
      <c r="C4006">
        <f>IF(B4006,INT((A4006-1)/Days)+1,"")</f>
        <v/>
      </c>
      <c r="D4006">
        <f>IF(B4006,MOD(A4006-1,Days),"")</f>
        <v/>
      </c>
      <c r="E4006" s="16">
        <f>IF(B4006,StartDate+D4006,"")</f>
        <v/>
      </c>
      <c r="F4006">
        <f>IF(B4006,MAX(MOD(SIN(Seed*0.1373+C4006*12.9898+D4006*78.233)*43758.5453,1),1E-9),"")</f>
        <v/>
      </c>
      <c r="G4006">
        <f>IF(B4006,MOD(SIN(Seed*0.5917+C4006*39.3468+D4006*11.135)*24634.6345,1),"")</f>
        <v/>
      </c>
      <c r="H4006">
        <f>IF(B4006,SQRT(-2*LN(F4006))*COS(2*PI()*G4006),"")</f>
        <v/>
      </c>
      <c r="I4006">
        <f>IF(B4006,IF(D4006=0,H4006,Rho*I4005+SQRT(1-Rho^2)*H4006),"")</f>
        <v/>
      </c>
      <c r="J4006">
        <f>IF(B4006,IF(Dist="Normal",DistA+DistB*I4006,DistA+(DistB-DistA)*NORMSDIST(I4006)),"")</f>
        <v/>
      </c>
      <c r="K4006">
        <f>IF(B4006,INDEX(MineScale,C4006),"")</f>
        <v/>
      </c>
      <c r="L4006">
        <f>IF(B4006,INDEX(Dow,1,WEEKDAY(E4006,2)),"")</f>
        <v/>
      </c>
      <c r="M4006">
        <f>IF(B4006,(1+Trend)^D4006,"")</f>
        <v/>
      </c>
      <c r="N4006">
        <f>IF(B4006,EXP(SUMPRODUCT(LN(1+(EvEff-1)*INDEX(Affected,0,C4006)*EXP(-((E4006-EvCenter)^2)/(2*EvSigma^2))))),"")</f>
        <v/>
      </c>
      <c r="O4006">
        <f>IF(B4006,ROUND(MAX(0,J4006*K4006*L4006*M4006*N4006),2),"")</f>
        <v/>
      </c>
    </row>
    <row r="4007">
      <c r="A4007" t="n">
        <v>4006</v>
      </c>
      <c r="B4007">
        <f>A4007&lt;=MineCount*Days</f>
        <v/>
      </c>
      <c r="C4007">
        <f>IF(B4007,INT((A4007-1)/Days)+1,"")</f>
        <v/>
      </c>
      <c r="D4007">
        <f>IF(B4007,MOD(A4007-1,Days),"")</f>
        <v/>
      </c>
      <c r="E4007" s="16">
        <f>IF(B4007,StartDate+D4007,"")</f>
        <v/>
      </c>
      <c r="F4007">
        <f>IF(B4007,MAX(MOD(SIN(Seed*0.1373+C4007*12.9898+D4007*78.233)*43758.5453,1),1E-9),"")</f>
        <v/>
      </c>
      <c r="G4007">
        <f>IF(B4007,MOD(SIN(Seed*0.5917+C4007*39.3468+D4007*11.135)*24634.6345,1),"")</f>
        <v/>
      </c>
      <c r="H4007">
        <f>IF(B4007,SQRT(-2*LN(F4007))*COS(2*PI()*G4007),"")</f>
        <v/>
      </c>
      <c r="I4007">
        <f>IF(B4007,IF(D4007=0,H4007,Rho*I4006+SQRT(1-Rho^2)*H4007),"")</f>
        <v/>
      </c>
      <c r="J4007">
        <f>IF(B4007,IF(Dist="Normal",DistA+DistB*I4007,DistA+(DistB-DistA)*NORMSDIST(I4007)),"")</f>
        <v/>
      </c>
      <c r="K4007">
        <f>IF(B4007,INDEX(MineScale,C4007),"")</f>
        <v/>
      </c>
      <c r="L4007">
        <f>IF(B4007,INDEX(Dow,1,WEEKDAY(E4007,2)),"")</f>
        <v/>
      </c>
      <c r="M4007">
        <f>IF(B4007,(1+Trend)^D4007,"")</f>
        <v/>
      </c>
      <c r="N4007">
        <f>IF(B4007,EXP(SUMPRODUCT(LN(1+(EvEff-1)*INDEX(Affected,0,C4007)*EXP(-((E4007-EvCenter)^2)/(2*EvSigma^2))))),"")</f>
        <v/>
      </c>
      <c r="O4007">
        <f>IF(B4007,ROUND(MAX(0,J4007*K4007*L4007*M4007*N4007),2),"")</f>
        <v/>
      </c>
    </row>
    <row r="4008">
      <c r="A4008" t="n">
        <v>4007</v>
      </c>
      <c r="B4008">
        <f>A4008&lt;=MineCount*Days</f>
        <v/>
      </c>
      <c r="C4008">
        <f>IF(B4008,INT((A4008-1)/Days)+1,"")</f>
        <v/>
      </c>
      <c r="D4008">
        <f>IF(B4008,MOD(A4008-1,Days),"")</f>
        <v/>
      </c>
      <c r="E4008" s="16">
        <f>IF(B4008,StartDate+D4008,"")</f>
        <v/>
      </c>
      <c r="F4008">
        <f>IF(B4008,MAX(MOD(SIN(Seed*0.1373+C4008*12.9898+D4008*78.233)*43758.5453,1),1E-9),"")</f>
        <v/>
      </c>
      <c r="G4008">
        <f>IF(B4008,MOD(SIN(Seed*0.5917+C4008*39.3468+D4008*11.135)*24634.6345,1),"")</f>
        <v/>
      </c>
      <c r="H4008">
        <f>IF(B4008,SQRT(-2*LN(F4008))*COS(2*PI()*G4008),"")</f>
        <v/>
      </c>
      <c r="I4008">
        <f>IF(B4008,IF(D4008=0,H4008,Rho*I4007+SQRT(1-Rho^2)*H4008),"")</f>
        <v/>
      </c>
      <c r="J4008">
        <f>IF(B4008,IF(Dist="Normal",DistA+DistB*I4008,DistA+(DistB-DistA)*NORMSDIST(I4008)),"")</f>
        <v/>
      </c>
      <c r="K4008">
        <f>IF(B4008,INDEX(MineScale,C4008),"")</f>
        <v/>
      </c>
      <c r="L4008">
        <f>IF(B4008,INDEX(Dow,1,WEEKDAY(E4008,2)),"")</f>
        <v/>
      </c>
      <c r="M4008">
        <f>IF(B4008,(1+Trend)^D4008,"")</f>
        <v/>
      </c>
      <c r="N4008">
        <f>IF(B4008,EXP(SUMPRODUCT(LN(1+(EvEff-1)*INDEX(Affected,0,C4008)*EXP(-((E4008-EvCenter)^2)/(2*EvSigma^2))))),"")</f>
        <v/>
      </c>
      <c r="O4008">
        <f>IF(B4008,ROUND(MAX(0,J4008*K4008*L4008*M4008*N4008),2),"")</f>
        <v/>
      </c>
    </row>
    <row r="4009">
      <c r="A4009" t="n">
        <v>4008</v>
      </c>
      <c r="B4009">
        <f>A4009&lt;=MineCount*Days</f>
        <v/>
      </c>
      <c r="C4009">
        <f>IF(B4009,INT((A4009-1)/Days)+1,"")</f>
        <v/>
      </c>
      <c r="D4009">
        <f>IF(B4009,MOD(A4009-1,Days),"")</f>
        <v/>
      </c>
      <c r="E4009" s="16">
        <f>IF(B4009,StartDate+D4009,"")</f>
        <v/>
      </c>
      <c r="F4009">
        <f>IF(B4009,MAX(MOD(SIN(Seed*0.1373+C4009*12.9898+D4009*78.233)*43758.5453,1),1E-9),"")</f>
        <v/>
      </c>
      <c r="G4009">
        <f>IF(B4009,MOD(SIN(Seed*0.5917+C4009*39.3468+D4009*11.135)*24634.6345,1),"")</f>
        <v/>
      </c>
      <c r="H4009">
        <f>IF(B4009,SQRT(-2*LN(F4009))*COS(2*PI()*G4009),"")</f>
        <v/>
      </c>
      <c r="I4009">
        <f>IF(B4009,IF(D4009=0,H4009,Rho*I4008+SQRT(1-Rho^2)*H4009),"")</f>
        <v/>
      </c>
      <c r="J4009">
        <f>IF(B4009,IF(Dist="Normal",DistA+DistB*I4009,DistA+(DistB-DistA)*NORMSDIST(I4009)),"")</f>
        <v/>
      </c>
      <c r="K4009">
        <f>IF(B4009,INDEX(MineScale,C4009),"")</f>
        <v/>
      </c>
      <c r="L4009">
        <f>IF(B4009,INDEX(Dow,1,WEEKDAY(E4009,2)),"")</f>
        <v/>
      </c>
      <c r="M4009">
        <f>IF(B4009,(1+Trend)^D4009,"")</f>
        <v/>
      </c>
      <c r="N4009">
        <f>IF(B4009,EXP(SUMPRODUCT(LN(1+(EvEff-1)*INDEX(Affected,0,C4009)*EXP(-((E4009-EvCenter)^2)/(2*EvSigma^2))))),"")</f>
        <v/>
      </c>
      <c r="O4009">
        <f>IF(B4009,ROUND(MAX(0,J4009*K4009*L4009*M4009*N4009),2),"")</f>
        <v/>
      </c>
    </row>
    <row r="4010">
      <c r="A4010" t="n">
        <v>4009</v>
      </c>
      <c r="B4010">
        <f>A4010&lt;=MineCount*Days</f>
        <v/>
      </c>
      <c r="C4010">
        <f>IF(B4010,INT((A4010-1)/Days)+1,"")</f>
        <v/>
      </c>
      <c r="D4010">
        <f>IF(B4010,MOD(A4010-1,Days),"")</f>
        <v/>
      </c>
      <c r="E4010" s="16">
        <f>IF(B4010,StartDate+D4010,"")</f>
        <v/>
      </c>
      <c r="F4010">
        <f>IF(B4010,MAX(MOD(SIN(Seed*0.1373+C4010*12.9898+D4010*78.233)*43758.5453,1),1E-9),"")</f>
        <v/>
      </c>
      <c r="G4010">
        <f>IF(B4010,MOD(SIN(Seed*0.5917+C4010*39.3468+D4010*11.135)*24634.6345,1),"")</f>
        <v/>
      </c>
      <c r="H4010">
        <f>IF(B4010,SQRT(-2*LN(F4010))*COS(2*PI()*G4010),"")</f>
        <v/>
      </c>
      <c r="I4010">
        <f>IF(B4010,IF(D4010=0,H4010,Rho*I4009+SQRT(1-Rho^2)*H4010),"")</f>
        <v/>
      </c>
      <c r="J4010">
        <f>IF(B4010,IF(Dist="Normal",DistA+DistB*I4010,DistA+(DistB-DistA)*NORMSDIST(I4010)),"")</f>
        <v/>
      </c>
      <c r="K4010">
        <f>IF(B4010,INDEX(MineScale,C4010),"")</f>
        <v/>
      </c>
      <c r="L4010">
        <f>IF(B4010,INDEX(Dow,1,WEEKDAY(E4010,2)),"")</f>
        <v/>
      </c>
      <c r="M4010">
        <f>IF(B4010,(1+Trend)^D4010,"")</f>
        <v/>
      </c>
      <c r="N4010">
        <f>IF(B4010,EXP(SUMPRODUCT(LN(1+(EvEff-1)*INDEX(Affected,0,C4010)*EXP(-((E4010-EvCenter)^2)/(2*EvSigma^2))))),"")</f>
        <v/>
      </c>
      <c r="O4010">
        <f>IF(B4010,ROUND(MAX(0,J4010*K4010*L4010*M4010*N4010),2),"")</f>
        <v/>
      </c>
    </row>
    <row r="4011">
      <c r="A4011" t="n">
        <v>4010</v>
      </c>
      <c r="B4011">
        <f>A4011&lt;=MineCount*Days</f>
        <v/>
      </c>
      <c r="C4011">
        <f>IF(B4011,INT((A4011-1)/Days)+1,"")</f>
        <v/>
      </c>
      <c r="D4011">
        <f>IF(B4011,MOD(A4011-1,Days),"")</f>
        <v/>
      </c>
      <c r="E4011" s="16">
        <f>IF(B4011,StartDate+D4011,"")</f>
        <v/>
      </c>
      <c r="F4011">
        <f>IF(B4011,MAX(MOD(SIN(Seed*0.1373+C4011*12.9898+D4011*78.233)*43758.5453,1),1E-9),"")</f>
        <v/>
      </c>
      <c r="G4011">
        <f>IF(B4011,MOD(SIN(Seed*0.5917+C4011*39.3468+D4011*11.135)*24634.6345,1),"")</f>
        <v/>
      </c>
      <c r="H4011">
        <f>IF(B4011,SQRT(-2*LN(F4011))*COS(2*PI()*G4011),"")</f>
        <v/>
      </c>
      <c r="I4011">
        <f>IF(B4011,IF(D4011=0,H4011,Rho*I4010+SQRT(1-Rho^2)*H4011),"")</f>
        <v/>
      </c>
      <c r="J4011">
        <f>IF(B4011,IF(Dist="Normal",DistA+DistB*I4011,DistA+(DistB-DistA)*NORMSDIST(I4011)),"")</f>
        <v/>
      </c>
      <c r="K4011">
        <f>IF(B4011,INDEX(MineScale,C4011),"")</f>
        <v/>
      </c>
      <c r="L4011">
        <f>IF(B4011,INDEX(Dow,1,WEEKDAY(E4011,2)),"")</f>
        <v/>
      </c>
      <c r="M4011">
        <f>IF(B4011,(1+Trend)^D4011,"")</f>
        <v/>
      </c>
      <c r="N4011">
        <f>IF(B4011,EXP(SUMPRODUCT(LN(1+(EvEff-1)*INDEX(Affected,0,C4011)*EXP(-((E4011-EvCenter)^2)/(2*EvSigma^2))))),"")</f>
        <v/>
      </c>
      <c r="O4011">
        <f>IF(B4011,ROUND(MAX(0,J4011*K4011*L4011*M4011*N4011),2),"")</f>
        <v/>
      </c>
    </row>
    <row r="4012">
      <c r="A4012" t="n">
        <v>4011</v>
      </c>
      <c r="B4012">
        <f>A4012&lt;=MineCount*Days</f>
        <v/>
      </c>
      <c r="C4012">
        <f>IF(B4012,INT((A4012-1)/Days)+1,"")</f>
        <v/>
      </c>
      <c r="D4012">
        <f>IF(B4012,MOD(A4012-1,Days),"")</f>
        <v/>
      </c>
      <c r="E4012" s="16">
        <f>IF(B4012,StartDate+D4012,"")</f>
        <v/>
      </c>
      <c r="F4012">
        <f>IF(B4012,MAX(MOD(SIN(Seed*0.1373+C4012*12.9898+D4012*78.233)*43758.5453,1),1E-9),"")</f>
        <v/>
      </c>
      <c r="G4012">
        <f>IF(B4012,MOD(SIN(Seed*0.5917+C4012*39.3468+D4012*11.135)*24634.6345,1),"")</f>
        <v/>
      </c>
      <c r="H4012">
        <f>IF(B4012,SQRT(-2*LN(F4012))*COS(2*PI()*G4012),"")</f>
        <v/>
      </c>
      <c r="I4012">
        <f>IF(B4012,IF(D4012=0,H4012,Rho*I4011+SQRT(1-Rho^2)*H4012),"")</f>
        <v/>
      </c>
      <c r="J4012">
        <f>IF(B4012,IF(Dist="Normal",DistA+DistB*I4012,DistA+(DistB-DistA)*NORMSDIST(I4012)),"")</f>
        <v/>
      </c>
      <c r="K4012">
        <f>IF(B4012,INDEX(MineScale,C4012),"")</f>
        <v/>
      </c>
      <c r="L4012">
        <f>IF(B4012,INDEX(Dow,1,WEEKDAY(E4012,2)),"")</f>
        <v/>
      </c>
      <c r="M4012">
        <f>IF(B4012,(1+Trend)^D4012,"")</f>
        <v/>
      </c>
      <c r="N4012">
        <f>IF(B4012,EXP(SUMPRODUCT(LN(1+(EvEff-1)*INDEX(Affected,0,C4012)*EXP(-((E4012-EvCenter)^2)/(2*EvSigma^2))))),"")</f>
        <v/>
      </c>
      <c r="O4012">
        <f>IF(B4012,ROUND(MAX(0,J4012*K4012*L4012*M4012*N4012),2),"")</f>
        <v/>
      </c>
    </row>
    <row r="4013">
      <c r="A4013" t="n">
        <v>4012</v>
      </c>
      <c r="B4013">
        <f>A4013&lt;=MineCount*Days</f>
        <v/>
      </c>
      <c r="C4013">
        <f>IF(B4013,INT((A4013-1)/Days)+1,"")</f>
        <v/>
      </c>
      <c r="D4013">
        <f>IF(B4013,MOD(A4013-1,Days),"")</f>
        <v/>
      </c>
      <c r="E4013" s="16">
        <f>IF(B4013,StartDate+D4013,"")</f>
        <v/>
      </c>
      <c r="F4013">
        <f>IF(B4013,MAX(MOD(SIN(Seed*0.1373+C4013*12.9898+D4013*78.233)*43758.5453,1),1E-9),"")</f>
        <v/>
      </c>
      <c r="G4013">
        <f>IF(B4013,MOD(SIN(Seed*0.5917+C4013*39.3468+D4013*11.135)*24634.6345,1),"")</f>
        <v/>
      </c>
      <c r="H4013">
        <f>IF(B4013,SQRT(-2*LN(F4013))*COS(2*PI()*G4013),"")</f>
        <v/>
      </c>
      <c r="I4013">
        <f>IF(B4013,IF(D4013=0,H4013,Rho*I4012+SQRT(1-Rho^2)*H4013),"")</f>
        <v/>
      </c>
      <c r="J4013">
        <f>IF(B4013,IF(Dist="Normal",DistA+DistB*I4013,DistA+(DistB-DistA)*NORMSDIST(I4013)),"")</f>
        <v/>
      </c>
      <c r="K4013">
        <f>IF(B4013,INDEX(MineScale,C4013),"")</f>
        <v/>
      </c>
      <c r="L4013">
        <f>IF(B4013,INDEX(Dow,1,WEEKDAY(E4013,2)),"")</f>
        <v/>
      </c>
      <c r="M4013">
        <f>IF(B4013,(1+Trend)^D4013,"")</f>
        <v/>
      </c>
      <c r="N4013">
        <f>IF(B4013,EXP(SUMPRODUCT(LN(1+(EvEff-1)*INDEX(Affected,0,C4013)*EXP(-((E4013-EvCenter)^2)/(2*EvSigma^2))))),"")</f>
        <v/>
      </c>
      <c r="O4013">
        <f>IF(B4013,ROUND(MAX(0,J4013*K4013*L4013*M4013*N4013),2),"")</f>
        <v/>
      </c>
    </row>
    <row r="4014">
      <c r="A4014" t="n">
        <v>4013</v>
      </c>
      <c r="B4014">
        <f>A4014&lt;=MineCount*Days</f>
        <v/>
      </c>
      <c r="C4014">
        <f>IF(B4014,INT((A4014-1)/Days)+1,"")</f>
        <v/>
      </c>
      <c r="D4014">
        <f>IF(B4014,MOD(A4014-1,Days),"")</f>
        <v/>
      </c>
      <c r="E4014" s="16">
        <f>IF(B4014,StartDate+D4014,"")</f>
        <v/>
      </c>
      <c r="F4014">
        <f>IF(B4014,MAX(MOD(SIN(Seed*0.1373+C4014*12.9898+D4014*78.233)*43758.5453,1),1E-9),"")</f>
        <v/>
      </c>
      <c r="G4014">
        <f>IF(B4014,MOD(SIN(Seed*0.5917+C4014*39.3468+D4014*11.135)*24634.6345,1),"")</f>
        <v/>
      </c>
      <c r="H4014">
        <f>IF(B4014,SQRT(-2*LN(F4014))*COS(2*PI()*G4014),"")</f>
        <v/>
      </c>
      <c r="I4014">
        <f>IF(B4014,IF(D4014=0,H4014,Rho*I4013+SQRT(1-Rho^2)*H4014),"")</f>
        <v/>
      </c>
      <c r="J4014">
        <f>IF(B4014,IF(Dist="Normal",DistA+DistB*I4014,DistA+(DistB-DistA)*NORMSDIST(I4014)),"")</f>
        <v/>
      </c>
      <c r="K4014">
        <f>IF(B4014,INDEX(MineScale,C4014),"")</f>
        <v/>
      </c>
      <c r="L4014">
        <f>IF(B4014,INDEX(Dow,1,WEEKDAY(E4014,2)),"")</f>
        <v/>
      </c>
      <c r="M4014">
        <f>IF(B4014,(1+Trend)^D4014,"")</f>
        <v/>
      </c>
      <c r="N4014">
        <f>IF(B4014,EXP(SUMPRODUCT(LN(1+(EvEff-1)*INDEX(Affected,0,C4014)*EXP(-((E4014-EvCenter)^2)/(2*EvSigma^2))))),"")</f>
        <v/>
      </c>
      <c r="O4014">
        <f>IF(B4014,ROUND(MAX(0,J4014*K4014*L4014*M4014*N4014),2),"")</f>
        <v/>
      </c>
    </row>
    <row r="4015">
      <c r="A4015" t="n">
        <v>4014</v>
      </c>
      <c r="B4015">
        <f>A4015&lt;=MineCount*Days</f>
        <v/>
      </c>
      <c r="C4015">
        <f>IF(B4015,INT((A4015-1)/Days)+1,"")</f>
        <v/>
      </c>
      <c r="D4015">
        <f>IF(B4015,MOD(A4015-1,Days),"")</f>
        <v/>
      </c>
      <c r="E4015" s="16">
        <f>IF(B4015,StartDate+D4015,"")</f>
        <v/>
      </c>
      <c r="F4015">
        <f>IF(B4015,MAX(MOD(SIN(Seed*0.1373+C4015*12.9898+D4015*78.233)*43758.5453,1),1E-9),"")</f>
        <v/>
      </c>
      <c r="G4015">
        <f>IF(B4015,MOD(SIN(Seed*0.5917+C4015*39.3468+D4015*11.135)*24634.6345,1),"")</f>
        <v/>
      </c>
      <c r="H4015">
        <f>IF(B4015,SQRT(-2*LN(F4015))*COS(2*PI()*G4015),"")</f>
        <v/>
      </c>
      <c r="I4015">
        <f>IF(B4015,IF(D4015=0,H4015,Rho*I4014+SQRT(1-Rho^2)*H4015),"")</f>
        <v/>
      </c>
      <c r="J4015">
        <f>IF(B4015,IF(Dist="Normal",DistA+DistB*I4015,DistA+(DistB-DistA)*NORMSDIST(I4015)),"")</f>
        <v/>
      </c>
      <c r="K4015">
        <f>IF(B4015,INDEX(MineScale,C4015),"")</f>
        <v/>
      </c>
      <c r="L4015">
        <f>IF(B4015,INDEX(Dow,1,WEEKDAY(E4015,2)),"")</f>
        <v/>
      </c>
      <c r="M4015">
        <f>IF(B4015,(1+Trend)^D4015,"")</f>
        <v/>
      </c>
      <c r="N4015">
        <f>IF(B4015,EXP(SUMPRODUCT(LN(1+(EvEff-1)*INDEX(Affected,0,C4015)*EXP(-((E4015-EvCenter)^2)/(2*EvSigma^2))))),"")</f>
        <v/>
      </c>
      <c r="O4015">
        <f>IF(B4015,ROUND(MAX(0,J4015*K4015*L4015*M4015*N4015),2),"")</f>
        <v/>
      </c>
    </row>
    <row r="4016">
      <c r="A4016" t="n">
        <v>4015</v>
      </c>
      <c r="B4016">
        <f>A4016&lt;=MineCount*Days</f>
        <v/>
      </c>
      <c r="C4016">
        <f>IF(B4016,INT((A4016-1)/Days)+1,"")</f>
        <v/>
      </c>
      <c r="D4016">
        <f>IF(B4016,MOD(A4016-1,Days),"")</f>
        <v/>
      </c>
      <c r="E4016" s="16">
        <f>IF(B4016,StartDate+D4016,"")</f>
        <v/>
      </c>
      <c r="F4016">
        <f>IF(B4016,MAX(MOD(SIN(Seed*0.1373+C4016*12.9898+D4016*78.233)*43758.5453,1),1E-9),"")</f>
        <v/>
      </c>
      <c r="G4016">
        <f>IF(B4016,MOD(SIN(Seed*0.5917+C4016*39.3468+D4016*11.135)*24634.6345,1),"")</f>
        <v/>
      </c>
      <c r="H4016">
        <f>IF(B4016,SQRT(-2*LN(F4016))*COS(2*PI()*G4016),"")</f>
        <v/>
      </c>
      <c r="I4016">
        <f>IF(B4016,IF(D4016=0,H4016,Rho*I4015+SQRT(1-Rho^2)*H4016),"")</f>
        <v/>
      </c>
      <c r="J4016">
        <f>IF(B4016,IF(Dist="Normal",DistA+DistB*I4016,DistA+(DistB-DistA)*NORMSDIST(I4016)),"")</f>
        <v/>
      </c>
      <c r="K4016">
        <f>IF(B4016,INDEX(MineScale,C4016),"")</f>
        <v/>
      </c>
      <c r="L4016">
        <f>IF(B4016,INDEX(Dow,1,WEEKDAY(E4016,2)),"")</f>
        <v/>
      </c>
      <c r="M4016">
        <f>IF(B4016,(1+Trend)^D4016,"")</f>
        <v/>
      </c>
      <c r="N4016">
        <f>IF(B4016,EXP(SUMPRODUCT(LN(1+(EvEff-1)*INDEX(Affected,0,C4016)*EXP(-((E4016-EvCenter)^2)/(2*EvSigma^2))))),"")</f>
        <v/>
      </c>
      <c r="O4016">
        <f>IF(B4016,ROUND(MAX(0,J4016*K4016*L4016*M4016*N4016),2),"")</f>
        <v/>
      </c>
    </row>
    <row r="4017">
      <c r="A4017" t="n">
        <v>4016</v>
      </c>
      <c r="B4017">
        <f>A4017&lt;=MineCount*Days</f>
        <v/>
      </c>
      <c r="C4017">
        <f>IF(B4017,INT((A4017-1)/Days)+1,"")</f>
        <v/>
      </c>
      <c r="D4017">
        <f>IF(B4017,MOD(A4017-1,Days),"")</f>
        <v/>
      </c>
      <c r="E4017" s="16">
        <f>IF(B4017,StartDate+D4017,"")</f>
        <v/>
      </c>
      <c r="F4017">
        <f>IF(B4017,MAX(MOD(SIN(Seed*0.1373+C4017*12.9898+D4017*78.233)*43758.5453,1),1E-9),"")</f>
        <v/>
      </c>
      <c r="G4017">
        <f>IF(B4017,MOD(SIN(Seed*0.5917+C4017*39.3468+D4017*11.135)*24634.6345,1),"")</f>
        <v/>
      </c>
      <c r="H4017">
        <f>IF(B4017,SQRT(-2*LN(F4017))*COS(2*PI()*G4017),"")</f>
        <v/>
      </c>
      <c r="I4017">
        <f>IF(B4017,IF(D4017=0,H4017,Rho*I4016+SQRT(1-Rho^2)*H4017),"")</f>
        <v/>
      </c>
      <c r="J4017">
        <f>IF(B4017,IF(Dist="Normal",DistA+DistB*I4017,DistA+(DistB-DistA)*NORMSDIST(I4017)),"")</f>
        <v/>
      </c>
      <c r="K4017">
        <f>IF(B4017,INDEX(MineScale,C4017),"")</f>
        <v/>
      </c>
      <c r="L4017">
        <f>IF(B4017,INDEX(Dow,1,WEEKDAY(E4017,2)),"")</f>
        <v/>
      </c>
      <c r="M4017">
        <f>IF(B4017,(1+Trend)^D4017,"")</f>
        <v/>
      </c>
      <c r="N4017">
        <f>IF(B4017,EXP(SUMPRODUCT(LN(1+(EvEff-1)*INDEX(Affected,0,C4017)*EXP(-((E4017-EvCenter)^2)/(2*EvSigma^2))))),"")</f>
        <v/>
      </c>
      <c r="O4017">
        <f>IF(B4017,ROUND(MAX(0,J4017*K4017*L4017*M4017*N4017),2),"")</f>
        <v/>
      </c>
    </row>
    <row r="4018">
      <c r="A4018" t="n">
        <v>4017</v>
      </c>
      <c r="B4018">
        <f>A4018&lt;=MineCount*Days</f>
        <v/>
      </c>
      <c r="C4018">
        <f>IF(B4018,INT((A4018-1)/Days)+1,"")</f>
        <v/>
      </c>
      <c r="D4018">
        <f>IF(B4018,MOD(A4018-1,Days),"")</f>
        <v/>
      </c>
      <c r="E4018" s="16">
        <f>IF(B4018,StartDate+D4018,"")</f>
        <v/>
      </c>
      <c r="F4018">
        <f>IF(B4018,MAX(MOD(SIN(Seed*0.1373+C4018*12.9898+D4018*78.233)*43758.5453,1),1E-9),"")</f>
        <v/>
      </c>
      <c r="G4018">
        <f>IF(B4018,MOD(SIN(Seed*0.5917+C4018*39.3468+D4018*11.135)*24634.6345,1),"")</f>
        <v/>
      </c>
      <c r="H4018">
        <f>IF(B4018,SQRT(-2*LN(F4018))*COS(2*PI()*G4018),"")</f>
        <v/>
      </c>
      <c r="I4018">
        <f>IF(B4018,IF(D4018=0,H4018,Rho*I4017+SQRT(1-Rho^2)*H4018),"")</f>
        <v/>
      </c>
      <c r="J4018">
        <f>IF(B4018,IF(Dist="Normal",DistA+DistB*I4018,DistA+(DistB-DistA)*NORMSDIST(I4018)),"")</f>
        <v/>
      </c>
      <c r="K4018">
        <f>IF(B4018,INDEX(MineScale,C4018),"")</f>
        <v/>
      </c>
      <c r="L4018">
        <f>IF(B4018,INDEX(Dow,1,WEEKDAY(E4018,2)),"")</f>
        <v/>
      </c>
      <c r="M4018">
        <f>IF(B4018,(1+Trend)^D4018,"")</f>
        <v/>
      </c>
      <c r="N4018">
        <f>IF(B4018,EXP(SUMPRODUCT(LN(1+(EvEff-1)*INDEX(Affected,0,C4018)*EXP(-((E4018-EvCenter)^2)/(2*EvSigma^2))))),"")</f>
        <v/>
      </c>
      <c r="O4018">
        <f>IF(B4018,ROUND(MAX(0,J4018*K4018*L4018*M4018*N4018),2),"")</f>
        <v/>
      </c>
    </row>
    <row r="4019">
      <c r="A4019" t="n">
        <v>4018</v>
      </c>
      <c r="B4019">
        <f>A4019&lt;=MineCount*Days</f>
        <v/>
      </c>
      <c r="C4019">
        <f>IF(B4019,INT((A4019-1)/Days)+1,"")</f>
        <v/>
      </c>
      <c r="D4019">
        <f>IF(B4019,MOD(A4019-1,Days),"")</f>
        <v/>
      </c>
      <c r="E4019" s="16">
        <f>IF(B4019,StartDate+D4019,"")</f>
        <v/>
      </c>
      <c r="F4019">
        <f>IF(B4019,MAX(MOD(SIN(Seed*0.1373+C4019*12.9898+D4019*78.233)*43758.5453,1),1E-9),"")</f>
        <v/>
      </c>
      <c r="G4019">
        <f>IF(B4019,MOD(SIN(Seed*0.5917+C4019*39.3468+D4019*11.135)*24634.6345,1),"")</f>
        <v/>
      </c>
      <c r="H4019">
        <f>IF(B4019,SQRT(-2*LN(F4019))*COS(2*PI()*G4019),"")</f>
        <v/>
      </c>
      <c r="I4019">
        <f>IF(B4019,IF(D4019=0,H4019,Rho*I4018+SQRT(1-Rho^2)*H4019),"")</f>
        <v/>
      </c>
      <c r="J4019">
        <f>IF(B4019,IF(Dist="Normal",DistA+DistB*I4019,DistA+(DistB-DistA)*NORMSDIST(I4019)),"")</f>
        <v/>
      </c>
      <c r="K4019">
        <f>IF(B4019,INDEX(MineScale,C4019),"")</f>
        <v/>
      </c>
      <c r="L4019">
        <f>IF(B4019,INDEX(Dow,1,WEEKDAY(E4019,2)),"")</f>
        <v/>
      </c>
      <c r="M4019">
        <f>IF(B4019,(1+Trend)^D4019,"")</f>
        <v/>
      </c>
      <c r="N4019">
        <f>IF(B4019,EXP(SUMPRODUCT(LN(1+(EvEff-1)*INDEX(Affected,0,C4019)*EXP(-((E4019-EvCenter)^2)/(2*EvSigma^2))))),"")</f>
        <v/>
      </c>
      <c r="O4019">
        <f>IF(B4019,ROUND(MAX(0,J4019*K4019*L4019*M4019*N4019),2),"")</f>
        <v/>
      </c>
    </row>
    <row r="4020">
      <c r="A4020" t="n">
        <v>4019</v>
      </c>
      <c r="B4020">
        <f>A4020&lt;=MineCount*Days</f>
        <v/>
      </c>
      <c r="C4020">
        <f>IF(B4020,INT((A4020-1)/Days)+1,"")</f>
        <v/>
      </c>
      <c r="D4020">
        <f>IF(B4020,MOD(A4020-1,Days),"")</f>
        <v/>
      </c>
      <c r="E4020" s="16">
        <f>IF(B4020,StartDate+D4020,"")</f>
        <v/>
      </c>
      <c r="F4020">
        <f>IF(B4020,MAX(MOD(SIN(Seed*0.1373+C4020*12.9898+D4020*78.233)*43758.5453,1),1E-9),"")</f>
        <v/>
      </c>
      <c r="G4020">
        <f>IF(B4020,MOD(SIN(Seed*0.5917+C4020*39.3468+D4020*11.135)*24634.6345,1),"")</f>
        <v/>
      </c>
      <c r="H4020">
        <f>IF(B4020,SQRT(-2*LN(F4020))*COS(2*PI()*G4020),"")</f>
        <v/>
      </c>
      <c r="I4020">
        <f>IF(B4020,IF(D4020=0,H4020,Rho*I4019+SQRT(1-Rho^2)*H4020),"")</f>
        <v/>
      </c>
      <c r="J4020">
        <f>IF(B4020,IF(Dist="Normal",DistA+DistB*I4020,DistA+(DistB-DistA)*NORMSDIST(I4020)),"")</f>
        <v/>
      </c>
      <c r="K4020">
        <f>IF(B4020,INDEX(MineScale,C4020),"")</f>
        <v/>
      </c>
      <c r="L4020">
        <f>IF(B4020,INDEX(Dow,1,WEEKDAY(E4020,2)),"")</f>
        <v/>
      </c>
      <c r="M4020">
        <f>IF(B4020,(1+Trend)^D4020,"")</f>
        <v/>
      </c>
      <c r="N4020">
        <f>IF(B4020,EXP(SUMPRODUCT(LN(1+(EvEff-1)*INDEX(Affected,0,C4020)*EXP(-((E4020-EvCenter)^2)/(2*EvSigma^2))))),"")</f>
        <v/>
      </c>
      <c r="O4020">
        <f>IF(B4020,ROUND(MAX(0,J4020*K4020*L4020*M4020*N4020),2),"")</f>
        <v/>
      </c>
    </row>
    <row r="4021">
      <c r="A4021" t="n">
        <v>4020</v>
      </c>
      <c r="B4021">
        <f>A4021&lt;=MineCount*Days</f>
        <v/>
      </c>
      <c r="C4021">
        <f>IF(B4021,INT((A4021-1)/Days)+1,"")</f>
        <v/>
      </c>
      <c r="D4021">
        <f>IF(B4021,MOD(A4021-1,Days),"")</f>
        <v/>
      </c>
      <c r="E4021" s="16">
        <f>IF(B4021,StartDate+D4021,"")</f>
        <v/>
      </c>
      <c r="F4021">
        <f>IF(B4021,MAX(MOD(SIN(Seed*0.1373+C4021*12.9898+D4021*78.233)*43758.5453,1),1E-9),"")</f>
        <v/>
      </c>
      <c r="G4021">
        <f>IF(B4021,MOD(SIN(Seed*0.5917+C4021*39.3468+D4021*11.135)*24634.6345,1),"")</f>
        <v/>
      </c>
      <c r="H4021">
        <f>IF(B4021,SQRT(-2*LN(F4021))*COS(2*PI()*G4021),"")</f>
        <v/>
      </c>
      <c r="I4021">
        <f>IF(B4021,IF(D4021=0,H4021,Rho*I4020+SQRT(1-Rho^2)*H4021),"")</f>
        <v/>
      </c>
      <c r="J4021">
        <f>IF(B4021,IF(Dist="Normal",DistA+DistB*I4021,DistA+(DistB-DistA)*NORMSDIST(I4021)),"")</f>
        <v/>
      </c>
      <c r="K4021">
        <f>IF(B4021,INDEX(MineScale,C4021),"")</f>
        <v/>
      </c>
      <c r="L4021">
        <f>IF(B4021,INDEX(Dow,1,WEEKDAY(E4021,2)),"")</f>
        <v/>
      </c>
      <c r="M4021">
        <f>IF(B4021,(1+Trend)^D4021,"")</f>
        <v/>
      </c>
      <c r="N4021">
        <f>IF(B4021,EXP(SUMPRODUCT(LN(1+(EvEff-1)*INDEX(Affected,0,C4021)*EXP(-((E4021-EvCenter)^2)/(2*EvSigma^2))))),"")</f>
        <v/>
      </c>
      <c r="O4021">
        <f>IF(B4021,ROUND(MAX(0,J4021*K4021*L4021*M4021*N4021),2),"")</f>
        <v/>
      </c>
    </row>
    <row r="4022">
      <c r="A4022" t="n">
        <v>4021</v>
      </c>
      <c r="B4022">
        <f>A4022&lt;=MineCount*Days</f>
        <v/>
      </c>
      <c r="C4022">
        <f>IF(B4022,INT((A4022-1)/Days)+1,"")</f>
        <v/>
      </c>
      <c r="D4022">
        <f>IF(B4022,MOD(A4022-1,Days),"")</f>
        <v/>
      </c>
      <c r="E4022" s="16">
        <f>IF(B4022,StartDate+D4022,"")</f>
        <v/>
      </c>
      <c r="F4022">
        <f>IF(B4022,MAX(MOD(SIN(Seed*0.1373+C4022*12.9898+D4022*78.233)*43758.5453,1),1E-9),"")</f>
        <v/>
      </c>
      <c r="G4022">
        <f>IF(B4022,MOD(SIN(Seed*0.5917+C4022*39.3468+D4022*11.135)*24634.6345,1),"")</f>
        <v/>
      </c>
      <c r="H4022">
        <f>IF(B4022,SQRT(-2*LN(F4022))*COS(2*PI()*G4022),"")</f>
        <v/>
      </c>
      <c r="I4022">
        <f>IF(B4022,IF(D4022=0,H4022,Rho*I4021+SQRT(1-Rho^2)*H4022),"")</f>
        <v/>
      </c>
      <c r="J4022">
        <f>IF(B4022,IF(Dist="Normal",DistA+DistB*I4022,DistA+(DistB-DistA)*NORMSDIST(I4022)),"")</f>
        <v/>
      </c>
      <c r="K4022">
        <f>IF(B4022,INDEX(MineScale,C4022),"")</f>
        <v/>
      </c>
      <c r="L4022">
        <f>IF(B4022,INDEX(Dow,1,WEEKDAY(E4022,2)),"")</f>
        <v/>
      </c>
      <c r="M4022">
        <f>IF(B4022,(1+Trend)^D4022,"")</f>
        <v/>
      </c>
      <c r="N4022">
        <f>IF(B4022,EXP(SUMPRODUCT(LN(1+(EvEff-1)*INDEX(Affected,0,C4022)*EXP(-((E4022-EvCenter)^2)/(2*EvSigma^2))))),"")</f>
        <v/>
      </c>
      <c r="O4022">
        <f>IF(B4022,ROUND(MAX(0,J4022*K4022*L4022*M4022*N4022),2),"")</f>
        <v/>
      </c>
    </row>
    <row r="4023">
      <c r="A4023" t="n">
        <v>4022</v>
      </c>
      <c r="B4023">
        <f>A4023&lt;=MineCount*Days</f>
        <v/>
      </c>
      <c r="C4023">
        <f>IF(B4023,INT((A4023-1)/Days)+1,"")</f>
        <v/>
      </c>
      <c r="D4023">
        <f>IF(B4023,MOD(A4023-1,Days),"")</f>
        <v/>
      </c>
      <c r="E4023" s="16">
        <f>IF(B4023,StartDate+D4023,"")</f>
        <v/>
      </c>
      <c r="F4023">
        <f>IF(B4023,MAX(MOD(SIN(Seed*0.1373+C4023*12.9898+D4023*78.233)*43758.5453,1),1E-9),"")</f>
        <v/>
      </c>
      <c r="G4023">
        <f>IF(B4023,MOD(SIN(Seed*0.5917+C4023*39.3468+D4023*11.135)*24634.6345,1),"")</f>
        <v/>
      </c>
      <c r="H4023">
        <f>IF(B4023,SQRT(-2*LN(F4023))*COS(2*PI()*G4023),"")</f>
        <v/>
      </c>
      <c r="I4023">
        <f>IF(B4023,IF(D4023=0,H4023,Rho*I4022+SQRT(1-Rho^2)*H4023),"")</f>
        <v/>
      </c>
      <c r="J4023">
        <f>IF(B4023,IF(Dist="Normal",DistA+DistB*I4023,DistA+(DistB-DistA)*NORMSDIST(I4023)),"")</f>
        <v/>
      </c>
      <c r="K4023">
        <f>IF(B4023,INDEX(MineScale,C4023),"")</f>
        <v/>
      </c>
      <c r="L4023">
        <f>IF(B4023,INDEX(Dow,1,WEEKDAY(E4023,2)),"")</f>
        <v/>
      </c>
      <c r="M4023">
        <f>IF(B4023,(1+Trend)^D4023,"")</f>
        <v/>
      </c>
      <c r="N4023">
        <f>IF(B4023,EXP(SUMPRODUCT(LN(1+(EvEff-1)*INDEX(Affected,0,C4023)*EXP(-((E4023-EvCenter)^2)/(2*EvSigma^2))))),"")</f>
        <v/>
      </c>
      <c r="O4023">
        <f>IF(B4023,ROUND(MAX(0,J4023*K4023*L4023*M4023*N4023),2),"")</f>
        <v/>
      </c>
    </row>
    <row r="4024">
      <c r="A4024" t="n">
        <v>4023</v>
      </c>
      <c r="B4024">
        <f>A4024&lt;=MineCount*Days</f>
        <v/>
      </c>
      <c r="C4024">
        <f>IF(B4024,INT((A4024-1)/Days)+1,"")</f>
        <v/>
      </c>
      <c r="D4024">
        <f>IF(B4024,MOD(A4024-1,Days),"")</f>
        <v/>
      </c>
      <c r="E4024" s="16">
        <f>IF(B4024,StartDate+D4024,"")</f>
        <v/>
      </c>
      <c r="F4024">
        <f>IF(B4024,MAX(MOD(SIN(Seed*0.1373+C4024*12.9898+D4024*78.233)*43758.5453,1),1E-9),"")</f>
        <v/>
      </c>
      <c r="G4024">
        <f>IF(B4024,MOD(SIN(Seed*0.5917+C4024*39.3468+D4024*11.135)*24634.6345,1),"")</f>
        <v/>
      </c>
      <c r="H4024">
        <f>IF(B4024,SQRT(-2*LN(F4024))*COS(2*PI()*G4024),"")</f>
        <v/>
      </c>
      <c r="I4024">
        <f>IF(B4024,IF(D4024=0,H4024,Rho*I4023+SQRT(1-Rho^2)*H4024),"")</f>
        <v/>
      </c>
      <c r="J4024">
        <f>IF(B4024,IF(Dist="Normal",DistA+DistB*I4024,DistA+(DistB-DistA)*NORMSDIST(I4024)),"")</f>
        <v/>
      </c>
      <c r="K4024">
        <f>IF(B4024,INDEX(MineScale,C4024),"")</f>
        <v/>
      </c>
      <c r="L4024">
        <f>IF(B4024,INDEX(Dow,1,WEEKDAY(E4024,2)),"")</f>
        <v/>
      </c>
      <c r="M4024">
        <f>IF(B4024,(1+Trend)^D4024,"")</f>
        <v/>
      </c>
      <c r="N4024">
        <f>IF(B4024,EXP(SUMPRODUCT(LN(1+(EvEff-1)*INDEX(Affected,0,C4024)*EXP(-((E4024-EvCenter)^2)/(2*EvSigma^2))))),"")</f>
        <v/>
      </c>
      <c r="O4024">
        <f>IF(B4024,ROUND(MAX(0,J4024*K4024*L4024*M4024*N4024),2),"")</f>
        <v/>
      </c>
    </row>
    <row r="4025">
      <c r="A4025" t="n">
        <v>4024</v>
      </c>
      <c r="B4025">
        <f>A4025&lt;=MineCount*Days</f>
        <v/>
      </c>
      <c r="C4025">
        <f>IF(B4025,INT((A4025-1)/Days)+1,"")</f>
        <v/>
      </c>
      <c r="D4025">
        <f>IF(B4025,MOD(A4025-1,Days),"")</f>
        <v/>
      </c>
      <c r="E4025" s="16">
        <f>IF(B4025,StartDate+D4025,"")</f>
        <v/>
      </c>
      <c r="F4025">
        <f>IF(B4025,MAX(MOD(SIN(Seed*0.1373+C4025*12.9898+D4025*78.233)*43758.5453,1),1E-9),"")</f>
        <v/>
      </c>
      <c r="G4025">
        <f>IF(B4025,MOD(SIN(Seed*0.5917+C4025*39.3468+D4025*11.135)*24634.6345,1),"")</f>
        <v/>
      </c>
      <c r="H4025">
        <f>IF(B4025,SQRT(-2*LN(F4025))*COS(2*PI()*G4025),"")</f>
        <v/>
      </c>
      <c r="I4025">
        <f>IF(B4025,IF(D4025=0,H4025,Rho*I4024+SQRT(1-Rho^2)*H4025),"")</f>
        <v/>
      </c>
      <c r="J4025">
        <f>IF(B4025,IF(Dist="Normal",DistA+DistB*I4025,DistA+(DistB-DistA)*NORMSDIST(I4025)),"")</f>
        <v/>
      </c>
      <c r="K4025">
        <f>IF(B4025,INDEX(MineScale,C4025),"")</f>
        <v/>
      </c>
      <c r="L4025">
        <f>IF(B4025,INDEX(Dow,1,WEEKDAY(E4025,2)),"")</f>
        <v/>
      </c>
      <c r="M4025">
        <f>IF(B4025,(1+Trend)^D4025,"")</f>
        <v/>
      </c>
      <c r="N4025">
        <f>IF(B4025,EXP(SUMPRODUCT(LN(1+(EvEff-1)*INDEX(Affected,0,C4025)*EXP(-((E4025-EvCenter)^2)/(2*EvSigma^2))))),"")</f>
        <v/>
      </c>
      <c r="O4025">
        <f>IF(B4025,ROUND(MAX(0,J4025*K4025*L4025*M4025*N4025),2),"")</f>
        <v/>
      </c>
    </row>
    <row r="4026">
      <c r="A4026" t="n">
        <v>4025</v>
      </c>
      <c r="B4026">
        <f>A4026&lt;=MineCount*Days</f>
        <v/>
      </c>
      <c r="C4026">
        <f>IF(B4026,INT((A4026-1)/Days)+1,"")</f>
        <v/>
      </c>
      <c r="D4026">
        <f>IF(B4026,MOD(A4026-1,Days),"")</f>
        <v/>
      </c>
      <c r="E4026" s="16">
        <f>IF(B4026,StartDate+D4026,"")</f>
        <v/>
      </c>
      <c r="F4026">
        <f>IF(B4026,MAX(MOD(SIN(Seed*0.1373+C4026*12.9898+D4026*78.233)*43758.5453,1),1E-9),"")</f>
        <v/>
      </c>
      <c r="G4026">
        <f>IF(B4026,MOD(SIN(Seed*0.5917+C4026*39.3468+D4026*11.135)*24634.6345,1),"")</f>
        <v/>
      </c>
      <c r="H4026">
        <f>IF(B4026,SQRT(-2*LN(F4026))*COS(2*PI()*G4026),"")</f>
        <v/>
      </c>
      <c r="I4026">
        <f>IF(B4026,IF(D4026=0,H4026,Rho*I4025+SQRT(1-Rho^2)*H4026),"")</f>
        <v/>
      </c>
      <c r="J4026">
        <f>IF(B4026,IF(Dist="Normal",DistA+DistB*I4026,DistA+(DistB-DistA)*NORMSDIST(I4026)),"")</f>
        <v/>
      </c>
      <c r="K4026">
        <f>IF(B4026,INDEX(MineScale,C4026),"")</f>
        <v/>
      </c>
      <c r="L4026">
        <f>IF(B4026,INDEX(Dow,1,WEEKDAY(E4026,2)),"")</f>
        <v/>
      </c>
      <c r="M4026">
        <f>IF(B4026,(1+Trend)^D4026,"")</f>
        <v/>
      </c>
      <c r="N4026">
        <f>IF(B4026,EXP(SUMPRODUCT(LN(1+(EvEff-1)*INDEX(Affected,0,C4026)*EXP(-((E4026-EvCenter)^2)/(2*EvSigma^2))))),"")</f>
        <v/>
      </c>
      <c r="O4026">
        <f>IF(B4026,ROUND(MAX(0,J4026*K4026*L4026*M4026*N4026),2),"")</f>
        <v/>
      </c>
    </row>
    <row r="4027">
      <c r="A4027" t="n">
        <v>4026</v>
      </c>
      <c r="B4027">
        <f>A4027&lt;=MineCount*Days</f>
        <v/>
      </c>
      <c r="C4027">
        <f>IF(B4027,INT((A4027-1)/Days)+1,"")</f>
        <v/>
      </c>
      <c r="D4027">
        <f>IF(B4027,MOD(A4027-1,Days),"")</f>
        <v/>
      </c>
      <c r="E4027" s="16">
        <f>IF(B4027,StartDate+D4027,"")</f>
        <v/>
      </c>
      <c r="F4027">
        <f>IF(B4027,MAX(MOD(SIN(Seed*0.1373+C4027*12.9898+D4027*78.233)*43758.5453,1),1E-9),"")</f>
        <v/>
      </c>
      <c r="G4027">
        <f>IF(B4027,MOD(SIN(Seed*0.5917+C4027*39.3468+D4027*11.135)*24634.6345,1),"")</f>
        <v/>
      </c>
      <c r="H4027">
        <f>IF(B4027,SQRT(-2*LN(F4027))*COS(2*PI()*G4027),"")</f>
        <v/>
      </c>
      <c r="I4027">
        <f>IF(B4027,IF(D4027=0,H4027,Rho*I4026+SQRT(1-Rho^2)*H4027),"")</f>
        <v/>
      </c>
      <c r="J4027">
        <f>IF(B4027,IF(Dist="Normal",DistA+DistB*I4027,DistA+(DistB-DistA)*NORMSDIST(I4027)),"")</f>
        <v/>
      </c>
      <c r="K4027">
        <f>IF(B4027,INDEX(MineScale,C4027),"")</f>
        <v/>
      </c>
      <c r="L4027">
        <f>IF(B4027,INDEX(Dow,1,WEEKDAY(E4027,2)),"")</f>
        <v/>
      </c>
      <c r="M4027">
        <f>IF(B4027,(1+Trend)^D4027,"")</f>
        <v/>
      </c>
      <c r="N4027">
        <f>IF(B4027,EXP(SUMPRODUCT(LN(1+(EvEff-1)*INDEX(Affected,0,C4027)*EXP(-((E4027-EvCenter)^2)/(2*EvSigma^2))))),"")</f>
        <v/>
      </c>
      <c r="O4027">
        <f>IF(B4027,ROUND(MAX(0,J4027*K4027*L4027*M4027*N4027),2),"")</f>
        <v/>
      </c>
    </row>
    <row r="4028">
      <c r="A4028" t="n">
        <v>4027</v>
      </c>
      <c r="B4028">
        <f>A4028&lt;=MineCount*Days</f>
        <v/>
      </c>
      <c r="C4028">
        <f>IF(B4028,INT((A4028-1)/Days)+1,"")</f>
        <v/>
      </c>
      <c r="D4028">
        <f>IF(B4028,MOD(A4028-1,Days),"")</f>
        <v/>
      </c>
      <c r="E4028" s="16">
        <f>IF(B4028,StartDate+D4028,"")</f>
        <v/>
      </c>
      <c r="F4028">
        <f>IF(B4028,MAX(MOD(SIN(Seed*0.1373+C4028*12.9898+D4028*78.233)*43758.5453,1),1E-9),"")</f>
        <v/>
      </c>
      <c r="G4028">
        <f>IF(B4028,MOD(SIN(Seed*0.5917+C4028*39.3468+D4028*11.135)*24634.6345,1),"")</f>
        <v/>
      </c>
      <c r="H4028">
        <f>IF(B4028,SQRT(-2*LN(F4028))*COS(2*PI()*G4028),"")</f>
        <v/>
      </c>
      <c r="I4028">
        <f>IF(B4028,IF(D4028=0,H4028,Rho*I4027+SQRT(1-Rho^2)*H4028),"")</f>
        <v/>
      </c>
      <c r="J4028">
        <f>IF(B4028,IF(Dist="Normal",DistA+DistB*I4028,DistA+(DistB-DistA)*NORMSDIST(I4028)),"")</f>
        <v/>
      </c>
      <c r="K4028">
        <f>IF(B4028,INDEX(MineScale,C4028),"")</f>
        <v/>
      </c>
      <c r="L4028">
        <f>IF(B4028,INDEX(Dow,1,WEEKDAY(E4028,2)),"")</f>
        <v/>
      </c>
      <c r="M4028">
        <f>IF(B4028,(1+Trend)^D4028,"")</f>
        <v/>
      </c>
      <c r="N4028">
        <f>IF(B4028,EXP(SUMPRODUCT(LN(1+(EvEff-1)*INDEX(Affected,0,C4028)*EXP(-((E4028-EvCenter)^2)/(2*EvSigma^2))))),"")</f>
        <v/>
      </c>
      <c r="O4028">
        <f>IF(B4028,ROUND(MAX(0,J4028*K4028*L4028*M4028*N4028),2),"")</f>
        <v/>
      </c>
    </row>
    <row r="4029">
      <c r="A4029" t="n">
        <v>4028</v>
      </c>
      <c r="B4029">
        <f>A4029&lt;=MineCount*Days</f>
        <v/>
      </c>
      <c r="C4029">
        <f>IF(B4029,INT((A4029-1)/Days)+1,"")</f>
        <v/>
      </c>
      <c r="D4029">
        <f>IF(B4029,MOD(A4029-1,Days),"")</f>
        <v/>
      </c>
      <c r="E4029" s="16">
        <f>IF(B4029,StartDate+D4029,"")</f>
        <v/>
      </c>
      <c r="F4029">
        <f>IF(B4029,MAX(MOD(SIN(Seed*0.1373+C4029*12.9898+D4029*78.233)*43758.5453,1),1E-9),"")</f>
        <v/>
      </c>
      <c r="G4029">
        <f>IF(B4029,MOD(SIN(Seed*0.5917+C4029*39.3468+D4029*11.135)*24634.6345,1),"")</f>
        <v/>
      </c>
      <c r="H4029">
        <f>IF(B4029,SQRT(-2*LN(F4029))*COS(2*PI()*G4029),"")</f>
        <v/>
      </c>
      <c r="I4029">
        <f>IF(B4029,IF(D4029=0,H4029,Rho*I4028+SQRT(1-Rho^2)*H4029),"")</f>
        <v/>
      </c>
      <c r="J4029">
        <f>IF(B4029,IF(Dist="Normal",DistA+DistB*I4029,DistA+(DistB-DistA)*NORMSDIST(I4029)),"")</f>
        <v/>
      </c>
      <c r="K4029">
        <f>IF(B4029,INDEX(MineScale,C4029),"")</f>
        <v/>
      </c>
      <c r="L4029">
        <f>IF(B4029,INDEX(Dow,1,WEEKDAY(E4029,2)),"")</f>
        <v/>
      </c>
      <c r="M4029">
        <f>IF(B4029,(1+Trend)^D4029,"")</f>
        <v/>
      </c>
      <c r="N4029">
        <f>IF(B4029,EXP(SUMPRODUCT(LN(1+(EvEff-1)*INDEX(Affected,0,C4029)*EXP(-((E4029-EvCenter)^2)/(2*EvSigma^2))))),"")</f>
        <v/>
      </c>
      <c r="O4029">
        <f>IF(B4029,ROUND(MAX(0,J4029*K4029*L4029*M4029*N4029),2),"")</f>
        <v/>
      </c>
    </row>
    <row r="4030">
      <c r="A4030" t="n">
        <v>4029</v>
      </c>
      <c r="B4030">
        <f>A4030&lt;=MineCount*Days</f>
        <v/>
      </c>
      <c r="C4030">
        <f>IF(B4030,INT((A4030-1)/Days)+1,"")</f>
        <v/>
      </c>
      <c r="D4030">
        <f>IF(B4030,MOD(A4030-1,Days),"")</f>
        <v/>
      </c>
      <c r="E4030" s="16">
        <f>IF(B4030,StartDate+D4030,"")</f>
        <v/>
      </c>
      <c r="F4030">
        <f>IF(B4030,MAX(MOD(SIN(Seed*0.1373+C4030*12.9898+D4030*78.233)*43758.5453,1),1E-9),"")</f>
        <v/>
      </c>
      <c r="G4030">
        <f>IF(B4030,MOD(SIN(Seed*0.5917+C4030*39.3468+D4030*11.135)*24634.6345,1),"")</f>
        <v/>
      </c>
      <c r="H4030">
        <f>IF(B4030,SQRT(-2*LN(F4030))*COS(2*PI()*G4030),"")</f>
        <v/>
      </c>
      <c r="I4030">
        <f>IF(B4030,IF(D4030=0,H4030,Rho*I4029+SQRT(1-Rho^2)*H4030),"")</f>
        <v/>
      </c>
      <c r="J4030">
        <f>IF(B4030,IF(Dist="Normal",DistA+DistB*I4030,DistA+(DistB-DistA)*NORMSDIST(I4030)),"")</f>
        <v/>
      </c>
      <c r="K4030">
        <f>IF(B4030,INDEX(MineScale,C4030),"")</f>
        <v/>
      </c>
      <c r="L4030">
        <f>IF(B4030,INDEX(Dow,1,WEEKDAY(E4030,2)),"")</f>
        <v/>
      </c>
      <c r="M4030">
        <f>IF(B4030,(1+Trend)^D4030,"")</f>
        <v/>
      </c>
      <c r="N4030">
        <f>IF(B4030,EXP(SUMPRODUCT(LN(1+(EvEff-1)*INDEX(Affected,0,C4030)*EXP(-((E4030-EvCenter)^2)/(2*EvSigma^2))))),"")</f>
        <v/>
      </c>
      <c r="O4030">
        <f>IF(B4030,ROUND(MAX(0,J4030*K4030*L4030*M4030*N4030),2),"")</f>
        <v/>
      </c>
    </row>
    <row r="4031">
      <c r="A4031" t="n">
        <v>4030</v>
      </c>
      <c r="B4031">
        <f>A4031&lt;=MineCount*Days</f>
        <v/>
      </c>
      <c r="C4031">
        <f>IF(B4031,INT((A4031-1)/Days)+1,"")</f>
        <v/>
      </c>
      <c r="D4031">
        <f>IF(B4031,MOD(A4031-1,Days),"")</f>
        <v/>
      </c>
      <c r="E4031" s="16">
        <f>IF(B4031,StartDate+D4031,"")</f>
        <v/>
      </c>
      <c r="F4031">
        <f>IF(B4031,MAX(MOD(SIN(Seed*0.1373+C4031*12.9898+D4031*78.233)*43758.5453,1),1E-9),"")</f>
        <v/>
      </c>
      <c r="G4031">
        <f>IF(B4031,MOD(SIN(Seed*0.5917+C4031*39.3468+D4031*11.135)*24634.6345,1),"")</f>
        <v/>
      </c>
      <c r="H4031">
        <f>IF(B4031,SQRT(-2*LN(F4031))*COS(2*PI()*G4031),"")</f>
        <v/>
      </c>
      <c r="I4031">
        <f>IF(B4031,IF(D4031=0,H4031,Rho*I4030+SQRT(1-Rho^2)*H4031),"")</f>
        <v/>
      </c>
      <c r="J4031">
        <f>IF(B4031,IF(Dist="Normal",DistA+DistB*I4031,DistA+(DistB-DistA)*NORMSDIST(I4031)),"")</f>
        <v/>
      </c>
      <c r="K4031">
        <f>IF(B4031,INDEX(MineScale,C4031),"")</f>
        <v/>
      </c>
      <c r="L4031">
        <f>IF(B4031,INDEX(Dow,1,WEEKDAY(E4031,2)),"")</f>
        <v/>
      </c>
      <c r="M4031">
        <f>IF(B4031,(1+Trend)^D4031,"")</f>
        <v/>
      </c>
      <c r="N4031">
        <f>IF(B4031,EXP(SUMPRODUCT(LN(1+(EvEff-1)*INDEX(Affected,0,C4031)*EXP(-((E4031-EvCenter)^2)/(2*EvSigma^2))))),"")</f>
        <v/>
      </c>
      <c r="O4031">
        <f>IF(B4031,ROUND(MAX(0,J4031*K4031*L4031*M4031*N4031),2),"")</f>
        <v/>
      </c>
    </row>
    <row r="4032">
      <c r="A4032" t="n">
        <v>4031</v>
      </c>
      <c r="B4032">
        <f>A4032&lt;=MineCount*Days</f>
        <v/>
      </c>
      <c r="C4032">
        <f>IF(B4032,INT((A4032-1)/Days)+1,"")</f>
        <v/>
      </c>
      <c r="D4032">
        <f>IF(B4032,MOD(A4032-1,Days),"")</f>
        <v/>
      </c>
      <c r="E4032" s="16">
        <f>IF(B4032,StartDate+D4032,"")</f>
        <v/>
      </c>
      <c r="F4032">
        <f>IF(B4032,MAX(MOD(SIN(Seed*0.1373+C4032*12.9898+D4032*78.233)*43758.5453,1),1E-9),"")</f>
        <v/>
      </c>
      <c r="G4032">
        <f>IF(B4032,MOD(SIN(Seed*0.5917+C4032*39.3468+D4032*11.135)*24634.6345,1),"")</f>
        <v/>
      </c>
      <c r="H4032">
        <f>IF(B4032,SQRT(-2*LN(F4032))*COS(2*PI()*G4032),"")</f>
        <v/>
      </c>
      <c r="I4032">
        <f>IF(B4032,IF(D4032=0,H4032,Rho*I4031+SQRT(1-Rho^2)*H4032),"")</f>
        <v/>
      </c>
      <c r="J4032">
        <f>IF(B4032,IF(Dist="Normal",DistA+DistB*I4032,DistA+(DistB-DistA)*NORMSDIST(I4032)),"")</f>
        <v/>
      </c>
      <c r="K4032">
        <f>IF(B4032,INDEX(MineScale,C4032),"")</f>
        <v/>
      </c>
      <c r="L4032">
        <f>IF(B4032,INDEX(Dow,1,WEEKDAY(E4032,2)),"")</f>
        <v/>
      </c>
      <c r="M4032">
        <f>IF(B4032,(1+Trend)^D4032,"")</f>
        <v/>
      </c>
      <c r="N4032">
        <f>IF(B4032,EXP(SUMPRODUCT(LN(1+(EvEff-1)*INDEX(Affected,0,C4032)*EXP(-((E4032-EvCenter)^2)/(2*EvSigma^2))))),"")</f>
        <v/>
      </c>
      <c r="O4032">
        <f>IF(B4032,ROUND(MAX(0,J4032*K4032*L4032*M4032*N4032),2),"")</f>
        <v/>
      </c>
    </row>
    <row r="4033">
      <c r="A4033" t="n">
        <v>4032</v>
      </c>
      <c r="B4033">
        <f>A4033&lt;=MineCount*Days</f>
        <v/>
      </c>
      <c r="C4033">
        <f>IF(B4033,INT((A4033-1)/Days)+1,"")</f>
        <v/>
      </c>
      <c r="D4033">
        <f>IF(B4033,MOD(A4033-1,Days),"")</f>
        <v/>
      </c>
      <c r="E4033" s="16">
        <f>IF(B4033,StartDate+D4033,"")</f>
        <v/>
      </c>
      <c r="F4033">
        <f>IF(B4033,MAX(MOD(SIN(Seed*0.1373+C4033*12.9898+D4033*78.233)*43758.5453,1),1E-9),"")</f>
        <v/>
      </c>
      <c r="G4033">
        <f>IF(B4033,MOD(SIN(Seed*0.5917+C4033*39.3468+D4033*11.135)*24634.6345,1),"")</f>
        <v/>
      </c>
      <c r="H4033">
        <f>IF(B4033,SQRT(-2*LN(F4033))*COS(2*PI()*G4033),"")</f>
        <v/>
      </c>
      <c r="I4033">
        <f>IF(B4033,IF(D4033=0,H4033,Rho*I4032+SQRT(1-Rho^2)*H4033),"")</f>
        <v/>
      </c>
      <c r="J4033">
        <f>IF(B4033,IF(Dist="Normal",DistA+DistB*I4033,DistA+(DistB-DistA)*NORMSDIST(I4033)),"")</f>
        <v/>
      </c>
      <c r="K4033">
        <f>IF(B4033,INDEX(MineScale,C4033),"")</f>
        <v/>
      </c>
      <c r="L4033">
        <f>IF(B4033,INDEX(Dow,1,WEEKDAY(E4033,2)),"")</f>
        <v/>
      </c>
      <c r="M4033">
        <f>IF(B4033,(1+Trend)^D4033,"")</f>
        <v/>
      </c>
      <c r="N4033">
        <f>IF(B4033,EXP(SUMPRODUCT(LN(1+(EvEff-1)*INDEX(Affected,0,C4033)*EXP(-((E4033-EvCenter)^2)/(2*EvSigma^2))))),"")</f>
        <v/>
      </c>
      <c r="O4033">
        <f>IF(B4033,ROUND(MAX(0,J4033*K4033*L4033*M4033*N4033),2),"")</f>
        <v/>
      </c>
    </row>
    <row r="4034">
      <c r="A4034" t="n">
        <v>4033</v>
      </c>
      <c r="B4034">
        <f>A4034&lt;=MineCount*Days</f>
        <v/>
      </c>
      <c r="C4034">
        <f>IF(B4034,INT((A4034-1)/Days)+1,"")</f>
        <v/>
      </c>
      <c r="D4034">
        <f>IF(B4034,MOD(A4034-1,Days),"")</f>
        <v/>
      </c>
      <c r="E4034" s="16">
        <f>IF(B4034,StartDate+D4034,"")</f>
        <v/>
      </c>
      <c r="F4034">
        <f>IF(B4034,MAX(MOD(SIN(Seed*0.1373+C4034*12.9898+D4034*78.233)*43758.5453,1),1E-9),"")</f>
        <v/>
      </c>
      <c r="G4034">
        <f>IF(B4034,MOD(SIN(Seed*0.5917+C4034*39.3468+D4034*11.135)*24634.6345,1),"")</f>
        <v/>
      </c>
      <c r="H4034">
        <f>IF(B4034,SQRT(-2*LN(F4034))*COS(2*PI()*G4034),"")</f>
        <v/>
      </c>
      <c r="I4034">
        <f>IF(B4034,IF(D4034=0,H4034,Rho*I4033+SQRT(1-Rho^2)*H4034),"")</f>
        <v/>
      </c>
      <c r="J4034">
        <f>IF(B4034,IF(Dist="Normal",DistA+DistB*I4034,DistA+(DistB-DistA)*NORMSDIST(I4034)),"")</f>
        <v/>
      </c>
      <c r="K4034">
        <f>IF(B4034,INDEX(MineScale,C4034),"")</f>
        <v/>
      </c>
      <c r="L4034">
        <f>IF(B4034,INDEX(Dow,1,WEEKDAY(E4034,2)),"")</f>
        <v/>
      </c>
      <c r="M4034">
        <f>IF(B4034,(1+Trend)^D4034,"")</f>
        <v/>
      </c>
      <c r="N4034">
        <f>IF(B4034,EXP(SUMPRODUCT(LN(1+(EvEff-1)*INDEX(Affected,0,C4034)*EXP(-((E4034-EvCenter)^2)/(2*EvSigma^2))))),"")</f>
        <v/>
      </c>
      <c r="O4034">
        <f>IF(B4034,ROUND(MAX(0,J4034*K4034*L4034*M4034*N4034),2),"")</f>
        <v/>
      </c>
    </row>
    <row r="4035">
      <c r="A4035" t="n">
        <v>4034</v>
      </c>
      <c r="B4035">
        <f>A4035&lt;=MineCount*Days</f>
        <v/>
      </c>
      <c r="C4035">
        <f>IF(B4035,INT((A4035-1)/Days)+1,"")</f>
        <v/>
      </c>
      <c r="D4035">
        <f>IF(B4035,MOD(A4035-1,Days),"")</f>
        <v/>
      </c>
      <c r="E4035" s="16">
        <f>IF(B4035,StartDate+D4035,"")</f>
        <v/>
      </c>
      <c r="F4035">
        <f>IF(B4035,MAX(MOD(SIN(Seed*0.1373+C4035*12.9898+D4035*78.233)*43758.5453,1),1E-9),"")</f>
        <v/>
      </c>
      <c r="G4035">
        <f>IF(B4035,MOD(SIN(Seed*0.5917+C4035*39.3468+D4035*11.135)*24634.6345,1),"")</f>
        <v/>
      </c>
      <c r="H4035">
        <f>IF(B4035,SQRT(-2*LN(F4035))*COS(2*PI()*G4035),"")</f>
        <v/>
      </c>
      <c r="I4035">
        <f>IF(B4035,IF(D4035=0,H4035,Rho*I4034+SQRT(1-Rho^2)*H4035),"")</f>
        <v/>
      </c>
      <c r="J4035">
        <f>IF(B4035,IF(Dist="Normal",DistA+DistB*I4035,DistA+(DistB-DistA)*NORMSDIST(I4035)),"")</f>
        <v/>
      </c>
      <c r="K4035">
        <f>IF(B4035,INDEX(MineScale,C4035),"")</f>
        <v/>
      </c>
      <c r="L4035">
        <f>IF(B4035,INDEX(Dow,1,WEEKDAY(E4035,2)),"")</f>
        <v/>
      </c>
      <c r="M4035">
        <f>IF(B4035,(1+Trend)^D4035,"")</f>
        <v/>
      </c>
      <c r="N4035">
        <f>IF(B4035,EXP(SUMPRODUCT(LN(1+(EvEff-1)*INDEX(Affected,0,C4035)*EXP(-((E4035-EvCenter)^2)/(2*EvSigma^2))))),"")</f>
        <v/>
      </c>
      <c r="O4035">
        <f>IF(B4035,ROUND(MAX(0,J4035*K4035*L4035*M4035*N4035),2),"")</f>
        <v/>
      </c>
    </row>
    <row r="4036">
      <c r="A4036" t="n">
        <v>4035</v>
      </c>
      <c r="B4036">
        <f>A4036&lt;=MineCount*Days</f>
        <v/>
      </c>
      <c r="C4036">
        <f>IF(B4036,INT((A4036-1)/Days)+1,"")</f>
        <v/>
      </c>
      <c r="D4036">
        <f>IF(B4036,MOD(A4036-1,Days),"")</f>
        <v/>
      </c>
      <c r="E4036" s="16">
        <f>IF(B4036,StartDate+D4036,"")</f>
        <v/>
      </c>
      <c r="F4036">
        <f>IF(B4036,MAX(MOD(SIN(Seed*0.1373+C4036*12.9898+D4036*78.233)*43758.5453,1),1E-9),"")</f>
        <v/>
      </c>
      <c r="G4036">
        <f>IF(B4036,MOD(SIN(Seed*0.5917+C4036*39.3468+D4036*11.135)*24634.6345,1),"")</f>
        <v/>
      </c>
      <c r="H4036">
        <f>IF(B4036,SQRT(-2*LN(F4036))*COS(2*PI()*G4036),"")</f>
        <v/>
      </c>
      <c r="I4036">
        <f>IF(B4036,IF(D4036=0,H4036,Rho*I4035+SQRT(1-Rho^2)*H4036),"")</f>
        <v/>
      </c>
      <c r="J4036">
        <f>IF(B4036,IF(Dist="Normal",DistA+DistB*I4036,DistA+(DistB-DistA)*NORMSDIST(I4036)),"")</f>
        <v/>
      </c>
      <c r="K4036">
        <f>IF(B4036,INDEX(MineScale,C4036),"")</f>
        <v/>
      </c>
      <c r="L4036">
        <f>IF(B4036,INDEX(Dow,1,WEEKDAY(E4036,2)),"")</f>
        <v/>
      </c>
      <c r="M4036">
        <f>IF(B4036,(1+Trend)^D4036,"")</f>
        <v/>
      </c>
      <c r="N4036">
        <f>IF(B4036,EXP(SUMPRODUCT(LN(1+(EvEff-1)*INDEX(Affected,0,C4036)*EXP(-((E4036-EvCenter)^2)/(2*EvSigma^2))))),"")</f>
        <v/>
      </c>
      <c r="O4036">
        <f>IF(B4036,ROUND(MAX(0,J4036*K4036*L4036*M4036*N4036),2),"")</f>
        <v/>
      </c>
    </row>
    <row r="4037">
      <c r="A4037" t="n">
        <v>4036</v>
      </c>
      <c r="B4037">
        <f>A4037&lt;=MineCount*Days</f>
        <v/>
      </c>
      <c r="C4037">
        <f>IF(B4037,INT((A4037-1)/Days)+1,"")</f>
        <v/>
      </c>
      <c r="D4037">
        <f>IF(B4037,MOD(A4037-1,Days),"")</f>
        <v/>
      </c>
      <c r="E4037" s="16">
        <f>IF(B4037,StartDate+D4037,"")</f>
        <v/>
      </c>
      <c r="F4037">
        <f>IF(B4037,MAX(MOD(SIN(Seed*0.1373+C4037*12.9898+D4037*78.233)*43758.5453,1),1E-9),"")</f>
        <v/>
      </c>
      <c r="G4037">
        <f>IF(B4037,MOD(SIN(Seed*0.5917+C4037*39.3468+D4037*11.135)*24634.6345,1),"")</f>
        <v/>
      </c>
      <c r="H4037">
        <f>IF(B4037,SQRT(-2*LN(F4037))*COS(2*PI()*G4037),"")</f>
        <v/>
      </c>
      <c r="I4037">
        <f>IF(B4037,IF(D4037=0,H4037,Rho*I4036+SQRT(1-Rho^2)*H4037),"")</f>
        <v/>
      </c>
      <c r="J4037">
        <f>IF(B4037,IF(Dist="Normal",DistA+DistB*I4037,DistA+(DistB-DistA)*NORMSDIST(I4037)),"")</f>
        <v/>
      </c>
      <c r="K4037">
        <f>IF(B4037,INDEX(MineScale,C4037),"")</f>
        <v/>
      </c>
      <c r="L4037">
        <f>IF(B4037,INDEX(Dow,1,WEEKDAY(E4037,2)),"")</f>
        <v/>
      </c>
      <c r="M4037">
        <f>IF(B4037,(1+Trend)^D4037,"")</f>
        <v/>
      </c>
      <c r="N4037">
        <f>IF(B4037,EXP(SUMPRODUCT(LN(1+(EvEff-1)*INDEX(Affected,0,C4037)*EXP(-((E4037-EvCenter)^2)/(2*EvSigma^2))))),"")</f>
        <v/>
      </c>
      <c r="O4037">
        <f>IF(B4037,ROUND(MAX(0,J4037*K4037*L4037*M4037*N4037),2),"")</f>
        <v/>
      </c>
    </row>
    <row r="4038">
      <c r="A4038" t="n">
        <v>4037</v>
      </c>
      <c r="B4038">
        <f>A4038&lt;=MineCount*Days</f>
        <v/>
      </c>
      <c r="C4038">
        <f>IF(B4038,INT((A4038-1)/Days)+1,"")</f>
        <v/>
      </c>
      <c r="D4038">
        <f>IF(B4038,MOD(A4038-1,Days),"")</f>
        <v/>
      </c>
      <c r="E4038" s="16">
        <f>IF(B4038,StartDate+D4038,"")</f>
        <v/>
      </c>
      <c r="F4038">
        <f>IF(B4038,MAX(MOD(SIN(Seed*0.1373+C4038*12.9898+D4038*78.233)*43758.5453,1),1E-9),"")</f>
        <v/>
      </c>
      <c r="G4038">
        <f>IF(B4038,MOD(SIN(Seed*0.5917+C4038*39.3468+D4038*11.135)*24634.6345,1),"")</f>
        <v/>
      </c>
      <c r="H4038">
        <f>IF(B4038,SQRT(-2*LN(F4038))*COS(2*PI()*G4038),"")</f>
        <v/>
      </c>
      <c r="I4038">
        <f>IF(B4038,IF(D4038=0,H4038,Rho*I4037+SQRT(1-Rho^2)*H4038),"")</f>
        <v/>
      </c>
      <c r="J4038">
        <f>IF(B4038,IF(Dist="Normal",DistA+DistB*I4038,DistA+(DistB-DistA)*NORMSDIST(I4038)),"")</f>
        <v/>
      </c>
      <c r="K4038">
        <f>IF(B4038,INDEX(MineScale,C4038),"")</f>
        <v/>
      </c>
      <c r="L4038">
        <f>IF(B4038,INDEX(Dow,1,WEEKDAY(E4038,2)),"")</f>
        <v/>
      </c>
      <c r="M4038">
        <f>IF(B4038,(1+Trend)^D4038,"")</f>
        <v/>
      </c>
      <c r="N4038">
        <f>IF(B4038,EXP(SUMPRODUCT(LN(1+(EvEff-1)*INDEX(Affected,0,C4038)*EXP(-((E4038-EvCenter)^2)/(2*EvSigma^2))))),"")</f>
        <v/>
      </c>
      <c r="O4038">
        <f>IF(B4038,ROUND(MAX(0,J4038*K4038*L4038*M4038*N4038),2),"")</f>
        <v/>
      </c>
    </row>
    <row r="4039">
      <c r="A4039" t="n">
        <v>4038</v>
      </c>
      <c r="B4039">
        <f>A4039&lt;=MineCount*Days</f>
        <v/>
      </c>
      <c r="C4039">
        <f>IF(B4039,INT((A4039-1)/Days)+1,"")</f>
        <v/>
      </c>
      <c r="D4039">
        <f>IF(B4039,MOD(A4039-1,Days),"")</f>
        <v/>
      </c>
      <c r="E4039" s="16">
        <f>IF(B4039,StartDate+D4039,"")</f>
        <v/>
      </c>
      <c r="F4039">
        <f>IF(B4039,MAX(MOD(SIN(Seed*0.1373+C4039*12.9898+D4039*78.233)*43758.5453,1),1E-9),"")</f>
        <v/>
      </c>
      <c r="G4039">
        <f>IF(B4039,MOD(SIN(Seed*0.5917+C4039*39.3468+D4039*11.135)*24634.6345,1),"")</f>
        <v/>
      </c>
      <c r="H4039">
        <f>IF(B4039,SQRT(-2*LN(F4039))*COS(2*PI()*G4039),"")</f>
        <v/>
      </c>
      <c r="I4039">
        <f>IF(B4039,IF(D4039=0,H4039,Rho*I4038+SQRT(1-Rho^2)*H4039),"")</f>
        <v/>
      </c>
      <c r="J4039">
        <f>IF(B4039,IF(Dist="Normal",DistA+DistB*I4039,DistA+(DistB-DistA)*NORMSDIST(I4039)),"")</f>
        <v/>
      </c>
      <c r="K4039">
        <f>IF(B4039,INDEX(MineScale,C4039),"")</f>
        <v/>
      </c>
      <c r="L4039">
        <f>IF(B4039,INDEX(Dow,1,WEEKDAY(E4039,2)),"")</f>
        <v/>
      </c>
      <c r="M4039">
        <f>IF(B4039,(1+Trend)^D4039,"")</f>
        <v/>
      </c>
      <c r="N4039">
        <f>IF(B4039,EXP(SUMPRODUCT(LN(1+(EvEff-1)*INDEX(Affected,0,C4039)*EXP(-((E4039-EvCenter)^2)/(2*EvSigma^2))))),"")</f>
        <v/>
      </c>
      <c r="O4039">
        <f>IF(B4039,ROUND(MAX(0,J4039*K4039*L4039*M4039*N4039),2),"")</f>
        <v/>
      </c>
    </row>
    <row r="4040">
      <c r="A4040" t="n">
        <v>4039</v>
      </c>
      <c r="B4040">
        <f>A4040&lt;=MineCount*Days</f>
        <v/>
      </c>
      <c r="C4040">
        <f>IF(B4040,INT((A4040-1)/Days)+1,"")</f>
        <v/>
      </c>
      <c r="D4040">
        <f>IF(B4040,MOD(A4040-1,Days),"")</f>
        <v/>
      </c>
      <c r="E4040" s="16">
        <f>IF(B4040,StartDate+D4040,"")</f>
        <v/>
      </c>
      <c r="F4040">
        <f>IF(B4040,MAX(MOD(SIN(Seed*0.1373+C4040*12.9898+D4040*78.233)*43758.5453,1),1E-9),"")</f>
        <v/>
      </c>
      <c r="G4040">
        <f>IF(B4040,MOD(SIN(Seed*0.5917+C4040*39.3468+D4040*11.135)*24634.6345,1),"")</f>
        <v/>
      </c>
      <c r="H4040">
        <f>IF(B4040,SQRT(-2*LN(F4040))*COS(2*PI()*G4040),"")</f>
        <v/>
      </c>
      <c r="I4040">
        <f>IF(B4040,IF(D4040=0,H4040,Rho*I4039+SQRT(1-Rho^2)*H4040),"")</f>
        <v/>
      </c>
      <c r="J4040">
        <f>IF(B4040,IF(Dist="Normal",DistA+DistB*I4040,DistA+(DistB-DistA)*NORMSDIST(I4040)),"")</f>
        <v/>
      </c>
      <c r="K4040">
        <f>IF(B4040,INDEX(MineScale,C4040),"")</f>
        <v/>
      </c>
      <c r="L4040">
        <f>IF(B4040,INDEX(Dow,1,WEEKDAY(E4040,2)),"")</f>
        <v/>
      </c>
      <c r="M4040">
        <f>IF(B4040,(1+Trend)^D4040,"")</f>
        <v/>
      </c>
      <c r="N4040">
        <f>IF(B4040,EXP(SUMPRODUCT(LN(1+(EvEff-1)*INDEX(Affected,0,C4040)*EXP(-((E4040-EvCenter)^2)/(2*EvSigma^2))))),"")</f>
        <v/>
      </c>
      <c r="O4040">
        <f>IF(B4040,ROUND(MAX(0,J4040*K4040*L4040*M4040*N4040),2),"")</f>
        <v/>
      </c>
    </row>
    <row r="4041">
      <c r="A4041" t="n">
        <v>4040</v>
      </c>
      <c r="B4041">
        <f>A4041&lt;=MineCount*Days</f>
        <v/>
      </c>
      <c r="C4041">
        <f>IF(B4041,INT((A4041-1)/Days)+1,"")</f>
        <v/>
      </c>
      <c r="D4041">
        <f>IF(B4041,MOD(A4041-1,Days),"")</f>
        <v/>
      </c>
      <c r="E4041" s="16">
        <f>IF(B4041,StartDate+D4041,"")</f>
        <v/>
      </c>
      <c r="F4041">
        <f>IF(B4041,MAX(MOD(SIN(Seed*0.1373+C4041*12.9898+D4041*78.233)*43758.5453,1),1E-9),"")</f>
        <v/>
      </c>
      <c r="G4041">
        <f>IF(B4041,MOD(SIN(Seed*0.5917+C4041*39.3468+D4041*11.135)*24634.6345,1),"")</f>
        <v/>
      </c>
      <c r="H4041">
        <f>IF(B4041,SQRT(-2*LN(F4041))*COS(2*PI()*G4041),"")</f>
        <v/>
      </c>
      <c r="I4041">
        <f>IF(B4041,IF(D4041=0,H4041,Rho*I4040+SQRT(1-Rho^2)*H4041),"")</f>
        <v/>
      </c>
      <c r="J4041">
        <f>IF(B4041,IF(Dist="Normal",DistA+DistB*I4041,DistA+(DistB-DistA)*NORMSDIST(I4041)),"")</f>
        <v/>
      </c>
      <c r="K4041">
        <f>IF(B4041,INDEX(MineScale,C4041),"")</f>
        <v/>
      </c>
      <c r="L4041">
        <f>IF(B4041,INDEX(Dow,1,WEEKDAY(E4041,2)),"")</f>
        <v/>
      </c>
      <c r="M4041">
        <f>IF(B4041,(1+Trend)^D4041,"")</f>
        <v/>
      </c>
      <c r="N4041">
        <f>IF(B4041,EXP(SUMPRODUCT(LN(1+(EvEff-1)*INDEX(Affected,0,C4041)*EXP(-((E4041-EvCenter)^2)/(2*EvSigma^2))))),"")</f>
        <v/>
      </c>
      <c r="O4041">
        <f>IF(B4041,ROUND(MAX(0,J4041*K4041*L4041*M4041*N4041),2),"")</f>
        <v/>
      </c>
    </row>
    <row r="4042">
      <c r="A4042" t="n">
        <v>4041</v>
      </c>
      <c r="B4042">
        <f>A4042&lt;=MineCount*Days</f>
        <v/>
      </c>
      <c r="C4042">
        <f>IF(B4042,INT((A4042-1)/Days)+1,"")</f>
        <v/>
      </c>
      <c r="D4042">
        <f>IF(B4042,MOD(A4042-1,Days),"")</f>
        <v/>
      </c>
      <c r="E4042" s="16">
        <f>IF(B4042,StartDate+D4042,"")</f>
        <v/>
      </c>
      <c r="F4042">
        <f>IF(B4042,MAX(MOD(SIN(Seed*0.1373+C4042*12.9898+D4042*78.233)*43758.5453,1),1E-9),"")</f>
        <v/>
      </c>
      <c r="G4042">
        <f>IF(B4042,MOD(SIN(Seed*0.5917+C4042*39.3468+D4042*11.135)*24634.6345,1),"")</f>
        <v/>
      </c>
      <c r="H4042">
        <f>IF(B4042,SQRT(-2*LN(F4042))*COS(2*PI()*G4042),"")</f>
        <v/>
      </c>
      <c r="I4042">
        <f>IF(B4042,IF(D4042=0,H4042,Rho*I4041+SQRT(1-Rho^2)*H4042),"")</f>
        <v/>
      </c>
      <c r="J4042">
        <f>IF(B4042,IF(Dist="Normal",DistA+DistB*I4042,DistA+(DistB-DistA)*NORMSDIST(I4042)),"")</f>
        <v/>
      </c>
      <c r="K4042">
        <f>IF(B4042,INDEX(MineScale,C4042),"")</f>
        <v/>
      </c>
      <c r="L4042">
        <f>IF(B4042,INDEX(Dow,1,WEEKDAY(E4042,2)),"")</f>
        <v/>
      </c>
      <c r="M4042">
        <f>IF(B4042,(1+Trend)^D4042,"")</f>
        <v/>
      </c>
      <c r="N4042">
        <f>IF(B4042,EXP(SUMPRODUCT(LN(1+(EvEff-1)*INDEX(Affected,0,C4042)*EXP(-((E4042-EvCenter)^2)/(2*EvSigma^2))))),"")</f>
        <v/>
      </c>
      <c r="O4042">
        <f>IF(B4042,ROUND(MAX(0,J4042*K4042*L4042*M4042*N4042),2),"")</f>
        <v/>
      </c>
    </row>
    <row r="4043">
      <c r="A4043" t="n">
        <v>4042</v>
      </c>
      <c r="B4043">
        <f>A4043&lt;=MineCount*Days</f>
        <v/>
      </c>
      <c r="C4043">
        <f>IF(B4043,INT((A4043-1)/Days)+1,"")</f>
        <v/>
      </c>
      <c r="D4043">
        <f>IF(B4043,MOD(A4043-1,Days),"")</f>
        <v/>
      </c>
      <c r="E4043" s="16">
        <f>IF(B4043,StartDate+D4043,"")</f>
        <v/>
      </c>
      <c r="F4043">
        <f>IF(B4043,MAX(MOD(SIN(Seed*0.1373+C4043*12.9898+D4043*78.233)*43758.5453,1),1E-9),"")</f>
        <v/>
      </c>
      <c r="G4043">
        <f>IF(B4043,MOD(SIN(Seed*0.5917+C4043*39.3468+D4043*11.135)*24634.6345,1),"")</f>
        <v/>
      </c>
      <c r="H4043">
        <f>IF(B4043,SQRT(-2*LN(F4043))*COS(2*PI()*G4043),"")</f>
        <v/>
      </c>
      <c r="I4043">
        <f>IF(B4043,IF(D4043=0,H4043,Rho*I4042+SQRT(1-Rho^2)*H4043),"")</f>
        <v/>
      </c>
      <c r="J4043">
        <f>IF(B4043,IF(Dist="Normal",DistA+DistB*I4043,DistA+(DistB-DistA)*NORMSDIST(I4043)),"")</f>
        <v/>
      </c>
      <c r="K4043">
        <f>IF(B4043,INDEX(MineScale,C4043),"")</f>
        <v/>
      </c>
      <c r="L4043">
        <f>IF(B4043,INDEX(Dow,1,WEEKDAY(E4043,2)),"")</f>
        <v/>
      </c>
      <c r="M4043">
        <f>IF(B4043,(1+Trend)^D4043,"")</f>
        <v/>
      </c>
      <c r="N4043">
        <f>IF(B4043,EXP(SUMPRODUCT(LN(1+(EvEff-1)*INDEX(Affected,0,C4043)*EXP(-((E4043-EvCenter)^2)/(2*EvSigma^2))))),"")</f>
        <v/>
      </c>
      <c r="O4043">
        <f>IF(B4043,ROUND(MAX(0,J4043*K4043*L4043*M4043*N4043),2),"")</f>
        <v/>
      </c>
    </row>
    <row r="4044">
      <c r="A4044" t="n">
        <v>4043</v>
      </c>
      <c r="B4044">
        <f>A4044&lt;=MineCount*Days</f>
        <v/>
      </c>
      <c r="C4044">
        <f>IF(B4044,INT((A4044-1)/Days)+1,"")</f>
        <v/>
      </c>
      <c r="D4044">
        <f>IF(B4044,MOD(A4044-1,Days),"")</f>
        <v/>
      </c>
      <c r="E4044" s="16">
        <f>IF(B4044,StartDate+D4044,"")</f>
        <v/>
      </c>
      <c r="F4044">
        <f>IF(B4044,MAX(MOD(SIN(Seed*0.1373+C4044*12.9898+D4044*78.233)*43758.5453,1),1E-9),"")</f>
        <v/>
      </c>
      <c r="G4044">
        <f>IF(B4044,MOD(SIN(Seed*0.5917+C4044*39.3468+D4044*11.135)*24634.6345,1),"")</f>
        <v/>
      </c>
      <c r="H4044">
        <f>IF(B4044,SQRT(-2*LN(F4044))*COS(2*PI()*G4044),"")</f>
        <v/>
      </c>
      <c r="I4044">
        <f>IF(B4044,IF(D4044=0,H4044,Rho*I4043+SQRT(1-Rho^2)*H4044),"")</f>
        <v/>
      </c>
      <c r="J4044">
        <f>IF(B4044,IF(Dist="Normal",DistA+DistB*I4044,DistA+(DistB-DistA)*NORMSDIST(I4044)),"")</f>
        <v/>
      </c>
      <c r="K4044">
        <f>IF(B4044,INDEX(MineScale,C4044),"")</f>
        <v/>
      </c>
      <c r="L4044">
        <f>IF(B4044,INDEX(Dow,1,WEEKDAY(E4044,2)),"")</f>
        <v/>
      </c>
      <c r="M4044">
        <f>IF(B4044,(1+Trend)^D4044,"")</f>
        <v/>
      </c>
      <c r="N4044">
        <f>IF(B4044,EXP(SUMPRODUCT(LN(1+(EvEff-1)*INDEX(Affected,0,C4044)*EXP(-((E4044-EvCenter)^2)/(2*EvSigma^2))))),"")</f>
        <v/>
      </c>
      <c r="O4044">
        <f>IF(B4044,ROUND(MAX(0,J4044*K4044*L4044*M4044*N4044),2),"")</f>
        <v/>
      </c>
    </row>
    <row r="4045">
      <c r="A4045" t="n">
        <v>4044</v>
      </c>
      <c r="B4045">
        <f>A4045&lt;=MineCount*Days</f>
        <v/>
      </c>
      <c r="C4045">
        <f>IF(B4045,INT((A4045-1)/Days)+1,"")</f>
        <v/>
      </c>
      <c r="D4045">
        <f>IF(B4045,MOD(A4045-1,Days),"")</f>
        <v/>
      </c>
      <c r="E4045" s="16">
        <f>IF(B4045,StartDate+D4045,"")</f>
        <v/>
      </c>
      <c r="F4045">
        <f>IF(B4045,MAX(MOD(SIN(Seed*0.1373+C4045*12.9898+D4045*78.233)*43758.5453,1),1E-9),"")</f>
        <v/>
      </c>
      <c r="G4045">
        <f>IF(B4045,MOD(SIN(Seed*0.5917+C4045*39.3468+D4045*11.135)*24634.6345,1),"")</f>
        <v/>
      </c>
      <c r="H4045">
        <f>IF(B4045,SQRT(-2*LN(F4045))*COS(2*PI()*G4045),"")</f>
        <v/>
      </c>
      <c r="I4045">
        <f>IF(B4045,IF(D4045=0,H4045,Rho*I4044+SQRT(1-Rho^2)*H4045),"")</f>
        <v/>
      </c>
      <c r="J4045">
        <f>IF(B4045,IF(Dist="Normal",DistA+DistB*I4045,DistA+(DistB-DistA)*NORMSDIST(I4045)),"")</f>
        <v/>
      </c>
      <c r="K4045">
        <f>IF(B4045,INDEX(MineScale,C4045),"")</f>
        <v/>
      </c>
      <c r="L4045">
        <f>IF(B4045,INDEX(Dow,1,WEEKDAY(E4045,2)),"")</f>
        <v/>
      </c>
      <c r="M4045">
        <f>IF(B4045,(1+Trend)^D4045,"")</f>
        <v/>
      </c>
      <c r="N4045">
        <f>IF(B4045,EXP(SUMPRODUCT(LN(1+(EvEff-1)*INDEX(Affected,0,C4045)*EXP(-((E4045-EvCenter)^2)/(2*EvSigma^2))))),"")</f>
        <v/>
      </c>
      <c r="O4045">
        <f>IF(B4045,ROUND(MAX(0,J4045*K4045*L4045*M4045*N4045),2),"")</f>
        <v/>
      </c>
    </row>
    <row r="4046">
      <c r="A4046" t="n">
        <v>4045</v>
      </c>
      <c r="B4046">
        <f>A4046&lt;=MineCount*Days</f>
        <v/>
      </c>
      <c r="C4046">
        <f>IF(B4046,INT((A4046-1)/Days)+1,"")</f>
        <v/>
      </c>
      <c r="D4046">
        <f>IF(B4046,MOD(A4046-1,Days),"")</f>
        <v/>
      </c>
      <c r="E4046" s="16">
        <f>IF(B4046,StartDate+D4046,"")</f>
        <v/>
      </c>
      <c r="F4046">
        <f>IF(B4046,MAX(MOD(SIN(Seed*0.1373+C4046*12.9898+D4046*78.233)*43758.5453,1),1E-9),"")</f>
        <v/>
      </c>
      <c r="G4046">
        <f>IF(B4046,MOD(SIN(Seed*0.5917+C4046*39.3468+D4046*11.135)*24634.6345,1),"")</f>
        <v/>
      </c>
      <c r="H4046">
        <f>IF(B4046,SQRT(-2*LN(F4046))*COS(2*PI()*G4046),"")</f>
        <v/>
      </c>
      <c r="I4046">
        <f>IF(B4046,IF(D4046=0,H4046,Rho*I4045+SQRT(1-Rho^2)*H4046),"")</f>
        <v/>
      </c>
      <c r="J4046">
        <f>IF(B4046,IF(Dist="Normal",DistA+DistB*I4046,DistA+(DistB-DistA)*NORMSDIST(I4046)),"")</f>
        <v/>
      </c>
      <c r="K4046">
        <f>IF(B4046,INDEX(MineScale,C4046),"")</f>
        <v/>
      </c>
      <c r="L4046">
        <f>IF(B4046,INDEX(Dow,1,WEEKDAY(E4046,2)),"")</f>
        <v/>
      </c>
      <c r="M4046">
        <f>IF(B4046,(1+Trend)^D4046,"")</f>
        <v/>
      </c>
      <c r="N4046">
        <f>IF(B4046,EXP(SUMPRODUCT(LN(1+(EvEff-1)*INDEX(Affected,0,C4046)*EXP(-((E4046-EvCenter)^2)/(2*EvSigma^2))))),"")</f>
        <v/>
      </c>
      <c r="O4046">
        <f>IF(B4046,ROUND(MAX(0,J4046*K4046*L4046*M4046*N4046),2),"")</f>
        <v/>
      </c>
    </row>
    <row r="4047">
      <c r="A4047" t="n">
        <v>4046</v>
      </c>
      <c r="B4047">
        <f>A4047&lt;=MineCount*Days</f>
        <v/>
      </c>
      <c r="C4047">
        <f>IF(B4047,INT((A4047-1)/Days)+1,"")</f>
        <v/>
      </c>
      <c r="D4047">
        <f>IF(B4047,MOD(A4047-1,Days),"")</f>
        <v/>
      </c>
      <c r="E4047" s="16">
        <f>IF(B4047,StartDate+D4047,"")</f>
        <v/>
      </c>
      <c r="F4047">
        <f>IF(B4047,MAX(MOD(SIN(Seed*0.1373+C4047*12.9898+D4047*78.233)*43758.5453,1),1E-9),"")</f>
        <v/>
      </c>
      <c r="G4047">
        <f>IF(B4047,MOD(SIN(Seed*0.5917+C4047*39.3468+D4047*11.135)*24634.6345,1),"")</f>
        <v/>
      </c>
      <c r="H4047">
        <f>IF(B4047,SQRT(-2*LN(F4047))*COS(2*PI()*G4047),"")</f>
        <v/>
      </c>
      <c r="I4047">
        <f>IF(B4047,IF(D4047=0,H4047,Rho*I4046+SQRT(1-Rho^2)*H4047),"")</f>
        <v/>
      </c>
      <c r="J4047">
        <f>IF(B4047,IF(Dist="Normal",DistA+DistB*I4047,DistA+(DistB-DistA)*NORMSDIST(I4047)),"")</f>
        <v/>
      </c>
      <c r="K4047">
        <f>IF(B4047,INDEX(MineScale,C4047),"")</f>
        <v/>
      </c>
      <c r="L4047">
        <f>IF(B4047,INDEX(Dow,1,WEEKDAY(E4047,2)),"")</f>
        <v/>
      </c>
      <c r="M4047">
        <f>IF(B4047,(1+Trend)^D4047,"")</f>
        <v/>
      </c>
      <c r="N4047">
        <f>IF(B4047,EXP(SUMPRODUCT(LN(1+(EvEff-1)*INDEX(Affected,0,C4047)*EXP(-((E4047-EvCenter)^2)/(2*EvSigma^2))))),"")</f>
        <v/>
      </c>
      <c r="O4047">
        <f>IF(B4047,ROUND(MAX(0,J4047*K4047*L4047*M4047*N4047),2),"")</f>
        <v/>
      </c>
    </row>
    <row r="4048">
      <c r="A4048" t="n">
        <v>4047</v>
      </c>
      <c r="B4048">
        <f>A4048&lt;=MineCount*Days</f>
        <v/>
      </c>
      <c r="C4048">
        <f>IF(B4048,INT((A4048-1)/Days)+1,"")</f>
        <v/>
      </c>
      <c r="D4048">
        <f>IF(B4048,MOD(A4048-1,Days),"")</f>
        <v/>
      </c>
      <c r="E4048" s="16">
        <f>IF(B4048,StartDate+D4048,"")</f>
        <v/>
      </c>
      <c r="F4048">
        <f>IF(B4048,MAX(MOD(SIN(Seed*0.1373+C4048*12.9898+D4048*78.233)*43758.5453,1),1E-9),"")</f>
        <v/>
      </c>
      <c r="G4048">
        <f>IF(B4048,MOD(SIN(Seed*0.5917+C4048*39.3468+D4048*11.135)*24634.6345,1),"")</f>
        <v/>
      </c>
      <c r="H4048">
        <f>IF(B4048,SQRT(-2*LN(F4048))*COS(2*PI()*G4048),"")</f>
        <v/>
      </c>
      <c r="I4048">
        <f>IF(B4048,IF(D4048=0,H4048,Rho*I4047+SQRT(1-Rho^2)*H4048),"")</f>
        <v/>
      </c>
      <c r="J4048">
        <f>IF(B4048,IF(Dist="Normal",DistA+DistB*I4048,DistA+(DistB-DistA)*NORMSDIST(I4048)),"")</f>
        <v/>
      </c>
      <c r="K4048">
        <f>IF(B4048,INDEX(MineScale,C4048),"")</f>
        <v/>
      </c>
      <c r="L4048">
        <f>IF(B4048,INDEX(Dow,1,WEEKDAY(E4048,2)),"")</f>
        <v/>
      </c>
      <c r="M4048">
        <f>IF(B4048,(1+Trend)^D4048,"")</f>
        <v/>
      </c>
      <c r="N4048">
        <f>IF(B4048,EXP(SUMPRODUCT(LN(1+(EvEff-1)*INDEX(Affected,0,C4048)*EXP(-((E4048-EvCenter)^2)/(2*EvSigma^2))))),"")</f>
        <v/>
      </c>
      <c r="O4048">
        <f>IF(B4048,ROUND(MAX(0,J4048*K4048*L4048*M4048*N4048),2),"")</f>
        <v/>
      </c>
    </row>
    <row r="4049">
      <c r="A4049" t="n">
        <v>4048</v>
      </c>
      <c r="B4049">
        <f>A4049&lt;=MineCount*Days</f>
        <v/>
      </c>
      <c r="C4049">
        <f>IF(B4049,INT((A4049-1)/Days)+1,"")</f>
        <v/>
      </c>
      <c r="D4049">
        <f>IF(B4049,MOD(A4049-1,Days),"")</f>
        <v/>
      </c>
      <c r="E4049" s="16">
        <f>IF(B4049,StartDate+D4049,"")</f>
        <v/>
      </c>
      <c r="F4049">
        <f>IF(B4049,MAX(MOD(SIN(Seed*0.1373+C4049*12.9898+D4049*78.233)*43758.5453,1),1E-9),"")</f>
        <v/>
      </c>
      <c r="G4049">
        <f>IF(B4049,MOD(SIN(Seed*0.5917+C4049*39.3468+D4049*11.135)*24634.6345,1),"")</f>
        <v/>
      </c>
      <c r="H4049">
        <f>IF(B4049,SQRT(-2*LN(F4049))*COS(2*PI()*G4049),"")</f>
        <v/>
      </c>
      <c r="I4049">
        <f>IF(B4049,IF(D4049=0,H4049,Rho*I4048+SQRT(1-Rho^2)*H4049),"")</f>
        <v/>
      </c>
      <c r="J4049">
        <f>IF(B4049,IF(Dist="Normal",DistA+DistB*I4049,DistA+(DistB-DistA)*NORMSDIST(I4049)),"")</f>
        <v/>
      </c>
      <c r="K4049">
        <f>IF(B4049,INDEX(MineScale,C4049),"")</f>
        <v/>
      </c>
      <c r="L4049">
        <f>IF(B4049,INDEX(Dow,1,WEEKDAY(E4049,2)),"")</f>
        <v/>
      </c>
      <c r="M4049">
        <f>IF(B4049,(1+Trend)^D4049,"")</f>
        <v/>
      </c>
      <c r="N4049">
        <f>IF(B4049,EXP(SUMPRODUCT(LN(1+(EvEff-1)*INDEX(Affected,0,C4049)*EXP(-((E4049-EvCenter)^2)/(2*EvSigma^2))))),"")</f>
        <v/>
      </c>
      <c r="O4049">
        <f>IF(B4049,ROUND(MAX(0,J4049*K4049*L4049*M4049*N4049),2),"")</f>
        <v/>
      </c>
    </row>
    <row r="4050">
      <c r="A4050" t="n">
        <v>4049</v>
      </c>
      <c r="B4050">
        <f>A4050&lt;=MineCount*Days</f>
        <v/>
      </c>
      <c r="C4050">
        <f>IF(B4050,INT((A4050-1)/Days)+1,"")</f>
        <v/>
      </c>
      <c r="D4050">
        <f>IF(B4050,MOD(A4050-1,Days),"")</f>
        <v/>
      </c>
      <c r="E4050" s="16">
        <f>IF(B4050,StartDate+D4050,"")</f>
        <v/>
      </c>
      <c r="F4050">
        <f>IF(B4050,MAX(MOD(SIN(Seed*0.1373+C4050*12.9898+D4050*78.233)*43758.5453,1),1E-9),"")</f>
        <v/>
      </c>
      <c r="G4050">
        <f>IF(B4050,MOD(SIN(Seed*0.5917+C4050*39.3468+D4050*11.135)*24634.6345,1),"")</f>
        <v/>
      </c>
      <c r="H4050">
        <f>IF(B4050,SQRT(-2*LN(F4050))*COS(2*PI()*G4050),"")</f>
        <v/>
      </c>
      <c r="I4050">
        <f>IF(B4050,IF(D4050=0,H4050,Rho*I4049+SQRT(1-Rho^2)*H4050),"")</f>
        <v/>
      </c>
      <c r="J4050">
        <f>IF(B4050,IF(Dist="Normal",DistA+DistB*I4050,DistA+(DistB-DistA)*NORMSDIST(I4050)),"")</f>
        <v/>
      </c>
      <c r="K4050">
        <f>IF(B4050,INDEX(MineScale,C4050),"")</f>
        <v/>
      </c>
      <c r="L4050">
        <f>IF(B4050,INDEX(Dow,1,WEEKDAY(E4050,2)),"")</f>
        <v/>
      </c>
      <c r="M4050">
        <f>IF(B4050,(1+Trend)^D4050,"")</f>
        <v/>
      </c>
      <c r="N4050">
        <f>IF(B4050,EXP(SUMPRODUCT(LN(1+(EvEff-1)*INDEX(Affected,0,C4050)*EXP(-((E4050-EvCenter)^2)/(2*EvSigma^2))))),"")</f>
        <v/>
      </c>
      <c r="O4050">
        <f>IF(B4050,ROUND(MAX(0,J4050*K4050*L4050*M4050*N4050),2),"")</f>
        <v/>
      </c>
    </row>
    <row r="4051">
      <c r="A4051" t="n">
        <v>4050</v>
      </c>
      <c r="B4051">
        <f>A4051&lt;=MineCount*Days</f>
        <v/>
      </c>
      <c r="C4051">
        <f>IF(B4051,INT((A4051-1)/Days)+1,"")</f>
        <v/>
      </c>
      <c r="D4051">
        <f>IF(B4051,MOD(A4051-1,Days),"")</f>
        <v/>
      </c>
      <c r="E4051" s="16">
        <f>IF(B4051,StartDate+D4051,"")</f>
        <v/>
      </c>
      <c r="F4051">
        <f>IF(B4051,MAX(MOD(SIN(Seed*0.1373+C4051*12.9898+D4051*78.233)*43758.5453,1),1E-9),"")</f>
        <v/>
      </c>
      <c r="G4051">
        <f>IF(B4051,MOD(SIN(Seed*0.5917+C4051*39.3468+D4051*11.135)*24634.6345,1),"")</f>
        <v/>
      </c>
      <c r="H4051">
        <f>IF(B4051,SQRT(-2*LN(F4051))*COS(2*PI()*G4051),"")</f>
        <v/>
      </c>
      <c r="I4051">
        <f>IF(B4051,IF(D4051=0,H4051,Rho*I4050+SQRT(1-Rho^2)*H4051),"")</f>
        <v/>
      </c>
      <c r="J4051">
        <f>IF(B4051,IF(Dist="Normal",DistA+DistB*I4051,DistA+(DistB-DistA)*NORMSDIST(I4051)),"")</f>
        <v/>
      </c>
      <c r="K4051">
        <f>IF(B4051,INDEX(MineScale,C4051),"")</f>
        <v/>
      </c>
      <c r="L4051">
        <f>IF(B4051,INDEX(Dow,1,WEEKDAY(E4051,2)),"")</f>
        <v/>
      </c>
      <c r="M4051">
        <f>IF(B4051,(1+Trend)^D4051,"")</f>
        <v/>
      </c>
      <c r="N4051">
        <f>IF(B4051,EXP(SUMPRODUCT(LN(1+(EvEff-1)*INDEX(Affected,0,C4051)*EXP(-((E4051-EvCenter)^2)/(2*EvSigma^2))))),"")</f>
        <v/>
      </c>
      <c r="O4051">
        <f>IF(B4051,ROUND(MAX(0,J4051*K4051*L4051*M4051*N4051),2),"")</f>
        <v/>
      </c>
    </row>
    <row r="4052">
      <c r="A4052" t="n">
        <v>4051</v>
      </c>
      <c r="B4052">
        <f>A4052&lt;=MineCount*Days</f>
        <v/>
      </c>
      <c r="C4052">
        <f>IF(B4052,INT((A4052-1)/Days)+1,"")</f>
        <v/>
      </c>
      <c r="D4052">
        <f>IF(B4052,MOD(A4052-1,Days),"")</f>
        <v/>
      </c>
      <c r="E4052" s="16">
        <f>IF(B4052,StartDate+D4052,"")</f>
        <v/>
      </c>
      <c r="F4052">
        <f>IF(B4052,MAX(MOD(SIN(Seed*0.1373+C4052*12.9898+D4052*78.233)*43758.5453,1),1E-9),"")</f>
        <v/>
      </c>
      <c r="G4052">
        <f>IF(B4052,MOD(SIN(Seed*0.5917+C4052*39.3468+D4052*11.135)*24634.6345,1),"")</f>
        <v/>
      </c>
      <c r="H4052">
        <f>IF(B4052,SQRT(-2*LN(F4052))*COS(2*PI()*G4052),"")</f>
        <v/>
      </c>
      <c r="I4052">
        <f>IF(B4052,IF(D4052=0,H4052,Rho*I4051+SQRT(1-Rho^2)*H4052),"")</f>
        <v/>
      </c>
      <c r="J4052">
        <f>IF(B4052,IF(Dist="Normal",DistA+DistB*I4052,DistA+(DistB-DistA)*NORMSDIST(I4052)),"")</f>
        <v/>
      </c>
      <c r="K4052">
        <f>IF(B4052,INDEX(MineScale,C4052),"")</f>
        <v/>
      </c>
      <c r="L4052">
        <f>IF(B4052,INDEX(Dow,1,WEEKDAY(E4052,2)),"")</f>
        <v/>
      </c>
      <c r="M4052">
        <f>IF(B4052,(1+Trend)^D4052,"")</f>
        <v/>
      </c>
      <c r="N4052">
        <f>IF(B4052,EXP(SUMPRODUCT(LN(1+(EvEff-1)*INDEX(Affected,0,C4052)*EXP(-((E4052-EvCenter)^2)/(2*EvSigma^2))))),"")</f>
        <v/>
      </c>
      <c r="O4052">
        <f>IF(B4052,ROUND(MAX(0,J4052*K4052*L4052*M4052*N4052),2),"")</f>
        <v/>
      </c>
    </row>
    <row r="4053">
      <c r="A4053" t="n">
        <v>4052</v>
      </c>
      <c r="B4053">
        <f>A4053&lt;=MineCount*Days</f>
        <v/>
      </c>
      <c r="C4053">
        <f>IF(B4053,INT((A4053-1)/Days)+1,"")</f>
        <v/>
      </c>
      <c r="D4053">
        <f>IF(B4053,MOD(A4053-1,Days),"")</f>
        <v/>
      </c>
      <c r="E4053" s="16">
        <f>IF(B4053,StartDate+D4053,"")</f>
        <v/>
      </c>
      <c r="F4053">
        <f>IF(B4053,MAX(MOD(SIN(Seed*0.1373+C4053*12.9898+D4053*78.233)*43758.5453,1),1E-9),"")</f>
        <v/>
      </c>
      <c r="G4053">
        <f>IF(B4053,MOD(SIN(Seed*0.5917+C4053*39.3468+D4053*11.135)*24634.6345,1),"")</f>
        <v/>
      </c>
      <c r="H4053">
        <f>IF(B4053,SQRT(-2*LN(F4053))*COS(2*PI()*G4053),"")</f>
        <v/>
      </c>
      <c r="I4053">
        <f>IF(B4053,IF(D4053=0,H4053,Rho*I4052+SQRT(1-Rho^2)*H4053),"")</f>
        <v/>
      </c>
      <c r="J4053">
        <f>IF(B4053,IF(Dist="Normal",DistA+DistB*I4053,DistA+(DistB-DistA)*NORMSDIST(I4053)),"")</f>
        <v/>
      </c>
      <c r="K4053">
        <f>IF(B4053,INDEX(MineScale,C4053),"")</f>
        <v/>
      </c>
      <c r="L4053">
        <f>IF(B4053,INDEX(Dow,1,WEEKDAY(E4053,2)),"")</f>
        <v/>
      </c>
      <c r="M4053">
        <f>IF(B4053,(1+Trend)^D4053,"")</f>
        <v/>
      </c>
      <c r="N4053">
        <f>IF(B4053,EXP(SUMPRODUCT(LN(1+(EvEff-1)*INDEX(Affected,0,C4053)*EXP(-((E4053-EvCenter)^2)/(2*EvSigma^2))))),"")</f>
        <v/>
      </c>
      <c r="O4053">
        <f>IF(B4053,ROUND(MAX(0,J4053*K4053*L4053*M4053*N4053),2),"")</f>
        <v/>
      </c>
    </row>
    <row r="4054">
      <c r="A4054" t="n">
        <v>4053</v>
      </c>
      <c r="B4054">
        <f>A4054&lt;=MineCount*Days</f>
        <v/>
      </c>
      <c r="C4054">
        <f>IF(B4054,INT((A4054-1)/Days)+1,"")</f>
        <v/>
      </c>
      <c r="D4054">
        <f>IF(B4054,MOD(A4054-1,Days),"")</f>
        <v/>
      </c>
      <c r="E4054" s="16">
        <f>IF(B4054,StartDate+D4054,"")</f>
        <v/>
      </c>
      <c r="F4054">
        <f>IF(B4054,MAX(MOD(SIN(Seed*0.1373+C4054*12.9898+D4054*78.233)*43758.5453,1),1E-9),"")</f>
        <v/>
      </c>
      <c r="G4054">
        <f>IF(B4054,MOD(SIN(Seed*0.5917+C4054*39.3468+D4054*11.135)*24634.6345,1),"")</f>
        <v/>
      </c>
      <c r="H4054">
        <f>IF(B4054,SQRT(-2*LN(F4054))*COS(2*PI()*G4054),"")</f>
        <v/>
      </c>
      <c r="I4054">
        <f>IF(B4054,IF(D4054=0,H4054,Rho*I4053+SQRT(1-Rho^2)*H4054),"")</f>
        <v/>
      </c>
      <c r="J4054">
        <f>IF(B4054,IF(Dist="Normal",DistA+DistB*I4054,DistA+(DistB-DistA)*NORMSDIST(I4054)),"")</f>
        <v/>
      </c>
      <c r="K4054">
        <f>IF(B4054,INDEX(MineScale,C4054),"")</f>
        <v/>
      </c>
      <c r="L4054">
        <f>IF(B4054,INDEX(Dow,1,WEEKDAY(E4054,2)),"")</f>
        <v/>
      </c>
      <c r="M4054">
        <f>IF(B4054,(1+Trend)^D4054,"")</f>
        <v/>
      </c>
      <c r="N4054">
        <f>IF(B4054,EXP(SUMPRODUCT(LN(1+(EvEff-1)*INDEX(Affected,0,C4054)*EXP(-((E4054-EvCenter)^2)/(2*EvSigma^2))))),"")</f>
        <v/>
      </c>
      <c r="O4054">
        <f>IF(B4054,ROUND(MAX(0,J4054*K4054*L4054*M4054*N4054),2),"")</f>
        <v/>
      </c>
    </row>
    <row r="4055">
      <c r="A4055" t="n">
        <v>4054</v>
      </c>
      <c r="B4055">
        <f>A4055&lt;=MineCount*Days</f>
        <v/>
      </c>
      <c r="C4055">
        <f>IF(B4055,INT((A4055-1)/Days)+1,"")</f>
        <v/>
      </c>
      <c r="D4055">
        <f>IF(B4055,MOD(A4055-1,Days),"")</f>
        <v/>
      </c>
      <c r="E4055" s="16">
        <f>IF(B4055,StartDate+D4055,"")</f>
        <v/>
      </c>
      <c r="F4055">
        <f>IF(B4055,MAX(MOD(SIN(Seed*0.1373+C4055*12.9898+D4055*78.233)*43758.5453,1),1E-9),"")</f>
        <v/>
      </c>
      <c r="G4055">
        <f>IF(B4055,MOD(SIN(Seed*0.5917+C4055*39.3468+D4055*11.135)*24634.6345,1),"")</f>
        <v/>
      </c>
      <c r="H4055">
        <f>IF(B4055,SQRT(-2*LN(F4055))*COS(2*PI()*G4055),"")</f>
        <v/>
      </c>
      <c r="I4055">
        <f>IF(B4055,IF(D4055=0,H4055,Rho*I4054+SQRT(1-Rho^2)*H4055),"")</f>
        <v/>
      </c>
      <c r="J4055">
        <f>IF(B4055,IF(Dist="Normal",DistA+DistB*I4055,DistA+(DistB-DistA)*NORMSDIST(I4055)),"")</f>
        <v/>
      </c>
      <c r="K4055">
        <f>IF(B4055,INDEX(MineScale,C4055),"")</f>
        <v/>
      </c>
      <c r="L4055">
        <f>IF(B4055,INDEX(Dow,1,WEEKDAY(E4055,2)),"")</f>
        <v/>
      </c>
      <c r="M4055">
        <f>IF(B4055,(1+Trend)^D4055,"")</f>
        <v/>
      </c>
      <c r="N4055">
        <f>IF(B4055,EXP(SUMPRODUCT(LN(1+(EvEff-1)*INDEX(Affected,0,C4055)*EXP(-((E4055-EvCenter)^2)/(2*EvSigma^2))))),"")</f>
        <v/>
      </c>
      <c r="O4055">
        <f>IF(B4055,ROUND(MAX(0,J4055*K4055*L4055*M4055*N4055),2),"")</f>
        <v/>
      </c>
    </row>
    <row r="4056">
      <c r="A4056" t="n">
        <v>4055</v>
      </c>
      <c r="B4056">
        <f>A4056&lt;=MineCount*Days</f>
        <v/>
      </c>
      <c r="C4056">
        <f>IF(B4056,INT((A4056-1)/Days)+1,"")</f>
        <v/>
      </c>
      <c r="D4056">
        <f>IF(B4056,MOD(A4056-1,Days),"")</f>
        <v/>
      </c>
      <c r="E4056" s="16">
        <f>IF(B4056,StartDate+D4056,"")</f>
        <v/>
      </c>
      <c r="F4056">
        <f>IF(B4056,MAX(MOD(SIN(Seed*0.1373+C4056*12.9898+D4056*78.233)*43758.5453,1),1E-9),"")</f>
        <v/>
      </c>
      <c r="G4056">
        <f>IF(B4056,MOD(SIN(Seed*0.5917+C4056*39.3468+D4056*11.135)*24634.6345,1),"")</f>
        <v/>
      </c>
      <c r="H4056">
        <f>IF(B4056,SQRT(-2*LN(F4056))*COS(2*PI()*G4056),"")</f>
        <v/>
      </c>
      <c r="I4056">
        <f>IF(B4056,IF(D4056=0,H4056,Rho*I4055+SQRT(1-Rho^2)*H4056),"")</f>
        <v/>
      </c>
      <c r="J4056">
        <f>IF(B4056,IF(Dist="Normal",DistA+DistB*I4056,DistA+(DistB-DistA)*NORMSDIST(I4056)),"")</f>
        <v/>
      </c>
      <c r="K4056">
        <f>IF(B4056,INDEX(MineScale,C4056),"")</f>
        <v/>
      </c>
      <c r="L4056">
        <f>IF(B4056,INDEX(Dow,1,WEEKDAY(E4056,2)),"")</f>
        <v/>
      </c>
      <c r="M4056">
        <f>IF(B4056,(1+Trend)^D4056,"")</f>
        <v/>
      </c>
      <c r="N4056">
        <f>IF(B4056,EXP(SUMPRODUCT(LN(1+(EvEff-1)*INDEX(Affected,0,C4056)*EXP(-((E4056-EvCenter)^2)/(2*EvSigma^2))))),"")</f>
        <v/>
      </c>
      <c r="O4056">
        <f>IF(B4056,ROUND(MAX(0,J4056*K4056*L4056*M4056*N4056),2),"")</f>
        <v/>
      </c>
    </row>
    <row r="4057">
      <c r="A4057" t="n">
        <v>4056</v>
      </c>
      <c r="B4057">
        <f>A4057&lt;=MineCount*Days</f>
        <v/>
      </c>
      <c r="C4057">
        <f>IF(B4057,INT((A4057-1)/Days)+1,"")</f>
        <v/>
      </c>
      <c r="D4057">
        <f>IF(B4057,MOD(A4057-1,Days),"")</f>
        <v/>
      </c>
      <c r="E4057" s="16">
        <f>IF(B4057,StartDate+D4057,"")</f>
        <v/>
      </c>
      <c r="F4057">
        <f>IF(B4057,MAX(MOD(SIN(Seed*0.1373+C4057*12.9898+D4057*78.233)*43758.5453,1),1E-9),"")</f>
        <v/>
      </c>
      <c r="G4057">
        <f>IF(B4057,MOD(SIN(Seed*0.5917+C4057*39.3468+D4057*11.135)*24634.6345,1),"")</f>
        <v/>
      </c>
      <c r="H4057">
        <f>IF(B4057,SQRT(-2*LN(F4057))*COS(2*PI()*G4057),"")</f>
        <v/>
      </c>
      <c r="I4057">
        <f>IF(B4057,IF(D4057=0,H4057,Rho*I4056+SQRT(1-Rho^2)*H4057),"")</f>
        <v/>
      </c>
      <c r="J4057">
        <f>IF(B4057,IF(Dist="Normal",DistA+DistB*I4057,DistA+(DistB-DistA)*NORMSDIST(I4057)),"")</f>
        <v/>
      </c>
      <c r="K4057">
        <f>IF(B4057,INDEX(MineScale,C4057),"")</f>
        <v/>
      </c>
      <c r="L4057">
        <f>IF(B4057,INDEX(Dow,1,WEEKDAY(E4057,2)),"")</f>
        <v/>
      </c>
      <c r="M4057">
        <f>IF(B4057,(1+Trend)^D4057,"")</f>
        <v/>
      </c>
      <c r="N4057">
        <f>IF(B4057,EXP(SUMPRODUCT(LN(1+(EvEff-1)*INDEX(Affected,0,C4057)*EXP(-((E4057-EvCenter)^2)/(2*EvSigma^2))))),"")</f>
        <v/>
      </c>
      <c r="O4057">
        <f>IF(B4057,ROUND(MAX(0,J4057*K4057*L4057*M4057*N4057),2),"")</f>
        <v/>
      </c>
    </row>
    <row r="4058">
      <c r="A4058" t="n">
        <v>4057</v>
      </c>
      <c r="B4058">
        <f>A4058&lt;=MineCount*Days</f>
        <v/>
      </c>
      <c r="C4058">
        <f>IF(B4058,INT((A4058-1)/Days)+1,"")</f>
        <v/>
      </c>
      <c r="D4058">
        <f>IF(B4058,MOD(A4058-1,Days),"")</f>
        <v/>
      </c>
      <c r="E4058" s="16">
        <f>IF(B4058,StartDate+D4058,"")</f>
        <v/>
      </c>
      <c r="F4058">
        <f>IF(B4058,MAX(MOD(SIN(Seed*0.1373+C4058*12.9898+D4058*78.233)*43758.5453,1),1E-9),"")</f>
        <v/>
      </c>
      <c r="G4058">
        <f>IF(B4058,MOD(SIN(Seed*0.5917+C4058*39.3468+D4058*11.135)*24634.6345,1),"")</f>
        <v/>
      </c>
      <c r="H4058">
        <f>IF(B4058,SQRT(-2*LN(F4058))*COS(2*PI()*G4058),"")</f>
        <v/>
      </c>
      <c r="I4058">
        <f>IF(B4058,IF(D4058=0,H4058,Rho*I4057+SQRT(1-Rho^2)*H4058),"")</f>
        <v/>
      </c>
      <c r="J4058">
        <f>IF(B4058,IF(Dist="Normal",DistA+DistB*I4058,DistA+(DistB-DistA)*NORMSDIST(I4058)),"")</f>
        <v/>
      </c>
      <c r="K4058">
        <f>IF(B4058,INDEX(MineScale,C4058),"")</f>
        <v/>
      </c>
      <c r="L4058">
        <f>IF(B4058,INDEX(Dow,1,WEEKDAY(E4058,2)),"")</f>
        <v/>
      </c>
      <c r="M4058">
        <f>IF(B4058,(1+Trend)^D4058,"")</f>
        <v/>
      </c>
      <c r="N4058">
        <f>IF(B4058,EXP(SUMPRODUCT(LN(1+(EvEff-1)*INDEX(Affected,0,C4058)*EXP(-((E4058-EvCenter)^2)/(2*EvSigma^2))))),"")</f>
        <v/>
      </c>
      <c r="O4058">
        <f>IF(B4058,ROUND(MAX(0,J4058*K4058*L4058*M4058*N4058),2),"")</f>
        <v/>
      </c>
    </row>
    <row r="4059">
      <c r="A4059" t="n">
        <v>4058</v>
      </c>
      <c r="B4059">
        <f>A4059&lt;=MineCount*Days</f>
        <v/>
      </c>
      <c r="C4059">
        <f>IF(B4059,INT((A4059-1)/Days)+1,"")</f>
        <v/>
      </c>
      <c r="D4059">
        <f>IF(B4059,MOD(A4059-1,Days),"")</f>
        <v/>
      </c>
      <c r="E4059" s="16">
        <f>IF(B4059,StartDate+D4059,"")</f>
        <v/>
      </c>
      <c r="F4059">
        <f>IF(B4059,MAX(MOD(SIN(Seed*0.1373+C4059*12.9898+D4059*78.233)*43758.5453,1),1E-9),"")</f>
        <v/>
      </c>
      <c r="G4059">
        <f>IF(B4059,MOD(SIN(Seed*0.5917+C4059*39.3468+D4059*11.135)*24634.6345,1),"")</f>
        <v/>
      </c>
      <c r="H4059">
        <f>IF(B4059,SQRT(-2*LN(F4059))*COS(2*PI()*G4059),"")</f>
        <v/>
      </c>
      <c r="I4059">
        <f>IF(B4059,IF(D4059=0,H4059,Rho*I4058+SQRT(1-Rho^2)*H4059),"")</f>
        <v/>
      </c>
      <c r="J4059">
        <f>IF(B4059,IF(Dist="Normal",DistA+DistB*I4059,DistA+(DistB-DistA)*NORMSDIST(I4059)),"")</f>
        <v/>
      </c>
      <c r="K4059">
        <f>IF(B4059,INDEX(MineScale,C4059),"")</f>
        <v/>
      </c>
      <c r="L4059">
        <f>IF(B4059,INDEX(Dow,1,WEEKDAY(E4059,2)),"")</f>
        <v/>
      </c>
      <c r="M4059">
        <f>IF(B4059,(1+Trend)^D4059,"")</f>
        <v/>
      </c>
      <c r="N4059">
        <f>IF(B4059,EXP(SUMPRODUCT(LN(1+(EvEff-1)*INDEX(Affected,0,C4059)*EXP(-((E4059-EvCenter)^2)/(2*EvSigma^2))))),"")</f>
        <v/>
      </c>
      <c r="O4059">
        <f>IF(B4059,ROUND(MAX(0,J4059*K4059*L4059*M4059*N4059),2),"")</f>
        <v/>
      </c>
    </row>
    <row r="4060">
      <c r="A4060" t="n">
        <v>4059</v>
      </c>
      <c r="B4060">
        <f>A4060&lt;=MineCount*Days</f>
        <v/>
      </c>
      <c r="C4060">
        <f>IF(B4060,INT((A4060-1)/Days)+1,"")</f>
        <v/>
      </c>
      <c r="D4060">
        <f>IF(B4060,MOD(A4060-1,Days),"")</f>
        <v/>
      </c>
      <c r="E4060" s="16">
        <f>IF(B4060,StartDate+D4060,"")</f>
        <v/>
      </c>
      <c r="F4060">
        <f>IF(B4060,MAX(MOD(SIN(Seed*0.1373+C4060*12.9898+D4060*78.233)*43758.5453,1),1E-9),"")</f>
        <v/>
      </c>
      <c r="G4060">
        <f>IF(B4060,MOD(SIN(Seed*0.5917+C4060*39.3468+D4060*11.135)*24634.6345,1),"")</f>
        <v/>
      </c>
      <c r="H4060">
        <f>IF(B4060,SQRT(-2*LN(F4060))*COS(2*PI()*G4060),"")</f>
        <v/>
      </c>
      <c r="I4060">
        <f>IF(B4060,IF(D4060=0,H4060,Rho*I4059+SQRT(1-Rho^2)*H4060),"")</f>
        <v/>
      </c>
      <c r="J4060">
        <f>IF(B4060,IF(Dist="Normal",DistA+DistB*I4060,DistA+(DistB-DistA)*NORMSDIST(I4060)),"")</f>
        <v/>
      </c>
      <c r="K4060">
        <f>IF(B4060,INDEX(MineScale,C4060),"")</f>
        <v/>
      </c>
      <c r="L4060">
        <f>IF(B4060,INDEX(Dow,1,WEEKDAY(E4060,2)),"")</f>
        <v/>
      </c>
      <c r="M4060">
        <f>IF(B4060,(1+Trend)^D4060,"")</f>
        <v/>
      </c>
      <c r="N4060">
        <f>IF(B4060,EXP(SUMPRODUCT(LN(1+(EvEff-1)*INDEX(Affected,0,C4060)*EXP(-((E4060-EvCenter)^2)/(2*EvSigma^2))))),"")</f>
        <v/>
      </c>
      <c r="O4060">
        <f>IF(B4060,ROUND(MAX(0,J4060*K4060*L4060*M4060*N4060),2),"")</f>
        <v/>
      </c>
    </row>
    <row r="4061">
      <c r="A4061" t="n">
        <v>4060</v>
      </c>
      <c r="B4061">
        <f>A4061&lt;=MineCount*Days</f>
        <v/>
      </c>
      <c r="C4061">
        <f>IF(B4061,INT((A4061-1)/Days)+1,"")</f>
        <v/>
      </c>
      <c r="D4061">
        <f>IF(B4061,MOD(A4061-1,Days),"")</f>
        <v/>
      </c>
      <c r="E4061" s="16">
        <f>IF(B4061,StartDate+D4061,"")</f>
        <v/>
      </c>
      <c r="F4061">
        <f>IF(B4061,MAX(MOD(SIN(Seed*0.1373+C4061*12.9898+D4061*78.233)*43758.5453,1),1E-9),"")</f>
        <v/>
      </c>
      <c r="G4061">
        <f>IF(B4061,MOD(SIN(Seed*0.5917+C4061*39.3468+D4061*11.135)*24634.6345,1),"")</f>
        <v/>
      </c>
      <c r="H4061">
        <f>IF(B4061,SQRT(-2*LN(F4061))*COS(2*PI()*G4061),"")</f>
        <v/>
      </c>
      <c r="I4061">
        <f>IF(B4061,IF(D4061=0,H4061,Rho*I4060+SQRT(1-Rho^2)*H4061),"")</f>
        <v/>
      </c>
      <c r="J4061">
        <f>IF(B4061,IF(Dist="Normal",DistA+DistB*I4061,DistA+(DistB-DistA)*NORMSDIST(I4061)),"")</f>
        <v/>
      </c>
      <c r="K4061">
        <f>IF(B4061,INDEX(MineScale,C4061),"")</f>
        <v/>
      </c>
      <c r="L4061">
        <f>IF(B4061,INDEX(Dow,1,WEEKDAY(E4061,2)),"")</f>
        <v/>
      </c>
      <c r="M4061">
        <f>IF(B4061,(1+Trend)^D4061,"")</f>
        <v/>
      </c>
      <c r="N4061">
        <f>IF(B4061,EXP(SUMPRODUCT(LN(1+(EvEff-1)*INDEX(Affected,0,C4061)*EXP(-((E4061-EvCenter)^2)/(2*EvSigma^2))))),"")</f>
        <v/>
      </c>
      <c r="O4061">
        <f>IF(B4061,ROUND(MAX(0,J4061*K4061*L4061*M4061*N4061),2),"")</f>
        <v/>
      </c>
    </row>
    <row r="4062">
      <c r="A4062" t="n">
        <v>4061</v>
      </c>
      <c r="B4062">
        <f>A4062&lt;=MineCount*Days</f>
        <v/>
      </c>
      <c r="C4062">
        <f>IF(B4062,INT((A4062-1)/Days)+1,"")</f>
        <v/>
      </c>
      <c r="D4062">
        <f>IF(B4062,MOD(A4062-1,Days),"")</f>
        <v/>
      </c>
      <c r="E4062" s="16">
        <f>IF(B4062,StartDate+D4062,"")</f>
        <v/>
      </c>
      <c r="F4062">
        <f>IF(B4062,MAX(MOD(SIN(Seed*0.1373+C4062*12.9898+D4062*78.233)*43758.5453,1),1E-9),"")</f>
        <v/>
      </c>
      <c r="G4062">
        <f>IF(B4062,MOD(SIN(Seed*0.5917+C4062*39.3468+D4062*11.135)*24634.6345,1),"")</f>
        <v/>
      </c>
      <c r="H4062">
        <f>IF(B4062,SQRT(-2*LN(F4062))*COS(2*PI()*G4062),"")</f>
        <v/>
      </c>
      <c r="I4062">
        <f>IF(B4062,IF(D4062=0,H4062,Rho*I4061+SQRT(1-Rho^2)*H4062),"")</f>
        <v/>
      </c>
      <c r="J4062">
        <f>IF(B4062,IF(Dist="Normal",DistA+DistB*I4062,DistA+(DistB-DistA)*NORMSDIST(I4062)),"")</f>
        <v/>
      </c>
      <c r="K4062">
        <f>IF(B4062,INDEX(MineScale,C4062),"")</f>
        <v/>
      </c>
      <c r="L4062">
        <f>IF(B4062,INDEX(Dow,1,WEEKDAY(E4062,2)),"")</f>
        <v/>
      </c>
      <c r="M4062">
        <f>IF(B4062,(1+Trend)^D4062,"")</f>
        <v/>
      </c>
      <c r="N4062">
        <f>IF(B4062,EXP(SUMPRODUCT(LN(1+(EvEff-1)*INDEX(Affected,0,C4062)*EXP(-((E4062-EvCenter)^2)/(2*EvSigma^2))))),"")</f>
        <v/>
      </c>
      <c r="O4062">
        <f>IF(B4062,ROUND(MAX(0,J4062*K4062*L4062*M4062*N4062),2),"")</f>
        <v/>
      </c>
    </row>
    <row r="4063">
      <c r="A4063" t="n">
        <v>4062</v>
      </c>
      <c r="B4063">
        <f>A4063&lt;=MineCount*Days</f>
        <v/>
      </c>
      <c r="C4063">
        <f>IF(B4063,INT((A4063-1)/Days)+1,"")</f>
        <v/>
      </c>
      <c r="D4063">
        <f>IF(B4063,MOD(A4063-1,Days),"")</f>
        <v/>
      </c>
      <c r="E4063" s="16">
        <f>IF(B4063,StartDate+D4063,"")</f>
        <v/>
      </c>
      <c r="F4063">
        <f>IF(B4063,MAX(MOD(SIN(Seed*0.1373+C4063*12.9898+D4063*78.233)*43758.5453,1),1E-9),"")</f>
        <v/>
      </c>
      <c r="G4063">
        <f>IF(B4063,MOD(SIN(Seed*0.5917+C4063*39.3468+D4063*11.135)*24634.6345,1),"")</f>
        <v/>
      </c>
      <c r="H4063">
        <f>IF(B4063,SQRT(-2*LN(F4063))*COS(2*PI()*G4063),"")</f>
        <v/>
      </c>
      <c r="I4063">
        <f>IF(B4063,IF(D4063=0,H4063,Rho*I4062+SQRT(1-Rho^2)*H4063),"")</f>
        <v/>
      </c>
      <c r="J4063">
        <f>IF(B4063,IF(Dist="Normal",DistA+DistB*I4063,DistA+(DistB-DistA)*NORMSDIST(I4063)),"")</f>
        <v/>
      </c>
      <c r="K4063">
        <f>IF(B4063,INDEX(MineScale,C4063),"")</f>
        <v/>
      </c>
      <c r="L4063">
        <f>IF(B4063,INDEX(Dow,1,WEEKDAY(E4063,2)),"")</f>
        <v/>
      </c>
      <c r="M4063">
        <f>IF(B4063,(1+Trend)^D4063,"")</f>
        <v/>
      </c>
      <c r="N4063">
        <f>IF(B4063,EXP(SUMPRODUCT(LN(1+(EvEff-1)*INDEX(Affected,0,C4063)*EXP(-((E4063-EvCenter)^2)/(2*EvSigma^2))))),"")</f>
        <v/>
      </c>
      <c r="O4063">
        <f>IF(B4063,ROUND(MAX(0,J4063*K4063*L4063*M4063*N4063),2),"")</f>
        <v/>
      </c>
    </row>
    <row r="4064">
      <c r="A4064" t="n">
        <v>4063</v>
      </c>
      <c r="B4064">
        <f>A4064&lt;=MineCount*Days</f>
        <v/>
      </c>
      <c r="C4064">
        <f>IF(B4064,INT((A4064-1)/Days)+1,"")</f>
        <v/>
      </c>
      <c r="D4064">
        <f>IF(B4064,MOD(A4064-1,Days),"")</f>
        <v/>
      </c>
      <c r="E4064" s="16">
        <f>IF(B4064,StartDate+D4064,"")</f>
        <v/>
      </c>
      <c r="F4064">
        <f>IF(B4064,MAX(MOD(SIN(Seed*0.1373+C4064*12.9898+D4064*78.233)*43758.5453,1),1E-9),"")</f>
        <v/>
      </c>
      <c r="G4064">
        <f>IF(B4064,MOD(SIN(Seed*0.5917+C4064*39.3468+D4064*11.135)*24634.6345,1),"")</f>
        <v/>
      </c>
      <c r="H4064">
        <f>IF(B4064,SQRT(-2*LN(F4064))*COS(2*PI()*G4064),"")</f>
        <v/>
      </c>
      <c r="I4064">
        <f>IF(B4064,IF(D4064=0,H4064,Rho*I4063+SQRT(1-Rho^2)*H4064),"")</f>
        <v/>
      </c>
      <c r="J4064">
        <f>IF(B4064,IF(Dist="Normal",DistA+DistB*I4064,DistA+(DistB-DistA)*NORMSDIST(I4064)),"")</f>
        <v/>
      </c>
      <c r="K4064">
        <f>IF(B4064,INDEX(MineScale,C4064),"")</f>
        <v/>
      </c>
      <c r="L4064">
        <f>IF(B4064,INDEX(Dow,1,WEEKDAY(E4064,2)),"")</f>
        <v/>
      </c>
      <c r="M4064">
        <f>IF(B4064,(1+Trend)^D4064,"")</f>
        <v/>
      </c>
      <c r="N4064">
        <f>IF(B4064,EXP(SUMPRODUCT(LN(1+(EvEff-1)*INDEX(Affected,0,C4064)*EXP(-((E4064-EvCenter)^2)/(2*EvSigma^2))))),"")</f>
        <v/>
      </c>
      <c r="O4064">
        <f>IF(B4064,ROUND(MAX(0,J4064*K4064*L4064*M4064*N4064),2),"")</f>
        <v/>
      </c>
    </row>
    <row r="4065">
      <c r="A4065" t="n">
        <v>4064</v>
      </c>
      <c r="B4065">
        <f>A4065&lt;=MineCount*Days</f>
        <v/>
      </c>
      <c r="C4065">
        <f>IF(B4065,INT((A4065-1)/Days)+1,"")</f>
        <v/>
      </c>
      <c r="D4065">
        <f>IF(B4065,MOD(A4065-1,Days),"")</f>
        <v/>
      </c>
      <c r="E4065" s="16">
        <f>IF(B4065,StartDate+D4065,"")</f>
        <v/>
      </c>
      <c r="F4065">
        <f>IF(B4065,MAX(MOD(SIN(Seed*0.1373+C4065*12.9898+D4065*78.233)*43758.5453,1),1E-9),"")</f>
        <v/>
      </c>
      <c r="G4065">
        <f>IF(B4065,MOD(SIN(Seed*0.5917+C4065*39.3468+D4065*11.135)*24634.6345,1),"")</f>
        <v/>
      </c>
      <c r="H4065">
        <f>IF(B4065,SQRT(-2*LN(F4065))*COS(2*PI()*G4065),"")</f>
        <v/>
      </c>
      <c r="I4065">
        <f>IF(B4065,IF(D4065=0,H4065,Rho*I4064+SQRT(1-Rho^2)*H4065),"")</f>
        <v/>
      </c>
      <c r="J4065">
        <f>IF(B4065,IF(Dist="Normal",DistA+DistB*I4065,DistA+(DistB-DistA)*NORMSDIST(I4065)),"")</f>
        <v/>
      </c>
      <c r="K4065">
        <f>IF(B4065,INDEX(MineScale,C4065),"")</f>
        <v/>
      </c>
      <c r="L4065">
        <f>IF(B4065,INDEX(Dow,1,WEEKDAY(E4065,2)),"")</f>
        <v/>
      </c>
      <c r="M4065">
        <f>IF(B4065,(1+Trend)^D4065,"")</f>
        <v/>
      </c>
      <c r="N4065">
        <f>IF(B4065,EXP(SUMPRODUCT(LN(1+(EvEff-1)*INDEX(Affected,0,C4065)*EXP(-((E4065-EvCenter)^2)/(2*EvSigma^2))))),"")</f>
        <v/>
      </c>
      <c r="O4065">
        <f>IF(B4065,ROUND(MAX(0,J4065*K4065*L4065*M4065*N4065),2),"")</f>
        <v/>
      </c>
    </row>
    <row r="4066">
      <c r="A4066" t="n">
        <v>4065</v>
      </c>
      <c r="B4066">
        <f>A4066&lt;=MineCount*Days</f>
        <v/>
      </c>
      <c r="C4066">
        <f>IF(B4066,INT((A4066-1)/Days)+1,"")</f>
        <v/>
      </c>
      <c r="D4066">
        <f>IF(B4066,MOD(A4066-1,Days),"")</f>
        <v/>
      </c>
      <c r="E4066" s="16">
        <f>IF(B4066,StartDate+D4066,"")</f>
        <v/>
      </c>
      <c r="F4066">
        <f>IF(B4066,MAX(MOD(SIN(Seed*0.1373+C4066*12.9898+D4066*78.233)*43758.5453,1),1E-9),"")</f>
        <v/>
      </c>
      <c r="G4066">
        <f>IF(B4066,MOD(SIN(Seed*0.5917+C4066*39.3468+D4066*11.135)*24634.6345,1),"")</f>
        <v/>
      </c>
      <c r="H4066">
        <f>IF(B4066,SQRT(-2*LN(F4066))*COS(2*PI()*G4066),"")</f>
        <v/>
      </c>
      <c r="I4066">
        <f>IF(B4066,IF(D4066=0,H4066,Rho*I4065+SQRT(1-Rho^2)*H4066),"")</f>
        <v/>
      </c>
      <c r="J4066">
        <f>IF(B4066,IF(Dist="Normal",DistA+DistB*I4066,DistA+(DistB-DistA)*NORMSDIST(I4066)),"")</f>
        <v/>
      </c>
      <c r="K4066">
        <f>IF(B4066,INDEX(MineScale,C4066),"")</f>
        <v/>
      </c>
      <c r="L4066">
        <f>IF(B4066,INDEX(Dow,1,WEEKDAY(E4066,2)),"")</f>
        <v/>
      </c>
      <c r="M4066">
        <f>IF(B4066,(1+Trend)^D4066,"")</f>
        <v/>
      </c>
      <c r="N4066">
        <f>IF(B4066,EXP(SUMPRODUCT(LN(1+(EvEff-1)*INDEX(Affected,0,C4066)*EXP(-((E4066-EvCenter)^2)/(2*EvSigma^2))))),"")</f>
        <v/>
      </c>
      <c r="O4066">
        <f>IF(B4066,ROUND(MAX(0,J4066*K4066*L4066*M4066*N4066),2),"")</f>
        <v/>
      </c>
    </row>
    <row r="4067">
      <c r="A4067" t="n">
        <v>4066</v>
      </c>
      <c r="B4067">
        <f>A4067&lt;=MineCount*Days</f>
        <v/>
      </c>
      <c r="C4067">
        <f>IF(B4067,INT((A4067-1)/Days)+1,"")</f>
        <v/>
      </c>
      <c r="D4067">
        <f>IF(B4067,MOD(A4067-1,Days),"")</f>
        <v/>
      </c>
      <c r="E4067" s="16">
        <f>IF(B4067,StartDate+D4067,"")</f>
        <v/>
      </c>
      <c r="F4067">
        <f>IF(B4067,MAX(MOD(SIN(Seed*0.1373+C4067*12.9898+D4067*78.233)*43758.5453,1),1E-9),"")</f>
        <v/>
      </c>
      <c r="G4067">
        <f>IF(B4067,MOD(SIN(Seed*0.5917+C4067*39.3468+D4067*11.135)*24634.6345,1),"")</f>
        <v/>
      </c>
      <c r="H4067">
        <f>IF(B4067,SQRT(-2*LN(F4067))*COS(2*PI()*G4067),"")</f>
        <v/>
      </c>
      <c r="I4067">
        <f>IF(B4067,IF(D4067=0,H4067,Rho*I4066+SQRT(1-Rho^2)*H4067),"")</f>
        <v/>
      </c>
      <c r="J4067">
        <f>IF(B4067,IF(Dist="Normal",DistA+DistB*I4067,DistA+(DistB-DistA)*NORMSDIST(I4067)),"")</f>
        <v/>
      </c>
      <c r="K4067">
        <f>IF(B4067,INDEX(MineScale,C4067),"")</f>
        <v/>
      </c>
      <c r="L4067">
        <f>IF(B4067,INDEX(Dow,1,WEEKDAY(E4067,2)),"")</f>
        <v/>
      </c>
      <c r="M4067">
        <f>IF(B4067,(1+Trend)^D4067,"")</f>
        <v/>
      </c>
      <c r="N4067">
        <f>IF(B4067,EXP(SUMPRODUCT(LN(1+(EvEff-1)*INDEX(Affected,0,C4067)*EXP(-((E4067-EvCenter)^2)/(2*EvSigma^2))))),"")</f>
        <v/>
      </c>
      <c r="O4067">
        <f>IF(B4067,ROUND(MAX(0,J4067*K4067*L4067*M4067*N4067),2),"")</f>
        <v/>
      </c>
    </row>
    <row r="4068">
      <c r="A4068" t="n">
        <v>4067</v>
      </c>
      <c r="B4068">
        <f>A4068&lt;=MineCount*Days</f>
        <v/>
      </c>
      <c r="C4068">
        <f>IF(B4068,INT((A4068-1)/Days)+1,"")</f>
        <v/>
      </c>
      <c r="D4068">
        <f>IF(B4068,MOD(A4068-1,Days),"")</f>
        <v/>
      </c>
      <c r="E4068" s="16">
        <f>IF(B4068,StartDate+D4068,"")</f>
        <v/>
      </c>
      <c r="F4068">
        <f>IF(B4068,MAX(MOD(SIN(Seed*0.1373+C4068*12.9898+D4068*78.233)*43758.5453,1),1E-9),"")</f>
        <v/>
      </c>
      <c r="G4068">
        <f>IF(B4068,MOD(SIN(Seed*0.5917+C4068*39.3468+D4068*11.135)*24634.6345,1),"")</f>
        <v/>
      </c>
      <c r="H4068">
        <f>IF(B4068,SQRT(-2*LN(F4068))*COS(2*PI()*G4068),"")</f>
        <v/>
      </c>
      <c r="I4068">
        <f>IF(B4068,IF(D4068=0,H4068,Rho*I4067+SQRT(1-Rho^2)*H4068),"")</f>
        <v/>
      </c>
      <c r="J4068">
        <f>IF(B4068,IF(Dist="Normal",DistA+DistB*I4068,DistA+(DistB-DistA)*NORMSDIST(I4068)),"")</f>
        <v/>
      </c>
      <c r="K4068">
        <f>IF(B4068,INDEX(MineScale,C4068),"")</f>
        <v/>
      </c>
      <c r="L4068">
        <f>IF(B4068,INDEX(Dow,1,WEEKDAY(E4068,2)),"")</f>
        <v/>
      </c>
      <c r="M4068">
        <f>IF(B4068,(1+Trend)^D4068,"")</f>
        <v/>
      </c>
      <c r="N4068">
        <f>IF(B4068,EXP(SUMPRODUCT(LN(1+(EvEff-1)*INDEX(Affected,0,C4068)*EXP(-((E4068-EvCenter)^2)/(2*EvSigma^2))))),"")</f>
        <v/>
      </c>
      <c r="O4068">
        <f>IF(B4068,ROUND(MAX(0,J4068*K4068*L4068*M4068*N4068),2),"")</f>
        <v/>
      </c>
    </row>
    <row r="4069">
      <c r="A4069" t="n">
        <v>4068</v>
      </c>
      <c r="B4069">
        <f>A4069&lt;=MineCount*Days</f>
        <v/>
      </c>
      <c r="C4069">
        <f>IF(B4069,INT((A4069-1)/Days)+1,"")</f>
        <v/>
      </c>
      <c r="D4069">
        <f>IF(B4069,MOD(A4069-1,Days),"")</f>
        <v/>
      </c>
      <c r="E4069" s="16">
        <f>IF(B4069,StartDate+D4069,"")</f>
        <v/>
      </c>
      <c r="F4069">
        <f>IF(B4069,MAX(MOD(SIN(Seed*0.1373+C4069*12.9898+D4069*78.233)*43758.5453,1),1E-9),"")</f>
        <v/>
      </c>
      <c r="G4069">
        <f>IF(B4069,MOD(SIN(Seed*0.5917+C4069*39.3468+D4069*11.135)*24634.6345,1),"")</f>
        <v/>
      </c>
      <c r="H4069">
        <f>IF(B4069,SQRT(-2*LN(F4069))*COS(2*PI()*G4069),"")</f>
        <v/>
      </c>
      <c r="I4069">
        <f>IF(B4069,IF(D4069=0,H4069,Rho*I4068+SQRT(1-Rho^2)*H4069),"")</f>
        <v/>
      </c>
      <c r="J4069">
        <f>IF(B4069,IF(Dist="Normal",DistA+DistB*I4069,DistA+(DistB-DistA)*NORMSDIST(I4069)),"")</f>
        <v/>
      </c>
      <c r="K4069">
        <f>IF(B4069,INDEX(MineScale,C4069),"")</f>
        <v/>
      </c>
      <c r="L4069">
        <f>IF(B4069,INDEX(Dow,1,WEEKDAY(E4069,2)),"")</f>
        <v/>
      </c>
      <c r="M4069">
        <f>IF(B4069,(1+Trend)^D4069,"")</f>
        <v/>
      </c>
      <c r="N4069">
        <f>IF(B4069,EXP(SUMPRODUCT(LN(1+(EvEff-1)*INDEX(Affected,0,C4069)*EXP(-((E4069-EvCenter)^2)/(2*EvSigma^2))))),"")</f>
        <v/>
      </c>
      <c r="O4069">
        <f>IF(B4069,ROUND(MAX(0,J4069*K4069*L4069*M4069*N4069),2),"")</f>
        <v/>
      </c>
    </row>
    <row r="4070">
      <c r="A4070" t="n">
        <v>4069</v>
      </c>
      <c r="B4070">
        <f>A4070&lt;=MineCount*Days</f>
        <v/>
      </c>
      <c r="C4070">
        <f>IF(B4070,INT((A4070-1)/Days)+1,"")</f>
        <v/>
      </c>
      <c r="D4070">
        <f>IF(B4070,MOD(A4070-1,Days),"")</f>
        <v/>
      </c>
      <c r="E4070" s="16">
        <f>IF(B4070,StartDate+D4070,"")</f>
        <v/>
      </c>
      <c r="F4070">
        <f>IF(B4070,MAX(MOD(SIN(Seed*0.1373+C4070*12.9898+D4070*78.233)*43758.5453,1),1E-9),"")</f>
        <v/>
      </c>
      <c r="G4070">
        <f>IF(B4070,MOD(SIN(Seed*0.5917+C4070*39.3468+D4070*11.135)*24634.6345,1),"")</f>
        <v/>
      </c>
      <c r="H4070">
        <f>IF(B4070,SQRT(-2*LN(F4070))*COS(2*PI()*G4070),"")</f>
        <v/>
      </c>
      <c r="I4070">
        <f>IF(B4070,IF(D4070=0,H4070,Rho*I4069+SQRT(1-Rho^2)*H4070),"")</f>
        <v/>
      </c>
      <c r="J4070">
        <f>IF(B4070,IF(Dist="Normal",DistA+DistB*I4070,DistA+(DistB-DistA)*NORMSDIST(I4070)),"")</f>
        <v/>
      </c>
      <c r="K4070">
        <f>IF(B4070,INDEX(MineScale,C4070),"")</f>
        <v/>
      </c>
      <c r="L4070">
        <f>IF(B4070,INDEX(Dow,1,WEEKDAY(E4070,2)),"")</f>
        <v/>
      </c>
      <c r="M4070">
        <f>IF(B4070,(1+Trend)^D4070,"")</f>
        <v/>
      </c>
      <c r="N4070">
        <f>IF(B4070,EXP(SUMPRODUCT(LN(1+(EvEff-1)*INDEX(Affected,0,C4070)*EXP(-((E4070-EvCenter)^2)/(2*EvSigma^2))))),"")</f>
        <v/>
      </c>
      <c r="O4070">
        <f>IF(B4070,ROUND(MAX(0,J4070*K4070*L4070*M4070*N4070),2),"")</f>
        <v/>
      </c>
    </row>
    <row r="4071">
      <c r="A4071" t="n">
        <v>4070</v>
      </c>
      <c r="B4071">
        <f>A4071&lt;=MineCount*Days</f>
        <v/>
      </c>
      <c r="C4071">
        <f>IF(B4071,INT((A4071-1)/Days)+1,"")</f>
        <v/>
      </c>
      <c r="D4071">
        <f>IF(B4071,MOD(A4071-1,Days),"")</f>
        <v/>
      </c>
      <c r="E4071" s="16">
        <f>IF(B4071,StartDate+D4071,"")</f>
        <v/>
      </c>
      <c r="F4071">
        <f>IF(B4071,MAX(MOD(SIN(Seed*0.1373+C4071*12.9898+D4071*78.233)*43758.5453,1),1E-9),"")</f>
        <v/>
      </c>
      <c r="G4071">
        <f>IF(B4071,MOD(SIN(Seed*0.5917+C4071*39.3468+D4071*11.135)*24634.6345,1),"")</f>
        <v/>
      </c>
      <c r="H4071">
        <f>IF(B4071,SQRT(-2*LN(F4071))*COS(2*PI()*G4071),"")</f>
        <v/>
      </c>
      <c r="I4071">
        <f>IF(B4071,IF(D4071=0,H4071,Rho*I4070+SQRT(1-Rho^2)*H4071),"")</f>
        <v/>
      </c>
      <c r="J4071">
        <f>IF(B4071,IF(Dist="Normal",DistA+DistB*I4071,DistA+(DistB-DistA)*NORMSDIST(I4071)),"")</f>
        <v/>
      </c>
      <c r="K4071">
        <f>IF(B4071,INDEX(MineScale,C4071),"")</f>
        <v/>
      </c>
      <c r="L4071">
        <f>IF(B4071,INDEX(Dow,1,WEEKDAY(E4071,2)),"")</f>
        <v/>
      </c>
      <c r="M4071">
        <f>IF(B4071,(1+Trend)^D4071,"")</f>
        <v/>
      </c>
      <c r="N4071">
        <f>IF(B4071,EXP(SUMPRODUCT(LN(1+(EvEff-1)*INDEX(Affected,0,C4071)*EXP(-((E4071-EvCenter)^2)/(2*EvSigma^2))))),"")</f>
        <v/>
      </c>
      <c r="O4071">
        <f>IF(B4071,ROUND(MAX(0,J4071*K4071*L4071*M4071*N4071),2),"")</f>
        <v/>
      </c>
    </row>
    <row r="4072">
      <c r="A4072" t="n">
        <v>4071</v>
      </c>
      <c r="B4072">
        <f>A4072&lt;=MineCount*Days</f>
        <v/>
      </c>
      <c r="C4072">
        <f>IF(B4072,INT((A4072-1)/Days)+1,"")</f>
        <v/>
      </c>
      <c r="D4072">
        <f>IF(B4072,MOD(A4072-1,Days),"")</f>
        <v/>
      </c>
      <c r="E4072" s="16">
        <f>IF(B4072,StartDate+D4072,"")</f>
        <v/>
      </c>
      <c r="F4072">
        <f>IF(B4072,MAX(MOD(SIN(Seed*0.1373+C4072*12.9898+D4072*78.233)*43758.5453,1),1E-9),"")</f>
        <v/>
      </c>
      <c r="G4072">
        <f>IF(B4072,MOD(SIN(Seed*0.5917+C4072*39.3468+D4072*11.135)*24634.6345,1),"")</f>
        <v/>
      </c>
      <c r="H4072">
        <f>IF(B4072,SQRT(-2*LN(F4072))*COS(2*PI()*G4072),"")</f>
        <v/>
      </c>
      <c r="I4072">
        <f>IF(B4072,IF(D4072=0,H4072,Rho*I4071+SQRT(1-Rho^2)*H4072),"")</f>
        <v/>
      </c>
      <c r="J4072">
        <f>IF(B4072,IF(Dist="Normal",DistA+DistB*I4072,DistA+(DistB-DistA)*NORMSDIST(I4072)),"")</f>
        <v/>
      </c>
      <c r="K4072">
        <f>IF(B4072,INDEX(MineScale,C4072),"")</f>
        <v/>
      </c>
      <c r="L4072">
        <f>IF(B4072,INDEX(Dow,1,WEEKDAY(E4072,2)),"")</f>
        <v/>
      </c>
      <c r="M4072">
        <f>IF(B4072,(1+Trend)^D4072,"")</f>
        <v/>
      </c>
      <c r="N4072">
        <f>IF(B4072,EXP(SUMPRODUCT(LN(1+(EvEff-1)*INDEX(Affected,0,C4072)*EXP(-((E4072-EvCenter)^2)/(2*EvSigma^2))))),"")</f>
        <v/>
      </c>
      <c r="O4072">
        <f>IF(B4072,ROUND(MAX(0,J4072*K4072*L4072*M4072*N4072),2),"")</f>
        <v/>
      </c>
    </row>
    <row r="4073">
      <c r="A4073" t="n">
        <v>4072</v>
      </c>
      <c r="B4073">
        <f>A4073&lt;=MineCount*Days</f>
        <v/>
      </c>
      <c r="C4073">
        <f>IF(B4073,INT((A4073-1)/Days)+1,"")</f>
        <v/>
      </c>
      <c r="D4073">
        <f>IF(B4073,MOD(A4073-1,Days),"")</f>
        <v/>
      </c>
      <c r="E4073" s="16">
        <f>IF(B4073,StartDate+D4073,"")</f>
        <v/>
      </c>
      <c r="F4073">
        <f>IF(B4073,MAX(MOD(SIN(Seed*0.1373+C4073*12.9898+D4073*78.233)*43758.5453,1),1E-9),"")</f>
        <v/>
      </c>
      <c r="G4073">
        <f>IF(B4073,MOD(SIN(Seed*0.5917+C4073*39.3468+D4073*11.135)*24634.6345,1),"")</f>
        <v/>
      </c>
      <c r="H4073">
        <f>IF(B4073,SQRT(-2*LN(F4073))*COS(2*PI()*G4073),"")</f>
        <v/>
      </c>
      <c r="I4073">
        <f>IF(B4073,IF(D4073=0,H4073,Rho*I4072+SQRT(1-Rho^2)*H4073),"")</f>
        <v/>
      </c>
      <c r="J4073">
        <f>IF(B4073,IF(Dist="Normal",DistA+DistB*I4073,DistA+(DistB-DistA)*NORMSDIST(I4073)),"")</f>
        <v/>
      </c>
      <c r="K4073">
        <f>IF(B4073,INDEX(MineScale,C4073),"")</f>
        <v/>
      </c>
      <c r="L4073">
        <f>IF(B4073,INDEX(Dow,1,WEEKDAY(E4073,2)),"")</f>
        <v/>
      </c>
      <c r="M4073">
        <f>IF(B4073,(1+Trend)^D4073,"")</f>
        <v/>
      </c>
      <c r="N4073">
        <f>IF(B4073,EXP(SUMPRODUCT(LN(1+(EvEff-1)*INDEX(Affected,0,C4073)*EXP(-((E4073-EvCenter)^2)/(2*EvSigma^2))))),"")</f>
        <v/>
      </c>
      <c r="O4073">
        <f>IF(B4073,ROUND(MAX(0,J4073*K4073*L4073*M4073*N4073),2),"")</f>
        <v/>
      </c>
    </row>
    <row r="4074">
      <c r="A4074" t="n">
        <v>4073</v>
      </c>
      <c r="B4074">
        <f>A4074&lt;=MineCount*Days</f>
        <v/>
      </c>
      <c r="C4074">
        <f>IF(B4074,INT((A4074-1)/Days)+1,"")</f>
        <v/>
      </c>
      <c r="D4074">
        <f>IF(B4074,MOD(A4074-1,Days),"")</f>
        <v/>
      </c>
      <c r="E4074" s="16">
        <f>IF(B4074,StartDate+D4074,"")</f>
        <v/>
      </c>
      <c r="F4074">
        <f>IF(B4074,MAX(MOD(SIN(Seed*0.1373+C4074*12.9898+D4074*78.233)*43758.5453,1),1E-9),"")</f>
        <v/>
      </c>
      <c r="G4074">
        <f>IF(B4074,MOD(SIN(Seed*0.5917+C4074*39.3468+D4074*11.135)*24634.6345,1),"")</f>
        <v/>
      </c>
      <c r="H4074">
        <f>IF(B4074,SQRT(-2*LN(F4074))*COS(2*PI()*G4074),"")</f>
        <v/>
      </c>
      <c r="I4074">
        <f>IF(B4074,IF(D4074=0,H4074,Rho*I4073+SQRT(1-Rho^2)*H4074),"")</f>
        <v/>
      </c>
      <c r="J4074">
        <f>IF(B4074,IF(Dist="Normal",DistA+DistB*I4074,DistA+(DistB-DistA)*NORMSDIST(I4074)),"")</f>
        <v/>
      </c>
      <c r="K4074">
        <f>IF(B4074,INDEX(MineScale,C4074),"")</f>
        <v/>
      </c>
      <c r="L4074">
        <f>IF(B4074,INDEX(Dow,1,WEEKDAY(E4074,2)),"")</f>
        <v/>
      </c>
      <c r="M4074">
        <f>IF(B4074,(1+Trend)^D4074,"")</f>
        <v/>
      </c>
      <c r="N4074">
        <f>IF(B4074,EXP(SUMPRODUCT(LN(1+(EvEff-1)*INDEX(Affected,0,C4074)*EXP(-((E4074-EvCenter)^2)/(2*EvSigma^2))))),"")</f>
        <v/>
      </c>
      <c r="O4074">
        <f>IF(B4074,ROUND(MAX(0,J4074*K4074*L4074*M4074*N4074),2),"")</f>
        <v/>
      </c>
    </row>
    <row r="4075">
      <c r="A4075" t="n">
        <v>4074</v>
      </c>
      <c r="B4075">
        <f>A4075&lt;=MineCount*Days</f>
        <v/>
      </c>
      <c r="C4075">
        <f>IF(B4075,INT((A4075-1)/Days)+1,"")</f>
        <v/>
      </c>
      <c r="D4075">
        <f>IF(B4075,MOD(A4075-1,Days),"")</f>
        <v/>
      </c>
      <c r="E4075" s="16">
        <f>IF(B4075,StartDate+D4075,"")</f>
        <v/>
      </c>
      <c r="F4075">
        <f>IF(B4075,MAX(MOD(SIN(Seed*0.1373+C4075*12.9898+D4075*78.233)*43758.5453,1),1E-9),"")</f>
        <v/>
      </c>
      <c r="G4075">
        <f>IF(B4075,MOD(SIN(Seed*0.5917+C4075*39.3468+D4075*11.135)*24634.6345,1),"")</f>
        <v/>
      </c>
      <c r="H4075">
        <f>IF(B4075,SQRT(-2*LN(F4075))*COS(2*PI()*G4075),"")</f>
        <v/>
      </c>
      <c r="I4075">
        <f>IF(B4075,IF(D4075=0,H4075,Rho*I4074+SQRT(1-Rho^2)*H4075),"")</f>
        <v/>
      </c>
      <c r="J4075">
        <f>IF(B4075,IF(Dist="Normal",DistA+DistB*I4075,DistA+(DistB-DistA)*NORMSDIST(I4075)),"")</f>
        <v/>
      </c>
      <c r="K4075">
        <f>IF(B4075,INDEX(MineScale,C4075),"")</f>
        <v/>
      </c>
      <c r="L4075">
        <f>IF(B4075,INDEX(Dow,1,WEEKDAY(E4075,2)),"")</f>
        <v/>
      </c>
      <c r="M4075">
        <f>IF(B4075,(1+Trend)^D4075,"")</f>
        <v/>
      </c>
      <c r="N4075">
        <f>IF(B4075,EXP(SUMPRODUCT(LN(1+(EvEff-1)*INDEX(Affected,0,C4075)*EXP(-((E4075-EvCenter)^2)/(2*EvSigma^2))))),"")</f>
        <v/>
      </c>
      <c r="O4075">
        <f>IF(B4075,ROUND(MAX(0,J4075*K4075*L4075*M4075*N4075),2),"")</f>
        <v/>
      </c>
    </row>
    <row r="4076">
      <c r="A4076" t="n">
        <v>4075</v>
      </c>
      <c r="B4076">
        <f>A4076&lt;=MineCount*Days</f>
        <v/>
      </c>
      <c r="C4076">
        <f>IF(B4076,INT((A4076-1)/Days)+1,"")</f>
        <v/>
      </c>
      <c r="D4076">
        <f>IF(B4076,MOD(A4076-1,Days),"")</f>
        <v/>
      </c>
      <c r="E4076" s="16">
        <f>IF(B4076,StartDate+D4076,"")</f>
        <v/>
      </c>
      <c r="F4076">
        <f>IF(B4076,MAX(MOD(SIN(Seed*0.1373+C4076*12.9898+D4076*78.233)*43758.5453,1),1E-9),"")</f>
        <v/>
      </c>
      <c r="G4076">
        <f>IF(B4076,MOD(SIN(Seed*0.5917+C4076*39.3468+D4076*11.135)*24634.6345,1),"")</f>
        <v/>
      </c>
      <c r="H4076">
        <f>IF(B4076,SQRT(-2*LN(F4076))*COS(2*PI()*G4076),"")</f>
        <v/>
      </c>
      <c r="I4076">
        <f>IF(B4076,IF(D4076=0,H4076,Rho*I4075+SQRT(1-Rho^2)*H4076),"")</f>
        <v/>
      </c>
      <c r="J4076">
        <f>IF(B4076,IF(Dist="Normal",DistA+DistB*I4076,DistA+(DistB-DistA)*NORMSDIST(I4076)),"")</f>
        <v/>
      </c>
      <c r="K4076">
        <f>IF(B4076,INDEX(MineScale,C4076),"")</f>
        <v/>
      </c>
      <c r="L4076">
        <f>IF(B4076,INDEX(Dow,1,WEEKDAY(E4076,2)),"")</f>
        <v/>
      </c>
      <c r="M4076">
        <f>IF(B4076,(1+Trend)^D4076,"")</f>
        <v/>
      </c>
      <c r="N4076">
        <f>IF(B4076,EXP(SUMPRODUCT(LN(1+(EvEff-1)*INDEX(Affected,0,C4076)*EXP(-((E4076-EvCenter)^2)/(2*EvSigma^2))))),"")</f>
        <v/>
      </c>
      <c r="O4076">
        <f>IF(B4076,ROUND(MAX(0,J4076*K4076*L4076*M4076*N4076),2),"")</f>
        <v/>
      </c>
    </row>
    <row r="4077">
      <c r="A4077" t="n">
        <v>4076</v>
      </c>
      <c r="B4077">
        <f>A4077&lt;=MineCount*Days</f>
        <v/>
      </c>
      <c r="C4077">
        <f>IF(B4077,INT((A4077-1)/Days)+1,"")</f>
        <v/>
      </c>
      <c r="D4077">
        <f>IF(B4077,MOD(A4077-1,Days),"")</f>
        <v/>
      </c>
      <c r="E4077" s="16">
        <f>IF(B4077,StartDate+D4077,"")</f>
        <v/>
      </c>
      <c r="F4077">
        <f>IF(B4077,MAX(MOD(SIN(Seed*0.1373+C4077*12.9898+D4077*78.233)*43758.5453,1),1E-9),"")</f>
        <v/>
      </c>
      <c r="G4077">
        <f>IF(B4077,MOD(SIN(Seed*0.5917+C4077*39.3468+D4077*11.135)*24634.6345,1),"")</f>
        <v/>
      </c>
      <c r="H4077">
        <f>IF(B4077,SQRT(-2*LN(F4077))*COS(2*PI()*G4077),"")</f>
        <v/>
      </c>
      <c r="I4077">
        <f>IF(B4077,IF(D4077=0,H4077,Rho*I4076+SQRT(1-Rho^2)*H4077),"")</f>
        <v/>
      </c>
      <c r="J4077">
        <f>IF(B4077,IF(Dist="Normal",DistA+DistB*I4077,DistA+(DistB-DistA)*NORMSDIST(I4077)),"")</f>
        <v/>
      </c>
      <c r="K4077">
        <f>IF(B4077,INDEX(MineScale,C4077),"")</f>
        <v/>
      </c>
      <c r="L4077">
        <f>IF(B4077,INDEX(Dow,1,WEEKDAY(E4077,2)),"")</f>
        <v/>
      </c>
      <c r="M4077">
        <f>IF(B4077,(1+Trend)^D4077,"")</f>
        <v/>
      </c>
      <c r="N4077">
        <f>IF(B4077,EXP(SUMPRODUCT(LN(1+(EvEff-1)*INDEX(Affected,0,C4077)*EXP(-((E4077-EvCenter)^2)/(2*EvSigma^2))))),"")</f>
        <v/>
      </c>
      <c r="O4077">
        <f>IF(B4077,ROUND(MAX(0,J4077*K4077*L4077*M4077*N4077),2),"")</f>
        <v/>
      </c>
    </row>
    <row r="4078">
      <c r="A4078" t="n">
        <v>4077</v>
      </c>
      <c r="B4078">
        <f>A4078&lt;=MineCount*Days</f>
        <v/>
      </c>
      <c r="C4078">
        <f>IF(B4078,INT((A4078-1)/Days)+1,"")</f>
        <v/>
      </c>
      <c r="D4078">
        <f>IF(B4078,MOD(A4078-1,Days),"")</f>
        <v/>
      </c>
      <c r="E4078" s="16">
        <f>IF(B4078,StartDate+D4078,"")</f>
        <v/>
      </c>
      <c r="F4078">
        <f>IF(B4078,MAX(MOD(SIN(Seed*0.1373+C4078*12.9898+D4078*78.233)*43758.5453,1),1E-9),"")</f>
        <v/>
      </c>
      <c r="G4078">
        <f>IF(B4078,MOD(SIN(Seed*0.5917+C4078*39.3468+D4078*11.135)*24634.6345,1),"")</f>
        <v/>
      </c>
      <c r="H4078">
        <f>IF(B4078,SQRT(-2*LN(F4078))*COS(2*PI()*G4078),"")</f>
        <v/>
      </c>
      <c r="I4078">
        <f>IF(B4078,IF(D4078=0,H4078,Rho*I4077+SQRT(1-Rho^2)*H4078),"")</f>
        <v/>
      </c>
      <c r="J4078">
        <f>IF(B4078,IF(Dist="Normal",DistA+DistB*I4078,DistA+(DistB-DistA)*NORMSDIST(I4078)),"")</f>
        <v/>
      </c>
      <c r="K4078">
        <f>IF(B4078,INDEX(MineScale,C4078),"")</f>
        <v/>
      </c>
      <c r="L4078">
        <f>IF(B4078,INDEX(Dow,1,WEEKDAY(E4078,2)),"")</f>
        <v/>
      </c>
      <c r="M4078">
        <f>IF(B4078,(1+Trend)^D4078,"")</f>
        <v/>
      </c>
      <c r="N4078">
        <f>IF(B4078,EXP(SUMPRODUCT(LN(1+(EvEff-1)*INDEX(Affected,0,C4078)*EXP(-((E4078-EvCenter)^2)/(2*EvSigma^2))))),"")</f>
        <v/>
      </c>
      <c r="O4078">
        <f>IF(B4078,ROUND(MAX(0,J4078*K4078*L4078*M4078*N4078),2),"")</f>
        <v/>
      </c>
    </row>
    <row r="4079">
      <c r="A4079" t="n">
        <v>4078</v>
      </c>
      <c r="B4079">
        <f>A4079&lt;=MineCount*Days</f>
        <v/>
      </c>
      <c r="C4079">
        <f>IF(B4079,INT((A4079-1)/Days)+1,"")</f>
        <v/>
      </c>
      <c r="D4079">
        <f>IF(B4079,MOD(A4079-1,Days),"")</f>
        <v/>
      </c>
      <c r="E4079" s="16">
        <f>IF(B4079,StartDate+D4079,"")</f>
        <v/>
      </c>
      <c r="F4079">
        <f>IF(B4079,MAX(MOD(SIN(Seed*0.1373+C4079*12.9898+D4079*78.233)*43758.5453,1),1E-9),"")</f>
        <v/>
      </c>
      <c r="G4079">
        <f>IF(B4079,MOD(SIN(Seed*0.5917+C4079*39.3468+D4079*11.135)*24634.6345,1),"")</f>
        <v/>
      </c>
      <c r="H4079">
        <f>IF(B4079,SQRT(-2*LN(F4079))*COS(2*PI()*G4079),"")</f>
        <v/>
      </c>
      <c r="I4079">
        <f>IF(B4079,IF(D4079=0,H4079,Rho*I4078+SQRT(1-Rho^2)*H4079),"")</f>
        <v/>
      </c>
      <c r="J4079">
        <f>IF(B4079,IF(Dist="Normal",DistA+DistB*I4079,DistA+(DistB-DistA)*NORMSDIST(I4079)),"")</f>
        <v/>
      </c>
      <c r="K4079">
        <f>IF(B4079,INDEX(MineScale,C4079),"")</f>
        <v/>
      </c>
      <c r="L4079">
        <f>IF(B4079,INDEX(Dow,1,WEEKDAY(E4079,2)),"")</f>
        <v/>
      </c>
      <c r="M4079">
        <f>IF(B4079,(1+Trend)^D4079,"")</f>
        <v/>
      </c>
      <c r="N4079">
        <f>IF(B4079,EXP(SUMPRODUCT(LN(1+(EvEff-1)*INDEX(Affected,0,C4079)*EXP(-((E4079-EvCenter)^2)/(2*EvSigma^2))))),"")</f>
        <v/>
      </c>
      <c r="O4079">
        <f>IF(B4079,ROUND(MAX(0,J4079*K4079*L4079*M4079*N4079),2),"")</f>
        <v/>
      </c>
    </row>
    <row r="4080">
      <c r="A4080" t="n">
        <v>4079</v>
      </c>
      <c r="B4080">
        <f>A4080&lt;=MineCount*Days</f>
        <v/>
      </c>
      <c r="C4080">
        <f>IF(B4080,INT((A4080-1)/Days)+1,"")</f>
        <v/>
      </c>
      <c r="D4080">
        <f>IF(B4080,MOD(A4080-1,Days),"")</f>
        <v/>
      </c>
      <c r="E4080" s="16">
        <f>IF(B4080,StartDate+D4080,"")</f>
        <v/>
      </c>
      <c r="F4080">
        <f>IF(B4080,MAX(MOD(SIN(Seed*0.1373+C4080*12.9898+D4080*78.233)*43758.5453,1),1E-9),"")</f>
        <v/>
      </c>
      <c r="G4080">
        <f>IF(B4080,MOD(SIN(Seed*0.5917+C4080*39.3468+D4080*11.135)*24634.6345,1),"")</f>
        <v/>
      </c>
      <c r="H4080">
        <f>IF(B4080,SQRT(-2*LN(F4080))*COS(2*PI()*G4080),"")</f>
        <v/>
      </c>
      <c r="I4080">
        <f>IF(B4080,IF(D4080=0,H4080,Rho*I4079+SQRT(1-Rho^2)*H4080),"")</f>
        <v/>
      </c>
      <c r="J4080">
        <f>IF(B4080,IF(Dist="Normal",DistA+DistB*I4080,DistA+(DistB-DistA)*NORMSDIST(I4080)),"")</f>
        <v/>
      </c>
      <c r="K4080">
        <f>IF(B4080,INDEX(MineScale,C4080),"")</f>
        <v/>
      </c>
      <c r="L4080">
        <f>IF(B4080,INDEX(Dow,1,WEEKDAY(E4080,2)),"")</f>
        <v/>
      </c>
      <c r="M4080">
        <f>IF(B4080,(1+Trend)^D4080,"")</f>
        <v/>
      </c>
      <c r="N4080">
        <f>IF(B4080,EXP(SUMPRODUCT(LN(1+(EvEff-1)*INDEX(Affected,0,C4080)*EXP(-((E4080-EvCenter)^2)/(2*EvSigma^2))))),"")</f>
        <v/>
      </c>
      <c r="O4080">
        <f>IF(B4080,ROUND(MAX(0,J4080*K4080*L4080*M4080*N4080),2),"")</f>
        <v/>
      </c>
    </row>
    <row r="4081">
      <c r="A4081" t="n">
        <v>4080</v>
      </c>
      <c r="B4081">
        <f>A4081&lt;=MineCount*Days</f>
        <v/>
      </c>
      <c r="C4081">
        <f>IF(B4081,INT((A4081-1)/Days)+1,"")</f>
        <v/>
      </c>
      <c r="D4081">
        <f>IF(B4081,MOD(A4081-1,Days),"")</f>
        <v/>
      </c>
      <c r="E4081" s="16">
        <f>IF(B4081,StartDate+D4081,"")</f>
        <v/>
      </c>
      <c r="F4081">
        <f>IF(B4081,MAX(MOD(SIN(Seed*0.1373+C4081*12.9898+D4081*78.233)*43758.5453,1),1E-9),"")</f>
        <v/>
      </c>
      <c r="G4081">
        <f>IF(B4081,MOD(SIN(Seed*0.5917+C4081*39.3468+D4081*11.135)*24634.6345,1),"")</f>
        <v/>
      </c>
      <c r="H4081">
        <f>IF(B4081,SQRT(-2*LN(F4081))*COS(2*PI()*G4081),"")</f>
        <v/>
      </c>
      <c r="I4081">
        <f>IF(B4081,IF(D4081=0,H4081,Rho*I4080+SQRT(1-Rho^2)*H4081),"")</f>
        <v/>
      </c>
      <c r="J4081">
        <f>IF(B4081,IF(Dist="Normal",DistA+DistB*I4081,DistA+(DistB-DistA)*NORMSDIST(I4081)),"")</f>
        <v/>
      </c>
      <c r="K4081">
        <f>IF(B4081,INDEX(MineScale,C4081),"")</f>
        <v/>
      </c>
      <c r="L4081">
        <f>IF(B4081,INDEX(Dow,1,WEEKDAY(E4081,2)),"")</f>
        <v/>
      </c>
      <c r="M4081">
        <f>IF(B4081,(1+Trend)^D4081,"")</f>
        <v/>
      </c>
      <c r="N4081">
        <f>IF(B4081,EXP(SUMPRODUCT(LN(1+(EvEff-1)*INDEX(Affected,0,C4081)*EXP(-((E4081-EvCenter)^2)/(2*EvSigma^2))))),"")</f>
        <v/>
      </c>
      <c r="O4081">
        <f>IF(B4081,ROUND(MAX(0,J4081*K4081*L4081*M4081*N4081),2),"")</f>
        <v/>
      </c>
    </row>
    <row r="4082">
      <c r="A4082" t="n">
        <v>4081</v>
      </c>
      <c r="B4082">
        <f>A4082&lt;=MineCount*Days</f>
        <v/>
      </c>
      <c r="C4082">
        <f>IF(B4082,INT((A4082-1)/Days)+1,"")</f>
        <v/>
      </c>
      <c r="D4082">
        <f>IF(B4082,MOD(A4082-1,Days),"")</f>
        <v/>
      </c>
      <c r="E4082" s="16">
        <f>IF(B4082,StartDate+D4082,"")</f>
        <v/>
      </c>
      <c r="F4082">
        <f>IF(B4082,MAX(MOD(SIN(Seed*0.1373+C4082*12.9898+D4082*78.233)*43758.5453,1),1E-9),"")</f>
        <v/>
      </c>
      <c r="G4082">
        <f>IF(B4082,MOD(SIN(Seed*0.5917+C4082*39.3468+D4082*11.135)*24634.6345,1),"")</f>
        <v/>
      </c>
      <c r="H4082">
        <f>IF(B4082,SQRT(-2*LN(F4082))*COS(2*PI()*G4082),"")</f>
        <v/>
      </c>
      <c r="I4082">
        <f>IF(B4082,IF(D4082=0,H4082,Rho*I4081+SQRT(1-Rho^2)*H4082),"")</f>
        <v/>
      </c>
      <c r="J4082">
        <f>IF(B4082,IF(Dist="Normal",DistA+DistB*I4082,DistA+(DistB-DistA)*NORMSDIST(I4082)),"")</f>
        <v/>
      </c>
      <c r="K4082">
        <f>IF(B4082,INDEX(MineScale,C4082),"")</f>
        <v/>
      </c>
      <c r="L4082">
        <f>IF(B4082,INDEX(Dow,1,WEEKDAY(E4082,2)),"")</f>
        <v/>
      </c>
      <c r="M4082">
        <f>IF(B4082,(1+Trend)^D4082,"")</f>
        <v/>
      </c>
      <c r="N4082">
        <f>IF(B4082,EXP(SUMPRODUCT(LN(1+(EvEff-1)*INDEX(Affected,0,C4082)*EXP(-((E4082-EvCenter)^2)/(2*EvSigma^2))))),"")</f>
        <v/>
      </c>
      <c r="O4082">
        <f>IF(B4082,ROUND(MAX(0,J4082*K4082*L4082*M4082*N4082),2),"")</f>
        <v/>
      </c>
    </row>
    <row r="4083">
      <c r="A4083" t="n">
        <v>4082</v>
      </c>
      <c r="B4083">
        <f>A4083&lt;=MineCount*Days</f>
        <v/>
      </c>
      <c r="C4083">
        <f>IF(B4083,INT((A4083-1)/Days)+1,"")</f>
        <v/>
      </c>
      <c r="D4083">
        <f>IF(B4083,MOD(A4083-1,Days),"")</f>
        <v/>
      </c>
      <c r="E4083" s="16">
        <f>IF(B4083,StartDate+D4083,"")</f>
        <v/>
      </c>
      <c r="F4083">
        <f>IF(B4083,MAX(MOD(SIN(Seed*0.1373+C4083*12.9898+D4083*78.233)*43758.5453,1),1E-9),"")</f>
        <v/>
      </c>
      <c r="G4083">
        <f>IF(B4083,MOD(SIN(Seed*0.5917+C4083*39.3468+D4083*11.135)*24634.6345,1),"")</f>
        <v/>
      </c>
      <c r="H4083">
        <f>IF(B4083,SQRT(-2*LN(F4083))*COS(2*PI()*G4083),"")</f>
        <v/>
      </c>
      <c r="I4083">
        <f>IF(B4083,IF(D4083=0,H4083,Rho*I4082+SQRT(1-Rho^2)*H4083),"")</f>
        <v/>
      </c>
      <c r="J4083">
        <f>IF(B4083,IF(Dist="Normal",DistA+DistB*I4083,DistA+(DistB-DistA)*NORMSDIST(I4083)),"")</f>
        <v/>
      </c>
      <c r="K4083">
        <f>IF(B4083,INDEX(MineScale,C4083),"")</f>
        <v/>
      </c>
      <c r="L4083">
        <f>IF(B4083,INDEX(Dow,1,WEEKDAY(E4083,2)),"")</f>
        <v/>
      </c>
      <c r="M4083">
        <f>IF(B4083,(1+Trend)^D4083,"")</f>
        <v/>
      </c>
      <c r="N4083">
        <f>IF(B4083,EXP(SUMPRODUCT(LN(1+(EvEff-1)*INDEX(Affected,0,C4083)*EXP(-((E4083-EvCenter)^2)/(2*EvSigma^2))))),"")</f>
        <v/>
      </c>
      <c r="O4083">
        <f>IF(B4083,ROUND(MAX(0,J4083*K4083*L4083*M4083*N4083),2),"")</f>
        <v/>
      </c>
    </row>
    <row r="4084">
      <c r="A4084" t="n">
        <v>4083</v>
      </c>
      <c r="B4084">
        <f>A4084&lt;=MineCount*Days</f>
        <v/>
      </c>
      <c r="C4084">
        <f>IF(B4084,INT((A4084-1)/Days)+1,"")</f>
        <v/>
      </c>
      <c r="D4084">
        <f>IF(B4084,MOD(A4084-1,Days),"")</f>
        <v/>
      </c>
      <c r="E4084" s="16">
        <f>IF(B4084,StartDate+D4084,"")</f>
        <v/>
      </c>
      <c r="F4084">
        <f>IF(B4084,MAX(MOD(SIN(Seed*0.1373+C4084*12.9898+D4084*78.233)*43758.5453,1),1E-9),"")</f>
        <v/>
      </c>
      <c r="G4084">
        <f>IF(B4084,MOD(SIN(Seed*0.5917+C4084*39.3468+D4084*11.135)*24634.6345,1),"")</f>
        <v/>
      </c>
      <c r="H4084">
        <f>IF(B4084,SQRT(-2*LN(F4084))*COS(2*PI()*G4084),"")</f>
        <v/>
      </c>
      <c r="I4084">
        <f>IF(B4084,IF(D4084=0,H4084,Rho*I4083+SQRT(1-Rho^2)*H4084),"")</f>
        <v/>
      </c>
      <c r="J4084">
        <f>IF(B4084,IF(Dist="Normal",DistA+DistB*I4084,DistA+(DistB-DistA)*NORMSDIST(I4084)),"")</f>
        <v/>
      </c>
      <c r="K4084">
        <f>IF(B4084,INDEX(MineScale,C4084),"")</f>
        <v/>
      </c>
      <c r="L4084">
        <f>IF(B4084,INDEX(Dow,1,WEEKDAY(E4084,2)),"")</f>
        <v/>
      </c>
      <c r="M4084">
        <f>IF(B4084,(1+Trend)^D4084,"")</f>
        <v/>
      </c>
      <c r="N4084">
        <f>IF(B4084,EXP(SUMPRODUCT(LN(1+(EvEff-1)*INDEX(Affected,0,C4084)*EXP(-((E4084-EvCenter)^2)/(2*EvSigma^2))))),"")</f>
        <v/>
      </c>
      <c r="O4084">
        <f>IF(B4084,ROUND(MAX(0,J4084*K4084*L4084*M4084*N4084),2),"")</f>
        <v/>
      </c>
    </row>
    <row r="4085">
      <c r="A4085" t="n">
        <v>4084</v>
      </c>
      <c r="B4085">
        <f>A4085&lt;=MineCount*Days</f>
        <v/>
      </c>
      <c r="C4085">
        <f>IF(B4085,INT((A4085-1)/Days)+1,"")</f>
        <v/>
      </c>
      <c r="D4085">
        <f>IF(B4085,MOD(A4085-1,Days),"")</f>
        <v/>
      </c>
      <c r="E4085" s="16">
        <f>IF(B4085,StartDate+D4085,"")</f>
        <v/>
      </c>
      <c r="F4085">
        <f>IF(B4085,MAX(MOD(SIN(Seed*0.1373+C4085*12.9898+D4085*78.233)*43758.5453,1),1E-9),"")</f>
        <v/>
      </c>
      <c r="G4085">
        <f>IF(B4085,MOD(SIN(Seed*0.5917+C4085*39.3468+D4085*11.135)*24634.6345,1),"")</f>
        <v/>
      </c>
      <c r="H4085">
        <f>IF(B4085,SQRT(-2*LN(F4085))*COS(2*PI()*G4085),"")</f>
        <v/>
      </c>
      <c r="I4085">
        <f>IF(B4085,IF(D4085=0,H4085,Rho*I4084+SQRT(1-Rho^2)*H4085),"")</f>
        <v/>
      </c>
      <c r="J4085">
        <f>IF(B4085,IF(Dist="Normal",DistA+DistB*I4085,DistA+(DistB-DistA)*NORMSDIST(I4085)),"")</f>
        <v/>
      </c>
      <c r="K4085">
        <f>IF(B4085,INDEX(MineScale,C4085),"")</f>
        <v/>
      </c>
      <c r="L4085">
        <f>IF(B4085,INDEX(Dow,1,WEEKDAY(E4085,2)),"")</f>
        <v/>
      </c>
      <c r="M4085">
        <f>IF(B4085,(1+Trend)^D4085,"")</f>
        <v/>
      </c>
      <c r="N4085">
        <f>IF(B4085,EXP(SUMPRODUCT(LN(1+(EvEff-1)*INDEX(Affected,0,C4085)*EXP(-((E4085-EvCenter)^2)/(2*EvSigma^2))))),"")</f>
        <v/>
      </c>
      <c r="O4085">
        <f>IF(B4085,ROUND(MAX(0,J4085*K4085*L4085*M4085*N4085),2),"")</f>
        <v/>
      </c>
    </row>
    <row r="4086">
      <c r="A4086" t="n">
        <v>4085</v>
      </c>
      <c r="B4086">
        <f>A4086&lt;=MineCount*Days</f>
        <v/>
      </c>
      <c r="C4086">
        <f>IF(B4086,INT((A4086-1)/Days)+1,"")</f>
        <v/>
      </c>
      <c r="D4086">
        <f>IF(B4086,MOD(A4086-1,Days),"")</f>
        <v/>
      </c>
      <c r="E4086" s="16">
        <f>IF(B4086,StartDate+D4086,"")</f>
        <v/>
      </c>
      <c r="F4086">
        <f>IF(B4086,MAX(MOD(SIN(Seed*0.1373+C4086*12.9898+D4086*78.233)*43758.5453,1),1E-9),"")</f>
        <v/>
      </c>
      <c r="G4086">
        <f>IF(B4086,MOD(SIN(Seed*0.5917+C4086*39.3468+D4086*11.135)*24634.6345,1),"")</f>
        <v/>
      </c>
      <c r="H4086">
        <f>IF(B4086,SQRT(-2*LN(F4086))*COS(2*PI()*G4086),"")</f>
        <v/>
      </c>
      <c r="I4086">
        <f>IF(B4086,IF(D4086=0,H4086,Rho*I4085+SQRT(1-Rho^2)*H4086),"")</f>
        <v/>
      </c>
      <c r="J4086">
        <f>IF(B4086,IF(Dist="Normal",DistA+DistB*I4086,DistA+(DistB-DistA)*NORMSDIST(I4086)),"")</f>
        <v/>
      </c>
      <c r="K4086">
        <f>IF(B4086,INDEX(MineScale,C4086),"")</f>
        <v/>
      </c>
      <c r="L4086">
        <f>IF(B4086,INDEX(Dow,1,WEEKDAY(E4086,2)),"")</f>
        <v/>
      </c>
      <c r="M4086">
        <f>IF(B4086,(1+Trend)^D4086,"")</f>
        <v/>
      </c>
      <c r="N4086">
        <f>IF(B4086,EXP(SUMPRODUCT(LN(1+(EvEff-1)*INDEX(Affected,0,C4086)*EXP(-((E4086-EvCenter)^2)/(2*EvSigma^2))))),"")</f>
        <v/>
      </c>
      <c r="O4086">
        <f>IF(B4086,ROUND(MAX(0,J4086*K4086*L4086*M4086*N4086),2),"")</f>
        <v/>
      </c>
    </row>
    <row r="4087">
      <c r="A4087" t="n">
        <v>4086</v>
      </c>
      <c r="B4087">
        <f>A4087&lt;=MineCount*Days</f>
        <v/>
      </c>
      <c r="C4087">
        <f>IF(B4087,INT((A4087-1)/Days)+1,"")</f>
        <v/>
      </c>
      <c r="D4087">
        <f>IF(B4087,MOD(A4087-1,Days),"")</f>
        <v/>
      </c>
      <c r="E4087" s="16">
        <f>IF(B4087,StartDate+D4087,"")</f>
        <v/>
      </c>
      <c r="F4087">
        <f>IF(B4087,MAX(MOD(SIN(Seed*0.1373+C4087*12.9898+D4087*78.233)*43758.5453,1),1E-9),"")</f>
        <v/>
      </c>
      <c r="G4087">
        <f>IF(B4087,MOD(SIN(Seed*0.5917+C4087*39.3468+D4087*11.135)*24634.6345,1),"")</f>
        <v/>
      </c>
      <c r="H4087">
        <f>IF(B4087,SQRT(-2*LN(F4087))*COS(2*PI()*G4087),"")</f>
        <v/>
      </c>
      <c r="I4087">
        <f>IF(B4087,IF(D4087=0,H4087,Rho*I4086+SQRT(1-Rho^2)*H4087),"")</f>
        <v/>
      </c>
      <c r="J4087">
        <f>IF(B4087,IF(Dist="Normal",DistA+DistB*I4087,DistA+(DistB-DistA)*NORMSDIST(I4087)),"")</f>
        <v/>
      </c>
      <c r="K4087">
        <f>IF(B4087,INDEX(MineScale,C4087),"")</f>
        <v/>
      </c>
      <c r="L4087">
        <f>IF(B4087,INDEX(Dow,1,WEEKDAY(E4087,2)),"")</f>
        <v/>
      </c>
      <c r="M4087">
        <f>IF(B4087,(1+Trend)^D4087,"")</f>
        <v/>
      </c>
      <c r="N4087">
        <f>IF(B4087,EXP(SUMPRODUCT(LN(1+(EvEff-1)*INDEX(Affected,0,C4087)*EXP(-((E4087-EvCenter)^2)/(2*EvSigma^2))))),"")</f>
        <v/>
      </c>
      <c r="O4087">
        <f>IF(B4087,ROUND(MAX(0,J4087*K4087*L4087*M4087*N4087),2),"")</f>
        <v/>
      </c>
    </row>
    <row r="4088">
      <c r="A4088" t="n">
        <v>4087</v>
      </c>
      <c r="B4088">
        <f>A4088&lt;=MineCount*Days</f>
        <v/>
      </c>
      <c r="C4088">
        <f>IF(B4088,INT((A4088-1)/Days)+1,"")</f>
        <v/>
      </c>
      <c r="D4088">
        <f>IF(B4088,MOD(A4088-1,Days),"")</f>
        <v/>
      </c>
      <c r="E4088" s="16">
        <f>IF(B4088,StartDate+D4088,"")</f>
        <v/>
      </c>
      <c r="F4088">
        <f>IF(B4088,MAX(MOD(SIN(Seed*0.1373+C4088*12.9898+D4088*78.233)*43758.5453,1),1E-9),"")</f>
        <v/>
      </c>
      <c r="G4088">
        <f>IF(B4088,MOD(SIN(Seed*0.5917+C4088*39.3468+D4088*11.135)*24634.6345,1),"")</f>
        <v/>
      </c>
      <c r="H4088">
        <f>IF(B4088,SQRT(-2*LN(F4088))*COS(2*PI()*G4088),"")</f>
        <v/>
      </c>
      <c r="I4088">
        <f>IF(B4088,IF(D4088=0,H4088,Rho*I4087+SQRT(1-Rho^2)*H4088),"")</f>
        <v/>
      </c>
      <c r="J4088">
        <f>IF(B4088,IF(Dist="Normal",DistA+DistB*I4088,DistA+(DistB-DistA)*NORMSDIST(I4088)),"")</f>
        <v/>
      </c>
      <c r="K4088">
        <f>IF(B4088,INDEX(MineScale,C4088),"")</f>
        <v/>
      </c>
      <c r="L4088">
        <f>IF(B4088,INDEX(Dow,1,WEEKDAY(E4088,2)),"")</f>
        <v/>
      </c>
      <c r="M4088">
        <f>IF(B4088,(1+Trend)^D4088,"")</f>
        <v/>
      </c>
      <c r="N4088">
        <f>IF(B4088,EXP(SUMPRODUCT(LN(1+(EvEff-1)*INDEX(Affected,0,C4088)*EXP(-((E4088-EvCenter)^2)/(2*EvSigma^2))))),"")</f>
        <v/>
      </c>
      <c r="O4088">
        <f>IF(B4088,ROUND(MAX(0,J4088*K4088*L4088*M4088*N4088),2),"")</f>
        <v/>
      </c>
    </row>
    <row r="4089">
      <c r="A4089" t="n">
        <v>4088</v>
      </c>
      <c r="B4089">
        <f>A4089&lt;=MineCount*Days</f>
        <v/>
      </c>
      <c r="C4089">
        <f>IF(B4089,INT((A4089-1)/Days)+1,"")</f>
        <v/>
      </c>
      <c r="D4089">
        <f>IF(B4089,MOD(A4089-1,Days),"")</f>
        <v/>
      </c>
      <c r="E4089" s="16">
        <f>IF(B4089,StartDate+D4089,"")</f>
        <v/>
      </c>
      <c r="F4089">
        <f>IF(B4089,MAX(MOD(SIN(Seed*0.1373+C4089*12.9898+D4089*78.233)*43758.5453,1),1E-9),"")</f>
        <v/>
      </c>
      <c r="G4089">
        <f>IF(B4089,MOD(SIN(Seed*0.5917+C4089*39.3468+D4089*11.135)*24634.6345,1),"")</f>
        <v/>
      </c>
      <c r="H4089">
        <f>IF(B4089,SQRT(-2*LN(F4089))*COS(2*PI()*G4089),"")</f>
        <v/>
      </c>
      <c r="I4089">
        <f>IF(B4089,IF(D4089=0,H4089,Rho*I4088+SQRT(1-Rho^2)*H4089),"")</f>
        <v/>
      </c>
      <c r="J4089">
        <f>IF(B4089,IF(Dist="Normal",DistA+DistB*I4089,DistA+(DistB-DistA)*NORMSDIST(I4089)),"")</f>
        <v/>
      </c>
      <c r="K4089">
        <f>IF(B4089,INDEX(MineScale,C4089),"")</f>
        <v/>
      </c>
      <c r="L4089">
        <f>IF(B4089,INDEX(Dow,1,WEEKDAY(E4089,2)),"")</f>
        <v/>
      </c>
      <c r="M4089">
        <f>IF(B4089,(1+Trend)^D4089,"")</f>
        <v/>
      </c>
      <c r="N4089">
        <f>IF(B4089,EXP(SUMPRODUCT(LN(1+(EvEff-1)*INDEX(Affected,0,C4089)*EXP(-((E4089-EvCenter)^2)/(2*EvSigma^2))))),"")</f>
        <v/>
      </c>
      <c r="O4089">
        <f>IF(B4089,ROUND(MAX(0,J4089*K4089*L4089*M4089*N4089),2),"")</f>
        <v/>
      </c>
    </row>
    <row r="4090">
      <c r="A4090" t="n">
        <v>4089</v>
      </c>
      <c r="B4090">
        <f>A4090&lt;=MineCount*Days</f>
        <v/>
      </c>
      <c r="C4090">
        <f>IF(B4090,INT((A4090-1)/Days)+1,"")</f>
        <v/>
      </c>
      <c r="D4090">
        <f>IF(B4090,MOD(A4090-1,Days),"")</f>
        <v/>
      </c>
      <c r="E4090" s="16">
        <f>IF(B4090,StartDate+D4090,"")</f>
        <v/>
      </c>
      <c r="F4090">
        <f>IF(B4090,MAX(MOD(SIN(Seed*0.1373+C4090*12.9898+D4090*78.233)*43758.5453,1),1E-9),"")</f>
        <v/>
      </c>
      <c r="G4090">
        <f>IF(B4090,MOD(SIN(Seed*0.5917+C4090*39.3468+D4090*11.135)*24634.6345,1),"")</f>
        <v/>
      </c>
      <c r="H4090">
        <f>IF(B4090,SQRT(-2*LN(F4090))*COS(2*PI()*G4090),"")</f>
        <v/>
      </c>
      <c r="I4090">
        <f>IF(B4090,IF(D4090=0,H4090,Rho*I4089+SQRT(1-Rho^2)*H4090),"")</f>
        <v/>
      </c>
      <c r="J4090">
        <f>IF(B4090,IF(Dist="Normal",DistA+DistB*I4090,DistA+(DistB-DistA)*NORMSDIST(I4090)),"")</f>
        <v/>
      </c>
      <c r="K4090">
        <f>IF(B4090,INDEX(MineScale,C4090),"")</f>
        <v/>
      </c>
      <c r="L4090">
        <f>IF(B4090,INDEX(Dow,1,WEEKDAY(E4090,2)),"")</f>
        <v/>
      </c>
      <c r="M4090">
        <f>IF(B4090,(1+Trend)^D4090,"")</f>
        <v/>
      </c>
      <c r="N4090">
        <f>IF(B4090,EXP(SUMPRODUCT(LN(1+(EvEff-1)*INDEX(Affected,0,C4090)*EXP(-((E4090-EvCenter)^2)/(2*EvSigma^2))))),"")</f>
        <v/>
      </c>
      <c r="O4090">
        <f>IF(B4090,ROUND(MAX(0,J4090*K4090*L4090*M4090*N4090),2),"")</f>
        <v/>
      </c>
    </row>
    <row r="4091">
      <c r="A4091" t="n">
        <v>4090</v>
      </c>
      <c r="B4091">
        <f>A4091&lt;=MineCount*Days</f>
        <v/>
      </c>
      <c r="C4091">
        <f>IF(B4091,INT((A4091-1)/Days)+1,"")</f>
        <v/>
      </c>
      <c r="D4091">
        <f>IF(B4091,MOD(A4091-1,Days),"")</f>
        <v/>
      </c>
      <c r="E4091" s="16">
        <f>IF(B4091,StartDate+D4091,"")</f>
        <v/>
      </c>
      <c r="F4091">
        <f>IF(B4091,MAX(MOD(SIN(Seed*0.1373+C4091*12.9898+D4091*78.233)*43758.5453,1),1E-9),"")</f>
        <v/>
      </c>
      <c r="G4091">
        <f>IF(B4091,MOD(SIN(Seed*0.5917+C4091*39.3468+D4091*11.135)*24634.6345,1),"")</f>
        <v/>
      </c>
      <c r="H4091">
        <f>IF(B4091,SQRT(-2*LN(F4091))*COS(2*PI()*G4091),"")</f>
        <v/>
      </c>
      <c r="I4091">
        <f>IF(B4091,IF(D4091=0,H4091,Rho*I4090+SQRT(1-Rho^2)*H4091),"")</f>
        <v/>
      </c>
      <c r="J4091">
        <f>IF(B4091,IF(Dist="Normal",DistA+DistB*I4091,DistA+(DistB-DistA)*NORMSDIST(I4091)),"")</f>
        <v/>
      </c>
      <c r="K4091">
        <f>IF(B4091,INDEX(MineScale,C4091),"")</f>
        <v/>
      </c>
      <c r="L4091">
        <f>IF(B4091,INDEX(Dow,1,WEEKDAY(E4091,2)),"")</f>
        <v/>
      </c>
      <c r="M4091">
        <f>IF(B4091,(1+Trend)^D4091,"")</f>
        <v/>
      </c>
      <c r="N4091">
        <f>IF(B4091,EXP(SUMPRODUCT(LN(1+(EvEff-1)*INDEX(Affected,0,C4091)*EXP(-((E4091-EvCenter)^2)/(2*EvSigma^2))))),"")</f>
        <v/>
      </c>
      <c r="O4091">
        <f>IF(B4091,ROUND(MAX(0,J4091*K4091*L4091*M4091*N4091),2),"")</f>
        <v/>
      </c>
    </row>
    <row r="4092">
      <c r="A4092" t="n">
        <v>4091</v>
      </c>
      <c r="B4092">
        <f>A4092&lt;=MineCount*Days</f>
        <v/>
      </c>
      <c r="C4092">
        <f>IF(B4092,INT((A4092-1)/Days)+1,"")</f>
        <v/>
      </c>
      <c r="D4092">
        <f>IF(B4092,MOD(A4092-1,Days),"")</f>
        <v/>
      </c>
      <c r="E4092" s="16">
        <f>IF(B4092,StartDate+D4092,"")</f>
        <v/>
      </c>
      <c r="F4092">
        <f>IF(B4092,MAX(MOD(SIN(Seed*0.1373+C4092*12.9898+D4092*78.233)*43758.5453,1),1E-9),"")</f>
        <v/>
      </c>
      <c r="G4092">
        <f>IF(B4092,MOD(SIN(Seed*0.5917+C4092*39.3468+D4092*11.135)*24634.6345,1),"")</f>
        <v/>
      </c>
      <c r="H4092">
        <f>IF(B4092,SQRT(-2*LN(F4092))*COS(2*PI()*G4092),"")</f>
        <v/>
      </c>
      <c r="I4092">
        <f>IF(B4092,IF(D4092=0,H4092,Rho*I4091+SQRT(1-Rho^2)*H4092),"")</f>
        <v/>
      </c>
      <c r="J4092">
        <f>IF(B4092,IF(Dist="Normal",DistA+DistB*I4092,DistA+(DistB-DistA)*NORMSDIST(I4092)),"")</f>
        <v/>
      </c>
      <c r="K4092">
        <f>IF(B4092,INDEX(MineScale,C4092),"")</f>
        <v/>
      </c>
      <c r="L4092">
        <f>IF(B4092,INDEX(Dow,1,WEEKDAY(E4092,2)),"")</f>
        <v/>
      </c>
      <c r="M4092">
        <f>IF(B4092,(1+Trend)^D4092,"")</f>
        <v/>
      </c>
      <c r="N4092">
        <f>IF(B4092,EXP(SUMPRODUCT(LN(1+(EvEff-1)*INDEX(Affected,0,C4092)*EXP(-((E4092-EvCenter)^2)/(2*EvSigma^2))))),"")</f>
        <v/>
      </c>
      <c r="O4092">
        <f>IF(B4092,ROUND(MAX(0,J4092*K4092*L4092*M4092*N4092),2),"")</f>
        <v/>
      </c>
    </row>
    <row r="4093">
      <c r="A4093" t="n">
        <v>4092</v>
      </c>
      <c r="B4093">
        <f>A4093&lt;=MineCount*Days</f>
        <v/>
      </c>
      <c r="C4093">
        <f>IF(B4093,INT((A4093-1)/Days)+1,"")</f>
        <v/>
      </c>
      <c r="D4093">
        <f>IF(B4093,MOD(A4093-1,Days),"")</f>
        <v/>
      </c>
      <c r="E4093" s="16">
        <f>IF(B4093,StartDate+D4093,"")</f>
        <v/>
      </c>
      <c r="F4093">
        <f>IF(B4093,MAX(MOD(SIN(Seed*0.1373+C4093*12.9898+D4093*78.233)*43758.5453,1),1E-9),"")</f>
        <v/>
      </c>
      <c r="G4093">
        <f>IF(B4093,MOD(SIN(Seed*0.5917+C4093*39.3468+D4093*11.135)*24634.6345,1),"")</f>
        <v/>
      </c>
      <c r="H4093">
        <f>IF(B4093,SQRT(-2*LN(F4093))*COS(2*PI()*G4093),"")</f>
        <v/>
      </c>
      <c r="I4093">
        <f>IF(B4093,IF(D4093=0,H4093,Rho*I4092+SQRT(1-Rho^2)*H4093),"")</f>
        <v/>
      </c>
      <c r="J4093">
        <f>IF(B4093,IF(Dist="Normal",DistA+DistB*I4093,DistA+(DistB-DistA)*NORMSDIST(I4093)),"")</f>
        <v/>
      </c>
      <c r="K4093">
        <f>IF(B4093,INDEX(MineScale,C4093),"")</f>
        <v/>
      </c>
      <c r="L4093">
        <f>IF(B4093,INDEX(Dow,1,WEEKDAY(E4093,2)),"")</f>
        <v/>
      </c>
      <c r="M4093">
        <f>IF(B4093,(1+Trend)^D4093,"")</f>
        <v/>
      </c>
      <c r="N4093">
        <f>IF(B4093,EXP(SUMPRODUCT(LN(1+(EvEff-1)*INDEX(Affected,0,C4093)*EXP(-((E4093-EvCenter)^2)/(2*EvSigma^2))))),"")</f>
        <v/>
      </c>
      <c r="O4093">
        <f>IF(B4093,ROUND(MAX(0,J4093*K4093*L4093*M4093*N4093),2),"")</f>
        <v/>
      </c>
    </row>
    <row r="4094">
      <c r="A4094" t="n">
        <v>4093</v>
      </c>
      <c r="B4094">
        <f>A4094&lt;=MineCount*Days</f>
        <v/>
      </c>
      <c r="C4094">
        <f>IF(B4094,INT((A4094-1)/Days)+1,"")</f>
        <v/>
      </c>
      <c r="D4094">
        <f>IF(B4094,MOD(A4094-1,Days),"")</f>
        <v/>
      </c>
      <c r="E4094" s="16">
        <f>IF(B4094,StartDate+D4094,"")</f>
        <v/>
      </c>
      <c r="F4094">
        <f>IF(B4094,MAX(MOD(SIN(Seed*0.1373+C4094*12.9898+D4094*78.233)*43758.5453,1),1E-9),"")</f>
        <v/>
      </c>
      <c r="G4094">
        <f>IF(B4094,MOD(SIN(Seed*0.5917+C4094*39.3468+D4094*11.135)*24634.6345,1),"")</f>
        <v/>
      </c>
      <c r="H4094">
        <f>IF(B4094,SQRT(-2*LN(F4094))*COS(2*PI()*G4094),"")</f>
        <v/>
      </c>
      <c r="I4094">
        <f>IF(B4094,IF(D4094=0,H4094,Rho*I4093+SQRT(1-Rho^2)*H4094),"")</f>
        <v/>
      </c>
      <c r="J4094">
        <f>IF(B4094,IF(Dist="Normal",DistA+DistB*I4094,DistA+(DistB-DistA)*NORMSDIST(I4094)),"")</f>
        <v/>
      </c>
      <c r="K4094">
        <f>IF(B4094,INDEX(MineScale,C4094),"")</f>
        <v/>
      </c>
      <c r="L4094">
        <f>IF(B4094,INDEX(Dow,1,WEEKDAY(E4094,2)),"")</f>
        <v/>
      </c>
      <c r="M4094">
        <f>IF(B4094,(1+Trend)^D4094,"")</f>
        <v/>
      </c>
      <c r="N4094">
        <f>IF(B4094,EXP(SUMPRODUCT(LN(1+(EvEff-1)*INDEX(Affected,0,C4094)*EXP(-((E4094-EvCenter)^2)/(2*EvSigma^2))))),"")</f>
        <v/>
      </c>
      <c r="O4094">
        <f>IF(B4094,ROUND(MAX(0,J4094*K4094*L4094*M4094*N4094),2),"")</f>
        <v/>
      </c>
    </row>
    <row r="4095">
      <c r="A4095" t="n">
        <v>4094</v>
      </c>
      <c r="B4095">
        <f>A4095&lt;=MineCount*Days</f>
        <v/>
      </c>
      <c r="C4095">
        <f>IF(B4095,INT((A4095-1)/Days)+1,"")</f>
        <v/>
      </c>
      <c r="D4095">
        <f>IF(B4095,MOD(A4095-1,Days),"")</f>
        <v/>
      </c>
      <c r="E4095" s="16">
        <f>IF(B4095,StartDate+D4095,"")</f>
        <v/>
      </c>
      <c r="F4095">
        <f>IF(B4095,MAX(MOD(SIN(Seed*0.1373+C4095*12.9898+D4095*78.233)*43758.5453,1),1E-9),"")</f>
        <v/>
      </c>
      <c r="G4095">
        <f>IF(B4095,MOD(SIN(Seed*0.5917+C4095*39.3468+D4095*11.135)*24634.6345,1),"")</f>
        <v/>
      </c>
      <c r="H4095">
        <f>IF(B4095,SQRT(-2*LN(F4095))*COS(2*PI()*G4095),"")</f>
        <v/>
      </c>
      <c r="I4095">
        <f>IF(B4095,IF(D4095=0,H4095,Rho*I4094+SQRT(1-Rho^2)*H4095),"")</f>
        <v/>
      </c>
      <c r="J4095">
        <f>IF(B4095,IF(Dist="Normal",DistA+DistB*I4095,DistA+(DistB-DistA)*NORMSDIST(I4095)),"")</f>
        <v/>
      </c>
      <c r="K4095">
        <f>IF(B4095,INDEX(MineScale,C4095),"")</f>
        <v/>
      </c>
      <c r="L4095">
        <f>IF(B4095,INDEX(Dow,1,WEEKDAY(E4095,2)),"")</f>
        <v/>
      </c>
      <c r="M4095">
        <f>IF(B4095,(1+Trend)^D4095,"")</f>
        <v/>
      </c>
      <c r="N4095">
        <f>IF(B4095,EXP(SUMPRODUCT(LN(1+(EvEff-1)*INDEX(Affected,0,C4095)*EXP(-((E4095-EvCenter)^2)/(2*EvSigma^2))))),"")</f>
        <v/>
      </c>
      <c r="O4095">
        <f>IF(B4095,ROUND(MAX(0,J4095*K4095*L4095*M4095*N4095),2),"")</f>
        <v/>
      </c>
    </row>
    <row r="4096">
      <c r="A4096" t="n">
        <v>4095</v>
      </c>
      <c r="B4096">
        <f>A4096&lt;=MineCount*Days</f>
        <v/>
      </c>
      <c r="C4096">
        <f>IF(B4096,INT((A4096-1)/Days)+1,"")</f>
        <v/>
      </c>
      <c r="D4096">
        <f>IF(B4096,MOD(A4096-1,Days),"")</f>
        <v/>
      </c>
      <c r="E4096" s="16">
        <f>IF(B4096,StartDate+D4096,"")</f>
        <v/>
      </c>
      <c r="F4096">
        <f>IF(B4096,MAX(MOD(SIN(Seed*0.1373+C4096*12.9898+D4096*78.233)*43758.5453,1),1E-9),"")</f>
        <v/>
      </c>
      <c r="G4096">
        <f>IF(B4096,MOD(SIN(Seed*0.5917+C4096*39.3468+D4096*11.135)*24634.6345,1),"")</f>
        <v/>
      </c>
      <c r="H4096">
        <f>IF(B4096,SQRT(-2*LN(F4096))*COS(2*PI()*G4096),"")</f>
        <v/>
      </c>
      <c r="I4096">
        <f>IF(B4096,IF(D4096=0,H4096,Rho*I4095+SQRT(1-Rho^2)*H4096),"")</f>
        <v/>
      </c>
      <c r="J4096">
        <f>IF(B4096,IF(Dist="Normal",DistA+DistB*I4096,DistA+(DistB-DistA)*NORMSDIST(I4096)),"")</f>
        <v/>
      </c>
      <c r="K4096">
        <f>IF(B4096,INDEX(MineScale,C4096),"")</f>
        <v/>
      </c>
      <c r="L4096">
        <f>IF(B4096,INDEX(Dow,1,WEEKDAY(E4096,2)),"")</f>
        <v/>
      </c>
      <c r="M4096">
        <f>IF(B4096,(1+Trend)^D4096,"")</f>
        <v/>
      </c>
      <c r="N4096">
        <f>IF(B4096,EXP(SUMPRODUCT(LN(1+(EvEff-1)*INDEX(Affected,0,C4096)*EXP(-((E4096-EvCenter)^2)/(2*EvSigma^2))))),"")</f>
        <v/>
      </c>
      <c r="O4096">
        <f>IF(B4096,ROUND(MAX(0,J4096*K4096*L4096*M4096*N4096),2),"")</f>
        <v/>
      </c>
    </row>
    <row r="4097">
      <c r="A4097" t="n">
        <v>4096</v>
      </c>
      <c r="B4097">
        <f>A4097&lt;=MineCount*Days</f>
        <v/>
      </c>
      <c r="C4097">
        <f>IF(B4097,INT((A4097-1)/Days)+1,"")</f>
        <v/>
      </c>
      <c r="D4097">
        <f>IF(B4097,MOD(A4097-1,Days),"")</f>
        <v/>
      </c>
      <c r="E4097" s="16">
        <f>IF(B4097,StartDate+D4097,"")</f>
        <v/>
      </c>
      <c r="F4097">
        <f>IF(B4097,MAX(MOD(SIN(Seed*0.1373+C4097*12.9898+D4097*78.233)*43758.5453,1),1E-9),"")</f>
        <v/>
      </c>
      <c r="G4097">
        <f>IF(B4097,MOD(SIN(Seed*0.5917+C4097*39.3468+D4097*11.135)*24634.6345,1),"")</f>
        <v/>
      </c>
      <c r="H4097">
        <f>IF(B4097,SQRT(-2*LN(F4097))*COS(2*PI()*G4097),"")</f>
        <v/>
      </c>
      <c r="I4097">
        <f>IF(B4097,IF(D4097=0,H4097,Rho*I4096+SQRT(1-Rho^2)*H4097),"")</f>
        <v/>
      </c>
      <c r="J4097">
        <f>IF(B4097,IF(Dist="Normal",DistA+DistB*I4097,DistA+(DistB-DistA)*NORMSDIST(I4097)),"")</f>
        <v/>
      </c>
      <c r="K4097">
        <f>IF(B4097,INDEX(MineScale,C4097),"")</f>
        <v/>
      </c>
      <c r="L4097">
        <f>IF(B4097,INDEX(Dow,1,WEEKDAY(E4097,2)),"")</f>
        <v/>
      </c>
      <c r="M4097">
        <f>IF(B4097,(1+Trend)^D4097,"")</f>
        <v/>
      </c>
      <c r="N4097">
        <f>IF(B4097,EXP(SUMPRODUCT(LN(1+(EvEff-1)*INDEX(Affected,0,C4097)*EXP(-((E4097-EvCenter)^2)/(2*EvSigma^2))))),"")</f>
        <v/>
      </c>
      <c r="O4097">
        <f>IF(B4097,ROUND(MAX(0,J4097*K4097*L4097*M4097*N4097),2),"")</f>
        <v/>
      </c>
    </row>
    <row r="4098">
      <c r="A4098" t="n">
        <v>4097</v>
      </c>
      <c r="B4098">
        <f>A4098&lt;=MineCount*Days</f>
        <v/>
      </c>
      <c r="C4098">
        <f>IF(B4098,INT((A4098-1)/Days)+1,"")</f>
        <v/>
      </c>
      <c r="D4098">
        <f>IF(B4098,MOD(A4098-1,Days),"")</f>
        <v/>
      </c>
      <c r="E4098" s="16">
        <f>IF(B4098,StartDate+D4098,"")</f>
        <v/>
      </c>
      <c r="F4098">
        <f>IF(B4098,MAX(MOD(SIN(Seed*0.1373+C4098*12.9898+D4098*78.233)*43758.5453,1),1E-9),"")</f>
        <v/>
      </c>
      <c r="G4098">
        <f>IF(B4098,MOD(SIN(Seed*0.5917+C4098*39.3468+D4098*11.135)*24634.6345,1),"")</f>
        <v/>
      </c>
      <c r="H4098">
        <f>IF(B4098,SQRT(-2*LN(F4098))*COS(2*PI()*G4098),"")</f>
        <v/>
      </c>
      <c r="I4098">
        <f>IF(B4098,IF(D4098=0,H4098,Rho*I4097+SQRT(1-Rho^2)*H4098),"")</f>
        <v/>
      </c>
      <c r="J4098">
        <f>IF(B4098,IF(Dist="Normal",DistA+DistB*I4098,DistA+(DistB-DistA)*NORMSDIST(I4098)),"")</f>
        <v/>
      </c>
      <c r="K4098">
        <f>IF(B4098,INDEX(MineScale,C4098),"")</f>
        <v/>
      </c>
      <c r="L4098">
        <f>IF(B4098,INDEX(Dow,1,WEEKDAY(E4098,2)),"")</f>
        <v/>
      </c>
      <c r="M4098">
        <f>IF(B4098,(1+Trend)^D4098,"")</f>
        <v/>
      </c>
      <c r="N4098">
        <f>IF(B4098,EXP(SUMPRODUCT(LN(1+(EvEff-1)*INDEX(Affected,0,C4098)*EXP(-((E4098-EvCenter)^2)/(2*EvSigma^2))))),"")</f>
        <v/>
      </c>
      <c r="O4098">
        <f>IF(B4098,ROUND(MAX(0,J4098*K4098*L4098*M4098*N4098),2),"")</f>
        <v/>
      </c>
    </row>
    <row r="4099">
      <c r="A4099" t="n">
        <v>4098</v>
      </c>
      <c r="B4099">
        <f>A4099&lt;=MineCount*Days</f>
        <v/>
      </c>
      <c r="C4099">
        <f>IF(B4099,INT((A4099-1)/Days)+1,"")</f>
        <v/>
      </c>
      <c r="D4099">
        <f>IF(B4099,MOD(A4099-1,Days),"")</f>
        <v/>
      </c>
      <c r="E4099" s="16">
        <f>IF(B4099,StartDate+D4099,"")</f>
        <v/>
      </c>
      <c r="F4099">
        <f>IF(B4099,MAX(MOD(SIN(Seed*0.1373+C4099*12.9898+D4099*78.233)*43758.5453,1),1E-9),"")</f>
        <v/>
      </c>
      <c r="G4099">
        <f>IF(B4099,MOD(SIN(Seed*0.5917+C4099*39.3468+D4099*11.135)*24634.6345,1),"")</f>
        <v/>
      </c>
      <c r="H4099">
        <f>IF(B4099,SQRT(-2*LN(F4099))*COS(2*PI()*G4099),"")</f>
        <v/>
      </c>
      <c r="I4099">
        <f>IF(B4099,IF(D4099=0,H4099,Rho*I4098+SQRT(1-Rho^2)*H4099),"")</f>
        <v/>
      </c>
      <c r="J4099">
        <f>IF(B4099,IF(Dist="Normal",DistA+DistB*I4099,DistA+(DistB-DistA)*NORMSDIST(I4099)),"")</f>
        <v/>
      </c>
      <c r="K4099">
        <f>IF(B4099,INDEX(MineScale,C4099),"")</f>
        <v/>
      </c>
      <c r="L4099">
        <f>IF(B4099,INDEX(Dow,1,WEEKDAY(E4099,2)),"")</f>
        <v/>
      </c>
      <c r="M4099">
        <f>IF(B4099,(1+Trend)^D4099,"")</f>
        <v/>
      </c>
      <c r="N4099">
        <f>IF(B4099,EXP(SUMPRODUCT(LN(1+(EvEff-1)*INDEX(Affected,0,C4099)*EXP(-((E4099-EvCenter)^2)/(2*EvSigma^2))))),"")</f>
        <v/>
      </c>
      <c r="O4099">
        <f>IF(B4099,ROUND(MAX(0,J4099*K4099*L4099*M4099*N4099),2),"")</f>
        <v/>
      </c>
    </row>
    <row r="4100">
      <c r="A4100" t="n">
        <v>4099</v>
      </c>
      <c r="B4100">
        <f>A4100&lt;=MineCount*Days</f>
        <v/>
      </c>
      <c r="C4100">
        <f>IF(B4100,INT((A4100-1)/Days)+1,"")</f>
        <v/>
      </c>
      <c r="D4100">
        <f>IF(B4100,MOD(A4100-1,Days),"")</f>
        <v/>
      </c>
      <c r="E4100" s="16">
        <f>IF(B4100,StartDate+D4100,"")</f>
        <v/>
      </c>
      <c r="F4100">
        <f>IF(B4100,MAX(MOD(SIN(Seed*0.1373+C4100*12.9898+D4100*78.233)*43758.5453,1),1E-9),"")</f>
        <v/>
      </c>
      <c r="G4100">
        <f>IF(B4100,MOD(SIN(Seed*0.5917+C4100*39.3468+D4100*11.135)*24634.6345,1),"")</f>
        <v/>
      </c>
      <c r="H4100">
        <f>IF(B4100,SQRT(-2*LN(F4100))*COS(2*PI()*G4100),"")</f>
        <v/>
      </c>
      <c r="I4100">
        <f>IF(B4100,IF(D4100=0,H4100,Rho*I4099+SQRT(1-Rho^2)*H4100),"")</f>
        <v/>
      </c>
      <c r="J4100">
        <f>IF(B4100,IF(Dist="Normal",DistA+DistB*I4100,DistA+(DistB-DistA)*NORMSDIST(I4100)),"")</f>
        <v/>
      </c>
      <c r="K4100">
        <f>IF(B4100,INDEX(MineScale,C4100),"")</f>
        <v/>
      </c>
      <c r="L4100">
        <f>IF(B4100,INDEX(Dow,1,WEEKDAY(E4100,2)),"")</f>
        <v/>
      </c>
      <c r="M4100">
        <f>IF(B4100,(1+Trend)^D4100,"")</f>
        <v/>
      </c>
      <c r="N4100">
        <f>IF(B4100,EXP(SUMPRODUCT(LN(1+(EvEff-1)*INDEX(Affected,0,C4100)*EXP(-((E4100-EvCenter)^2)/(2*EvSigma^2))))),"")</f>
        <v/>
      </c>
      <c r="O4100">
        <f>IF(B4100,ROUND(MAX(0,J4100*K4100*L4100*M4100*N4100),2),"")</f>
        <v/>
      </c>
    </row>
    <row r="4101">
      <c r="A4101" t="n">
        <v>4100</v>
      </c>
      <c r="B4101">
        <f>A4101&lt;=MineCount*Days</f>
        <v/>
      </c>
      <c r="C4101">
        <f>IF(B4101,INT((A4101-1)/Days)+1,"")</f>
        <v/>
      </c>
      <c r="D4101">
        <f>IF(B4101,MOD(A4101-1,Days),"")</f>
        <v/>
      </c>
      <c r="E4101" s="16">
        <f>IF(B4101,StartDate+D4101,"")</f>
        <v/>
      </c>
      <c r="F4101">
        <f>IF(B4101,MAX(MOD(SIN(Seed*0.1373+C4101*12.9898+D4101*78.233)*43758.5453,1),1E-9),"")</f>
        <v/>
      </c>
      <c r="G4101">
        <f>IF(B4101,MOD(SIN(Seed*0.5917+C4101*39.3468+D4101*11.135)*24634.6345,1),"")</f>
        <v/>
      </c>
      <c r="H4101">
        <f>IF(B4101,SQRT(-2*LN(F4101))*COS(2*PI()*G4101),"")</f>
        <v/>
      </c>
      <c r="I4101">
        <f>IF(B4101,IF(D4101=0,H4101,Rho*I4100+SQRT(1-Rho^2)*H4101),"")</f>
        <v/>
      </c>
      <c r="J4101">
        <f>IF(B4101,IF(Dist="Normal",DistA+DistB*I4101,DistA+(DistB-DistA)*NORMSDIST(I4101)),"")</f>
        <v/>
      </c>
      <c r="K4101">
        <f>IF(B4101,INDEX(MineScale,C4101),"")</f>
        <v/>
      </c>
      <c r="L4101">
        <f>IF(B4101,INDEX(Dow,1,WEEKDAY(E4101,2)),"")</f>
        <v/>
      </c>
      <c r="M4101">
        <f>IF(B4101,(1+Trend)^D4101,"")</f>
        <v/>
      </c>
      <c r="N4101">
        <f>IF(B4101,EXP(SUMPRODUCT(LN(1+(EvEff-1)*INDEX(Affected,0,C4101)*EXP(-((E4101-EvCenter)^2)/(2*EvSigma^2))))),"")</f>
        <v/>
      </c>
      <c r="O4101">
        <f>IF(B4101,ROUND(MAX(0,J4101*K4101*L4101*M4101*N4101),2),"")</f>
        <v/>
      </c>
    </row>
    <row r="4102">
      <c r="A4102" t="n">
        <v>4101</v>
      </c>
      <c r="B4102">
        <f>A4102&lt;=MineCount*Days</f>
        <v/>
      </c>
      <c r="C4102">
        <f>IF(B4102,INT((A4102-1)/Days)+1,"")</f>
        <v/>
      </c>
      <c r="D4102">
        <f>IF(B4102,MOD(A4102-1,Days),"")</f>
        <v/>
      </c>
      <c r="E4102" s="16">
        <f>IF(B4102,StartDate+D4102,"")</f>
        <v/>
      </c>
      <c r="F4102">
        <f>IF(B4102,MAX(MOD(SIN(Seed*0.1373+C4102*12.9898+D4102*78.233)*43758.5453,1),1E-9),"")</f>
        <v/>
      </c>
      <c r="G4102">
        <f>IF(B4102,MOD(SIN(Seed*0.5917+C4102*39.3468+D4102*11.135)*24634.6345,1),"")</f>
        <v/>
      </c>
      <c r="H4102">
        <f>IF(B4102,SQRT(-2*LN(F4102))*COS(2*PI()*G4102),"")</f>
        <v/>
      </c>
      <c r="I4102">
        <f>IF(B4102,IF(D4102=0,H4102,Rho*I4101+SQRT(1-Rho^2)*H4102),"")</f>
        <v/>
      </c>
      <c r="J4102">
        <f>IF(B4102,IF(Dist="Normal",DistA+DistB*I4102,DistA+(DistB-DistA)*NORMSDIST(I4102)),"")</f>
        <v/>
      </c>
      <c r="K4102">
        <f>IF(B4102,INDEX(MineScale,C4102),"")</f>
        <v/>
      </c>
      <c r="L4102">
        <f>IF(B4102,INDEX(Dow,1,WEEKDAY(E4102,2)),"")</f>
        <v/>
      </c>
      <c r="M4102">
        <f>IF(B4102,(1+Trend)^D4102,"")</f>
        <v/>
      </c>
      <c r="N4102">
        <f>IF(B4102,EXP(SUMPRODUCT(LN(1+(EvEff-1)*INDEX(Affected,0,C4102)*EXP(-((E4102-EvCenter)^2)/(2*EvSigma^2))))),"")</f>
        <v/>
      </c>
      <c r="O4102">
        <f>IF(B4102,ROUND(MAX(0,J4102*K4102*L4102*M4102*N4102),2),"")</f>
        <v/>
      </c>
    </row>
    <row r="4103">
      <c r="A4103" t="n">
        <v>4102</v>
      </c>
      <c r="B4103">
        <f>A4103&lt;=MineCount*Days</f>
        <v/>
      </c>
      <c r="C4103">
        <f>IF(B4103,INT((A4103-1)/Days)+1,"")</f>
        <v/>
      </c>
      <c r="D4103">
        <f>IF(B4103,MOD(A4103-1,Days),"")</f>
        <v/>
      </c>
      <c r="E4103" s="16">
        <f>IF(B4103,StartDate+D4103,"")</f>
        <v/>
      </c>
      <c r="F4103">
        <f>IF(B4103,MAX(MOD(SIN(Seed*0.1373+C4103*12.9898+D4103*78.233)*43758.5453,1),1E-9),"")</f>
        <v/>
      </c>
      <c r="G4103">
        <f>IF(B4103,MOD(SIN(Seed*0.5917+C4103*39.3468+D4103*11.135)*24634.6345,1),"")</f>
        <v/>
      </c>
      <c r="H4103">
        <f>IF(B4103,SQRT(-2*LN(F4103))*COS(2*PI()*G4103),"")</f>
        <v/>
      </c>
      <c r="I4103">
        <f>IF(B4103,IF(D4103=0,H4103,Rho*I4102+SQRT(1-Rho^2)*H4103),"")</f>
        <v/>
      </c>
      <c r="J4103">
        <f>IF(B4103,IF(Dist="Normal",DistA+DistB*I4103,DistA+(DistB-DistA)*NORMSDIST(I4103)),"")</f>
        <v/>
      </c>
      <c r="K4103">
        <f>IF(B4103,INDEX(MineScale,C4103),"")</f>
        <v/>
      </c>
      <c r="L4103">
        <f>IF(B4103,INDEX(Dow,1,WEEKDAY(E4103,2)),"")</f>
        <v/>
      </c>
      <c r="M4103">
        <f>IF(B4103,(1+Trend)^D4103,"")</f>
        <v/>
      </c>
      <c r="N4103">
        <f>IF(B4103,EXP(SUMPRODUCT(LN(1+(EvEff-1)*INDEX(Affected,0,C4103)*EXP(-((E4103-EvCenter)^2)/(2*EvSigma^2))))),"")</f>
        <v/>
      </c>
      <c r="O4103">
        <f>IF(B4103,ROUND(MAX(0,J4103*K4103*L4103*M4103*N4103),2),"")</f>
        <v/>
      </c>
    </row>
    <row r="4104">
      <c r="A4104" t="n">
        <v>4103</v>
      </c>
      <c r="B4104">
        <f>A4104&lt;=MineCount*Days</f>
        <v/>
      </c>
      <c r="C4104">
        <f>IF(B4104,INT((A4104-1)/Days)+1,"")</f>
        <v/>
      </c>
      <c r="D4104">
        <f>IF(B4104,MOD(A4104-1,Days),"")</f>
        <v/>
      </c>
      <c r="E4104" s="16">
        <f>IF(B4104,StartDate+D4104,"")</f>
        <v/>
      </c>
      <c r="F4104">
        <f>IF(B4104,MAX(MOD(SIN(Seed*0.1373+C4104*12.9898+D4104*78.233)*43758.5453,1),1E-9),"")</f>
        <v/>
      </c>
      <c r="G4104">
        <f>IF(B4104,MOD(SIN(Seed*0.5917+C4104*39.3468+D4104*11.135)*24634.6345,1),"")</f>
        <v/>
      </c>
      <c r="H4104">
        <f>IF(B4104,SQRT(-2*LN(F4104))*COS(2*PI()*G4104),"")</f>
        <v/>
      </c>
      <c r="I4104">
        <f>IF(B4104,IF(D4104=0,H4104,Rho*I4103+SQRT(1-Rho^2)*H4104),"")</f>
        <v/>
      </c>
      <c r="J4104">
        <f>IF(B4104,IF(Dist="Normal",DistA+DistB*I4104,DistA+(DistB-DistA)*NORMSDIST(I4104)),"")</f>
        <v/>
      </c>
      <c r="K4104">
        <f>IF(B4104,INDEX(MineScale,C4104),"")</f>
        <v/>
      </c>
      <c r="L4104">
        <f>IF(B4104,INDEX(Dow,1,WEEKDAY(E4104,2)),"")</f>
        <v/>
      </c>
      <c r="M4104">
        <f>IF(B4104,(1+Trend)^D4104,"")</f>
        <v/>
      </c>
      <c r="N4104">
        <f>IF(B4104,EXP(SUMPRODUCT(LN(1+(EvEff-1)*INDEX(Affected,0,C4104)*EXP(-((E4104-EvCenter)^2)/(2*EvSigma^2))))),"")</f>
        <v/>
      </c>
      <c r="O4104">
        <f>IF(B4104,ROUND(MAX(0,J4104*K4104*L4104*M4104*N4104),2),"")</f>
        <v/>
      </c>
    </row>
    <row r="4105">
      <c r="A4105" t="n">
        <v>4104</v>
      </c>
      <c r="B4105">
        <f>A4105&lt;=MineCount*Days</f>
        <v/>
      </c>
      <c r="C4105">
        <f>IF(B4105,INT((A4105-1)/Days)+1,"")</f>
        <v/>
      </c>
      <c r="D4105">
        <f>IF(B4105,MOD(A4105-1,Days),"")</f>
        <v/>
      </c>
      <c r="E4105" s="16">
        <f>IF(B4105,StartDate+D4105,"")</f>
        <v/>
      </c>
      <c r="F4105">
        <f>IF(B4105,MAX(MOD(SIN(Seed*0.1373+C4105*12.9898+D4105*78.233)*43758.5453,1),1E-9),"")</f>
        <v/>
      </c>
      <c r="G4105">
        <f>IF(B4105,MOD(SIN(Seed*0.5917+C4105*39.3468+D4105*11.135)*24634.6345,1),"")</f>
        <v/>
      </c>
      <c r="H4105">
        <f>IF(B4105,SQRT(-2*LN(F4105))*COS(2*PI()*G4105),"")</f>
        <v/>
      </c>
      <c r="I4105">
        <f>IF(B4105,IF(D4105=0,H4105,Rho*I4104+SQRT(1-Rho^2)*H4105),"")</f>
        <v/>
      </c>
      <c r="J4105">
        <f>IF(B4105,IF(Dist="Normal",DistA+DistB*I4105,DistA+(DistB-DistA)*NORMSDIST(I4105)),"")</f>
        <v/>
      </c>
      <c r="K4105">
        <f>IF(B4105,INDEX(MineScale,C4105),"")</f>
        <v/>
      </c>
      <c r="L4105">
        <f>IF(B4105,INDEX(Dow,1,WEEKDAY(E4105,2)),"")</f>
        <v/>
      </c>
      <c r="M4105">
        <f>IF(B4105,(1+Trend)^D4105,"")</f>
        <v/>
      </c>
      <c r="N4105">
        <f>IF(B4105,EXP(SUMPRODUCT(LN(1+(EvEff-1)*INDEX(Affected,0,C4105)*EXP(-((E4105-EvCenter)^2)/(2*EvSigma^2))))),"")</f>
        <v/>
      </c>
      <c r="O4105">
        <f>IF(B4105,ROUND(MAX(0,J4105*K4105*L4105*M4105*N4105),2),"")</f>
        <v/>
      </c>
    </row>
    <row r="4106">
      <c r="A4106" t="n">
        <v>4105</v>
      </c>
      <c r="B4106">
        <f>A4106&lt;=MineCount*Days</f>
        <v/>
      </c>
      <c r="C4106">
        <f>IF(B4106,INT((A4106-1)/Days)+1,"")</f>
        <v/>
      </c>
      <c r="D4106">
        <f>IF(B4106,MOD(A4106-1,Days),"")</f>
        <v/>
      </c>
      <c r="E4106" s="16">
        <f>IF(B4106,StartDate+D4106,"")</f>
        <v/>
      </c>
      <c r="F4106">
        <f>IF(B4106,MAX(MOD(SIN(Seed*0.1373+C4106*12.9898+D4106*78.233)*43758.5453,1),1E-9),"")</f>
        <v/>
      </c>
      <c r="G4106">
        <f>IF(B4106,MOD(SIN(Seed*0.5917+C4106*39.3468+D4106*11.135)*24634.6345,1),"")</f>
        <v/>
      </c>
      <c r="H4106">
        <f>IF(B4106,SQRT(-2*LN(F4106))*COS(2*PI()*G4106),"")</f>
        <v/>
      </c>
      <c r="I4106">
        <f>IF(B4106,IF(D4106=0,H4106,Rho*I4105+SQRT(1-Rho^2)*H4106),"")</f>
        <v/>
      </c>
      <c r="J4106">
        <f>IF(B4106,IF(Dist="Normal",DistA+DistB*I4106,DistA+(DistB-DistA)*NORMSDIST(I4106)),"")</f>
        <v/>
      </c>
      <c r="K4106">
        <f>IF(B4106,INDEX(MineScale,C4106),"")</f>
        <v/>
      </c>
      <c r="L4106">
        <f>IF(B4106,INDEX(Dow,1,WEEKDAY(E4106,2)),"")</f>
        <v/>
      </c>
      <c r="M4106">
        <f>IF(B4106,(1+Trend)^D4106,"")</f>
        <v/>
      </c>
      <c r="N4106">
        <f>IF(B4106,EXP(SUMPRODUCT(LN(1+(EvEff-1)*INDEX(Affected,0,C4106)*EXP(-((E4106-EvCenter)^2)/(2*EvSigma^2))))),"")</f>
        <v/>
      </c>
      <c r="O4106">
        <f>IF(B4106,ROUND(MAX(0,J4106*K4106*L4106*M4106*N4106),2),"")</f>
        <v/>
      </c>
    </row>
    <row r="4107">
      <c r="A4107" t="n">
        <v>4106</v>
      </c>
      <c r="B4107">
        <f>A4107&lt;=MineCount*Days</f>
        <v/>
      </c>
      <c r="C4107">
        <f>IF(B4107,INT((A4107-1)/Days)+1,"")</f>
        <v/>
      </c>
      <c r="D4107">
        <f>IF(B4107,MOD(A4107-1,Days),"")</f>
        <v/>
      </c>
      <c r="E4107" s="16">
        <f>IF(B4107,StartDate+D4107,"")</f>
        <v/>
      </c>
      <c r="F4107">
        <f>IF(B4107,MAX(MOD(SIN(Seed*0.1373+C4107*12.9898+D4107*78.233)*43758.5453,1),1E-9),"")</f>
        <v/>
      </c>
      <c r="G4107">
        <f>IF(B4107,MOD(SIN(Seed*0.5917+C4107*39.3468+D4107*11.135)*24634.6345,1),"")</f>
        <v/>
      </c>
      <c r="H4107">
        <f>IF(B4107,SQRT(-2*LN(F4107))*COS(2*PI()*G4107),"")</f>
        <v/>
      </c>
      <c r="I4107">
        <f>IF(B4107,IF(D4107=0,H4107,Rho*I4106+SQRT(1-Rho^2)*H4107),"")</f>
        <v/>
      </c>
      <c r="J4107">
        <f>IF(B4107,IF(Dist="Normal",DistA+DistB*I4107,DistA+(DistB-DistA)*NORMSDIST(I4107)),"")</f>
        <v/>
      </c>
      <c r="K4107">
        <f>IF(B4107,INDEX(MineScale,C4107),"")</f>
        <v/>
      </c>
      <c r="L4107">
        <f>IF(B4107,INDEX(Dow,1,WEEKDAY(E4107,2)),"")</f>
        <v/>
      </c>
      <c r="M4107">
        <f>IF(B4107,(1+Trend)^D4107,"")</f>
        <v/>
      </c>
      <c r="N4107">
        <f>IF(B4107,EXP(SUMPRODUCT(LN(1+(EvEff-1)*INDEX(Affected,0,C4107)*EXP(-((E4107-EvCenter)^2)/(2*EvSigma^2))))),"")</f>
        <v/>
      </c>
      <c r="O4107">
        <f>IF(B4107,ROUND(MAX(0,J4107*K4107*L4107*M4107*N4107),2),"")</f>
        <v/>
      </c>
    </row>
    <row r="4108">
      <c r="A4108" t="n">
        <v>4107</v>
      </c>
      <c r="B4108">
        <f>A4108&lt;=MineCount*Days</f>
        <v/>
      </c>
      <c r="C4108">
        <f>IF(B4108,INT((A4108-1)/Days)+1,"")</f>
        <v/>
      </c>
      <c r="D4108">
        <f>IF(B4108,MOD(A4108-1,Days),"")</f>
        <v/>
      </c>
      <c r="E4108" s="16">
        <f>IF(B4108,StartDate+D4108,"")</f>
        <v/>
      </c>
      <c r="F4108">
        <f>IF(B4108,MAX(MOD(SIN(Seed*0.1373+C4108*12.9898+D4108*78.233)*43758.5453,1),1E-9),"")</f>
        <v/>
      </c>
      <c r="G4108">
        <f>IF(B4108,MOD(SIN(Seed*0.5917+C4108*39.3468+D4108*11.135)*24634.6345,1),"")</f>
        <v/>
      </c>
      <c r="H4108">
        <f>IF(B4108,SQRT(-2*LN(F4108))*COS(2*PI()*G4108),"")</f>
        <v/>
      </c>
      <c r="I4108">
        <f>IF(B4108,IF(D4108=0,H4108,Rho*I4107+SQRT(1-Rho^2)*H4108),"")</f>
        <v/>
      </c>
      <c r="J4108">
        <f>IF(B4108,IF(Dist="Normal",DistA+DistB*I4108,DistA+(DistB-DistA)*NORMSDIST(I4108)),"")</f>
        <v/>
      </c>
      <c r="K4108">
        <f>IF(B4108,INDEX(MineScale,C4108),"")</f>
        <v/>
      </c>
      <c r="L4108">
        <f>IF(B4108,INDEX(Dow,1,WEEKDAY(E4108,2)),"")</f>
        <v/>
      </c>
      <c r="M4108">
        <f>IF(B4108,(1+Trend)^D4108,"")</f>
        <v/>
      </c>
      <c r="N4108">
        <f>IF(B4108,EXP(SUMPRODUCT(LN(1+(EvEff-1)*INDEX(Affected,0,C4108)*EXP(-((E4108-EvCenter)^2)/(2*EvSigma^2))))),"")</f>
        <v/>
      </c>
      <c r="O4108">
        <f>IF(B4108,ROUND(MAX(0,J4108*K4108*L4108*M4108*N4108),2),"")</f>
        <v/>
      </c>
    </row>
    <row r="4109">
      <c r="A4109" t="n">
        <v>4108</v>
      </c>
      <c r="B4109">
        <f>A4109&lt;=MineCount*Days</f>
        <v/>
      </c>
      <c r="C4109">
        <f>IF(B4109,INT((A4109-1)/Days)+1,"")</f>
        <v/>
      </c>
      <c r="D4109">
        <f>IF(B4109,MOD(A4109-1,Days),"")</f>
        <v/>
      </c>
      <c r="E4109" s="16">
        <f>IF(B4109,StartDate+D4109,"")</f>
        <v/>
      </c>
      <c r="F4109">
        <f>IF(B4109,MAX(MOD(SIN(Seed*0.1373+C4109*12.9898+D4109*78.233)*43758.5453,1),1E-9),"")</f>
        <v/>
      </c>
      <c r="G4109">
        <f>IF(B4109,MOD(SIN(Seed*0.5917+C4109*39.3468+D4109*11.135)*24634.6345,1),"")</f>
        <v/>
      </c>
      <c r="H4109">
        <f>IF(B4109,SQRT(-2*LN(F4109))*COS(2*PI()*G4109),"")</f>
        <v/>
      </c>
      <c r="I4109">
        <f>IF(B4109,IF(D4109=0,H4109,Rho*I4108+SQRT(1-Rho^2)*H4109),"")</f>
        <v/>
      </c>
      <c r="J4109">
        <f>IF(B4109,IF(Dist="Normal",DistA+DistB*I4109,DistA+(DistB-DistA)*NORMSDIST(I4109)),"")</f>
        <v/>
      </c>
      <c r="K4109">
        <f>IF(B4109,INDEX(MineScale,C4109),"")</f>
        <v/>
      </c>
      <c r="L4109">
        <f>IF(B4109,INDEX(Dow,1,WEEKDAY(E4109,2)),"")</f>
        <v/>
      </c>
      <c r="M4109">
        <f>IF(B4109,(1+Trend)^D4109,"")</f>
        <v/>
      </c>
      <c r="N4109">
        <f>IF(B4109,EXP(SUMPRODUCT(LN(1+(EvEff-1)*INDEX(Affected,0,C4109)*EXP(-((E4109-EvCenter)^2)/(2*EvSigma^2))))),"")</f>
        <v/>
      </c>
      <c r="O4109">
        <f>IF(B4109,ROUND(MAX(0,J4109*K4109*L4109*M4109*N4109),2),"")</f>
        <v/>
      </c>
    </row>
    <row r="4110">
      <c r="A4110" t="n">
        <v>4109</v>
      </c>
      <c r="B4110">
        <f>A4110&lt;=MineCount*Days</f>
        <v/>
      </c>
      <c r="C4110">
        <f>IF(B4110,INT((A4110-1)/Days)+1,"")</f>
        <v/>
      </c>
      <c r="D4110">
        <f>IF(B4110,MOD(A4110-1,Days),"")</f>
        <v/>
      </c>
      <c r="E4110" s="16">
        <f>IF(B4110,StartDate+D4110,"")</f>
        <v/>
      </c>
      <c r="F4110">
        <f>IF(B4110,MAX(MOD(SIN(Seed*0.1373+C4110*12.9898+D4110*78.233)*43758.5453,1),1E-9),"")</f>
        <v/>
      </c>
      <c r="G4110">
        <f>IF(B4110,MOD(SIN(Seed*0.5917+C4110*39.3468+D4110*11.135)*24634.6345,1),"")</f>
        <v/>
      </c>
      <c r="H4110">
        <f>IF(B4110,SQRT(-2*LN(F4110))*COS(2*PI()*G4110),"")</f>
        <v/>
      </c>
      <c r="I4110">
        <f>IF(B4110,IF(D4110=0,H4110,Rho*I4109+SQRT(1-Rho^2)*H4110),"")</f>
        <v/>
      </c>
      <c r="J4110">
        <f>IF(B4110,IF(Dist="Normal",DistA+DistB*I4110,DistA+(DistB-DistA)*NORMSDIST(I4110)),"")</f>
        <v/>
      </c>
      <c r="K4110">
        <f>IF(B4110,INDEX(MineScale,C4110),"")</f>
        <v/>
      </c>
      <c r="L4110">
        <f>IF(B4110,INDEX(Dow,1,WEEKDAY(E4110,2)),"")</f>
        <v/>
      </c>
      <c r="M4110">
        <f>IF(B4110,(1+Trend)^D4110,"")</f>
        <v/>
      </c>
      <c r="N4110">
        <f>IF(B4110,EXP(SUMPRODUCT(LN(1+(EvEff-1)*INDEX(Affected,0,C4110)*EXP(-((E4110-EvCenter)^2)/(2*EvSigma^2))))),"")</f>
        <v/>
      </c>
      <c r="O4110">
        <f>IF(B4110,ROUND(MAX(0,J4110*K4110*L4110*M4110*N4110),2),"")</f>
        <v/>
      </c>
    </row>
    <row r="4111">
      <c r="A4111" t="n">
        <v>4110</v>
      </c>
      <c r="B4111">
        <f>A4111&lt;=MineCount*Days</f>
        <v/>
      </c>
      <c r="C4111">
        <f>IF(B4111,INT((A4111-1)/Days)+1,"")</f>
        <v/>
      </c>
      <c r="D4111">
        <f>IF(B4111,MOD(A4111-1,Days),"")</f>
        <v/>
      </c>
      <c r="E4111" s="16">
        <f>IF(B4111,StartDate+D4111,"")</f>
        <v/>
      </c>
      <c r="F4111">
        <f>IF(B4111,MAX(MOD(SIN(Seed*0.1373+C4111*12.9898+D4111*78.233)*43758.5453,1),1E-9),"")</f>
        <v/>
      </c>
      <c r="G4111">
        <f>IF(B4111,MOD(SIN(Seed*0.5917+C4111*39.3468+D4111*11.135)*24634.6345,1),"")</f>
        <v/>
      </c>
      <c r="H4111">
        <f>IF(B4111,SQRT(-2*LN(F4111))*COS(2*PI()*G4111),"")</f>
        <v/>
      </c>
      <c r="I4111">
        <f>IF(B4111,IF(D4111=0,H4111,Rho*I4110+SQRT(1-Rho^2)*H4111),"")</f>
        <v/>
      </c>
      <c r="J4111">
        <f>IF(B4111,IF(Dist="Normal",DistA+DistB*I4111,DistA+(DistB-DistA)*NORMSDIST(I4111)),"")</f>
        <v/>
      </c>
      <c r="K4111">
        <f>IF(B4111,INDEX(MineScale,C4111),"")</f>
        <v/>
      </c>
      <c r="L4111">
        <f>IF(B4111,INDEX(Dow,1,WEEKDAY(E4111,2)),"")</f>
        <v/>
      </c>
      <c r="M4111">
        <f>IF(B4111,(1+Trend)^D4111,"")</f>
        <v/>
      </c>
      <c r="N4111">
        <f>IF(B4111,EXP(SUMPRODUCT(LN(1+(EvEff-1)*INDEX(Affected,0,C4111)*EXP(-((E4111-EvCenter)^2)/(2*EvSigma^2))))),"")</f>
        <v/>
      </c>
      <c r="O4111">
        <f>IF(B4111,ROUND(MAX(0,J4111*K4111*L4111*M4111*N4111),2),"")</f>
        <v/>
      </c>
    </row>
    <row r="4112">
      <c r="A4112" t="n">
        <v>4111</v>
      </c>
      <c r="B4112">
        <f>A4112&lt;=MineCount*Days</f>
        <v/>
      </c>
      <c r="C4112">
        <f>IF(B4112,INT((A4112-1)/Days)+1,"")</f>
        <v/>
      </c>
      <c r="D4112">
        <f>IF(B4112,MOD(A4112-1,Days),"")</f>
        <v/>
      </c>
      <c r="E4112" s="16">
        <f>IF(B4112,StartDate+D4112,"")</f>
        <v/>
      </c>
      <c r="F4112">
        <f>IF(B4112,MAX(MOD(SIN(Seed*0.1373+C4112*12.9898+D4112*78.233)*43758.5453,1),1E-9),"")</f>
        <v/>
      </c>
      <c r="G4112">
        <f>IF(B4112,MOD(SIN(Seed*0.5917+C4112*39.3468+D4112*11.135)*24634.6345,1),"")</f>
        <v/>
      </c>
      <c r="H4112">
        <f>IF(B4112,SQRT(-2*LN(F4112))*COS(2*PI()*G4112),"")</f>
        <v/>
      </c>
      <c r="I4112">
        <f>IF(B4112,IF(D4112=0,H4112,Rho*I4111+SQRT(1-Rho^2)*H4112),"")</f>
        <v/>
      </c>
      <c r="J4112">
        <f>IF(B4112,IF(Dist="Normal",DistA+DistB*I4112,DistA+(DistB-DistA)*NORMSDIST(I4112)),"")</f>
        <v/>
      </c>
      <c r="K4112">
        <f>IF(B4112,INDEX(MineScale,C4112),"")</f>
        <v/>
      </c>
      <c r="L4112">
        <f>IF(B4112,INDEX(Dow,1,WEEKDAY(E4112,2)),"")</f>
        <v/>
      </c>
      <c r="M4112">
        <f>IF(B4112,(1+Trend)^D4112,"")</f>
        <v/>
      </c>
      <c r="N4112">
        <f>IF(B4112,EXP(SUMPRODUCT(LN(1+(EvEff-1)*INDEX(Affected,0,C4112)*EXP(-((E4112-EvCenter)^2)/(2*EvSigma^2))))),"")</f>
        <v/>
      </c>
      <c r="O4112">
        <f>IF(B4112,ROUND(MAX(0,J4112*K4112*L4112*M4112*N4112),2),"")</f>
        <v/>
      </c>
    </row>
    <row r="4113">
      <c r="A4113" t="n">
        <v>4112</v>
      </c>
      <c r="B4113">
        <f>A4113&lt;=MineCount*Days</f>
        <v/>
      </c>
      <c r="C4113">
        <f>IF(B4113,INT((A4113-1)/Days)+1,"")</f>
        <v/>
      </c>
      <c r="D4113">
        <f>IF(B4113,MOD(A4113-1,Days),"")</f>
        <v/>
      </c>
      <c r="E4113" s="16">
        <f>IF(B4113,StartDate+D4113,"")</f>
        <v/>
      </c>
      <c r="F4113">
        <f>IF(B4113,MAX(MOD(SIN(Seed*0.1373+C4113*12.9898+D4113*78.233)*43758.5453,1),1E-9),"")</f>
        <v/>
      </c>
      <c r="G4113">
        <f>IF(B4113,MOD(SIN(Seed*0.5917+C4113*39.3468+D4113*11.135)*24634.6345,1),"")</f>
        <v/>
      </c>
      <c r="H4113">
        <f>IF(B4113,SQRT(-2*LN(F4113))*COS(2*PI()*G4113),"")</f>
        <v/>
      </c>
      <c r="I4113">
        <f>IF(B4113,IF(D4113=0,H4113,Rho*I4112+SQRT(1-Rho^2)*H4113),"")</f>
        <v/>
      </c>
      <c r="J4113">
        <f>IF(B4113,IF(Dist="Normal",DistA+DistB*I4113,DistA+(DistB-DistA)*NORMSDIST(I4113)),"")</f>
        <v/>
      </c>
      <c r="K4113">
        <f>IF(B4113,INDEX(MineScale,C4113),"")</f>
        <v/>
      </c>
      <c r="L4113">
        <f>IF(B4113,INDEX(Dow,1,WEEKDAY(E4113,2)),"")</f>
        <v/>
      </c>
      <c r="M4113">
        <f>IF(B4113,(1+Trend)^D4113,"")</f>
        <v/>
      </c>
      <c r="N4113">
        <f>IF(B4113,EXP(SUMPRODUCT(LN(1+(EvEff-1)*INDEX(Affected,0,C4113)*EXP(-((E4113-EvCenter)^2)/(2*EvSigma^2))))),"")</f>
        <v/>
      </c>
      <c r="O4113">
        <f>IF(B4113,ROUND(MAX(0,J4113*K4113*L4113*M4113*N4113),2),"")</f>
        <v/>
      </c>
    </row>
    <row r="4114">
      <c r="A4114" t="n">
        <v>4113</v>
      </c>
      <c r="B4114">
        <f>A4114&lt;=MineCount*Days</f>
        <v/>
      </c>
      <c r="C4114">
        <f>IF(B4114,INT((A4114-1)/Days)+1,"")</f>
        <v/>
      </c>
      <c r="D4114">
        <f>IF(B4114,MOD(A4114-1,Days),"")</f>
        <v/>
      </c>
      <c r="E4114" s="16">
        <f>IF(B4114,StartDate+D4114,"")</f>
        <v/>
      </c>
      <c r="F4114">
        <f>IF(B4114,MAX(MOD(SIN(Seed*0.1373+C4114*12.9898+D4114*78.233)*43758.5453,1),1E-9),"")</f>
        <v/>
      </c>
      <c r="G4114">
        <f>IF(B4114,MOD(SIN(Seed*0.5917+C4114*39.3468+D4114*11.135)*24634.6345,1),"")</f>
        <v/>
      </c>
      <c r="H4114">
        <f>IF(B4114,SQRT(-2*LN(F4114))*COS(2*PI()*G4114),"")</f>
        <v/>
      </c>
      <c r="I4114">
        <f>IF(B4114,IF(D4114=0,H4114,Rho*I4113+SQRT(1-Rho^2)*H4114),"")</f>
        <v/>
      </c>
      <c r="J4114">
        <f>IF(B4114,IF(Dist="Normal",DistA+DistB*I4114,DistA+(DistB-DistA)*NORMSDIST(I4114)),"")</f>
        <v/>
      </c>
      <c r="K4114">
        <f>IF(B4114,INDEX(MineScale,C4114),"")</f>
        <v/>
      </c>
      <c r="L4114">
        <f>IF(B4114,INDEX(Dow,1,WEEKDAY(E4114,2)),"")</f>
        <v/>
      </c>
      <c r="M4114">
        <f>IF(B4114,(1+Trend)^D4114,"")</f>
        <v/>
      </c>
      <c r="N4114">
        <f>IF(B4114,EXP(SUMPRODUCT(LN(1+(EvEff-1)*INDEX(Affected,0,C4114)*EXP(-((E4114-EvCenter)^2)/(2*EvSigma^2))))),"")</f>
        <v/>
      </c>
      <c r="O4114">
        <f>IF(B4114,ROUND(MAX(0,J4114*K4114*L4114*M4114*N4114),2),"")</f>
        <v/>
      </c>
    </row>
    <row r="4115">
      <c r="A4115" t="n">
        <v>4114</v>
      </c>
      <c r="B4115">
        <f>A4115&lt;=MineCount*Days</f>
        <v/>
      </c>
      <c r="C4115">
        <f>IF(B4115,INT((A4115-1)/Days)+1,"")</f>
        <v/>
      </c>
      <c r="D4115">
        <f>IF(B4115,MOD(A4115-1,Days),"")</f>
        <v/>
      </c>
      <c r="E4115" s="16">
        <f>IF(B4115,StartDate+D4115,"")</f>
        <v/>
      </c>
      <c r="F4115">
        <f>IF(B4115,MAX(MOD(SIN(Seed*0.1373+C4115*12.9898+D4115*78.233)*43758.5453,1),1E-9),"")</f>
        <v/>
      </c>
      <c r="G4115">
        <f>IF(B4115,MOD(SIN(Seed*0.5917+C4115*39.3468+D4115*11.135)*24634.6345,1),"")</f>
        <v/>
      </c>
      <c r="H4115">
        <f>IF(B4115,SQRT(-2*LN(F4115))*COS(2*PI()*G4115),"")</f>
        <v/>
      </c>
      <c r="I4115">
        <f>IF(B4115,IF(D4115=0,H4115,Rho*I4114+SQRT(1-Rho^2)*H4115),"")</f>
        <v/>
      </c>
      <c r="J4115">
        <f>IF(B4115,IF(Dist="Normal",DistA+DistB*I4115,DistA+(DistB-DistA)*NORMSDIST(I4115)),"")</f>
        <v/>
      </c>
      <c r="K4115">
        <f>IF(B4115,INDEX(MineScale,C4115),"")</f>
        <v/>
      </c>
      <c r="L4115">
        <f>IF(B4115,INDEX(Dow,1,WEEKDAY(E4115,2)),"")</f>
        <v/>
      </c>
      <c r="M4115">
        <f>IF(B4115,(1+Trend)^D4115,"")</f>
        <v/>
      </c>
      <c r="N4115">
        <f>IF(B4115,EXP(SUMPRODUCT(LN(1+(EvEff-1)*INDEX(Affected,0,C4115)*EXP(-((E4115-EvCenter)^2)/(2*EvSigma^2))))),"")</f>
        <v/>
      </c>
      <c r="O4115">
        <f>IF(B4115,ROUND(MAX(0,J4115*K4115*L4115*M4115*N4115),2),"")</f>
        <v/>
      </c>
    </row>
    <row r="4116">
      <c r="A4116" t="n">
        <v>4115</v>
      </c>
      <c r="B4116">
        <f>A4116&lt;=MineCount*Days</f>
        <v/>
      </c>
      <c r="C4116">
        <f>IF(B4116,INT((A4116-1)/Days)+1,"")</f>
        <v/>
      </c>
      <c r="D4116">
        <f>IF(B4116,MOD(A4116-1,Days),"")</f>
        <v/>
      </c>
      <c r="E4116" s="16">
        <f>IF(B4116,StartDate+D4116,"")</f>
        <v/>
      </c>
      <c r="F4116">
        <f>IF(B4116,MAX(MOD(SIN(Seed*0.1373+C4116*12.9898+D4116*78.233)*43758.5453,1),1E-9),"")</f>
        <v/>
      </c>
      <c r="G4116">
        <f>IF(B4116,MOD(SIN(Seed*0.5917+C4116*39.3468+D4116*11.135)*24634.6345,1),"")</f>
        <v/>
      </c>
      <c r="H4116">
        <f>IF(B4116,SQRT(-2*LN(F4116))*COS(2*PI()*G4116),"")</f>
        <v/>
      </c>
      <c r="I4116">
        <f>IF(B4116,IF(D4116=0,H4116,Rho*I4115+SQRT(1-Rho^2)*H4116),"")</f>
        <v/>
      </c>
      <c r="J4116">
        <f>IF(B4116,IF(Dist="Normal",DistA+DistB*I4116,DistA+(DistB-DistA)*NORMSDIST(I4116)),"")</f>
        <v/>
      </c>
      <c r="K4116">
        <f>IF(B4116,INDEX(MineScale,C4116),"")</f>
        <v/>
      </c>
      <c r="L4116">
        <f>IF(B4116,INDEX(Dow,1,WEEKDAY(E4116,2)),"")</f>
        <v/>
      </c>
      <c r="M4116">
        <f>IF(B4116,(1+Trend)^D4116,"")</f>
        <v/>
      </c>
      <c r="N4116">
        <f>IF(B4116,EXP(SUMPRODUCT(LN(1+(EvEff-1)*INDEX(Affected,0,C4116)*EXP(-((E4116-EvCenter)^2)/(2*EvSigma^2))))),"")</f>
        <v/>
      </c>
      <c r="O4116">
        <f>IF(B4116,ROUND(MAX(0,J4116*K4116*L4116*M4116*N4116),2),"")</f>
        <v/>
      </c>
    </row>
    <row r="4117">
      <c r="A4117" t="n">
        <v>4116</v>
      </c>
      <c r="B4117">
        <f>A4117&lt;=MineCount*Days</f>
        <v/>
      </c>
      <c r="C4117">
        <f>IF(B4117,INT((A4117-1)/Days)+1,"")</f>
        <v/>
      </c>
      <c r="D4117">
        <f>IF(B4117,MOD(A4117-1,Days),"")</f>
        <v/>
      </c>
      <c r="E4117" s="16">
        <f>IF(B4117,StartDate+D4117,"")</f>
        <v/>
      </c>
      <c r="F4117">
        <f>IF(B4117,MAX(MOD(SIN(Seed*0.1373+C4117*12.9898+D4117*78.233)*43758.5453,1),1E-9),"")</f>
        <v/>
      </c>
      <c r="G4117">
        <f>IF(B4117,MOD(SIN(Seed*0.5917+C4117*39.3468+D4117*11.135)*24634.6345,1),"")</f>
        <v/>
      </c>
      <c r="H4117">
        <f>IF(B4117,SQRT(-2*LN(F4117))*COS(2*PI()*G4117),"")</f>
        <v/>
      </c>
      <c r="I4117">
        <f>IF(B4117,IF(D4117=0,H4117,Rho*I4116+SQRT(1-Rho^2)*H4117),"")</f>
        <v/>
      </c>
      <c r="J4117">
        <f>IF(B4117,IF(Dist="Normal",DistA+DistB*I4117,DistA+(DistB-DistA)*NORMSDIST(I4117)),"")</f>
        <v/>
      </c>
      <c r="K4117">
        <f>IF(B4117,INDEX(MineScale,C4117),"")</f>
        <v/>
      </c>
      <c r="L4117">
        <f>IF(B4117,INDEX(Dow,1,WEEKDAY(E4117,2)),"")</f>
        <v/>
      </c>
      <c r="M4117">
        <f>IF(B4117,(1+Trend)^D4117,"")</f>
        <v/>
      </c>
      <c r="N4117">
        <f>IF(B4117,EXP(SUMPRODUCT(LN(1+(EvEff-1)*INDEX(Affected,0,C4117)*EXP(-((E4117-EvCenter)^2)/(2*EvSigma^2))))),"")</f>
        <v/>
      </c>
      <c r="O4117">
        <f>IF(B4117,ROUND(MAX(0,J4117*K4117*L4117*M4117*N4117),2),"")</f>
        <v/>
      </c>
    </row>
    <row r="4118">
      <c r="A4118" t="n">
        <v>4117</v>
      </c>
      <c r="B4118">
        <f>A4118&lt;=MineCount*Days</f>
        <v/>
      </c>
      <c r="C4118">
        <f>IF(B4118,INT((A4118-1)/Days)+1,"")</f>
        <v/>
      </c>
      <c r="D4118">
        <f>IF(B4118,MOD(A4118-1,Days),"")</f>
        <v/>
      </c>
      <c r="E4118" s="16">
        <f>IF(B4118,StartDate+D4118,"")</f>
        <v/>
      </c>
      <c r="F4118">
        <f>IF(B4118,MAX(MOD(SIN(Seed*0.1373+C4118*12.9898+D4118*78.233)*43758.5453,1),1E-9),"")</f>
        <v/>
      </c>
      <c r="G4118">
        <f>IF(B4118,MOD(SIN(Seed*0.5917+C4118*39.3468+D4118*11.135)*24634.6345,1),"")</f>
        <v/>
      </c>
      <c r="H4118">
        <f>IF(B4118,SQRT(-2*LN(F4118))*COS(2*PI()*G4118),"")</f>
        <v/>
      </c>
      <c r="I4118">
        <f>IF(B4118,IF(D4118=0,H4118,Rho*I4117+SQRT(1-Rho^2)*H4118),"")</f>
        <v/>
      </c>
      <c r="J4118">
        <f>IF(B4118,IF(Dist="Normal",DistA+DistB*I4118,DistA+(DistB-DistA)*NORMSDIST(I4118)),"")</f>
        <v/>
      </c>
      <c r="K4118">
        <f>IF(B4118,INDEX(MineScale,C4118),"")</f>
        <v/>
      </c>
      <c r="L4118">
        <f>IF(B4118,INDEX(Dow,1,WEEKDAY(E4118,2)),"")</f>
        <v/>
      </c>
      <c r="M4118">
        <f>IF(B4118,(1+Trend)^D4118,"")</f>
        <v/>
      </c>
      <c r="N4118">
        <f>IF(B4118,EXP(SUMPRODUCT(LN(1+(EvEff-1)*INDEX(Affected,0,C4118)*EXP(-((E4118-EvCenter)^2)/(2*EvSigma^2))))),"")</f>
        <v/>
      </c>
      <c r="O4118">
        <f>IF(B4118,ROUND(MAX(0,J4118*K4118*L4118*M4118*N4118),2),"")</f>
        <v/>
      </c>
    </row>
    <row r="4119">
      <c r="A4119" t="n">
        <v>4118</v>
      </c>
      <c r="B4119">
        <f>A4119&lt;=MineCount*Days</f>
        <v/>
      </c>
      <c r="C4119">
        <f>IF(B4119,INT((A4119-1)/Days)+1,"")</f>
        <v/>
      </c>
      <c r="D4119">
        <f>IF(B4119,MOD(A4119-1,Days),"")</f>
        <v/>
      </c>
      <c r="E4119" s="16">
        <f>IF(B4119,StartDate+D4119,"")</f>
        <v/>
      </c>
      <c r="F4119">
        <f>IF(B4119,MAX(MOD(SIN(Seed*0.1373+C4119*12.9898+D4119*78.233)*43758.5453,1),1E-9),"")</f>
        <v/>
      </c>
      <c r="G4119">
        <f>IF(B4119,MOD(SIN(Seed*0.5917+C4119*39.3468+D4119*11.135)*24634.6345,1),"")</f>
        <v/>
      </c>
      <c r="H4119">
        <f>IF(B4119,SQRT(-2*LN(F4119))*COS(2*PI()*G4119),"")</f>
        <v/>
      </c>
      <c r="I4119">
        <f>IF(B4119,IF(D4119=0,H4119,Rho*I4118+SQRT(1-Rho^2)*H4119),"")</f>
        <v/>
      </c>
      <c r="J4119">
        <f>IF(B4119,IF(Dist="Normal",DistA+DistB*I4119,DistA+(DistB-DistA)*NORMSDIST(I4119)),"")</f>
        <v/>
      </c>
      <c r="K4119">
        <f>IF(B4119,INDEX(MineScale,C4119),"")</f>
        <v/>
      </c>
      <c r="L4119">
        <f>IF(B4119,INDEX(Dow,1,WEEKDAY(E4119,2)),"")</f>
        <v/>
      </c>
      <c r="M4119">
        <f>IF(B4119,(1+Trend)^D4119,"")</f>
        <v/>
      </c>
      <c r="N4119">
        <f>IF(B4119,EXP(SUMPRODUCT(LN(1+(EvEff-1)*INDEX(Affected,0,C4119)*EXP(-((E4119-EvCenter)^2)/(2*EvSigma^2))))),"")</f>
        <v/>
      </c>
      <c r="O4119">
        <f>IF(B4119,ROUND(MAX(0,J4119*K4119*L4119*M4119*N4119),2),"")</f>
        <v/>
      </c>
    </row>
    <row r="4120">
      <c r="A4120" t="n">
        <v>4119</v>
      </c>
      <c r="B4120">
        <f>A4120&lt;=MineCount*Days</f>
        <v/>
      </c>
      <c r="C4120">
        <f>IF(B4120,INT((A4120-1)/Days)+1,"")</f>
        <v/>
      </c>
      <c r="D4120">
        <f>IF(B4120,MOD(A4120-1,Days),"")</f>
        <v/>
      </c>
      <c r="E4120" s="16">
        <f>IF(B4120,StartDate+D4120,"")</f>
        <v/>
      </c>
      <c r="F4120">
        <f>IF(B4120,MAX(MOD(SIN(Seed*0.1373+C4120*12.9898+D4120*78.233)*43758.5453,1),1E-9),"")</f>
        <v/>
      </c>
      <c r="G4120">
        <f>IF(B4120,MOD(SIN(Seed*0.5917+C4120*39.3468+D4120*11.135)*24634.6345,1),"")</f>
        <v/>
      </c>
      <c r="H4120">
        <f>IF(B4120,SQRT(-2*LN(F4120))*COS(2*PI()*G4120),"")</f>
        <v/>
      </c>
      <c r="I4120">
        <f>IF(B4120,IF(D4120=0,H4120,Rho*I4119+SQRT(1-Rho^2)*H4120),"")</f>
        <v/>
      </c>
      <c r="J4120">
        <f>IF(B4120,IF(Dist="Normal",DistA+DistB*I4120,DistA+(DistB-DistA)*NORMSDIST(I4120)),"")</f>
        <v/>
      </c>
      <c r="K4120">
        <f>IF(B4120,INDEX(MineScale,C4120),"")</f>
        <v/>
      </c>
      <c r="L4120">
        <f>IF(B4120,INDEX(Dow,1,WEEKDAY(E4120,2)),"")</f>
        <v/>
      </c>
      <c r="M4120">
        <f>IF(B4120,(1+Trend)^D4120,"")</f>
        <v/>
      </c>
      <c r="N4120">
        <f>IF(B4120,EXP(SUMPRODUCT(LN(1+(EvEff-1)*INDEX(Affected,0,C4120)*EXP(-((E4120-EvCenter)^2)/(2*EvSigma^2))))),"")</f>
        <v/>
      </c>
      <c r="O4120">
        <f>IF(B4120,ROUND(MAX(0,J4120*K4120*L4120*M4120*N4120),2),"")</f>
        <v/>
      </c>
    </row>
    <row r="4121">
      <c r="A4121" t="n">
        <v>4120</v>
      </c>
      <c r="B4121">
        <f>A4121&lt;=MineCount*Days</f>
        <v/>
      </c>
      <c r="C4121">
        <f>IF(B4121,INT((A4121-1)/Days)+1,"")</f>
        <v/>
      </c>
      <c r="D4121">
        <f>IF(B4121,MOD(A4121-1,Days),"")</f>
        <v/>
      </c>
      <c r="E4121" s="16">
        <f>IF(B4121,StartDate+D4121,"")</f>
        <v/>
      </c>
      <c r="F4121">
        <f>IF(B4121,MAX(MOD(SIN(Seed*0.1373+C4121*12.9898+D4121*78.233)*43758.5453,1),1E-9),"")</f>
        <v/>
      </c>
      <c r="G4121">
        <f>IF(B4121,MOD(SIN(Seed*0.5917+C4121*39.3468+D4121*11.135)*24634.6345,1),"")</f>
        <v/>
      </c>
      <c r="H4121">
        <f>IF(B4121,SQRT(-2*LN(F4121))*COS(2*PI()*G4121),"")</f>
        <v/>
      </c>
      <c r="I4121">
        <f>IF(B4121,IF(D4121=0,H4121,Rho*I4120+SQRT(1-Rho^2)*H4121),"")</f>
        <v/>
      </c>
      <c r="J4121">
        <f>IF(B4121,IF(Dist="Normal",DistA+DistB*I4121,DistA+(DistB-DistA)*NORMSDIST(I4121)),"")</f>
        <v/>
      </c>
      <c r="K4121">
        <f>IF(B4121,INDEX(MineScale,C4121),"")</f>
        <v/>
      </c>
      <c r="L4121">
        <f>IF(B4121,INDEX(Dow,1,WEEKDAY(E4121,2)),"")</f>
        <v/>
      </c>
      <c r="M4121">
        <f>IF(B4121,(1+Trend)^D4121,"")</f>
        <v/>
      </c>
      <c r="N4121">
        <f>IF(B4121,EXP(SUMPRODUCT(LN(1+(EvEff-1)*INDEX(Affected,0,C4121)*EXP(-((E4121-EvCenter)^2)/(2*EvSigma^2))))),"")</f>
        <v/>
      </c>
      <c r="O4121">
        <f>IF(B4121,ROUND(MAX(0,J4121*K4121*L4121*M4121*N4121),2),"")</f>
        <v/>
      </c>
    </row>
    <row r="4122">
      <c r="A4122" t="n">
        <v>4121</v>
      </c>
      <c r="B4122">
        <f>A4122&lt;=MineCount*Days</f>
        <v/>
      </c>
      <c r="C4122">
        <f>IF(B4122,INT((A4122-1)/Days)+1,"")</f>
        <v/>
      </c>
      <c r="D4122">
        <f>IF(B4122,MOD(A4122-1,Days),"")</f>
        <v/>
      </c>
      <c r="E4122" s="16">
        <f>IF(B4122,StartDate+D4122,"")</f>
        <v/>
      </c>
      <c r="F4122">
        <f>IF(B4122,MAX(MOD(SIN(Seed*0.1373+C4122*12.9898+D4122*78.233)*43758.5453,1),1E-9),"")</f>
        <v/>
      </c>
      <c r="G4122">
        <f>IF(B4122,MOD(SIN(Seed*0.5917+C4122*39.3468+D4122*11.135)*24634.6345,1),"")</f>
        <v/>
      </c>
      <c r="H4122">
        <f>IF(B4122,SQRT(-2*LN(F4122))*COS(2*PI()*G4122),"")</f>
        <v/>
      </c>
      <c r="I4122">
        <f>IF(B4122,IF(D4122=0,H4122,Rho*I4121+SQRT(1-Rho^2)*H4122),"")</f>
        <v/>
      </c>
      <c r="J4122">
        <f>IF(B4122,IF(Dist="Normal",DistA+DistB*I4122,DistA+(DistB-DistA)*NORMSDIST(I4122)),"")</f>
        <v/>
      </c>
      <c r="K4122">
        <f>IF(B4122,INDEX(MineScale,C4122),"")</f>
        <v/>
      </c>
      <c r="L4122">
        <f>IF(B4122,INDEX(Dow,1,WEEKDAY(E4122,2)),"")</f>
        <v/>
      </c>
      <c r="M4122">
        <f>IF(B4122,(1+Trend)^D4122,"")</f>
        <v/>
      </c>
      <c r="N4122">
        <f>IF(B4122,EXP(SUMPRODUCT(LN(1+(EvEff-1)*INDEX(Affected,0,C4122)*EXP(-((E4122-EvCenter)^2)/(2*EvSigma^2))))),"")</f>
        <v/>
      </c>
      <c r="O4122">
        <f>IF(B4122,ROUND(MAX(0,J4122*K4122*L4122*M4122*N4122),2),"")</f>
        <v/>
      </c>
    </row>
    <row r="4123">
      <c r="A4123" t="n">
        <v>4122</v>
      </c>
      <c r="B4123">
        <f>A4123&lt;=MineCount*Days</f>
        <v/>
      </c>
      <c r="C4123">
        <f>IF(B4123,INT((A4123-1)/Days)+1,"")</f>
        <v/>
      </c>
      <c r="D4123">
        <f>IF(B4123,MOD(A4123-1,Days),"")</f>
        <v/>
      </c>
      <c r="E4123" s="16">
        <f>IF(B4123,StartDate+D4123,"")</f>
        <v/>
      </c>
      <c r="F4123">
        <f>IF(B4123,MAX(MOD(SIN(Seed*0.1373+C4123*12.9898+D4123*78.233)*43758.5453,1),1E-9),"")</f>
        <v/>
      </c>
      <c r="G4123">
        <f>IF(B4123,MOD(SIN(Seed*0.5917+C4123*39.3468+D4123*11.135)*24634.6345,1),"")</f>
        <v/>
      </c>
      <c r="H4123">
        <f>IF(B4123,SQRT(-2*LN(F4123))*COS(2*PI()*G4123),"")</f>
        <v/>
      </c>
      <c r="I4123">
        <f>IF(B4123,IF(D4123=0,H4123,Rho*I4122+SQRT(1-Rho^2)*H4123),"")</f>
        <v/>
      </c>
      <c r="J4123">
        <f>IF(B4123,IF(Dist="Normal",DistA+DistB*I4123,DistA+(DistB-DistA)*NORMSDIST(I4123)),"")</f>
        <v/>
      </c>
      <c r="K4123">
        <f>IF(B4123,INDEX(MineScale,C4123),"")</f>
        <v/>
      </c>
      <c r="L4123">
        <f>IF(B4123,INDEX(Dow,1,WEEKDAY(E4123,2)),"")</f>
        <v/>
      </c>
      <c r="M4123">
        <f>IF(B4123,(1+Trend)^D4123,"")</f>
        <v/>
      </c>
      <c r="N4123">
        <f>IF(B4123,EXP(SUMPRODUCT(LN(1+(EvEff-1)*INDEX(Affected,0,C4123)*EXP(-((E4123-EvCenter)^2)/(2*EvSigma^2))))),"")</f>
        <v/>
      </c>
      <c r="O4123">
        <f>IF(B4123,ROUND(MAX(0,J4123*K4123*L4123*M4123*N4123),2),"")</f>
        <v/>
      </c>
    </row>
    <row r="4124">
      <c r="A4124" t="n">
        <v>4123</v>
      </c>
      <c r="B4124">
        <f>A4124&lt;=MineCount*Days</f>
        <v/>
      </c>
      <c r="C4124">
        <f>IF(B4124,INT((A4124-1)/Days)+1,"")</f>
        <v/>
      </c>
      <c r="D4124">
        <f>IF(B4124,MOD(A4124-1,Days),"")</f>
        <v/>
      </c>
      <c r="E4124" s="16">
        <f>IF(B4124,StartDate+D4124,"")</f>
        <v/>
      </c>
      <c r="F4124">
        <f>IF(B4124,MAX(MOD(SIN(Seed*0.1373+C4124*12.9898+D4124*78.233)*43758.5453,1),1E-9),"")</f>
        <v/>
      </c>
      <c r="G4124">
        <f>IF(B4124,MOD(SIN(Seed*0.5917+C4124*39.3468+D4124*11.135)*24634.6345,1),"")</f>
        <v/>
      </c>
      <c r="H4124">
        <f>IF(B4124,SQRT(-2*LN(F4124))*COS(2*PI()*G4124),"")</f>
        <v/>
      </c>
      <c r="I4124">
        <f>IF(B4124,IF(D4124=0,H4124,Rho*I4123+SQRT(1-Rho^2)*H4124),"")</f>
        <v/>
      </c>
      <c r="J4124">
        <f>IF(B4124,IF(Dist="Normal",DistA+DistB*I4124,DistA+(DistB-DistA)*NORMSDIST(I4124)),"")</f>
        <v/>
      </c>
      <c r="K4124">
        <f>IF(B4124,INDEX(MineScale,C4124),"")</f>
        <v/>
      </c>
      <c r="L4124">
        <f>IF(B4124,INDEX(Dow,1,WEEKDAY(E4124,2)),"")</f>
        <v/>
      </c>
      <c r="M4124">
        <f>IF(B4124,(1+Trend)^D4124,"")</f>
        <v/>
      </c>
      <c r="N4124">
        <f>IF(B4124,EXP(SUMPRODUCT(LN(1+(EvEff-1)*INDEX(Affected,0,C4124)*EXP(-((E4124-EvCenter)^2)/(2*EvSigma^2))))),"")</f>
        <v/>
      </c>
      <c r="O4124">
        <f>IF(B4124,ROUND(MAX(0,J4124*K4124*L4124*M4124*N4124),2),"")</f>
        <v/>
      </c>
    </row>
    <row r="4125">
      <c r="A4125" t="n">
        <v>4124</v>
      </c>
      <c r="B4125">
        <f>A4125&lt;=MineCount*Days</f>
        <v/>
      </c>
      <c r="C4125">
        <f>IF(B4125,INT((A4125-1)/Days)+1,"")</f>
        <v/>
      </c>
      <c r="D4125">
        <f>IF(B4125,MOD(A4125-1,Days),"")</f>
        <v/>
      </c>
      <c r="E4125" s="16">
        <f>IF(B4125,StartDate+D4125,"")</f>
        <v/>
      </c>
      <c r="F4125">
        <f>IF(B4125,MAX(MOD(SIN(Seed*0.1373+C4125*12.9898+D4125*78.233)*43758.5453,1),1E-9),"")</f>
        <v/>
      </c>
      <c r="G4125">
        <f>IF(B4125,MOD(SIN(Seed*0.5917+C4125*39.3468+D4125*11.135)*24634.6345,1),"")</f>
        <v/>
      </c>
      <c r="H4125">
        <f>IF(B4125,SQRT(-2*LN(F4125))*COS(2*PI()*G4125),"")</f>
        <v/>
      </c>
      <c r="I4125">
        <f>IF(B4125,IF(D4125=0,H4125,Rho*I4124+SQRT(1-Rho^2)*H4125),"")</f>
        <v/>
      </c>
      <c r="J4125">
        <f>IF(B4125,IF(Dist="Normal",DistA+DistB*I4125,DistA+(DistB-DistA)*NORMSDIST(I4125)),"")</f>
        <v/>
      </c>
      <c r="K4125">
        <f>IF(B4125,INDEX(MineScale,C4125),"")</f>
        <v/>
      </c>
      <c r="L4125">
        <f>IF(B4125,INDEX(Dow,1,WEEKDAY(E4125,2)),"")</f>
        <v/>
      </c>
      <c r="M4125">
        <f>IF(B4125,(1+Trend)^D4125,"")</f>
        <v/>
      </c>
      <c r="N4125">
        <f>IF(B4125,EXP(SUMPRODUCT(LN(1+(EvEff-1)*INDEX(Affected,0,C4125)*EXP(-((E4125-EvCenter)^2)/(2*EvSigma^2))))),"")</f>
        <v/>
      </c>
      <c r="O4125">
        <f>IF(B4125,ROUND(MAX(0,J4125*K4125*L4125*M4125*N4125),2),"")</f>
        <v/>
      </c>
    </row>
    <row r="4126">
      <c r="A4126" t="n">
        <v>4125</v>
      </c>
      <c r="B4126">
        <f>A4126&lt;=MineCount*Days</f>
        <v/>
      </c>
      <c r="C4126">
        <f>IF(B4126,INT((A4126-1)/Days)+1,"")</f>
        <v/>
      </c>
      <c r="D4126">
        <f>IF(B4126,MOD(A4126-1,Days),"")</f>
        <v/>
      </c>
      <c r="E4126" s="16">
        <f>IF(B4126,StartDate+D4126,"")</f>
        <v/>
      </c>
      <c r="F4126">
        <f>IF(B4126,MAX(MOD(SIN(Seed*0.1373+C4126*12.9898+D4126*78.233)*43758.5453,1),1E-9),"")</f>
        <v/>
      </c>
      <c r="G4126">
        <f>IF(B4126,MOD(SIN(Seed*0.5917+C4126*39.3468+D4126*11.135)*24634.6345,1),"")</f>
        <v/>
      </c>
      <c r="H4126">
        <f>IF(B4126,SQRT(-2*LN(F4126))*COS(2*PI()*G4126),"")</f>
        <v/>
      </c>
      <c r="I4126">
        <f>IF(B4126,IF(D4126=0,H4126,Rho*I4125+SQRT(1-Rho^2)*H4126),"")</f>
        <v/>
      </c>
      <c r="J4126">
        <f>IF(B4126,IF(Dist="Normal",DistA+DistB*I4126,DistA+(DistB-DistA)*NORMSDIST(I4126)),"")</f>
        <v/>
      </c>
      <c r="K4126">
        <f>IF(B4126,INDEX(MineScale,C4126),"")</f>
        <v/>
      </c>
      <c r="L4126">
        <f>IF(B4126,INDEX(Dow,1,WEEKDAY(E4126,2)),"")</f>
        <v/>
      </c>
      <c r="M4126">
        <f>IF(B4126,(1+Trend)^D4126,"")</f>
        <v/>
      </c>
      <c r="N4126">
        <f>IF(B4126,EXP(SUMPRODUCT(LN(1+(EvEff-1)*INDEX(Affected,0,C4126)*EXP(-((E4126-EvCenter)^2)/(2*EvSigma^2))))),"")</f>
        <v/>
      </c>
      <c r="O4126">
        <f>IF(B4126,ROUND(MAX(0,J4126*K4126*L4126*M4126*N4126),2),"")</f>
        <v/>
      </c>
    </row>
    <row r="4127">
      <c r="A4127" t="n">
        <v>4126</v>
      </c>
      <c r="B4127">
        <f>A4127&lt;=MineCount*Days</f>
        <v/>
      </c>
      <c r="C4127">
        <f>IF(B4127,INT((A4127-1)/Days)+1,"")</f>
        <v/>
      </c>
      <c r="D4127">
        <f>IF(B4127,MOD(A4127-1,Days),"")</f>
        <v/>
      </c>
      <c r="E4127" s="16">
        <f>IF(B4127,StartDate+D4127,"")</f>
        <v/>
      </c>
      <c r="F4127">
        <f>IF(B4127,MAX(MOD(SIN(Seed*0.1373+C4127*12.9898+D4127*78.233)*43758.5453,1),1E-9),"")</f>
        <v/>
      </c>
      <c r="G4127">
        <f>IF(B4127,MOD(SIN(Seed*0.5917+C4127*39.3468+D4127*11.135)*24634.6345,1),"")</f>
        <v/>
      </c>
      <c r="H4127">
        <f>IF(B4127,SQRT(-2*LN(F4127))*COS(2*PI()*G4127),"")</f>
        <v/>
      </c>
      <c r="I4127">
        <f>IF(B4127,IF(D4127=0,H4127,Rho*I4126+SQRT(1-Rho^2)*H4127),"")</f>
        <v/>
      </c>
      <c r="J4127">
        <f>IF(B4127,IF(Dist="Normal",DistA+DistB*I4127,DistA+(DistB-DistA)*NORMSDIST(I4127)),"")</f>
        <v/>
      </c>
      <c r="K4127">
        <f>IF(B4127,INDEX(MineScale,C4127),"")</f>
        <v/>
      </c>
      <c r="L4127">
        <f>IF(B4127,INDEX(Dow,1,WEEKDAY(E4127,2)),"")</f>
        <v/>
      </c>
      <c r="M4127">
        <f>IF(B4127,(1+Trend)^D4127,"")</f>
        <v/>
      </c>
      <c r="N4127">
        <f>IF(B4127,EXP(SUMPRODUCT(LN(1+(EvEff-1)*INDEX(Affected,0,C4127)*EXP(-((E4127-EvCenter)^2)/(2*EvSigma^2))))),"")</f>
        <v/>
      </c>
      <c r="O4127">
        <f>IF(B4127,ROUND(MAX(0,J4127*K4127*L4127*M4127*N4127),2),"")</f>
        <v/>
      </c>
    </row>
    <row r="4128">
      <c r="A4128" t="n">
        <v>4127</v>
      </c>
      <c r="B4128">
        <f>A4128&lt;=MineCount*Days</f>
        <v/>
      </c>
      <c r="C4128">
        <f>IF(B4128,INT((A4128-1)/Days)+1,"")</f>
        <v/>
      </c>
      <c r="D4128">
        <f>IF(B4128,MOD(A4128-1,Days),"")</f>
        <v/>
      </c>
      <c r="E4128" s="16">
        <f>IF(B4128,StartDate+D4128,"")</f>
        <v/>
      </c>
      <c r="F4128">
        <f>IF(B4128,MAX(MOD(SIN(Seed*0.1373+C4128*12.9898+D4128*78.233)*43758.5453,1),1E-9),"")</f>
        <v/>
      </c>
      <c r="G4128">
        <f>IF(B4128,MOD(SIN(Seed*0.5917+C4128*39.3468+D4128*11.135)*24634.6345,1),"")</f>
        <v/>
      </c>
      <c r="H4128">
        <f>IF(B4128,SQRT(-2*LN(F4128))*COS(2*PI()*G4128),"")</f>
        <v/>
      </c>
      <c r="I4128">
        <f>IF(B4128,IF(D4128=0,H4128,Rho*I4127+SQRT(1-Rho^2)*H4128),"")</f>
        <v/>
      </c>
      <c r="J4128">
        <f>IF(B4128,IF(Dist="Normal",DistA+DistB*I4128,DistA+(DistB-DistA)*NORMSDIST(I4128)),"")</f>
        <v/>
      </c>
      <c r="K4128">
        <f>IF(B4128,INDEX(MineScale,C4128),"")</f>
        <v/>
      </c>
      <c r="L4128">
        <f>IF(B4128,INDEX(Dow,1,WEEKDAY(E4128,2)),"")</f>
        <v/>
      </c>
      <c r="M4128">
        <f>IF(B4128,(1+Trend)^D4128,"")</f>
        <v/>
      </c>
      <c r="N4128">
        <f>IF(B4128,EXP(SUMPRODUCT(LN(1+(EvEff-1)*INDEX(Affected,0,C4128)*EXP(-((E4128-EvCenter)^2)/(2*EvSigma^2))))),"")</f>
        <v/>
      </c>
      <c r="O4128">
        <f>IF(B4128,ROUND(MAX(0,J4128*K4128*L4128*M4128*N4128),2),"")</f>
        <v/>
      </c>
    </row>
    <row r="4129">
      <c r="A4129" t="n">
        <v>4128</v>
      </c>
      <c r="B4129">
        <f>A4129&lt;=MineCount*Days</f>
        <v/>
      </c>
      <c r="C4129">
        <f>IF(B4129,INT((A4129-1)/Days)+1,"")</f>
        <v/>
      </c>
      <c r="D4129">
        <f>IF(B4129,MOD(A4129-1,Days),"")</f>
        <v/>
      </c>
      <c r="E4129" s="16">
        <f>IF(B4129,StartDate+D4129,"")</f>
        <v/>
      </c>
      <c r="F4129">
        <f>IF(B4129,MAX(MOD(SIN(Seed*0.1373+C4129*12.9898+D4129*78.233)*43758.5453,1),1E-9),"")</f>
        <v/>
      </c>
      <c r="G4129">
        <f>IF(B4129,MOD(SIN(Seed*0.5917+C4129*39.3468+D4129*11.135)*24634.6345,1),"")</f>
        <v/>
      </c>
      <c r="H4129">
        <f>IF(B4129,SQRT(-2*LN(F4129))*COS(2*PI()*G4129),"")</f>
        <v/>
      </c>
      <c r="I4129">
        <f>IF(B4129,IF(D4129=0,H4129,Rho*I4128+SQRT(1-Rho^2)*H4129),"")</f>
        <v/>
      </c>
      <c r="J4129">
        <f>IF(B4129,IF(Dist="Normal",DistA+DistB*I4129,DistA+(DistB-DistA)*NORMSDIST(I4129)),"")</f>
        <v/>
      </c>
      <c r="K4129">
        <f>IF(B4129,INDEX(MineScale,C4129),"")</f>
        <v/>
      </c>
      <c r="L4129">
        <f>IF(B4129,INDEX(Dow,1,WEEKDAY(E4129,2)),"")</f>
        <v/>
      </c>
      <c r="M4129">
        <f>IF(B4129,(1+Trend)^D4129,"")</f>
        <v/>
      </c>
      <c r="N4129">
        <f>IF(B4129,EXP(SUMPRODUCT(LN(1+(EvEff-1)*INDEX(Affected,0,C4129)*EXP(-((E4129-EvCenter)^2)/(2*EvSigma^2))))),"")</f>
        <v/>
      </c>
      <c r="O4129">
        <f>IF(B4129,ROUND(MAX(0,J4129*K4129*L4129*M4129*N4129),2),"")</f>
        <v/>
      </c>
    </row>
    <row r="4130">
      <c r="A4130" t="n">
        <v>4129</v>
      </c>
      <c r="B4130">
        <f>A4130&lt;=MineCount*Days</f>
        <v/>
      </c>
      <c r="C4130">
        <f>IF(B4130,INT((A4130-1)/Days)+1,"")</f>
        <v/>
      </c>
      <c r="D4130">
        <f>IF(B4130,MOD(A4130-1,Days),"")</f>
        <v/>
      </c>
      <c r="E4130" s="16">
        <f>IF(B4130,StartDate+D4130,"")</f>
        <v/>
      </c>
      <c r="F4130">
        <f>IF(B4130,MAX(MOD(SIN(Seed*0.1373+C4130*12.9898+D4130*78.233)*43758.5453,1),1E-9),"")</f>
        <v/>
      </c>
      <c r="G4130">
        <f>IF(B4130,MOD(SIN(Seed*0.5917+C4130*39.3468+D4130*11.135)*24634.6345,1),"")</f>
        <v/>
      </c>
      <c r="H4130">
        <f>IF(B4130,SQRT(-2*LN(F4130))*COS(2*PI()*G4130),"")</f>
        <v/>
      </c>
      <c r="I4130">
        <f>IF(B4130,IF(D4130=0,H4130,Rho*I4129+SQRT(1-Rho^2)*H4130),"")</f>
        <v/>
      </c>
      <c r="J4130">
        <f>IF(B4130,IF(Dist="Normal",DistA+DistB*I4130,DistA+(DistB-DistA)*NORMSDIST(I4130)),"")</f>
        <v/>
      </c>
      <c r="K4130">
        <f>IF(B4130,INDEX(MineScale,C4130),"")</f>
        <v/>
      </c>
      <c r="L4130">
        <f>IF(B4130,INDEX(Dow,1,WEEKDAY(E4130,2)),"")</f>
        <v/>
      </c>
      <c r="M4130">
        <f>IF(B4130,(1+Trend)^D4130,"")</f>
        <v/>
      </c>
      <c r="N4130">
        <f>IF(B4130,EXP(SUMPRODUCT(LN(1+(EvEff-1)*INDEX(Affected,0,C4130)*EXP(-((E4130-EvCenter)^2)/(2*EvSigma^2))))),"")</f>
        <v/>
      </c>
      <c r="O4130">
        <f>IF(B4130,ROUND(MAX(0,J4130*K4130*L4130*M4130*N4130),2),"")</f>
        <v/>
      </c>
    </row>
    <row r="4131">
      <c r="A4131" t="n">
        <v>4130</v>
      </c>
      <c r="B4131">
        <f>A4131&lt;=MineCount*Days</f>
        <v/>
      </c>
      <c r="C4131">
        <f>IF(B4131,INT((A4131-1)/Days)+1,"")</f>
        <v/>
      </c>
      <c r="D4131">
        <f>IF(B4131,MOD(A4131-1,Days),"")</f>
        <v/>
      </c>
      <c r="E4131" s="16">
        <f>IF(B4131,StartDate+D4131,"")</f>
        <v/>
      </c>
      <c r="F4131">
        <f>IF(B4131,MAX(MOD(SIN(Seed*0.1373+C4131*12.9898+D4131*78.233)*43758.5453,1),1E-9),"")</f>
        <v/>
      </c>
      <c r="G4131">
        <f>IF(B4131,MOD(SIN(Seed*0.5917+C4131*39.3468+D4131*11.135)*24634.6345,1),"")</f>
        <v/>
      </c>
      <c r="H4131">
        <f>IF(B4131,SQRT(-2*LN(F4131))*COS(2*PI()*G4131),"")</f>
        <v/>
      </c>
      <c r="I4131">
        <f>IF(B4131,IF(D4131=0,H4131,Rho*I4130+SQRT(1-Rho^2)*H4131),"")</f>
        <v/>
      </c>
      <c r="J4131">
        <f>IF(B4131,IF(Dist="Normal",DistA+DistB*I4131,DistA+(DistB-DistA)*NORMSDIST(I4131)),"")</f>
        <v/>
      </c>
      <c r="K4131">
        <f>IF(B4131,INDEX(MineScale,C4131),"")</f>
        <v/>
      </c>
      <c r="L4131">
        <f>IF(B4131,INDEX(Dow,1,WEEKDAY(E4131,2)),"")</f>
        <v/>
      </c>
      <c r="M4131">
        <f>IF(B4131,(1+Trend)^D4131,"")</f>
        <v/>
      </c>
      <c r="N4131">
        <f>IF(B4131,EXP(SUMPRODUCT(LN(1+(EvEff-1)*INDEX(Affected,0,C4131)*EXP(-((E4131-EvCenter)^2)/(2*EvSigma^2))))),"")</f>
        <v/>
      </c>
      <c r="O4131">
        <f>IF(B4131,ROUND(MAX(0,J4131*K4131*L4131*M4131*N4131),2),"")</f>
        <v/>
      </c>
    </row>
    <row r="4132">
      <c r="A4132" t="n">
        <v>4131</v>
      </c>
      <c r="B4132">
        <f>A4132&lt;=MineCount*Days</f>
        <v/>
      </c>
      <c r="C4132">
        <f>IF(B4132,INT((A4132-1)/Days)+1,"")</f>
        <v/>
      </c>
      <c r="D4132">
        <f>IF(B4132,MOD(A4132-1,Days),"")</f>
        <v/>
      </c>
      <c r="E4132" s="16">
        <f>IF(B4132,StartDate+D4132,"")</f>
        <v/>
      </c>
      <c r="F4132">
        <f>IF(B4132,MAX(MOD(SIN(Seed*0.1373+C4132*12.9898+D4132*78.233)*43758.5453,1),1E-9),"")</f>
        <v/>
      </c>
      <c r="G4132">
        <f>IF(B4132,MOD(SIN(Seed*0.5917+C4132*39.3468+D4132*11.135)*24634.6345,1),"")</f>
        <v/>
      </c>
      <c r="H4132">
        <f>IF(B4132,SQRT(-2*LN(F4132))*COS(2*PI()*G4132),"")</f>
        <v/>
      </c>
      <c r="I4132">
        <f>IF(B4132,IF(D4132=0,H4132,Rho*I4131+SQRT(1-Rho^2)*H4132),"")</f>
        <v/>
      </c>
      <c r="J4132">
        <f>IF(B4132,IF(Dist="Normal",DistA+DistB*I4132,DistA+(DistB-DistA)*NORMSDIST(I4132)),"")</f>
        <v/>
      </c>
      <c r="K4132">
        <f>IF(B4132,INDEX(MineScale,C4132),"")</f>
        <v/>
      </c>
      <c r="L4132">
        <f>IF(B4132,INDEX(Dow,1,WEEKDAY(E4132,2)),"")</f>
        <v/>
      </c>
      <c r="M4132">
        <f>IF(B4132,(1+Trend)^D4132,"")</f>
        <v/>
      </c>
      <c r="N4132">
        <f>IF(B4132,EXP(SUMPRODUCT(LN(1+(EvEff-1)*INDEX(Affected,0,C4132)*EXP(-((E4132-EvCenter)^2)/(2*EvSigma^2))))),"")</f>
        <v/>
      </c>
      <c r="O4132">
        <f>IF(B4132,ROUND(MAX(0,J4132*K4132*L4132*M4132*N4132),2),"")</f>
        <v/>
      </c>
    </row>
    <row r="4133">
      <c r="A4133" t="n">
        <v>4132</v>
      </c>
      <c r="B4133">
        <f>A4133&lt;=MineCount*Days</f>
        <v/>
      </c>
      <c r="C4133">
        <f>IF(B4133,INT((A4133-1)/Days)+1,"")</f>
        <v/>
      </c>
      <c r="D4133">
        <f>IF(B4133,MOD(A4133-1,Days),"")</f>
        <v/>
      </c>
      <c r="E4133" s="16">
        <f>IF(B4133,StartDate+D4133,"")</f>
        <v/>
      </c>
      <c r="F4133">
        <f>IF(B4133,MAX(MOD(SIN(Seed*0.1373+C4133*12.9898+D4133*78.233)*43758.5453,1),1E-9),"")</f>
        <v/>
      </c>
      <c r="G4133">
        <f>IF(B4133,MOD(SIN(Seed*0.5917+C4133*39.3468+D4133*11.135)*24634.6345,1),"")</f>
        <v/>
      </c>
      <c r="H4133">
        <f>IF(B4133,SQRT(-2*LN(F4133))*COS(2*PI()*G4133),"")</f>
        <v/>
      </c>
      <c r="I4133">
        <f>IF(B4133,IF(D4133=0,H4133,Rho*I4132+SQRT(1-Rho^2)*H4133),"")</f>
        <v/>
      </c>
      <c r="J4133">
        <f>IF(B4133,IF(Dist="Normal",DistA+DistB*I4133,DistA+(DistB-DistA)*NORMSDIST(I4133)),"")</f>
        <v/>
      </c>
      <c r="K4133">
        <f>IF(B4133,INDEX(MineScale,C4133),"")</f>
        <v/>
      </c>
      <c r="L4133">
        <f>IF(B4133,INDEX(Dow,1,WEEKDAY(E4133,2)),"")</f>
        <v/>
      </c>
      <c r="M4133">
        <f>IF(B4133,(1+Trend)^D4133,"")</f>
        <v/>
      </c>
      <c r="N4133">
        <f>IF(B4133,EXP(SUMPRODUCT(LN(1+(EvEff-1)*INDEX(Affected,0,C4133)*EXP(-((E4133-EvCenter)^2)/(2*EvSigma^2))))),"")</f>
        <v/>
      </c>
      <c r="O4133">
        <f>IF(B4133,ROUND(MAX(0,J4133*K4133*L4133*M4133*N4133),2),"")</f>
        <v/>
      </c>
    </row>
    <row r="4134">
      <c r="A4134" t="n">
        <v>4133</v>
      </c>
      <c r="B4134">
        <f>A4134&lt;=MineCount*Days</f>
        <v/>
      </c>
      <c r="C4134">
        <f>IF(B4134,INT((A4134-1)/Days)+1,"")</f>
        <v/>
      </c>
      <c r="D4134">
        <f>IF(B4134,MOD(A4134-1,Days),"")</f>
        <v/>
      </c>
      <c r="E4134" s="16">
        <f>IF(B4134,StartDate+D4134,"")</f>
        <v/>
      </c>
      <c r="F4134">
        <f>IF(B4134,MAX(MOD(SIN(Seed*0.1373+C4134*12.9898+D4134*78.233)*43758.5453,1),1E-9),"")</f>
        <v/>
      </c>
      <c r="G4134">
        <f>IF(B4134,MOD(SIN(Seed*0.5917+C4134*39.3468+D4134*11.135)*24634.6345,1),"")</f>
        <v/>
      </c>
      <c r="H4134">
        <f>IF(B4134,SQRT(-2*LN(F4134))*COS(2*PI()*G4134),"")</f>
        <v/>
      </c>
      <c r="I4134">
        <f>IF(B4134,IF(D4134=0,H4134,Rho*I4133+SQRT(1-Rho^2)*H4134),"")</f>
        <v/>
      </c>
      <c r="J4134">
        <f>IF(B4134,IF(Dist="Normal",DistA+DistB*I4134,DistA+(DistB-DistA)*NORMSDIST(I4134)),"")</f>
        <v/>
      </c>
      <c r="K4134">
        <f>IF(B4134,INDEX(MineScale,C4134),"")</f>
        <v/>
      </c>
      <c r="L4134">
        <f>IF(B4134,INDEX(Dow,1,WEEKDAY(E4134,2)),"")</f>
        <v/>
      </c>
      <c r="M4134">
        <f>IF(B4134,(1+Trend)^D4134,"")</f>
        <v/>
      </c>
      <c r="N4134">
        <f>IF(B4134,EXP(SUMPRODUCT(LN(1+(EvEff-1)*INDEX(Affected,0,C4134)*EXP(-((E4134-EvCenter)^2)/(2*EvSigma^2))))),"")</f>
        <v/>
      </c>
      <c r="O4134">
        <f>IF(B4134,ROUND(MAX(0,J4134*K4134*L4134*M4134*N4134),2),"")</f>
        <v/>
      </c>
    </row>
    <row r="4135">
      <c r="A4135" t="n">
        <v>4134</v>
      </c>
      <c r="B4135">
        <f>A4135&lt;=MineCount*Days</f>
        <v/>
      </c>
      <c r="C4135">
        <f>IF(B4135,INT((A4135-1)/Days)+1,"")</f>
        <v/>
      </c>
      <c r="D4135">
        <f>IF(B4135,MOD(A4135-1,Days),"")</f>
        <v/>
      </c>
      <c r="E4135" s="16">
        <f>IF(B4135,StartDate+D4135,"")</f>
        <v/>
      </c>
      <c r="F4135">
        <f>IF(B4135,MAX(MOD(SIN(Seed*0.1373+C4135*12.9898+D4135*78.233)*43758.5453,1),1E-9),"")</f>
        <v/>
      </c>
      <c r="G4135">
        <f>IF(B4135,MOD(SIN(Seed*0.5917+C4135*39.3468+D4135*11.135)*24634.6345,1),"")</f>
        <v/>
      </c>
      <c r="H4135">
        <f>IF(B4135,SQRT(-2*LN(F4135))*COS(2*PI()*G4135),"")</f>
        <v/>
      </c>
      <c r="I4135">
        <f>IF(B4135,IF(D4135=0,H4135,Rho*I4134+SQRT(1-Rho^2)*H4135),"")</f>
        <v/>
      </c>
      <c r="J4135">
        <f>IF(B4135,IF(Dist="Normal",DistA+DistB*I4135,DistA+(DistB-DistA)*NORMSDIST(I4135)),"")</f>
        <v/>
      </c>
      <c r="K4135">
        <f>IF(B4135,INDEX(MineScale,C4135),"")</f>
        <v/>
      </c>
      <c r="L4135">
        <f>IF(B4135,INDEX(Dow,1,WEEKDAY(E4135,2)),"")</f>
        <v/>
      </c>
      <c r="M4135">
        <f>IF(B4135,(1+Trend)^D4135,"")</f>
        <v/>
      </c>
      <c r="N4135">
        <f>IF(B4135,EXP(SUMPRODUCT(LN(1+(EvEff-1)*INDEX(Affected,0,C4135)*EXP(-((E4135-EvCenter)^2)/(2*EvSigma^2))))),"")</f>
        <v/>
      </c>
      <c r="O4135">
        <f>IF(B4135,ROUND(MAX(0,J4135*K4135*L4135*M4135*N4135),2),"")</f>
        <v/>
      </c>
    </row>
    <row r="4136">
      <c r="A4136" t="n">
        <v>4135</v>
      </c>
      <c r="B4136">
        <f>A4136&lt;=MineCount*Days</f>
        <v/>
      </c>
      <c r="C4136">
        <f>IF(B4136,INT((A4136-1)/Days)+1,"")</f>
        <v/>
      </c>
      <c r="D4136">
        <f>IF(B4136,MOD(A4136-1,Days),"")</f>
        <v/>
      </c>
      <c r="E4136" s="16">
        <f>IF(B4136,StartDate+D4136,"")</f>
        <v/>
      </c>
      <c r="F4136">
        <f>IF(B4136,MAX(MOD(SIN(Seed*0.1373+C4136*12.9898+D4136*78.233)*43758.5453,1),1E-9),"")</f>
        <v/>
      </c>
      <c r="G4136">
        <f>IF(B4136,MOD(SIN(Seed*0.5917+C4136*39.3468+D4136*11.135)*24634.6345,1),"")</f>
        <v/>
      </c>
      <c r="H4136">
        <f>IF(B4136,SQRT(-2*LN(F4136))*COS(2*PI()*G4136),"")</f>
        <v/>
      </c>
      <c r="I4136">
        <f>IF(B4136,IF(D4136=0,H4136,Rho*I4135+SQRT(1-Rho^2)*H4136),"")</f>
        <v/>
      </c>
      <c r="J4136">
        <f>IF(B4136,IF(Dist="Normal",DistA+DistB*I4136,DistA+(DistB-DistA)*NORMSDIST(I4136)),"")</f>
        <v/>
      </c>
      <c r="K4136">
        <f>IF(B4136,INDEX(MineScale,C4136),"")</f>
        <v/>
      </c>
      <c r="L4136">
        <f>IF(B4136,INDEX(Dow,1,WEEKDAY(E4136,2)),"")</f>
        <v/>
      </c>
      <c r="M4136">
        <f>IF(B4136,(1+Trend)^D4136,"")</f>
        <v/>
      </c>
      <c r="N4136">
        <f>IF(B4136,EXP(SUMPRODUCT(LN(1+(EvEff-1)*INDEX(Affected,0,C4136)*EXP(-((E4136-EvCenter)^2)/(2*EvSigma^2))))),"")</f>
        <v/>
      </c>
      <c r="O4136">
        <f>IF(B4136,ROUND(MAX(0,J4136*K4136*L4136*M4136*N4136),2),"")</f>
        <v/>
      </c>
    </row>
    <row r="4137">
      <c r="A4137" t="n">
        <v>4136</v>
      </c>
      <c r="B4137">
        <f>A4137&lt;=MineCount*Days</f>
        <v/>
      </c>
      <c r="C4137">
        <f>IF(B4137,INT((A4137-1)/Days)+1,"")</f>
        <v/>
      </c>
      <c r="D4137">
        <f>IF(B4137,MOD(A4137-1,Days),"")</f>
        <v/>
      </c>
      <c r="E4137" s="16">
        <f>IF(B4137,StartDate+D4137,"")</f>
        <v/>
      </c>
      <c r="F4137">
        <f>IF(B4137,MAX(MOD(SIN(Seed*0.1373+C4137*12.9898+D4137*78.233)*43758.5453,1),1E-9),"")</f>
        <v/>
      </c>
      <c r="G4137">
        <f>IF(B4137,MOD(SIN(Seed*0.5917+C4137*39.3468+D4137*11.135)*24634.6345,1),"")</f>
        <v/>
      </c>
      <c r="H4137">
        <f>IF(B4137,SQRT(-2*LN(F4137))*COS(2*PI()*G4137),"")</f>
        <v/>
      </c>
      <c r="I4137">
        <f>IF(B4137,IF(D4137=0,H4137,Rho*I4136+SQRT(1-Rho^2)*H4137),"")</f>
        <v/>
      </c>
      <c r="J4137">
        <f>IF(B4137,IF(Dist="Normal",DistA+DistB*I4137,DistA+(DistB-DistA)*NORMSDIST(I4137)),"")</f>
        <v/>
      </c>
      <c r="K4137">
        <f>IF(B4137,INDEX(MineScale,C4137),"")</f>
        <v/>
      </c>
      <c r="L4137">
        <f>IF(B4137,INDEX(Dow,1,WEEKDAY(E4137,2)),"")</f>
        <v/>
      </c>
      <c r="M4137">
        <f>IF(B4137,(1+Trend)^D4137,"")</f>
        <v/>
      </c>
      <c r="N4137">
        <f>IF(B4137,EXP(SUMPRODUCT(LN(1+(EvEff-1)*INDEX(Affected,0,C4137)*EXP(-((E4137-EvCenter)^2)/(2*EvSigma^2))))),"")</f>
        <v/>
      </c>
      <c r="O4137">
        <f>IF(B4137,ROUND(MAX(0,J4137*K4137*L4137*M4137*N4137),2),"")</f>
        <v/>
      </c>
    </row>
    <row r="4138">
      <c r="A4138" t="n">
        <v>4137</v>
      </c>
      <c r="B4138">
        <f>A4138&lt;=MineCount*Days</f>
        <v/>
      </c>
      <c r="C4138">
        <f>IF(B4138,INT((A4138-1)/Days)+1,"")</f>
        <v/>
      </c>
      <c r="D4138">
        <f>IF(B4138,MOD(A4138-1,Days),"")</f>
        <v/>
      </c>
      <c r="E4138" s="16">
        <f>IF(B4138,StartDate+D4138,"")</f>
        <v/>
      </c>
      <c r="F4138">
        <f>IF(B4138,MAX(MOD(SIN(Seed*0.1373+C4138*12.9898+D4138*78.233)*43758.5453,1),1E-9),"")</f>
        <v/>
      </c>
      <c r="G4138">
        <f>IF(B4138,MOD(SIN(Seed*0.5917+C4138*39.3468+D4138*11.135)*24634.6345,1),"")</f>
        <v/>
      </c>
      <c r="H4138">
        <f>IF(B4138,SQRT(-2*LN(F4138))*COS(2*PI()*G4138),"")</f>
        <v/>
      </c>
      <c r="I4138">
        <f>IF(B4138,IF(D4138=0,H4138,Rho*I4137+SQRT(1-Rho^2)*H4138),"")</f>
        <v/>
      </c>
      <c r="J4138">
        <f>IF(B4138,IF(Dist="Normal",DistA+DistB*I4138,DistA+(DistB-DistA)*NORMSDIST(I4138)),"")</f>
        <v/>
      </c>
      <c r="K4138">
        <f>IF(B4138,INDEX(MineScale,C4138),"")</f>
        <v/>
      </c>
      <c r="L4138">
        <f>IF(B4138,INDEX(Dow,1,WEEKDAY(E4138,2)),"")</f>
        <v/>
      </c>
      <c r="M4138">
        <f>IF(B4138,(1+Trend)^D4138,"")</f>
        <v/>
      </c>
      <c r="N4138">
        <f>IF(B4138,EXP(SUMPRODUCT(LN(1+(EvEff-1)*INDEX(Affected,0,C4138)*EXP(-((E4138-EvCenter)^2)/(2*EvSigma^2))))),"")</f>
        <v/>
      </c>
      <c r="O4138">
        <f>IF(B4138,ROUND(MAX(0,J4138*K4138*L4138*M4138*N4138),2),"")</f>
        <v/>
      </c>
    </row>
    <row r="4139">
      <c r="A4139" t="n">
        <v>4138</v>
      </c>
      <c r="B4139">
        <f>A4139&lt;=MineCount*Days</f>
        <v/>
      </c>
      <c r="C4139">
        <f>IF(B4139,INT((A4139-1)/Days)+1,"")</f>
        <v/>
      </c>
      <c r="D4139">
        <f>IF(B4139,MOD(A4139-1,Days),"")</f>
        <v/>
      </c>
      <c r="E4139" s="16">
        <f>IF(B4139,StartDate+D4139,"")</f>
        <v/>
      </c>
      <c r="F4139">
        <f>IF(B4139,MAX(MOD(SIN(Seed*0.1373+C4139*12.9898+D4139*78.233)*43758.5453,1),1E-9),"")</f>
        <v/>
      </c>
      <c r="G4139">
        <f>IF(B4139,MOD(SIN(Seed*0.5917+C4139*39.3468+D4139*11.135)*24634.6345,1),"")</f>
        <v/>
      </c>
      <c r="H4139">
        <f>IF(B4139,SQRT(-2*LN(F4139))*COS(2*PI()*G4139),"")</f>
        <v/>
      </c>
      <c r="I4139">
        <f>IF(B4139,IF(D4139=0,H4139,Rho*I4138+SQRT(1-Rho^2)*H4139),"")</f>
        <v/>
      </c>
      <c r="J4139">
        <f>IF(B4139,IF(Dist="Normal",DistA+DistB*I4139,DistA+(DistB-DistA)*NORMSDIST(I4139)),"")</f>
        <v/>
      </c>
      <c r="K4139">
        <f>IF(B4139,INDEX(MineScale,C4139),"")</f>
        <v/>
      </c>
      <c r="L4139">
        <f>IF(B4139,INDEX(Dow,1,WEEKDAY(E4139,2)),"")</f>
        <v/>
      </c>
      <c r="M4139">
        <f>IF(B4139,(1+Trend)^D4139,"")</f>
        <v/>
      </c>
      <c r="N4139">
        <f>IF(B4139,EXP(SUMPRODUCT(LN(1+(EvEff-1)*INDEX(Affected,0,C4139)*EXP(-((E4139-EvCenter)^2)/(2*EvSigma^2))))),"")</f>
        <v/>
      </c>
      <c r="O4139">
        <f>IF(B4139,ROUND(MAX(0,J4139*K4139*L4139*M4139*N4139),2),"")</f>
        <v/>
      </c>
    </row>
    <row r="4140">
      <c r="A4140" t="n">
        <v>4139</v>
      </c>
      <c r="B4140">
        <f>A4140&lt;=MineCount*Days</f>
        <v/>
      </c>
      <c r="C4140">
        <f>IF(B4140,INT((A4140-1)/Days)+1,"")</f>
        <v/>
      </c>
      <c r="D4140">
        <f>IF(B4140,MOD(A4140-1,Days),"")</f>
        <v/>
      </c>
      <c r="E4140" s="16">
        <f>IF(B4140,StartDate+D4140,"")</f>
        <v/>
      </c>
      <c r="F4140">
        <f>IF(B4140,MAX(MOD(SIN(Seed*0.1373+C4140*12.9898+D4140*78.233)*43758.5453,1),1E-9),"")</f>
        <v/>
      </c>
      <c r="G4140">
        <f>IF(B4140,MOD(SIN(Seed*0.5917+C4140*39.3468+D4140*11.135)*24634.6345,1),"")</f>
        <v/>
      </c>
      <c r="H4140">
        <f>IF(B4140,SQRT(-2*LN(F4140))*COS(2*PI()*G4140),"")</f>
        <v/>
      </c>
      <c r="I4140">
        <f>IF(B4140,IF(D4140=0,H4140,Rho*I4139+SQRT(1-Rho^2)*H4140),"")</f>
        <v/>
      </c>
      <c r="J4140">
        <f>IF(B4140,IF(Dist="Normal",DistA+DistB*I4140,DistA+(DistB-DistA)*NORMSDIST(I4140)),"")</f>
        <v/>
      </c>
      <c r="K4140">
        <f>IF(B4140,INDEX(MineScale,C4140),"")</f>
        <v/>
      </c>
      <c r="L4140">
        <f>IF(B4140,INDEX(Dow,1,WEEKDAY(E4140,2)),"")</f>
        <v/>
      </c>
      <c r="M4140">
        <f>IF(B4140,(1+Trend)^D4140,"")</f>
        <v/>
      </c>
      <c r="N4140">
        <f>IF(B4140,EXP(SUMPRODUCT(LN(1+(EvEff-1)*INDEX(Affected,0,C4140)*EXP(-((E4140-EvCenter)^2)/(2*EvSigma^2))))),"")</f>
        <v/>
      </c>
      <c r="O4140">
        <f>IF(B4140,ROUND(MAX(0,J4140*K4140*L4140*M4140*N4140),2),"")</f>
        <v/>
      </c>
    </row>
    <row r="4141">
      <c r="A4141" t="n">
        <v>4140</v>
      </c>
      <c r="B4141">
        <f>A4141&lt;=MineCount*Days</f>
        <v/>
      </c>
      <c r="C4141">
        <f>IF(B4141,INT((A4141-1)/Days)+1,"")</f>
        <v/>
      </c>
      <c r="D4141">
        <f>IF(B4141,MOD(A4141-1,Days),"")</f>
        <v/>
      </c>
      <c r="E4141" s="16">
        <f>IF(B4141,StartDate+D4141,"")</f>
        <v/>
      </c>
      <c r="F4141">
        <f>IF(B4141,MAX(MOD(SIN(Seed*0.1373+C4141*12.9898+D4141*78.233)*43758.5453,1),1E-9),"")</f>
        <v/>
      </c>
      <c r="G4141">
        <f>IF(B4141,MOD(SIN(Seed*0.5917+C4141*39.3468+D4141*11.135)*24634.6345,1),"")</f>
        <v/>
      </c>
      <c r="H4141">
        <f>IF(B4141,SQRT(-2*LN(F4141))*COS(2*PI()*G4141),"")</f>
        <v/>
      </c>
      <c r="I4141">
        <f>IF(B4141,IF(D4141=0,H4141,Rho*I4140+SQRT(1-Rho^2)*H4141),"")</f>
        <v/>
      </c>
      <c r="J4141">
        <f>IF(B4141,IF(Dist="Normal",DistA+DistB*I4141,DistA+(DistB-DistA)*NORMSDIST(I4141)),"")</f>
        <v/>
      </c>
      <c r="K4141">
        <f>IF(B4141,INDEX(MineScale,C4141),"")</f>
        <v/>
      </c>
      <c r="L4141">
        <f>IF(B4141,INDEX(Dow,1,WEEKDAY(E4141,2)),"")</f>
        <v/>
      </c>
      <c r="M4141">
        <f>IF(B4141,(1+Trend)^D4141,"")</f>
        <v/>
      </c>
      <c r="N4141">
        <f>IF(B4141,EXP(SUMPRODUCT(LN(1+(EvEff-1)*INDEX(Affected,0,C4141)*EXP(-((E4141-EvCenter)^2)/(2*EvSigma^2))))),"")</f>
        <v/>
      </c>
      <c r="O4141">
        <f>IF(B4141,ROUND(MAX(0,J4141*K4141*L4141*M4141*N4141),2),"")</f>
        <v/>
      </c>
    </row>
    <row r="4142">
      <c r="A4142" t="n">
        <v>4141</v>
      </c>
      <c r="B4142">
        <f>A4142&lt;=MineCount*Days</f>
        <v/>
      </c>
      <c r="C4142">
        <f>IF(B4142,INT((A4142-1)/Days)+1,"")</f>
        <v/>
      </c>
      <c r="D4142">
        <f>IF(B4142,MOD(A4142-1,Days),"")</f>
        <v/>
      </c>
      <c r="E4142" s="16">
        <f>IF(B4142,StartDate+D4142,"")</f>
        <v/>
      </c>
      <c r="F4142">
        <f>IF(B4142,MAX(MOD(SIN(Seed*0.1373+C4142*12.9898+D4142*78.233)*43758.5453,1),1E-9),"")</f>
        <v/>
      </c>
      <c r="G4142">
        <f>IF(B4142,MOD(SIN(Seed*0.5917+C4142*39.3468+D4142*11.135)*24634.6345,1),"")</f>
        <v/>
      </c>
      <c r="H4142">
        <f>IF(B4142,SQRT(-2*LN(F4142))*COS(2*PI()*G4142),"")</f>
        <v/>
      </c>
      <c r="I4142">
        <f>IF(B4142,IF(D4142=0,H4142,Rho*I4141+SQRT(1-Rho^2)*H4142),"")</f>
        <v/>
      </c>
      <c r="J4142">
        <f>IF(B4142,IF(Dist="Normal",DistA+DistB*I4142,DistA+(DistB-DistA)*NORMSDIST(I4142)),"")</f>
        <v/>
      </c>
      <c r="K4142">
        <f>IF(B4142,INDEX(MineScale,C4142),"")</f>
        <v/>
      </c>
      <c r="L4142">
        <f>IF(B4142,INDEX(Dow,1,WEEKDAY(E4142,2)),"")</f>
        <v/>
      </c>
      <c r="M4142">
        <f>IF(B4142,(1+Trend)^D4142,"")</f>
        <v/>
      </c>
      <c r="N4142">
        <f>IF(B4142,EXP(SUMPRODUCT(LN(1+(EvEff-1)*INDEX(Affected,0,C4142)*EXP(-((E4142-EvCenter)^2)/(2*EvSigma^2))))),"")</f>
        <v/>
      </c>
      <c r="O4142">
        <f>IF(B4142,ROUND(MAX(0,J4142*K4142*L4142*M4142*N4142),2),"")</f>
        <v/>
      </c>
    </row>
    <row r="4143">
      <c r="A4143" t="n">
        <v>4142</v>
      </c>
      <c r="B4143">
        <f>A4143&lt;=MineCount*Days</f>
        <v/>
      </c>
      <c r="C4143">
        <f>IF(B4143,INT((A4143-1)/Days)+1,"")</f>
        <v/>
      </c>
      <c r="D4143">
        <f>IF(B4143,MOD(A4143-1,Days),"")</f>
        <v/>
      </c>
      <c r="E4143" s="16">
        <f>IF(B4143,StartDate+D4143,"")</f>
        <v/>
      </c>
      <c r="F4143">
        <f>IF(B4143,MAX(MOD(SIN(Seed*0.1373+C4143*12.9898+D4143*78.233)*43758.5453,1),1E-9),"")</f>
        <v/>
      </c>
      <c r="G4143">
        <f>IF(B4143,MOD(SIN(Seed*0.5917+C4143*39.3468+D4143*11.135)*24634.6345,1),"")</f>
        <v/>
      </c>
      <c r="H4143">
        <f>IF(B4143,SQRT(-2*LN(F4143))*COS(2*PI()*G4143),"")</f>
        <v/>
      </c>
      <c r="I4143">
        <f>IF(B4143,IF(D4143=0,H4143,Rho*I4142+SQRT(1-Rho^2)*H4143),"")</f>
        <v/>
      </c>
      <c r="J4143">
        <f>IF(B4143,IF(Dist="Normal",DistA+DistB*I4143,DistA+(DistB-DistA)*NORMSDIST(I4143)),"")</f>
        <v/>
      </c>
      <c r="K4143">
        <f>IF(B4143,INDEX(MineScale,C4143),"")</f>
        <v/>
      </c>
      <c r="L4143">
        <f>IF(B4143,INDEX(Dow,1,WEEKDAY(E4143,2)),"")</f>
        <v/>
      </c>
      <c r="M4143">
        <f>IF(B4143,(1+Trend)^D4143,"")</f>
        <v/>
      </c>
      <c r="N4143">
        <f>IF(B4143,EXP(SUMPRODUCT(LN(1+(EvEff-1)*INDEX(Affected,0,C4143)*EXP(-((E4143-EvCenter)^2)/(2*EvSigma^2))))),"")</f>
        <v/>
      </c>
      <c r="O4143">
        <f>IF(B4143,ROUND(MAX(0,J4143*K4143*L4143*M4143*N4143),2),"")</f>
        <v/>
      </c>
    </row>
    <row r="4144">
      <c r="A4144" t="n">
        <v>4143</v>
      </c>
      <c r="B4144">
        <f>A4144&lt;=MineCount*Days</f>
        <v/>
      </c>
      <c r="C4144">
        <f>IF(B4144,INT((A4144-1)/Days)+1,"")</f>
        <v/>
      </c>
      <c r="D4144">
        <f>IF(B4144,MOD(A4144-1,Days),"")</f>
        <v/>
      </c>
      <c r="E4144" s="16">
        <f>IF(B4144,StartDate+D4144,"")</f>
        <v/>
      </c>
      <c r="F4144">
        <f>IF(B4144,MAX(MOD(SIN(Seed*0.1373+C4144*12.9898+D4144*78.233)*43758.5453,1),1E-9),"")</f>
        <v/>
      </c>
      <c r="G4144">
        <f>IF(B4144,MOD(SIN(Seed*0.5917+C4144*39.3468+D4144*11.135)*24634.6345,1),"")</f>
        <v/>
      </c>
      <c r="H4144">
        <f>IF(B4144,SQRT(-2*LN(F4144))*COS(2*PI()*G4144),"")</f>
        <v/>
      </c>
      <c r="I4144">
        <f>IF(B4144,IF(D4144=0,H4144,Rho*I4143+SQRT(1-Rho^2)*H4144),"")</f>
        <v/>
      </c>
      <c r="J4144">
        <f>IF(B4144,IF(Dist="Normal",DistA+DistB*I4144,DistA+(DistB-DistA)*NORMSDIST(I4144)),"")</f>
        <v/>
      </c>
      <c r="K4144">
        <f>IF(B4144,INDEX(MineScale,C4144),"")</f>
        <v/>
      </c>
      <c r="L4144">
        <f>IF(B4144,INDEX(Dow,1,WEEKDAY(E4144,2)),"")</f>
        <v/>
      </c>
      <c r="M4144">
        <f>IF(B4144,(1+Trend)^D4144,"")</f>
        <v/>
      </c>
      <c r="N4144">
        <f>IF(B4144,EXP(SUMPRODUCT(LN(1+(EvEff-1)*INDEX(Affected,0,C4144)*EXP(-((E4144-EvCenter)^2)/(2*EvSigma^2))))),"")</f>
        <v/>
      </c>
      <c r="O4144">
        <f>IF(B4144,ROUND(MAX(0,J4144*K4144*L4144*M4144*N4144),2),"")</f>
        <v/>
      </c>
    </row>
    <row r="4145">
      <c r="A4145" t="n">
        <v>4144</v>
      </c>
      <c r="B4145">
        <f>A4145&lt;=MineCount*Days</f>
        <v/>
      </c>
      <c r="C4145">
        <f>IF(B4145,INT((A4145-1)/Days)+1,"")</f>
        <v/>
      </c>
      <c r="D4145">
        <f>IF(B4145,MOD(A4145-1,Days),"")</f>
        <v/>
      </c>
      <c r="E4145" s="16">
        <f>IF(B4145,StartDate+D4145,"")</f>
        <v/>
      </c>
      <c r="F4145">
        <f>IF(B4145,MAX(MOD(SIN(Seed*0.1373+C4145*12.9898+D4145*78.233)*43758.5453,1),1E-9),"")</f>
        <v/>
      </c>
      <c r="G4145">
        <f>IF(B4145,MOD(SIN(Seed*0.5917+C4145*39.3468+D4145*11.135)*24634.6345,1),"")</f>
        <v/>
      </c>
      <c r="H4145">
        <f>IF(B4145,SQRT(-2*LN(F4145))*COS(2*PI()*G4145),"")</f>
        <v/>
      </c>
      <c r="I4145">
        <f>IF(B4145,IF(D4145=0,H4145,Rho*I4144+SQRT(1-Rho^2)*H4145),"")</f>
        <v/>
      </c>
      <c r="J4145">
        <f>IF(B4145,IF(Dist="Normal",DistA+DistB*I4145,DistA+(DistB-DistA)*NORMSDIST(I4145)),"")</f>
        <v/>
      </c>
      <c r="K4145">
        <f>IF(B4145,INDEX(MineScale,C4145),"")</f>
        <v/>
      </c>
      <c r="L4145">
        <f>IF(B4145,INDEX(Dow,1,WEEKDAY(E4145,2)),"")</f>
        <v/>
      </c>
      <c r="M4145">
        <f>IF(B4145,(1+Trend)^D4145,"")</f>
        <v/>
      </c>
      <c r="N4145">
        <f>IF(B4145,EXP(SUMPRODUCT(LN(1+(EvEff-1)*INDEX(Affected,0,C4145)*EXP(-((E4145-EvCenter)^2)/(2*EvSigma^2))))),"")</f>
        <v/>
      </c>
      <c r="O4145">
        <f>IF(B4145,ROUND(MAX(0,J4145*K4145*L4145*M4145*N4145),2),"")</f>
        <v/>
      </c>
    </row>
    <row r="4146">
      <c r="A4146" t="n">
        <v>4145</v>
      </c>
      <c r="B4146">
        <f>A4146&lt;=MineCount*Days</f>
        <v/>
      </c>
      <c r="C4146">
        <f>IF(B4146,INT((A4146-1)/Days)+1,"")</f>
        <v/>
      </c>
      <c r="D4146">
        <f>IF(B4146,MOD(A4146-1,Days),"")</f>
        <v/>
      </c>
      <c r="E4146" s="16">
        <f>IF(B4146,StartDate+D4146,"")</f>
        <v/>
      </c>
      <c r="F4146">
        <f>IF(B4146,MAX(MOD(SIN(Seed*0.1373+C4146*12.9898+D4146*78.233)*43758.5453,1),1E-9),"")</f>
        <v/>
      </c>
      <c r="G4146">
        <f>IF(B4146,MOD(SIN(Seed*0.5917+C4146*39.3468+D4146*11.135)*24634.6345,1),"")</f>
        <v/>
      </c>
      <c r="H4146">
        <f>IF(B4146,SQRT(-2*LN(F4146))*COS(2*PI()*G4146),"")</f>
        <v/>
      </c>
      <c r="I4146">
        <f>IF(B4146,IF(D4146=0,H4146,Rho*I4145+SQRT(1-Rho^2)*H4146),"")</f>
        <v/>
      </c>
      <c r="J4146">
        <f>IF(B4146,IF(Dist="Normal",DistA+DistB*I4146,DistA+(DistB-DistA)*NORMSDIST(I4146)),"")</f>
        <v/>
      </c>
      <c r="K4146">
        <f>IF(B4146,INDEX(MineScale,C4146),"")</f>
        <v/>
      </c>
      <c r="L4146">
        <f>IF(B4146,INDEX(Dow,1,WEEKDAY(E4146,2)),"")</f>
        <v/>
      </c>
      <c r="M4146">
        <f>IF(B4146,(1+Trend)^D4146,"")</f>
        <v/>
      </c>
      <c r="N4146">
        <f>IF(B4146,EXP(SUMPRODUCT(LN(1+(EvEff-1)*INDEX(Affected,0,C4146)*EXP(-((E4146-EvCenter)^2)/(2*EvSigma^2))))),"")</f>
        <v/>
      </c>
      <c r="O4146">
        <f>IF(B4146,ROUND(MAX(0,J4146*K4146*L4146*M4146*N4146),2),"")</f>
        <v/>
      </c>
    </row>
    <row r="4147">
      <c r="A4147" t="n">
        <v>4146</v>
      </c>
      <c r="B4147">
        <f>A4147&lt;=MineCount*Days</f>
        <v/>
      </c>
      <c r="C4147">
        <f>IF(B4147,INT((A4147-1)/Days)+1,"")</f>
        <v/>
      </c>
      <c r="D4147">
        <f>IF(B4147,MOD(A4147-1,Days),"")</f>
        <v/>
      </c>
      <c r="E4147" s="16">
        <f>IF(B4147,StartDate+D4147,"")</f>
        <v/>
      </c>
      <c r="F4147">
        <f>IF(B4147,MAX(MOD(SIN(Seed*0.1373+C4147*12.9898+D4147*78.233)*43758.5453,1),1E-9),"")</f>
        <v/>
      </c>
      <c r="G4147">
        <f>IF(B4147,MOD(SIN(Seed*0.5917+C4147*39.3468+D4147*11.135)*24634.6345,1),"")</f>
        <v/>
      </c>
      <c r="H4147">
        <f>IF(B4147,SQRT(-2*LN(F4147))*COS(2*PI()*G4147),"")</f>
        <v/>
      </c>
      <c r="I4147">
        <f>IF(B4147,IF(D4147=0,H4147,Rho*I4146+SQRT(1-Rho^2)*H4147),"")</f>
        <v/>
      </c>
      <c r="J4147">
        <f>IF(B4147,IF(Dist="Normal",DistA+DistB*I4147,DistA+(DistB-DistA)*NORMSDIST(I4147)),"")</f>
        <v/>
      </c>
      <c r="K4147">
        <f>IF(B4147,INDEX(MineScale,C4147),"")</f>
        <v/>
      </c>
      <c r="L4147">
        <f>IF(B4147,INDEX(Dow,1,WEEKDAY(E4147,2)),"")</f>
        <v/>
      </c>
      <c r="M4147">
        <f>IF(B4147,(1+Trend)^D4147,"")</f>
        <v/>
      </c>
      <c r="N4147">
        <f>IF(B4147,EXP(SUMPRODUCT(LN(1+(EvEff-1)*INDEX(Affected,0,C4147)*EXP(-((E4147-EvCenter)^2)/(2*EvSigma^2))))),"")</f>
        <v/>
      </c>
      <c r="O4147">
        <f>IF(B4147,ROUND(MAX(0,J4147*K4147*L4147*M4147*N4147),2),"")</f>
        <v/>
      </c>
    </row>
    <row r="4148">
      <c r="A4148" t="n">
        <v>4147</v>
      </c>
      <c r="B4148">
        <f>A4148&lt;=MineCount*Days</f>
        <v/>
      </c>
      <c r="C4148">
        <f>IF(B4148,INT((A4148-1)/Days)+1,"")</f>
        <v/>
      </c>
      <c r="D4148">
        <f>IF(B4148,MOD(A4148-1,Days),"")</f>
        <v/>
      </c>
      <c r="E4148" s="16">
        <f>IF(B4148,StartDate+D4148,"")</f>
        <v/>
      </c>
      <c r="F4148">
        <f>IF(B4148,MAX(MOD(SIN(Seed*0.1373+C4148*12.9898+D4148*78.233)*43758.5453,1),1E-9),"")</f>
        <v/>
      </c>
      <c r="G4148">
        <f>IF(B4148,MOD(SIN(Seed*0.5917+C4148*39.3468+D4148*11.135)*24634.6345,1),"")</f>
        <v/>
      </c>
      <c r="H4148">
        <f>IF(B4148,SQRT(-2*LN(F4148))*COS(2*PI()*G4148),"")</f>
        <v/>
      </c>
      <c r="I4148">
        <f>IF(B4148,IF(D4148=0,H4148,Rho*I4147+SQRT(1-Rho^2)*H4148),"")</f>
        <v/>
      </c>
      <c r="J4148">
        <f>IF(B4148,IF(Dist="Normal",DistA+DistB*I4148,DistA+(DistB-DistA)*NORMSDIST(I4148)),"")</f>
        <v/>
      </c>
      <c r="K4148">
        <f>IF(B4148,INDEX(MineScale,C4148),"")</f>
        <v/>
      </c>
      <c r="L4148">
        <f>IF(B4148,INDEX(Dow,1,WEEKDAY(E4148,2)),"")</f>
        <v/>
      </c>
      <c r="M4148">
        <f>IF(B4148,(1+Trend)^D4148,"")</f>
        <v/>
      </c>
      <c r="N4148">
        <f>IF(B4148,EXP(SUMPRODUCT(LN(1+(EvEff-1)*INDEX(Affected,0,C4148)*EXP(-((E4148-EvCenter)^2)/(2*EvSigma^2))))),"")</f>
        <v/>
      </c>
      <c r="O4148">
        <f>IF(B4148,ROUND(MAX(0,J4148*K4148*L4148*M4148*N4148),2),"")</f>
        <v/>
      </c>
    </row>
    <row r="4149">
      <c r="A4149" t="n">
        <v>4148</v>
      </c>
      <c r="B4149">
        <f>A4149&lt;=MineCount*Days</f>
        <v/>
      </c>
      <c r="C4149">
        <f>IF(B4149,INT((A4149-1)/Days)+1,"")</f>
        <v/>
      </c>
      <c r="D4149">
        <f>IF(B4149,MOD(A4149-1,Days),"")</f>
        <v/>
      </c>
      <c r="E4149" s="16">
        <f>IF(B4149,StartDate+D4149,"")</f>
        <v/>
      </c>
      <c r="F4149">
        <f>IF(B4149,MAX(MOD(SIN(Seed*0.1373+C4149*12.9898+D4149*78.233)*43758.5453,1),1E-9),"")</f>
        <v/>
      </c>
      <c r="G4149">
        <f>IF(B4149,MOD(SIN(Seed*0.5917+C4149*39.3468+D4149*11.135)*24634.6345,1),"")</f>
        <v/>
      </c>
      <c r="H4149">
        <f>IF(B4149,SQRT(-2*LN(F4149))*COS(2*PI()*G4149),"")</f>
        <v/>
      </c>
      <c r="I4149">
        <f>IF(B4149,IF(D4149=0,H4149,Rho*I4148+SQRT(1-Rho^2)*H4149),"")</f>
        <v/>
      </c>
      <c r="J4149">
        <f>IF(B4149,IF(Dist="Normal",DistA+DistB*I4149,DistA+(DistB-DistA)*NORMSDIST(I4149)),"")</f>
        <v/>
      </c>
      <c r="K4149">
        <f>IF(B4149,INDEX(MineScale,C4149),"")</f>
        <v/>
      </c>
      <c r="L4149">
        <f>IF(B4149,INDEX(Dow,1,WEEKDAY(E4149,2)),"")</f>
        <v/>
      </c>
      <c r="M4149">
        <f>IF(B4149,(1+Trend)^D4149,"")</f>
        <v/>
      </c>
      <c r="N4149">
        <f>IF(B4149,EXP(SUMPRODUCT(LN(1+(EvEff-1)*INDEX(Affected,0,C4149)*EXP(-((E4149-EvCenter)^2)/(2*EvSigma^2))))),"")</f>
        <v/>
      </c>
      <c r="O4149">
        <f>IF(B4149,ROUND(MAX(0,J4149*K4149*L4149*M4149*N4149),2),"")</f>
        <v/>
      </c>
    </row>
    <row r="4150">
      <c r="A4150" t="n">
        <v>4149</v>
      </c>
      <c r="B4150">
        <f>A4150&lt;=MineCount*Days</f>
        <v/>
      </c>
      <c r="C4150">
        <f>IF(B4150,INT((A4150-1)/Days)+1,"")</f>
        <v/>
      </c>
      <c r="D4150">
        <f>IF(B4150,MOD(A4150-1,Days),"")</f>
        <v/>
      </c>
      <c r="E4150" s="16">
        <f>IF(B4150,StartDate+D4150,"")</f>
        <v/>
      </c>
      <c r="F4150">
        <f>IF(B4150,MAX(MOD(SIN(Seed*0.1373+C4150*12.9898+D4150*78.233)*43758.5453,1),1E-9),"")</f>
        <v/>
      </c>
      <c r="G4150">
        <f>IF(B4150,MOD(SIN(Seed*0.5917+C4150*39.3468+D4150*11.135)*24634.6345,1),"")</f>
        <v/>
      </c>
      <c r="H4150">
        <f>IF(B4150,SQRT(-2*LN(F4150))*COS(2*PI()*G4150),"")</f>
        <v/>
      </c>
      <c r="I4150">
        <f>IF(B4150,IF(D4150=0,H4150,Rho*I4149+SQRT(1-Rho^2)*H4150),"")</f>
        <v/>
      </c>
      <c r="J4150">
        <f>IF(B4150,IF(Dist="Normal",DistA+DistB*I4150,DistA+(DistB-DistA)*NORMSDIST(I4150)),"")</f>
        <v/>
      </c>
      <c r="K4150">
        <f>IF(B4150,INDEX(MineScale,C4150),"")</f>
        <v/>
      </c>
      <c r="L4150">
        <f>IF(B4150,INDEX(Dow,1,WEEKDAY(E4150,2)),"")</f>
        <v/>
      </c>
      <c r="M4150">
        <f>IF(B4150,(1+Trend)^D4150,"")</f>
        <v/>
      </c>
      <c r="N4150">
        <f>IF(B4150,EXP(SUMPRODUCT(LN(1+(EvEff-1)*INDEX(Affected,0,C4150)*EXP(-((E4150-EvCenter)^2)/(2*EvSigma^2))))),"")</f>
        <v/>
      </c>
      <c r="O4150">
        <f>IF(B4150,ROUND(MAX(0,J4150*K4150*L4150*M4150*N4150),2),"")</f>
        <v/>
      </c>
    </row>
    <row r="4151">
      <c r="A4151" t="n">
        <v>4150</v>
      </c>
      <c r="B4151">
        <f>A4151&lt;=MineCount*Days</f>
        <v/>
      </c>
      <c r="C4151">
        <f>IF(B4151,INT((A4151-1)/Days)+1,"")</f>
        <v/>
      </c>
      <c r="D4151">
        <f>IF(B4151,MOD(A4151-1,Days),"")</f>
        <v/>
      </c>
      <c r="E4151" s="16">
        <f>IF(B4151,StartDate+D4151,"")</f>
        <v/>
      </c>
      <c r="F4151">
        <f>IF(B4151,MAX(MOD(SIN(Seed*0.1373+C4151*12.9898+D4151*78.233)*43758.5453,1),1E-9),"")</f>
        <v/>
      </c>
      <c r="G4151">
        <f>IF(B4151,MOD(SIN(Seed*0.5917+C4151*39.3468+D4151*11.135)*24634.6345,1),"")</f>
        <v/>
      </c>
      <c r="H4151">
        <f>IF(B4151,SQRT(-2*LN(F4151))*COS(2*PI()*G4151),"")</f>
        <v/>
      </c>
      <c r="I4151">
        <f>IF(B4151,IF(D4151=0,H4151,Rho*I4150+SQRT(1-Rho^2)*H4151),"")</f>
        <v/>
      </c>
      <c r="J4151">
        <f>IF(B4151,IF(Dist="Normal",DistA+DistB*I4151,DistA+(DistB-DistA)*NORMSDIST(I4151)),"")</f>
        <v/>
      </c>
      <c r="K4151">
        <f>IF(B4151,INDEX(MineScale,C4151),"")</f>
        <v/>
      </c>
      <c r="L4151">
        <f>IF(B4151,INDEX(Dow,1,WEEKDAY(E4151,2)),"")</f>
        <v/>
      </c>
      <c r="M4151">
        <f>IF(B4151,(1+Trend)^D4151,"")</f>
        <v/>
      </c>
      <c r="N4151">
        <f>IF(B4151,EXP(SUMPRODUCT(LN(1+(EvEff-1)*INDEX(Affected,0,C4151)*EXP(-((E4151-EvCenter)^2)/(2*EvSigma^2))))),"")</f>
        <v/>
      </c>
      <c r="O4151">
        <f>IF(B4151,ROUND(MAX(0,J4151*K4151*L4151*M4151*N4151),2),"")</f>
        <v/>
      </c>
    </row>
    <row r="4152">
      <c r="A4152" t="n">
        <v>4151</v>
      </c>
      <c r="B4152">
        <f>A4152&lt;=MineCount*Days</f>
        <v/>
      </c>
      <c r="C4152">
        <f>IF(B4152,INT((A4152-1)/Days)+1,"")</f>
        <v/>
      </c>
      <c r="D4152">
        <f>IF(B4152,MOD(A4152-1,Days),"")</f>
        <v/>
      </c>
      <c r="E4152" s="16">
        <f>IF(B4152,StartDate+D4152,"")</f>
        <v/>
      </c>
      <c r="F4152">
        <f>IF(B4152,MAX(MOD(SIN(Seed*0.1373+C4152*12.9898+D4152*78.233)*43758.5453,1),1E-9),"")</f>
        <v/>
      </c>
      <c r="G4152">
        <f>IF(B4152,MOD(SIN(Seed*0.5917+C4152*39.3468+D4152*11.135)*24634.6345,1),"")</f>
        <v/>
      </c>
      <c r="H4152">
        <f>IF(B4152,SQRT(-2*LN(F4152))*COS(2*PI()*G4152),"")</f>
        <v/>
      </c>
      <c r="I4152">
        <f>IF(B4152,IF(D4152=0,H4152,Rho*I4151+SQRT(1-Rho^2)*H4152),"")</f>
        <v/>
      </c>
      <c r="J4152">
        <f>IF(B4152,IF(Dist="Normal",DistA+DistB*I4152,DistA+(DistB-DistA)*NORMSDIST(I4152)),"")</f>
        <v/>
      </c>
      <c r="K4152">
        <f>IF(B4152,INDEX(MineScale,C4152),"")</f>
        <v/>
      </c>
      <c r="L4152">
        <f>IF(B4152,INDEX(Dow,1,WEEKDAY(E4152,2)),"")</f>
        <v/>
      </c>
      <c r="M4152">
        <f>IF(B4152,(1+Trend)^D4152,"")</f>
        <v/>
      </c>
      <c r="N4152">
        <f>IF(B4152,EXP(SUMPRODUCT(LN(1+(EvEff-1)*INDEX(Affected,0,C4152)*EXP(-((E4152-EvCenter)^2)/(2*EvSigma^2))))),"")</f>
        <v/>
      </c>
      <c r="O4152">
        <f>IF(B4152,ROUND(MAX(0,J4152*K4152*L4152*M4152*N4152),2),"")</f>
        <v/>
      </c>
    </row>
    <row r="4153">
      <c r="A4153" t="n">
        <v>4152</v>
      </c>
      <c r="B4153">
        <f>A4153&lt;=MineCount*Days</f>
        <v/>
      </c>
      <c r="C4153">
        <f>IF(B4153,INT((A4153-1)/Days)+1,"")</f>
        <v/>
      </c>
      <c r="D4153">
        <f>IF(B4153,MOD(A4153-1,Days),"")</f>
        <v/>
      </c>
      <c r="E4153" s="16">
        <f>IF(B4153,StartDate+D4153,"")</f>
        <v/>
      </c>
      <c r="F4153">
        <f>IF(B4153,MAX(MOD(SIN(Seed*0.1373+C4153*12.9898+D4153*78.233)*43758.5453,1),1E-9),"")</f>
        <v/>
      </c>
      <c r="G4153">
        <f>IF(B4153,MOD(SIN(Seed*0.5917+C4153*39.3468+D4153*11.135)*24634.6345,1),"")</f>
        <v/>
      </c>
      <c r="H4153">
        <f>IF(B4153,SQRT(-2*LN(F4153))*COS(2*PI()*G4153),"")</f>
        <v/>
      </c>
      <c r="I4153">
        <f>IF(B4153,IF(D4153=0,H4153,Rho*I4152+SQRT(1-Rho^2)*H4153),"")</f>
        <v/>
      </c>
      <c r="J4153">
        <f>IF(B4153,IF(Dist="Normal",DistA+DistB*I4153,DistA+(DistB-DistA)*NORMSDIST(I4153)),"")</f>
        <v/>
      </c>
      <c r="K4153">
        <f>IF(B4153,INDEX(MineScale,C4153),"")</f>
        <v/>
      </c>
      <c r="L4153">
        <f>IF(B4153,INDEX(Dow,1,WEEKDAY(E4153,2)),"")</f>
        <v/>
      </c>
      <c r="M4153">
        <f>IF(B4153,(1+Trend)^D4153,"")</f>
        <v/>
      </c>
      <c r="N4153">
        <f>IF(B4153,EXP(SUMPRODUCT(LN(1+(EvEff-1)*INDEX(Affected,0,C4153)*EXP(-((E4153-EvCenter)^2)/(2*EvSigma^2))))),"")</f>
        <v/>
      </c>
      <c r="O4153">
        <f>IF(B4153,ROUND(MAX(0,J4153*K4153*L4153*M4153*N4153),2),"")</f>
        <v/>
      </c>
    </row>
    <row r="4154">
      <c r="A4154" t="n">
        <v>4153</v>
      </c>
      <c r="B4154">
        <f>A4154&lt;=MineCount*Days</f>
        <v/>
      </c>
      <c r="C4154">
        <f>IF(B4154,INT((A4154-1)/Days)+1,"")</f>
        <v/>
      </c>
      <c r="D4154">
        <f>IF(B4154,MOD(A4154-1,Days),"")</f>
        <v/>
      </c>
      <c r="E4154" s="16">
        <f>IF(B4154,StartDate+D4154,"")</f>
        <v/>
      </c>
      <c r="F4154">
        <f>IF(B4154,MAX(MOD(SIN(Seed*0.1373+C4154*12.9898+D4154*78.233)*43758.5453,1),1E-9),"")</f>
        <v/>
      </c>
      <c r="G4154">
        <f>IF(B4154,MOD(SIN(Seed*0.5917+C4154*39.3468+D4154*11.135)*24634.6345,1),"")</f>
        <v/>
      </c>
      <c r="H4154">
        <f>IF(B4154,SQRT(-2*LN(F4154))*COS(2*PI()*G4154),"")</f>
        <v/>
      </c>
      <c r="I4154">
        <f>IF(B4154,IF(D4154=0,H4154,Rho*I4153+SQRT(1-Rho^2)*H4154),"")</f>
        <v/>
      </c>
      <c r="J4154">
        <f>IF(B4154,IF(Dist="Normal",DistA+DistB*I4154,DistA+(DistB-DistA)*NORMSDIST(I4154)),"")</f>
        <v/>
      </c>
      <c r="K4154">
        <f>IF(B4154,INDEX(MineScale,C4154),"")</f>
        <v/>
      </c>
      <c r="L4154">
        <f>IF(B4154,INDEX(Dow,1,WEEKDAY(E4154,2)),"")</f>
        <v/>
      </c>
      <c r="M4154">
        <f>IF(B4154,(1+Trend)^D4154,"")</f>
        <v/>
      </c>
      <c r="N4154">
        <f>IF(B4154,EXP(SUMPRODUCT(LN(1+(EvEff-1)*INDEX(Affected,0,C4154)*EXP(-((E4154-EvCenter)^2)/(2*EvSigma^2))))),"")</f>
        <v/>
      </c>
      <c r="O4154">
        <f>IF(B4154,ROUND(MAX(0,J4154*K4154*L4154*M4154*N4154),2),"")</f>
        <v/>
      </c>
    </row>
    <row r="4155">
      <c r="A4155" t="n">
        <v>4154</v>
      </c>
      <c r="B4155">
        <f>A4155&lt;=MineCount*Days</f>
        <v/>
      </c>
      <c r="C4155">
        <f>IF(B4155,INT((A4155-1)/Days)+1,"")</f>
        <v/>
      </c>
      <c r="D4155">
        <f>IF(B4155,MOD(A4155-1,Days),"")</f>
        <v/>
      </c>
      <c r="E4155" s="16">
        <f>IF(B4155,StartDate+D4155,"")</f>
        <v/>
      </c>
      <c r="F4155">
        <f>IF(B4155,MAX(MOD(SIN(Seed*0.1373+C4155*12.9898+D4155*78.233)*43758.5453,1),1E-9),"")</f>
        <v/>
      </c>
      <c r="G4155">
        <f>IF(B4155,MOD(SIN(Seed*0.5917+C4155*39.3468+D4155*11.135)*24634.6345,1),"")</f>
        <v/>
      </c>
      <c r="H4155">
        <f>IF(B4155,SQRT(-2*LN(F4155))*COS(2*PI()*G4155),"")</f>
        <v/>
      </c>
      <c r="I4155">
        <f>IF(B4155,IF(D4155=0,H4155,Rho*I4154+SQRT(1-Rho^2)*H4155),"")</f>
        <v/>
      </c>
      <c r="J4155">
        <f>IF(B4155,IF(Dist="Normal",DistA+DistB*I4155,DistA+(DistB-DistA)*NORMSDIST(I4155)),"")</f>
        <v/>
      </c>
      <c r="K4155">
        <f>IF(B4155,INDEX(MineScale,C4155),"")</f>
        <v/>
      </c>
      <c r="L4155">
        <f>IF(B4155,INDEX(Dow,1,WEEKDAY(E4155,2)),"")</f>
        <v/>
      </c>
      <c r="M4155">
        <f>IF(B4155,(1+Trend)^D4155,"")</f>
        <v/>
      </c>
      <c r="N4155">
        <f>IF(B4155,EXP(SUMPRODUCT(LN(1+(EvEff-1)*INDEX(Affected,0,C4155)*EXP(-((E4155-EvCenter)^2)/(2*EvSigma^2))))),"")</f>
        <v/>
      </c>
      <c r="O4155">
        <f>IF(B4155,ROUND(MAX(0,J4155*K4155*L4155*M4155*N4155),2),"")</f>
        <v/>
      </c>
    </row>
    <row r="4156">
      <c r="A4156" t="n">
        <v>4155</v>
      </c>
      <c r="B4156">
        <f>A4156&lt;=MineCount*Days</f>
        <v/>
      </c>
      <c r="C4156">
        <f>IF(B4156,INT((A4156-1)/Days)+1,"")</f>
        <v/>
      </c>
      <c r="D4156">
        <f>IF(B4156,MOD(A4156-1,Days),"")</f>
        <v/>
      </c>
      <c r="E4156" s="16">
        <f>IF(B4156,StartDate+D4156,"")</f>
        <v/>
      </c>
      <c r="F4156">
        <f>IF(B4156,MAX(MOD(SIN(Seed*0.1373+C4156*12.9898+D4156*78.233)*43758.5453,1),1E-9),"")</f>
        <v/>
      </c>
      <c r="G4156">
        <f>IF(B4156,MOD(SIN(Seed*0.5917+C4156*39.3468+D4156*11.135)*24634.6345,1),"")</f>
        <v/>
      </c>
      <c r="H4156">
        <f>IF(B4156,SQRT(-2*LN(F4156))*COS(2*PI()*G4156),"")</f>
        <v/>
      </c>
      <c r="I4156">
        <f>IF(B4156,IF(D4156=0,H4156,Rho*I4155+SQRT(1-Rho^2)*H4156),"")</f>
        <v/>
      </c>
      <c r="J4156">
        <f>IF(B4156,IF(Dist="Normal",DistA+DistB*I4156,DistA+(DistB-DistA)*NORMSDIST(I4156)),"")</f>
        <v/>
      </c>
      <c r="K4156">
        <f>IF(B4156,INDEX(MineScale,C4156),"")</f>
        <v/>
      </c>
      <c r="L4156">
        <f>IF(B4156,INDEX(Dow,1,WEEKDAY(E4156,2)),"")</f>
        <v/>
      </c>
      <c r="M4156">
        <f>IF(B4156,(1+Trend)^D4156,"")</f>
        <v/>
      </c>
      <c r="N4156">
        <f>IF(B4156,EXP(SUMPRODUCT(LN(1+(EvEff-1)*INDEX(Affected,0,C4156)*EXP(-((E4156-EvCenter)^2)/(2*EvSigma^2))))),"")</f>
        <v/>
      </c>
      <c r="O4156">
        <f>IF(B4156,ROUND(MAX(0,J4156*K4156*L4156*M4156*N4156),2),"")</f>
        <v/>
      </c>
    </row>
    <row r="4157">
      <c r="A4157" t="n">
        <v>4156</v>
      </c>
      <c r="B4157">
        <f>A4157&lt;=MineCount*Days</f>
        <v/>
      </c>
      <c r="C4157">
        <f>IF(B4157,INT((A4157-1)/Days)+1,"")</f>
        <v/>
      </c>
      <c r="D4157">
        <f>IF(B4157,MOD(A4157-1,Days),"")</f>
        <v/>
      </c>
      <c r="E4157" s="16">
        <f>IF(B4157,StartDate+D4157,"")</f>
        <v/>
      </c>
      <c r="F4157">
        <f>IF(B4157,MAX(MOD(SIN(Seed*0.1373+C4157*12.9898+D4157*78.233)*43758.5453,1),1E-9),"")</f>
        <v/>
      </c>
      <c r="G4157">
        <f>IF(B4157,MOD(SIN(Seed*0.5917+C4157*39.3468+D4157*11.135)*24634.6345,1),"")</f>
        <v/>
      </c>
      <c r="H4157">
        <f>IF(B4157,SQRT(-2*LN(F4157))*COS(2*PI()*G4157),"")</f>
        <v/>
      </c>
      <c r="I4157">
        <f>IF(B4157,IF(D4157=0,H4157,Rho*I4156+SQRT(1-Rho^2)*H4157),"")</f>
        <v/>
      </c>
      <c r="J4157">
        <f>IF(B4157,IF(Dist="Normal",DistA+DistB*I4157,DistA+(DistB-DistA)*NORMSDIST(I4157)),"")</f>
        <v/>
      </c>
      <c r="K4157">
        <f>IF(B4157,INDEX(MineScale,C4157),"")</f>
        <v/>
      </c>
      <c r="L4157">
        <f>IF(B4157,INDEX(Dow,1,WEEKDAY(E4157,2)),"")</f>
        <v/>
      </c>
      <c r="M4157">
        <f>IF(B4157,(1+Trend)^D4157,"")</f>
        <v/>
      </c>
      <c r="N4157">
        <f>IF(B4157,EXP(SUMPRODUCT(LN(1+(EvEff-1)*INDEX(Affected,0,C4157)*EXP(-((E4157-EvCenter)^2)/(2*EvSigma^2))))),"")</f>
        <v/>
      </c>
      <c r="O4157">
        <f>IF(B4157,ROUND(MAX(0,J4157*K4157*L4157*M4157*N4157),2),"")</f>
        <v/>
      </c>
    </row>
    <row r="4158">
      <c r="A4158" t="n">
        <v>4157</v>
      </c>
      <c r="B4158">
        <f>A4158&lt;=MineCount*Days</f>
        <v/>
      </c>
      <c r="C4158">
        <f>IF(B4158,INT((A4158-1)/Days)+1,"")</f>
        <v/>
      </c>
      <c r="D4158">
        <f>IF(B4158,MOD(A4158-1,Days),"")</f>
        <v/>
      </c>
      <c r="E4158" s="16">
        <f>IF(B4158,StartDate+D4158,"")</f>
        <v/>
      </c>
      <c r="F4158">
        <f>IF(B4158,MAX(MOD(SIN(Seed*0.1373+C4158*12.9898+D4158*78.233)*43758.5453,1),1E-9),"")</f>
        <v/>
      </c>
      <c r="G4158">
        <f>IF(B4158,MOD(SIN(Seed*0.5917+C4158*39.3468+D4158*11.135)*24634.6345,1),"")</f>
        <v/>
      </c>
      <c r="H4158">
        <f>IF(B4158,SQRT(-2*LN(F4158))*COS(2*PI()*G4158),"")</f>
        <v/>
      </c>
      <c r="I4158">
        <f>IF(B4158,IF(D4158=0,H4158,Rho*I4157+SQRT(1-Rho^2)*H4158),"")</f>
        <v/>
      </c>
      <c r="J4158">
        <f>IF(B4158,IF(Dist="Normal",DistA+DistB*I4158,DistA+(DistB-DistA)*NORMSDIST(I4158)),"")</f>
        <v/>
      </c>
      <c r="K4158">
        <f>IF(B4158,INDEX(MineScale,C4158),"")</f>
        <v/>
      </c>
      <c r="L4158">
        <f>IF(B4158,INDEX(Dow,1,WEEKDAY(E4158,2)),"")</f>
        <v/>
      </c>
      <c r="M4158">
        <f>IF(B4158,(1+Trend)^D4158,"")</f>
        <v/>
      </c>
      <c r="N4158">
        <f>IF(B4158,EXP(SUMPRODUCT(LN(1+(EvEff-1)*INDEX(Affected,0,C4158)*EXP(-((E4158-EvCenter)^2)/(2*EvSigma^2))))),"")</f>
        <v/>
      </c>
      <c r="O4158">
        <f>IF(B4158,ROUND(MAX(0,J4158*K4158*L4158*M4158*N4158),2),"")</f>
        <v/>
      </c>
    </row>
    <row r="4159">
      <c r="A4159" t="n">
        <v>4158</v>
      </c>
      <c r="B4159">
        <f>A4159&lt;=MineCount*Days</f>
        <v/>
      </c>
      <c r="C4159">
        <f>IF(B4159,INT((A4159-1)/Days)+1,"")</f>
        <v/>
      </c>
      <c r="D4159">
        <f>IF(B4159,MOD(A4159-1,Days),"")</f>
        <v/>
      </c>
      <c r="E4159" s="16">
        <f>IF(B4159,StartDate+D4159,"")</f>
        <v/>
      </c>
      <c r="F4159">
        <f>IF(B4159,MAX(MOD(SIN(Seed*0.1373+C4159*12.9898+D4159*78.233)*43758.5453,1),1E-9),"")</f>
        <v/>
      </c>
      <c r="G4159">
        <f>IF(B4159,MOD(SIN(Seed*0.5917+C4159*39.3468+D4159*11.135)*24634.6345,1),"")</f>
        <v/>
      </c>
      <c r="H4159">
        <f>IF(B4159,SQRT(-2*LN(F4159))*COS(2*PI()*G4159),"")</f>
        <v/>
      </c>
      <c r="I4159">
        <f>IF(B4159,IF(D4159=0,H4159,Rho*I4158+SQRT(1-Rho^2)*H4159),"")</f>
        <v/>
      </c>
      <c r="J4159">
        <f>IF(B4159,IF(Dist="Normal",DistA+DistB*I4159,DistA+(DistB-DistA)*NORMSDIST(I4159)),"")</f>
        <v/>
      </c>
      <c r="K4159">
        <f>IF(B4159,INDEX(MineScale,C4159),"")</f>
        <v/>
      </c>
      <c r="L4159">
        <f>IF(B4159,INDEX(Dow,1,WEEKDAY(E4159,2)),"")</f>
        <v/>
      </c>
      <c r="M4159">
        <f>IF(B4159,(1+Trend)^D4159,"")</f>
        <v/>
      </c>
      <c r="N4159">
        <f>IF(B4159,EXP(SUMPRODUCT(LN(1+(EvEff-1)*INDEX(Affected,0,C4159)*EXP(-((E4159-EvCenter)^2)/(2*EvSigma^2))))),"")</f>
        <v/>
      </c>
      <c r="O4159">
        <f>IF(B4159,ROUND(MAX(0,J4159*K4159*L4159*M4159*N4159),2),"")</f>
        <v/>
      </c>
    </row>
    <row r="4160">
      <c r="A4160" t="n">
        <v>4159</v>
      </c>
      <c r="B4160">
        <f>A4160&lt;=MineCount*Days</f>
        <v/>
      </c>
      <c r="C4160">
        <f>IF(B4160,INT((A4160-1)/Days)+1,"")</f>
        <v/>
      </c>
      <c r="D4160">
        <f>IF(B4160,MOD(A4160-1,Days),"")</f>
        <v/>
      </c>
      <c r="E4160" s="16">
        <f>IF(B4160,StartDate+D4160,"")</f>
        <v/>
      </c>
      <c r="F4160">
        <f>IF(B4160,MAX(MOD(SIN(Seed*0.1373+C4160*12.9898+D4160*78.233)*43758.5453,1),1E-9),"")</f>
        <v/>
      </c>
      <c r="G4160">
        <f>IF(B4160,MOD(SIN(Seed*0.5917+C4160*39.3468+D4160*11.135)*24634.6345,1),"")</f>
        <v/>
      </c>
      <c r="H4160">
        <f>IF(B4160,SQRT(-2*LN(F4160))*COS(2*PI()*G4160),"")</f>
        <v/>
      </c>
      <c r="I4160">
        <f>IF(B4160,IF(D4160=0,H4160,Rho*I4159+SQRT(1-Rho^2)*H4160),"")</f>
        <v/>
      </c>
      <c r="J4160">
        <f>IF(B4160,IF(Dist="Normal",DistA+DistB*I4160,DistA+(DistB-DistA)*NORMSDIST(I4160)),"")</f>
        <v/>
      </c>
      <c r="K4160">
        <f>IF(B4160,INDEX(MineScale,C4160),"")</f>
        <v/>
      </c>
      <c r="L4160">
        <f>IF(B4160,INDEX(Dow,1,WEEKDAY(E4160,2)),"")</f>
        <v/>
      </c>
      <c r="M4160">
        <f>IF(B4160,(1+Trend)^D4160,"")</f>
        <v/>
      </c>
      <c r="N4160">
        <f>IF(B4160,EXP(SUMPRODUCT(LN(1+(EvEff-1)*INDEX(Affected,0,C4160)*EXP(-((E4160-EvCenter)^2)/(2*EvSigma^2))))),"")</f>
        <v/>
      </c>
      <c r="O4160">
        <f>IF(B4160,ROUND(MAX(0,J4160*K4160*L4160*M4160*N4160),2),"")</f>
        <v/>
      </c>
    </row>
    <row r="4161">
      <c r="A4161" t="n">
        <v>4160</v>
      </c>
      <c r="B4161">
        <f>A4161&lt;=MineCount*Days</f>
        <v/>
      </c>
      <c r="C4161">
        <f>IF(B4161,INT((A4161-1)/Days)+1,"")</f>
        <v/>
      </c>
      <c r="D4161">
        <f>IF(B4161,MOD(A4161-1,Days),"")</f>
        <v/>
      </c>
      <c r="E4161" s="16">
        <f>IF(B4161,StartDate+D4161,"")</f>
        <v/>
      </c>
      <c r="F4161">
        <f>IF(B4161,MAX(MOD(SIN(Seed*0.1373+C4161*12.9898+D4161*78.233)*43758.5453,1),1E-9),"")</f>
        <v/>
      </c>
      <c r="G4161">
        <f>IF(B4161,MOD(SIN(Seed*0.5917+C4161*39.3468+D4161*11.135)*24634.6345,1),"")</f>
        <v/>
      </c>
      <c r="H4161">
        <f>IF(B4161,SQRT(-2*LN(F4161))*COS(2*PI()*G4161),"")</f>
        <v/>
      </c>
      <c r="I4161">
        <f>IF(B4161,IF(D4161=0,H4161,Rho*I4160+SQRT(1-Rho^2)*H4161),"")</f>
        <v/>
      </c>
      <c r="J4161">
        <f>IF(B4161,IF(Dist="Normal",DistA+DistB*I4161,DistA+(DistB-DistA)*NORMSDIST(I4161)),"")</f>
        <v/>
      </c>
      <c r="K4161">
        <f>IF(B4161,INDEX(MineScale,C4161),"")</f>
        <v/>
      </c>
      <c r="L4161">
        <f>IF(B4161,INDEX(Dow,1,WEEKDAY(E4161,2)),"")</f>
        <v/>
      </c>
      <c r="M4161">
        <f>IF(B4161,(1+Trend)^D4161,"")</f>
        <v/>
      </c>
      <c r="N4161">
        <f>IF(B4161,EXP(SUMPRODUCT(LN(1+(EvEff-1)*INDEX(Affected,0,C4161)*EXP(-((E4161-EvCenter)^2)/(2*EvSigma^2))))),"")</f>
        <v/>
      </c>
      <c r="O4161">
        <f>IF(B4161,ROUND(MAX(0,J4161*K4161*L4161*M4161*N4161),2),"")</f>
        <v/>
      </c>
    </row>
    <row r="4162">
      <c r="A4162" t="n">
        <v>4161</v>
      </c>
      <c r="B4162">
        <f>A4162&lt;=MineCount*Days</f>
        <v/>
      </c>
      <c r="C4162">
        <f>IF(B4162,INT((A4162-1)/Days)+1,"")</f>
        <v/>
      </c>
      <c r="D4162">
        <f>IF(B4162,MOD(A4162-1,Days),"")</f>
        <v/>
      </c>
      <c r="E4162" s="16">
        <f>IF(B4162,StartDate+D4162,"")</f>
        <v/>
      </c>
      <c r="F4162">
        <f>IF(B4162,MAX(MOD(SIN(Seed*0.1373+C4162*12.9898+D4162*78.233)*43758.5453,1),1E-9),"")</f>
        <v/>
      </c>
      <c r="G4162">
        <f>IF(B4162,MOD(SIN(Seed*0.5917+C4162*39.3468+D4162*11.135)*24634.6345,1),"")</f>
        <v/>
      </c>
      <c r="H4162">
        <f>IF(B4162,SQRT(-2*LN(F4162))*COS(2*PI()*G4162),"")</f>
        <v/>
      </c>
      <c r="I4162">
        <f>IF(B4162,IF(D4162=0,H4162,Rho*I4161+SQRT(1-Rho^2)*H4162),"")</f>
        <v/>
      </c>
      <c r="J4162">
        <f>IF(B4162,IF(Dist="Normal",DistA+DistB*I4162,DistA+(DistB-DistA)*NORMSDIST(I4162)),"")</f>
        <v/>
      </c>
      <c r="K4162">
        <f>IF(B4162,INDEX(MineScale,C4162),"")</f>
        <v/>
      </c>
      <c r="L4162">
        <f>IF(B4162,INDEX(Dow,1,WEEKDAY(E4162,2)),"")</f>
        <v/>
      </c>
      <c r="M4162">
        <f>IF(B4162,(1+Trend)^D4162,"")</f>
        <v/>
      </c>
      <c r="N4162">
        <f>IF(B4162,EXP(SUMPRODUCT(LN(1+(EvEff-1)*INDEX(Affected,0,C4162)*EXP(-((E4162-EvCenter)^2)/(2*EvSigma^2))))),"")</f>
        <v/>
      </c>
      <c r="O4162">
        <f>IF(B4162,ROUND(MAX(0,J4162*K4162*L4162*M4162*N4162),2),"")</f>
        <v/>
      </c>
    </row>
    <row r="4163">
      <c r="A4163" t="n">
        <v>4162</v>
      </c>
      <c r="B4163">
        <f>A4163&lt;=MineCount*Days</f>
        <v/>
      </c>
      <c r="C4163">
        <f>IF(B4163,INT((A4163-1)/Days)+1,"")</f>
        <v/>
      </c>
      <c r="D4163">
        <f>IF(B4163,MOD(A4163-1,Days),"")</f>
        <v/>
      </c>
      <c r="E4163" s="16">
        <f>IF(B4163,StartDate+D4163,"")</f>
        <v/>
      </c>
      <c r="F4163">
        <f>IF(B4163,MAX(MOD(SIN(Seed*0.1373+C4163*12.9898+D4163*78.233)*43758.5453,1),1E-9),"")</f>
        <v/>
      </c>
      <c r="G4163">
        <f>IF(B4163,MOD(SIN(Seed*0.5917+C4163*39.3468+D4163*11.135)*24634.6345,1),"")</f>
        <v/>
      </c>
      <c r="H4163">
        <f>IF(B4163,SQRT(-2*LN(F4163))*COS(2*PI()*G4163),"")</f>
        <v/>
      </c>
      <c r="I4163">
        <f>IF(B4163,IF(D4163=0,H4163,Rho*I4162+SQRT(1-Rho^2)*H4163),"")</f>
        <v/>
      </c>
      <c r="J4163">
        <f>IF(B4163,IF(Dist="Normal",DistA+DistB*I4163,DistA+(DistB-DistA)*NORMSDIST(I4163)),"")</f>
        <v/>
      </c>
      <c r="K4163">
        <f>IF(B4163,INDEX(MineScale,C4163),"")</f>
        <v/>
      </c>
      <c r="L4163">
        <f>IF(B4163,INDEX(Dow,1,WEEKDAY(E4163,2)),"")</f>
        <v/>
      </c>
      <c r="M4163">
        <f>IF(B4163,(1+Trend)^D4163,"")</f>
        <v/>
      </c>
      <c r="N4163">
        <f>IF(B4163,EXP(SUMPRODUCT(LN(1+(EvEff-1)*INDEX(Affected,0,C4163)*EXP(-((E4163-EvCenter)^2)/(2*EvSigma^2))))),"")</f>
        <v/>
      </c>
      <c r="O4163">
        <f>IF(B4163,ROUND(MAX(0,J4163*K4163*L4163*M4163*N4163),2),"")</f>
        <v/>
      </c>
    </row>
    <row r="4164">
      <c r="A4164" t="n">
        <v>4163</v>
      </c>
      <c r="B4164">
        <f>A4164&lt;=MineCount*Days</f>
        <v/>
      </c>
      <c r="C4164">
        <f>IF(B4164,INT((A4164-1)/Days)+1,"")</f>
        <v/>
      </c>
      <c r="D4164">
        <f>IF(B4164,MOD(A4164-1,Days),"")</f>
        <v/>
      </c>
      <c r="E4164" s="16">
        <f>IF(B4164,StartDate+D4164,"")</f>
        <v/>
      </c>
      <c r="F4164">
        <f>IF(B4164,MAX(MOD(SIN(Seed*0.1373+C4164*12.9898+D4164*78.233)*43758.5453,1),1E-9),"")</f>
        <v/>
      </c>
      <c r="G4164">
        <f>IF(B4164,MOD(SIN(Seed*0.5917+C4164*39.3468+D4164*11.135)*24634.6345,1),"")</f>
        <v/>
      </c>
      <c r="H4164">
        <f>IF(B4164,SQRT(-2*LN(F4164))*COS(2*PI()*G4164),"")</f>
        <v/>
      </c>
      <c r="I4164">
        <f>IF(B4164,IF(D4164=0,H4164,Rho*I4163+SQRT(1-Rho^2)*H4164),"")</f>
        <v/>
      </c>
      <c r="J4164">
        <f>IF(B4164,IF(Dist="Normal",DistA+DistB*I4164,DistA+(DistB-DistA)*NORMSDIST(I4164)),"")</f>
        <v/>
      </c>
      <c r="K4164">
        <f>IF(B4164,INDEX(MineScale,C4164),"")</f>
        <v/>
      </c>
      <c r="L4164">
        <f>IF(B4164,INDEX(Dow,1,WEEKDAY(E4164,2)),"")</f>
        <v/>
      </c>
      <c r="M4164">
        <f>IF(B4164,(1+Trend)^D4164,"")</f>
        <v/>
      </c>
      <c r="N4164">
        <f>IF(B4164,EXP(SUMPRODUCT(LN(1+(EvEff-1)*INDEX(Affected,0,C4164)*EXP(-((E4164-EvCenter)^2)/(2*EvSigma^2))))),"")</f>
        <v/>
      </c>
      <c r="O4164">
        <f>IF(B4164,ROUND(MAX(0,J4164*K4164*L4164*M4164*N4164),2),"")</f>
        <v/>
      </c>
    </row>
    <row r="4165">
      <c r="A4165" t="n">
        <v>4164</v>
      </c>
      <c r="B4165">
        <f>A4165&lt;=MineCount*Days</f>
        <v/>
      </c>
      <c r="C4165">
        <f>IF(B4165,INT((A4165-1)/Days)+1,"")</f>
        <v/>
      </c>
      <c r="D4165">
        <f>IF(B4165,MOD(A4165-1,Days),"")</f>
        <v/>
      </c>
      <c r="E4165" s="16">
        <f>IF(B4165,StartDate+D4165,"")</f>
        <v/>
      </c>
      <c r="F4165">
        <f>IF(B4165,MAX(MOD(SIN(Seed*0.1373+C4165*12.9898+D4165*78.233)*43758.5453,1),1E-9),"")</f>
        <v/>
      </c>
      <c r="G4165">
        <f>IF(B4165,MOD(SIN(Seed*0.5917+C4165*39.3468+D4165*11.135)*24634.6345,1),"")</f>
        <v/>
      </c>
      <c r="H4165">
        <f>IF(B4165,SQRT(-2*LN(F4165))*COS(2*PI()*G4165),"")</f>
        <v/>
      </c>
      <c r="I4165">
        <f>IF(B4165,IF(D4165=0,H4165,Rho*I4164+SQRT(1-Rho^2)*H4165),"")</f>
        <v/>
      </c>
      <c r="J4165">
        <f>IF(B4165,IF(Dist="Normal",DistA+DistB*I4165,DistA+(DistB-DistA)*NORMSDIST(I4165)),"")</f>
        <v/>
      </c>
      <c r="K4165">
        <f>IF(B4165,INDEX(MineScale,C4165),"")</f>
        <v/>
      </c>
      <c r="L4165">
        <f>IF(B4165,INDEX(Dow,1,WEEKDAY(E4165,2)),"")</f>
        <v/>
      </c>
      <c r="M4165">
        <f>IF(B4165,(1+Trend)^D4165,"")</f>
        <v/>
      </c>
      <c r="N4165">
        <f>IF(B4165,EXP(SUMPRODUCT(LN(1+(EvEff-1)*INDEX(Affected,0,C4165)*EXP(-((E4165-EvCenter)^2)/(2*EvSigma^2))))),"")</f>
        <v/>
      </c>
      <c r="O4165">
        <f>IF(B4165,ROUND(MAX(0,J4165*K4165*L4165*M4165*N4165),2),"")</f>
        <v/>
      </c>
    </row>
    <row r="4166">
      <c r="A4166" t="n">
        <v>4165</v>
      </c>
      <c r="B4166">
        <f>A4166&lt;=MineCount*Days</f>
        <v/>
      </c>
      <c r="C4166">
        <f>IF(B4166,INT((A4166-1)/Days)+1,"")</f>
        <v/>
      </c>
      <c r="D4166">
        <f>IF(B4166,MOD(A4166-1,Days),"")</f>
        <v/>
      </c>
      <c r="E4166" s="16">
        <f>IF(B4166,StartDate+D4166,"")</f>
        <v/>
      </c>
      <c r="F4166">
        <f>IF(B4166,MAX(MOD(SIN(Seed*0.1373+C4166*12.9898+D4166*78.233)*43758.5453,1),1E-9),"")</f>
        <v/>
      </c>
      <c r="G4166">
        <f>IF(B4166,MOD(SIN(Seed*0.5917+C4166*39.3468+D4166*11.135)*24634.6345,1),"")</f>
        <v/>
      </c>
      <c r="H4166">
        <f>IF(B4166,SQRT(-2*LN(F4166))*COS(2*PI()*G4166),"")</f>
        <v/>
      </c>
      <c r="I4166">
        <f>IF(B4166,IF(D4166=0,H4166,Rho*I4165+SQRT(1-Rho^2)*H4166),"")</f>
        <v/>
      </c>
      <c r="J4166">
        <f>IF(B4166,IF(Dist="Normal",DistA+DistB*I4166,DistA+(DistB-DistA)*NORMSDIST(I4166)),"")</f>
        <v/>
      </c>
      <c r="K4166">
        <f>IF(B4166,INDEX(MineScale,C4166),"")</f>
        <v/>
      </c>
      <c r="L4166">
        <f>IF(B4166,INDEX(Dow,1,WEEKDAY(E4166,2)),"")</f>
        <v/>
      </c>
      <c r="M4166">
        <f>IF(B4166,(1+Trend)^D4166,"")</f>
        <v/>
      </c>
      <c r="N4166">
        <f>IF(B4166,EXP(SUMPRODUCT(LN(1+(EvEff-1)*INDEX(Affected,0,C4166)*EXP(-((E4166-EvCenter)^2)/(2*EvSigma^2))))),"")</f>
        <v/>
      </c>
      <c r="O4166">
        <f>IF(B4166,ROUND(MAX(0,J4166*K4166*L4166*M4166*N4166),2),"")</f>
        <v/>
      </c>
    </row>
    <row r="4167">
      <c r="A4167" t="n">
        <v>4166</v>
      </c>
      <c r="B4167">
        <f>A4167&lt;=MineCount*Days</f>
        <v/>
      </c>
      <c r="C4167">
        <f>IF(B4167,INT((A4167-1)/Days)+1,"")</f>
        <v/>
      </c>
      <c r="D4167">
        <f>IF(B4167,MOD(A4167-1,Days),"")</f>
        <v/>
      </c>
      <c r="E4167" s="16">
        <f>IF(B4167,StartDate+D4167,"")</f>
        <v/>
      </c>
      <c r="F4167">
        <f>IF(B4167,MAX(MOD(SIN(Seed*0.1373+C4167*12.9898+D4167*78.233)*43758.5453,1),1E-9),"")</f>
        <v/>
      </c>
      <c r="G4167">
        <f>IF(B4167,MOD(SIN(Seed*0.5917+C4167*39.3468+D4167*11.135)*24634.6345,1),"")</f>
        <v/>
      </c>
      <c r="H4167">
        <f>IF(B4167,SQRT(-2*LN(F4167))*COS(2*PI()*G4167),"")</f>
        <v/>
      </c>
      <c r="I4167">
        <f>IF(B4167,IF(D4167=0,H4167,Rho*I4166+SQRT(1-Rho^2)*H4167),"")</f>
        <v/>
      </c>
      <c r="J4167">
        <f>IF(B4167,IF(Dist="Normal",DistA+DistB*I4167,DistA+(DistB-DistA)*NORMSDIST(I4167)),"")</f>
        <v/>
      </c>
      <c r="K4167">
        <f>IF(B4167,INDEX(MineScale,C4167),"")</f>
        <v/>
      </c>
      <c r="L4167">
        <f>IF(B4167,INDEX(Dow,1,WEEKDAY(E4167,2)),"")</f>
        <v/>
      </c>
      <c r="M4167">
        <f>IF(B4167,(1+Trend)^D4167,"")</f>
        <v/>
      </c>
      <c r="N4167">
        <f>IF(B4167,EXP(SUMPRODUCT(LN(1+(EvEff-1)*INDEX(Affected,0,C4167)*EXP(-((E4167-EvCenter)^2)/(2*EvSigma^2))))),"")</f>
        <v/>
      </c>
      <c r="O4167">
        <f>IF(B4167,ROUND(MAX(0,J4167*K4167*L4167*M4167*N4167),2),"")</f>
        <v/>
      </c>
    </row>
    <row r="4168">
      <c r="A4168" t="n">
        <v>4167</v>
      </c>
      <c r="B4168">
        <f>A4168&lt;=MineCount*Days</f>
        <v/>
      </c>
      <c r="C4168">
        <f>IF(B4168,INT((A4168-1)/Days)+1,"")</f>
        <v/>
      </c>
      <c r="D4168">
        <f>IF(B4168,MOD(A4168-1,Days),"")</f>
        <v/>
      </c>
      <c r="E4168" s="16">
        <f>IF(B4168,StartDate+D4168,"")</f>
        <v/>
      </c>
      <c r="F4168">
        <f>IF(B4168,MAX(MOD(SIN(Seed*0.1373+C4168*12.9898+D4168*78.233)*43758.5453,1),1E-9),"")</f>
        <v/>
      </c>
      <c r="G4168">
        <f>IF(B4168,MOD(SIN(Seed*0.5917+C4168*39.3468+D4168*11.135)*24634.6345,1),"")</f>
        <v/>
      </c>
      <c r="H4168">
        <f>IF(B4168,SQRT(-2*LN(F4168))*COS(2*PI()*G4168),"")</f>
        <v/>
      </c>
      <c r="I4168">
        <f>IF(B4168,IF(D4168=0,H4168,Rho*I4167+SQRT(1-Rho^2)*H4168),"")</f>
        <v/>
      </c>
      <c r="J4168">
        <f>IF(B4168,IF(Dist="Normal",DistA+DistB*I4168,DistA+(DistB-DistA)*NORMSDIST(I4168)),"")</f>
        <v/>
      </c>
      <c r="K4168">
        <f>IF(B4168,INDEX(MineScale,C4168),"")</f>
        <v/>
      </c>
      <c r="L4168">
        <f>IF(B4168,INDEX(Dow,1,WEEKDAY(E4168,2)),"")</f>
        <v/>
      </c>
      <c r="M4168">
        <f>IF(B4168,(1+Trend)^D4168,"")</f>
        <v/>
      </c>
      <c r="N4168">
        <f>IF(B4168,EXP(SUMPRODUCT(LN(1+(EvEff-1)*INDEX(Affected,0,C4168)*EXP(-((E4168-EvCenter)^2)/(2*EvSigma^2))))),"")</f>
        <v/>
      </c>
      <c r="O4168">
        <f>IF(B4168,ROUND(MAX(0,J4168*K4168*L4168*M4168*N4168),2),"")</f>
        <v/>
      </c>
    </row>
    <row r="4169">
      <c r="A4169" t="n">
        <v>4168</v>
      </c>
      <c r="B4169">
        <f>A4169&lt;=MineCount*Days</f>
        <v/>
      </c>
      <c r="C4169">
        <f>IF(B4169,INT((A4169-1)/Days)+1,"")</f>
        <v/>
      </c>
      <c r="D4169">
        <f>IF(B4169,MOD(A4169-1,Days),"")</f>
        <v/>
      </c>
      <c r="E4169" s="16">
        <f>IF(B4169,StartDate+D4169,"")</f>
        <v/>
      </c>
      <c r="F4169">
        <f>IF(B4169,MAX(MOD(SIN(Seed*0.1373+C4169*12.9898+D4169*78.233)*43758.5453,1),1E-9),"")</f>
        <v/>
      </c>
      <c r="G4169">
        <f>IF(B4169,MOD(SIN(Seed*0.5917+C4169*39.3468+D4169*11.135)*24634.6345,1),"")</f>
        <v/>
      </c>
      <c r="H4169">
        <f>IF(B4169,SQRT(-2*LN(F4169))*COS(2*PI()*G4169),"")</f>
        <v/>
      </c>
      <c r="I4169">
        <f>IF(B4169,IF(D4169=0,H4169,Rho*I4168+SQRT(1-Rho^2)*H4169),"")</f>
        <v/>
      </c>
      <c r="J4169">
        <f>IF(B4169,IF(Dist="Normal",DistA+DistB*I4169,DistA+(DistB-DistA)*NORMSDIST(I4169)),"")</f>
        <v/>
      </c>
      <c r="K4169">
        <f>IF(B4169,INDEX(MineScale,C4169),"")</f>
        <v/>
      </c>
      <c r="L4169">
        <f>IF(B4169,INDEX(Dow,1,WEEKDAY(E4169,2)),"")</f>
        <v/>
      </c>
      <c r="M4169">
        <f>IF(B4169,(1+Trend)^D4169,"")</f>
        <v/>
      </c>
      <c r="N4169">
        <f>IF(B4169,EXP(SUMPRODUCT(LN(1+(EvEff-1)*INDEX(Affected,0,C4169)*EXP(-((E4169-EvCenter)^2)/(2*EvSigma^2))))),"")</f>
        <v/>
      </c>
      <c r="O4169">
        <f>IF(B4169,ROUND(MAX(0,J4169*K4169*L4169*M4169*N4169),2),"")</f>
        <v/>
      </c>
    </row>
    <row r="4170">
      <c r="A4170" t="n">
        <v>4169</v>
      </c>
      <c r="B4170">
        <f>A4170&lt;=MineCount*Days</f>
        <v/>
      </c>
      <c r="C4170">
        <f>IF(B4170,INT((A4170-1)/Days)+1,"")</f>
        <v/>
      </c>
      <c r="D4170">
        <f>IF(B4170,MOD(A4170-1,Days),"")</f>
        <v/>
      </c>
      <c r="E4170" s="16">
        <f>IF(B4170,StartDate+D4170,"")</f>
        <v/>
      </c>
      <c r="F4170">
        <f>IF(B4170,MAX(MOD(SIN(Seed*0.1373+C4170*12.9898+D4170*78.233)*43758.5453,1),1E-9),"")</f>
        <v/>
      </c>
      <c r="G4170">
        <f>IF(B4170,MOD(SIN(Seed*0.5917+C4170*39.3468+D4170*11.135)*24634.6345,1),"")</f>
        <v/>
      </c>
      <c r="H4170">
        <f>IF(B4170,SQRT(-2*LN(F4170))*COS(2*PI()*G4170),"")</f>
        <v/>
      </c>
      <c r="I4170">
        <f>IF(B4170,IF(D4170=0,H4170,Rho*I4169+SQRT(1-Rho^2)*H4170),"")</f>
        <v/>
      </c>
      <c r="J4170">
        <f>IF(B4170,IF(Dist="Normal",DistA+DistB*I4170,DistA+(DistB-DistA)*NORMSDIST(I4170)),"")</f>
        <v/>
      </c>
      <c r="K4170">
        <f>IF(B4170,INDEX(MineScale,C4170),"")</f>
        <v/>
      </c>
      <c r="L4170">
        <f>IF(B4170,INDEX(Dow,1,WEEKDAY(E4170,2)),"")</f>
        <v/>
      </c>
      <c r="M4170">
        <f>IF(B4170,(1+Trend)^D4170,"")</f>
        <v/>
      </c>
      <c r="N4170">
        <f>IF(B4170,EXP(SUMPRODUCT(LN(1+(EvEff-1)*INDEX(Affected,0,C4170)*EXP(-((E4170-EvCenter)^2)/(2*EvSigma^2))))),"")</f>
        <v/>
      </c>
      <c r="O4170">
        <f>IF(B4170,ROUND(MAX(0,J4170*K4170*L4170*M4170*N4170),2),"")</f>
        <v/>
      </c>
    </row>
    <row r="4171">
      <c r="A4171" t="n">
        <v>4170</v>
      </c>
      <c r="B4171">
        <f>A4171&lt;=MineCount*Days</f>
        <v/>
      </c>
      <c r="C4171">
        <f>IF(B4171,INT((A4171-1)/Days)+1,"")</f>
        <v/>
      </c>
      <c r="D4171">
        <f>IF(B4171,MOD(A4171-1,Days),"")</f>
        <v/>
      </c>
      <c r="E4171" s="16">
        <f>IF(B4171,StartDate+D4171,"")</f>
        <v/>
      </c>
      <c r="F4171">
        <f>IF(B4171,MAX(MOD(SIN(Seed*0.1373+C4171*12.9898+D4171*78.233)*43758.5453,1),1E-9),"")</f>
        <v/>
      </c>
      <c r="G4171">
        <f>IF(B4171,MOD(SIN(Seed*0.5917+C4171*39.3468+D4171*11.135)*24634.6345,1),"")</f>
        <v/>
      </c>
      <c r="H4171">
        <f>IF(B4171,SQRT(-2*LN(F4171))*COS(2*PI()*G4171),"")</f>
        <v/>
      </c>
      <c r="I4171">
        <f>IF(B4171,IF(D4171=0,H4171,Rho*I4170+SQRT(1-Rho^2)*H4171),"")</f>
        <v/>
      </c>
      <c r="J4171">
        <f>IF(B4171,IF(Dist="Normal",DistA+DistB*I4171,DistA+(DistB-DistA)*NORMSDIST(I4171)),"")</f>
        <v/>
      </c>
      <c r="K4171">
        <f>IF(B4171,INDEX(MineScale,C4171),"")</f>
        <v/>
      </c>
      <c r="L4171">
        <f>IF(B4171,INDEX(Dow,1,WEEKDAY(E4171,2)),"")</f>
        <v/>
      </c>
      <c r="M4171">
        <f>IF(B4171,(1+Trend)^D4171,"")</f>
        <v/>
      </c>
      <c r="N4171">
        <f>IF(B4171,EXP(SUMPRODUCT(LN(1+(EvEff-1)*INDEX(Affected,0,C4171)*EXP(-((E4171-EvCenter)^2)/(2*EvSigma^2))))),"")</f>
        <v/>
      </c>
      <c r="O4171">
        <f>IF(B4171,ROUND(MAX(0,J4171*K4171*L4171*M4171*N4171),2),"")</f>
        <v/>
      </c>
    </row>
    <row r="4172">
      <c r="A4172" t="n">
        <v>4171</v>
      </c>
      <c r="B4172">
        <f>A4172&lt;=MineCount*Days</f>
        <v/>
      </c>
      <c r="C4172">
        <f>IF(B4172,INT((A4172-1)/Days)+1,"")</f>
        <v/>
      </c>
      <c r="D4172">
        <f>IF(B4172,MOD(A4172-1,Days),"")</f>
        <v/>
      </c>
      <c r="E4172" s="16">
        <f>IF(B4172,StartDate+D4172,"")</f>
        <v/>
      </c>
      <c r="F4172">
        <f>IF(B4172,MAX(MOD(SIN(Seed*0.1373+C4172*12.9898+D4172*78.233)*43758.5453,1),1E-9),"")</f>
        <v/>
      </c>
      <c r="G4172">
        <f>IF(B4172,MOD(SIN(Seed*0.5917+C4172*39.3468+D4172*11.135)*24634.6345,1),"")</f>
        <v/>
      </c>
      <c r="H4172">
        <f>IF(B4172,SQRT(-2*LN(F4172))*COS(2*PI()*G4172),"")</f>
        <v/>
      </c>
      <c r="I4172">
        <f>IF(B4172,IF(D4172=0,H4172,Rho*I4171+SQRT(1-Rho^2)*H4172),"")</f>
        <v/>
      </c>
      <c r="J4172">
        <f>IF(B4172,IF(Dist="Normal",DistA+DistB*I4172,DistA+(DistB-DistA)*NORMSDIST(I4172)),"")</f>
        <v/>
      </c>
      <c r="K4172">
        <f>IF(B4172,INDEX(MineScale,C4172),"")</f>
        <v/>
      </c>
      <c r="L4172">
        <f>IF(B4172,INDEX(Dow,1,WEEKDAY(E4172,2)),"")</f>
        <v/>
      </c>
      <c r="M4172">
        <f>IF(B4172,(1+Trend)^D4172,"")</f>
        <v/>
      </c>
      <c r="N4172">
        <f>IF(B4172,EXP(SUMPRODUCT(LN(1+(EvEff-1)*INDEX(Affected,0,C4172)*EXP(-((E4172-EvCenter)^2)/(2*EvSigma^2))))),"")</f>
        <v/>
      </c>
      <c r="O4172">
        <f>IF(B4172,ROUND(MAX(0,J4172*K4172*L4172*M4172*N4172),2),"")</f>
        <v/>
      </c>
    </row>
    <row r="4173">
      <c r="A4173" t="n">
        <v>4172</v>
      </c>
      <c r="B4173">
        <f>A4173&lt;=MineCount*Days</f>
        <v/>
      </c>
      <c r="C4173">
        <f>IF(B4173,INT((A4173-1)/Days)+1,"")</f>
        <v/>
      </c>
      <c r="D4173">
        <f>IF(B4173,MOD(A4173-1,Days),"")</f>
        <v/>
      </c>
      <c r="E4173" s="16">
        <f>IF(B4173,StartDate+D4173,"")</f>
        <v/>
      </c>
      <c r="F4173">
        <f>IF(B4173,MAX(MOD(SIN(Seed*0.1373+C4173*12.9898+D4173*78.233)*43758.5453,1),1E-9),"")</f>
        <v/>
      </c>
      <c r="G4173">
        <f>IF(B4173,MOD(SIN(Seed*0.5917+C4173*39.3468+D4173*11.135)*24634.6345,1),"")</f>
        <v/>
      </c>
      <c r="H4173">
        <f>IF(B4173,SQRT(-2*LN(F4173))*COS(2*PI()*G4173),"")</f>
        <v/>
      </c>
      <c r="I4173">
        <f>IF(B4173,IF(D4173=0,H4173,Rho*I4172+SQRT(1-Rho^2)*H4173),"")</f>
        <v/>
      </c>
      <c r="J4173">
        <f>IF(B4173,IF(Dist="Normal",DistA+DistB*I4173,DistA+(DistB-DistA)*NORMSDIST(I4173)),"")</f>
        <v/>
      </c>
      <c r="K4173">
        <f>IF(B4173,INDEX(MineScale,C4173),"")</f>
        <v/>
      </c>
      <c r="L4173">
        <f>IF(B4173,INDEX(Dow,1,WEEKDAY(E4173,2)),"")</f>
        <v/>
      </c>
      <c r="M4173">
        <f>IF(B4173,(1+Trend)^D4173,"")</f>
        <v/>
      </c>
      <c r="N4173">
        <f>IF(B4173,EXP(SUMPRODUCT(LN(1+(EvEff-1)*INDEX(Affected,0,C4173)*EXP(-((E4173-EvCenter)^2)/(2*EvSigma^2))))),"")</f>
        <v/>
      </c>
      <c r="O4173">
        <f>IF(B4173,ROUND(MAX(0,J4173*K4173*L4173*M4173*N4173),2),"")</f>
        <v/>
      </c>
    </row>
    <row r="4174">
      <c r="A4174" t="n">
        <v>4173</v>
      </c>
      <c r="B4174">
        <f>A4174&lt;=MineCount*Days</f>
        <v/>
      </c>
      <c r="C4174">
        <f>IF(B4174,INT((A4174-1)/Days)+1,"")</f>
        <v/>
      </c>
      <c r="D4174">
        <f>IF(B4174,MOD(A4174-1,Days),"")</f>
        <v/>
      </c>
      <c r="E4174" s="16">
        <f>IF(B4174,StartDate+D4174,"")</f>
        <v/>
      </c>
      <c r="F4174">
        <f>IF(B4174,MAX(MOD(SIN(Seed*0.1373+C4174*12.9898+D4174*78.233)*43758.5453,1),1E-9),"")</f>
        <v/>
      </c>
      <c r="G4174">
        <f>IF(B4174,MOD(SIN(Seed*0.5917+C4174*39.3468+D4174*11.135)*24634.6345,1),"")</f>
        <v/>
      </c>
      <c r="H4174">
        <f>IF(B4174,SQRT(-2*LN(F4174))*COS(2*PI()*G4174),"")</f>
        <v/>
      </c>
      <c r="I4174">
        <f>IF(B4174,IF(D4174=0,H4174,Rho*I4173+SQRT(1-Rho^2)*H4174),"")</f>
        <v/>
      </c>
      <c r="J4174">
        <f>IF(B4174,IF(Dist="Normal",DistA+DistB*I4174,DistA+(DistB-DistA)*NORMSDIST(I4174)),"")</f>
        <v/>
      </c>
      <c r="K4174">
        <f>IF(B4174,INDEX(MineScale,C4174),"")</f>
        <v/>
      </c>
      <c r="L4174">
        <f>IF(B4174,INDEX(Dow,1,WEEKDAY(E4174,2)),"")</f>
        <v/>
      </c>
      <c r="M4174">
        <f>IF(B4174,(1+Trend)^D4174,"")</f>
        <v/>
      </c>
      <c r="N4174">
        <f>IF(B4174,EXP(SUMPRODUCT(LN(1+(EvEff-1)*INDEX(Affected,0,C4174)*EXP(-((E4174-EvCenter)^2)/(2*EvSigma^2))))),"")</f>
        <v/>
      </c>
      <c r="O4174">
        <f>IF(B4174,ROUND(MAX(0,J4174*K4174*L4174*M4174*N4174),2),"")</f>
        <v/>
      </c>
    </row>
    <row r="4175">
      <c r="A4175" t="n">
        <v>4174</v>
      </c>
      <c r="B4175">
        <f>A4175&lt;=MineCount*Days</f>
        <v/>
      </c>
      <c r="C4175">
        <f>IF(B4175,INT((A4175-1)/Days)+1,"")</f>
        <v/>
      </c>
      <c r="D4175">
        <f>IF(B4175,MOD(A4175-1,Days),"")</f>
        <v/>
      </c>
      <c r="E4175" s="16">
        <f>IF(B4175,StartDate+D4175,"")</f>
        <v/>
      </c>
      <c r="F4175">
        <f>IF(B4175,MAX(MOD(SIN(Seed*0.1373+C4175*12.9898+D4175*78.233)*43758.5453,1),1E-9),"")</f>
        <v/>
      </c>
      <c r="G4175">
        <f>IF(B4175,MOD(SIN(Seed*0.5917+C4175*39.3468+D4175*11.135)*24634.6345,1),"")</f>
        <v/>
      </c>
      <c r="H4175">
        <f>IF(B4175,SQRT(-2*LN(F4175))*COS(2*PI()*G4175),"")</f>
        <v/>
      </c>
      <c r="I4175">
        <f>IF(B4175,IF(D4175=0,H4175,Rho*I4174+SQRT(1-Rho^2)*H4175),"")</f>
        <v/>
      </c>
      <c r="J4175">
        <f>IF(B4175,IF(Dist="Normal",DistA+DistB*I4175,DistA+(DistB-DistA)*NORMSDIST(I4175)),"")</f>
        <v/>
      </c>
      <c r="K4175">
        <f>IF(B4175,INDEX(MineScale,C4175),"")</f>
        <v/>
      </c>
      <c r="L4175">
        <f>IF(B4175,INDEX(Dow,1,WEEKDAY(E4175,2)),"")</f>
        <v/>
      </c>
      <c r="M4175">
        <f>IF(B4175,(1+Trend)^D4175,"")</f>
        <v/>
      </c>
      <c r="N4175">
        <f>IF(B4175,EXP(SUMPRODUCT(LN(1+(EvEff-1)*INDEX(Affected,0,C4175)*EXP(-((E4175-EvCenter)^2)/(2*EvSigma^2))))),"")</f>
        <v/>
      </c>
      <c r="O4175">
        <f>IF(B4175,ROUND(MAX(0,J4175*K4175*L4175*M4175*N4175),2),"")</f>
        <v/>
      </c>
    </row>
    <row r="4176">
      <c r="A4176" t="n">
        <v>4175</v>
      </c>
      <c r="B4176">
        <f>A4176&lt;=MineCount*Days</f>
        <v/>
      </c>
      <c r="C4176">
        <f>IF(B4176,INT((A4176-1)/Days)+1,"")</f>
        <v/>
      </c>
      <c r="D4176">
        <f>IF(B4176,MOD(A4176-1,Days),"")</f>
        <v/>
      </c>
      <c r="E4176" s="16">
        <f>IF(B4176,StartDate+D4176,"")</f>
        <v/>
      </c>
      <c r="F4176">
        <f>IF(B4176,MAX(MOD(SIN(Seed*0.1373+C4176*12.9898+D4176*78.233)*43758.5453,1),1E-9),"")</f>
        <v/>
      </c>
      <c r="G4176">
        <f>IF(B4176,MOD(SIN(Seed*0.5917+C4176*39.3468+D4176*11.135)*24634.6345,1),"")</f>
        <v/>
      </c>
      <c r="H4176">
        <f>IF(B4176,SQRT(-2*LN(F4176))*COS(2*PI()*G4176),"")</f>
        <v/>
      </c>
      <c r="I4176">
        <f>IF(B4176,IF(D4176=0,H4176,Rho*I4175+SQRT(1-Rho^2)*H4176),"")</f>
        <v/>
      </c>
      <c r="J4176">
        <f>IF(B4176,IF(Dist="Normal",DistA+DistB*I4176,DistA+(DistB-DistA)*NORMSDIST(I4176)),"")</f>
        <v/>
      </c>
      <c r="K4176">
        <f>IF(B4176,INDEX(MineScale,C4176),"")</f>
        <v/>
      </c>
      <c r="L4176">
        <f>IF(B4176,INDEX(Dow,1,WEEKDAY(E4176,2)),"")</f>
        <v/>
      </c>
      <c r="M4176">
        <f>IF(B4176,(1+Trend)^D4176,"")</f>
        <v/>
      </c>
      <c r="N4176">
        <f>IF(B4176,EXP(SUMPRODUCT(LN(1+(EvEff-1)*INDEX(Affected,0,C4176)*EXP(-((E4176-EvCenter)^2)/(2*EvSigma^2))))),"")</f>
        <v/>
      </c>
      <c r="O4176">
        <f>IF(B4176,ROUND(MAX(0,J4176*K4176*L4176*M4176*N4176),2),"")</f>
        <v/>
      </c>
    </row>
    <row r="4177">
      <c r="A4177" t="n">
        <v>4176</v>
      </c>
      <c r="B4177">
        <f>A4177&lt;=MineCount*Days</f>
        <v/>
      </c>
      <c r="C4177">
        <f>IF(B4177,INT((A4177-1)/Days)+1,"")</f>
        <v/>
      </c>
      <c r="D4177">
        <f>IF(B4177,MOD(A4177-1,Days),"")</f>
        <v/>
      </c>
      <c r="E4177" s="16">
        <f>IF(B4177,StartDate+D4177,"")</f>
        <v/>
      </c>
      <c r="F4177">
        <f>IF(B4177,MAX(MOD(SIN(Seed*0.1373+C4177*12.9898+D4177*78.233)*43758.5453,1),1E-9),"")</f>
        <v/>
      </c>
      <c r="G4177">
        <f>IF(B4177,MOD(SIN(Seed*0.5917+C4177*39.3468+D4177*11.135)*24634.6345,1),"")</f>
        <v/>
      </c>
      <c r="H4177">
        <f>IF(B4177,SQRT(-2*LN(F4177))*COS(2*PI()*G4177),"")</f>
        <v/>
      </c>
      <c r="I4177">
        <f>IF(B4177,IF(D4177=0,H4177,Rho*I4176+SQRT(1-Rho^2)*H4177),"")</f>
        <v/>
      </c>
      <c r="J4177">
        <f>IF(B4177,IF(Dist="Normal",DistA+DistB*I4177,DistA+(DistB-DistA)*NORMSDIST(I4177)),"")</f>
        <v/>
      </c>
      <c r="K4177">
        <f>IF(B4177,INDEX(MineScale,C4177),"")</f>
        <v/>
      </c>
      <c r="L4177">
        <f>IF(B4177,INDEX(Dow,1,WEEKDAY(E4177,2)),"")</f>
        <v/>
      </c>
      <c r="M4177">
        <f>IF(B4177,(1+Trend)^D4177,"")</f>
        <v/>
      </c>
      <c r="N4177">
        <f>IF(B4177,EXP(SUMPRODUCT(LN(1+(EvEff-1)*INDEX(Affected,0,C4177)*EXP(-((E4177-EvCenter)^2)/(2*EvSigma^2))))),"")</f>
        <v/>
      </c>
      <c r="O4177">
        <f>IF(B4177,ROUND(MAX(0,J4177*K4177*L4177*M4177*N4177),2),"")</f>
        <v/>
      </c>
    </row>
    <row r="4178">
      <c r="A4178" t="n">
        <v>4177</v>
      </c>
      <c r="B4178">
        <f>A4178&lt;=MineCount*Days</f>
        <v/>
      </c>
      <c r="C4178">
        <f>IF(B4178,INT((A4178-1)/Days)+1,"")</f>
        <v/>
      </c>
      <c r="D4178">
        <f>IF(B4178,MOD(A4178-1,Days),"")</f>
        <v/>
      </c>
      <c r="E4178" s="16">
        <f>IF(B4178,StartDate+D4178,"")</f>
        <v/>
      </c>
      <c r="F4178">
        <f>IF(B4178,MAX(MOD(SIN(Seed*0.1373+C4178*12.9898+D4178*78.233)*43758.5453,1),1E-9),"")</f>
        <v/>
      </c>
      <c r="G4178">
        <f>IF(B4178,MOD(SIN(Seed*0.5917+C4178*39.3468+D4178*11.135)*24634.6345,1),"")</f>
        <v/>
      </c>
      <c r="H4178">
        <f>IF(B4178,SQRT(-2*LN(F4178))*COS(2*PI()*G4178),"")</f>
        <v/>
      </c>
      <c r="I4178">
        <f>IF(B4178,IF(D4178=0,H4178,Rho*I4177+SQRT(1-Rho^2)*H4178),"")</f>
        <v/>
      </c>
      <c r="J4178">
        <f>IF(B4178,IF(Dist="Normal",DistA+DistB*I4178,DistA+(DistB-DistA)*NORMSDIST(I4178)),"")</f>
        <v/>
      </c>
      <c r="K4178">
        <f>IF(B4178,INDEX(MineScale,C4178),"")</f>
        <v/>
      </c>
      <c r="L4178">
        <f>IF(B4178,INDEX(Dow,1,WEEKDAY(E4178,2)),"")</f>
        <v/>
      </c>
      <c r="M4178">
        <f>IF(B4178,(1+Trend)^D4178,"")</f>
        <v/>
      </c>
      <c r="N4178">
        <f>IF(B4178,EXP(SUMPRODUCT(LN(1+(EvEff-1)*INDEX(Affected,0,C4178)*EXP(-((E4178-EvCenter)^2)/(2*EvSigma^2))))),"")</f>
        <v/>
      </c>
      <c r="O4178">
        <f>IF(B4178,ROUND(MAX(0,J4178*K4178*L4178*M4178*N4178),2),"")</f>
        <v/>
      </c>
    </row>
    <row r="4179">
      <c r="A4179" t="n">
        <v>4178</v>
      </c>
      <c r="B4179">
        <f>A4179&lt;=MineCount*Days</f>
        <v/>
      </c>
      <c r="C4179">
        <f>IF(B4179,INT((A4179-1)/Days)+1,"")</f>
        <v/>
      </c>
      <c r="D4179">
        <f>IF(B4179,MOD(A4179-1,Days),"")</f>
        <v/>
      </c>
      <c r="E4179" s="16">
        <f>IF(B4179,StartDate+D4179,"")</f>
        <v/>
      </c>
      <c r="F4179">
        <f>IF(B4179,MAX(MOD(SIN(Seed*0.1373+C4179*12.9898+D4179*78.233)*43758.5453,1),1E-9),"")</f>
        <v/>
      </c>
      <c r="G4179">
        <f>IF(B4179,MOD(SIN(Seed*0.5917+C4179*39.3468+D4179*11.135)*24634.6345,1),"")</f>
        <v/>
      </c>
      <c r="H4179">
        <f>IF(B4179,SQRT(-2*LN(F4179))*COS(2*PI()*G4179),"")</f>
        <v/>
      </c>
      <c r="I4179">
        <f>IF(B4179,IF(D4179=0,H4179,Rho*I4178+SQRT(1-Rho^2)*H4179),"")</f>
        <v/>
      </c>
      <c r="J4179">
        <f>IF(B4179,IF(Dist="Normal",DistA+DistB*I4179,DistA+(DistB-DistA)*NORMSDIST(I4179)),"")</f>
        <v/>
      </c>
      <c r="K4179">
        <f>IF(B4179,INDEX(MineScale,C4179),"")</f>
        <v/>
      </c>
      <c r="L4179">
        <f>IF(B4179,INDEX(Dow,1,WEEKDAY(E4179,2)),"")</f>
        <v/>
      </c>
      <c r="M4179">
        <f>IF(B4179,(1+Trend)^D4179,"")</f>
        <v/>
      </c>
      <c r="N4179">
        <f>IF(B4179,EXP(SUMPRODUCT(LN(1+(EvEff-1)*INDEX(Affected,0,C4179)*EXP(-((E4179-EvCenter)^2)/(2*EvSigma^2))))),"")</f>
        <v/>
      </c>
      <c r="O4179">
        <f>IF(B4179,ROUND(MAX(0,J4179*K4179*L4179*M4179*N4179),2),"")</f>
        <v/>
      </c>
    </row>
    <row r="4180">
      <c r="A4180" t="n">
        <v>4179</v>
      </c>
      <c r="B4180">
        <f>A4180&lt;=MineCount*Days</f>
        <v/>
      </c>
      <c r="C4180">
        <f>IF(B4180,INT((A4180-1)/Days)+1,"")</f>
        <v/>
      </c>
      <c r="D4180">
        <f>IF(B4180,MOD(A4180-1,Days),"")</f>
        <v/>
      </c>
      <c r="E4180" s="16">
        <f>IF(B4180,StartDate+D4180,"")</f>
        <v/>
      </c>
      <c r="F4180">
        <f>IF(B4180,MAX(MOD(SIN(Seed*0.1373+C4180*12.9898+D4180*78.233)*43758.5453,1),1E-9),"")</f>
        <v/>
      </c>
      <c r="G4180">
        <f>IF(B4180,MOD(SIN(Seed*0.5917+C4180*39.3468+D4180*11.135)*24634.6345,1),"")</f>
        <v/>
      </c>
      <c r="H4180">
        <f>IF(B4180,SQRT(-2*LN(F4180))*COS(2*PI()*G4180),"")</f>
        <v/>
      </c>
      <c r="I4180">
        <f>IF(B4180,IF(D4180=0,H4180,Rho*I4179+SQRT(1-Rho^2)*H4180),"")</f>
        <v/>
      </c>
      <c r="J4180">
        <f>IF(B4180,IF(Dist="Normal",DistA+DistB*I4180,DistA+(DistB-DistA)*NORMSDIST(I4180)),"")</f>
        <v/>
      </c>
      <c r="K4180">
        <f>IF(B4180,INDEX(MineScale,C4180),"")</f>
        <v/>
      </c>
      <c r="L4180">
        <f>IF(B4180,INDEX(Dow,1,WEEKDAY(E4180,2)),"")</f>
        <v/>
      </c>
      <c r="M4180">
        <f>IF(B4180,(1+Trend)^D4180,"")</f>
        <v/>
      </c>
      <c r="N4180">
        <f>IF(B4180,EXP(SUMPRODUCT(LN(1+(EvEff-1)*INDEX(Affected,0,C4180)*EXP(-((E4180-EvCenter)^2)/(2*EvSigma^2))))),"")</f>
        <v/>
      </c>
      <c r="O4180">
        <f>IF(B4180,ROUND(MAX(0,J4180*K4180*L4180*M4180*N4180),2),"")</f>
        <v/>
      </c>
    </row>
    <row r="4181">
      <c r="A4181" t="n">
        <v>4180</v>
      </c>
      <c r="B4181">
        <f>A4181&lt;=MineCount*Days</f>
        <v/>
      </c>
      <c r="C4181">
        <f>IF(B4181,INT((A4181-1)/Days)+1,"")</f>
        <v/>
      </c>
      <c r="D4181">
        <f>IF(B4181,MOD(A4181-1,Days),"")</f>
        <v/>
      </c>
      <c r="E4181" s="16">
        <f>IF(B4181,StartDate+D4181,"")</f>
        <v/>
      </c>
      <c r="F4181">
        <f>IF(B4181,MAX(MOD(SIN(Seed*0.1373+C4181*12.9898+D4181*78.233)*43758.5453,1),1E-9),"")</f>
        <v/>
      </c>
      <c r="G4181">
        <f>IF(B4181,MOD(SIN(Seed*0.5917+C4181*39.3468+D4181*11.135)*24634.6345,1),"")</f>
        <v/>
      </c>
      <c r="H4181">
        <f>IF(B4181,SQRT(-2*LN(F4181))*COS(2*PI()*G4181),"")</f>
        <v/>
      </c>
      <c r="I4181">
        <f>IF(B4181,IF(D4181=0,H4181,Rho*I4180+SQRT(1-Rho^2)*H4181),"")</f>
        <v/>
      </c>
      <c r="J4181">
        <f>IF(B4181,IF(Dist="Normal",DistA+DistB*I4181,DistA+(DistB-DistA)*NORMSDIST(I4181)),"")</f>
        <v/>
      </c>
      <c r="K4181">
        <f>IF(B4181,INDEX(MineScale,C4181),"")</f>
        <v/>
      </c>
      <c r="L4181">
        <f>IF(B4181,INDEX(Dow,1,WEEKDAY(E4181,2)),"")</f>
        <v/>
      </c>
      <c r="M4181">
        <f>IF(B4181,(1+Trend)^D4181,"")</f>
        <v/>
      </c>
      <c r="N4181">
        <f>IF(B4181,EXP(SUMPRODUCT(LN(1+(EvEff-1)*INDEX(Affected,0,C4181)*EXP(-((E4181-EvCenter)^2)/(2*EvSigma^2))))),"")</f>
        <v/>
      </c>
      <c r="O4181">
        <f>IF(B4181,ROUND(MAX(0,J4181*K4181*L4181*M4181*N4181),2),"")</f>
        <v/>
      </c>
    </row>
    <row r="4182">
      <c r="A4182" t="n">
        <v>4181</v>
      </c>
      <c r="B4182">
        <f>A4182&lt;=MineCount*Days</f>
        <v/>
      </c>
      <c r="C4182">
        <f>IF(B4182,INT((A4182-1)/Days)+1,"")</f>
        <v/>
      </c>
      <c r="D4182">
        <f>IF(B4182,MOD(A4182-1,Days),"")</f>
        <v/>
      </c>
      <c r="E4182" s="16">
        <f>IF(B4182,StartDate+D4182,"")</f>
        <v/>
      </c>
      <c r="F4182">
        <f>IF(B4182,MAX(MOD(SIN(Seed*0.1373+C4182*12.9898+D4182*78.233)*43758.5453,1),1E-9),"")</f>
        <v/>
      </c>
      <c r="G4182">
        <f>IF(B4182,MOD(SIN(Seed*0.5917+C4182*39.3468+D4182*11.135)*24634.6345,1),"")</f>
        <v/>
      </c>
      <c r="H4182">
        <f>IF(B4182,SQRT(-2*LN(F4182))*COS(2*PI()*G4182),"")</f>
        <v/>
      </c>
      <c r="I4182">
        <f>IF(B4182,IF(D4182=0,H4182,Rho*I4181+SQRT(1-Rho^2)*H4182),"")</f>
        <v/>
      </c>
      <c r="J4182">
        <f>IF(B4182,IF(Dist="Normal",DistA+DistB*I4182,DistA+(DistB-DistA)*NORMSDIST(I4182)),"")</f>
        <v/>
      </c>
      <c r="K4182">
        <f>IF(B4182,INDEX(MineScale,C4182),"")</f>
        <v/>
      </c>
      <c r="L4182">
        <f>IF(B4182,INDEX(Dow,1,WEEKDAY(E4182,2)),"")</f>
        <v/>
      </c>
      <c r="M4182">
        <f>IF(B4182,(1+Trend)^D4182,"")</f>
        <v/>
      </c>
      <c r="N4182">
        <f>IF(B4182,EXP(SUMPRODUCT(LN(1+(EvEff-1)*INDEX(Affected,0,C4182)*EXP(-((E4182-EvCenter)^2)/(2*EvSigma^2))))),"")</f>
        <v/>
      </c>
      <c r="O4182">
        <f>IF(B4182,ROUND(MAX(0,J4182*K4182*L4182*M4182*N4182),2),"")</f>
        <v/>
      </c>
    </row>
    <row r="4183">
      <c r="A4183" t="n">
        <v>4182</v>
      </c>
      <c r="B4183">
        <f>A4183&lt;=MineCount*Days</f>
        <v/>
      </c>
      <c r="C4183">
        <f>IF(B4183,INT((A4183-1)/Days)+1,"")</f>
        <v/>
      </c>
      <c r="D4183">
        <f>IF(B4183,MOD(A4183-1,Days),"")</f>
        <v/>
      </c>
      <c r="E4183" s="16">
        <f>IF(B4183,StartDate+D4183,"")</f>
        <v/>
      </c>
      <c r="F4183">
        <f>IF(B4183,MAX(MOD(SIN(Seed*0.1373+C4183*12.9898+D4183*78.233)*43758.5453,1),1E-9),"")</f>
        <v/>
      </c>
      <c r="G4183">
        <f>IF(B4183,MOD(SIN(Seed*0.5917+C4183*39.3468+D4183*11.135)*24634.6345,1),"")</f>
        <v/>
      </c>
      <c r="H4183">
        <f>IF(B4183,SQRT(-2*LN(F4183))*COS(2*PI()*G4183),"")</f>
        <v/>
      </c>
      <c r="I4183">
        <f>IF(B4183,IF(D4183=0,H4183,Rho*I4182+SQRT(1-Rho^2)*H4183),"")</f>
        <v/>
      </c>
      <c r="J4183">
        <f>IF(B4183,IF(Dist="Normal",DistA+DistB*I4183,DistA+(DistB-DistA)*NORMSDIST(I4183)),"")</f>
        <v/>
      </c>
      <c r="K4183">
        <f>IF(B4183,INDEX(MineScale,C4183),"")</f>
        <v/>
      </c>
      <c r="L4183">
        <f>IF(B4183,INDEX(Dow,1,WEEKDAY(E4183,2)),"")</f>
        <v/>
      </c>
      <c r="M4183">
        <f>IF(B4183,(1+Trend)^D4183,"")</f>
        <v/>
      </c>
      <c r="N4183">
        <f>IF(B4183,EXP(SUMPRODUCT(LN(1+(EvEff-1)*INDEX(Affected,0,C4183)*EXP(-((E4183-EvCenter)^2)/(2*EvSigma^2))))),"")</f>
        <v/>
      </c>
      <c r="O4183">
        <f>IF(B4183,ROUND(MAX(0,J4183*K4183*L4183*M4183*N4183),2),"")</f>
        <v/>
      </c>
    </row>
    <row r="4184">
      <c r="A4184" t="n">
        <v>4183</v>
      </c>
      <c r="B4184">
        <f>A4184&lt;=MineCount*Days</f>
        <v/>
      </c>
      <c r="C4184">
        <f>IF(B4184,INT((A4184-1)/Days)+1,"")</f>
        <v/>
      </c>
      <c r="D4184">
        <f>IF(B4184,MOD(A4184-1,Days),"")</f>
        <v/>
      </c>
      <c r="E4184" s="16">
        <f>IF(B4184,StartDate+D4184,"")</f>
        <v/>
      </c>
      <c r="F4184">
        <f>IF(B4184,MAX(MOD(SIN(Seed*0.1373+C4184*12.9898+D4184*78.233)*43758.5453,1),1E-9),"")</f>
        <v/>
      </c>
      <c r="G4184">
        <f>IF(B4184,MOD(SIN(Seed*0.5917+C4184*39.3468+D4184*11.135)*24634.6345,1),"")</f>
        <v/>
      </c>
      <c r="H4184">
        <f>IF(B4184,SQRT(-2*LN(F4184))*COS(2*PI()*G4184),"")</f>
        <v/>
      </c>
      <c r="I4184">
        <f>IF(B4184,IF(D4184=0,H4184,Rho*I4183+SQRT(1-Rho^2)*H4184),"")</f>
        <v/>
      </c>
      <c r="J4184">
        <f>IF(B4184,IF(Dist="Normal",DistA+DistB*I4184,DistA+(DistB-DistA)*NORMSDIST(I4184)),"")</f>
        <v/>
      </c>
      <c r="K4184">
        <f>IF(B4184,INDEX(MineScale,C4184),"")</f>
        <v/>
      </c>
      <c r="L4184">
        <f>IF(B4184,INDEX(Dow,1,WEEKDAY(E4184,2)),"")</f>
        <v/>
      </c>
      <c r="M4184">
        <f>IF(B4184,(1+Trend)^D4184,"")</f>
        <v/>
      </c>
      <c r="N4184">
        <f>IF(B4184,EXP(SUMPRODUCT(LN(1+(EvEff-1)*INDEX(Affected,0,C4184)*EXP(-((E4184-EvCenter)^2)/(2*EvSigma^2))))),"")</f>
        <v/>
      </c>
      <c r="O4184">
        <f>IF(B4184,ROUND(MAX(0,J4184*K4184*L4184*M4184*N4184),2),"")</f>
        <v/>
      </c>
    </row>
    <row r="4185">
      <c r="A4185" t="n">
        <v>4184</v>
      </c>
      <c r="B4185">
        <f>A4185&lt;=MineCount*Days</f>
        <v/>
      </c>
      <c r="C4185">
        <f>IF(B4185,INT((A4185-1)/Days)+1,"")</f>
        <v/>
      </c>
      <c r="D4185">
        <f>IF(B4185,MOD(A4185-1,Days),"")</f>
        <v/>
      </c>
      <c r="E4185" s="16">
        <f>IF(B4185,StartDate+D4185,"")</f>
        <v/>
      </c>
      <c r="F4185">
        <f>IF(B4185,MAX(MOD(SIN(Seed*0.1373+C4185*12.9898+D4185*78.233)*43758.5453,1),1E-9),"")</f>
        <v/>
      </c>
      <c r="G4185">
        <f>IF(B4185,MOD(SIN(Seed*0.5917+C4185*39.3468+D4185*11.135)*24634.6345,1),"")</f>
        <v/>
      </c>
      <c r="H4185">
        <f>IF(B4185,SQRT(-2*LN(F4185))*COS(2*PI()*G4185),"")</f>
        <v/>
      </c>
      <c r="I4185">
        <f>IF(B4185,IF(D4185=0,H4185,Rho*I4184+SQRT(1-Rho^2)*H4185),"")</f>
        <v/>
      </c>
      <c r="J4185">
        <f>IF(B4185,IF(Dist="Normal",DistA+DistB*I4185,DistA+(DistB-DistA)*NORMSDIST(I4185)),"")</f>
        <v/>
      </c>
      <c r="K4185">
        <f>IF(B4185,INDEX(MineScale,C4185),"")</f>
        <v/>
      </c>
      <c r="L4185">
        <f>IF(B4185,INDEX(Dow,1,WEEKDAY(E4185,2)),"")</f>
        <v/>
      </c>
      <c r="M4185">
        <f>IF(B4185,(1+Trend)^D4185,"")</f>
        <v/>
      </c>
      <c r="N4185">
        <f>IF(B4185,EXP(SUMPRODUCT(LN(1+(EvEff-1)*INDEX(Affected,0,C4185)*EXP(-((E4185-EvCenter)^2)/(2*EvSigma^2))))),"")</f>
        <v/>
      </c>
      <c r="O4185">
        <f>IF(B4185,ROUND(MAX(0,J4185*K4185*L4185*M4185*N4185),2),"")</f>
        <v/>
      </c>
    </row>
    <row r="4186">
      <c r="A4186" t="n">
        <v>4185</v>
      </c>
      <c r="B4186">
        <f>A4186&lt;=MineCount*Days</f>
        <v/>
      </c>
      <c r="C4186">
        <f>IF(B4186,INT((A4186-1)/Days)+1,"")</f>
        <v/>
      </c>
      <c r="D4186">
        <f>IF(B4186,MOD(A4186-1,Days),"")</f>
        <v/>
      </c>
      <c r="E4186" s="16">
        <f>IF(B4186,StartDate+D4186,"")</f>
        <v/>
      </c>
      <c r="F4186">
        <f>IF(B4186,MAX(MOD(SIN(Seed*0.1373+C4186*12.9898+D4186*78.233)*43758.5453,1),1E-9),"")</f>
        <v/>
      </c>
      <c r="G4186">
        <f>IF(B4186,MOD(SIN(Seed*0.5917+C4186*39.3468+D4186*11.135)*24634.6345,1),"")</f>
        <v/>
      </c>
      <c r="H4186">
        <f>IF(B4186,SQRT(-2*LN(F4186))*COS(2*PI()*G4186),"")</f>
        <v/>
      </c>
      <c r="I4186">
        <f>IF(B4186,IF(D4186=0,H4186,Rho*I4185+SQRT(1-Rho^2)*H4186),"")</f>
        <v/>
      </c>
      <c r="J4186">
        <f>IF(B4186,IF(Dist="Normal",DistA+DistB*I4186,DistA+(DistB-DistA)*NORMSDIST(I4186)),"")</f>
        <v/>
      </c>
      <c r="K4186">
        <f>IF(B4186,INDEX(MineScale,C4186),"")</f>
        <v/>
      </c>
      <c r="L4186">
        <f>IF(B4186,INDEX(Dow,1,WEEKDAY(E4186,2)),"")</f>
        <v/>
      </c>
      <c r="M4186">
        <f>IF(B4186,(1+Trend)^D4186,"")</f>
        <v/>
      </c>
      <c r="N4186">
        <f>IF(B4186,EXP(SUMPRODUCT(LN(1+(EvEff-1)*INDEX(Affected,0,C4186)*EXP(-((E4186-EvCenter)^2)/(2*EvSigma^2))))),"")</f>
        <v/>
      </c>
      <c r="O4186">
        <f>IF(B4186,ROUND(MAX(0,J4186*K4186*L4186*M4186*N4186),2),"")</f>
        <v/>
      </c>
    </row>
    <row r="4187">
      <c r="A4187" t="n">
        <v>4186</v>
      </c>
      <c r="B4187">
        <f>A4187&lt;=MineCount*Days</f>
        <v/>
      </c>
      <c r="C4187">
        <f>IF(B4187,INT((A4187-1)/Days)+1,"")</f>
        <v/>
      </c>
      <c r="D4187">
        <f>IF(B4187,MOD(A4187-1,Days),"")</f>
        <v/>
      </c>
      <c r="E4187" s="16">
        <f>IF(B4187,StartDate+D4187,"")</f>
        <v/>
      </c>
      <c r="F4187">
        <f>IF(B4187,MAX(MOD(SIN(Seed*0.1373+C4187*12.9898+D4187*78.233)*43758.5453,1),1E-9),"")</f>
        <v/>
      </c>
      <c r="G4187">
        <f>IF(B4187,MOD(SIN(Seed*0.5917+C4187*39.3468+D4187*11.135)*24634.6345,1),"")</f>
        <v/>
      </c>
      <c r="H4187">
        <f>IF(B4187,SQRT(-2*LN(F4187))*COS(2*PI()*G4187),"")</f>
        <v/>
      </c>
      <c r="I4187">
        <f>IF(B4187,IF(D4187=0,H4187,Rho*I4186+SQRT(1-Rho^2)*H4187),"")</f>
        <v/>
      </c>
      <c r="J4187">
        <f>IF(B4187,IF(Dist="Normal",DistA+DistB*I4187,DistA+(DistB-DistA)*NORMSDIST(I4187)),"")</f>
        <v/>
      </c>
      <c r="K4187">
        <f>IF(B4187,INDEX(MineScale,C4187),"")</f>
        <v/>
      </c>
      <c r="L4187">
        <f>IF(B4187,INDEX(Dow,1,WEEKDAY(E4187,2)),"")</f>
        <v/>
      </c>
      <c r="M4187">
        <f>IF(B4187,(1+Trend)^D4187,"")</f>
        <v/>
      </c>
      <c r="N4187">
        <f>IF(B4187,EXP(SUMPRODUCT(LN(1+(EvEff-1)*INDEX(Affected,0,C4187)*EXP(-((E4187-EvCenter)^2)/(2*EvSigma^2))))),"")</f>
        <v/>
      </c>
      <c r="O4187">
        <f>IF(B4187,ROUND(MAX(0,J4187*K4187*L4187*M4187*N4187),2),"")</f>
        <v/>
      </c>
    </row>
    <row r="4188">
      <c r="A4188" t="n">
        <v>4187</v>
      </c>
      <c r="B4188">
        <f>A4188&lt;=MineCount*Days</f>
        <v/>
      </c>
      <c r="C4188">
        <f>IF(B4188,INT((A4188-1)/Days)+1,"")</f>
        <v/>
      </c>
      <c r="D4188">
        <f>IF(B4188,MOD(A4188-1,Days),"")</f>
        <v/>
      </c>
      <c r="E4188" s="16">
        <f>IF(B4188,StartDate+D4188,"")</f>
        <v/>
      </c>
      <c r="F4188">
        <f>IF(B4188,MAX(MOD(SIN(Seed*0.1373+C4188*12.9898+D4188*78.233)*43758.5453,1),1E-9),"")</f>
        <v/>
      </c>
      <c r="G4188">
        <f>IF(B4188,MOD(SIN(Seed*0.5917+C4188*39.3468+D4188*11.135)*24634.6345,1),"")</f>
        <v/>
      </c>
      <c r="H4188">
        <f>IF(B4188,SQRT(-2*LN(F4188))*COS(2*PI()*G4188),"")</f>
        <v/>
      </c>
      <c r="I4188">
        <f>IF(B4188,IF(D4188=0,H4188,Rho*I4187+SQRT(1-Rho^2)*H4188),"")</f>
        <v/>
      </c>
      <c r="J4188">
        <f>IF(B4188,IF(Dist="Normal",DistA+DistB*I4188,DistA+(DistB-DistA)*NORMSDIST(I4188)),"")</f>
        <v/>
      </c>
      <c r="K4188">
        <f>IF(B4188,INDEX(MineScale,C4188),"")</f>
        <v/>
      </c>
      <c r="L4188">
        <f>IF(B4188,INDEX(Dow,1,WEEKDAY(E4188,2)),"")</f>
        <v/>
      </c>
      <c r="M4188">
        <f>IF(B4188,(1+Trend)^D4188,"")</f>
        <v/>
      </c>
      <c r="N4188">
        <f>IF(B4188,EXP(SUMPRODUCT(LN(1+(EvEff-1)*INDEX(Affected,0,C4188)*EXP(-((E4188-EvCenter)^2)/(2*EvSigma^2))))),"")</f>
        <v/>
      </c>
      <c r="O4188">
        <f>IF(B4188,ROUND(MAX(0,J4188*K4188*L4188*M4188*N4188),2),"")</f>
        <v/>
      </c>
    </row>
    <row r="4189">
      <c r="A4189" t="n">
        <v>4188</v>
      </c>
      <c r="B4189">
        <f>A4189&lt;=MineCount*Days</f>
        <v/>
      </c>
      <c r="C4189">
        <f>IF(B4189,INT((A4189-1)/Days)+1,"")</f>
        <v/>
      </c>
      <c r="D4189">
        <f>IF(B4189,MOD(A4189-1,Days),"")</f>
        <v/>
      </c>
      <c r="E4189" s="16">
        <f>IF(B4189,StartDate+D4189,"")</f>
        <v/>
      </c>
      <c r="F4189">
        <f>IF(B4189,MAX(MOD(SIN(Seed*0.1373+C4189*12.9898+D4189*78.233)*43758.5453,1),1E-9),"")</f>
        <v/>
      </c>
      <c r="G4189">
        <f>IF(B4189,MOD(SIN(Seed*0.5917+C4189*39.3468+D4189*11.135)*24634.6345,1),"")</f>
        <v/>
      </c>
      <c r="H4189">
        <f>IF(B4189,SQRT(-2*LN(F4189))*COS(2*PI()*G4189),"")</f>
        <v/>
      </c>
      <c r="I4189">
        <f>IF(B4189,IF(D4189=0,H4189,Rho*I4188+SQRT(1-Rho^2)*H4189),"")</f>
        <v/>
      </c>
      <c r="J4189">
        <f>IF(B4189,IF(Dist="Normal",DistA+DistB*I4189,DistA+(DistB-DistA)*NORMSDIST(I4189)),"")</f>
        <v/>
      </c>
      <c r="K4189">
        <f>IF(B4189,INDEX(MineScale,C4189),"")</f>
        <v/>
      </c>
      <c r="L4189">
        <f>IF(B4189,INDEX(Dow,1,WEEKDAY(E4189,2)),"")</f>
        <v/>
      </c>
      <c r="M4189">
        <f>IF(B4189,(1+Trend)^D4189,"")</f>
        <v/>
      </c>
      <c r="N4189">
        <f>IF(B4189,EXP(SUMPRODUCT(LN(1+(EvEff-1)*INDEX(Affected,0,C4189)*EXP(-((E4189-EvCenter)^2)/(2*EvSigma^2))))),"")</f>
        <v/>
      </c>
      <c r="O4189">
        <f>IF(B4189,ROUND(MAX(0,J4189*K4189*L4189*M4189*N4189),2),"")</f>
        <v/>
      </c>
    </row>
    <row r="4190">
      <c r="A4190" t="n">
        <v>4189</v>
      </c>
      <c r="B4190">
        <f>A4190&lt;=MineCount*Days</f>
        <v/>
      </c>
      <c r="C4190">
        <f>IF(B4190,INT((A4190-1)/Days)+1,"")</f>
        <v/>
      </c>
      <c r="D4190">
        <f>IF(B4190,MOD(A4190-1,Days),"")</f>
        <v/>
      </c>
      <c r="E4190" s="16">
        <f>IF(B4190,StartDate+D4190,"")</f>
        <v/>
      </c>
      <c r="F4190">
        <f>IF(B4190,MAX(MOD(SIN(Seed*0.1373+C4190*12.9898+D4190*78.233)*43758.5453,1),1E-9),"")</f>
        <v/>
      </c>
      <c r="G4190">
        <f>IF(B4190,MOD(SIN(Seed*0.5917+C4190*39.3468+D4190*11.135)*24634.6345,1),"")</f>
        <v/>
      </c>
      <c r="H4190">
        <f>IF(B4190,SQRT(-2*LN(F4190))*COS(2*PI()*G4190),"")</f>
        <v/>
      </c>
      <c r="I4190">
        <f>IF(B4190,IF(D4190=0,H4190,Rho*I4189+SQRT(1-Rho^2)*H4190),"")</f>
        <v/>
      </c>
      <c r="J4190">
        <f>IF(B4190,IF(Dist="Normal",DistA+DistB*I4190,DistA+(DistB-DistA)*NORMSDIST(I4190)),"")</f>
        <v/>
      </c>
      <c r="K4190">
        <f>IF(B4190,INDEX(MineScale,C4190),"")</f>
        <v/>
      </c>
      <c r="L4190">
        <f>IF(B4190,INDEX(Dow,1,WEEKDAY(E4190,2)),"")</f>
        <v/>
      </c>
      <c r="M4190">
        <f>IF(B4190,(1+Trend)^D4190,"")</f>
        <v/>
      </c>
      <c r="N4190">
        <f>IF(B4190,EXP(SUMPRODUCT(LN(1+(EvEff-1)*INDEX(Affected,0,C4190)*EXP(-((E4190-EvCenter)^2)/(2*EvSigma^2))))),"")</f>
        <v/>
      </c>
      <c r="O4190">
        <f>IF(B4190,ROUND(MAX(0,J4190*K4190*L4190*M4190*N4190),2),"")</f>
        <v/>
      </c>
    </row>
    <row r="4191">
      <c r="A4191" t="n">
        <v>4190</v>
      </c>
      <c r="B4191">
        <f>A4191&lt;=MineCount*Days</f>
        <v/>
      </c>
      <c r="C4191">
        <f>IF(B4191,INT((A4191-1)/Days)+1,"")</f>
        <v/>
      </c>
      <c r="D4191">
        <f>IF(B4191,MOD(A4191-1,Days),"")</f>
        <v/>
      </c>
      <c r="E4191" s="16">
        <f>IF(B4191,StartDate+D4191,"")</f>
        <v/>
      </c>
      <c r="F4191">
        <f>IF(B4191,MAX(MOD(SIN(Seed*0.1373+C4191*12.9898+D4191*78.233)*43758.5453,1),1E-9),"")</f>
        <v/>
      </c>
      <c r="G4191">
        <f>IF(B4191,MOD(SIN(Seed*0.5917+C4191*39.3468+D4191*11.135)*24634.6345,1),"")</f>
        <v/>
      </c>
      <c r="H4191">
        <f>IF(B4191,SQRT(-2*LN(F4191))*COS(2*PI()*G4191),"")</f>
        <v/>
      </c>
      <c r="I4191">
        <f>IF(B4191,IF(D4191=0,H4191,Rho*I4190+SQRT(1-Rho^2)*H4191),"")</f>
        <v/>
      </c>
      <c r="J4191">
        <f>IF(B4191,IF(Dist="Normal",DistA+DistB*I4191,DistA+(DistB-DistA)*NORMSDIST(I4191)),"")</f>
        <v/>
      </c>
      <c r="K4191">
        <f>IF(B4191,INDEX(MineScale,C4191),"")</f>
        <v/>
      </c>
      <c r="L4191">
        <f>IF(B4191,INDEX(Dow,1,WEEKDAY(E4191,2)),"")</f>
        <v/>
      </c>
      <c r="M4191">
        <f>IF(B4191,(1+Trend)^D4191,"")</f>
        <v/>
      </c>
      <c r="N4191">
        <f>IF(B4191,EXP(SUMPRODUCT(LN(1+(EvEff-1)*INDEX(Affected,0,C4191)*EXP(-((E4191-EvCenter)^2)/(2*EvSigma^2))))),"")</f>
        <v/>
      </c>
      <c r="O4191">
        <f>IF(B4191,ROUND(MAX(0,J4191*K4191*L4191*M4191*N4191),2),"")</f>
        <v/>
      </c>
    </row>
    <row r="4192">
      <c r="A4192" t="n">
        <v>4191</v>
      </c>
      <c r="B4192">
        <f>A4192&lt;=MineCount*Days</f>
        <v/>
      </c>
      <c r="C4192">
        <f>IF(B4192,INT((A4192-1)/Days)+1,"")</f>
        <v/>
      </c>
      <c r="D4192">
        <f>IF(B4192,MOD(A4192-1,Days),"")</f>
        <v/>
      </c>
      <c r="E4192" s="16">
        <f>IF(B4192,StartDate+D4192,"")</f>
        <v/>
      </c>
      <c r="F4192">
        <f>IF(B4192,MAX(MOD(SIN(Seed*0.1373+C4192*12.9898+D4192*78.233)*43758.5453,1),1E-9),"")</f>
        <v/>
      </c>
      <c r="G4192">
        <f>IF(B4192,MOD(SIN(Seed*0.5917+C4192*39.3468+D4192*11.135)*24634.6345,1),"")</f>
        <v/>
      </c>
      <c r="H4192">
        <f>IF(B4192,SQRT(-2*LN(F4192))*COS(2*PI()*G4192),"")</f>
        <v/>
      </c>
      <c r="I4192">
        <f>IF(B4192,IF(D4192=0,H4192,Rho*I4191+SQRT(1-Rho^2)*H4192),"")</f>
        <v/>
      </c>
      <c r="J4192">
        <f>IF(B4192,IF(Dist="Normal",DistA+DistB*I4192,DistA+(DistB-DistA)*NORMSDIST(I4192)),"")</f>
        <v/>
      </c>
      <c r="K4192">
        <f>IF(B4192,INDEX(MineScale,C4192),"")</f>
        <v/>
      </c>
      <c r="L4192">
        <f>IF(B4192,INDEX(Dow,1,WEEKDAY(E4192,2)),"")</f>
        <v/>
      </c>
      <c r="M4192">
        <f>IF(B4192,(1+Trend)^D4192,"")</f>
        <v/>
      </c>
      <c r="N4192">
        <f>IF(B4192,EXP(SUMPRODUCT(LN(1+(EvEff-1)*INDEX(Affected,0,C4192)*EXP(-((E4192-EvCenter)^2)/(2*EvSigma^2))))),"")</f>
        <v/>
      </c>
      <c r="O4192">
        <f>IF(B4192,ROUND(MAX(0,J4192*K4192*L4192*M4192*N4192),2),"")</f>
        <v/>
      </c>
    </row>
    <row r="4193">
      <c r="A4193" t="n">
        <v>4192</v>
      </c>
      <c r="B4193">
        <f>A4193&lt;=MineCount*Days</f>
        <v/>
      </c>
      <c r="C4193">
        <f>IF(B4193,INT((A4193-1)/Days)+1,"")</f>
        <v/>
      </c>
      <c r="D4193">
        <f>IF(B4193,MOD(A4193-1,Days),"")</f>
        <v/>
      </c>
      <c r="E4193" s="16">
        <f>IF(B4193,StartDate+D4193,"")</f>
        <v/>
      </c>
      <c r="F4193">
        <f>IF(B4193,MAX(MOD(SIN(Seed*0.1373+C4193*12.9898+D4193*78.233)*43758.5453,1),1E-9),"")</f>
        <v/>
      </c>
      <c r="G4193">
        <f>IF(B4193,MOD(SIN(Seed*0.5917+C4193*39.3468+D4193*11.135)*24634.6345,1),"")</f>
        <v/>
      </c>
      <c r="H4193">
        <f>IF(B4193,SQRT(-2*LN(F4193))*COS(2*PI()*G4193),"")</f>
        <v/>
      </c>
      <c r="I4193">
        <f>IF(B4193,IF(D4193=0,H4193,Rho*I4192+SQRT(1-Rho^2)*H4193),"")</f>
        <v/>
      </c>
      <c r="J4193">
        <f>IF(B4193,IF(Dist="Normal",DistA+DistB*I4193,DistA+(DistB-DistA)*NORMSDIST(I4193)),"")</f>
        <v/>
      </c>
      <c r="K4193">
        <f>IF(B4193,INDEX(MineScale,C4193),"")</f>
        <v/>
      </c>
      <c r="L4193">
        <f>IF(B4193,INDEX(Dow,1,WEEKDAY(E4193,2)),"")</f>
        <v/>
      </c>
      <c r="M4193">
        <f>IF(B4193,(1+Trend)^D4193,"")</f>
        <v/>
      </c>
      <c r="N4193">
        <f>IF(B4193,EXP(SUMPRODUCT(LN(1+(EvEff-1)*INDEX(Affected,0,C4193)*EXP(-((E4193-EvCenter)^2)/(2*EvSigma^2))))),"")</f>
        <v/>
      </c>
      <c r="O4193">
        <f>IF(B4193,ROUND(MAX(0,J4193*K4193*L4193*M4193*N4193),2),"")</f>
        <v/>
      </c>
    </row>
    <row r="4194">
      <c r="A4194" t="n">
        <v>4193</v>
      </c>
      <c r="B4194">
        <f>A4194&lt;=MineCount*Days</f>
        <v/>
      </c>
      <c r="C4194">
        <f>IF(B4194,INT((A4194-1)/Days)+1,"")</f>
        <v/>
      </c>
      <c r="D4194">
        <f>IF(B4194,MOD(A4194-1,Days),"")</f>
        <v/>
      </c>
      <c r="E4194" s="16">
        <f>IF(B4194,StartDate+D4194,"")</f>
        <v/>
      </c>
      <c r="F4194">
        <f>IF(B4194,MAX(MOD(SIN(Seed*0.1373+C4194*12.9898+D4194*78.233)*43758.5453,1),1E-9),"")</f>
        <v/>
      </c>
      <c r="G4194">
        <f>IF(B4194,MOD(SIN(Seed*0.5917+C4194*39.3468+D4194*11.135)*24634.6345,1),"")</f>
        <v/>
      </c>
      <c r="H4194">
        <f>IF(B4194,SQRT(-2*LN(F4194))*COS(2*PI()*G4194),"")</f>
        <v/>
      </c>
      <c r="I4194">
        <f>IF(B4194,IF(D4194=0,H4194,Rho*I4193+SQRT(1-Rho^2)*H4194),"")</f>
        <v/>
      </c>
      <c r="J4194">
        <f>IF(B4194,IF(Dist="Normal",DistA+DistB*I4194,DistA+(DistB-DistA)*NORMSDIST(I4194)),"")</f>
        <v/>
      </c>
      <c r="K4194">
        <f>IF(B4194,INDEX(MineScale,C4194),"")</f>
        <v/>
      </c>
      <c r="L4194">
        <f>IF(B4194,INDEX(Dow,1,WEEKDAY(E4194,2)),"")</f>
        <v/>
      </c>
      <c r="M4194">
        <f>IF(B4194,(1+Trend)^D4194,"")</f>
        <v/>
      </c>
      <c r="N4194">
        <f>IF(B4194,EXP(SUMPRODUCT(LN(1+(EvEff-1)*INDEX(Affected,0,C4194)*EXP(-((E4194-EvCenter)^2)/(2*EvSigma^2))))),"")</f>
        <v/>
      </c>
      <c r="O4194">
        <f>IF(B4194,ROUND(MAX(0,J4194*K4194*L4194*M4194*N4194),2),"")</f>
        <v/>
      </c>
    </row>
    <row r="4195">
      <c r="A4195" t="n">
        <v>4194</v>
      </c>
      <c r="B4195">
        <f>A4195&lt;=MineCount*Days</f>
        <v/>
      </c>
      <c r="C4195">
        <f>IF(B4195,INT((A4195-1)/Days)+1,"")</f>
        <v/>
      </c>
      <c r="D4195">
        <f>IF(B4195,MOD(A4195-1,Days),"")</f>
        <v/>
      </c>
      <c r="E4195" s="16">
        <f>IF(B4195,StartDate+D4195,"")</f>
        <v/>
      </c>
      <c r="F4195">
        <f>IF(B4195,MAX(MOD(SIN(Seed*0.1373+C4195*12.9898+D4195*78.233)*43758.5453,1),1E-9),"")</f>
        <v/>
      </c>
      <c r="G4195">
        <f>IF(B4195,MOD(SIN(Seed*0.5917+C4195*39.3468+D4195*11.135)*24634.6345,1),"")</f>
        <v/>
      </c>
      <c r="H4195">
        <f>IF(B4195,SQRT(-2*LN(F4195))*COS(2*PI()*G4195),"")</f>
        <v/>
      </c>
      <c r="I4195">
        <f>IF(B4195,IF(D4195=0,H4195,Rho*I4194+SQRT(1-Rho^2)*H4195),"")</f>
        <v/>
      </c>
      <c r="J4195">
        <f>IF(B4195,IF(Dist="Normal",DistA+DistB*I4195,DistA+(DistB-DistA)*NORMSDIST(I4195)),"")</f>
        <v/>
      </c>
      <c r="K4195">
        <f>IF(B4195,INDEX(MineScale,C4195),"")</f>
        <v/>
      </c>
      <c r="L4195">
        <f>IF(B4195,INDEX(Dow,1,WEEKDAY(E4195,2)),"")</f>
        <v/>
      </c>
      <c r="M4195">
        <f>IF(B4195,(1+Trend)^D4195,"")</f>
        <v/>
      </c>
      <c r="N4195">
        <f>IF(B4195,EXP(SUMPRODUCT(LN(1+(EvEff-1)*INDEX(Affected,0,C4195)*EXP(-((E4195-EvCenter)^2)/(2*EvSigma^2))))),"")</f>
        <v/>
      </c>
      <c r="O4195">
        <f>IF(B4195,ROUND(MAX(0,J4195*K4195*L4195*M4195*N4195),2),"")</f>
        <v/>
      </c>
    </row>
    <row r="4196">
      <c r="A4196" t="n">
        <v>4195</v>
      </c>
      <c r="B4196">
        <f>A4196&lt;=MineCount*Days</f>
        <v/>
      </c>
      <c r="C4196">
        <f>IF(B4196,INT((A4196-1)/Days)+1,"")</f>
        <v/>
      </c>
      <c r="D4196">
        <f>IF(B4196,MOD(A4196-1,Days),"")</f>
        <v/>
      </c>
      <c r="E4196" s="16">
        <f>IF(B4196,StartDate+D4196,"")</f>
        <v/>
      </c>
      <c r="F4196">
        <f>IF(B4196,MAX(MOD(SIN(Seed*0.1373+C4196*12.9898+D4196*78.233)*43758.5453,1),1E-9),"")</f>
        <v/>
      </c>
      <c r="G4196">
        <f>IF(B4196,MOD(SIN(Seed*0.5917+C4196*39.3468+D4196*11.135)*24634.6345,1),"")</f>
        <v/>
      </c>
      <c r="H4196">
        <f>IF(B4196,SQRT(-2*LN(F4196))*COS(2*PI()*G4196),"")</f>
        <v/>
      </c>
      <c r="I4196">
        <f>IF(B4196,IF(D4196=0,H4196,Rho*I4195+SQRT(1-Rho^2)*H4196),"")</f>
        <v/>
      </c>
      <c r="J4196">
        <f>IF(B4196,IF(Dist="Normal",DistA+DistB*I4196,DistA+(DistB-DistA)*NORMSDIST(I4196)),"")</f>
        <v/>
      </c>
      <c r="K4196">
        <f>IF(B4196,INDEX(MineScale,C4196),"")</f>
        <v/>
      </c>
      <c r="L4196">
        <f>IF(B4196,INDEX(Dow,1,WEEKDAY(E4196,2)),"")</f>
        <v/>
      </c>
      <c r="M4196">
        <f>IF(B4196,(1+Trend)^D4196,"")</f>
        <v/>
      </c>
      <c r="N4196">
        <f>IF(B4196,EXP(SUMPRODUCT(LN(1+(EvEff-1)*INDEX(Affected,0,C4196)*EXP(-((E4196-EvCenter)^2)/(2*EvSigma^2))))),"")</f>
        <v/>
      </c>
      <c r="O4196">
        <f>IF(B4196,ROUND(MAX(0,J4196*K4196*L4196*M4196*N4196),2),"")</f>
        <v/>
      </c>
    </row>
    <row r="4197">
      <c r="A4197" t="n">
        <v>4196</v>
      </c>
      <c r="B4197">
        <f>A4197&lt;=MineCount*Days</f>
        <v/>
      </c>
      <c r="C4197">
        <f>IF(B4197,INT((A4197-1)/Days)+1,"")</f>
        <v/>
      </c>
      <c r="D4197">
        <f>IF(B4197,MOD(A4197-1,Days),"")</f>
        <v/>
      </c>
      <c r="E4197" s="16">
        <f>IF(B4197,StartDate+D4197,"")</f>
        <v/>
      </c>
      <c r="F4197">
        <f>IF(B4197,MAX(MOD(SIN(Seed*0.1373+C4197*12.9898+D4197*78.233)*43758.5453,1),1E-9),"")</f>
        <v/>
      </c>
      <c r="G4197">
        <f>IF(B4197,MOD(SIN(Seed*0.5917+C4197*39.3468+D4197*11.135)*24634.6345,1),"")</f>
        <v/>
      </c>
      <c r="H4197">
        <f>IF(B4197,SQRT(-2*LN(F4197))*COS(2*PI()*G4197),"")</f>
        <v/>
      </c>
      <c r="I4197">
        <f>IF(B4197,IF(D4197=0,H4197,Rho*I4196+SQRT(1-Rho^2)*H4197),"")</f>
        <v/>
      </c>
      <c r="J4197">
        <f>IF(B4197,IF(Dist="Normal",DistA+DistB*I4197,DistA+(DistB-DistA)*NORMSDIST(I4197)),"")</f>
        <v/>
      </c>
      <c r="K4197">
        <f>IF(B4197,INDEX(MineScale,C4197),"")</f>
        <v/>
      </c>
      <c r="L4197">
        <f>IF(B4197,INDEX(Dow,1,WEEKDAY(E4197,2)),"")</f>
        <v/>
      </c>
      <c r="M4197">
        <f>IF(B4197,(1+Trend)^D4197,"")</f>
        <v/>
      </c>
      <c r="N4197">
        <f>IF(B4197,EXP(SUMPRODUCT(LN(1+(EvEff-1)*INDEX(Affected,0,C4197)*EXP(-((E4197-EvCenter)^2)/(2*EvSigma^2))))),"")</f>
        <v/>
      </c>
      <c r="O4197">
        <f>IF(B4197,ROUND(MAX(0,J4197*K4197*L4197*M4197*N4197),2),"")</f>
        <v/>
      </c>
    </row>
    <row r="4198">
      <c r="A4198" t="n">
        <v>4197</v>
      </c>
      <c r="B4198">
        <f>A4198&lt;=MineCount*Days</f>
        <v/>
      </c>
      <c r="C4198">
        <f>IF(B4198,INT((A4198-1)/Days)+1,"")</f>
        <v/>
      </c>
      <c r="D4198">
        <f>IF(B4198,MOD(A4198-1,Days),"")</f>
        <v/>
      </c>
      <c r="E4198" s="16">
        <f>IF(B4198,StartDate+D4198,"")</f>
        <v/>
      </c>
      <c r="F4198">
        <f>IF(B4198,MAX(MOD(SIN(Seed*0.1373+C4198*12.9898+D4198*78.233)*43758.5453,1),1E-9),"")</f>
        <v/>
      </c>
      <c r="G4198">
        <f>IF(B4198,MOD(SIN(Seed*0.5917+C4198*39.3468+D4198*11.135)*24634.6345,1),"")</f>
        <v/>
      </c>
      <c r="H4198">
        <f>IF(B4198,SQRT(-2*LN(F4198))*COS(2*PI()*G4198),"")</f>
        <v/>
      </c>
      <c r="I4198">
        <f>IF(B4198,IF(D4198=0,H4198,Rho*I4197+SQRT(1-Rho^2)*H4198),"")</f>
        <v/>
      </c>
      <c r="J4198">
        <f>IF(B4198,IF(Dist="Normal",DistA+DistB*I4198,DistA+(DistB-DistA)*NORMSDIST(I4198)),"")</f>
        <v/>
      </c>
      <c r="K4198">
        <f>IF(B4198,INDEX(MineScale,C4198),"")</f>
        <v/>
      </c>
      <c r="L4198">
        <f>IF(B4198,INDEX(Dow,1,WEEKDAY(E4198,2)),"")</f>
        <v/>
      </c>
      <c r="M4198">
        <f>IF(B4198,(1+Trend)^D4198,"")</f>
        <v/>
      </c>
      <c r="N4198">
        <f>IF(B4198,EXP(SUMPRODUCT(LN(1+(EvEff-1)*INDEX(Affected,0,C4198)*EXP(-((E4198-EvCenter)^2)/(2*EvSigma^2))))),"")</f>
        <v/>
      </c>
      <c r="O4198">
        <f>IF(B4198,ROUND(MAX(0,J4198*K4198*L4198*M4198*N4198),2),"")</f>
        <v/>
      </c>
    </row>
    <row r="4199">
      <c r="A4199" t="n">
        <v>4198</v>
      </c>
      <c r="B4199">
        <f>A4199&lt;=MineCount*Days</f>
        <v/>
      </c>
      <c r="C4199">
        <f>IF(B4199,INT((A4199-1)/Days)+1,"")</f>
        <v/>
      </c>
      <c r="D4199">
        <f>IF(B4199,MOD(A4199-1,Days),"")</f>
        <v/>
      </c>
      <c r="E4199" s="16">
        <f>IF(B4199,StartDate+D4199,"")</f>
        <v/>
      </c>
      <c r="F4199">
        <f>IF(B4199,MAX(MOD(SIN(Seed*0.1373+C4199*12.9898+D4199*78.233)*43758.5453,1),1E-9),"")</f>
        <v/>
      </c>
      <c r="G4199">
        <f>IF(B4199,MOD(SIN(Seed*0.5917+C4199*39.3468+D4199*11.135)*24634.6345,1),"")</f>
        <v/>
      </c>
      <c r="H4199">
        <f>IF(B4199,SQRT(-2*LN(F4199))*COS(2*PI()*G4199),"")</f>
        <v/>
      </c>
      <c r="I4199">
        <f>IF(B4199,IF(D4199=0,H4199,Rho*I4198+SQRT(1-Rho^2)*H4199),"")</f>
        <v/>
      </c>
      <c r="J4199">
        <f>IF(B4199,IF(Dist="Normal",DistA+DistB*I4199,DistA+(DistB-DistA)*NORMSDIST(I4199)),"")</f>
        <v/>
      </c>
      <c r="K4199">
        <f>IF(B4199,INDEX(MineScale,C4199),"")</f>
        <v/>
      </c>
      <c r="L4199">
        <f>IF(B4199,INDEX(Dow,1,WEEKDAY(E4199,2)),"")</f>
        <v/>
      </c>
      <c r="M4199">
        <f>IF(B4199,(1+Trend)^D4199,"")</f>
        <v/>
      </c>
      <c r="N4199">
        <f>IF(B4199,EXP(SUMPRODUCT(LN(1+(EvEff-1)*INDEX(Affected,0,C4199)*EXP(-((E4199-EvCenter)^2)/(2*EvSigma^2))))),"")</f>
        <v/>
      </c>
      <c r="O4199">
        <f>IF(B4199,ROUND(MAX(0,J4199*K4199*L4199*M4199*N4199),2),"")</f>
        <v/>
      </c>
    </row>
    <row r="4200">
      <c r="A4200" t="n">
        <v>4199</v>
      </c>
      <c r="B4200">
        <f>A4200&lt;=MineCount*Days</f>
        <v/>
      </c>
      <c r="C4200">
        <f>IF(B4200,INT((A4200-1)/Days)+1,"")</f>
        <v/>
      </c>
      <c r="D4200">
        <f>IF(B4200,MOD(A4200-1,Days),"")</f>
        <v/>
      </c>
      <c r="E4200" s="16">
        <f>IF(B4200,StartDate+D4200,"")</f>
        <v/>
      </c>
      <c r="F4200">
        <f>IF(B4200,MAX(MOD(SIN(Seed*0.1373+C4200*12.9898+D4200*78.233)*43758.5453,1),1E-9),"")</f>
        <v/>
      </c>
      <c r="G4200">
        <f>IF(B4200,MOD(SIN(Seed*0.5917+C4200*39.3468+D4200*11.135)*24634.6345,1),"")</f>
        <v/>
      </c>
      <c r="H4200">
        <f>IF(B4200,SQRT(-2*LN(F4200))*COS(2*PI()*G4200),"")</f>
        <v/>
      </c>
      <c r="I4200">
        <f>IF(B4200,IF(D4200=0,H4200,Rho*I4199+SQRT(1-Rho^2)*H4200),"")</f>
        <v/>
      </c>
      <c r="J4200">
        <f>IF(B4200,IF(Dist="Normal",DistA+DistB*I4200,DistA+(DistB-DistA)*NORMSDIST(I4200)),"")</f>
        <v/>
      </c>
      <c r="K4200">
        <f>IF(B4200,INDEX(MineScale,C4200),"")</f>
        <v/>
      </c>
      <c r="L4200">
        <f>IF(B4200,INDEX(Dow,1,WEEKDAY(E4200,2)),"")</f>
        <v/>
      </c>
      <c r="M4200">
        <f>IF(B4200,(1+Trend)^D4200,"")</f>
        <v/>
      </c>
      <c r="N4200">
        <f>IF(B4200,EXP(SUMPRODUCT(LN(1+(EvEff-1)*INDEX(Affected,0,C4200)*EXP(-((E4200-EvCenter)^2)/(2*EvSigma^2))))),"")</f>
        <v/>
      </c>
      <c r="O4200">
        <f>IF(B4200,ROUND(MAX(0,J4200*K4200*L4200*M4200*N4200),2),"")</f>
        <v/>
      </c>
    </row>
    <row r="4201">
      <c r="A4201" t="n">
        <v>4200</v>
      </c>
      <c r="B4201">
        <f>A4201&lt;=MineCount*Days</f>
        <v/>
      </c>
      <c r="C4201">
        <f>IF(B4201,INT((A4201-1)/Days)+1,"")</f>
        <v/>
      </c>
      <c r="D4201">
        <f>IF(B4201,MOD(A4201-1,Days),"")</f>
        <v/>
      </c>
      <c r="E4201" s="16">
        <f>IF(B4201,StartDate+D4201,"")</f>
        <v/>
      </c>
      <c r="F4201">
        <f>IF(B4201,MAX(MOD(SIN(Seed*0.1373+C4201*12.9898+D4201*78.233)*43758.5453,1),1E-9),"")</f>
        <v/>
      </c>
      <c r="G4201">
        <f>IF(B4201,MOD(SIN(Seed*0.5917+C4201*39.3468+D4201*11.135)*24634.6345,1),"")</f>
        <v/>
      </c>
      <c r="H4201">
        <f>IF(B4201,SQRT(-2*LN(F4201))*COS(2*PI()*G4201),"")</f>
        <v/>
      </c>
      <c r="I4201">
        <f>IF(B4201,IF(D4201=0,H4201,Rho*I4200+SQRT(1-Rho^2)*H4201),"")</f>
        <v/>
      </c>
      <c r="J4201">
        <f>IF(B4201,IF(Dist="Normal",DistA+DistB*I4201,DistA+(DistB-DistA)*NORMSDIST(I4201)),"")</f>
        <v/>
      </c>
      <c r="K4201">
        <f>IF(B4201,INDEX(MineScale,C4201),"")</f>
        <v/>
      </c>
      <c r="L4201">
        <f>IF(B4201,INDEX(Dow,1,WEEKDAY(E4201,2)),"")</f>
        <v/>
      </c>
      <c r="M4201">
        <f>IF(B4201,(1+Trend)^D4201,"")</f>
        <v/>
      </c>
      <c r="N4201">
        <f>IF(B4201,EXP(SUMPRODUCT(LN(1+(EvEff-1)*INDEX(Affected,0,C4201)*EXP(-((E4201-EvCenter)^2)/(2*EvSigma^2))))),"")</f>
        <v/>
      </c>
      <c r="O4201">
        <f>IF(B4201,ROUND(MAX(0,J4201*K4201*L4201*M4201*N4201),2),"")</f>
        <v/>
      </c>
    </row>
    <row r="4202">
      <c r="A4202" t="n">
        <v>4201</v>
      </c>
      <c r="B4202">
        <f>A4202&lt;=MineCount*Days</f>
        <v/>
      </c>
      <c r="C4202">
        <f>IF(B4202,INT((A4202-1)/Days)+1,"")</f>
        <v/>
      </c>
      <c r="D4202">
        <f>IF(B4202,MOD(A4202-1,Days),"")</f>
        <v/>
      </c>
      <c r="E4202" s="16">
        <f>IF(B4202,StartDate+D4202,"")</f>
        <v/>
      </c>
      <c r="F4202">
        <f>IF(B4202,MAX(MOD(SIN(Seed*0.1373+C4202*12.9898+D4202*78.233)*43758.5453,1),1E-9),"")</f>
        <v/>
      </c>
      <c r="G4202">
        <f>IF(B4202,MOD(SIN(Seed*0.5917+C4202*39.3468+D4202*11.135)*24634.6345,1),"")</f>
        <v/>
      </c>
      <c r="H4202">
        <f>IF(B4202,SQRT(-2*LN(F4202))*COS(2*PI()*G4202),"")</f>
        <v/>
      </c>
      <c r="I4202">
        <f>IF(B4202,IF(D4202=0,H4202,Rho*I4201+SQRT(1-Rho^2)*H4202),"")</f>
        <v/>
      </c>
      <c r="J4202">
        <f>IF(B4202,IF(Dist="Normal",DistA+DistB*I4202,DistA+(DistB-DistA)*NORMSDIST(I4202)),"")</f>
        <v/>
      </c>
      <c r="K4202">
        <f>IF(B4202,INDEX(MineScale,C4202),"")</f>
        <v/>
      </c>
      <c r="L4202">
        <f>IF(B4202,INDEX(Dow,1,WEEKDAY(E4202,2)),"")</f>
        <v/>
      </c>
      <c r="M4202">
        <f>IF(B4202,(1+Trend)^D4202,"")</f>
        <v/>
      </c>
      <c r="N4202">
        <f>IF(B4202,EXP(SUMPRODUCT(LN(1+(EvEff-1)*INDEX(Affected,0,C4202)*EXP(-((E4202-EvCenter)^2)/(2*EvSigma^2))))),"")</f>
        <v/>
      </c>
      <c r="O4202">
        <f>IF(B4202,ROUND(MAX(0,J4202*K4202*L4202*M4202*N4202),2),"")</f>
        <v/>
      </c>
    </row>
    <row r="4203">
      <c r="A4203" t="n">
        <v>4202</v>
      </c>
      <c r="B4203">
        <f>A4203&lt;=MineCount*Days</f>
        <v/>
      </c>
      <c r="C4203">
        <f>IF(B4203,INT((A4203-1)/Days)+1,"")</f>
        <v/>
      </c>
      <c r="D4203">
        <f>IF(B4203,MOD(A4203-1,Days),"")</f>
        <v/>
      </c>
      <c r="E4203" s="16">
        <f>IF(B4203,StartDate+D4203,"")</f>
        <v/>
      </c>
      <c r="F4203">
        <f>IF(B4203,MAX(MOD(SIN(Seed*0.1373+C4203*12.9898+D4203*78.233)*43758.5453,1),1E-9),"")</f>
        <v/>
      </c>
      <c r="G4203">
        <f>IF(B4203,MOD(SIN(Seed*0.5917+C4203*39.3468+D4203*11.135)*24634.6345,1),"")</f>
        <v/>
      </c>
      <c r="H4203">
        <f>IF(B4203,SQRT(-2*LN(F4203))*COS(2*PI()*G4203),"")</f>
        <v/>
      </c>
      <c r="I4203">
        <f>IF(B4203,IF(D4203=0,H4203,Rho*I4202+SQRT(1-Rho^2)*H4203),"")</f>
        <v/>
      </c>
      <c r="J4203">
        <f>IF(B4203,IF(Dist="Normal",DistA+DistB*I4203,DistA+(DistB-DistA)*NORMSDIST(I4203)),"")</f>
        <v/>
      </c>
      <c r="K4203">
        <f>IF(B4203,INDEX(MineScale,C4203),"")</f>
        <v/>
      </c>
      <c r="L4203">
        <f>IF(B4203,INDEX(Dow,1,WEEKDAY(E4203,2)),"")</f>
        <v/>
      </c>
      <c r="M4203">
        <f>IF(B4203,(1+Trend)^D4203,"")</f>
        <v/>
      </c>
      <c r="N4203">
        <f>IF(B4203,EXP(SUMPRODUCT(LN(1+(EvEff-1)*INDEX(Affected,0,C4203)*EXP(-((E4203-EvCenter)^2)/(2*EvSigma^2))))),"")</f>
        <v/>
      </c>
      <c r="O4203">
        <f>IF(B4203,ROUND(MAX(0,J4203*K4203*L4203*M4203*N4203),2),"")</f>
        <v/>
      </c>
    </row>
    <row r="4204">
      <c r="A4204" t="n">
        <v>4203</v>
      </c>
      <c r="B4204">
        <f>A4204&lt;=MineCount*Days</f>
        <v/>
      </c>
      <c r="C4204">
        <f>IF(B4204,INT((A4204-1)/Days)+1,"")</f>
        <v/>
      </c>
      <c r="D4204">
        <f>IF(B4204,MOD(A4204-1,Days),"")</f>
        <v/>
      </c>
      <c r="E4204" s="16">
        <f>IF(B4204,StartDate+D4204,"")</f>
        <v/>
      </c>
      <c r="F4204">
        <f>IF(B4204,MAX(MOD(SIN(Seed*0.1373+C4204*12.9898+D4204*78.233)*43758.5453,1),1E-9),"")</f>
        <v/>
      </c>
      <c r="G4204">
        <f>IF(B4204,MOD(SIN(Seed*0.5917+C4204*39.3468+D4204*11.135)*24634.6345,1),"")</f>
        <v/>
      </c>
      <c r="H4204">
        <f>IF(B4204,SQRT(-2*LN(F4204))*COS(2*PI()*G4204),"")</f>
        <v/>
      </c>
      <c r="I4204">
        <f>IF(B4204,IF(D4204=0,H4204,Rho*I4203+SQRT(1-Rho^2)*H4204),"")</f>
        <v/>
      </c>
      <c r="J4204">
        <f>IF(B4204,IF(Dist="Normal",DistA+DistB*I4204,DistA+(DistB-DistA)*NORMSDIST(I4204)),"")</f>
        <v/>
      </c>
      <c r="K4204">
        <f>IF(B4204,INDEX(MineScale,C4204),"")</f>
        <v/>
      </c>
      <c r="L4204">
        <f>IF(B4204,INDEX(Dow,1,WEEKDAY(E4204,2)),"")</f>
        <v/>
      </c>
      <c r="M4204">
        <f>IF(B4204,(1+Trend)^D4204,"")</f>
        <v/>
      </c>
      <c r="N4204">
        <f>IF(B4204,EXP(SUMPRODUCT(LN(1+(EvEff-1)*INDEX(Affected,0,C4204)*EXP(-((E4204-EvCenter)^2)/(2*EvSigma^2))))),"")</f>
        <v/>
      </c>
      <c r="O4204">
        <f>IF(B4204,ROUND(MAX(0,J4204*K4204*L4204*M4204*N4204),2),"")</f>
        <v/>
      </c>
    </row>
    <row r="4205">
      <c r="A4205" t="n">
        <v>4204</v>
      </c>
      <c r="B4205">
        <f>A4205&lt;=MineCount*Days</f>
        <v/>
      </c>
      <c r="C4205">
        <f>IF(B4205,INT((A4205-1)/Days)+1,"")</f>
        <v/>
      </c>
      <c r="D4205">
        <f>IF(B4205,MOD(A4205-1,Days),"")</f>
        <v/>
      </c>
      <c r="E4205" s="16">
        <f>IF(B4205,StartDate+D4205,"")</f>
        <v/>
      </c>
      <c r="F4205">
        <f>IF(B4205,MAX(MOD(SIN(Seed*0.1373+C4205*12.9898+D4205*78.233)*43758.5453,1),1E-9),"")</f>
        <v/>
      </c>
      <c r="G4205">
        <f>IF(B4205,MOD(SIN(Seed*0.5917+C4205*39.3468+D4205*11.135)*24634.6345,1),"")</f>
        <v/>
      </c>
      <c r="H4205">
        <f>IF(B4205,SQRT(-2*LN(F4205))*COS(2*PI()*G4205),"")</f>
        <v/>
      </c>
      <c r="I4205">
        <f>IF(B4205,IF(D4205=0,H4205,Rho*I4204+SQRT(1-Rho^2)*H4205),"")</f>
        <v/>
      </c>
      <c r="J4205">
        <f>IF(B4205,IF(Dist="Normal",DistA+DistB*I4205,DistA+(DistB-DistA)*NORMSDIST(I4205)),"")</f>
        <v/>
      </c>
      <c r="K4205">
        <f>IF(B4205,INDEX(MineScale,C4205),"")</f>
        <v/>
      </c>
      <c r="L4205">
        <f>IF(B4205,INDEX(Dow,1,WEEKDAY(E4205,2)),"")</f>
        <v/>
      </c>
      <c r="M4205">
        <f>IF(B4205,(1+Trend)^D4205,"")</f>
        <v/>
      </c>
      <c r="N4205">
        <f>IF(B4205,EXP(SUMPRODUCT(LN(1+(EvEff-1)*INDEX(Affected,0,C4205)*EXP(-((E4205-EvCenter)^2)/(2*EvSigma^2))))),"")</f>
        <v/>
      </c>
      <c r="O4205">
        <f>IF(B4205,ROUND(MAX(0,J4205*K4205*L4205*M4205*N4205),2),"")</f>
        <v/>
      </c>
    </row>
    <row r="4206">
      <c r="A4206" t="n">
        <v>4205</v>
      </c>
      <c r="B4206">
        <f>A4206&lt;=MineCount*Days</f>
        <v/>
      </c>
      <c r="C4206">
        <f>IF(B4206,INT((A4206-1)/Days)+1,"")</f>
        <v/>
      </c>
      <c r="D4206">
        <f>IF(B4206,MOD(A4206-1,Days),"")</f>
        <v/>
      </c>
      <c r="E4206" s="16">
        <f>IF(B4206,StartDate+D4206,"")</f>
        <v/>
      </c>
      <c r="F4206">
        <f>IF(B4206,MAX(MOD(SIN(Seed*0.1373+C4206*12.9898+D4206*78.233)*43758.5453,1),1E-9),"")</f>
        <v/>
      </c>
      <c r="G4206">
        <f>IF(B4206,MOD(SIN(Seed*0.5917+C4206*39.3468+D4206*11.135)*24634.6345,1),"")</f>
        <v/>
      </c>
      <c r="H4206">
        <f>IF(B4206,SQRT(-2*LN(F4206))*COS(2*PI()*G4206),"")</f>
        <v/>
      </c>
      <c r="I4206">
        <f>IF(B4206,IF(D4206=0,H4206,Rho*I4205+SQRT(1-Rho^2)*H4206),"")</f>
        <v/>
      </c>
      <c r="J4206">
        <f>IF(B4206,IF(Dist="Normal",DistA+DistB*I4206,DistA+(DistB-DistA)*NORMSDIST(I4206)),"")</f>
        <v/>
      </c>
      <c r="K4206">
        <f>IF(B4206,INDEX(MineScale,C4206),"")</f>
        <v/>
      </c>
      <c r="L4206">
        <f>IF(B4206,INDEX(Dow,1,WEEKDAY(E4206,2)),"")</f>
        <v/>
      </c>
      <c r="M4206">
        <f>IF(B4206,(1+Trend)^D4206,"")</f>
        <v/>
      </c>
      <c r="N4206">
        <f>IF(B4206,EXP(SUMPRODUCT(LN(1+(EvEff-1)*INDEX(Affected,0,C4206)*EXP(-((E4206-EvCenter)^2)/(2*EvSigma^2))))),"")</f>
        <v/>
      </c>
      <c r="O4206">
        <f>IF(B4206,ROUND(MAX(0,J4206*K4206*L4206*M4206*N4206),2),"")</f>
        <v/>
      </c>
    </row>
    <row r="4207">
      <c r="A4207" t="n">
        <v>4206</v>
      </c>
      <c r="B4207">
        <f>A4207&lt;=MineCount*Days</f>
        <v/>
      </c>
      <c r="C4207">
        <f>IF(B4207,INT((A4207-1)/Days)+1,"")</f>
        <v/>
      </c>
      <c r="D4207">
        <f>IF(B4207,MOD(A4207-1,Days),"")</f>
        <v/>
      </c>
      <c r="E4207" s="16">
        <f>IF(B4207,StartDate+D4207,"")</f>
        <v/>
      </c>
      <c r="F4207">
        <f>IF(B4207,MAX(MOD(SIN(Seed*0.1373+C4207*12.9898+D4207*78.233)*43758.5453,1),1E-9),"")</f>
        <v/>
      </c>
      <c r="G4207">
        <f>IF(B4207,MOD(SIN(Seed*0.5917+C4207*39.3468+D4207*11.135)*24634.6345,1),"")</f>
        <v/>
      </c>
      <c r="H4207">
        <f>IF(B4207,SQRT(-2*LN(F4207))*COS(2*PI()*G4207),"")</f>
        <v/>
      </c>
      <c r="I4207">
        <f>IF(B4207,IF(D4207=0,H4207,Rho*I4206+SQRT(1-Rho^2)*H4207),"")</f>
        <v/>
      </c>
      <c r="J4207">
        <f>IF(B4207,IF(Dist="Normal",DistA+DistB*I4207,DistA+(DistB-DistA)*NORMSDIST(I4207)),"")</f>
        <v/>
      </c>
      <c r="K4207">
        <f>IF(B4207,INDEX(MineScale,C4207),"")</f>
        <v/>
      </c>
      <c r="L4207">
        <f>IF(B4207,INDEX(Dow,1,WEEKDAY(E4207,2)),"")</f>
        <v/>
      </c>
      <c r="M4207">
        <f>IF(B4207,(1+Trend)^D4207,"")</f>
        <v/>
      </c>
      <c r="N4207">
        <f>IF(B4207,EXP(SUMPRODUCT(LN(1+(EvEff-1)*INDEX(Affected,0,C4207)*EXP(-((E4207-EvCenter)^2)/(2*EvSigma^2))))),"")</f>
        <v/>
      </c>
      <c r="O4207">
        <f>IF(B4207,ROUND(MAX(0,J4207*K4207*L4207*M4207*N4207),2),"")</f>
        <v/>
      </c>
    </row>
    <row r="4208">
      <c r="A4208" t="n">
        <v>4207</v>
      </c>
      <c r="B4208">
        <f>A4208&lt;=MineCount*Days</f>
        <v/>
      </c>
      <c r="C4208">
        <f>IF(B4208,INT((A4208-1)/Days)+1,"")</f>
        <v/>
      </c>
      <c r="D4208">
        <f>IF(B4208,MOD(A4208-1,Days),"")</f>
        <v/>
      </c>
      <c r="E4208" s="16">
        <f>IF(B4208,StartDate+D4208,"")</f>
        <v/>
      </c>
      <c r="F4208">
        <f>IF(B4208,MAX(MOD(SIN(Seed*0.1373+C4208*12.9898+D4208*78.233)*43758.5453,1),1E-9),"")</f>
        <v/>
      </c>
      <c r="G4208">
        <f>IF(B4208,MOD(SIN(Seed*0.5917+C4208*39.3468+D4208*11.135)*24634.6345,1),"")</f>
        <v/>
      </c>
      <c r="H4208">
        <f>IF(B4208,SQRT(-2*LN(F4208))*COS(2*PI()*G4208),"")</f>
        <v/>
      </c>
      <c r="I4208">
        <f>IF(B4208,IF(D4208=0,H4208,Rho*I4207+SQRT(1-Rho^2)*H4208),"")</f>
        <v/>
      </c>
      <c r="J4208">
        <f>IF(B4208,IF(Dist="Normal",DistA+DistB*I4208,DistA+(DistB-DistA)*NORMSDIST(I4208)),"")</f>
        <v/>
      </c>
      <c r="K4208">
        <f>IF(B4208,INDEX(MineScale,C4208),"")</f>
        <v/>
      </c>
      <c r="L4208">
        <f>IF(B4208,INDEX(Dow,1,WEEKDAY(E4208,2)),"")</f>
        <v/>
      </c>
      <c r="M4208">
        <f>IF(B4208,(1+Trend)^D4208,"")</f>
        <v/>
      </c>
      <c r="N4208">
        <f>IF(B4208,EXP(SUMPRODUCT(LN(1+(EvEff-1)*INDEX(Affected,0,C4208)*EXP(-((E4208-EvCenter)^2)/(2*EvSigma^2))))),"")</f>
        <v/>
      </c>
      <c r="O4208">
        <f>IF(B4208,ROUND(MAX(0,J4208*K4208*L4208*M4208*N4208),2),"")</f>
        <v/>
      </c>
    </row>
    <row r="4209">
      <c r="A4209" t="n">
        <v>4208</v>
      </c>
      <c r="B4209">
        <f>A4209&lt;=MineCount*Days</f>
        <v/>
      </c>
      <c r="C4209">
        <f>IF(B4209,INT((A4209-1)/Days)+1,"")</f>
        <v/>
      </c>
      <c r="D4209">
        <f>IF(B4209,MOD(A4209-1,Days),"")</f>
        <v/>
      </c>
      <c r="E4209" s="16">
        <f>IF(B4209,StartDate+D4209,"")</f>
        <v/>
      </c>
      <c r="F4209">
        <f>IF(B4209,MAX(MOD(SIN(Seed*0.1373+C4209*12.9898+D4209*78.233)*43758.5453,1),1E-9),"")</f>
        <v/>
      </c>
      <c r="G4209">
        <f>IF(B4209,MOD(SIN(Seed*0.5917+C4209*39.3468+D4209*11.135)*24634.6345,1),"")</f>
        <v/>
      </c>
      <c r="H4209">
        <f>IF(B4209,SQRT(-2*LN(F4209))*COS(2*PI()*G4209),"")</f>
        <v/>
      </c>
      <c r="I4209">
        <f>IF(B4209,IF(D4209=0,H4209,Rho*I4208+SQRT(1-Rho^2)*H4209),"")</f>
        <v/>
      </c>
      <c r="J4209">
        <f>IF(B4209,IF(Dist="Normal",DistA+DistB*I4209,DistA+(DistB-DistA)*NORMSDIST(I4209)),"")</f>
        <v/>
      </c>
      <c r="K4209">
        <f>IF(B4209,INDEX(MineScale,C4209),"")</f>
        <v/>
      </c>
      <c r="L4209">
        <f>IF(B4209,INDEX(Dow,1,WEEKDAY(E4209,2)),"")</f>
        <v/>
      </c>
      <c r="M4209">
        <f>IF(B4209,(1+Trend)^D4209,"")</f>
        <v/>
      </c>
      <c r="N4209">
        <f>IF(B4209,EXP(SUMPRODUCT(LN(1+(EvEff-1)*INDEX(Affected,0,C4209)*EXP(-((E4209-EvCenter)^2)/(2*EvSigma^2))))),"")</f>
        <v/>
      </c>
      <c r="O4209">
        <f>IF(B4209,ROUND(MAX(0,J4209*K4209*L4209*M4209*N4209),2),"")</f>
        <v/>
      </c>
    </row>
    <row r="4210">
      <c r="A4210" t="n">
        <v>4209</v>
      </c>
      <c r="B4210">
        <f>A4210&lt;=MineCount*Days</f>
        <v/>
      </c>
      <c r="C4210">
        <f>IF(B4210,INT((A4210-1)/Days)+1,"")</f>
        <v/>
      </c>
      <c r="D4210">
        <f>IF(B4210,MOD(A4210-1,Days),"")</f>
        <v/>
      </c>
      <c r="E4210" s="16">
        <f>IF(B4210,StartDate+D4210,"")</f>
        <v/>
      </c>
      <c r="F4210">
        <f>IF(B4210,MAX(MOD(SIN(Seed*0.1373+C4210*12.9898+D4210*78.233)*43758.5453,1),1E-9),"")</f>
        <v/>
      </c>
      <c r="G4210">
        <f>IF(B4210,MOD(SIN(Seed*0.5917+C4210*39.3468+D4210*11.135)*24634.6345,1),"")</f>
        <v/>
      </c>
      <c r="H4210">
        <f>IF(B4210,SQRT(-2*LN(F4210))*COS(2*PI()*G4210),"")</f>
        <v/>
      </c>
      <c r="I4210">
        <f>IF(B4210,IF(D4210=0,H4210,Rho*I4209+SQRT(1-Rho^2)*H4210),"")</f>
        <v/>
      </c>
      <c r="J4210">
        <f>IF(B4210,IF(Dist="Normal",DistA+DistB*I4210,DistA+(DistB-DistA)*NORMSDIST(I4210)),"")</f>
        <v/>
      </c>
      <c r="K4210">
        <f>IF(B4210,INDEX(MineScale,C4210),"")</f>
        <v/>
      </c>
      <c r="L4210">
        <f>IF(B4210,INDEX(Dow,1,WEEKDAY(E4210,2)),"")</f>
        <v/>
      </c>
      <c r="M4210">
        <f>IF(B4210,(1+Trend)^D4210,"")</f>
        <v/>
      </c>
      <c r="N4210">
        <f>IF(B4210,EXP(SUMPRODUCT(LN(1+(EvEff-1)*INDEX(Affected,0,C4210)*EXP(-((E4210-EvCenter)^2)/(2*EvSigma^2))))),"")</f>
        <v/>
      </c>
      <c r="O4210">
        <f>IF(B4210,ROUND(MAX(0,J4210*K4210*L4210*M4210*N4210),2),"")</f>
        <v/>
      </c>
    </row>
    <row r="4211">
      <c r="A4211" t="n">
        <v>4210</v>
      </c>
      <c r="B4211">
        <f>A4211&lt;=MineCount*Days</f>
        <v/>
      </c>
      <c r="C4211">
        <f>IF(B4211,INT((A4211-1)/Days)+1,"")</f>
        <v/>
      </c>
      <c r="D4211">
        <f>IF(B4211,MOD(A4211-1,Days),"")</f>
        <v/>
      </c>
      <c r="E4211" s="16">
        <f>IF(B4211,StartDate+D4211,"")</f>
        <v/>
      </c>
      <c r="F4211">
        <f>IF(B4211,MAX(MOD(SIN(Seed*0.1373+C4211*12.9898+D4211*78.233)*43758.5453,1),1E-9),"")</f>
        <v/>
      </c>
      <c r="G4211">
        <f>IF(B4211,MOD(SIN(Seed*0.5917+C4211*39.3468+D4211*11.135)*24634.6345,1),"")</f>
        <v/>
      </c>
      <c r="H4211">
        <f>IF(B4211,SQRT(-2*LN(F4211))*COS(2*PI()*G4211),"")</f>
        <v/>
      </c>
      <c r="I4211">
        <f>IF(B4211,IF(D4211=0,H4211,Rho*I4210+SQRT(1-Rho^2)*H4211),"")</f>
        <v/>
      </c>
      <c r="J4211">
        <f>IF(B4211,IF(Dist="Normal",DistA+DistB*I4211,DistA+(DistB-DistA)*NORMSDIST(I4211)),"")</f>
        <v/>
      </c>
      <c r="K4211">
        <f>IF(B4211,INDEX(MineScale,C4211),"")</f>
        <v/>
      </c>
      <c r="L4211">
        <f>IF(B4211,INDEX(Dow,1,WEEKDAY(E4211,2)),"")</f>
        <v/>
      </c>
      <c r="M4211">
        <f>IF(B4211,(1+Trend)^D4211,"")</f>
        <v/>
      </c>
      <c r="N4211">
        <f>IF(B4211,EXP(SUMPRODUCT(LN(1+(EvEff-1)*INDEX(Affected,0,C4211)*EXP(-((E4211-EvCenter)^2)/(2*EvSigma^2))))),"")</f>
        <v/>
      </c>
      <c r="O4211">
        <f>IF(B4211,ROUND(MAX(0,J4211*K4211*L4211*M4211*N4211),2),"")</f>
        <v/>
      </c>
    </row>
    <row r="4212">
      <c r="A4212" t="n">
        <v>4211</v>
      </c>
      <c r="B4212">
        <f>A4212&lt;=MineCount*Days</f>
        <v/>
      </c>
      <c r="C4212">
        <f>IF(B4212,INT((A4212-1)/Days)+1,"")</f>
        <v/>
      </c>
      <c r="D4212">
        <f>IF(B4212,MOD(A4212-1,Days),"")</f>
        <v/>
      </c>
      <c r="E4212" s="16">
        <f>IF(B4212,StartDate+D4212,"")</f>
        <v/>
      </c>
      <c r="F4212">
        <f>IF(B4212,MAX(MOD(SIN(Seed*0.1373+C4212*12.9898+D4212*78.233)*43758.5453,1),1E-9),"")</f>
        <v/>
      </c>
      <c r="G4212">
        <f>IF(B4212,MOD(SIN(Seed*0.5917+C4212*39.3468+D4212*11.135)*24634.6345,1),"")</f>
        <v/>
      </c>
      <c r="H4212">
        <f>IF(B4212,SQRT(-2*LN(F4212))*COS(2*PI()*G4212),"")</f>
        <v/>
      </c>
      <c r="I4212">
        <f>IF(B4212,IF(D4212=0,H4212,Rho*I4211+SQRT(1-Rho^2)*H4212),"")</f>
        <v/>
      </c>
      <c r="J4212">
        <f>IF(B4212,IF(Dist="Normal",DistA+DistB*I4212,DistA+(DistB-DistA)*NORMSDIST(I4212)),"")</f>
        <v/>
      </c>
      <c r="K4212">
        <f>IF(B4212,INDEX(MineScale,C4212),"")</f>
        <v/>
      </c>
      <c r="L4212">
        <f>IF(B4212,INDEX(Dow,1,WEEKDAY(E4212,2)),"")</f>
        <v/>
      </c>
      <c r="M4212">
        <f>IF(B4212,(1+Trend)^D4212,"")</f>
        <v/>
      </c>
      <c r="N4212">
        <f>IF(B4212,EXP(SUMPRODUCT(LN(1+(EvEff-1)*INDEX(Affected,0,C4212)*EXP(-((E4212-EvCenter)^2)/(2*EvSigma^2))))),"")</f>
        <v/>
      </c>
      <c r="O4212">
        <f>IF(B4212,ROUND(MAX(0,J4212*K4212*L4212*M4212*N4212),2),"")</f>
        <v/>
      </c>
    </row>
    <row r="4213">
      <c r="A4213" t="n">
        <v>4212</v>
      </c>
      <c r="B4213">
        <f>A4213&lt;=MineCount*Days</f>
        <v/>
      </c>
      <c r="C4213">
        <f>IF(B4213,INT((A4213-1)/Days)+1,"")</f>
        <v/>
      </c>
      <c r="D4213">
        <f>IF(B4213,MOD(A4213-1,Days),"")</f>
        <v/>
      </c>
      <c r="E4213" s="16">
        <f>IF(B4213,StartDate+D4213,"")</f>
        <v/>
      </c>
      <c r="F4213">
        <f>IF(B4213,MAX(MOD(SIN(Seed*0.1373+C4213*12.9898+D4213*78.233)*43758.5453,1),1E-9),"")</f>
        <v/>
      </c>
      <c r="G4213">
        <f>IF(B4213,MOD(SIN(Seed*0.5917+C4213*39.3468+D4213*11.135)*24634.6345,1),"")</f>
        <v/>
      </c>
      <c r="H4213">
        <f>IF(B4213,SQRT(-2*LN(F4213))*COS(2*PI()*G4213),"")</f>
        <v/>
      </c>
      <c r="I4213">
        <f>IF(B4213,IF(D4213=0,H4213,Rho*I4212+SQRT(1-Rho^2)*H4213),"")</f>
        <v/>
      </c>
      <c r="J4213">
        <f>IF(B4213,IF(Dist="Normal",DistA+DistB*I4213,DistA+(DistB-DistA)*NORMSDIST(I4213)),"")</f>
        <v/>
      </c>
      <c r="K4213">
        <f>IF(B4213,INDEX(MineScale,C4213),"")</f>
        <v/>
      </c>
      <c r="L4213">
        <f>IF(B4213,INDEX(Dow,1,WEEKDAY(E4213,2)),"")</f>
        <v/>
      </c>
      <c r="M4213">
        <f>IF(B4213,(1+Trend)^D4213,"")</f>
        <v/>
      </c>
      <c r="N4213">
        <f>IF(B4213,EXP(SUMPRODUCT(LN(1+(EvEff-1)*INDEX(Affected,0,C4213)*EXP(-((E4213-EvCenter)^2)/(2*EvSigma^2))))),"")</f>
        <v/>
      </c>
      <c r="O4213">
        <f>IF(B4213,ROUND(MAX(0,J4213*K4213*L4213*M4213*N4213),2),"")</f>
        <v/>
      </c>
    </row>
    <row r="4214">
      <c r="A4214" t="n">
        <v>4213</v>
      </c>
      <c r="B4214">
        <f>A4214&lt;=MineCount*Days</f>
        <v/>
      </c>
      <c r="C4214">
        <f>IF(B4214,INT((A4214-1)/Days)+1,"")</f>
        <v/>
      </c>
      <c r="D4214">
        <f>IF(B4214,MOD(A4214-1,Days),"")</f>
        <v/>
      </c>
      <c r="E4214" s="16">
        <f>IF(B4214,StartDate+D4214,"")</f>
        <v/>
      </c>
      <c r="F4214">
        <f>IF(B4214,MAX(MOD(SIN(Seed*0.1373+C4214*12.9898+D4214*78.233)*43758.5453,1),1E-9),"")</f>
        <v/>
      </c>
      <c r="G4214">
        <f>IF(B4214,MOD(SIN(Seed*0.5917+C4214*39.3468+D4214*11.135)*24634.6345,1),"")</f>
        <v/>
      </c>
      <c r="H4214">
        <f>IF(B4214,SQRT(-2*LN(F4214))*COS(2*PI()*G4214),"")</f>
        <v/>
      </c>
      <c r="I4214">
        <f>IF(B4214,IF(D4214=0,H4214,Rho*I4213+SQRT(1-Rho^2)*H4214),"")</f>
        <v/>
      </c>
      <c r="J4214">
        <f>IF(B4214,IF(Dist="Normal",DistA+DistB*I4214,DistA+(DistB-DistA)*NORMSDIST(I4214)),"")</f>
        <v/>
      </c>
      <c r="K4214">
        <f>IF(B4214,INDEX(MineScale,C4214),"")</f>
        <v/>
      </c>
      <c r="L4214">
        <f>IF(B4214,INDEX(Dow,1,WEEKDAY(E4214,2)),"")</f>
        <v/>
      </c>
      <c r="M4214">
        <f>IF(B4214,(1+Trend)^D4214,"")</f>
        <v/>
      </c>
      <c r="N4214">
        <f>IF(B4214,EXP(SUMPRODUCT(LN(1+(EvEff-1)*INDEX(Affected,0,C4214)*EXP(-((E4214-EvCenter)^2)/(2*EvSigma^2))))),"")</f>
        <v/>
      </c>
      <c r="O4214">
        <f>IF(B4214,ROUND(MAX(0,J4214*K4214*L4214*M4214*N4214),2),"")</f>
        <v/>
      </c>
    </row>
    <row r="4215">
      <c r="A4215" t="n">
        <v>4214</v>
      </c>
      <c r="B4215">
        <f>A4215&lt;=MineCount*Days</f>
        <v/>
      </c>
      <c r="C4215">
        <f>IF(B4215,INT((A4215-1)/Days)+1,"")</f>
        <v/>
      </c>
      <c r="D4215">
        <f>IF(B4215,MOD(A4215-1,Days),"")</f>
        <v/>
      </c>
      <c r="E4215" s="16">
        <f>IF(B4215,StartDate+D4215,"")</f>
        <v/>
      </c>
      <c r="F4215">
        <f>IF(B4215,MAX(MOD(SIN(Seed*0.1373+C4215*12.9898+D4215*78.233)*43758.5453,1),1E-9),"")</f>
        <v/>
      </c>
      <c r="G4215">
        <f>IF(B4215,MOD(SIN(Seed*0.5917+C4215*39.3468+D4215*11.135)*24634.6345,1),"")</f>
        <v/>
      </c>
      <c r="H4215">
        <f>IF(B4215,SQRT(-2*LN(F4215))*COS(2*PI()*G4215),"")</f>
        <v/>
      </c>
      <c r="I4215">
        <f>IF(B4215,IF(D4215=0,H4215,Rho*I4214+SQRT(1-Rho^2)*H4215),"")</f>
        <v/>
      </c>
      <c r="J4215">
        <f>IF(B4215,IF(Dist="Normal",DistA+DistB*I4215,DistA+(DistB-DistA)*NORMSDIST(I4215)),"")</f>
        <v/>
      </c>
      <c r="K4215">
        <f>IF(B4215,INDEX(MineScale,C4215),"")</f>
        <v/>
      </c>
      <c r="L4215">
        <f>IF(B4215,INDEX(Dow,1,WEEKDAY(E4215,2)),"")</f>
        <v/>
      </c>
      <c r="M4215">
        <f>IF(B4215,(1+Trend)^D4215,"")</f>
        <v/>
      </c>
      <c r="N4215">
        <f>IF(B4215,EXP(SUMPRODUCT(LN(1+(EvEff-1)*INDEX(Affected,0,C4215)*EXP(-((E4215-EvCenter)^2)/(2*EvSigma^2))))),"")</f>
        <v/>
      </c>
      <c r="O4215">
        <f>IF(B4215,ROUND(MAX(0,J4215*K4215*L4215*M4215*N4215),2),"")</f>
        <v/>
      </c>
    </row>
    <row r="4216">
      <c r="A4216" t="n">
        <v>4215</v>
      </c>
      <c r="B4216">
        <f>A4216&lt;=MineCount*Days</f>
        <v/>
      </c>
      <c r="C4216">
        <f>IF(B4216,INT((A4216-1)/Days)+1,"")</f>
        <v/>
      </c>
      <c r="D4216">
        <f>IF(B4216,MOD(A4216-1,Days),"")</f>
        <v/>
      </c>
      <c r="E4216" s="16">
        <f>IF(B4216,StartDate+D4216,"")</f>
        <v/>
      </c>
      <c r="F4216">
        <f>IF(B4216,MAX(MOD(SIN(Seed*0.1373+C4216*12.9898+D4216*78.233)*43758.5453,1),1E-9),"")</f>
        <v/>
      </c>
      <c r="G4216">
        <f>IF(B4216,MOD(SIN(Seed*0.5917+C4216*39.3468+D4216*11.135)*24634.6345,1),"")</f>
        <v/>
      </c>
      <c r="H4216">
        <f>IF(B4216,SQRT(-2*LN(F4216))*COS(2*PI()*G4216),"")</f>
        <v/>
      </c>
      <c r="I4216">
        <f>IF(B4216,IF(D4216=0,H4216,Rho*I4215+SQRT(1-Rho^2)*H4216),"")</f>
        <v/>
      </c>
      <c r="J4216">
        <f>IF(B4216,IF(Dist="Normal",DistA+DistB*I4216,DistA+(DistB-DistA)*NORMSDIST(I4216)),"")</f>
        <v/>
      </c>
      <c r="K4216">
        <f>IF(B4216,INDEX(MineScale,C4216),"")</f>
        <v/>
      </c>
      <c r="L4216">
        <f>IF(B4216,INDEX(Dow,1,WEEKDAY(E4216,2)),"")</f>
        <v/>
      </c>
      <c r="M4216">
        <f>IF(B4216,(1+Trend)^D4216,"")</f>
        <v/>
      </c>
      <c r="N4216">
        <f>IF(B4216,EXP(SUMPRODUCT(LN(1+(EvEff-1)*INDEX(Affected,0,C4216)*EXP(-((E4216-EvCenter)^2)/(2*EvSigma^2))))),"")</f>
        <v/>
      </c>
      <c r="O4216">
        <f>IF(B4216,ROUND(MAX(0,J4216*K4216*L4216*M4216*N4216),2),"")</f>
        <v/>
      </c>
    </row>
    <row r="4217">
      <c r="A4217" t="n">
        <v>4216</v>
      </c>
      <c r="B4217">
        <f>A4217&lt;=MineCount*Days</f>
        <v/>
      </c>
      <c r="C4217">
        <f>IF(B4217,INT((A4217-1)/Days)+1,"")</f>
        <v/>
      </c>
      <c r="D4217">
        <f>IF(B4217,MOD(A4217-1,Days),"")</f>
        <v/>
      </c>
      <c r="E4217" s="16">
        <f>IF(B4217,StartDate+D4217,"")</f>
        <v/>
      </c>
      <c r="F4217">
        <f>IF(B4217,MAX(MOD(SIN(Seed*0.1373+C4217*12.9898+D4217*78.233)*43758.5453,1),1E-9),"")</f>
        <v/>
      </c>
      <c r="G4217">
        <f>IF(B4217,MOD(SIN(Seed*0.5917+C4217*39.3468+D4217*11.135)*24634.6345,1),"")</f>
        <v/>
      </c>
      <c r="H4217">
        <f>IF(B4217,SQRT(-2*LN(F4217))*COS(2*PI()*G4217),"")</f>
        <v/>
      </c>
      <c r="I4217">
        <f>IF(B4217,IF(D4217=0,H4217,Rho*I4216+SQRT(1-Rho^2)*H4217),"")</f>
        <v/>
      </c>
      <c r="J4217">
        <f>IF(B4217,IF(Dist="Normal",DistA+DistB*I4217,DistA+(DistB-DistA)*NORMSDIST(I4217)),"")</f>
        <v/>
      </c>
      <c r="K4217">
        <f>IF(B4217,INDEX(MineScale,C4217),"")</f>
        <v/>
      </c>
      <c r="L4217">
        <f>IF(B4217,INDEX(Dow,1,WEEKDAY(E4217,2)),"")</f>
        <v/>
      </c>
      <c r="M4217">
        <f>IF(B4217,(1+Trend)^D4217,"")</f>
        <v/>
      </c>
      <c r="N4217">
        <f>IF(B4217,EXP(SUMPRODUCT(LN(1+(EvEff-1)*INDEX(Affected,0,C4217)*EXP(-((E4217-EvCenter)^2)/(2*EvSigma^2))))),"")</f>
        <v/>
      </c>
      <c r="O4217">
        <f>IF(B4217,ROUND(MAX(0,J4217*K4217*L4217*M4217*N4217),2),"")</f>
        <v/>
      </c>
    </row>
    <row r="4218">
      <c r="A4218" t="n">
        <v>4217</v>
      </c>
      <c r="B4218">
        <f>A4218&lt;=MineCount*Days</f>
        <v/>
      </c>
      <c r="C4218">
        <f>IF(B4218,INT((A4218-1)/Days)+1,"")</f>
        <v/>
      </c>
      <c r="D4218">
        <f>IF(B4218,MOD(A4218-1,Days),"")</f>
        <v/>
      </c>
      <c r="E4218" s="16">
        <f>IF(B4218,StartDate+D4218,"")</f>
        <v/>
      </c>
      <c r="F4218">
        <f>IF(B4218,MAX(MOD(SIN(Seed*0.1373+C4218*12.9898+D4218*78.233)*43758.5453,1),1E-9),"")</f>
        <v/>
      </c>
      <c r="G4218">
        <f>IF(B4218,MOD(SIN(Seed*0.5917+C4218*39.3468+D4218*11.135)*24634.6345,1),"")</f>
        <v/>
      </c>
      <c r="H4218">
        <f>IF(B4218,SQRT(-2*LN(F4218))*COS(2*PI()*G4218),"")</f>
        <v/>
      </c>
      <c r="I4218">
        <f>IF(B4218,IF(D4218=0,H4218,Rho*I4217+SQRT(1-Rho^2)*H4218),"")</f>
        <v/>
      </c>
      <c r="J4218">
        <f>IF(B4218,IF(Dist="Normal",DistA+DistB*I4218,DistA+(DistB-DistA)*NORMSDIST(I4218)),"")</f>
        <v/>
      </c>
      <c r="K4218">
        <f>IF(B4218,INDEX(MineScale,C4218),"")</f>
        <v/>
      </c>
      <c r="L4218">
        <f>IF(B4218,INDEX(Dow,1,WEEKDAY(E4218,2)),"")</f>
        <v/>
      </c>
      <c r="M4218">
        <f>IF(B4218,(1+Trend)^D4218,"")</f>
        <v/>
      </c>
      <c r="N4218">
        <f>IF(B4218,EXP(SUMPRODUCT(LN(1+(EvEff-1)*INDEX(Affected,0,C4218)*EXP(-((E4218-EvCenter)^2)/(2*EvSigma^2))))),"")</f>
        <v/>
      </c>
      <c r="O4218">
        <f>IF(B4218,ROUND(MAX(0,J4218*K4218*L4218*M4218*N4218),2),"")</f>
        <v/>
      </c>
    </row>
    <row r="4219">
      <c r="A4219" t="n">
        <v>4218</v>
      </c>
      <c r="B4219">
        <f>A4219&lt;=MineCount*Days</f>
        <v/>
      </c>
      <c r="C4219">
        <f>IF(B4219,INT((A4219-1)/Days)+1,"")</f>
        <v/>
      </c>
      <c r="D4219">
        <f>IF(B4219,MOD(A4219-1,Days),"")</f>
        <v/>
      </c>
      <c r="E4219" s="16">
        <f>IF(B4219,StartDate+D4219,"")</f>
        <v/>
      </c>
      <c r="F4219">
        <f>IF(B4219,MAX(MOD(SIN(Seed*0.1373+C4219*12.9898+D4219*78.233)*43758.5453,1),1E-9),"")</f>
        <v/>
      </c>
      <c r="G4219">
        <f>IF(B4219,MOD(SIN(Seed*0.5917+C4219*39.3468+D4219*11.135)*24634.6345,1),"")</f>
        <v/>
      </c>
      <c r="H4219">
        <f>IF(B4219,SQRT(-2*LN(F4219))*COS(2*PI()*G4219),"")</f>
        <v/>
      </c>
      <c r="I4219">
        <f>IF(B4219,IF(D4219=0,H4219,Rho*I4218+SQRT(1-Rho^2)*H4219),"")</f>
        <v/>
      </c>
      <c r="J4219">
        <f>IF(B4219,IF(Dist="Normal",DistA+DistB*I4219,DistA+(DistB-DistA)*NORMSDIST(I4219)),"")</f>
        <v/>
      </c>
      <c r="K4219">
        <f>IF(B4219,INDEX(MineScale,C4219),"")</f>
        <v/>
      </c>
      <c r="L4219">
        <f>IF(B4219,INDEX(Dow,1,WEEKDAY(E4219,2)),"")</f>
        <v/>
      </c>
      <c r="M4219">
        <f>IF(B4219,(1+Trend)^D4219,"")</f>
        <v/>
      </c>
      <c r="N4219">
        <f>IF(B4219,EXP(SUMPRODUCT(LN(1+(EvEff-1)*INDEX(Affected,0,C4219)*EXP(-((E4219-EvCenter)^2)/(2*EvSigma^2))))),"")</f>
        <v/>
      </c>
      <c r="O4219">
        <f>IF(B4219,ROUND(MAX(0,J4219*K4219*L4219*M4219*N4219),2),"")</f>
        <v/>
      </c>
    </row>
    <row r="4220">
      <c r="A4220" t="n">
        <v>4219</v>
      </c>
      <c r="B4220">
        <f>A4220&lt;=MineCount*Days</f>
        <v/>
      </c>
      <c r="C4220">
        <f>IF(B4220,INT((A4220-1)/Days)+1,"")</f>
        <v/>
      </c>
      <c r="D4220">
        <f>IF(B4220,MOD(A4220-1,Days),"")</f>
        <v/>
      </c>
      <c r="E4220" s="16">
        <f>IF(B4220,StartDate+D4220,"")</f>
        <v/>
      </c>
      <c r="F4220">
        <f>IF(B4220,MAX(MOD(SIN(Seed*0.1373+C4220*12.9898+D4220*78.233)*43758.5453,1),1E-9),"")</f>
        <v/>
      </c>
      <c r="G4220">
        <f>IF(B4220,MOD(SIN(Seed*0.5917+C4220*39.3468+D4220*11.135)*24634.6345,1),"")</f>
        <v/>
      </c>
      <c r="H4220">
        <f>IF(B4220,SQRT(-2*LN(F4220))*COS(2*PI()*G4220),"")</f>
        <v/>
      </c>
      <c r="I4220">
        <f>IF(B4220,IF(D4220=0,H4220,Rho*I4219+SQRT(1-Rho^2)*H4220),"")</f>
        <v/>
      </c>
      <c r="J4220">
        <f>IF(B4220,IF(Dist="Normal",DistA+DistB*I4220,DistA+(DistB-DistA)*NORMSDIST(I4220)),"")</f>
        <v/>
      </c>
      <c r="K4220">
        <f>IF(B4220,INDEX(MineScale,C4220),"")</f>
        <v/>
      </c>
      <c r="L4220">
        <f>IF(B4220,INDEX(Dow,1,WEEKDAY(E4220,2)),"")</f>
        <v/>
      </c>
      <c r="M4220">
        <f>IF(B4220,(1+Trend)^D4220,"")</f>
        <v/>
      </c>
      <c r="N4220">
        <f>IF(B4220,EXP(SUMPRODUCT(LN(1+(EvEff-1)*INDEX(Affected,0,C4220)*EXP(-((E4220-EvCenter)^2)/(2*EvSigma^2))))),"")</f>
        <v/>
      </c>
      <c r="O4220">
        <f>IF(B4220,ROUND(MAX(0,J4220*K4220*L4220*M4220*N4220),2),"")</f>
        <v/>
      </c>
    </row>
    <row r="4221">
      <c r="A4221" t="n">
        <v>4220</v>
      </c>
      <c r="B4221">
        <f>A4221&lt;=MineCount*Days</f>
        <v/>
      </c>
      <c r="C4221">
        <f>IF(B4221,INT((A4221-1)/Days)+1,"")</f>
        <v/>
      </c>
      <c r="D4221">
        <f>IF(B4221,MOD(A4221-1,Days),"")</f>
        <v/>
      </c>
      <c r="E4221" s="16">
        <f>IF(B4221,StartDate+D4221,"")</f>
        <v/>
      </c>
      <c r="F4221">
        <f>IF(B4221,MAX(MOD(SIN(Seed*0.1373+C4221*12.9898+D4221*78.233)*43758.5453,1),1E-9),"")</f>
        <v/>
      </c>
      <c r="G4221">
        <f>IF(B4221,MOD(SIN(Seed*0.5917+C4221*39.3468+D4221*11.135)*24634.6345,1),"")</f>
        <v/>
      </c>
      <c r="H4221">
        <f>IF(B4221,SQRT(-2*LN(F4221))*COS(2*PI()*G4221),"")</f>
        <v/>
      </c>
      <c r="I4221">
        <f>IF(B4221,IF(D4221=0,H4221,Rho*I4220+SQRT(1-Rho^2)*H4221),"")</f>
        <v/>
      </c>
      <c r="J4221">
        <f>IF(B4221,IF(Dist="Normal",DistA+DistB*I4221,DistA+(DistB-DistA)*NORMSDIST(I4221)),"")</f>
        <v/>
      </c>
      <c r="K4221">
        <f>IF(B4221,INDEX(MineScale,C4221),"")</f>
        <v/>
      </c>
      <c r="L4221">
        <f>IF(B4221,INDEX(Dow,1,WEEKDAY(E4221,2)),"")</f>
        <v/>
      </c>
      <c r="M4221">
        <f>IF(B4221,(1+Trend)^D4221,"")</f>
        <v/>
      </c>
      <c r="N4221">
        <f>IF(B4221,EXP(SUMPRODUCT(LN(1+(EvEff-1)*INDEX(Affected,0,C4221)*EXP(-((E4221-EvCenter)^2)/(2*EvSigma^2))))),"")</f>
        <v/>
      </c>
      <c r="O4221">
        <f>IF(B4221,ROUND(MAX(0,J4221*K4221*L4221*M4221*N4221),2),"")</f>
        <v/>
      </c>
    </row>
    <row r="4222">
      <c r="A4222" t="n">
        <v>4221</v>
      </c>
      <c r="B4222">
        <f>A4222&lt;=MineCount*Days</f>
        <v/>
      </c>
      <c r="C4222">
        <f>IF(B4222,INT((A4222-1)/Days)+1,"")</f>
        <v/>
      </c>
      <c r="D4222">
        <f>IF(B4222,MOD(A4222-1,Days),"")</f>
        <v/>
      </c>
      <c r="E4222" s="16">
        <f>IF(B4222,StartDate+D4222,"")</f>
        <v/>
      </c>
      <c r="F4222">
        <f>IF(B4222,MAX(MOD(SIN(Seed*0.1373+C4222*12.9898+D4222*78.233)*43758.5453,1),1E-9),"")</f>
        <v/>
      </c>
      <c r="G4222">
        <f>IF(B4222,MOD(SIN(Seed*0.5917+C4222*39.3468+D4222*11.135)*24634.6345,1),"")</f>
        <v/>
      </c>
      <c r="H4222">
        <f>IF(B4222,SQRT(-2*LN(F4222))*COS(2*PI()*G4222),"")</f>
        <v/>
      </c>
      <c r="I4222">
        <f>IF(B4222,IF(D4222=0,H4222,Rho*I4221+SQRT(1-Rho^2)*H4222),"")</f>
        <v/>
      </c>
      <c r="J4222">
        <f>IF(B4222,IF(Dist="Normal",DistA+DistB*I4222,DistA+(DistB-DistA)*NORMSDIST(I4222)),"")</f>
        <v/>
      </c>
      <c r="K4222">
        <f>IF(B4222,INDEX(MineScale,C4222),"")</f>
        <v/>
      </c>
      <c r="L4222">
        <f>IF(B4222,INDEX(Dow,1,WEEKDAY(E4222,2)),"")</f>
        <v/>
      </c>
      <c r="M4222">
        <f>IF(B4222,(1+Trend)^D4222,"")</f>
        <v/>
      </c>
      <c r="N4222">
        <f>IF(B4222,EXP(SUMPRODUCT(LN(1+(EvEff-1)*INDEX(Affected,0,C4222)*EXP(-((E4222-EvCenter)^2)/(2*EvSigma^2))))),"")</f>
        <v/>
      </c>
      <c r="O4222">
        <f>IF(B4222,ROUND(MAX(0,J4222*K4222*L4222*M4222*N4222),2),"")</f>
        <v/>
      </c>
    </row>
    <row r="4223">
      <c r="A4223" t="n">
        <v>4222</v>
      </c>
      <c r="B4223">
        <f>A4223&lt;=MineCount*Days</f>
        <v/>
      </c>
      <c r="C4223">
        <f>IF(B4223,INT((A4223-1)/Days)+1,"")</f>
        <v/>
      </c>
      <c r="D4223">
        <f>IF(B4223,MOD(A4223-1,Days),"")</f>
        <v/>
      </c>
      <c r="E4223" s="16">
        <f>IF(B4223,StartDate+D4223,"")</f>
        <v/>
      </c>
      <c r="F4223">
        <f>IF(B4223,MAX(MOD(SIN(Seed*0.1373+C4223*12.9898+D4223*78.233)*43758.5453,1),1E-9),"")</f>
        <v/>
      </c>
      <c r="G4223">
        <f>IF(B4223,MOD(SIN(Seed*0.5917+C4223*39.3468+D4223*11.135)*24634.6345,1),"")</f>
        <v/>
      </c>
      <c r="H4223">
        <f>IF(B4223,SQRT(-2*LN(F4223))*COS(2*PI()*G4223),"")</f>
        <v/>
      </c>
      <c r="I4223">
        <f>IF(B4223,IF(D4223=0,H4223,Rho*I4222+SQRT(1-Rho^2)*H4223),"")</f>
        <v/>
      </c>
      <c r="J4223">
        <f>IF(B4223,IF(Dist="Normal",DistA+DistB*I4223,DistA+(DistB-DistA)*NORMSDIST(I4223)),"")</f>
        <v/>
      </c>
      <c r="K4223">
        <f>IF(B4223,INDEX(MineScale,C4223),"")</f>
        <v/>
      </c>
      <c r="L4223">
        <f>IF(B4223,INDEX(Dow,1,WEEKDAY(E4223,2)),"")</f>
        <v/>
      </c>
      <c r="M4223">
        <f>IF(B4223,(1+Trend)^D4223,"")</f>
        <v/>
      </c>
      <c r="N4223">
        <f>IF(B4223,EXP(SUMPRODUCT(LN(1+(EvEff-1)*INDEX(Affected,0,C4223)*EXP(-((E4223-EvCenter)^2)/(2*EvSigma^2))))),"")</f>
        <v/>
      </c>
      <c r="O4223">
        <f>IF(B4223,ROUND(MAX(0,J4223*K4223*L4223*M4223*N4223),2),"")</f>
        <v/>
      </c>
    </row>
    <row r="4224">
      <c r="A4224" t="n">
        <v>4223</v>
      </c>
      <c r="B4224">
        <f>A4224&lt;=MineCount*Days</f>
        <v/>
      </c>
      <c r="C4224">
        <f>IF(B4224,INT((A4224-1)/Days)+1,"")</f>
        <v/>
      </c>
      <c r="D4224">
        <f>IF(B4224,MOD(A4224-1,Days),"")</f>
        <v/>
      </c>
      <c r="E4224" s="16">
        <f>IF(B4224,StartDate+D4224,"")</f>
        <v/>
      </c>
      <c r="F4224">
        <f>IF(B4224,MAX(MOD(SIN(Seed*0.1373+C4224*12.9898+D4224*78.233)*43758.5453,1),1E-9),"")</f>
        <v/>
      </c>
      <c r="G4224">
        <f>IF(B4224,MOD(SIN(Seed*0.5917+C4224*39.3468+D4224*11.135)*24634.6345,1),"")</f>
        <v/>
      </c>
      <c r="H4224">
        <f>IF(B4224,SQRT(-2*LN(F4224))*COS(2*PI()*G4224),"")</f>
        <v/>
      </c>
      <c r="I4224">
        <f>IF(B4224,IF(D4224=0,H4224,Rho*I4223+SQRT(1-Rho^2)*H4224),"")</f>
        <v/>
      </c>
      <c r="J4224">
        <f>IF(B4224,IF(Dist="Normal",DistA+DistB*I4224,DistA+(DistB-DistA)*NORMSDIST(I4224)),"")</f>
        <v/>
      </c>
      <c r="K4224">
        <f>IF(B4224,INDEX(MineScale,C4224),"")</f>
        <v/>
      </c>
      <c r="L4224">
        <f>IF(B4224,INDEX(Dow,1,WEEKDAY(E4224,2)),"")</f>
        <v/>
      </c>
      <c r="M4224">
        <f>IF(B4224,(1+Trend)^D4224,"")</f>
        <v/>
      </c>
      <c r="N4224">
        <f>IF(B4224,EXP(SUMPRODUCT(LN(1+(EvEff-1)*INDEX(Affected,0,C4224)*EXP(-((E4224-EvCenter)^2)/(2*EvSigma^2))))),"")</f>
        <v/>
      </c>
      <c r="O4224">
        <f>IF(B4224,ROUND(MAX(0,J4224*K4224*L4224*M4224*N4224),2),"")</f>
        <v/>
      </c>
    </row>
    <row r="4225">
      <c r="A4225" t="n">
        <v>4224</v>
      </c>
      <c r="B4225">
        <f>A4225&lt;=MineCount*Days</f>
        <v/>
      </c>
      <c r="C4225">
        <f>IF(B4225,INT((A4225-1)/Days)+1,"")</f>
        <v/>
      </c>
      <c r="D4225">
        <f>IF(B4225,MOD(A4225-1,Days),"")</f>
        <v/>
      </c>
      <c r="E4225" s="16">
        <f>IF(B4225,StartDate+D4225,"")</f>
        <v/>
      </c>
      <c r="F4225">
        <f>IF(B4225,MAX(MOD(SIN(Seed*0.1373+C4225*12.9898+D4225*78.233)*43758.5453,1),1E-9),"")</f>
        <v/>
      </c>
      <c r="G4225">
        <f>IF(B4225,MOD(SIN(Seed*0.5917+C4225*39.3468+D4225*11.135)*24634.6345,1),"")</f>
        <v/>
      </c>
      <c r="H4225">
        <f>IF(B4225,SQRT(-2*LN(F4225))*COS(2*PI()*G4225),"")</f>
        <v/>
      </c>
      <c r="I4225">
        <f>IF(B4225,IF(D4225=0,H4225,Rho*I4224+SQRT(1-Rho^2)*H4225),"")</f>
        <v/>
      </c>
      <c r="J4225">
        <f>IF(B4225,IF(Dist="Normal",DistA+DistB*I4225,DistA+(DistB-DistA)*NORMSDIST(I4225)),"")</f>
        <v/>
      </c>
      <c r="K4225">
        <f>IF(B4225,INDEX(MineScale,C4225),"")</f>
        <v/>
      </c>
      <c r="L4225">
        <f>IF(B4225,INDEX(Dow,1,WEEKDAY(E4225,2)),"")</f>
        <v/>
      </c>
      <c r="M4225">
        <f>IF(B4225,(1+Trend)^D4225,"")</f>
        <v/>
      </c>
      <c r="N4225">
        <f>IF(B4225,EXP(SUMPRODUCT(LN(1+(EvEff-1)*INDEX(Affected,0,C4225)*EXP(-((E4225-EvCenter)^2)/(2*EvSigma^2))))),"")</f>
        <v/>
      </c>
      <c r="O4225">
        <f>IF(B4225,ROUND(MAX(0,J4225*K4225*L4225*M4225*N4225),2),"")</f>
        <v/>
      </c>
    </row>
    <row r="4226">
      <c r="A4226" t="n">
        <v>4225</v>
      </c>
      <c r="B4226">
        <f>A4226&lt;=MineCount*Days</f>
        <v/>
      </c>
      <c r="C4226">
        <f>IF(B4226,INT((A4226-1)/Days)+1,"")</f>
        <v/>
      </c>
      <c r="D4226">
        <f>IF(B4226,MOD(A4226-1,Days),"")</f>
        <v/>
      </c>
      <c r="E4226" s="16">
        <f>IF(B4226,StartDate+D4226,"")</f>
        <v/>
      </c>
      <c r="F4226">
        <f>IF(B4226,MAX(MOD(SIN(Seed*0.1373+C4226*12.9898+D4226*78.233)*43758.5453,1),1E-9),"")</f>
        <v/>
      </c>
      <c r="G4226">
        <f>IF(B4226,MOD(SIN(Seed*0.5917+C4226*39.3468+D4226*11.135)*24634.6345,1),"")</f>
        <v/>
      </c>
      <c r="H4226">
        <f>IF(B4226,SQRT(-2*LN(F4226))*COS(2*PI()*G4226),"")</f>
        <v/>
      </c>
      <c r="I4226">
        <f>IF(B4226,IF(D4226=0,H4226,Rho*I4225+SQRT(1-Rho^2)*H4226),"")</f>
        <v/>
      </c>
      <c r="J4226">
        <f>IF(B4226,IF(Dist="Normal",DistA+DistB*I4226,DistA+(DistB-DistA)*NORMSDIST(I4226)),"")</f>
        <v/>
      </c>
      <c r="K4226">
        <f>IF(B4226,INDEX(MineScale,C4226),"")</f>
        <v/>
      </c>
      <c r="L4226">
        <f>IF(B4226,INDEX(Dow,1,WEEKDAY(E4226,2)),"")</f>
        <v/>
      </c>
      <c r="M4226">
        <f>IF(B4226,(1+Trend)^D4226,"")</f>
        <v/>
      </c>
      <c r="N4226">
        <f>IF(B4226,EXP(SUMPRODUCT(LN(1+(EvEff-1)*INDEX(Affected,0,C4226)*EXP(-((E4226-EvCenter)^2)/(2*EvSigma^2))))),"")</f>
        <v/>
      </c>
      <c r="O4226">
        <f>IF(B4226,ROUND(MAX(0,J4226*K4226*L4226*M4226*N4226),2),"")</f>
        <v/>
      </c>
    </row>
    <row r="4227">
      <c r="A4227" t="n">
        <v>4226</v>
      </c>
      <c r="B4227">
        <f>A4227&lt;=MineCount*Days</f>
        <v/>
      </c>
      <c r="C4227">
        <f>IF(B4227,INT((A4227-1)/Days)+1,"")</f>
        <v/>
      </c>
      <c r="D4227">
        <f>IF(B4227,MOD(A4227-1,Days),"")</f>
        <v/>
      </c>
      <c r="E4227" s="16">
        <f>IF(B4227,StartDate+D4227,"")</f>
        <v/>
      </c>
      <c r="F4227">
        <f>IF(B4227,MAX(MOD(SIN(Seed*0.1373+C4227*12.9898+D4227*78.233)*43758.5453,1),1E-9),"")</f>
        <v/>
      </c>
      <c r="G4227">
        <f>IF(B4227,MOD(SIN(Seed*0.5917+C4227*39.3468+D4227*11.135)*24634.6345,1),"")</f>
        <v/>
      </c>
      <c r="H4227">
        <f>IF(B4227,SQRT(-2*LN(F4227))*COS(2*PI()*G4227),"")</f>
        <v/>
      </c>
      <c r="I4227">
        <f>IF(B4227,IF(D4227=0,H4227,Rho*I4226+SQRT(1-Rho^2)*H4227),"")</f>
        <v/>
      </c>
      <c r="J4227">
        <f>IF(B4227,IF(Dist="Normal",DistA+DistB*I4227,DistA+(DistB-DistA)*NORMSDIST(I4227)),"")</f>
        <v/>
      </c>
      <c r="K4227">
        <f>IF(B4227,INDEX(MineScale,C4227),"")</f>
        <v/>
      </c>
      <c r="L4227">
        <f>IF(B4227,INDEX(Dow,1,WEEKDAY(E4227,2)),"")</f>
        <v/>
      </c>
      <c r="M4227">
        <f>IF(B4227,(1+Trend)^D4227,"")</f>
        <v/>
      </c>
      <c r="N4227">
        <f>IF(B4227,EXP(SUMPRODUCT(LN(1+(EvEff-1)*INDEX(Affected,0,C4227)*EXP(-((E4227-EvCenter)^2)/(2*EvSigma^2))))),"")</f>
        <v/>
      </c>
      <c r="O4227">
        <f>IF(B4227,ROUND(MAX(0,J4227*K4227*L4227*M4227*N4227),2),"")</f>
        <v/>
      </c>
    </row>
    <row r="4228">
      <c r="A4228" t="n">
        <v>4227</v>
      </c>
      <c r="B4228">
        <f>A4228&lt;=MineCount*Days</f>
        <v/>
      </c>
      <c r="C4228">
        <f>IF(B4228,INT((A4228-1)/Days)+1,"")</f>
        <v/>
      </c>
      <c r="D4228">
        <f>IF(B4228,MOD(A4228-1,Days),"")</f>
        <v/>
      </c>
      <c r="E4228" s="16">
        <f>IF(B4228,StartDate+D4228,"")</f>
        <v/>
      </c>
      <c r="F4228">
        <f>IF(B4228,MAX(MOD(SIN(Seed*0.1373+C4228*12.9898+D4228*78.233)*43758.5453,1),1E-9),"")</f>
        <v/>
      </c>
      <c r="G4228">
        <f>IF(B4228,MOD(SIN(Seed*0.5917+C4228*39.3468+D4228*11.135)*24634.6345,1),"")</f>
        <v/>
      </c>
      <c r="H4228">
        <f>IF(B4228,SQRT(-2*LN(F4228))*COS(2*PI()*G4228),"")</f>
        <v/>
      </c>
      <c r="I4228">
        <f>IF(B4228,IF(D4228=0,H4228,Rho*I4227+SQRT(1-Rho^2)*H4228),"")</f>
        <v/>
      </c>
      <c r="J4228">
        <f>IF(B4228,IF(Dist="Normal",DistA+DistB*I4228,DistA+(DistB-DistA)*NORMSDIST(I4228)),"")</f>
        <v/>
      </c>
      <c r="K4228">
        <f>IF(B4228,INDEX(MineScale,C4228),"")</f>
        <v/>
      </c>
      <c r="L4228">
        <f>IF(B4228,INDEX(Dow,1,WEEKDAY(E4228,2)),"")</f>
        <v/>
      </c>
      <c r="M4228">
        <f>IF(B4228,(1+Trend)^D4228,"")</f>
        <v/>
      </c>
      <c r="N4228">
        <f>IF(B4228,EXP(SUMPRODUCT(LN(1+(EvEff-1)*INDEX(Affected,0,C4228)*EXP(-((E4228-EvCenter)^2)/(2*EvSigma^2))))),"")</f>
        <v/>
      </c>
      <c r="O4228">
        <f>IF(B4228,ROUND(MAX(0,J4228*K4228*L4228*M4228*N4228),2),"")</f>
        <v/>
      </c>
    </row>
    <row r="4229">
      <c r="A4229" t="n">
        <v>4228</v>
      </c>
      <c r="B4229">
        <f>A4229&lt;=MineCount*Days</f>
        <v/>
      </c>
      <c r="C4229">
        <f>IF(B4229,INT((A4229-1)/Days)+1,"")</f>
        <v/>
      </c>
      <c r="D4229">
        <f>IF(B4229,MOD(A4229-1,Days),"")</f>
        <v/>
      </c>
      <c r="E4229" s="16">
        <f>IF(B4229,StartDate+D4229,"")</f>
        <v/>
      </c>
      <c r="F4229">
        <f>IF(B4229,MAX(MOD(SIN(Seed*0.1373+C4229*12.9898+D4229*78.233)*43758.5453,1),1E-9),"")</f>
        <v/>
      </c>
      <c r="G4229">
        <f>IF(B4229,MOD(SIN(Seed*0.5917+C4229*39.3468+D4229*11.135)*24634.6345,1),"")</f>
        <v/>
      </c>
      <c r="H4229">
        <f>IF(B4229,SQRT(-2*LN(F4229))*COS(2*PI()*G4229),"")</f>
        <v/>
      </c>
      <c r="I4229">
        <f>IF(B4229,IF(D4229=0,H4229,Rho*I4228+SQRT(1-Rho^2)*H4229),"")</f>
        <v/>
      </c>
      <c r="J4229">
        <f>IF(B4229,IF(Dist="Normal",DistA+DistB*I4229,DistA+(DistB-DistA)*NORMSDIST(I4229)),"")</f>
        <v/>
      </c>
      <c r="K4229">
        <f>IF(B4229,INDEX(MineScale,C4229),"")</f>
        <v/>
      </c>
      <c r="L4229">
        <f>IF(B4229,INDEX(Dow,1,WEEKDAY(E4229,2)),"")</f>
        <v/>
      </c>
      <c r="M4229">
        <f>IF(B4229,(1+Trend)^D4229,"")</f>
        <v/>
      </c>
      <c r="N4229">
        <f>IF(B4229,EXP(SUMPRODUCT(LN(1+(EvEff-1)*INDEX(Affected,0,C4229)*EXP(-((E4229-EvCenter)^2)/(2*EvSigma^2))))),"")</f>
        <v/>
      </c>
      <c r="O4229">
        <f>IF(B4229,ROUND(MAX(0,J4229*K4229*L4229*M4229*N4229),2),"")</f>
        <v/>
      </c>
    </row>
    <row r="4230">
      <c r="A4230" t="n">
        <v>4229</v>
      </c>
      <c r="B4230">
        <f>A4230&lt;=MineCount*Days</f>
        <v/>
      </c>
      <c r="C4230">
        <f>IF(B4230,INT((A4230-1)/Days)+1,"")</f>
        <v/>
      </c>
      <c r="D4230">
        <f>IF(B4230,MOD(A4230-1,Days),"")</f>
        <v/>
      </c>
      <c r="E4230" s="16">
        <f>IF(B4230,StartDate+D4230,"")</f>
        <v/>
      </c>
      <c r="F4230">
        <f>IF(B4230,MAX(MOD(SIN(Seed*0.1373+C4230*12.9898+D4230*78.233)*43758.5453,1),1E-9),"")</f>
        <v/>
      </c>
      <c r="G4230">
        <f>IF(B4230,MOD(SIN(Seed*0.5917+C4230*39.3468+D4230*11.135)*24634.6345,1),"")</f>
        <v/>
      </c>
      <c r="H4230">
        <f>IF(B4230,SQRT(-2*LN(F4230))*COS(2*PI()*G4230),"")</f>
        <v/>
      </c>
      <c r="I4230">
        <f>IF(B4230,IF(D4230=0,H4230,Rho*I4229+SQRT(1-Rho^2)*H4230),"")</f>
        <v/>
      </c>
      <c r="J4230">
        <f>IF(B4230,IF(Dist="Normal",DistA+DistB*I4230,DistA+(DistB-DistA)*NORMSDIST(I4230)),"")</f>
        <v/>
      </c>
      <c r="K4230">
        <f>IF(B4230,INDEX(MineScale,C4230),"")</f>
        <v/>
      </c>
      <c r="L4230">
        <f>IF(B4230,INDEX(Dow,1,WEEKDAY(E4230,2)),"")</f>
        <v/>
      </c>
      <c r="M4230">
        <f>IF(B4230,(1+Trend)^D4230,"")</f>
        <v/>
      </c>
      <c r="N4230">
        <f>IF(B4230,EXP(SUMPRODUCT(LN(1+(EvEff-1)*INDEX(Affected,0,C4230)*EXP(-((E4230-EvCenter)^2)/(2*EvSigma^2))))),"")</f>
        <v/>
      </c>
      <c r="O4230">
        <f>IF(B4230,ROUND(MAX(0,J4230*K4230*L4230*M4230*N4230),2),"")</f>
        <v/>
      </c>
    </row>
    <row r="4231">
      <c r="A4231" t="n">
        <v>4230</v>
      </c>
      <c r="B4231">
        <f>A4231&lt;=MineCount*Days</f>
        <v/>
      </c>
      <c r="C4231">
        <f>IF(B4231,INT((A4231-1)/Days)+1,"")</f>
        <v/>
      </c>
      <c r="D4231">
        <f>IF(B4231,MOD(A4231-1,Days),"")</f>
        <v/>
      </c>
      <c r="E4231" s="16">
        <f>IF(B4231,StartDate+D4231,"")</f>
        <v/>
      </c>
      <c r="F4231">
        <f>IF(B4231,MAX(MOD(SIN(Seed*0.1373+C4231*12.9898+D4231*78.233)*43758.5453,1),1E-9),"")</f>
        <v/>
      </c>
      <c r="G4231">
        <f>IF(B4231,MOD(SIN(Seed*0.5917+C4231*39.3468+D4231*11.135)*24634.6345,1),"")</f>
        <v/>
      </c>
      <c r="H4231">
        <f>IF(B4231,SQRT(-2*LN(F4231))*COS(2*PI()*G4231),"")</f>
        <v/>
      </c>
      <c r="I4231">
        <f>IF(B4231,IF(D4231=0,H4231,Rho*I4230+SQRT(1-Rho^2)*H4231),"")</f>
        <v/>
      </c>
      <c r="J4231">
        <f>IF(B4231,IF(Dist="Normal",DistA+DistB*I4231,DistA+(DistB-DistA)*NORMSDIST(I4231)),"")</f>
        <v/>
      </c>
      <c r="K4231">
        <f>IF(B4231,INDEX(MineScale,C4231),"")</f>
        <v/>
      </c>
      <c r="L4231">
        <f>IF(B4231,INDEX(Dow,1,WEEKDAY(E4231,2)),"")</f>
        <v/>
      </c>
      <c r="M4231">
        <f>IF(B4231,(1+Trend)^D4231,"")</f>
        <v/>
      </c>
      <c r="N4231">
        <f>IF(B4231,EXP(SUMPRODUCT(LN(1+(EvEff-1)*INDEX(Affected,0,C4231)*EXP(-((E4231-EvCenter)^2)/(2*EvSigma^2))))),"")</f>
        <v/>
      </c>
      <c r="O4231">
        <f>IF(B4231,ROUND(MAX(0,J4231*K4231*L4231*M4231*N4231),2),"")</f>
        <v/>
      </c>
    </row>
    <row r="4232">
      <c r="A4232" t="n">
        <v>4231</v>
      </c>
      <c r="B4232">
        <f>A4232&lt;=MineCount*Days</f>
        <v/>
      </c>
      <c r="C4232">
        <f>IF(B4232,INT((A4232-1)/Days)+1,"")</f>
        <v/>
      </c>
      <c r="D4232">
        <f>IF(B4232,MOD(A4232-1,Days),"")</f>
        <v/>
      </c>
      <c r="E4232" s="16">
        <f>IF(B4232,StartDate+D4232,"")</f>
        <v/>
      </c>
      <c r="F4232">
        <f>IF(B4232,MAX(MOD(SIN(Seed*0.1373+C4232*12.9898+D4232*78.233)*43758.5453,1),1E-9),"")</f>
        <v/>
      </c>
      <c r="G4232">
        <f>IF(B4232,MOD(SIN(Seed*0.5917+C4232*39.3468+D4232*11.135)*24634.6345,1),"")</f>
        <v/>
      </c>
      <c r="H4232">
        <f>IF(B4232,SQRT(-2*LN(F4232))*COS(2*PI()*G4232),"")</f>
        <v/>
      </c>
      <c r="I4232">
        <f>IF(B4232,IF(D4232=0,H4232,Rho*I4231+SQRT(1-Rho^2)*H4232),"")</f>
        <v/>
      </c>
      <c r="J4232">
        <f>IF(B4232,IF(Dist="Normal",DistA+DistB*I4232,DistA+(DistB-DistA)*NORMSDIST(I4232)),"")</f>
        <v/>
      </c>
      <c r="K4232">
        <f>IF(B4232,INDEX(MineScale,C4232),"")</f>
        <v/>
      </c>
      <c r="L4232">
        <f>IF(B4232,INDEX(Dow,1,WEEKDAY(E4232,2)),"")</f>
        <v/>
      </c>
      <c r="M4232">
        <f>IF(B4232,(1+Trend)^D4232,"")</f>
        <v/>
      </c>
      <c r="N4232">
        <f>IF(B4232,EXP(SUMPRODUCT(LN(1+(EvEff-1)*INDEX(Affected,0,C4232)*EXP(-((E4232-EvCenter)^2)/(2*EvSigma^2))))),"")</f>
        <v/>
      </c>
      <c r="O4232">
        <f>IF(B4232,ROUND(MAX(0,J4232*K4232*L4232*M4232*N4232),2),"")</f>
        <v/>
      </c>
    </row>
    <row r="4233">
      <c r="A4233" t="n">
        <v>4232</v>
      </c>
      <c r="B4233">
        <f>A4233&lt;=MineCount*Days</f>
        <v/>
      </c>
      <c r="C4233">
        <f>IF(B4233,INT((A4233-1)/Days)+1,"")</f>
        <v/>
      </c>
      <c r="D4233">
        <f>IF(B4233,MOD(A4233-1,Days),"")</f>
        <v/>
      </c>
      <c r="E4233" s="16">
        <f>IF(B4233,StartDate+D4233,"")</f>
        <v/>
      </c>
      <c r="F4233">
        <f>IF(B4233,MAX(MOD(SIN(Seed*0.1373+C4233*12.9898+D4233*78.233)*43758.5453,1),1E-9),"")</f>
        <v/>
      </c>
      <c r="G4233">
        <f>IF(B4233,MOD(SIN(Seed*0.5917+C4233*39.3468+D4233*11.135)*24634.6345,1),"")</f>
        <v/>
      </c>
      <c r="H4233">
        <f>IF(B4233,SQRT(-2*LN(F4233))*COS(2*PI()*G4233),"")</f>
        <v/>
      </c>
      <c r="I4233">
        <f>IF(B4233,IF(D4233=0,H4233,Rho*I4232+SQRT(1-Rho^2)*H4233),"")</f>
        <v/>
      </c>
      <c r="J4233">
        <f>IF(B4233,IF(Dist="Normal",DistA+DistB*I4233,DistA+(DistB-DistA)*NORMSDIST(I4233)),"")</f>
        <v/>
      </c>
      <c r="K4233">
        <f>IF(B4233,INDEX(MineScale,C4233),"")</f>
        <v/>
      </c>
      <c r="L4233">
        <f>IF(B4233,INDEX(Dow,1,WEEKDAY(E4233,2)),"")</f>
        <v/>
      </c>
      <c r="M4233">
        <f>IF(B4233,(1+Trend)^D4233,"")</f>
        <v/>
      </c>
      <c r="N4233">
        <f>IF(B4233,EXP(SUMPRODUCT(LN(1+(EvEff-1)*INDEX(Affected,0,C4233)*EXP(-((E4233-EvCenter)^2)/(2*EvSigma^2))))),"")</f>
        <v/>
      </c>
      <c r="O4233">
        <f>IF(B4233,ROUND(MAX(0,J4233*K4233*L4233*M4233*N4233),2),"")</f>
        <v/>
      </c>
    </row>
    <row r="4234">
      <c r="A4234" t="n">
        <v>4233</v>
      </c>
      <c r="B4234">
        <f>A4234&lt;=MineCount*Days</f>
        <v/>
      </c>
      <c r="C4234">
        <f>IF(B4234,INT((A4234-1)/Days)+1,"")</f>
        <v/>
      </c>
      <c r="D4234">
        <f>IF(B4234,MOD(A4234-1,Days),"")</f>
        <v/>
      </c>
      <c r="E4234" s="16">
        <f>IF(B4234,StartDate+D4234,"")</f>
        <v/>
      </c>
      <c r="F4234">
        <f>IF(B4234,MAX(MOD(SIN(Seed*0.1373+C4234*12.9898+D4234*78.233)*43758.5453,1),1E-9),"")</f>
        <v/>
      </c>
      <c r="G4234">
        <f>IF(B4234,MOD(SIN(Seed*0.5917+C4234*39.3468+D4234*11.135)*24634.6345,1),"")</f>
        <v/>
      </c>
      <c r="H4234">
        <f>IF(B4234,SQRT(-2*LN(F4234))*COS(2*PI()*G4234),"")</f>
        <v/>
      </c>
      <c r="I4234">
        <f>IF(B4234,IF(D4234=0,H4234,Rho*I4233+SQRT(1-Rho^2)*H4234),"")</f>
        <v/>
      </c>
      <c r="J4234">
        <f>IF(B4234,IF(Dist="Normal",DistA+DistB*I4234,DistA+(DistB-DistA)*NORMSDIST(I4234)),"")</f>
        <v/>
      </c>
      <c r="K4234">
        <f>IF(B4234,INDEX(MineScale,C4234),"")</f>
        <v/>
      </c>
      <c r="L4234">
        <f>IF(B4234,INDEX(Dow,1,WEEKDAY(E4234,2)),"")</f>
        <v/>
      </c>
      <c r="M4234">
        <f>IF(B4234,(1+Trend)^D4234,"")</f>
        <v/>
      </c>
      <c r="N4234">
        <f>IF(B4234,EXP(SUMPRODUCT(LN(1+(EvEff-1)*INDEX(Affected,0,C4234)*EXP(-((E4234-EvCenter)^2)/(2*EvSigma^2))))),"")</f>
        <v/>
      </c>
      <c r="O4234">
        <f>IF(B4234,ROUND(MAX(0,J4234*K4234*L4234*M4234*N4234),2),"")</f>
        <v/>
      </c>
    </row>
    <row r="4235">
      <c r="A4235" t="n">
        <v>4234</v>
      </c>
      <c r="B4235">
        <f>A4235&lt;=MineCount*Days</f>
        <v/>
      </c>
      <c r="C4235">
        <f>IF(B4235,INT((A4235-1)/Days)+1,"")</f>
        <v/>
      </c>
      <c r="D4235">
        <f>IF(B4235,MOD(A4235-1,Days),"")</f>
        <v/>
      </c>
      <c r="E4235" s="16">
        <f>IF(B4235,StartDate+D4235,"")</f>
        <v/>
      </c>
      <c r="F4235">
        <f>IF(B4235,MAX(MOD(SIN(Seed*0.1373+C4235*12.9898+D4235*78.233)*43758.5453,1),1E-9),"")</f>
        <v/>
      </c>
      <c r="G4235">
        <f>IF(B4235,MOD(SIN(Seed*0.5917+C4235*39.3468+D4235*11.135)*24634.6345,1),"")</f>
        <v/>
      </c>
      <c r="H4235">
        <f>IF(B4235,SQRT(-2*LN(F4235))*COS(2*PI()*G4235),"")</f>
        <v/>
      </c>
      <c r="I4235">
        <f>IF(B4235,IF(D4235=0,H4235,Rho*I4234+SQRT(1-Rho^2)*H4235),"")</f>
        <v/>
      </c>
      <c r="J4235">
        <f>IF(B4235,IF(Dist="Normal",DistA+DistB*I4235,DistA+(DistB-DistA)*NORMSDIST(I4235)),"")</f>
        <v/>
      </c>
      <c r="K4235">
        <f>IF(B4235,INDEX(MineScale,C4235),"")</f>
        <v/>
      </c>
      <c r="L4235">
        <f>IF(B4235,INDEX(Dow,1,WEEKDAY(E4235,2)),"")</f>
        <v/>
      </c>
      <c r="M4235">
        <f>IF(B4235,(1+Trend)^D4235,"")</f>
        <v/>
      </c>
      <c r="N4235">
        <f>IF(B4235,EXP(SUMPRODUCT(LN(1+(EvEff-1)*INDEX(Affected,0,C4235)*EXP(-((E4235-EvCenter)^2)/(2*EvSigma^2))))),"")</f>
        <v/>
      </c>
      <c r="O4235">
        <f>IF(B4235,ROUND(MAX(0,J4235*K4235*L4235*M4235*N4235),2),"")</f>
        <v/>
      </c>
    </row>
    <row r="4236">
      <c r="A4236" t="n">
        <v>4235</v>
      </c>
      <c r="B4236">
        <f>A4236&lt;=MineCount*Days</f>
        <v/>
      </c>
      <c r="C4236">
        <f>IF(B4236,INT((A4236-1)/Days)+1,"")</f>
        <v/>
      </c>
      <c r="D4236">
        <f>IF(B4236,MOD(A4236-1,Days),"")</f>
        <v/>
      </c>
      <c r="E4236" s="16">
        <f>IF(B4236,StartDate+D4236,"")</f>
        <v/>
      </c>
      <c r="F4236">
        <f>IF(B4236,MAX(MOD(SIN(Seed*0.1373+C4236*12.9898+D4236*78.233)*43758.5453,1),1E-9),"")</f>
        <v/>
      </c>
      <c r="G4236">
        <f>IF(B4236,MOD(SIN(Seed*0.5917+C4236*39.3468+D4236*11.135)*24634.6345,1),"")</f>
        <v/>
      </c>
      <c r="H4236">
        <f>IF(B4236,SQRT(-2*LN(F4236))*COS(2*PI()*G4236),"")</f>
        <v/>
      </c>
      <c r="I4236">
        <f>IF(B4236,IF(D4236=0,H4236,Rho*I4235+SQRT(1-Rho^2)*H4236),"")</f>
        <v/>
      </c>
      <c r="J4236">
        <f>IF(B4236,IF(Dist="Normal",DistA+DistB*I4236,DistA+(DistB-DistA)*NORMSDIST(I4236)),"")</f>
        <v/>
      </c>
      <c r="K4236">
        <f>IF(B4236,INDEX(MineScale,C4236),"")</f>
        <v/>
      </c>
      <c r="L4236">
        <f>IF(B4236,INDEX(Dow,1,WEEKDAY(E4236,2)),"")</f>
        <v/>
      </c>
      <c r="M4236">
        <f>IF(B4236,(1+Trend)^D4236,"")</f>
        <v/>
      </c>
      <c r="N4236">
        <f>IF(B4236,EXP(SUMPRODUCT(LN(1+(EvEff-1)*INDEX(Affected,0,C4236)*EXP(-((E4236-EvCenter)^2)/(2*EvSigma^2))))),"")</f>
        <v/>
      </c>
      <c r="O4236">
        <f>IF(B4236,ROUND(MAX(0,J4236*K4236*L4236*M4236*N4236),2),"")</f>
        <v/>
      </c>
    </row>
    <row r="4237">
      <c r="A4237" t="n">
        <v>4236</v>
      </c>
      <c r="B4237">
        <f>A4237&lt;=MineCount*Days</f>
        <v/>
      </c>
      <c r="C4237">
        <f>IF(B4237,INT((A4237-1)/Days)+1,"")</f>
        <v/>
      </c>
      <c r="D4237">
        <f>IF(B4237,MOD(A4237-1,Days),"")</f>
        <v/>
      </c>
      <c r="E4237" s="16">
        <f>IF(B4237,StartDate+D4237,"")</f>
        <v/>
      </c>
      <c r="F4237">
        <f>IF(B4237,MAX(MOD(SIN(Seed*0.1373+C4237*12.9898+D4237*78.233)*43758.5453,1),1E-9),"")</f>
        <v/>
      </c>
      <c r="G4237">
        <f>IF(B4237,MOD(SIN(Seed*0.5917+C4237*39.3468+D4237*11.135)*24634.6345,1),"")</f>
        <v/>
      </c>
      <c r="H4237">
        <f>IF(B4237,SQRT(-2*LN(F4237))*COS(2*PI()*G4237),"")</f>
        <v/>
      </c>
      <c r="I4237">
        <f>IF(B4237,IF(D4237=0,H4237,Rho*I4236+SQRT(1-Rho^2)*H4237),"")</f>
        <v/>
      </c>
      <c r="J4237">
        <f>IF(B4237,IF(Dist="Normal",DistA+DistB*I4237,DistA+(DistB-DistA)*NORMSDIST(I4237)),"")</f>
        <v/>
      </c>
      <c r="K4237">
        <f>IF(B4237,INDEX(MineScale,C4237),"")</f>
        <v/>
      </c>
      <c r="L4237">
        <f>IF(B4237,INDEX(Dow,1,WEEKDAY(E4237,2)),"")</f>
        <v/>
      </c>
      <c r="M4237">
        <f>IF(B4237,(1+Trend)^D4237,"")</f>
        <v/>
      </c>
      <c r="N4237">
        <f>IF(B4237,EXP(SUMPRODUCT(LN(1+(EvEff-1)*INDEX(Affected,0,C4237)*EXP(-((E4237-EvCenter)^2)/(2*EvSigma^2))))),"")</f>
        <v/>
      </c>
      <c r="O4237">
        <f>IF(B4237,ROUND(MAX(0,J4237*K4237*L4237*M4237*N4237),2),"")</f>
        <v/>
      </c>
    </row>
    <row r="4238">
      <c r="A4238" t="n">
        <v>4237</v>
      </c>
      <c r="B4238">
        <f>A4238&lt;=MineCount*Days</f>
        <v/>
      </c>
      <c r="C4238">
        <f>IF(B4238,INT((A4238-1)/Days)+1,"")</f>
        <v/>
      </c>
      <c r="D4238">
        <f>IF(B4238,MOD(A4238-1,Days),"")</f>
        <v/>
      </c>
      <c r="E4238" s="16">
        <f>IF(B4238,StartDate+D4238,"")</f>
        <v/>
      </c>
      <c r="F4238">
        <f>IF(B4238,MAX(MOD(SIN(Seed*0.1373+C4238*12.9898+D4238*78.233)*43758.5453,1),1E-9),"")</f>
        <v/>
      </c>
      <c r="G4238">
        <f>IF(B4238,MOD(SIN(Seed*0.5917+C4238*39.3468+D4238*11.135)*24634.6345,1),"")</f>
        <v/>
      </c>
      <c r="H4238">
        <f>IF(B4238,SQRT(-2*LN(F4238))*COS(2*PI()*G4238),"")</f>
        <v/>
      </c>
      <c r="I4238">
        <f>IF(B4238,IF(D4238=0,H4238,Rho*I4237+SQRT(1-Rho^2)*H4238),"")</f>
        <v/>
      </c>
      <c r="J4238">
        <f>IF(B4238,IF(Dist="Normal",DistA+DistB*I4238,DistA+(DistB-DistA)*NORMSDIST(I4238)),"")</f>
        <v/>
      </c>
      <c r="K4238">
        <f>IF(B4238,INDEX(MineScale,C4238),"")</f>
        <v/>
      </c>
      <c r="L4238">
        <f>IF(B4238,INDEX(Dow,1,WEEKDAY(E4238,2)),"")</f>
        <v/>
      </c>
      <c r="M4238">
        <f>IF(B4238,(1+Trend)^D4238,"")</f>
        <v/>
      </c>
      <c r="N4238">
        <f>IF(B4238,EXP(SUMPRODUCT(LN(1+(EvEff-1)*INDEX(Affected,0,C4238)*EXP(-((E4238-EvCenter)^2)/(2*EvSigma^2))))),"")</f>
        <v/>
      </c>
      <c r="O4238">
        <f>IF(B4238,ROUND(MAX(0,J4238*K4238*L4238*M4238*N4238),2),"")</f>
        <v/>
      </c>
    </row>
    <row r="4239">
      <c r="A4239" t="n">
        <v>4238</v>
      </c>
      <c r="B4239">
        <f>A4239&lt;=MineCount*Days</f>
        <v/>
      </c>
      <c r="C4239">
        <f>IF(B4239,INT((A4239-1)/Days)+1,"")</f>
        <v/>
      </c>
      <c r="D4239">
        <f>IF(B4239,MOD(A4239-1,Days),"")</f>
        <v/>
      </c>
      <c r="E4239" s="16">
        <f>IF(B4239,StartDate+D4239,"")</f>
        <v/>
      </c>
      <c r="F4239">
        <f>IF(B4239,MAX(MOD(SIN(Seed*0.1373+C4239*12.9898+D4239*78.233)*43758.5453,1),1E-9),"")</f>
        <v/>
      </c>
      <c r="G4239">
        <f>IF(B4239,MOD(SIN(Seed*0.5917+C4239*39.3468+D4239*11.135)*24634.6345,1),"")</f>
        <v/>
      </c>
      <c r="H4239">
        <f>IF(B4239,SQRT(-2*LN(F4239))*COS(2*PI()*G4239),"")</f>
        <v/>
      </c>
      <c r="I4239">
        <f>IF(B4239,IF(D4239=0,H4239,Rho*I4238+SQRT(1-Rho^2)*H4239),"")</f>
        <v/>
      </c>
      <c r="J4239">
        <f>IF(B4239,IF(Dist="Normal",DistA+DistB*I4239,DistA+(DistB-DistA)*NORMSDIST(I4239)),"")</f>
        <v/>
      </c>
      <c r="K4239">
        <f>IF(B4239,INDEX(MineScale,C4239),"")</f>
        <v/>
      </c>
      <c r="L4239">
        <f>IF(B4239,INDEX(Dow,1,WEEKDAY(E4239,2)),"")</f>
        <v/>
      </c>
      <c r="M4239">
        <f>IF(B4239,(1+Trend)^D4239,"")</f>
        <v/>
      </c>
      <c r="N4239">
        <f>IF(B4239,EXP(SUMPRODUCT(LN(1+(EvEff-1)*INDEX(Affected,0,C4239)*EXP(-((E4239-EvCenter)^2)/(2*EvSigma^2))))),"")</f>
        <v/>
      </c>
      <c r="O4239">
        <f>IF(B4239,ROUND(MAX(0,J4239*K4239*L4239*M4239*N4239),2),"")</f>
        <v/>
      </c>
    </row>
    <row r="4240">
      <c r="A4240" t="n">
        <v>4239</v>
      </c>
      <c r="B4240">
        <f>A4240&lt;=MineCount*Days</f>
        <v/>
      </c>
      <c r="C4240">
        <f>IF(B4240,INT((A4240-1)/Days)+1,"")</f>
        <v/>
      </c>
      <c r="D4240">
        <f>IF(B4240,MOD(A4240-1,Days),"")</f>
        <v/>
      </c>
      <c r="E4240" s="16">
        <f>IF(B4240,StartDate+D4240,"")</f>
        <v/>
      </c>
      <c r="F4240">
        <f>IF(B4240,MAX(MOD(SIN(Seed*0.1373+C4240*12.9898+D4240*78.233)*43758.5453,1),1E-9),"")</f>
        <v/>
      </c>
      <c r="G4240">
        <f>IF(B4240,MOD(SIN(Seed*0.5917+C4240*39.3468+D4240*11.135)*24634.6345,1),"")</f>
        <v/>
      </c>
      <c r="H4240">
        <f>IF(B4240,SQRT(-2*LN(F4240))*COS(2*PI()*G4240),"")</f>
        <v/>
      </c>
      <c r="I4240">
        <f>IF(B4240,IF(D4240=0,H4240,Rho*I4239+SQRT(1-Rho^2)*H4240),"")</f>
        <v/>
      </c>
      <c r="J4240">
        <f>IF(B4240,IF(Dist="Normal",DistA+DistB*I4240,DistA+(DistB-DistA)*NORMSDIST(I4240)),"")</f>
        <v/>
      </c>
      <c r="K4240">
        <f>IF(B4240,INDEX(MineScale,C4240),"")</f>
        <v/>
      </c>
      <c r="L4240">
        <f>IF(B4240,INDEX(Dow,1,WEEKDAY(E4240,2)),"")</f>
        <v/>
      </c>
      <c r="M4240">
        <f>IF(B4240,(1+Trend)^D4240,"")</f>
        <v/>
      </c>
      <c r="N4240">
        <f>IF(B4240,EXP(SUMPRODUCT(LN(1+(EvEff-1)*INDEX(Affected,0,C4240)*EXP(-((E4240-EvCenter)^2)/(2*EvSigma^2))))),"")</f>
        <v/>
      </c>
      <c r="O4240">
        <f>IF(B4240,ROUND(MAX(0,J4240*K4240*L4240*M4240*N4240),2),"")</f>
        <v/>
      </c>
    </row>
    <row r="4241">
      <c r="A4241" t="n">
        <v>4240</v>
      </c>
      <c r="B4241">
        <f>A4241&lt;=MineCount*Days</f>
        <v/>
      </c>
      <c r="C4241">
        <f>IF(B4241,INT((A4241-1)/Days)+1,"")</f>
        <v/>
      </c>
      <c r="D4241">
        <f>IF(B4241,MOD(A4241-1,Days),"")</f>
        <v/>
      </c>
      <c r="E4241" s="16">
        <f>IF(B4241,StartDate+D4241,"")</f>
        <v/>
      </c>
      <c r="F4241">
        <f>IF(B4241,MAX(MOD(SIN(Seed*0.1373+C4241*12.9898+D4241*78.233)*43758.5453,1),1E-9),"")</f>
        <v/>
      </c>
      <c r="G4241">
        <f>IF(B4241,MOD(SIN(Seed*0.5917+C4241*39.3468+D4241*11.135)*24634.6345,1),"")</f>
        <v/>
      </c>
      <c r="H4241">
        <f>IF(B4241,SQRT(-2*LN(F4241))*COS(2*PI()*G4241),"")</f>
        <v/>
      </c>
      <c r="I4241">
        <f>IF(B4241,IF(D4241=0,H4241,Rho*I4240+SQRT(1-Rho^2)*H4241),"")</f>
        <v/>
      </c>
      <c r="J4241">
        <f>IF(B4241,IF(Dist="Normal",DistA+DistB*I4241,DistA+(DistB-DistA)*NORMSDIST(I4241)),"")</f>
        <v/>
      </c>
      <c r="K4241">
        <f>IF(B4241,INDEX(MineScale,C4241),"")</f>
        <v/>
      </c>
      <c r="L4241">
        <f>IF(B4241,INDEX(Dow,1,WEEKDAY(E4241,2)),"")</f>
        <v/>
      </c>
      <c r="M4241">
        <f>IF(B4241,(1+Trend)^D4241,"")</f>
        <v/>
      </c>
      <c r="N4241">
        <f>IF(B4241,EXP(SUMPRODUCT(LN(1+(EvEff-1)*INDEX(Affected,0,C4241)*EXP(-((E4241-EvCenter)^2)/(2*EvSigma^2))))),"")</f>
        <v/>
      </c>
      <c r="O4241">
        <f>IF(B4241,ROUND(MAX(0,J4241*K4241*L4241*M4241*N4241),2),"")</f>
        <v/>
      </c>
    </row>
    <row r="4242">
      <c r="A4242" t="n">
        <v>4241</v>
      </c>
      <c r="B4242">
        <f>A4242&lt;=MineCount*Days</f>
        <v/>
      </c>
      <c r="C4242">
        <f>IF(B4242,INT((A4242-1)/Days)+1,"")</f>
        <v/>
      </c>
      <c r="D4242">
        <f>IF(B4242,MOD(A4242-1,Days),"")</f>
        <v/>
      </c>
      <c r="E4242" s="16">
        <f>IF(B4242,StartDate+D4242,"")</f>
        <v/>
      </c>
      <c r="F4242">
        <f>IF(B4242,MAX(MOD(SIN(Seed*0.1373+C4242*12.9898+D4242*78.233)*43758.5453,1),1E-9),"")</f>
        <v/>
      </c>
      <c r="G4242">
        <f>IF(B4242,MOD(SIN(Seed*0.5917+C4242*39.3468+D4242*11.135)*24634.6345,1),"")</f>
        <v/>
      </c>
      <c r="H4242">
        <f>IF(B4242,SQRT(-2*LN(F4242))*COS(2*PI()*G4242),"")</f>
        <v/>
      </c>
      <c r="I4242">
        <f>IF(B4242,IF(D4242=0,H4242,Rho*I4241+SQRT(1-Rho^2)*H4242),"")</f>
        <v/>
      </c>
      <c r="J4242">
        <f>IF(B4242,IF(Dist="Normal",DistA+DistB*I4242,DistA+(DistB-DistA)*NORMSDIST(I4242)),"")</f>
        <v/>
      </c>
      <c r="K4242">
        <f>IF(B4242,INDEX(MineScale,C4242),"")</f>
        <v/>
      </c>
      <c r="L4242">
        <f>IF(B4242,INDEX(Dow,1,WEEKDAY(E4242,2)),"")</f>
        <v/>
      </c>
      <c r="M4242">
        <f>IF(B4242,(1+Trend)^D4242,"")</f>
        <v/>
      </c>
      <c r="N4242">
        <f>IF(B4242,EXP(SUMPRODUCT(LN(1+(EvEff-1)*INDEX(Affected,0,C4242)*EXP(-((E4242-EvCenter)^2)/(2*EvSigma^2))))),"")</f>
        <v/>
      </c>
      <c r="O4242">
        <f>IF(B4242,ROUND(MAX(0,J4242*K4242*L4242*M4242*N4242),2),"")</f>
        <v/>
      </c>
    </row>
    <row r="4243">
      <c r="A4243" t="n">
        <v>4242</v>
      </c>
      <c r="B4243">
        <f>A4243&lt;=MineCount*Days</f>
        <v/>
      </c>
      <c r="C4243">
        <f>IF(B4243,INT((A4243-1)/Days)+1,"")</f>
        <v/>
      </c>
      <c r="D4243">
        <f>IF(B4243,MOD(A4243-1,Days),"")</f>
        <v/>
      </c>
      <c r="E4243" s="16">
        <f>IF(B4243,StartDate+D4243,"")</f>
        <v/>
      </c>
      <c r="F4243">
        <f>IF(B4243,MAX(MOD(SIN(Seed*0.1373+C4243*12.9898+D4243*78.233)*43758.5453,1),1E-9),"")</f>
        <v/>
      </c>
      <c r="G4243">
        <f>IF(B4243,MOD(SIN(Seed*0.5917+C4243*39.3468+D4243*11.135)*24634.6345,1),"")</f>
        <v/>
      </c>
      <c r="H4243">
        <f>IF(B4243,SQRT(-2*LN(F4243))*COS(2*PI()*G4243),"")</f>
        <v/>
      </c>
      <c r="I4243">
        <f>IF(B4243,IF(D4243=0,H4243,Rho*I4242+SQRT(1-Rho^2)*H4243),"")</f>
        <v/>
      </c>
      <c r="J4243">
        <f>IF(B4243,IF(Dist="Normal",DistA+DistB*I4243,DistA+(DistB-DistA)*NORMSDIST(I4243)),"")</f>
        <v/>
      </c>
      <c r="K4243">
        <f>IF(B4243,INDEX(MineScale,C4243),"")</f>
        <v/>
      </c>
      <c r="L4243">
        <f>IF(B4243,INDEX(Dow,1,WEEKDAY(E4243,2)),"")</f>
        <v/>
      </c>
      <c r="M4243">
        <f>IF(B4243,(1+Trend)^D4243,"")</f>
        <v/>
      </c>
      <c r="N4243">
        <f>IF(B4243,EXP(SUMPRODUCT(LN(1+(EvEff-1)*INDEX(Affected,0,C4243)*EXP(-((E4243-EvCenter)^2)/(2*EvSigma^2))))),"")</f>
        <v/>
      </c>
      <c r="O4243">
        <f>IF(B4243,ROUND(MAX(0,J4243*K4243*L4243*M4243*N4243),2),"")</f>
        <v/>
      </c>
    </row>
    <row r="4244">
      <c r="A4244" t="n">
        <v>4243</v>
      </c>
      <c r="B4244">
        <f>A4244&lt;=MineCount*Days</f>
        <v/>
      </c>
      <c r="C4244">
        <f>IF(B4244,INT((A4244-1)/Days)+1,"")</f>
        <v/>
      </c>
      <c r="D4244">
        <f>IF(B4244,MOD(A4244-1,Days),"")</f>
        <v/>
      </c>
      <c r="E4244" s="16">
        <f>IF(B4244,StartDate+D4244,"")</f>
        <v/>
      </c>
      <c r="F4244">
        <f>IF(B4244,MAX(MOD(SIN(Seed*0.1373+C4244*12.9898+D4244*78.233)*43758.5453,1),1E-9),"")</f>
        <v/>
      </c>
      <c r="G4244">
        <f>IF(B4244,MOD(SIN(Seed*0.5917+C4244*39.3468+D4244*11.135)*24634.6345,1),"")</f>
        <v/>
      </c>
      <c r="H4244">
        <f>IF(B4244,SQRT(-2*LN(F4244))*COS(2*PI()*G4244),"")</f>
        <v/>
      </c>
      <c r="I4244">
        <f>IF(B4244,IF(D4244=0,H4244,Rho*I4243+SQRT(1-Rho^2)*H4244),"")</f>
        <v/>
      </c>
      <c r="J4244">
        <f>IF(B4244,IF(Dist="Normal",DistA+DistB*I4244,DistA+(DistB-DistA)*NORMSDIST(I4244)),"")</f>
        <v/>
      </c>
      <c r="K4244">
        <f>IF(B4244,INDEX(MineScale,C4244),"")</f>
        <v/>
      </c>
      <c r="L4244">
        <f>IF(B4244,INDEX(Dow,1,WEEKDAY(E4244,2)),"")</f>
        <v/>
      </c>
      <c r="M4244">
        <f>IF(B4244,(1+Trend)^D4244,"")</f>
        <v/>
      </c>
      <c r="N4244">
        <f>IF(B4244,EXP(SUMPRODUCT(LN(1+(EvEff-1)*INDEX(Affected,0,C4244)*EXP(-((E4244-EvCenter)^2)/(2*EvSigma^2))))),"")</f>
        <v/>
      </c>
      <c r="O4244">
        <f>IF(B4244,ROUND(MAX(0,J4244*K4244*L4244*M4244*N4244),2),"")</f>
        <v/>
      </c>
    </row>
    <row r="4245">
      <c r="A4245" t="n">
        <v>4244</v>
      </c>
      <c r="B4245">
        <f>A4245&lt;=MineCount*Days</f>
        <v/>
      </c>
      <c r="C4245">
        <f>IF(B4245,INT((A4245-1)/Days)+1,"")</f>
        <v/>
      </c>
      <c r="D4245">
        <f>IF(B4245,MOD(A4245-1,Days),"")</f>
        <v/>
      </c>
      <c r="E4245" s="16">
        <f>IF(B4245,StartDate+D4245,"")</f>
        <v/>
      </c>
      <c r="F4245">
        <f>IF(B4245,MAX(MOD(SIN(Seed*0.1373+C4245*12.9898+D4245*78.233)*43758.5453,1),1E-9),"")</f>
        <v/>
      </c>
      <c r="G4245">
        <f>IF(B4245,MOD(SIN(Seed*0.5917+C4245*39.3468+D4245*11.135)*24634.6345,1),"")</f>
        <v/>
      </c>
      <c r="H4245">
        <f>IF(B4245,SQRT(-2*LN(F4245))*COS(2*PI()*G4245),"")</f>
        <v/>
      </c>
      <c r="I4245">
        <f>IF(B4245,IF(D4245=0,H4245,Rho*I4244+SQRT(1-Rho^2)*H4245),"")</f>
        <v/>
      </c>
      <c r="J4245">
        <f>IF(B4245,IF(Dist="Normal",DistA+DistB*I4245,DistA+(DistB-DistA)*NORMSDIST(I4245)),"")</f>
        <v/>
      </c>
      <c r="K4245">
        <f>IF(B4245,INDEX(MineScale,C4245),"")</f>
        <v/>
      </c>
      <c r="L4245">
        <f>IF(B4245,INDEX(Dow,1,WEEKDAY(E4245,2)),"")</f>
        <v/>
      </c>
      <c r="M4245">
        <f>IF(B4245,(1+Trend)^D4245,"")</f>
        <v/>
      </c>
      <c r="N4245">
        <f>IF(B4245,EXP(SUMPRODUCT(LN(1+(EvEff-1)*INDEX(Affected,0,C4245)*EXP(-((E4245-EvCenter)^2)/(2*EvSigma^2))))),"")</f>
        <v/>
      </c>
      <c r="O4245">
        <f>IF(B4245,ROUND(MAX(0,J4245*K4245*L4245*M4245*N4245),2),"")</f>
        <v/>
      </c>
    </row>
    <row r="4246">
      <c r="A4246" t="n">
        <v>4245</v>
      </c>
      <c r="B4246">
        <f>A4246&lt;=MineCount*Days</f>
        <v/>
      </c>
      <c r="C4246">
        <f>IF(B4246,INT((A4246-1)/Days)+1,"")</f>
        <v/>
      </c>
      <c r="D4246">
        <f>IF(B4246,MOD(A4246-1,Days),"")</f>
        <v/>
      </c>
      <c r="E4246" s="16">
        <f>IF(B4246,StartDate+D4246,"")</f>
        <v/>
      </c>
      <c r="F4246">
        <f>IF(B4246,MAX(MOD(SIN(Seed*0.1373+C4246*12.9898+D4246*78.233)*43758.5453,1),1E-9),"")</f>
        <v/>
      </c>
      <c r="G4246">
        <f>IF(B4246,MOD(SIN(Seed*0.5917+C4246*39.3468+D4246*11.135)*24634.6345,1),"")</f>
        <v/>
      </c>
      <c r="H4246">
        <f>IF(B4246,SQRT(-2*LN(F4246))*COS(2*PI()*G4246),"")</f>
        <v/>
      </c>
      <c r="I4246">
        <f>IF(B4246,IF(D4246=0,H4246,Rho*I4245+SQRT(1-Rho^2)*H4246),"")</f>
        <v/>
      </c>
      <c r="J4246">
        <f>IF(B4246,IF(Dist="Normal",DistA+DistB*I4246,DistA+(DistB-DistA)*NORMSDIST(I4246)),"")</f>
        <v/>
      </c>
      <c r="K4246">
        <f>IF(B4246,INDEX(MineScale,C4246),"")</f>
        <v/>
      </c>
      <c r="L4246">
        <f>IF(B4246,INDEX(Dow,1,WEEKDAY(E4246,2)),"")</f>
        <v/>
      </c>
      <c r="M4246">
        <f>IF(B4246,(1+Trend)^D4246,"")</f>
        <v/>
      </c>
      <c r="N4246">
        <f>IF(B4246,EXP(SUMPRODUCT(LN(1+(EvEff-1)*INDEX(Affected,0,C4246)*EXP(-((E4246-EvCenter)^2)/(2*EvSigma^2))))),"")</f>
        <v/>
      </c>
      <c r="O4246">
        <f>IF(B4246,ROUND(MAX(0,J4246*K4246*L4246*M4246*N4246),2),"")</f>
        <v/>
      </c>
    </row>
    <row r="4247">
      <c r="A4247" t="n">
        <v>4246</v>
      </c>
      <c r="B4247">
        <f>A4247&lt;=MineCount*Days</f>
        <v/>
      </c>
      <c r="C4247">
        <f>IF(B4247,INT((A4247-1)/Days)+1,"")</f>
        <v/>
      </c>
      <c r="D4247">
        <f>IF(B4247,MOD(A4247-1,Days),"")</f>
        <v/>
      </c>
      <c r="E4247" s="16">
        <f>IF(B4247,StartDate+D4247,"")</f>
        <v/>
      </c>
      <c r="F4247">
        <f>IF(B4247,MAX(MOD(SIN(Seed*0.1373+C4247*12.9898+D4247*78.233)*43758.5453,1),1E-9),"")</f>
        <v/>
      </c>
      <c r="G4247">
        <f>IF(B4247,MOD(SIN(Seed*0.5917+C4247*39.3468+D4247*11.135)*24634.6345,1),"")</f>
        <v/>
      </c>
      <c r="H4247">
        <f>IF(B4247,SQRT(-2*LN(F4247))*COS(2*PI()*G4247),"")</f>
        <v/>
      </c>
      <c r="I4247">
        <f>IF(B4247,IF(D4247=0,H4247,Rho*I4246+SQRT(1-Rho^2)*H4247),"")</f>
        <v/>
      </c>
      <c r="J4247">
        <f>IF(B4247,IF(Dist="Normal",DistA+DistB*I4247,DistA+(DistB-DistA)*NORMSDIST(I4247)),"")</f>
        <v/>
      </c>
      <c r="K4247">
        <f>IF(B4247,INDEX(MineScale,C4247),"")</f>
        <v/>
      </c>
      <c r="L4247">
        <f>IF(B4247,INDEX(Dow,1,WEEKDAY(E4247,2)),"")</f>
        <v/>
      </c>
      <c r="M4247">
        <f>IF(B4247,(1+Trend)^D4247,"")</f>
        <v/>
      </c>
      <c r="N4247">
        <f>IF(B4247,EXP(SUMPRODUCT(LN(1+(EvEff-1)*INDEX(Affected,0,C4247)*EXP(-((E4247-EvCenter)^2)/(2*EvSigma^2))))),"")</f>
        <v/>
      </c>
      <c r="O4247">
        <f>IF(B4247,ROUND(MAX(0,J4247*K4247*L4247*M4247*N4247),2),"")</f>
        <v/>
      </c>
    </row>
    <row r="4248">
      <c r="A4248" t="n">
        <v>4247</v>
      </c>
      <c r="B4248">
        <f>A4248&lt;=MineCount*Days</f>
        <v/>
      </c>
      <c r="C4248">
        <f>IF(B4248,INT((A4248-1)/Days)+1,"")</f>
        <v/>
      </c>
      <c r="D4248">
        <f>IF(B4248,MOD(A4248-1,Days),"")</f>
        <v/>
      </c>
      <c r="E4248" s="16">
        <f>IF(B4248,StartDate+D4248,"")</f>
        <v/>
      </c>
      <c r="F4248">
        <f>IF(B4248,MAX(MOD(SIN(Seed*0.1373+C4248*12.9898+D4248*78.233)*43758.5453,1),1E-9),"")</f>
        <v/>
      </c>
      <c r="G4248">
        <f>IF(B4248,MOD(SIN(Seed*0.5917+C4248*39.3468+D4248*11.135)*24634.6345,1),"")</f>
        <v/>
      </c>
      <c r="H4248">
        <f>IF(B4248,SQRT(-2*LN(F4248))*COS(2*PI()*G4248),"")</f>
        <v/>
      </c>
      <c r="I4248">
        <f>IF(B4248,IF(D4248=0,H4248,Rho*I4247+SQRT(1-Rho^2)*H4248),"")</f>
        <v/>
      </c>
      <c r="J4248">
        <f>IF(B4248,IF(Dist="Normal",DistA+DistB*I4248,DistA+(DistB-DistA)*NORMSDIST(I4248)),"")</f>
        <v/>
      </c>
      <c r="K4248">
        <f>IF(B4248,INDEX(MineScale,C4248),"")</f>
        <v/>
      </c>
      <c r="L4248">
        <f>IF(B4248,INDEX(Dow,1,WEEKDAY(E4248,2)),"")</f>
        <v/>
      </c>
      <c r="M4248">
        <f>IF(B4248,(1+Trend)^D4248,"")</f>
        <v/>
      </c>
      <c r="N4248">
        <f>IF(B4248,EXP(SUMPRODUCT(LN(1+(EvEff-1)*INDEX(Affected,0,C4248)*EXP(-((E4248-EvCenter)^2)/(2*EvSigma^2))))),"")</f>
        <v/>
      </c>
      <c r="O4248">
        <f>IF(B4248,ROUND(MAX(0,J4248*K4248*L4248*M4248*N4248),2),"")</f>
        <v/>
      </c>
    </row>
    <row r="4249">
      <c r="A4249" t="n">
        <v>4248</v>
      </c>
      <c r="B4249">
        <f>A4249&lt;=MineCount*Days</f>
        <v/>
      </c>
      <c r="C4249">
        <f>IF(B4249,INT((A4249-1)/Days)+1,"")</f>
        <v/>
      </c>
      <c r="D4249">
        <f>IF(B4249,MOD(A4249-1,Days),"")</f>
        <v/>
      </c>
      <c r="E4249" s="16">
        <f>IF(B4249,StartDate+D4249,"")</f>
        <v/>
      </c>
      <c r="F4249">
        <f>IF(B4249,MAX(MOD(SIN(Seed*0.1373+C4249*12.9898+D4249*78.233)*43758.5453,1),1E-9),"")</f>
        <v/>
      </c>
      <c r="G4249">
        <f>IF(B4249,MOD(SIN(Seed*0.5917+C4249*39.3468+D4249*11.135)*24634.6345,1),"")</f>
        <v/>
      </c>
      <c r="H4249">
        <f>IF(B4249,SQRT(-2*LN(F4249))*COS(2*PI()*G4249),"")</f>
        <v/>
      </c>
      <c r="I4249">
        <f>IF(B4249,IF(D4249=0,H4249,Rho*I4248+SQRT(1-Rho^2)*H4249),"")</f>
        <v/>
      </c>
      <c r="J4249">
        <f>IF(B4249,IF(Dist="Normal",DistA+DistB*I4249,DistA+(DistB-DistA)*NORMSDIST(I4249)),"")</f>
        <v/>
      </c>
      <c r="K4249">
        <f>IF(B4249,INDEX(MineScale,C4249),"")</f>
        <v/>
      </c>
      <c r="L4249">
        <f>IF(B4249,INDEX(Dow,1,WEEKDAY(E4249,2)),"")</f>
        <v/>
      </c>
      <c r="M4249">
        <f>IF(B4249,(1+Trend)^D4249,"")</f>
        <v/>
      </c>
      <c r="N4249">
        <f>IF(B4249,EXP(SUMPRODUCT(LN(1+(EvEff-1)*INDEX(Affected,0,C4249)*EXP(-((E4249-EvCenter)^2)/(2*EvSigma^2))))),"")</f>
        <v/>
      </c>
      <c r="O4249">
        <f>IF(B4249,ROUND(MAX(0,J4249*K4249*L4249*M4249*N4249),2),"")</f>
        <v/>
      </c>
    </row>
    <row r="4250">
      <c r="A4250" t="n">
        <v>4249</v>
      </c>
      <c r="B4250">
        <f>A4250&lt;=MineCount*Days</f>
        <v/>
      </c>
      <c r="C4250">
        <f>IF(B4250,INT((A4250-1)/Days)+1,"")</f>
        <v/>
      </c>
      <c r="D4250">
        <f>IF(B4250,MOD(A4250-1,Days),"")</f>
        <v/>
      </c>
      <c r="E4250" s="16">
        <f>IF(B4250,StartDate+D4250,"")</f>
        <v/>
      </c>
      <c r="F4250">
        <f>IF(B4250,MAX(MOD(SIN(Seed*0.1373+C4250*12.9898+D4250*78.233)*43758.5453,1),1E-9),"")</f>
        <v/>
      </c>
      <c r="G4250">
        <f>IF(B4250,MOD(SIN(Seed*0.5917+C4250*39.3468+D4250*11.135)*24634.6345,1),"")</f>
        <v/>
      </c>
      <c r="H4250">
        <f>IF(B4250,SQRT(-2*LN(F4250))*COS(2*PI()*G4250),"")</f>
        <v/>
      </c>
      <c r="I4250">
        <f>IF(B4250,IF(D4250=0,H4250,Rho*I4249+SQRT(1-Rho^2)*H4250),"")</f>
        <v/>
      </c>
      <c r="J4250">
        <f>IF(B4250,IF(Dist="Normal",DistA+DistB*I4250,DistA+(DistB-DistA)*NORMSDIST(I4250)),"")</f>
        <v/>
      </c>
      <c r="K4250">
        <f>IF(B4250,INDEX(MineScale,C4250),"")</f>
        <v/>
      </c>
      <c r="L4250">
        <f>IF(B4250,INDEX(Dow,1,WEEKDAY(E4250,2)),"")</f>
        <v/>
      </c>
      <c r="M4250">
        <f>IF(B4250,(1+Trend)^D4250,"")</f>
        <v/>
      </c>
      <c r="N4250">
        <f>IF(B4250,EXP(SUMPRODUCT(LN(1+(EvEff-1)*INDEX(Affected,0,C4250)*EXP(-((E4250-EvCenter)^2)/(2*EvSigma^2))))),"")</f>
        <v/>
      </c>
      <c r="O4250">
        <f>IF(B4250,ROUND(MAX(0,J4250*K4250*L4250*M4250*N4250),2),"")</f>
        <v/>
      </c>
    </row>
    <row r="4251">
      <c r="A4251" t="n">
        <v>4250</v>
      </c>
      <c r="B4251">
        <f>A4251&lt;=MineCount*Days</f>
        <v/>
      </c>
      <c r="C4251">
        <f>IF(B4251,INT((A4251-1)/Days)+1,"")</f>
        <v/>
      </c>
      <c r="D4251">
        <f>IF(B4251,MOD(A4251-1,Days),"")</f>
        <v/>
      </c>
      <c r="E4251" s="16">
        <f>IF(B4251,StartDate+D4251,"")</f>
        <v/>
      </c>
      <c r="F4251">
        <f>IF(B4251,MAX(MOD(SIN(Seed*0.1373+C4251*12.9898+D4251*78.233)*43758.5453,1),1E-9),"")</f>
        <v/>
      </c>
      <c r="G4251">
        <f>IF(B4251,MOD(SIN(Seed*0.5917+C4251*39.3468+D4251*11.135)*24634.6345,1),"")</f>
        <v/>
      </c>
      <c r="H4251">
        <f>IF(B4251,SQRT(-2*LN(F4251))*COS(2*PI()*G4251),"")</f>
        <v/>
      </c>
      <c r="I4251">
        <f>IF(B4251,IF(D4251=0,H4251,Rho*I4250+SQRT(1-Rho^2)*H4251),"")</f>
        <v/>
      </c>
      <c r="J4251">
        <f>IF(B4251,IF(Dist="Normal",DistA+DistB*I4251,DistA+(DistB-DistA)*NORMSDIST(I4251)),"")</f>
        <v/>
      </c>
      <c r="K4251">
        <f>IF(B4251,INDEX(MineScale,C4251),"")</f>
        <v/>
      </c>
      <c r="L4251">
        <f>IF(B4251,INDEX(Dow,1,WEEKDAY(E4251,2)),"")</f>
        <v/>
      </c>
      <c r="M4251">
        <f>IF(B4251,(1+Trend)^D4251,"")</f>
        <v/>
      </c>
      <c r="N4251">
        <f>IF(B4251,EXP(SUMPRODUCT(LN(1+(EvEff-1)*INDEX(Affected,0,C4251)*EXP(-((E4251-EvCenter)^2)/(2*EvSigma^2))))),"")</f>
        <v/>
      </c>
      <c r="O4251">
        <f>IF(B4251,ROUND(MAX(0,J4251*K4251*L4251*M4251*N4251),2),"")</f>
        <v/>
      </c>
    </row>
    <row r="4252">
      <c r="A4252" t="n">
        <v>4251</v>
      </c>
      <c r="B4252">
        <f>A4252&lt;=MineCount*Days</f>
        <v/>
      </c>
      <c r="C4252">
        <f>IF(B4252,INT((A4252-1)/Days)+1,"")</f>
        <v/>
      </c>
      <c r="D4252">
        <f>IF(B4252,MOD(A4252-1,Days),"")</f>
        <v/>
      </c>
      <c r="E4252" s="16">
        <f>IF(B4252,StartDate+D4252,"")</f>
        <v/>
      </c>
      <c r="F4252">
        <f>IF(B4252,MAX(MOD(SIN(Seed*0.1373+C4252*12.9898+D4252*78.233)*43758.5453,1),1E-9),"")</f>
        <v/>
      </c>
      <c r="G4252">
        <f>IF(B4252,MOD(SIN(Seed*0.5917+C4252*39.3468+D4252*11.135)*24634.6345,1),"")</f>
        <v/>
      </c>
      <c r="H4252">
        <f>IF(B4252,SQRT(-2*LN(F4252))*COS(2*PI()*G4252),"")</f>
        <v/>
      </c>
      <c r="I4252">
        <f>IF(B4252,IF(D4252=0,H4252,Rho*I4251+SQRT(1-Rho^2)*H4252),"")</f>
        <v/>
      </c>
      <c r="J4252">
        <f>IF(B4252,IF(Dist="Normal",DistA+DistB*I4252,DistA+(DistB-DistA)*NORMSDIST(I4252)),"")</f>
        <v/>
      </c>
      <c r="K4252">
        <f>IF(B4252,INDEX(MineScale,C4252),"")</f>
        <v/>
      </c>
      <c r="L4252">
        <f>IF(B4252,INDEX(Dow,1,WEEKDAY(E4252,2)),"")</f>
        <v/>
      </c>
      <c r="M4252">
        <f>IF(B4252,(1+Trend)^D4252,"")</f>
        <v/>
      </c>
      <c r="N4252">
        <f>IF(B4252,EXP(SUMPRODUCT(LN(1+(EvEff-1)*INDEX(Affected,0,C4252)*EXP(-((E4252-EvCenter)^2)/(2*EvSigma^2))))),"")</f>
        <v/>
      </c>
      <c r="O4252">
        <f>IF(B4252,ROUND(MAX(0,J4252*K4252*L4252*M4252*N4252),2),"")</f>
        <v/>
      </c>
    </row>
    <row r="4253">
      <c r="A4253" t="n">
        <v>4252</v>
      </c>
      <c r="B4253">
        <f>A4253&lt;=MineCount*Days</f>
        <v/>
      </c>
      <c r="C4253">
        <f>IF(B4253,INT((A4253-1)/Days)+1,"")</f>
        <v/>
      </c>
      <c r="D4253">
        <f>IF(B4253,MOD(A4253-1,Days),"")</f>
        <v/>
      </c>
      <c r="E4253" s="16">
        <f>IF(B4253,StartDate+D4253,"")</f>
        <v/>
      </c>
      <c r="F4253">
        <f>IF(B4253,MAX(MOD(SIN(Seed*0.1373+C4253*12.9898+D4253*78.233)*43758.5453,1),1E-9),"")</f>
        <v/>
      </c>
      <c r="G4253">
        <f>IF(B4253,MOD(SIN(Seed*0.5917+C4253*39.3468+D4253*11.135)*24634.6345,1),"")</f>
        <v/>
      </c>
      <c r="H4253">
        <f>IF(B4253,SQRT(-2*LN(F4253))*COS(2*PI()*G4253),"")</f>
        <v/>
      </c>
      <c r="I4253">
        <f>IF(B4253,IF(D4253=0,H4253,Rho*I4252+SQRT(1-Rho^2)*H4253),"")</f>
        <v/>
      </c>
      <c r="J4253">
        <f>IF(B4253,IF(Dist="Normal",DistA+DistB*I4253,DistA+(DistB-DistA)*NORMSDIST(I4253)),"")</f>
        <v/>
      </c>
      <c r="K4253">
        <f>IF(B4253,INDEX(MineScale,C4253),"")</f>
        <v/>
      </c>
      <c r="L4253">
        <f>IF(B4253,INDEX(Dow,1,WEEKDAY(E4253,2)),"")</f>
        <v/>
      </c>
      <c r="M4253">
        <f>IF(B4253,(1+Trend)^D4253,"")</f>
        <v/>
      </c>
      <c r="N4253">
        <f>IF(B4253,EXP(SUMPRODUCT(LN(1+(EvEff-1)*INDEX(Affected,0,C4253)*EXP(-((E4253-EvCenter)^2)/(2*EvSigma^2))))),"")</f>
        <v/>
      </c>
      <c r="O4253">
        <f>IF(B4253,ROUND(MAX(0,J4253*K4253*L4253*M4253*N4253),2),"")</f>
        <v/>
      </c>
    </row>
    <row r="4254">
      <c r="A4254" t="n">
        <v>4253</v>
      </c>
      <c r="B4254">
        <f>A4254&lt;=MineCount*Days</f>
        <v/>
      </c>
      <c r="C4254">
        <f>IF(B4254,INT((A4254-1)/Days)+1,"")</f>
        <v/>
      </c>
      <c r="D4254">
        <f>IF(B4254,MOD(A4254-1,Days),"")</f>
        <v/>
      </c>
      <c r="E4254" s="16">
        <f>IF(B4254,StartDate+D4254,"")</f>
        <v/>
      </c>
      <c r="F4254">
        <f>IF(B4254,MAX(MOD(SIN(Seed*0.1373+C4254*12.9898+D4254*78.233)*43758.5453,1),1E-9),"")</f>
        <v/>
      </c>
      <c r="G4254">
        <f>IF(B4254,MOD(SIN(Seed*0.5917+C4254*39.3468+D4254*11.135)*24634.6345,1),"")</f>
        <v/>
      </c>
      <c r="H4254">
        <f>IF(B4254,SQRT(-2*LN(F4254))*COS(2*PI()*G4254),"")</f>
        <v/>
      </c>
      <c r="I4254">
        <f>IF(B4254,IF(D4254=0,H4254,Rho*I4253+SQRT(1-Rho^2)*H4254),"")</f>
        <v/>
      </c>
      <c r="J4254">
        <f>IF(B4254,IF(Dist="Normal",DistA+DistB*I4254,DistA+(DistB-DistA)*NORMSDIST(I4254)),"")</f>
        <v/>
      </c>
      <c r="K4254">
        <f>IF(B4254,INDEX(MineScale,C4254),"")</f>
        <v/>
      </c>
      <c r="L4254">
        <f>IF(B4254,INDEX(Dow,1,WEEKDAY(E4254,2)),"")</f>
        <v/>
      </c>
      <c r="M4254">
        <f>IF(B4254,(1+Trend)^D4254,"")</f>
        <v/>
      </c>
      <c r="N4254">
        <f>IF(B4254,EXP(SUMPRODUCT(LN(1+(EvEff-1)*INDEX(Affected,0,C4254)*EXP(-((E4254-EvCenter)^2)/(2*EvSigma^2))))),"")</f>
        <v/>
      </c>
      <c r="O4254">
        <f>IF(B4254,ROUND(MAX(0,J4254*K4254*L4254*M4254*N4254),2),"")</f>
        <v/>
      </c>
    </row>
    <row r="4255">
      <c r="A4255" t="n">
        <v>4254</v>
      </c>
      <c r="B4255">
        <f>A4255&lt;=MineCount*Days</f>
        <v/>
      </c>
      <c r="C4255">
        <f>IF(B4255,INT((A4255-1)/Days)+1,"")</f>
        <v/>
      </c>
      <c r="D4255">
        <f>IF(B4255,MOD(A4255-1,Days),"")</f>
        <v/>
      </c>
      <c r="E4255" s="16">
        <f>IF(B4255,StartDate+D4255,"")</f>
        <v/>
      </c>
      <c r="F4255">
        <f>IF(B4255,MAX(MOD(SIN(Seed*0.1373+C4255*12.9898+D4255*78.233)*43758.5453,1),1E-9),"")</f>
        <v/>
      </c>
      <c r="G4255">
        <f>IF(B4255,MOD(SIN(Seed*0.5917+C4255*39.3468+D4255*11.135)*24634.6345,1),"")</f>
        <v/>
      </c>
      <c r="H4255">
        <f>IF(B4255,SQRT(-2*LN(F4255))*COS(2*PI()*G4255),"")</f>
        <v/>
      </c>
      <c r="I4255">
        <f>IF(B4255,IF(D4255=0,H4255,Rho*I4254+SQRT(1-Rho^2)*H4255),"")</f>
        <v/>
      </c>
      <c r="J4255">
        <f>IF(B4255,IF(Dist="Normal",DistA+DistB*I4255,DistA+(DistB-DistA)*NORMSDIST(I4255)),"")</f>
        <v/>
      </c>
      <c r="K4255">
        <f>IF(B4255,INDEX(MineScale,C4255),"")</f>
        <v/>
      </c>
      <c r="L4255">
        <f>IF(B4255,INDEX(Dow,1,WEEKDAY(E4255,2)),"")</f>
        <v/>
      </c>
      <c r="M4255">
        <f>IF(B4255,(1+Trend)^D4255,"")</f>
        <v/>
      </c>
      <c r="N4255">
        <f>IF(B4255,EXP(SUMPRODUCT(LN(1+(EvEff-1)*INDEX(Affected,0,C4255)*EXP(-((E4255-EvCenter)^2)/(2*EvSigma^2))))),"")</f>
        <v/>
      </c>
      <c r="O4255">
        <f>IF(B4255,ROUND(MAX(0,J4255*K4255*L4255*M4255*N4255),2),"")</f>
        <v/>
      </c>
    </row>
    <row r="4256">
      <c r="A4256" t="n">
        <v>4255</v>
      </c>
      <c r="B4256">
        <f>A4256&lt;=MineCount*Days</f>
        <v/>
      </c>
      <c r="C4256">
        <f>IF(B4256,INT((A4256-1)/Days)+1,"")</f>
        <v/>
      </c>
      <c r="D4256">
        <f>IF(B4256,MOD(A4256-1,Days),"")</f>
        <v/>
      </c>
      <c r="E4256" s="16">
        <f>IF(B4256,StartDate+D4256,"")</f>
        <v/>
      </c>
      <c r="F4256">
        <f>IF(B4256,MAX(MOD(SIN(Seed*0.1373+C4256*12.9898+D4256*78.233)*43758.5453,1),1E-9),"")</f>
        <v/>
      </c>
      <c r="G4256">
        <f>IF(B4256,MOD(SIN(Seed*0.5917+C4256*39.3468+D4256*11.135)*24634.6345,1),"")</f>
        <v/>
      </c>
      <c r="H4256">
        <f>IF(B4256,SQRT(-2*LN(F4256))*COS(2*PI()*G4256),"")</f>
        <v/>
      </c>
      <c r="I4256">
        <f>IF(B4256,IF(D4256=0,H4256,Rho*I4255+SQRT(1-Rho^2)*H4256),"")</f>
        <v/>
      </c>
      <c r="J4256">
        <f>IF(B4256,IF(Dist="Normal",DistA+DistB*I4256,DistA+(DistB-DistA)*NORMSDIST(I4256)),"")</f>
        <v/>
      </c>
      <c r="K4256">
        <f>IF(B4256,INDEX(MineScale,C4256),"")</f>
        <v/>
      </c>
      <c r="L4256">
        <f>IF(B4256,INDEX(Dow,1,WEEKDAY(E4256,2)),"")</f>
        <v/>
      </c>
      <c r="M4256">
        <f>IF(B4256,(1+Trend)^D4256,"")</f>
        <v/>
      </c>
      <c r="N4256">
        <f>IF(B4256,EXP(SUMPRODUCT(LN(1+(EvEff-1)*INDEX(Affected,0,C4256)*EXP(-((E4256-EvCenter)^2)/(2*EvSigma^2))))),"")</f>
        <v/>
      </c>
      <c r="O4256">
        <f>IF(B4256,ROUND(MAX(0,J4256*K4256*L4256*M4256*N4256),2),"")</f>
        <v/>
      </c>
    </row>
    <row r="4257">
      <c r="A4257" t="n">
        <v>4256</v>
      </c>
      <c r="B4257">
        <f>A4257&lt;=MineCount*Days</f>
        <v/>
      </c>
      <c r="C4257">
        <f>IF(B4257,INT((A4257-1)/Days)+1,"")</f>
        <v/>
      </c>
      <c r="D4257">
        <f>IF(B4257,MOD(A4257-1,Days),"")</f>
        <v/>
      </c>
      <c r="E4257" s="16">
        <f>IF(B4257,StartDate+D4257,"")</f>
        <v/>
      </c>
      <c r="F4257">
        <f>IF(B4257,MAX(MOD(SIN(Seed*0.1373+C4257*12.9898+D4257*78.233)*43758.5453,1),1E-9),"")</f>
        <v/>
      </c>
      <c r="G4257">
        <f>IF(B4257,MOD(SIN(Seed*0.5917+C4257*39.3468+D4257*11.135)*24634.6345,1),"")</f>
        <v/>
      </c>
      <c r="H4257">
        <f>IF(B4257,SQRT(-2*LN(F4257))*COS(2*PI()*G4257),"")</f>
        <v/>
      </c>
      <c r="I4257">
        <f>IF(B4257,IF(D4257=0,H4257,Rho*I4256+SQRT(1-Rho^2)*H4257),"")</f>
        <v/>
      </c>
      <c r="J4257">
        <f>IF(B4257,IF(Dist="Normal",DistA+DistB*I4257,DistA+(DistB-DistA)*NORMSDIST(I4257)),"")</f>
        <v/>
      </c>
      <c r="K4257">
        <f>IF(B4257,INDEX(MineScale,C4257),"")</f>
        <v/>
      </c>
      <c r="L4257">
        <f>IF(B4257,INDEX(Dow,1,WEEKDAY(E4257,2)),"")</f>
        <v/>
      </c>
      <c r="M4257">
        <f>IF(B4257,(1+Trend)^D4257,"")</f>
        <v/>
      </c>
      <c r="N4257">
        <f>IF(B4257,EXP(SUMPRODUCT(LN(1+(EvEff-1)*INDEX(Affected,0,C4257)*EXP(-((E4257-EvCenter)^2)/(2*EvSigma^2))))),"")</f>
        <v/>
      </c>
      <c r="O4257">
        <f>IF(B4257,ROUND(MAX(0,J4257*K4257*L4257*M4257*N4257),2),"")</f>
        <v/>
      </c>
    </row>
    <row r="4258">
      <c r="A4258" t="n">
        <v>4257</v>
      </c>
      <c r="B4258">
        <f>A4258&lt;=MineCount*Days</f>
        <v/>
      </c>
      <c r="C4258">
        <f>IF(B4258,INT((A4258-1)/Days)+1,"")</f>
        <v/>
      </c>
      <c r="D4258">
        <f>IF(B4258,MOD(A4258-1,Days),"")</f>
        <v/>
      </c>
      <c r="E4258" s="16">
        <f>IF(B4258,StartDate+D4258,"")</f>
        <v/>
      </c>
      <c r="F4258">
        <f>IF(B4258,MAX(MOD(SIN(Seed*0.1373+C4258*12.9898+D4258*78.233)*43758.5453,1),1E-9),"")</f>
        <v/>
      </c>
      <c r="G4258">
        <f>IF(B4258,MOD(SIN(Seed*0.5917+C4258*39.3468+D4258*11.135)*24634.6345,1),"")</f>
        <v/>
      </c>
      <c r="H4258">
        <f>IF(B4258,SQRT(-2*LN(F4258))*COS(2*PI()*G4258),"")</f>
        <v/>
      </c>
      <c r="I4258">
        <f>IF(B4258,IF(D4258=0,H4258,Rho*I4257+SQRT(1-Rho^2)*H4258),"")</f>
        <v/>
      </c>
      <c r="J4258">
        <f>IF(B4258,IF(Dist="Normal",DistA+DistB*I4258,DistA+(DistB-DistA)*NORMSDIST(I4258)),"")</f>
        <v/>
      </c>
      <c r="K4258">
        <f>IF(B4258,INDEX(MineScale,C4258),"")</f>
        <v/>
      </c>
      <c r="L4258">
        <f>IF(B4258,INDEX(Dow,1,WEEKDAY(E4258,2)),"")</f>
        <v/>
      </c>
      <c r="M4258">
        <f>IF(B4258,(1+Trend)^D4258,"")</f>
        <v/>
      </c>
      <c r="N4258">
        <f>IF(B4258,EXP(SUMPRODUCT(LN(1+(EvEff-1)*INDEX(Affected,0,C4258)*EXP(-((E4258-EvCenter)^2)/(2*EvSigma^2))))),"")</f>
        <v/>
      </c>
      <c r="O4258">
        <f>IF(B4258,ROUND(MAX(0,J4258*K4258*L4258*M4258*N4258),2),"")</f>
        <v/>
      </c>
    </row>
    <row r="4259">
      <c r="A4259" t="n">
        <v>4258</v>
      </c>
      <c r="B4259">
        <f>A4259&lt;=MineCount*Days</f>
        <v/>
      </c>
      <c r="C4259">
        <f>IF(B4259,INT((A4259-1)/Days)+1,"")</f>
        <v/>
      </c>
      <c r="D4259">
        <f>IF(B4259,MOD(A4259-1,Days),"")</f>
        <v/>
      </c>
      <c r="E4259" s="16">
        <f>IF(B4259,StartDate+D4259,"")</f>
        <v/>
      </c>
      <c r="F4259">
        <f>IF(B4259,MAX(MOD(SIN(Seed*0.1373+C4259*12.9898+D4259*78.233)*43758.5453,1),1E-9),"")</f>
        <v/>
      </c>
      <c r="G4259">
        <f>IF(B4259,MOD(SIN(Seed*0.5917+C4259*39.3468+D4259*11.135)*24634.6345,1),"")</f>
        <v/>
      </c>
      <c r="H4259">
        <f>IF(B4259,SQRT(-2*LN(F4259))*COS(2*PI()*G4259),"")</f>
        <v/>
      </c>
      <c r="I4259">
        <f>IF(B4259,IF(D4259=0,H4259,Rho*I4258+SQRT(1-Rho^2)*H4259),"")</f>
        <v/>
      </c>
      <c r="J4259">
        <f>IF(B4259,IF(Dist="Normal",DistA+DistB*I4259,DistA+(DistB-DistA)*NORMSDIST(I4259)),"")</f>
        <v/>
      </c>
      <c r="K4259">
        <f>IF(B4259,INDEX(MineScale,C4259),"")</f>
        <v/>
      </c>
      <c r="L4259">
        <f>IF(B4259,INDEX(Dow,1,WEEKDAY(E4259,2)),"")</f>
        <v/>
      </c>
      <c r="M4259">
        <f>IF(B4259,(1+Trend)^D4259,"")</f>
        <v/>
      </c>
      <c r="N4259">
        <f>IF(B4259,EXP(SUMPRODUCT(LN(1+(EvEff-1)*INDEX(Affected,0,C4259)*EXP(-((E4259-EvCenter)^2)/(2*EvSigma^2))))),"")</f>
        <v/>
      </c>
      <c r="O4259">
        <f>IF(B4259,ROUND(MAX(0,J4259*K4259*L4259*M4259*N4259),2),"")</f>
        <v/>
      </c>
    </row>
    <row r="4260">
      <c r="A4260" t="n">
        <v>4259</v>
      </c>
      <c r="B4260">
        <f>A4260&lt;=MineCount*Days</f>
        <v/>
      </c>
      <c r="C4260">
        <f>IF(B4260,INT((A4260-1)/Days)+1,"")</f>
        <v/>
      </c>
      <c r="D4260">
        <f>IF(B4260,MOD(A4260-1,Days),"")</f>
        <v/>
      </c>
      <c r="E4260" s="16">
        <f>IF(B4260,StartDate+D4260,"")</f>
        <v/>
      </c>
      <c r="F4260">
        <f>IF(B4260,MAX(MOD(SIN(Seed*0.1373+C4260*12.9898+D4260*78.233)*43758.5453,1),1E-9),"")</f>
        <v/>
      </c>
      <c r="G4260">
        <f>IF(B4260,MOD(SIN(Seed*0.5917+C4260*39.3468+D4260*11.135)*24634.6345,1),"")</f>
        <v/>
      </c>
      <c r="H4260">
        <f>IF(B4260,SQRT(-2*LN(F4260))*COS(2*PI()*G4260),"")</f>
        <v/>
      </c>
      <c r="I4260">
        <f>IF(B4260,IF(D4260=0,H4260,Rho*I4259+SQRT(1-Rho^2)*H4260),"")</f>
        <v/>
      </c>
      <c r="J4260">
        <f>IF(B4260,IF(Dist="Normal",DistA+DistB*I4260,DistA+(DistB-DistA)*NORMSDIST(I4260)),"")</f>
        <v/>
      </c>
      <c r="K4260">
        <f>IF(B4260,INDEX(MineScale,C4260),"")</f>
        <v/>
      </c>
      <c r="L4260">
        <f>IF(B4260,INDEX(Dow,1,WEEKDAY(E4260,2)),"")</f>
        <v/>
      </c>
      <c r="M4260">
        <f>IF(B4260,(1+Trend)^D4260,"")</f>
        <v/>
      </c>
      <c r="N4260">
        <f>IF(B4260,EXP(SUMPRODUCT(LN(1+(EvEff-1)*INDEX(Affected,0,C4260)*EXP(-((E4260-EvCenter)^2)/(2*EvSigma^2))))),"")</f>
        <v/>
      </c>
      <c r="O4260">
        <f>IF(B4260,ROUND(MAX(0,J4260*K4260*L4260*M4260*N4260),2),"")</f>
        <v/>
      </c>
    </row>
    <row r="4261">
      <c r="A4261" t="n">
        <v>4260</v>
      </c>
      <c r="B4261">
        <f>A4261&lt;=MineCount*Days</f>
        <v/>
      </c>
      <c r="C4261">
        <f>IF(B4261,INT((A4261-1)/Days)+1,"")</f>
        <v/>
      </c>
      <c r="D4261">
        <f>IF(B4261,MOD(A4261-1,Days),"")</f>
        <v/>
      </c>
      <c r="E4261" s="16">
        <f>IF(B4261,StartDate+D4261,"")</f>
        <v/>
      </c>
      <c r="F4261">
        <f>IF(B4261,MAX(MOD(SIN(Seed*0.1373+C4261*12.9898+D4261*78.233)*43758.5453,1),1E-9),"")</f>
        <v/>
      </c>
      <c r="G4261">
        <f>IF(B4261,MOD(SIN(Seed*0.5917+C4261*39.3468+D4261*11.135)*24634.6345,1),"")</f>
        <v/>
      </c>
      <c r="H4261">
        <f>IF(B4261,SQRT(-2*LN(F4261))*COS(2*PI()*G4261),"")</f>
        <v/>
      </c>
      <c r="I4261">
        <f>IF(B4261,IF(D4261=0,H4261,Rho*I4260+SQRT(1-Rho^2)*H4261),"")</f>
        <v/>
      </c>
      <c r="J4261">
        <f>IF(B4261,IF(Dist="Normal",DistA+DistB*I4261,DistA+(DistB-DistA)*NORMSDIST(I4261)),"")</f>
        <v/>
      </c>
      <c r="K4261">
        <f>IF(B4261,INDEX(MineScale,C4261),"")</f>
        <v/>
      </c>
      <c r="L4261">
        <f>IF(B4261,INDEX(Dow,1,WEEKDAY(E4261,2)),"")</f>
        <v/>
      </c>
      <c r="M4261">
        <f>IF(B4261,(1+Trend)^D4261,"")</f>
        <v/>
      </c>
      <c r="N4261">
        <f>IF(B4261,EXP(SUMPRODUCT(LN(1+(EvEff-1)*INDEX(Affected,0,C4261)*EXP(-((E4261-EvCenter)^2)/(2*EvSigma^2))))),"")</f>
        <v/>
      </c>
      <c r="O4261">
        <f>IF(B4261,ROUND(MAX(0,J4261*K4261*L4261*M4261*N4261),2),"")</f>
        <v/>
      </c>
    </row>
    <row r="4262">
      <c r="A4262" t="n">
        <v>4261</v>
      </c>
      <c r="B4262">
        <f>A4262&lt;=MineCount*Days</f>
        <v/>
      </c>
      <c r="C4262">
        <f>IF(B4262,INT((A4262-1)/Days)+1,"")</f>
        <v/>
      </c>
      <c r="D4262">
        <f>IF(B4262,MOD(A4262-1,Days),"")</f>
        <v/>
      </c>
      <c r="E4262" s="16">
        <f>IF(B4262,StartDate+D4262,"")</f>
        <v/>
      </c>
      <c r="F4262">
        <f>IF(B4262,MAX(MOD(SIN(Seed*0.1373+C4262*12.9898+D4262*78.233)*43758.5453,1),1E-9),"")</f>
        <v/>
      </c>
      <c r="G4262">
        <f>IF(B4262,MOD(SIN(Seed*0.5917+C4262*39.3468+D4262*11.135)*24634.6345,1),"")</f>
        <v/>
      </c>
      <c r="H4262">
        <f>IF(B4262,SQRT(-2*LN(F4262))*COS(2*PI()*G4262),"")</f>
        <v/>
      </c>
      <c r="I4262">
        <f>IF(B4262,IF(D4262=0,H4262,Rho*I4261+SQRT(1-Rho^2)*H4262),"")</f>
        <v/>
      </c>
      <c r="J4262">
        <f>IF(B4262,IF(Dist="Normal",DistA+DistB*I4262,DistA+(DistB-DistA)*NORMSDIST(I4262)),"")</f>
        <v/>
      </c>
      <c r="K4262">
        <f>IF(B4262,INDEX(MineScale,C4262),"")</f>
        <v/>
      </c>
      <c r="L4262">
        <f>IF(B4262,INDEX(Dow,1,WEEKDAY(E4262,2)),"")</f>
        <v/>
      </c>
      <c r="M4262">
        <f>IF(B4262,(1+Trend)^D4262,"")</f>
        <v/>
      </c>
      <c r="N4262">
        <f>IF(B4262,EXP(SUMPRODUCT(LN(1+(EvEff-1)*INDEX(Affected,0,C4262)*EXP(-((E4262-EvCenter)^2)/(2*EvSigma^2))))),"")</f>
        <v/>
      </c>
      <c r="O4262">
        <f>IF(B4262,ROUND(MAX(0,J4262*K4262*L4262*M4262*N4262),2),"")</f>
        <v/>
      </c>
    </row>
    <row r="4263">
      <c r="A4263" t="n">
        <v>4262</v>
      </c>
      <c r="B4263">
        <f>A4263&lt;=MineCount*Days</f>
        <v/>
      </c>
      <c r="C4263">
        <f>IF(B4263,INT((A4263-1)/Days)+1,"")</f>
        <v/>
      </c>
      <c r="D4263">
        <f>IF(B4263,MOD(A4263-1,Days),"")</f>
        <v/>
      </c>
      <c r="E4263" s="16">
        <f>IF(B4263,StartDate+D4263,"")</f>
        <v/>
      </c>
      <c r="F4263">
        <f>IF(B4263,MAX(MOD(SIN(Seed*0.1373+C4263*12.9898+D4263*78.233)*43758.5453,1),1E-9),"")</f>
        <v/>
      </c>
      <c r="G4263">
        <f>IF(B4263,MOD(SIN(Seed*0.5917+C4263*39.3468+D4263*11.135)*24634.6345,1),"")</f>
        <v/>
      </c>
      <c r="H4263">
        <f>IF(B4263,SQRT(-2*LN(F4263))*COS(2*PI()*G4263),"")</f>
        <v/>
      </c>
      <c r="I4263">
        <f>IF(B4263,IF(D4263=0,H4263,Rho*I4262+SQRT(1-Rho^2)*H4263),"")</f>
        <v/>
      </c>
      <c r="J4263">
        <f>IF(B4263,IF(Dist="Normal",DistA+DistB*I4263,DistA+(DistB-DistA)*NORMSDIST(I4263)),"")</f>
        <v/>
      </c>
      <c r="K4263">
        <f>IF(B4263,INDEX(MineScale,C4263),"")</f>
        <v/>
      </c>
      <c r="L4263">
        <f>IF(B4263,INDEX(Dow,1,WEEKDAY(E4263,2)),"")</f>
        <v/>
      </c>
      <c r="M4263">
        <f>IF(B4263,(1+Trend)^D4263,"")</f>
        <v/>
      </c>
      <c r="N4263">
        <f>IF(B4263,EXP(SUMPRODUCT(LN(1+(EvEff-1)*INDEX(Affected,0,C4263)*EXP(-((E4263-EvCenter)^2)/(2*EvSigma^2))))),"")</f>
        <v/>
      </c>
      <c r="O4263">
        <f>IF(B4263,ROUND(MAX(0,J4263*K4263*L4263*M4263*N4263),2),"")</f>
        <v/>
      </c>
    </row>
    <row r="4264">
      <c r="A4264" t="n">
        <v>4263</v>
      </c>
      <c r="B4264">
        <f>A4264&lt;=MineCount*Days</f>
        <v/>
      </c>
      <c r="C4264">
        <f>IF(B4264,INT((A4264-1)/Days)+1,"")</f>
        <v/>
      </c>
      <c r="D4264">
        <f>IF(B4264,MOD(A4264-1,Days),"")</f>
        <v/>
      </c>
      <c r="E4264" s="16">
        <f>IF(B4264,StartDate+D4264,"")</f>
        <v/>
      </c>
      <c r="F4264">
        <f>IF(B4264,MAX(MOD(SIN(Seed*0.1373+C4264*12.9898+D4264*78.233)*43758.5453,1),1E-9),"")</f>
        <v/>
      </c>
      <c r="G4264">
        <f>IF(B4264,MOD(SIN(Seed*0.5917+C4264*39.3468+D4264*11.135)*24634.6345,1),"")</f>
        <v/>
      </c>
      <c r="H4264">
        <f>IF(B4264,SQRT(-2*LN(F4264))*COS(2*PI()*G4264),"")</f>
        <v/>
      </c>
      <c r="I4264">
        <f>IF(B4264,IF(D4264=0,H4264,Rho*I4263+SQRT(1-Rho^2)*H4264),"")</f>
        <v/>
      </c>
      <c r="J4264">
        <f>IF(B4264,IF(Dist="Normal",DistA+DistB*I4264,DistA+(DistB-DistA)*NORMSDIST(I4264)),"")</f>
        <v/>
      </c>
      <c r="K4264">
        <f>IF(B4264,INDEX(MineScale,C4264),"")</f>
        <v/>
      </c>
      <c r="L4264">
        <f>IF(B4264,INDEX(Dow,1,WEEKDAY(E4264,2)),"")</f>
        <v/>
      </c>
      <c r="M4264">
        <f>IF(B4264,(1+Trend)^D4264,"")</f>
        <v/>
      </c>
      <c r="N4264">
        <f>IF(B4264,EXP(SUMPRODUCT(LN(1+(EvEff-1)*INDEX(Affected,0,C4264)*EXP(-((E4264-EvCenter)^2)/(2*EvSigma^2))))),"")</f>
        <v/>
      </c>
      <c r="O4264">
        <f>IF(B4264,ROUND(MAX(0,J4264*K4264*L4264*M4264*N4264),2),"")</f>
        <v/>
      </c>
    </row>
    <row r="4265">
      <c r="A4265" t="n">
        <v>4264</v>
      </c>
      <c r="B4265">
        <f>A4265&lt;=MineCount*Days</f>
        <v/>
      </c>
      <c r="C4265">
        <f>IF(B4265,INT((A4265-1)/Days)+1,"")</f>
        <v/>
      </c>
      <c r="D4265">
        <f>IF(B4265,MOD(A4265-1,Days),"")</f>
        <v/>
      </c>
      <c r="E4265" s="16">
        <f>IF(B4265,StartDate+D4265,"")</f>
        <v/>
      </c>
      <c r="F4265">
        <f>IF(B4265,MAX(MOD(SIN(Seed*0.1373+C4265*12.9898+D4265*78.233)*43758.5453,1),1E-9),"")</f>
        <v/>
      </c>
      <c r="G4265">
        <f>IF(B4265,MOD(SIN(Seed*0.5917+C4265*39.3468+D4265*11.135)*24634.6345,1),"")</f>
        <v/>
      </c>
      <c r="H4265">
        <f>IF(B4265,SQRT(-2*LN(F4265))*COS(2*PI()*G4265),"")</f>
        <v/>
      </c>
      <c r="I4265">
        <f>IF(B4265,IF(D4265=0,H4265,Rho*I4264+SQRT(1-Rho^2)*H4265),"")</f>
        <v/>
      </c>
      <c r="J4265">
        <f>IF(B4265,IF(Dist="Normal",DistA+DistB*I4265,DistA+(DistB-DistA)*NORMSDIST(I4265)),"")</f>
        <v/>
      </c>
      <c r="K4265">
        <f>IF(B4265,INDEX(MineScale,C4265),"")</f>
        <v/>
      </c>
      <c r="L4265">
        <f>IF(B4265,INDEX(Dow,1,WEEKDAY(E4265,2)),"")</f>
        <v/>
      </c>
      <c r="M4265">
        <f>IF(B4265,(1+Trend)^D4265,"")</f>
        <v/>
      </c>
      <c r="N4265">
        <f>IF(B4265,EXP(SUMPRODUCT(LN(1+(EvEff-1)*INDEX(Affected,0,C4265)*EXP(-((E4265-EvCenter)^2)/(2*EvSigma^2))))),"")</f>
        <v/>
      </c>
      <c r="O4265">
        <f>IF(B4265,ROUND(MAX(0,J4265*K4265*L4265*M4265*N4265),2),"")</f>
        <v/>
      </c>
    </row>
    <row r="4266">
      <c r="A4266" t="n">
        <v>4265</v>
      </c>
      <c r="B4266">
        <f>A4266&lt;=MineCount*Days</f>
        <v/>
      </c>
      <c r="C4266">
        <f>IF(B4266,INT((A4266-1)/Days)+1,"")</f>
        <v/>
      </c>
      <c r="D4266">
        <f>IF(B4266,MOD(A4266-1,Days),"")</f>
        <v/>
      </c>
      <c r="E4266" s="16">
        <f>IF(B4266,StartDate+D4266,"")</f>
        <v/>
      </c>
      <c r="F4266">
        <f>IF(B4266,MAX(MOD(SIN(Seed*0.1373+C4266*12.9898+D4266*78.233)*43758.5453,1),1E-9),"")</f>
        <v/>
      </c>
      <c r="G4266">
        <f>IF(B4266,MOD(SIN(Seed*0.5917+C4266*39.3468+D4266*11.135)*24634.6345,1),"")</f>
        <v/>
      </c>
      <c r="H4266">
        <f>IF(B4266,SQRT(-2*LN(F4266))*COS(2*PI()*G4266),"")</f>
        <v/>
      </c>
      <c r="I4266">
        <f>IF(B4266,IF(D4266=0,H4266,Rho*I4265+SQRT(1-Rho^2)*H4266),"")</f>
        <v/>
      </c>
      <c r="J4266">
        <f>IF(B4266,IF(Dist="Normal",DistA+DistB*I4266,DistA+(DistB-DistA)*NORMSDIST(I4266)),"")</f>
        <v/>
      </c>
      <c r="K4266">
        <f>IF(B4266,INDEX(MineScale,C4266),"")</f>
        <v/>
      </c>
      <c r="L4266">
        <f>IF(B4266,INDEX(Dow,1,WEEKDAY(E4266,2)),"")</f>
        <v/>
      </c>
      <c r="M4266">
        <f>IF(B4266,(1+Trend)^D4266,"")</f>
        <v/>
      </c>
      <c r="N4266">
        <f>IF(B4266,EXP(SUMPRODUCT(LN(1+(EvEff-1)*INDEX(Affected,0,C4266)*EXP(-((E4266-EvCenter)^2)/(2*EvSigma^2))))),"")</f>
        <v/>
      </c>
      <c r="O4266">
        <f>IF(B4266,ROUND(MAX(0,J4266*K4266*L4266*M4266*N4266),2),"")</f>
        <v/>
      </c>
    </row>
    <row r="4267">
      <c r="A4267" t="n">
        <v>4266</v>
      </c>
      <c r="B4267">
        <f>A4267&lt;=MineCount*Days</f>
        <v/>
      </c>
      <c r="C4267">
        <f>IF(B4267,INT((A4267-1)/Days)+1,"")</f>
        <v/>
      </c>
      <c r="D4267">
        <f>IF(B4267,MOD(A4267-1,Days),"")</f>
        <v/>
      </c>
      <c r="E4267" s="16">
        <f>IF(B4267,StartDate+D4267,"")</f>
        <v/>
      </c>
      <c r="F4267">
        <f>IF(B4267,MAX(MOD(SIN(Seed*0.1373+C4267*12.9898+D4267*78.233)*43758.5453,1),1E-9),"")</f>
        <v/>
      </c>
      <c r="G4267">
        <f>IF(B4267,MOD(SIN(Seed*0.5917+C4267*39.3468+D4267*11.135)*24634.6345,1),"")</f>
        <v/>
      </c>
      <c r="H4267">
        <f>IF(B4267,SQRT(-2*LN(F4267))*COS(2*PI()*G4267),"")</f>
        <v/>
      </c>
      <c r="I4267">
        <f>IF(B4267,IF(D4267=0,H4267,Rho*I4266+SQRT(1-Rho^2)*H4267),"")</f>
        <v/>
      </c>
      <c r="J4267">
        <f>IF(B4267,IF(Dist="Normal",DistA+DistB*I4267,DistA+(DistB-DistA)*NORMSDIST(I4267)),"")</f>
        <v/>
      </c>
      <c r="K4267">
        <f>IF(B4267,INDEX(MineScale,C4267),"")</f>
        <v/>
      </c>
      <c r="L4267">
        <f>IF(B4267,INDEX(Dow,1,WEEKDAY(E4267,2)),"")</f>
        <v/>
      </c>
      <c r="M4267">
        <f>IF(B4267,(1+Trend)^D4267,"")</f>
        <v/>
      </c>
      <c r="N4267">
        <f>IF(B4267,EXP(SUMPRODUCT(LN(1+(EvEff-1)*INDEX(Affected,0,C4267)*EXP(-((E4267-EvCenter)^2)/(2*EvSigma^2))))),"")</f>
        <v/>
      </c>
      <c r="O4267">
        <f>IF(B4267,ROUND(MAX(0,J4267*K4267*L4267*M4267*N4267),2),"")</f>
        <v/>
      </c>
    </row>
    <row r="4268">
      <c r="A4268" t="n">
        <v>4267</v>
      </c>
      <c r="B4268">
        <f>A4268&lt;=MineCount*Days</f>
        <v/>
      </c>
      <c r="C4268">
        <f>IF(B4268,INT((A4268-1)/Days)+1,"")</f>
        <v/>
      </c>
      <c r="D4268">
        <f>IF(B4268,MOD(A4268-1,Days),"")</f>
        <v/>
      </c>
      <c r="E4268" s="16">
        <f>IF(B4268,StartDate+D4268,"")</f>
        <v/>
      </c>
      <c r="F4268">
        <f>IF(B4268,MAX(MOD(SIN(Seed*0.1373+C4268*12.9898+D4268*78.233)*43758.5453,1),1E-9),"")</f>
        <v/>
      </c>
      <c r="G4268">
        <f>IF(B4268,MOD(SIN(Seed*0.5917+C4268*39.3468+D4268*11.135)*24634.6345,1),"")</f>
        <v/>
      </c>
      <c r="H4268">
        <f>IF(B4268,SQRT(-2*LN(F4268))*COS(2*PI()*G4268),"")</f>
        <v/>
      </c>
      <c r="I4268">
        <f>IF(B4268,IF(D4268=0,H4268,Rho*I4267+SQRT(1-Rho^2)*H4268),"")</f>
        <v/>
      </c>
      <c r="J4268">
        <f>IF(B4268,IF(Dist="Normal",DistA+DistB*I4268,DistA+(DistB-DistA)*NORMSDIST(I4268)),"")</f>
        <v/>
      </c>
      <c r="K4268">
        <f>IF(B4268,INDEX(MineScale,C4268),"")</f>
        <v/>
      </c>
      <c r="L4268">
        <f>IF(B4268,INDEX(Dow,1,WEEKDAY(E4268,2)),"")</f>
        <v/>
      </c>
      <c r="M4268">
        <f>IF(B4268,(1+Trend)^D4268,"")</f>
        <v/>
      </c>
      <c r="N4268">
        <f>IF(B4268,EXP(SUMPRODUCT(LN(1+(EvEff-1)*INDEX(Affected,0,C4268)*EXP(-((E4268-EvCenter)^2)/(2*EvSigma^2))))),"")</f>
        <v/>
      </c>
      <c r="O4268">
        <f>IF(B4268,ROUND(MAX(0,J4268*K4268*L4268*M4268*N4268),2),"")</f>
        <v/>
      </c>
    </row>
    <row r="4269">
      <c r="A4269" t="n">
        <v>4268</v>
      </c>
      <c r="B4269">
        <f>A4269&lt;=MineCount*Days</f>
        <v/>
      </c>
      <c r="C4269">
        <f>IF(B4269,INT((A4269-1)/Days)+1,"")</f>
        <v/>
      </c>
      <c r="D4269">
        <f>IF(B4269,MOD(A4269-1,Days),"")</f>
        <v/>
      </c>
      <c r="E4269" s="16">
        <f>IF(B4269,StartDate+D4269,"")</f>
        <v/>
      </c>
      <c r="F4269">
        <f>IF(B4269,MAX(MOD(SIN(Seed*0.1373+C4269*12.9898+D4269*78.233)*43758.5453,1),1E-9),"")</f>
        <v/>
      </c>
      <c r="G4269">
        <f>IF(B4269,MOD(SIN(Seed*0.5917+C4269*39.3468+D4269*11.135)*24634.6345,1),"")</f>
        <v/>
      </c>
      <c r="H4269">
        <f>IF(B4269,SQRT(-2*LN(F4269))*COS(2*PI()*G4269),"")</f>
        <v/>
      </c>
      <c r="I4269">
        <f>IF(B4269,IF(D4269=0,H4269,Rho*I4268+SQRT(1-Rho^2)*H4269),"")</f>
        <v/>
      </c>
      <c r="J4269">
        <f>IF(B4269,IF(Dist="Normal",DistA+DistB*I4269,DistA+(DistB-DistA)*NORMSDIST(I4269)),"")</f>
        <v/>
      </c>
      <c r="K4269">
        <f>IF(B4269,INDEX(MineScale,C4269),"")</f>
        <v/>
      </c>
      <c r="L4269">
        <f>IF(B4269,INDEX(Dow,1,WEEKDAY(E4269,2)),"")</f>
        <v/>
      </c>
      <c r="M4269">
        <f>IF(B4269,(1+Trend)^D4269,"")</f>
        <v/>
      </c>
      <c r="N4269">
        <f>IF(B4269,EXP(SUMPRODUCT(LN(1+(EvEff-1)*INDEX(Affected,0,C4269)*EXP(-((E4269-EvCenter)^2)/(2*EvSigma^2))))),"")</f>
        <v/>
      </c>
      <c r="O4269">
        <f>IF(B4269,ROUND(MAX(0,J4269*K4269*L4269*M4269*N4269),2),"")</f>
        <v/>
      </c>
    </row>
    <row r="4270">
      <c r="A4270" t="n">
        <v>4269</v>
      </c>
      <c r="B4270">
        <f>A4270&lt;=MineCount*Days</f>
        <v/>
      </c>
      <c r="C4270">
        <f>IF(B4270,INT((A4270-1)/Days)+1,"")</f>
        <v/>
      </c>
      <c r="D4270">
        <f>IF(B4270,MOD(A4270-1,Days),"")</f>
        <v/>
      </c>
      <c r="E4270" s="16">
        <f>IF(B4270,StartDate+D4270,"")</f>
        <v/>
      </c>
      <c r="F4270">
        <f>IF(B4270,MAX(MOD(SIN(Seed*0.1373+C4270*12.9898+D4270*78.233)*43758.5453,1),1E-9),"")</f>
        <v/>
      </c>
      <c r="G4270">
        <f>IF(B4270,MOD(SIN(Seed*0.5917+C4270*39.3468+D4270*11.135)*24634.6345,1),"")</f>
        <v/>
      </c>
      <c r="H4270">
        <f>IF(B4270,SQRT(-2*LN(F4270))*COS(2*PI()*G4270),"")</f>
        <v/>
      </c>
      <c r="I4270">
        <f>IF(B4270,IF(D4270=0,H4270,Rho*I4269+SQRT(1-Rho^2)*H4270),"")</f>
        <v/>
      </c>
      <c r="J4270">
        <f>IF(B4270,IF(Dist="Normal",DistA+DistB*I4270,DistA+(DistB-DistA)*NORMSDIST(I4270)),"")</f>
        <v/>
      </c>
      <c r="K4270">
        <f>IF(B4270,INDEX(MineScale,C4270),"")</f>
        <v/>
      </c>
      <c r="L4270">
        <f>IF(B4270,INDEX(Dow,1,WEEKDAY(E4270,2)),"")</f>
        <v/>
      </c>
      <c r="M4270">
        <f>IF(B4270,(1+Trend)^D4270,"")</f>
        <v/>
      </c>
      <c r="N4270">
        <f>IF(B4270,EXP(SUMPRODUCT(LN(1+(EvEff-1)*INDEX(Affected,0,C4270)*EXP(-((E4270-EvCenter)^2)/(2*EvSigma^2))))),"")</f>
        <v/>
      </c>
      <c r="O4270">
        <f>IF(B4270,ROUND(MAX(0,J4270*K4270*L4270*M4270*N4270),2),"")</f>
        <v/>
      </c>
    </row>
    <row r="4271">
      <c r="A4271" t="n">
        <v>4270</v>
      </c>
      <c r="B4271">
        <f>A4271&lt;=MineCount*Days</f>
        <v/>
      </c>
      <c r="C4271">
        <f>IF(B4271,INT((A4271-1)/Days)+1,"")</f>
        <v/>
      </c>
      <c r="D4271">
        <f>IF(B4271,MOD(A4271-1,Days),"")</f>
        <v/>
      </c>
      <c r="E4271" s="16">
        <f>IF(B4271,StartDate+D4271,"")</f>
        <v/>
      </c>
      <c r="F4271">
        <f>IF(B4271,MAX(MOD(SIN(Seed*0.1373+C4271*12.9898+D4271*78.233)*43758.5453,1),1E-9),"")</f>
        <v/>
      </c>
      <c r="G4271">
        <f>IF(B4271,MOD(SIN(Seed*0.5917+C4271*39.3468+D4271*11.135)*24634.6345,1),"")</f>
        <v/>
      </c>
      <c r="H4271">
        <f>IF(B4271,SQRT(-2*LN(F4271))*COS(2*PI()*G4271),"")</f>
        <v/>
      </c>
      <c r="I4271">
        <f>IF(B4271,IF(D4271=0,H4271,Rho*I4270+SQRT(1-Rho^2)*H4271),"")</f>
        <v/>
      </c>
      <c r="J4271">
        <f>IF(B4271,IF(Dist="Normal",DistA+DistB*I4271,DistA+(DistB-DistA)*NORMSDIST(I4271)),"")</f>
        <v/>
      </c>
      <c r="K4271">
        <f>IF(B4271,INDEX(MineScale,C4271),"")</f>
        <v/>
      </c>
      <c r="L4271">
        <f>IF(B4271,INDEX(Dow,1,WEEKDAY(E4271,2)),"")</f>
        <v/>
      </c>
      <c r="M4271">
        <f>IF(B4271,(1+Trend)^D4271,"")</f>
        <v/>
      </c>
      <c r="N4271">
        <f>IF(B4271,EXP(SUMPRODUCT(LN(1+(EvEff-1)*INDEX(Affected,0,C4271)*EXP(-((E4271-EvCenter)^2)/(2*EvSigma^2))))),"")</f>
        <v/>
      </c>
      <c r="O4271">
        <f>IF(B4271,ROUND(MAX(0,J4271*K4271*L4271*M4271*N4271),2),"")</f>
        <v/>
      </c>
    </row>
    <row r="4272">
      <c r="A4272" t="n">
        <v>4271</v>
      </c>
      <c r="B4272">
        <f>A4272&lt;=MineCount*Days</f>
        <v/>
      </c>
      <c r="C4272">
        <f>IF(B4272,INT((A4272-1)/Days)+1,"")</f>
        <v/>
      </c>
      <c r="D4272">
        <f>IF(B4272,MOD(A4272-1,Days),"")</f>
        <v/>
      </c>
      <c r="E4272" s="16">
        <f>IF(B4272,StartDate+D4272,"")</f>
        <v/>
      </c>
      <c r="F4272">
        <f>IF(B4272,MAX(MOD(SIN(Seed*0.1373+C4272*12.9898+D4272*78.233)*43758.5453,1),1E-9),"")</f>
        <v/>
      </c>
      <c r="G4272">
        <f>IF(B4272,MOD(SIN(Seed*0.5917+C4272*39.3468+D4272*11.135)*24634.6345,1),"")</f>
        <v/>
      </c>
      <c r="H4272">
        <f>IF(B4272,SQRT(-2*LN(F4272))*COS(2*PI()*G4272),"")</f>
        <v/>
      </c>
      <c r="I4272">
        <f>IF(B4272,IF(D4272=0,H4272,Rho*I4271+SQRT(1-Rho^2)*H4272),"")</f>
        <v/>
      </c>
      <c r="J4272">
        <f>IF(B4272,IF(Dist="Normal",DistA+DistB*I4272,DistA+(DistB-DistA)*NORMSDIST(I4272)),"")</f>
        <v/>
      </c>
      <c r="K4272">
        <f>IF(B4272,INDEX(MineScale,C4272),"")</f>
        <v/>
      </c>
      <c r="L4272">
        <f>IF(B4272,INDEX(Dow,1,WEEKDAY(E4272,2)),"")</f>
        <v/>
      </c>
      <c r="M4272">
        <f>IF(B4272,(1+Trend)^D4272,"")</f>
        <v/>
      </c>
      <c r="N4272">
        <f>IF(B4272,EXP(SUMPRODUCT(LN(1+(EvEff-1)*INDEX(Affected,0,C4272)*EXP(-((E4272-EvCenter)^2)/(2*EvSigma^2))))),"")</f>
        <v/>
      </c>
      <c r="O4272">
        <f>IF(B4272,ROUND(MAX(0,J4272*K4272*L4272*M4272*N4272),2),"")</f>
        <v/>
      </c>
    </row>
    <row r="4273">
      <c r="A4273" t="n">
        <v>4272</v>
      </c>
      <c r="B4273">
        <f>A4273&lt;=MineCount*Days</f>
        <v/>
      </c>
      <c r="C4273">
        <f>IF(B4273,INT((A4273-1)/Days)+1,"")</f>
        <v/>
      </c>
      <c r="D4273">
        <f>IF(B4273,MOD(A4273-1,Days),"")</f>
        <v/>
      </c>
      <c r="E4273" s="16">
        <f>IF(B4273,StartDate+D4273,"")</f>
        <v/>
      </c>
      <c r="F4273">
        <f>IF(B4273,MAX(MOD(SIN(Seed*0.1373+C4273*12.9898+D4273*78.233)*43758.5453,1),1E-9),"")</f>
        <v/>
      </c>
      <c r="G4273">
        <f>IF(B4273,MOD(SIN(Seed*0.5917+C4273*39.3468+D4273*11.135)*24634.6345,1),"")</f>
        <v/>
      </c>
      <c r="H4273">
        <f>IF(B4273,SQRT(-2*LN(F4273))*COS(2*PI()*G4273),"")</f>
        <v/>
      </c>
      <c r="I4273">
        <f>IF(B4273,IF(D4273=0,H4273,Rho*I4272+SQRT(1-Rho^2)*H4273),"")</f>
        <v/>
      </c>
      <c r="J4273">
        <f>IF(B4273,IF(Dist="Normal",DistA+DistB*I4273,DistA+(DistB-DistA)*NORMSDIST(I4273)),"")</f>
        <v/>
      </c>
      <c r="K4273">
        <f>IF(B4273,INDEX(MineScale,C4273),"")</f>
        <v/>
      </c>
      <c r="L4273">
        <f>IF(B4273,INDEX(Dow,1,WEEKDAY(E4273,2)),"")</f>
        <v/>
      </c>
      <c r="M4273">
        <f>IF(B4273,(1+Trend)^D4273,"")</f>
        <v/>
      </c>
      <c r="N4273">
        <f>IF(B4273,EXP(SUMPRODUCT(LN(1+(EvEff-1)*INDEX(Affected,0,C4273)*EXP(-((E4273-EvCenter)^2)/(2*EvSigma^2))))),"")</f>
        <v/>
      </c>
      <c r="O4273">
        <f>IF(B4273,ROUND(MAX(0,J4273*K4273*L4273*M4273*N4273),2),"")</f>
        <v/>
      </c>
    </row>
    <row r="4274">
      <c r="A4274" t="n">
        <v>4273</v>
      </c>
      <c r="B4274">
        <f>A4274&lt;=MineCount*Days</f>
        <v/>
      </c>
      <c r="C4274">
        <f>IF(B4274,INT((A4274-1)/Days)+1,"")</f>
        <v/>
      </c>
      <c r="D4274">
        <f>IF(B4274,MOD(A4274-1,Days),"")</f>
        <v/>
      </c>
      <c r="E4274" s="16">
        <f>IF(B4274,StartDate+D4274,"")</f>
        <v/>
      </c>
      <c r="F4274">
        <f>IF(B4274,MAX(MOD(SIN(Seed*0.1373+C4274*12.9898+D4274*78.233)*43758.5453,1),1E-9),"")</f>
        <v/>
      </c>
      <c r="G4274">
        <f>IF(B4274,MOD(SIN(Seed*0.5917+C4274*39.3468+D4274*11.135)*24634.6345,1),"")</f>
        <v/>
      </c>
      <c r="H4274">
        <f>IF(B4274,SQRT(-2*LN(F4274))*COS(2*PI()*G4274),"")</f>
        <v/>
      </c>
      <c r="I4274">
        <f>IF(B4274,IF(D4274=0,H4274,Rho*I4273+SQRT(1-Rho^2)*H4274),"")</f>
        <v/>
      </c>
      <c r="J4274">
        <f>IF(B4274,IF(Dist="Normal",DistA+DistB*I4274,DistA+(DistB-DistA)*NORMSDIST(I4274)),"")</f>
        <v/>
      </c>
      <c r="K4274">
        <f>IF(B4274,INDEX(MineScale,C4274),"")</f>
        <v/>
      </c>
      <c r="L4274">
        <f>IF(B4274,INDEX(Dow,1,WEEKDAY(E4274,2)),"")</f>
        <v/>
      </c>
      <c r="M4274">
        <f>IF(B4274,(1+Trend)^D4274,"")</f>
        <v/>
      </c>
      <c r="N4274">
        <f>IF(B4274,EXP(SUMPRODUCT(LN(1+(EvEff-1)*INDEX(Affected,0,C4274)*EXP(-((E4274-EvCenter)^2)/(2*EvSigma^2))))),"")</f>
        <v/>
      </c>
      <c r="O4274">
        <f>IF(B4274,ROUND(MAX(0,J4274*K4274*L4274*M4274*N4274),2),"")</f>
        <v/>
      </c>
    </row>
    <row r="4275">
      <c r="A4275" t="n">
        <v>4274</v>
      </c>
      <c r="B4275">
        <f>A4275&lt;=MineCount*Days</f>
        <v/>
      </c>
      <c r="C4275">
        <f>IF(B4275,INT((A4275-1)/Days)+1,"")</f>
        <v/>
      </c>
      <c r="D4275">
        <f>IF(B4275,MOD(A4275-1,Days),"")</f>
        <v/>
      </c>
      <c r="E4275" s="16">
        <f>IF(B4275,StartDate+D4275,"")</f>
        <v/>
      </c>
      <c r="F4275">
        <f>IF(B4275,MAX(MOD(SIN(Seed*0.1373+C4275*12.9898+D4275*78.233)*43758.5453,1),1E-9),"")</f>
        <v/>
      </c>
      <c r="G4275">
        <f>IF(B4275,MOD(SIN(Seed*0.5917+C4275*39.3468+D4275*11.135)*24634.6345,1),"")</f>
        <v/>
      </c>
      <c r="H4275">
        <f>IF(B4275,SQRT(-2*LN(F4275))*COS(2*PI()*G4275),"")</f>
        <v/>
      </c>
      <c r="I4275">
        <f>IF(B4275,IF(D4275=0,H4275,Rho*I4274+SQRT(1-Rho^2)*H4275),"")</f>
        <v/>
      </c>
      <c r="J4275">
        <f>IF(B4275,IF(Dist="Normal",DistA+DistB*I4275,DistA+(DistB-DistA)*NORMSDIST(I4275)),"")</f>
        <v/>
      </c>
      <c r="K4275">
        <f>IF(B4275,INDEX(MineScale,C4275),"")</f>
        <v/>
      </c>
      <c r="L4275">
        <f>IF(B4275,INDEX(Dow,1,WEEKDAY(E4275,2)),"")</f>
        <v/>
      </c>
      <c r="M4275">
        <f>IF(B4275,(1+Trend)^D4275,"")</f>
        <v/>
      </c>
      <c r="N4275">
        <f>IF(B4275,EXP(SUMPRODUCT(LN(1+(EvEff-1)*INDEX(Affected,0,C4275)*EXP(-((E4275-EvCenter)^2)/(2*EvSigma^2))))),"")</f>
        <v/>
      </c>
      <c r="O4275">
        <f>IF(B4275,ROUND(MAX(0,J4275*K4275*L4275*M4275*N4275),2),"")</f>
        <v/>
      </c>
    </row>
    <row r="4276">
      <c r="A4276" t="n">
        <v>4275</v>
      </c>
      <c r="B4276">
        <f>A4276&lt;=MineCount*Days</f>
        <v/>
      </c>
      <c r="C4276">
        <f>IF(B4276,INT((A4276-1)/Days)+1,"")</f>
        <v/>
      </c>
      <c r="D4276">
        <f>IF(B4276,MOD(A4276-1,Days),"")</f>
        <v/>
      </c>
      <c r="E4276" s="16">
        <f>IF(B4276,StartDate+D4276,"")</f>
        <v/>
      </c>
      <c r="F4276">
        <f>IF(B4276,MAX(MOD(SIN(Seed*0.1373+C4276*12.9898+D4276*78.233)*43758.5453,1),1E-9),"")</f>
        <v/>
      </c>
      <c r="G4276">
        <f>IF(B4276,MOD(SIN(Seed*0.5917+C4276*39.3468+D4276*11.135)*24634.6345,1),"")</f>
        <v/>
      </c>
      <c r="H4276">
        <f>IF(B4276,SQRT(-2*LN(F4276))*COS(2*PI()*G4276),"")</f>
        <v/>
      </c>
      <c r="I4276">
        <f>IF(B4276,IF(D4276=0,H4276,Rho*I4275+SQRT(1-Rho^2)*H4276),"")</f>
        <v/>
      </c>
      <c r="J4276">
        <f>IF(B4276,IF(Dist="Normal",DistA+DistB*I4276,DistA+(DistB-DistA)*NORMSDIST(I4276)),"")</f>
        <v/>
      </c>
      <c r="K4276">
        <f>IF(B4276,INDEX(MineScale,C4276),"")</f>
        <v/>
      </c>
      <c r="L4276">
        <f>IF(B4276,INDEX(Dow,1,WEEKDAY(E4276,2)),"")</f>
        <v/>
      </c>
      <c r="M4276">
        <f>IF(B4276,(1+Trend)^D4276,"")</f>
        <v/>
      </c>
      <c r="N4276">
        <f>IF(B4276,EXP(SUMPRODUCT(LN(1+(EvEff-1)*INDEX(Affected,0,C4276)*EXP(-((E4276-EvCenter)^2)/(2*EvSigma^2))))),"")</f>
        <v/>
      </c>
      <c r="O4276">
        <f>IF(B4276,ROUND(MAX(0,J4276*K4276*L4276*M4276*N4276),2),"")</f>
        <v/>
      </c>
    </row>
    <row r="4277">
      <c r="A4277" t="n">
        <v>4276</v>
      </c>
      <c r="B4277">
        <f>A4277&lt;=MineCount*Days</f>
        <v/>
      </c>
      <c r="C4277">
        <f>IF(B4277,INT((A4277-1)/Days)+1,"")</f>
        <v/>
      </c>
      <c r="D4277">
        <f>IF(B4277,MOD(A4277-1,Days),"")</f>
        <v/>
      </c>
      <c r="E4277" s="16">
        <f>IF(B4277,StartDate+D4277,"")</f>
        <v/>
      </c>
      <c r="F4277">
        <f>IF(B4277,MAX(MOD(SIN(Seed*0.1373+C4277*12.9898+D4277*78.233)*43758.5453,1),1E-9),"")</f>
        <v/>
      </c>
      <c r="G4277">
        <f>IF(B4277,MOD(SIN(Seed*0.5917+C4277*39.3468+D4277*11.135)*24634.6345,1),"")</f>
        <v/>
      </c>
      <c r="H4277">
        <f>IF(B4277,SQRT(-2*LN(F4277))*COS(2*PI()*G4277),"")</f>
        <v/>
      </c>
      <c r="I4277">
        <f>IF(B4277,IF(D4277=0,H4277,Rho*I4276+SQRT(1-Rho^2)*H4277),"")</f>
        <v/>
      </c>
      <c r="J4277">
        <f>IF(B4277,IF(Dist="Normal",DistA+DistB*I4277,DistA+(DistB-DistA)*NORMSDIST(I4277)),"")</f>
        <v/>
      </c>
      <c r="K4277">
        <f>IF(B4277,INDEX(MineScale,C4277),"")</f>
        <v/>
      </c>
      <c r="L4277">
        <f>IF(B4277,INDEX(Dow,1,WEEKDAY(E4277,2)),"")</f>
        <v/>
      </c>
      <c r="M4277">
        <f>IF(B4277,(1+Trend)^D4277,"")</f>
        <v/>
      </c>
      <c r="N4277">
        <f>IF(B4277,EXP(SUMPRODUCT(LN(1+(EvEff-1)*INDEX(Affected,0,C4277)*EXP(-((E4277-EvCenter)^2)/(2*EvSigma^2))))),"")</f>
        <v/>
      </c>
      <c r="O4277">
        <f>IF(B4277,ROUND(MAX(0,J4277*K4277*L4277*M4277*N4277),2),"")</f>
        <v/>
      </c>
    </row>
    <row r="4278">
      <c r="A4278" t="n">
        <v>4277</v>
      </c>
      <c r="B4278">
        <f>A4278&lt;=MineCount*Days</f>
        <v/>
      </c>
      <c r="C4278">
        <f>IF(B4278,INT((A4278-1)/Days)+1,"")</f>
        <v/>
      </c>
      <c r="D4278">
        <f>IF(B4278,MOD(A4278-1,Days),"")</f>
        <v/>
      </c>
      <c r="E4278" s="16">
        <f>IF(B4278,StartDate+D4278,"")</f>
        <v/>
      </c>
      <c r="F4278">
        <f>IF(B4278,MAX(MOD(SIN(Seed*0.1373+C4278*12.9898+D4278*78.233)*43758.5453,1),1E-9),"")</f>
        <v/>
      </c>
      <c r="G4278">
        <f>IF(B4278,MOD(SIN(Seed*0.5917+C4278*39.3468+D4278*11.135)*24634.6345,1),"")</f>
        <v/>
      </c>
      <c r="H4278">
        <f>IF(B4278,SQRT(-2*LN(F4278))*COS(2*PI()*G4278),"")</f>
        <v/>
      </c>
      <c r="I4278">
        <f>IF(B4278,IF(D4278=0,H4278,Rho*I4277+SQRT(1-Rho^2)*H4278),"")</f>
        <v/>
      </c>
      <c r="J4278">
        <f>IF(B4278,IF(Dist="Normal",DistA+DistB*I4278,DistA+(DistB-DistA)*NORMSDIST(I4278)),"")</f>
        <v/>
      </c>
      <c r="K4278">
        <f>IF(B4278,INDEX(MineScale,C4278),"")</f>
        <v/>
      </c>
      <c r="L4278">
        <f>IF(B4278,INDEX(Dow,1,WEEKDAY(E4278,2)),"")</f>
        <v/>
      </c>
      <c r="M4278">
        <f>IF(B4278,(1+Trend)^D4278,"")</f>
        <v/>
      </c>
      <c r="N4278">
        <f>IF(B4278,EXP(SUMPRODUCT(LN(1+(EvEff-1)*INDEX(Affected,0,C4278)*EXP(-((E4278-EvCenter)^2)/(2*EvSigma^2))))),"")</f>
        <v/>
      </c>
      <c r="O4278">
        <f>IF(B4278,ROUND(MAX(0,J4278*K4278*L4278*M4278*N4278),2),"")</f>
        <v/>
      </c>
    </row>
    <row r="4279">
      <c r="A4279" t="n">
        <v>4278</v>
      </c>
      <c r="B4279">
        <f>A4279&lt;=MineCount*Days</f>
        <v/>
      </c>
      <c r="C4279">
        <f>IF(B4279,INT((A4279-1)/Days)+1,"")</f>
        <v/>
      </c>
      <c r="D4279">
        <f>IF(B4279,MOD(A4279-1,Days),"")</f>
        <v/>
      </c>
      <c r="E4279" s="16">
        <f>IF(B4279,StartDate+D4279,"")</f>
        <v/>
      </c>
      <c r="F4279">
        <f>IF(B4279,MAX(MOD(SIN(Seed*0.1373+C4279*12.9898+D4279*78.233)*43758.5453,1),1E-9),"")</f>
        <v/>
      </c>
      <c r="G4279">
        <f>IF(B4279,MOD(SIN(Seed*0.5917+C4279*39.3468+D4279*11.135)*24634.6345,1),"")</f>
        <v/>
      </c>
      <c r="H4279">
        <f>IF(B4279,SQRT(-2*LN(F4279))*COS(2*PI()*G4279),"")</f>
        <v/>
      </c>
      <c r="I4279">
        <f>IF(B4279,IF(D4279=0,H4279,Rho*I4278+SQRT(1-Rho^2)*H4279),"")</f>
        <v/>
      </c>
      <c r="J4279">
        <f>IF(B4279,IF(Dist="Normal",DistA+DistB*I4279,DistA+(DistB-DistA)*NORMSDIST(I4279)),"")</f>
        <v/>
      </c>
      <c r="K4279">
        <f>IF(B4279,INDEX(MineScale,C4279),"")</f>
        <v/>
      </c>
      <c r="L4279">
        <f>IF(B4279,INDEX(Dow,1,WEEKDAY(E4279,2)),"")</f>
        <v/>
      </c>
      <c r="M4279">
        <f>IF(B4279,(1+Trend)^D4279,"")</f>
        <v/>
      </c>
      <c r="N4279">
        <f>IF(B4279,EXP(SUMPRODUCT(LN(1+(EvEff-1)*INDEX(Affected,0,C4279)*EXP(-((E4279-EvCenter)^2)/(2*EvSigma^2))))),"")</f>
        <v/>
      </c>
      <c r="O4279">
        <f>IF(B4279,ROUND(MAX(0,J4279*K4279*L4279*M4279*N4279),2),"")</f>
        <v/>
      </c>
    </row>
    <row r="4280">
      <c r="A4280" t="n">
        <v>4279</v>
      </c>
      <c r="B4280">
        <f>A4280&lt;=MineCount*Days</f>
        <v/>
      </c>
      <c r="C4280">
        <f>IF(B4280,INT((A4280-1)/Days)+1,"")</f>
        <v/>
      </c>
      <c r="D4280">
        <f>IF(B4280,MOD(A4280-1,Days),"")</f>
        <v/>
      </c>
      <c r="E4280" s="16">
        <f>IF(B4280,StartDate+D4280,"")</f>
        <v/>
      </c>
      <c r="F4280">
        <f>IF(B4280,MAX(MOD(SIN(Seed*0.1373+C4280*12.9898+D4280*78.233)*43758.5453,1),1E-9),"")</f>
        <v/>
      </c>
      <c r="G4280">
        <f>IF(B4280,MOD(SIN(Seed*0.5917+C4280*39.3468+D4280*11.135)*24634.6345,1),"")</f>
        <v/>
      </c>
      <c r="H4280">
        <f>IF(B4280,SQRT(-2*LN(F4280))*COS(2*PI()*G4280),"")</f>
        <v/>
      </c>
      <c r="I4280">
        <f>IF(B4280,IF(D4280=0,H4280,Rho*I4279+SQRT(1-Rho^2)*H4280),"")</f>
        <v/>
      </c>
      <c r="J4280">
        <f>IF(B4280,IF(Dist="Normal",DistA+DistB*I4280,DistA+(DistB-DistA)*NORMSDIST(I4280)),"")</f>
        <v/>
      </c>
      <c r="K4280">
        <f>IF(B4280,INDEX(MineScale,C4280),"")</f>
        <v/>
      </c>
      <c r="L4280">
        <f>IF(B4280,INDEX(Dow,1,WEEKDAY(E4280,2)),"")</f>
        <v/>
      </c>
      <c r="M4280">
        <f>IF(B4280,(1+Trend)^D4280,"")</f>
        <v/>
      </c>
      <c r="N4280">
        <f>IF(B4280,EXP(SUMPRODUCT(LN(1+(EvEff-1)*INDEX(Affected,0,C4280)*EXP(-((E4280-EvCenter)^2)/(2*EvSigma^2))))),"")</f>
        <v/>
      </c>
      <c r="O4280">
        <f>IF(B4280,ROUND(MAX(0,J4280*K4280*L4280*M4280*N4280),2),"")</f>
        <v/>
      </c>
    </row>
    <row r="4281">
      <c r="A4281" t="n">
        <v>4280</v>
      </c>
      <c r="B4281">
        <f>A4281&lt;=MineCount*Days</f>
        <v/>
      </c>
      <c r="C4281">
        <f>IF(B4281,INT((A4281-1)/Days)+1,"")</f>
        <v/>
      </c>
      <c r="D4281">
        <f>IF(B4281,MOD(A4281-1,Days),"")</f>
        <v/>
      </c>
      <c r="E4281" s="16">
        <f>IF(B4281,StartDate+D4281,"")</f>
        <v/>
      </c>
      <c r="F4281">
        <f>IF(B4281,MAX(MOD(SIN(Seed*0.1373+C4281*12.9898+D4281*78.233)*43758.5453,1),1E-9),"")</f>
        <v/>
      </c>
      <c r="G4281">
        <f>IF(B4281,MOD(SIN(Seed*0.5917+C4281*39.3468+D4281*11.135)*24634.6345,1),"")</f>
        <v/>
      </c>
      <c r="H4281">
        <f>IF(B4281,SQRT(-2*LN(F4281))*COS(2*PI()*G4281),"")</f>
        <v/>
      </c>
      <c r="I4281">
        <f>IF(B4281,IF(D4281=0,H4281,Rho*I4280+SQRT(1-Rho^2)*H4281),"")</f>
        <v/>
      </c>
      <c r="J4281">
        <f>IF(B4281,IF(Dist="Normal",DistA+DistB*I4281,DistA+(DistB-DistA)*NORMSDIST(I4281)),"")</f>
        <v/>
      </c>
      <c r="K4281">
        <f>IF(B4281,INDEX(MineScale,C4281),"")</f>
        <v/>
      </c>
      <c r="L4281">
        <f>IF(B4281,INDEX(Dow,1,WEEKDAY(E4281,2)),"")</f>
        <v/>
      </c>
      <c r="M4281">
        <f>IF(B4281,(1+Trend)^D4281,"")</f>
        <v/>
      </c>
      <c r="N4281">
        <f>IF(B4281,EXP(SUMPRODUCT(LN(1+(EvEff-1)*INDEX(Affected,0,C4281)*EXP(-((E4281-EvCenter)^2)/(2*EvSigma^2))))),"")</f>
        <v/>
      </c>
      <c r="O4281">
        <f>IF(B4281,ROUND(MAX(0,J4281*K4281*L4281*M4281*N4281),2),"")</f>
        <v/>
      </c>
    </row>
    <row r="4282">
      <c r="A4282" t="n">
        <v>4281</v>
      </c>
      <c r="B4282">
        <f>A4282&lt;=MineCount*Days</f>
        <v/>
      </c>
      <c r="C4282">
        <f>IF(B4282,INT((A4282-1)/Days)+1,"")</f>
        <v/>
      </c>
      <c r="D4282">
        <f>IF(B4282,MOD(A4282-1,Days),"")</f>
        <v/>
      </c>
      <c r="E4282" s="16">
        <f>IF(B4282,StartDate+D4282,"")</f>
        <v/>
      </c>
      <c r="F4282">
        <f>IF(B4282,MAX(MOD(SIN(Seed*0.1373+C4282*12.9898+D4282*78.233)*43758.5453,1),1E-9),"")</f>
        <v/>
      </c>
      <c r="G4282">
        <f>IF(B4282,MOD(SIN(Seed*0.5917+C4282*39.3468+D4282*11.135)*24634.6345,1),"")</f>
        <v/>
      </c>
      <c r="H4282">
        <f>IF(B4282,SQRT(-2*LN(F4282))*COS(2*PI()*G4282),"")</f>
        <v/>
      </c>
      <c r="I4282">
        <f>IF(B4282,IF(D4282=0,H4282,Rho*I4281+SQRT(1-Rho^2)*H4282),"")</f>
        <v/>
      </c>
      <c r="J4282">
        <f>IF(B4282,IF(Dist="Normal",DistA+DistB*I4282,DistA+(DistB-DistA)*NORMSDIST(I4282)),"")</f>
        <v/>
      </c>
      <c r="K4282">
        <f>IF(B4282,INDEX(MineScale,C4282),"")</f>
        <v/>
      </c>
      <c r="L4282">
        <f>IF(B4282,INDEX(Dow,1,WEEKDAY(E4282,2)),"")</f>
        <v/>
      </c>
      <c r="M4282">
        <f>IF(B4282,(1+Trend)^D4282,"")</f>
        <v/>
      </c>
      <c r="N4282">
        <f>IF(B4282,EXP(SUMPRODUCT(LN(1+(EvEff-1)*INDEX(Affected,0,C4282)*EXP(-((E4282-EvCenter)^2)/(2*EvSigma^2))))),"")</f>
        <v/>
      </c>
      <c r="O4282">
        <f>IF(B4282,ROUND(MAX(0,J4282*K4282*L4282*M4282*N4282),2),"")</f>
        <v/>
      </c>
    </row>
    <row r="4283">
      <c r="A4283" t="n">
        <v>4282</v>
      </c>
      <c r="B4283">
        <f>A4283&lt;=MineCount*Days</f>
        <v/>
      </c>
      <c r="C4283">
        <f>IF(B4283,INT((A4283-1)/Days)+1,"")</f>
        <v/>
      </c>
      <c r="D4283">
        <f>IF(B4283,MOD(A4283-1,Days),"")</f>
        <v/>
      </c>
      <c r="E4283" s="16">
        <f>IF(B4283,StartDate+D4283,"")</f>
        <v/>
      </c>
      <c r="F4283">
        <f>IF(B4283,MAX(MOD(SIN(Seed*0.1373+C4283*12.9898+D4283*78.233)*43758.5453,1),1E-9),"")</f>
        <v/>
      </c>
      <c r="G4283">
        <f>IF(B4283,MOD(SIN(Seed*0.5917+C4283*39.3468+D4283*11.135)*24634.6345,1),"")</f>
        <v/>
      </c>
      <c r="H4283">
        <f>IF(B4283,SQRT(-2*LN(F4283))*COS(2*PI()*G4283),"")</f>
        <v/>
      </c>
      <c r="I4283">
        <f>IF(B4283,IF(D4283=0,H4283,Rho*I4282+SQRT(1-Rho^2)*H4283),"")</f>
        <v/>
      </c>
      <c r="J4283">
        <f>IF(B4283,IF(Dist="Normal",DistA+DistB*I4283,DistA+(DistB-DistA)*NORMSDIST(I4283)),"")</f>
        <v/>
      </c>
      <c r="K4283">
        <f>IF(B4283,INDEX(MineScale,C4283),"")</f>
        <v/>
      </c>
      <c r="L4283">
        <f>IF(B4283,INDEX(Dow,1,WEEKDAY(E4283,2)),"")</f>
        <v/>
      </c>
      <c r="M4283">
        <f>IF(B4283,(1+Trend)^D4283,"")</f>
        <v/>
      </c>
      <c r="N4283">
        <f>IF(B4283,EXP(SUMPRODUCT(LN(1+(EvEff-1)*INDEX(Affected,0,C4283)*EXP(-((E4283-EvCenter)^2)/(2*EvSigma^2))))),"")</f>
        <v/>
      </c>
      <c r="O4283">
        <f>IF(B4283,ROUND(MAX(0,J4283*K4283*L4283*M4283*N4283),2),"")</f>
        <v/>
      </c>
    </row>
    <row r="4284">
      <c r="A4284" t="n">
        <v>4283</v>
      </c>
      <c r="B4284">
        <f>A4284&lt;=MineCount*Days</f>
        <v/>
      </c>
      <c r="C4284">
        <f>IF(B4284,INT((A4284-1)/Days)+1,"")</f>
        <v/>
      </c>
      <c r="D4284">
        <f>IF(B4284,MOD(A4284-1,Days),"")</f>
        <v/>
      </c>
      <c r="E4284" s="16">
        <f>IF(B4284,StartDate+D4284,"")</f>
        <v/>
      </c>
      <c r="F4284">
        <f>IF(B4284,MAX(MOD(SIN(Seed*0.1373+C4284*12.9898+D4284*78.233)*43758.5453,1),1E-9),"")</f>
        <v/>
      </c>
      <c r="G4284">
        <f>IF(B4284,MOD(SIN(Seed*0.5917+C4284*39.3468+D4284*11.135)*24634.6345,1),"")</f>
        <v/>
      </c>
      <c r="H4284">
        <f>IF(B4284,SQRT(-2*LN(F4284))*COS(2*PI()*G4284),"")</f>
        <v/>
      </c>
      <c r="I4284">
        <f>IF(B4284,IF(D4284=0,H4284,Rho*I4283+SQRT(1-Rho^2)*H4284),"")</f>
        <v/>
      </c>
      <c r="J4284">
        <f>IF(B4284,IF(Dist="Normal",DistA+DistB*I4284,DistA+(DistB-DistA)*NORMSDIST(I4284)),"")</f>
        <v/>
      </c>
      <c r="K4284">
        <f>IF(B4284,INDEX(MineScale,C4284),"")</f>
        <v/>
      </c>
      <c r="L4284">
        <f>IF(B4284,INDEX(Dow,1,WEEKDAY(E4284,2)),"")</f>
        <v/>
      </c>
      <c r="M4284">
        <f>IF(B4284,(1+Trend)^D4284,"")</f>
        <v/>
      </c>
      <c r="N4284">
        <f>IF(B4284,EXP(SUMPRODUCT(LN(1+(EvEff-1)*INDEX(Affected,0,C4284)*EXP(-((E4284-EvCenter)^2)/(2*EvSigma^2))))),"")</f>
        <v/>
      </c>
      <c r="O4284">
        <f>IF(B4284,ROUND(MAX(0,J4284*K4284*L4284*M4284*N4284),2),"")</f>
        <v/>
      </c>
    </row>
    <row r="4285">
      <c r="A4285" t="n">
        <v>4284</v>
      </c>
      <c r="B4285">
        <f>A4285&lt;=MineCount*Days</f>
        <v/>
      </c>
      <c r="C4285">
        <f>IF(B4285,INT((A4285-1)/Days)+1,"")</f>
        <v/>
      </c>
      <c r="D4285">
        <f>IF(B4285,MOD(A4285-1,Days),"")</f>
        <v/>
      </c>
      <c r="E4285" s="16">
        <f>IF(B4285,StartDate+D4285,"")</f>
        <v/>
      </c>
      <c r="F4285">
        <f>IF(B4285,MAX(MOD(SIN(Seed*0.1373+C4285*12.9898+D4285*78.233)*43758.5453,1),1E-9),"")</f>
        <v/>
      </c>
      <c r="G4285">
        <f>IF(B4285,MOD(SIN(Seed*0.5917+C4285*39.3468+D4285*11.135)*24634.6345,1),"")</f>
        <v/>
      </c>
      <c r="H4285">
        <f>IF(B4285,SQRT(-2*LN(F4285))*COS(2*PI()*G4285),"")</f>
        <v/>
      </c>
      <c r="I4285">
        <f>IF(B4285,IF(D4285=0,H4285,Rho*I4284+SQRT(1-Rho^2)*H4285),"")</f>
        <v/>
      </c>
      <c r="J4285">
        <f>IF(B4285,IF(Dist="Normal",DistA+DistB*I4285,DistA+(DistB-DistA)*NORMSDIST(I4285)),"")</f>
        <v/>
      </c>
      <c r="K4285">
        <f>IF(B4285,INDEX(MineScale,C4285),"")</f>
        <v/>
      </c>
      <c r="L4285">
        <f>IF(B4285,INDEX(Dow,1,WEEKDAY(E4285,2)),"")</f>
        <v/>
      </c>
      <c r="M4285">
        <f>IF(B4285,(1+Trend)^D4285,"")</f>
        <v/>
      </c>
      <c r="N4285">
        <f>IF(B4285,EXP(SUMPRODUCT(LN(1+(EvEff-1)*INDEX(Affected,0,C4285)*EXP(-((E4285-EvCenter)^2)/(2*EvSigma^2))))),"")</f>
        <v/>
      </c>
      <c r="O4285">
        <f>IF(B4285,ROUND(MAX(0,J4285*K4285*L4285*M4285*N4285),2),"")</f>
        <v/>
      </c>
    </row>
    <row r="4286">
      <c r="A4286" t="n">
        <v>4285</v>
      </c>
      <c r="B4286">
        <f>A4286&lt;=MineCount*Days</f>
        <v/>
      </c>
      <c r="C4286">
        <f>IF(B4286,INT((A4286-1)/Days)+1,"")</f>
        <v/>
      </c>
      <c r="D4286">
        <f>IF(B4286,MOD(A4286-1,Days),"")</f>
        <v/>
      </c>
      <c r="E4286" s="16">
        <f>IF(B4286,StartDate+D4286,"")</f>
        <v/>
      </c>
      <c r="F4286">
        <f>IF(B4286,MAX(MOD(SIN(Seed*0.1373+C4286*12.9898+D4286*78.233)*43758.5453,1),1E-9),"")</f>
        <v/>
      </c>
      <c r="G4286">
        <f>IF(B4286,MOD(SIN(Seed*0.5917+C4286*39.3468+D4286*11.135)*24634.6345,1),"")</f>
        <v/>
      </c>
      <c r="H4286">
        <f>IF(B4286,SQRT(-2*LN(F4286))*COS(2*PI()*G4286),"")</f>
        <v/>
      </c>
      <c r="I4286">
        <f>IF(B4286,IF(D4286=0,H4286,Rho*I4285+SQRT(1-Rho^2)*H4286),"")</f>
        <v/>
      </c>
      <c r="J4286">
        <f>IF(B4286,IF(Dist="Normal",DistA+DistB*I4286,DistA+(DistB-DistA)*NORMSDIST(I4286)),"")</f>
        <v/>
      </c>
      <c r="K4286">
        <f>IF(B4286,INDEX(MineScale,C4286),"")</f>
        <v/>
      </c>
      <c r="L4286">
        <f>IF(B4286,INDEX(Dow,1,WEEKDAY(E4286,2)),"")</f>
        <v/>
      </c>
      <c r="M4286">
        <f>IF(B4286,(1+Trend)^D4286,"")</f>
        <v/>
      </c>
      <c r="N4286">
        <f>IF(B4286,EXP(SUMPRODUCT(LN(1+(EvEff-1)*INDEX(Affected,0,C4286)*EXP(-((E4286-EvCenter)^2)/(2*EvSigma^2))))),"")</f>
        <v/>
      </c>
      <c r="O4286">
        <f>IF(B4286,ROUND(MAX(0,J4286*K4286*L4286*M4286*N4286),2),"")</f>
        <v/>
      </c>
    </row>
    <row r="4287">
      <c r="A4287" t="n">
        <v>4286</v>
      </c>
      <c r="B4287">
        <f>A4287&lt;=MineCount*Days</f>
        <v/>
      </c>
      <c r="C4287">
        <f>IF(B4287,INT((A4287-1)/Days)+1,"")</f>
        <v/>
      </c>
      <c r="D4287">
        <f>IF(B4287,MOD(A4287-1,Days),"")</f>
        <v/>
      </c>
      <c r="E4287" s="16">
        <f>IF(B4287,StartDate+D4287,"")</f>
        <v/>
      </c>
      <c r="F4287">
        <f>IF(B4287,MAX(MOD(SIN(Seed*0.1373+C4287*12.9898+D4287*78.233)*43758.5453,1),1E-9),"")</f>
        <v/>
      </c>
      <c r="G4287">
        <f>IF(B4287,MOD(SIN(Seed*0.5917+C4287*39.3468+D4287*11.135)*24634.6345,1),"")</f>
        <v/>
      </c>
      <c r="H4287">
        <f>IF(B4287,SQRT(-2*LN(F4287))*COS(2*PI()*G4287),"")</f>
        <v/>
      </c>
      <c r="I4287">
        <f>IF(B4287,IF(D4287=0,H4287,Rho*I4286+SQRT(1-Rho^2)*H4287),"")</f>
        <v/>
      </c>
      <c r="J4287">
        <f>IF(B4287,IF(Dist="Normal",DistA+DistB*I4287,DistA+(DistB-DistA)*NORMSDIST(I4287)),"")</f>
        <v/>
      </c>
      <c r="K4287">
        <f>IF(B4287,INDEX(MineScale,C4287),"")</f>
        <v/>
      </c>
      <c r="L4287">
        <f>IF(B4287,INDEX(Dow,1,WEEKDAY(E4287,2)),"")</f>
        <v/>
      </c>
      <c r="M4287">
        <f>IF(B4287,(1+Trend)^D4287,"")</f>
        <v/>
      </c>
      <c r="N4287">
        <f>IF(B4287,EXP(SUMPRODUCT(LN(1+(EvEff-1)*INDEX(Affected,0,C4287)*EXP(-((E4287-EvCenter)^2)/(2*EvSigma^2))))),"")</f>
        <v/>
      </c>
      <c r="O4287">
        <f>IF(B4287,ROUND(MAX(0,J4287*K4287*L4287*M4287*N4287),2),"")</f>
        <v/>
      </c>
    </row>
    <row r="4288">
      <c r="A4288" t="n">
        <v>4287</v>
      </c>
      <c r="B4288">
        <f>A4288&lt;=MineCount*Days</f>
        <v/>
      </c>
      <c r="C4288">
        <f>IF(B4288,INT((A4288-1)/Days)+1,"")</f>
        <v/>
      </c>
      <c r="D4288">
        <f>IF(B4288,MOD(A4288-1,Days),"")</f>
        <v/>
      </c>
      <c r="E4288" s="16">
        <f>IF(B4288,StartDate+D4288,"")</f>
        <v/>
      </c>
      <c r="F4288">
        <f>IF(B4288,MAX(MOD(SIN(Seed*0.1373+C4288*12.9898+D4288*78.233)*43758.5453,1),1E-9),"")</f>
        <v/>
      </c>
      <c r="G4288">
        <f>IF(B4288,MOD(SIN(Seed*0.5917+C4288*39.3468+D4288*11.135)*24634.6345,1),"")</f>
        <v/>
      </c>
      <c r="H4288">
        <f>IF(B4288,SQRT(-2*LN(F4288))*COS(2*PI()*G4288),"")</f>
        <v/>
      </c>
      <c r="I4288">
        <f>IF(B4288,IF(D4288=0,H4288,Rho*I4287+SQRT(1-Rho^2)*H4288),"")</f>
        <v/>
      </c>
      <c r="J4288">
        <f>IF(B4288,IF(Dist="Normal",DistA+DistB*I4288,DistA+(DistB-DistA)*NORMSDIST(I4288)),"")</f>
        <v/>
      </c>
      <c r="K4288">
        <f>IF(B4288,INDEX(MineScale,C4288),"")</f>
        <v/>
      </c>
      <c r="L4288">
        <f>IF(B4288,INDEX(Dow,1,WEEKDAY(E4288,2)),"")</f>
        <v/>
      </c>
      <c r="M4288">
        <f>IF(B4288,(1+Trend)^D4288,"")</f>
        <v/>
      </c>
      <c r="N4288">
        <f>IF(B4288,EXP(SUMPRODUCT(LN(1+(EvEff-1)*INDEX(Affected,0,C4288)*EXP(-((E4288-EvCenter)^2)/(2*EvSigma^2))))),"")</f>
        <v/>
      </c>
      <c r="O4288">
        <f>IF(B4288,ROUND(MAX(0,J4288*K4288*L4288*M4288*N4288),2),"")</f>
        <v/>
      </c>
    </row>
    <row r="4289">
      <c r="A4289" t="n">
        <v>4288</v>
      </c>
      <c r="B4289">
        <f>A4289&lt;=MineCount*Days</f>
        <v/>
      </c>
      <c r="C4289">
        <f>IF(B4289,INT((A4289-1)/Days)+1,"")</f>
        <v/>
      </c>
      <c r="D4289">
        <f>IF(B4289,MOD(A4289-1,Days),"")</f>
        <v/>
      </c>
      <c r="E4289" s="16">
        <f>IF(B4289,StartDate+D4289,"")</f>
        <v/>
      </c>
      <c r="F4289">
        <f>IF(B4289,MAX(MOD(SIN(Seed*0.1373+C4289*12.9898+D4289*78.233)*43758.5453,1),1E-9),"")</f>
        <v/>
      </c>
      <c r="G4289">
        <f>IF(B4289,MOD(SIN(Seed*0.5917+C4289*39.3468+D4289*11.135)*24634.6345,1),"")</f>
        <v/>
      </c>
      <c r="H4289">
        <f>IF(B4289,SQRT(-2*LN(F4289))*COS(2*PI()*G4289),"")</f>
        <v/>
      </c>
      <c r="I4289">
        <f>IF(B4289,IF(D4289=0,H4289,Rho*I4288+SQRT(1-Rho^2)*H4289),"")</f>
        <v/>
      </c>
      <c r="J4289">
        <f>IF(B4289,IF(Dist="Normal",DistA+DistB*I4289,DistA+(DistB-DistA)*NORMSDIST(I4289)),"")</f>
        <v/>
      </c>
      <c r="K4289">
        <f>IF(B4289,INDEX(MineScale,C4289),"")</f>
        <v/>
      </c>
      <c r="L4289">
        <f>IF(B4289,INDEX(Dow,1,WEEKDAY(E4289,2)),"")</f>
        <v/>
      </c>
      <c r="M4289">
        <f>IF(B4289,(1+Trend)^D4289,"")</f>
        <v/>
      </c>
      <c r="N4289">
        <f>IF(B4289,EXP(SUMPRODUCT(LN(1+(EvEff-1)*INDEX(Affected,0,C4289)*EXP(-((E4289-EvCenter)^2)/(2*EvSigma^2))))),"")</f>
        <v/>
      </c>
      <c r="O4289">
        <f>IF(B4289,ROUND(MAX(0,J4289*K4289*L4289*M4289*N4289),2),"")</f>
        <v/>
      </c>
    </row>
    <row r="4290">
      <c r="A4290" t="n">
        <v>4289</v>
      </c>
      <c r="B4290">
        <f>A4290&lt;=MineCount*Days</f>
        <v/>
      </c>
      <c r="C4290">
        <f>IF(B4290,INT((A4290-1)/Days)+1,"")</f>
        <v/>
      </c>
      <c r="D4290">
        <f>IF(B4290,MOD(A4290-1,Days),"")</f>
        <v/>
      </c>
      <c r="E4290" s="16">
        <f>IF(B4290,StartDate+D4290,"")</f>
        <v/>
      </c>
      <c r="F4290">
        <f>IF(B4290,MAX(MOD(SIN(Seed*0.1373+C4290*12.9898+D4290*78.233)*43758.5453,1),1E-9),"")</f>
        <v/>
      </c>
      <c r="G4290">
        <f>IF(B4290,MOD(SIN(Seed*0.5917+C4290*39.3468+D4290*11.135)*24634.6345,1),"")</f>
        <v/>
      </c>
      <c r="H4290">
        <f>IF(B4290,SQRT(-2*LN(F4290))*COS(2*PI()*G4290),"")</f>
        <v/>
      </c>
      <c r="I4290">
        <f>IF(B4290,IF(D4290=0,H4290,Rho*I4289+SQRT(1-Rho^2)*H4290),"")</f>
        <v/>
      </c>
      <c r="J4290">
        <f>IF(B4290,IF(Dist="Normal",DistA+DistB*I4290,DistA+(DistB-DistA)*NORMSDIST(I4290)),"")</f>
        <v/>
      </c>
      <c r="K4290">
        <f>IF(B4290,INDEX(MineScale,C4290),"")</f>
        <v/>
      </c>
      <c r="L4290">
        <f>IF(B4290,INDEX(Dow,1,WEEKDAY(E4290,2)),"")</f>
        <v/>
      </c>
      <c r="M4290">
        <f>IF(B4290,(1+Trend)^D4290,"")</f>
        <v/>
      </c>
      <c r="N4290">
        <f>IF(B4290,EXP(SUMPRODUCT(LN(1+(EvEff-1)*INDEX(Affected,0,C4290)*EXP(-((E4290-EvCenter)^2)/(2*EvSigma^2))))),"")</f>
        <v/>
      </c>
      <c r="O4290">
        <f>IF(B4290,ROUND(MAX(0,J4290*K4290*L4290*M4290*N4290),2),"")</f>
        <v/>
      </c>
    </row>
    <row r="4291">
      <c r="A4291" t="n">
        <v>4290</v>
      </c>
      <c r="B4291">
        <f>A4291&lt;=MineCount*Days</f>
        <v/>
      </c>
      <c r="C4291">
        <f>IF(B4291,INT((A4291-1)/Days)+1,"")</f>
        <v/>
      </c>
      <c r="D4291">
        <f>IF(B4291,MOD(A4291-1,Days),"")</f>
        <v/>
      </c>
      <c r="E4291" s="16">
        <f>IF(B4291,StartDate+D4291,"")</f>
        <v/>
      </c>
      <c r="F4291">
        <f>IF(B4291,MAX(MOD(SIN(Seed*0.1373+C4291*12.9898+D4291*78.233)*43758.5453,1),1E-9),"")</f>
        <v/>
      </c>
      <c r="G4291">
        <f>IF(B4291,MOD(SIN(Seed*0.5917+C4291*39.3468+D4291*11.135)*24634.6345,1),"")</f>
        <v/>
      </c>
      <c r="H4291">
        <f>IF(B4291,SQRT(-2*LN(F4291))*COS(2*PI()*G4291),"")</f>
        <v/>
      </c>
      <c r="I4291">
        <f>IF(B4291,IF(D4291=0,H4291,Rho*I4290+SQRT(1-Rho^2)*H4291),"")</f>
        <v/>
      </c>
      <c r="J4291">
        <f>IF(B4291,IF(Dist="Normal",DistA+DistB*I4291,DistA+(DistB-DistA)*NORMSDIST(I4291)),"")</f>
        <v/>
      </c>
      <c r="K4291">
        <f>IF(B4291,INDEX(MineScale,C4291),"")</f>
        <v/>
      </c>
      <c r="L4291">
        <f>IF(B4291,INDEX(Dow,1,WEEKDAY(E4291,2)),"")</f>
        <v/>
      </c>
      <c r="M4291">
        <f>IF(B4291,(1+Trend)^D4291,"")</f>
        <v/>
      </c>
      <c r="N4291">
        <f>IF(B4291,EXP(SUMPRODUCT(LN(1+(EvEff-1)*INDEX(Affected,0,C4291)*EXP(-((E4291-EvCenter)^2)/(2*EvSigma^2))))),"")</f>
        <v/>
      </c>
      <c r="O4291">
        <f>IF(B4291,ROUND(MAX(0,J4291*K4291*L4291*M4291*N4291),2),"")</f>
        <v/>
      </c>
    </row>
    <row r="4292">
      <c r="A4292" t="n">
        <v>4291</v>
      </c>
      <c r="B4292">
        <f>A4292&lt;=MineCount*Days</f>
        <v/>
      </c>
      <c r="C4292">
        <f>IF(B4292,INT((A4292-1)/Days)+1,"")</f>
        <v/>
      </c>
      <c r="D4292">
        <f>IF(B4292,MOD(A4292-1,Days),"")</f>
        <v/>
      </c>
      <c r="E4292" s="16">
        <f>IF(B4292,StartDate+D4292,"")</f>
        <v/>
      </c>
      <c r="F4292">
        <f>IF(B4292,MAX(MOD(SIN(Seed*0.1373+C4292*12.9898+D4292*78.233)*43758.5453,1),1E-9),"")</f>
        <v/>
      </c>
      <c r="G4292">
        <f>IF(B4292,MOD(SIN(Seed*0.5917+C4292*39.3468+D4292*11.135)*24634.6345,1),"")</f>
        <v/>
      </c>
      <c r="H4292">
        <f>IF(B4292,SQRT(-2*LN(F4292))*COS(2*PI()*G4292),"")</f>
        <v/>
      </c>
      <c r="I4292">
        <f>IF(B4292,IF(D4292=0,H4292,Rho*I4291+SQRT(1-Rho^2)*H4292),"")</f>
        <v/>
      </c>
      <c r="J4292">
        <f>IF(B4292,IF(Dist="Normal",DistA+DistB*I4292,DistA+(DistB-DistA)*NORMSDIST(I4292)),"")</f>
        <v/>
      </c>
      <c r="K4292">
        <f>IF(B4292,INDEX(MineScale,C4292),"")</f>
        <v/>
      </c>
      <c r="L4292">
        <f>IF(B4292,INDEX(Dow,1,WEEKDAY(E4292,2)),"")</f>
        <v/>
      </c>
      <c r="M4292">
        <f>IF(B4292,(1+Trend)^D4292,"")</f>
        <v/>
      </c>
      <c r="N4292">
        <f>IF(B4292,EXP(SUMPRODUCT(LN(1+(EvEff-1)*INDEX(Affected,0,C4292)*EXP(-((E4292-EvCenter)^2)/(2*EvSigma^2))))),"")</f>
        <v/>
      </c>
      <c r="O4292">
        <f>IF(B4292,ROUND(MAX(0,J4292*K4292*L4292*M4292*N4292),2),"")</f>
        <v/>
      </c>
    </row>
    <row r="4293">
      <c r="A4293" t="n">
        <v>4292</v>
      </c>
      <c r="B4293">
        <f>A4293&lt;=MineCount*Days</f>
        <v/>
      </c>
      <c r="C4293">
        <f>IF(B4293,INT((A4293-1)/Days)+1,"")</f>
        <v/>
      </c>
      <c r="D4293">
        <f>IF(B4293,MOD(A4293-1,Days),"")</f>
        <v/>
      </c>
      <c r="E4293" s="16">
        <f>IF(B4293,StartDate+D4293,"")</f>
        <v/>
      </c>
      <c r="F4293">
        <f>IF(B4293,MAX(MOD(SIN(Seed*0.1373+C4293*12.9898+D4293*78.233)*43758.5453,1),1E-9),"")</f>
        <v/>
      </c>
      <c r="G4293">
        <f>IF(B4293,MOD(SIN(Seed*0.5917+C4293*39.3468+D4293*11.135)*24634.6345,1),"")</f>
        <v/>
      </c>
      <c r="H4293">
        <f>IF(B4293,SQRT(-2*LN(F4293))*COS(2*PI()*G4293),"")</f>
        <v/>
      </c>
      <c r="I4293">
        <f>IF(B4293,IF(D4293=0,H4293,Rho*I4292+SQRT(1-Rho^2)*H4293),"")</f>
        <v/>
      </c>
      <c r="J4293">
        <f>IF(B4293,IF(Dist="Normal",DistA+DistB*I4293,DistA+(DistB-DistA)*NORMSDIST(I4293)),"")</f>
        <v/>
      </c>
      <c r="K4293">
        <f>IF(B4293,INDEX(MineScale,C4293),"")</f>
        <v/>
      </c>
      <c r="L4293">
        <f>IF(B4293,INDEX(Dow,1,WEEKDAY(E4293,2)),"")</f>
        <v/>
      </c>
      <c r="M4293">
        <f>IF(B4293,(1+Trend)^D4293,"")</f>
        <v/>
      </c>
      <c r="N4293">
        <f>IF(B4293,EXP(SUMPRODUCT(LN(1+(EvEff-1)*INDEX(Affected,0,C4293)*EXP(-((E4293-EvCenter)^2)/(2*EvSigma^2))))),"")</f>
        <v/>
      </c>
      <c r="O4293">
        <f>IF(B4293,ROUND(MAX(0,J4293*K4293*L4293*M4293*N4293),2),"")</f>
        <v/>
      </c>
    </row>
    <row r="4294">
      <c r="A4294" t="n">
        <v>4293</v>
      </c>
      <c r="B4294">
        <f>A4294&lt;=MineCount*Days</f>
        <v/>
      </c>
      <c r="C4294">
        <f>IF(B4294,INT((A4294-1)/Days)+1,"")</f>
        <v/>
      </c>
      <c r="D4294">
        <f>IF(B4294,MOD(A4294-1,Days),"")</f>
        <v/>
      </c>
      <c r="E4294" s="16">
        <f>IF(B4294,StartDate+D4294,"")</f>
        <v/>
      </c>
      <c r="F4294">
        <f>IF(B4294,MAX(MOD(SIN(Seed*0.1373+C4294*12.9898+D4294*78.233)*43758.5453,1),1E-9),"")</f>
        <v/>
      </c>
      <c r="G4294">
        <f>IF(B4294,MOD(SIN(Seed*0.5917+C4294*39.3468+D4294*11.135)*24634.6345,1),"")</f>
        <v/>
      </c>
      <c r="H4294">
        <f>IF(B4294,SQRT(-2*LN(F4294))*COS(2*PI()*G4294),"")</f>
        <v/>
      </c>
      <c r="I4294">
        <f>IF(B4294,IF(D4294=0,H4294,Rho*I4293+SQRT(1-Rho^2)*H4294),"")</f>
        <v/>
      </c>
      <c r="J4294">
        <f>IF(B4294,IF(Dist="Normal",DistA+DistB*I4294,DistA+(DistB-DistA)*NORMSDIST(I4294)),"")</f>
        <v/>
      </c>
      <c r="K4294">
        <f>IF(B4294,INDEX(MineScale,C4294),"")</f>
        <v/>
      </c>
      <c r="L4294">
        <f>IF(B4294,INDEX(Dow,1,WEEKDAY(E4294,2)),"")</f>
        <v/>
      </c>
      <c r="M4294">
        <f>IF(B4294,(1+Trend)^D4294,"")</f>
        <v/>
      </c>
      <c r="N4294">
        <f>IF(B4294,EXP(SUMPRODUCT(LN(1+(EvEff-1)*INDEX(Affected,0,C4294)*EXP(-((E4294-EvCenter)^2)/(2*EvSigma^2))))),"")</f>
        <v/>
      </c>
      <c r="O4294">
        <f>IF(B4294,ROUND(MAX(0,J4294*K4294*L4294*M4294*N4294),2),"")</f>
        <v/>
      </c>
    </row>
    <row r="4295">
      <c r="A4295" t="n">
        <v>4294</v>
      </c>
      <c r="B4295">
        <f>A4295&lt;=MineCount*Days</f>
        <v/>
      </c>
      <c r="C4295">
        <f>IF(B4295,INT((A4295-1)/Days)+1,"")</f>
        <v/>
      </c>
      <c r="D4295">
        <f>IF(B4295,MOD(A4295-1,Days),"")</f>
        <v/>
      </c>
      <c r="E4295" s="16">
        <f>IF(B4295,StartDate+D4295,"")</f>
        <v/>
      </c>
      <c r="F4295">
        <f>IF(B4295,MAX(MOD(SIN(Seed*0.1373+C4295*12.9898+D4295*78.233)*43758.5453,1),1E-9),"")</f>
        <v/>
      </c>
      <c r="G4295">
        <f>IF(B4295,MOD(SIN(Seed*0.5917+C4295*39.3468+D4295*11.135)*24634.6345,1),"")</f>
        <v/>
      </c>
      <c r="H4295">
        <f>IF(B4295,SQRT(-2*LN(F4295))*COS(2*PI()*G4295),"")</f>
        <v/>
      </c>
      <c r="I4295">
        <f>IF(B4295,IF(D4295=0,H4295,Rho*I4294+SQRT(1-Rho^2)*H4295),"")</f>
        <v/>
      </c>
      <c r="J4295">
        <f>IF(B4295,IF(Dist="Normal",DistA+DistB*I4295,DistA+(DistB-DistA)*NORMSDIST(I4295)),"")</f>
        <v/>
      </c>
      <c r="K4295">
        <f>IF(B4295,INDEX(MineScale,C4295),"")</f>
        <v/>
      </c>
      <c r="L4295">
        <f>IF(B4295,INDEX(Dow,1,WEEKDAY(E4295,2)),"")</f>
        <v/>
      </c>
      <c r="M4295">
        <f>IF(B4295,(1+Trend)^D4295,"")</f>
        <v/>
      </c>
      <c r="N4295">
        <f>IF(B4295,EXP(SUMPRODUCT(LN(1+(EvEff-1)*INDEX(Affected,0,C4295)*EXP(-((E4295-EvCenter)^2)/(2*EvSigma^2))))),"")</f>
        <v/>
      </c>
      <c r="O4295">
        <f>IF(B4295,ROUND(MAX(0,J4295*K4295*L4295*M4295*N4295),2),"")</f>
        <v/>
      </c>
    </row>
    <row r="4296">
      <c r="A4296" t="n">
        <v>4295</v>
      </c>
      <c r="B4296">
        <f>A4296&lt;=MineCount*Days</f>
        <v/>
      </c>
      <c r="C4296">
        <f>IF(B4296,INT((A4296-1)/Days)+1,"")</f>
        <v/>
      </c>
      <c r="D4296">
        <f>IF(B4296,MOD(A4296-1,Days),"")</f>
        <v/>
      </c>
      <c r="E4296" s="16">
        <f>IF(B4296,StartDate+D4296,"")</f>
        <v/>
      </c>
      <c r="F4296">
        <f>IF(B4296,MAX(MOD(SIN(Seed*0.1373+C4296*12.9898+D4296*78.233)*43758.5453,1),1E-9),"")</f>
        <v/>
      </c>
      <c r="G4296">
        <f>IF(B4296,MOD(SIN(Seed*0.5917+C4296*39.3468+D4296*11.135)*24634.6345,1),"")</f>
        <v/>
      </c>
      <c r="H4296">
        <f>IF(B4296,SQRT(-2*LN(F4296))*COS(2*PI()*G4296),"")</f>
        <v/>
      </c>
      <c r="I4296">
        <f>IF(B4296,IF(D4296=0,H4296,Rho*I4295+SQRT(1-Rho^2)*H4296),"")</f>
        <v/>
      </c>
      <c r="J4296">
        <f>IF(B4296,IF(Dist="Normal",DistA+DistB*I4296,DistA+(DistB-DistA)*NORMSDIST(I4296)),"")</f>
        <v/>
      </c>
      <c r="K4296">
        <f>IF(B4296,INDEX(MineScale,C4296),"")</f>
        <v/>
      </c>
      <c r="L4296">
        <f>IF(B4296,INDEX(Dow,1,WEEKDAY(E4296,2)),"")</f>
        <v/>
      </c>
      <c r="M4296">
        <f>IF(B4296,(1+Trend)^D4296,"")</f>
        <v/>
      </c>
      <c r="N4296">
        <f>IF(B4296,EXP(SUMPRODUCT(LN(1+(EvEff-1)*INDEX(Affected,0,C4296)*EXP(-((E4296-EvCenter)^2)/(2*EvSigma^2))))),"")</f>
        <v/>
      </c>
      <c r="O4296">
        <f>IF(B4296,ROUND(MAX(0,J4296*K4296*L4296*M4296*N4296),2),"")</f>
        <v/>
      </c>
    </row>
    <row r="4297">
      <c r="A4297" t="n">
        <v>4296</v>
      </c>
      <c r="B4297">
        <f>A4297&lt;=MineCount*Days</f>
        <v/>
      </c>
      <c r="C4297">
        <f>IF(B4297,INT((A4297-1)/Days)+1,"")</f>
        <v/>
      </c>
      <c r="D4297">
        <f>IF(B4297,MOD(A4297-1,Days),"")</f>
        <v/>
      </c>
      <c r="E4297" s="16">
        <f>IF(B4297,StartDate+D4297,"")</f>
        <v/>
      </c>
      <c r="F4297">
        <f>IF(B4297,MAX(MOD(SIN(Seed*0.1373+C4297*12.9898+D4297*78.233)*43758.5453,1),1E-9),"")</f>
        <v/>
      </c>
      <c r="G4297">
        <f>IF(B4297,MOD(SIN(Seed*0.5917+C4297*39.3468+D4297*11.135)*24634.6345,1),"")</f>
        <v/>
      </c>
      <c r="H4297">
        <f>IF(B4297,SQRT(-2*LN(F4297))*COS(2*PI()*G4297),"")</f>
        <v/>
      </c>
      <c r="I4297">
        <f>IF(B4297,IF(D4297=0,H4297,Rho*I4296+SQRT(1-Rho^2)*H4297),"")</f>
        <v/>
      </c>
      <c r="J4297">
        <f>IF(B4297,IF(Dist="Normal",DistA+DistB*I4297,DistA+(DistB-DistA)*NORMSDIST(I4297)),"")</f>
        <v/>
      </c>
      <c r="K4297">
        <f>IF(B4297,INDEX(MineScale,C4297),"")</f>
        <v/>
      </c>
      <c r="L4297">
        <f>IF(B4297,INDEX(Dow,1,WEEKDAY(E4297,2)),"")</f>
        <v/>
      </c>
      <c r="M4297">
        <f>IF(B4297,(1+Trend)^D4297,"")</f>
        <v/>
      </c>
      <c r="N4297">
        <f>IF(B4297,EXP(SUMPRODUCT(LN(1+(EvEff-1)*INDEX(Affected,0,C4297)*EXP(-((E4297-EvCenter)^2)/(2*EvSigma^2))))),"")</f>
        <v/>
      </c>
      <c r="O4297">
        <f>IF(B4297,ROUND(MAX(0,J4297*K4297*L4297*M4297*N4297),2),"")</f>
        <v/>
      </c>
    </row>
    <row r="4298">
      <c r="A4298" t="n">
        <v>4297</v>
      </c>
      <c r="B4298">
        <f>A4298&lt;=MineCount*Days</f>
        <v/>
      </c>
      <c r="C4298">
        <f>IF(B4298,INT((A4298-1)/Days)+1,"")</f>
        <v/>
      </c>
      <c r="D4298">
        <f>IF(B4298,MOD(A4298-1,Days),"")</f>
        <v/>
      </c>
      <c r="E4298" s="16">
        <f>IF(B4298,StartDate+D4298,"")</f>
        <v/>
      </c>
      <c r="F4298">
        <f>IF(B4298,MAX(MOD(SIN(Seed*0.1373+C4298*12.9898+D4298*78.233)*43758.5453,1),1E-9),"")</f>
        <v/>
      </c>
      <c r="G4298">
        <f>IF(B4298,MOD(SIN(Seed*0.5917+C4298*39.3468+D4298*11.135)*24634.6345,1),"")</f>
        <v/>
      </c>
      <c r="H4298">
        <f>IF(B4298,SQRT(-2*LN(F4298))*COS(2*PI()*G4298),"")</f>
        <v/>
      </c>
      <c r="I4298">
        <f>IF(B4298,IF(D4298=0,H4298,Rho*I4297+SQRT(1-Rho^2)*H4298),"")</f>
        <v/>
      </c>
      <c r="J4298">
        <f>IF(B4298,IF(Dist="Normal",DistA+DistB*I4298,DistA+(DistB-DistA)*NORMSDIST(I4298)),"")</f>
        <v/>
      </c>
      <c r="K4298">
        <f>IF(B4298,INDEX(MineScale,C4298),"")</f>
        <v/>
      </c>
      <c r="L4298">
        <f>IF(B4298,INDEX(Dow,1,WEEKDAY(E4298,2)),"")</f>
        <v/>
      </c>
      <c r="M4298">
        <f>IF(B4298,(1+Trend)^D4298,"")</f>
        <v/>
      </c>
      <c r="N4298">
        <f>IF(B4298,EXP(SUMPRODUCT(LN(1+(EvEff-1)*INDEX(Affected,0,C4298)*EXP(-((E4298-EvCenter)^2)/(2*EvSigma^2))))),"")</f>
        <v/>
      </c>
      <c r="O4298">
        <f>IF(B4298,ROUND(MAX(0,J4298*K4298*L4298*M4298*N4298),2),"")</f>
        <v/>
      </c>
    </row>
    <row r="4299">
      <c r="A4299" t="n">
        <v>4298</v>
      </c>
      <c r="B4299">
        <f>A4299&lt;=MineCount*Days</f>
        <v/>
      </c>
      <c r="C4299">
        <f>IF(B4299,INT((A4299-1)/Days)+1,"")</f>
        <v/>
      </c>
      <c r="D4299">
        <f>IF(B4299,MOD(A4299-1,Days),"")</f>
        <v/>
      </c>
      <c r="E4299" s="16">
        <f>IF(B4299,StartDate+D4299,"")</f>
        <v/>
      </c>
      <c r="F4299">
        <f>IF(B4299,MAX(MOD(SIN(Seed*0.1373+C4299*12.9898+D4299*78.233)*43758.5453,1),1E-9),"")</f>
        <v/>
      </c>
      <c r="G4299">
        <f>IF(B4299,MOD(SIN(Seed*0.5917+C4299*39.3468+D4299*11.135)*24634.6345,1),"")</f>
        <v/>
      </c>
      <c r="H4299">
        <f>IF(B4299,SQRT(-2*LN(F4299))*COS(2*PI()*G4299),"")</f>
        <v/>
      </c>
      <c r="I4299">
        <f>IF(B4299,IF(D4299=0,H4299,Rho*I4298+SQRT(1-Rho^2)*H4299),"")</f>
        <v/>
      </c>
      <c r="J4299">
        <f>IF(B4299,IF(Dist="Normal",DistA+DistB*I4299,DistA+(DistB-DistA)*NORMSDIST(I4299)),"")</f>
        <v/>
      </c>
      <c r="K4299">
        <f>IF(B4299,INDEX(MineScale,C4299),"")</f>
        <v/>
      </c>
      <c r="L4299">
        <f>IF(B4299,INDEX(Dow,1,WEEKDAY(E4299,2)),"")</f>
        <v/>
      </c>
      <c r="M4299">
        <f>IF(B4299,(1+Trend)^D4299,"")</f>
        <v/>
      </c>
      <c r="N4299">
        <f>IF(B4299,EXP(SUMPRODUCT(LN(1+(EvEff-1)*INDEX(Affected,0,C4299)*EXP(-((E4299-EvCenter)^2)/(2*EvSigma^2))))),"")</f>
        <v/>
      </c>
      <c r="O4299">
        <f>IF(B4299,ROUND(MAX(0,J4299*K4299*L4299*M4299*N4299),2),"")</f>
        <v/>
      </c>
    </row>
    <row r="4300">
      <c r="A4300" t="n">
        <v>4299</v>
      </c>
      <c r="B4300">
        <f>A4300&lt;=MineCount*Days</f>
        <v/>
      </c>
      <c r="C4300">
        <f>IF(B4300,INT((A4300-1)/Days)+1,"")</f>
        <v/>
      </c>
      <c r="D4300">
        <f>IF(B4300,MOD(A4300-1,Days),"")</f>
        <v/>
      </c>
      <c r="E4300" s="16">
        <f>IF(B4300,StartDate+D4300,"")</f>
        <v/>
      </c>
      <c r="F4300">
        <f>IF(B4300,MAX(MOD(SIN(Seed*0.1373+C4300*12.9898+D4300*78.233)*43758.5453,1),1E-9),"")</f>
        <v/>
      </c>
      <c r="G4300">
        <f>IF(B4300,MOD(SIN(Seed*0.5917+C4300*39.3468+D4300*11.135)*24634.6345,1),"")</f>
        <v/>
      </c>
      <c r="H4300">
        <f>IF(B4300,SQRT(-2*LN(F4300))*COS(2*PI()*G4300),"")</f>
        <v/>
      </c>
      <c r="I4300">
        <f>IF(B4300,IF(D4300=0,H4300,Rho*I4299+SQRT(1-Rho^2)*H4300),"")</f>
        <v/>
      </c>
      <c r="J4300">
        <f>IF(B4300,IF(Dist="Normal",DistA+DistB*I4300,DistA+(DistB-DistA)*NORMSDIST(I4300)),"")</f>
        <v/>
      </c>
      <c r="K4300">
        <f>IF(B4300,INDEX(MineScale,C4300),"")</f>
        <v/>
      </c>
      <c r="L4300">
        <f>IF(B4300,INDEX(Dow,1,WEEKDAY(E4300,2)),"")</f>
        <v/>
      </c>
      <c r="M4300">
        <f>IF(B4300,(1+Trend)^D4300,"")</f>
        <v/>
      </c>
      <c r="N4300">
        <f>IF(B4300,EXP(SUMPRODUCT(LN(1+(EvEff-1)*INDEX(Affected,0,C4300)*EXP(-((E4300-EvCenter)^2)/(2*EvSigma^2))))),"")</f>
        <v/>
      </c>
      <c r="O4300">
        <f>IF(B4300,ROUND(MAX(0,J4300*K4300*L4300*M4300*N4300),2),"")</f>
        <v/>
      </c>
    </row>
    <row r="4301">
      <c r="A4301" t="n">
        <v>4300</v>
      </c>
      <c r="B4301">
        <f>A4301&lt;=MineCount*Days</f>
        <v/>
      </c>
      <c r="C4301">
        <f>IF(B4301,INT((A4301-1)/Days)+1,"")</f>
        <v/>
      </c>
      <c r="D4301">
        <f>IF(B4301,MOD(A4301-1,Days),"")</f>
        <v/>
      </c>
      <c r="E4301" s="16">
        <f>IF(B4301,StartDate+D4301,"")</f>
        <v/>
      </c>
      <c r="F4301">
        <f>IF(B4301,MAX(MOD(SIN(Seed*0.1373+C4301*12.9898+D4301*78.233)*43758.5453,1),1E-9),"")</f>
        <v/>
      </c>
      <c r="G4301">
        <f>IF(B4301,MOD(SIN(Seed*0.5917+C4301*39.3468+D4301*11.135)*24634.6345,1),"")</f>
        <v/>
      </c>
      <c r="H4301">
        <f>IF(B4301,SQRT(-2*LN(F4301))*COS(2*PI()*G4301),"")</f>
        <v/>
      </c>
      <c r="I4301">
        <f>IF(B4301,IF(D4301=0,H4301,Rho*I4300+SQRT(1-Rho^2)*H4301),"")</f>
        <v/>
      </c>
      <c r="J4301">
        <f>IF(B4301,IF(Dist="Normal",DistA+DistB*I4301,DistA+(DistB-DistA)*NORMSDIST(I4301)),"")</f>
        <v/>
      </c>
      <c r="K4301">
        <f>IF(B4301,INDEX(MineScale,C4301),"")</f>
        <v/>
      </c>
      <c r="L4301">
        <f>IF(B4301,INDEX(Dow,1,WEEKDAY(E4301,2)),"")</f>
        <v/>
      </c>
      <c r="M4301">
        <f>IF(B4301,(1+Trend)^D4301,"")</f>
        <v/>
      </c>
      <c r="N4301">
        <f>IF(B4301,EXP(SUMPRODUCT(LN(1+(EvEff-1)*INDEX(Affected,0,C4301)*EXP(-((E4301-EvCenter)^2)/(2*EvSigma^2))))),"")</f>
        <v/>
      </c>
      <c r="O4301">
        <f>IF(B4301,ROUND(MAX(0,J4301*K4301*L4301*M4301*N4301),2),"")</f>
        <v/>
      </c>
    </row>
    <row r="4302">
      <c r="A4302" t="n">
        <v>4301</v>
      </c>
      <c r="B4302">
        <f>A4302&lt;=MineCount*Days</f>
        <v/>
      </c>
      <c r="C4302">
        <f>IF(B4302,INT((A4302-1)/Days)+1,"")</f>
        <v/>
      </c>
      <c r="D4302">
        <f>IF(B4302,MOD(A4302-1,Days),"")</f>
        <v/>
      </c>
      <c r="E4302" s="16">
        <f>IF(B4302,StartDate+D4302,"")</f>
        <v/>
      </c>
      <c r="F4302">
        <f>IF(B4302,MAX(MOD(SIN(Seed*0.1373+C4302*12.9898+D4302*78.233)*43758.5453,1),1E-9),"")</f>
        <v/>
      </c>
      <c r="G4302">
        <f>IF(B4302,MOD(SIN(Seed*0.5917+C4302*39.3468+D4302*11.135)*24634.6345,1),"")</f>
        <v/>
      </c>
      <c r="H4302">
        <f>IF(B4302,SQRT(-2*LN(F4302))*COS(2*PI()*G4302),"")</f>
        <v/>
      </c>
      <c r="I4302">
        <f>IF(B4302,IF(D4302=0,H4302,Rho*I4301+SQRT(1-Rho^2)*H4302),"")</f>
        <v/>
      </c>
      <c r="J4302">
        <f>IF(B4302,IF(Dist="Normal",DistA+DistB*I4302,DistA+(DistB-DistA)*NORMSDIST(I4302)),"")</f>
        <v/>
      </c>
      <c r="K4302">
        <f>IF(B4302,INDEX(MineScale,C4302),"")</f>
        <v/>
      </c>
      <c r="L4302">
        <f>IF(B4302,INDEX(Dow,1,WEEKDAY(E4302,2)),"")</f>
        <v/>
      </c>
      <c r="M4302">
        <f>IF(B4302,(1+Trend)^D4302,"")</f>
        <v/>
      </c>
      <c r="N4302">
        <f>IF(B4302,EXP(SUMPRODUCT(LN(1+(EvEff-1)*INDEX(Affected,0,C4302)*EXP(-((E4302-EvCenter)^2)/(2*EvSigma^2))))),"")</f>
        <v/>
      </c>
      <c r="O4302">
        <f>IF(B4302,ROUND(MAX(0,J4302*K4302*L4302*M4302*N4302),2),"")</f>
        <v/>
      </c>
    </row>
    <row r="4303">
      <c r="A4303" t="n">
        <v>4302</v>
      </c>
      <c r="B4303">
        <f>A4303&lt;=MineCount*Days</f>
        <v/>
      </c>
      <c r="C4303">
        <f>IF(B4303,INT((A4303-1)/Days)+1,"")</f>
        <v/>
      </c>
      <c r="D4303">
        <f>IF(B4303,MOD(A4303-1,Days),"")</f>
        <v/>
      </c>
      <c r="E4303" s="16">
        <f>IF(B4303,StartDate+D4303,"")</f>
        <v/>
      </c>
      <c r="F4303">
        <f>IF(B4303,MAX(MOD(SIN(Seed*0.1373+C4303*12.9898+D4303*78.233)*43758.5453,1),1E-9),"")</f>
        <v/>
      </c>
      <c r="G4303">
        <f>IF(B4303,MOD(SIN(Seed*0.5917+C4303*39.3468+D4303*11.135)*24634.6345,1),"")</f>
        <v/>
      </c>
      <c r="H4303">
        <f>IF(B4303,SQRT(-2*LN(F4303))*COS(2*PI()*G4303),"")</f>
        <v/>
      </c>
      <c r="I4303">
        <f>IF(B4303,IF(D4303=0,H4303,Rho*I4302+SQRT(1-Rho^2)*H4303),"")</f>
        <v/>
      </c>
      <c r="J4303">
        <f>IF(B4303,IF(Dist="Normal",DistA+DistB*I4303,DistA+(DistB-DistA)*NORMSDIST(I4303)),"")</f>
        <v/>
      </c>
      <c r="K4303">
        <f>IF(B4303,INDEX(MineScale,C4303),"")</f>
        <v/>
      </c>
      <c r="L4303">
        <f>IF(B4303,INDEX(Dow,1,WEEKDAY(E4303,2)),"")</f>
        <v/>
      </c>
      <c r="M4303">
        <f>IF(B4303,(1+Trend)^D4303,"")</f>
        <v/>
      </c>
      <c r="N4303">
        <f>IF(B4303,EXP(SUMPRODUCT(LN(1+(EvEff-1)*INDEX(Affected,0,C4303)*EXP(-((E4303-EvCenter)^2)/(2*EvSigma^2))))),"")</f>
        <v/>
      </c>
      <c r="O4303">
        <f>IF(B4303,ROUND(MAX(0,J4303*K4303*L4303*M4303*N4303),2),"")</f>
        <v/>
      </c>
    </row>
    <row r="4304">
      <c r="A4304" t="n">
        <v>4303</v>
      </c>
      <c r="B4304">
        <f>A4304&lt;=MineCount*Days</f>
        <v/>
      </c>
      <c r="C4304">
        <f>IF(B4304,INT((A4304-1)/Days)+1,"")</f>
        <v/>
      </c>
      <c r="D4304">
        <f>IF(B4304,MOD(A4304-1,Days),"")</f>
        <v/>
      </c>
      <c r="E4304" s="16">
        <f>IF(B4304,StartDate+D4304,"")</f>
        <v/>
      </c>
      <c r="F4304">
        <f>IF(B4304,MAX(MOD(SIN(Seed*0.1373+C4304*12.9898+D4304*78.233)*43758.5453,1),1E-9),"")</f>
        <v/>
      </c>
      <c r="G4304">
        <f>IF(B4304,MOD(SIN(Seed*0.5917+C4304*39.3468+D4304*11.135)*24634.6345,1),"")</f>
        <v/>
      </c>
      <c r="H4304">
        <f>IF(B4304,SQRT(-2*LN(F4304))*COS(2*PI()*G4304),"")</f>
        <v/>
      </c>
      <c r="I4304">
        <f>IF(B4304,IF(D4304=0,H4304,Rho*I4303+SQRT(1-Rho^2)*H4304),"")</f>
        <v/>
      </c>
      <c r="J4304">
        <f>IF(B4304,IF(Dist="Normal",DistA+DistB*I4304,DistA+(DistB-DistA)*NORMSDIST(I4304)),"")</f>
        <v/>
      </c>
      <c r="K4304">
        <f>IF(B4304,INDEX(MineScale,C4304),"")</f>
        <v/>
      </c>
      <c r="L4304">
        <f>IF(B4304,INDEX(Dow,1,WEEKDAY(E4304,2)),"")</f>
        <v/>
      </c>
      <c r="M4304">
        <f>IF(B4304,(1+Trend)^D4304,"")</f>
        <v/>
      </c>
      <c r="N4304">
        <f>IF(B4304,EXP(SUMPRODUCT(LN(1+(EvEff-1)*INDEX(Affected,0,C4304)*EXP(-((E4304-EvCenter)^2)/(2*EvSigma^2))))),"")</f>
        <v/>
      </c>
      <c r="O4304">
        <f>IF(B4304,ROUND(MAX(0,J4304*K4304*L4304*M4304*N4304),2),"")</f>
        <v/>
      </c>
    </row>
    <row r="4305">
      <c r="A4305" t="n">
        <v>4304</v>
      </c>
      <c r="B4305">
        <f>A4305&lt;=MineCount*Days</f>
        <v/>
      </c>
      <c r="C4305">
        <f>IF(B4305,INT((A4305-1)/Days)+1,"")</f>
        <v/>
      </c>
      <c r="D4305">
        <f>IF(B4305,MOD(A4305-1,Days),"")</f>
        <v/>
      </c>
      <c r="E4305" s="16">
        <f>IF(B4305,StartDate+D4305,"")</f>
        <v/>
      </c>
      <c r="F4305">
        <f>IF(B4305,MAX(MOD(SIN(Seed*0.1373+C4305*12.9898+D4305*78.233)*43758.5453,1),1E-9),"")</f>
        <v/>
      </c>
      <c r="G4305">
        <f>IF(B4305,MOD(SIN(Seed*0.5917+C4305*39.3468+D4305*11.135)*24634.6345,1),"")</f>
        <v/>
      </c>
      <c r="H4305">
        <f>IF(B4305,SQRT(-2*LN(F4305))*COS(2*PI()*G4305),"")</f>
        <v/>
      </c>
      <c r="I4305">
        <f>IF(B4305,IF(D4305=0,H4305,Rho*I4304+SQRT(1-Rho^2)*H4305),"")</f>
        <v/>
      </c>
      <c r="J4305">
        <f>IF(B4305,IF(Dist="Normal",DistA+DistB*I4305,DistA+(DistB-DistA)*NORMSDIST(I4305)),"")</f>
        <v/>
      </c>
      <c r="K4305">
        <f>IF(B4305,INDEX(MineScale,C4305),"")</f>
        <v/>
      </c>
      <c r="L4305">
        <f>IF(B4305,INDEX(Dow,1,WEEKDAY(E4305,2)),"")</f>
        <v/>
      </c>
      <c r="M4305">
        <f>IF(B4305,(1+Trend)^D4305,"")</f>
        <v/>
      </c>
      <c r="N4305">
        <f>IF(B4305,EXP(SUMPRODUCT(LN(1+(EvEff-1)*INDEX(Affected,0,C4305)*EXP(-((E4305-EvCenter)^2)/(2*EvSigma^2))))),"")</f>
        <v/>
      </c>
      <c r="O4305">
        <f>IF(B4305,ROUND(MAX(0,J4305*K4305*L4305*M4305*N4305),2),"")</f>
        <v/>
      </c>
    </row>
    <row r="4306">
      <c r="A4306" t="n">
        <v>4305</v>
      </c>
      <c r="B4306">
        <f>A4306&lt;=MineCount*Days</f>
        <v/>
      </c>
      <c r="C4306">
        <f>IF(B4306,INT((A4306-1)/Days)+1,"")</f>
        <v/>
      </c>
      <c r="D4306">
        <f>IF(B4306,MOD(A4306-1,Days),"")</f>
        <v/>
      </c>
      <c r="E4306" s="16">
        <f>IF(B4306,StartDate+D4306,"")</f>
        <v/>
      </c>
      <c r="F4306">
        <f>IF(B4306,MAX(MOD(SIN(Seed*0.1373+C4306*12.9898+D4306*78.233)*43758.5453,1),1E-9),"")</f>
        <v/>
      </c>
      <c r="G4306">
        <f>IF(B4306,MOD(SIN(Seed*0.5917+C4306*39.3468+D4306*11.135)*24634.6345,1),"")</f>
        <v/>
      </c>
      <c r="H4306">
        <f>IF(B4306,SQRT(-2*LN(F4306))*COS(2*PI()*G4306),"")</f>
        <v/>
      </c>
      <c r="I4306">
        <f>IF(B4306,IF(D4306=0,H4306,Rho*I4305+SQRT(1-Rho^2)*H4306),"")</f>
        <v/>
      </c>
      <c r="J4306">
        <f>IF(B4306,IF(Dist="Normal",DistA+DistB*I4306,DistA+(DistB-DistA)*NORMSDIST(I4306)),"")</f>
        <v/>
      </c>
      <c r="K4306">
        <f>IF(B4306,INDEX(MineScale,C4306),"")</f>
        <v/>
      </c>
      <c r="L4306">
        <f>IF(B4306,INDEX(Dow,1,WEEKDAY(E4306,2)),"")</f>
        <v/>
      </c>
      <c r="M4306">
        <f>IF(B4306,(1+Trend)^D4306,"")</f>
        <v/>
      </c>
      <c r="N4306">
        <f>IF(B4306,EXP(SUMPRODUCT(LN(1+(EvEff-1)*INDEX(Affected,0,C4306)*EXP(-((E4306-EvCenter)^2)/(2*EvSigma^2))))),"")</f>
        <v/>
      </c>
      <c r="O4306">
        <f>IF(B4306,ROUND(MAX(0,J4306*K4306*L4306*M4306*N4306),2),"")</f>
        <v/>
      </c>
    </row>
    <row r="4307">
      <c r="A4307" t="n">
        <v>4306</v>
      </c>
      <c r="B4307">
        <f>A4307&lt;=MineCount*Days</f>
        <v/>
      </c>
      <c r="C4307">
        <f>IF(B4307,INT((A4307-1)/Days)+1,"")</f>
        <v/>
      </c>
      <c r="D4307">
        <f>IF(B4307,MOD(A4307-1,Days),"")</f>
        <v/>
      </c>
      <c r="E4307" s="16">
        <f>IF(B4307,StartDate+D4307,"")</f>
        <v/>
      </c>
      <c r="F4307">
        <f>IF(B4307,MAX(MOD(SIN(Seed*0.1373+C4307*12.9898+D4307*78.233)*43758.5453,1),1E-9),"")</f>
        <v/>
      </c>
      <c r="G4307">
        <f>IF(B4307,MOD(SIN(Seed*0.5917+C4307*39.3468+D4307*11.135)*24634.6345,1),"")</f>
        <v/>
      </c>
      <c r="H4307">
        <f>IF(B4307,SQRT(-2*LN(F4307))*COS(2*PI()*G4307),"")</f>
        <v/>
      </c>
      <c r="I4307">
        <f>IF(B4307,IF(D4307=0,H4307,Rho*I4306+SQRT(1-Rho^2)*H4307),"")</f>
        <v/>
      </c>
      <c r="J4307">
        <f>IF(B4307,IF(Dist="Normal",DistA+DistB*I4307,DistA+(DistB-DistA)*NORMSDIST(I4307)),"")</f>
        <v/>
      </c>
      <c r="K4307">
        <f>IF(B4307,INDEX(MineScale,C4307),"")</f>
        <v/>
      </c>
      <c r="L4307">
        <f>IF(B4307,INDEX(Dow,1,WEEKDAY(E4307,2)),"")</f>
        <v/>
      </c>
      <c r="M4307">
        <f>IF(B4307,(1+Trend)^D4307,"")</f>
        <v/>
      </c>
      <c r="N4307">
        <f>IF(B4307,EXP(SUMPRODUCT(LN(1+(EvEff-1)*INDEX(Affected,0,C4307)*EXP(-((E4307-EvCenter)^2)/(2*EvSigma^2))))),"")</f>
        <v/>
      </c>
      <c r="O4307">
        <f>IF(B4307,ROUND(MAX(0,J4307*K4307*L4307*M4307*N4307),2),"")</f>
        <v/>
      </c>
    </row>
    <row r="4308">
      <c r="A4308" t="n">
        <v>4307</v>
      </c>
      <c r="B4308">
        <f>A4308&lt;=MineCount*Days</f>
        <v/>
      </c>
      <c r="C4308">
        <f>IF(B4308,INT((A4308-1)/Days)+1,"")</f>
        <v/>
      </c>
      <c r="D4308">
        <f>IF(B4308,MOD(A4308-1,Days),"")</f>
        <v/>
      </c>
      <c r="E4308" s="16">
        <f>IF(B4308,StartDate+D4308,"")</f>
        <v/>
      </c>
      <c r="F4308">
        <f>IF(B4308,MAX(MOD(SIN(Seed*0.1373+C4308*12.9898+D4308*78.233)*43758.5453,1),1E-9),"")</f>
        <v/>
      </c>
      <c r="G4308">
        <f>IF(B4308,MOD(SIN(Seed*0.5917+C4308*39.3468+D4308*11.135)*24634.6345,1),"")</f>
        <v/>
      </c>
      <c r="H4308">
        <f>IF(B4308,SQRT(-2*LN(F4308))*COS(2*PI()*G4308),"")</f>
        <v/>
      </c>
      <c r="I4308">
        <f>IF(B4308,IF(D4308=0,H4308,Rho*I4307+SQRT(1-Rho^2)*H4308),"")</f>
        <v/>
      </c>
      <c r="J4308">
        <f>IF(B4308,IF(Dist="Normal",DistA+DistB*I4308,DistA+(DistB-DistA)*NORMSDIST(I4308)),"")</f>
        <v/>
      </c>
      <c r="K4308">
        <f>IF(B4308,INDEX(MineScale,C4308),"")</f>
        <v/>
      </c>
      <c r="L4308">
        <f>IF(B4308,INDEX(Dow,1,WEEKDAY(E4308,2)),"")</f>
        <v/>
      </c>
      <c r="M4308">
        <f>IF(B4308,(1+Trend)^D4308,"")</f>
        <v/>
      </c>
      <c r="N4308">
        <f>IF(B4308,EXP(SUMPRODUCT(LN(1+(EvEff-1)*INDEX(Affected,0,C4308)*EXP(-((E4308-EvCenter)^2)/(2*EvSigma^2))))),"")</f>
        <v/>
      </c>
      <c r="O4308">
        <f>IF(B4308,ROUND(MAX(0,J4308*K4308*L4308*M4308*N4308),2),"")</f>
        <v/>
      </c>
    </row>
    <row r="4309">
      <c r="A4309" t="n">
        <v>4308</v>
      </c>
      <c r="B4309">
        <f>A4309&lt;=MineCount*Days</f>
        <v/>
      </c>
      <c r="C4309">
        <f>IF(B4309,INT((A4309-1)/Days)+1,"")</f>
        <v/>
      </c>
      <c r="D4309">
        <f>IF(B4309,MOD(A4309-1,Days),"")</f>
        <v/>
      </c>
      <c r="E4309" s="16">
        <f>IF(B4309,StartDate+D4309,"")</f>
        <v/>
      </c>
      <c r="F4309">
        <f>IF(B4309,MAX(MOD(SIN(Seed*0.1373+C4309*12.9898+D4309*78.233)*43758.5453,1),1E-9),"")</f>
        <v/>
      </c>
      <c r="G4309">
        <f>IF(B4309,MOD(SIN(Seed*0.5917+C4309*39.3468+D4309*11.135)*24634.6345,1),"")</f>
        <v/>
      </c>
      <c r="H4309">
        <f>IF(B4309,SQRT(-2*LN(F4309))*COS(2*PI()*G4309),"")</f>
        <v/>
      </c>
      <c r="I4309">
        <f>IF(B4309,IF(D4309=0,H4309,Rho*I4308+SQRT(1-Rho^2)*H4309),"")</f>
        <v/>
      </c>
      <c r="J4309">
        <f>IF(B4309,IF(Dist="Normal",DistA+DistB*I4309,DistA+(DistB-DistA)*NORMSDIST(I4309)),"")</f>
        <v/>
      </c>
      <c r="K4309">
        <f>IF(B4309,INDEX(MineScale,C4309),"")</f>
        <v/>
      </c>
      <c r="L4309">
        <f>IF(B4309,INDEX(Dow,1,WEEKDAY(E4309,2)),"")</f>
        <v/>
      </c>
      <c r="M4309">
        <f>IF(B4309,(1+Trend)^D4309,"")</f>
        <v/>
      </c>
      <c r="N4309">
        <f>IF(B4309,EXP(SUMPRODUCT(LN(1+(EvEff-1)*INDEX(Affected,0,C4309)*EXP(-((E4309-EvCenter)^2)/(2*EvSigma^2))))),"")</f>
        <v/>
      </c>
      <c r="O4309">
        <f>IF(B4309,ROUND(MAX(0,J4309*K4309*L4309*M4309*N4309),2),"")</f>
        <v/>
      </c>
    </row>
    <row r="4310">
      <c r="A4310" t="n">
        <v>4309</v>
      </c>
      <c r="B4310">
        <f>A4310&lt;=MineCount*Days</f>
        <v/>
      </c>
      <c r="C4310">
        <f>IF(B4310,INT((A4310-1)/Days)+1,"")</f>
        <v/>
      </c>
      <c r="D4310">
        <f>IF(B4310,MOD(A4310-1,Days),"")</f>
        <v/>
      </c>
      <c r="E4310" s="16">
        <f>IF(B4310,StartDate+D4310,"")</f>
        <v/>
      </c>
      <c r="F4310">
        <f>IF(B4310,MAX(MOD(SIN(Seed*0.1373+C4310*12.9898+D4310*78.233)*43758.5453,1),1E-9),"")</f>
        <v/>
      </c>
      <c r="G4310">
        <f>IF(B4310,MOD(SIN(Seed*0.5917+C4310*39.3468+D4310*11.135)*24634.6345,1),"")</f>
        <v/>
      </c>
      <c r="H4310">
        <f>IF(B4310,SQRT(-2*LN(F4310))*COS(2*PI()*G4310),"")</f>
        <v/>
      </c>
      <c r="I4310">
        <f>IF(B4310,IF(D4310=0,H4310,Rho*I4309+SQRT(1-Rho^2)*H4310),"")</f>
        <v/>
      </c>
      <c r="J4310">
        <f>IF(B4310,IF(Dist="Normal",DistA+DistB*I4310,DistA+(DistB-DistA)*NORMSDIST(I4310)),"")</f>
        <v/>
      </c>
      <c r="K4310">
        <f>IF(B4310,INDEX(MineScale,C4310),"")</f>
        <v/>
      </c>
      <c r="L4310">
        <f>IF(B4310,INDEX(Dow,1,WEEKDAY(E4310,2)),"")</f>
        <v/>
      </c>
      <c r="M4310">
        <f>IF(B4310,(1+Trend)^D4310,"")</f>
        <v/>
      </c>
      <c r="N4310">
        <f>IF(B4310,EXP(SUMPRODUCT(LN(1+(EvEff-1)*INDEX(Affected,0,C4310)*EXP(-((E4310-EvCenter)^2)/(2*EvSigma^2))))),"")</f>
        <v/>
      </c>
      <c r="O4310">
        <f>IF(B4310,ROUND(MAX(0,J4310*K4310*L4310*M4310*N4310),2),"")</f>
        <v/>
      </c>
    </row>
    <row r="4311">
      <c r="A4311" t="n">
        <v>4310</v>
      </c>
      <c r="B4311">
        <f>A4311&lt;=MineCount*Days</f>
        <v/>
      </c>
      <c r="C4311">
        <f>IF(B4311,INT((A4311-1)/Days)+1,"")</f>
        <v/>
      </c>
      <c r="D4311">
        <f>IF(B4311,MOD(A4311-1,Days),"")</f>
        <v/>
      </c>
      <c r="E4311" s="16">
        <f>IF(B4311,StartDate+D4311,"")</f>
        <v/>
      </c>
      <c r="F4311">
        <f>IF(B4311,MAX(MOD(SIN(Seed*0.1373+C4311*12.9898+D4311*78.233)*43758.5453,1),1E-9),"")</f>
        <v/>
      </c>
      <c r="G4311">
        <f>IF(B4311,MOD(SIN(Seed*0.5917+C4311*39.3468+D4311*11.135)*24634.6345,1),"")</f>
        <v/>
      </c>
      <c r="H4311">
        <f>IF(B4311,SQRT(-2*LN(F4311))*COS(2*PI()*G4311),"")</f>
        <v/>
      </c>
      <c r="I4311">
        <f>IF(B4311,IF(D4311=0,H4311,Rho*I4310+SQRT(1-Rho^2)*H4311),"")</f>
        <v/>
      </c>
      <c r="J4311">
        <f>IF(B4311,IF(Dist="Normal",DistA+DistB*I4311,DistA+(DistB-DistA)*NORMSDIST(I4311)),"")</f>
        <v/>
      </c>
      <c r="K4311">
        <f>IF(B4311,INDEX(MineScale,C4311),"")</f>
        <v/>
      </c>
      <c r="L4311">
        <f>IF(B4311,INDEX(Dow,1,WEEKDAY(E4311,2)),"")</f>
        <v/>
      </c>
      <c r="M4311">
        <f>IF(B4311,(1+Trend)^D4311,"")</f>
        <v/>
      </c>
      <c r="N4311">
        <f>IF(B4311,EXP(SUMPRODUCT(LN(1+(EvEff-1)*INDEX(Affected,0,C4311)*EXP(-((E4311-EvCenter)^2)/(2*EvSigma^2))))),"")</f>
        <v/>
      </c>
      <c r="O4311">
        <f>IF(B4311,ROUND(MAX(0,J4311*K4311*L4311*M4311*N4311),2),"")</f>
        <v/>
      </c>
    </row>
    <row r="4312">
      <c r="A4312" t="n">
        <v>4311</v>
      </c>
      <c r="B4312">
        <f>A4312&lt;=MineCount*Days</f>
        <v/>
      </c>
      <c r="C4312">
        <f>IF(B4312,INT((A4312-1)/Days)+1,"")</f>
        <v/>
      </c>
      <c r="D4312">
        <f>IF(B4312,MOD(A4312-1,Days),"")</f>
        <v/>
      </c>
      <c r="E4312" s="16">
        <f>IF(B4312,StartDate+D4312,"")</f>
        <v/>
      </c>
      <c r="F4312">
        <f>IF(B4312,MAX(MOD(SIN(Seed*0.1373+C4312*12.9898+D4312*78.233)*43758.5453,1),1E-9),"")</f>
        <v/>
      </c>
      <c r="G4312">
        <f>IF(B4312,MOD(SIN(Seed*0.5917+C4312*39.3468+D4312*11.135)*24634.6345,1),"")</f>
        <v/>
      </c>
      <c r="H4312">
        <f>IF(B4312,SQRT(-2*LN(F4312))*COS(2*PI()*G4312),"")</f>
        <v/>
      </c>
      <c r="I4312">
        <f>IF(B4312,IF(D4312=0,H4312,Rho*I4311+SQRT(1-Rho^2)*H4312),"")</f>
        <v/>
      </c>
      <c r="J4312">
        <f>IF(B4312,IF(Dist="Normal",DistA+DistB*I4312,DistA+(DistB-DistA)*NORMSDIST(I4312)),"")</f>
        <v/>
      </c>
      <c r="K4312">
        <f>IF(B4312,INDEX(MineScale,C4312),"")</f>
        <v/>
      </c>
      <c r="L4312">
        <f>IF(B4312,INDEX(Dow,1,WEEKDAY(E4312,2)),"")</f>
        <v/>
      </c>
      <c r="M4312">
        <f>IF(B4312,(1+Trend)^D4312,"")</f>
        <v/>
      </c>
      <c r="N4312">
        <f>IF(B4312,EXP(SUMPRODUCT(LN(1+(EvEff-1)*INDEX(Affected,0,C4312)*EXP(-((E4312-EvCenter)^2)/(2*EvSigma^2))))),"")</f>
        <v/>
      </c>
      <c r="O4312">
        <f>IF(B4312,ROUND(MAX(0,J4312*K4312*L4312*M4312*N4312),2),"")</f>
        <v/>
      </c>
    </row>
    <row r="4313">
      <c r="A4313" t="n">
        <v>4312</v>
      </c>
      <c r="B4313">
        <f>A4313&lt;=MineCount*Days</f>
        <v/>
      </c>
      <c r="C4313">
        <f>IF(B4313,INT((A4313-1)/Days)+1,"")</f>
        <v/>
      </c>
      <c r="D4313">
        <f>IF(B4313,MOD(A4313-1,Days),"")</f>
        <v/>
      </c>
      <c r="E4313" s="16">
        <f>IF(B4313,StartDate+D4313,"")</f>
        <v/>
      </c>
      <c r="F4313">
        <f>IF(B4313,MAX(MOD(SIN(Seed*0.1373+C4313*12.9898+D4313*78.233)*43758.5453,1),1E-9),"")</f>
        <v/>
      </c>
      <c r="G4313">
        <f>IF(B4313,MOD(SIN(Seed*0.5917+C4313*39.3468+D4313*11.135)*24634.6345,1),"")</f>
        <v/>
      </c>
      <c r="H4313">
        <f>IF(B4313,SQRT(-2*LN(F4313))*COS(2*PI()*G4313),"")</f>
        <v/>
      </c>
      <c r="I4313">
        <f>IF(B4313,IF(D4313=0,H4313,Rho*I4312+SQRT(1-Rho^2)*H4313),"")</f>
        <v/>
      </c>
      <c r="J4313">
        <f>IF(B4313,IF(Dist="Normal",DistA+DistB*I4313,DistA+(DistB-DistA)*NORMSDIST(I4313)),"")</f>
        <v/>
      </c>
      <c r="K4313">
        <f>IF(B4313,INDEX(MineScale,C4313),"")</f>
        <v/>
      </c>
      <c r="L4313">
        <f>IF(B4313,INDEX(Dow,1,WEEKDAY(E4313,2)),"")</f>
        <v/>
      </c>
      <c r="M4313">
        <f>IF(B4313,(1+Trend)^D4313,"")</f>
        <v/>
      </c>
      <c r="N4313">
        <f>IF(B4313,EXP(SUMPRODUCT(LN(1+(EvEff-1)*INDEX(Affected,0,C4313)*EXP(-((E4313-EvCenter)^2)/(2*EvSigma^2))))),"")</f>
        <v/>
      </c>
      <c r="O4313">
        <f>IF(B4313,ROUND(MAX(0,J4313*K4313*L4313*M4313*N4313),2),"")</f>
        <v/>
      </c>
    </row>
    <row r="4314">
      <c r="A4314" t="n">
        <v>4313</v>
      </c>
      <c r="B4314">
        <f>A4314&lt;=MineCount*Days</f>
        <v/>
      </c>
      <c r="C4314">
        <f>IF(B4314,INT((A4314-1)/Days)+1,"")</f>
        <v/>
      </c>
      <c r="D4314">
        <f>IF(B4314,MOD(A4314-1,Days),"")</f>
        <v/>
      </c>
      <c r="E4314" s="16">
        <f>IF(B4314,StartDate+D4314,"")</f>
        <v/>
      </c>
      <c r="F4314">
        <f>IF(B4314,MAX(MOD(SIN(Seed*0.1373+C4314*12.9898+D4314*78.233)*43758.5453,1),1E-9),"")</f>
        <v/>
      </c>
      <c r="G4314">
        <f>IF(B4314,MOD(SIN(Seed*0.5917+C4314*39.3468+D4314*11.135)*24634.6345,1),"")</f>
        <v/>
      </c>
      <c r="H4314">
        <f>IF(B4314,SQRT(-2*LN(F4314))*COS(2*PI()*G4314),"")</f>
        <v/>
      </c>
      <c r="I4314">
        <f>IF(B4314,IF(D4314=0,H4314,Rho*I4313+SQRT(1-Rho^2)*H4314),"")</f>
        <v/>
      </c>
      <c r="J4314">
        <f>IF(B4314,IF(Dist="Normal",DistA+DistB*I4314,DistA+(DistB-DistA)*NORMSDIST(I4314)),"")</f>
        <v/>
      </c>
      <c r="K4314">
        <f>IF(B4314,INDEX(MineScale,C4314),"")</f>
        <v/>
      </c>
      <c r="L4314">
        <f>IF(B4314,INDEX(Dow,1,WEEKDAY(E4314,2)),"")</f>
        <v/>
      </c>
      <c r="M4314">
        <f>IF(B4314,(1+Trend)^D4314,"")</f>
        <v/>
      </c>
      <c r="N4314">
        <f>IF(B4314,EXP(SUMPRODUCT(LN(1+(EvEff-1)*INDEX(Affected,0,C4314)*EXP(-((E4314-EvCenter)^2)/(2*EvSigma^2))))),"")</f>
        <v/>
      </c>
      <c r="O4314">
        <f>IF(B4314,ROUND(MAX(0,J4314*K4314*L4314*M4314*N4314),2),"")</f>
        <v/>
      </c>
    </row>
    <row r="4315">
      <c r="A4315" t="n">
        <v>4314</v>
      </c>
      <c r="B4315">
        <f>A4315&lt;=MineCount*Days</f>
        <v/>
      </c>
      <c r="C4315">
        <f>IF(B4315,INT((A4315-1)/Days)+1,"")</f>
        <v/>
      </c>
      <c r="D4315">
        <f>IF(B4315,MOD(A4315-1,Days),"")</f>
        <v/>
      </c>
      <c r="E4315" s="16">
        <f>IF(B4315,StartDate+D4315,"")</f>
        <v/>
      </c>
      <c r="F4315">
        <f>IF(B4315,MAX(MOD(SIN(Seed*0.1373+C4315*12.9898+D4315*78.233)*43758.5453,1),1E-9),"")</f>
        <v/>
      </c>
      <c r="G4315">
        <f>IF(B4315,MOD(SIN(Seed*0.5917+C4315*39.3468+D4315*11.135)*24634.6345,1),"")</f>
        <v/>
      </c>
      <c r="H4315">
        <f>IF(B4315,SQRT(-2*LN(F4315))*COS(2*PI()*G4315),"")</f>
        <v/>
      </c>
      <c r="I4315">
        <f>IF(B4315,IF(D4315=0,H4315,Rho*I4314+SQRT(1-Rho^2)*H4315),"")</f>
        <v/>
      </c>
      <c r="J4315">
        <f>IF(B4315,IF(Dist="Normal",DistA+DistB*I4315,DistA+(DistB-DistA)*NORMSDIST(I4315)),"")</f>
        <v/>
      </c>
      <c r="K4315">
        <f>IF(B4315,INDEX(MineScale,C4315),"")</f>
        <v/>
      </c>
      <c r="L4315">
        <f>IF(B4315,INDEX(Dow,1,WEEKDAY(E4315,2)),"")</f>
        <v/>
      </c>
      <c r="M4315">
        <f>IF(B4315,(1+Trend)^D4315,"")</f>
        <v/>
      </c>
      <c r="N4315">
        <f>IF(B4315,EXP(SUMPRODUCT(LN(1+(EvEff-1)*INDEX(Affected,0,C4315)*EXP(-((E4315-EvCenter)^2)/(2*EvSigma^2))))),"")</f>
        <v/>
      </c>
      <c r="O4315">
        <f>IF(B4315,ROUND(MAX(0,J4315*K4315*L4315*M4315*N4315),2),"")</f>
        <v/>
      </c>
    </row>
    <row r="4316">
      <c r="A4316" t="n">
        <v>4315</v>
      </c>
      <c r="B4316">
        <f>A4316&lt;=MineCount*Days</f>
        <v/>
      </c>
      <c r="C4316">
        <f>IF(B4316,INT((A4316-1)/Days)+1,"")</f>
        <v/>
      </c>
      <c r="D4316">
        <f>IF(B4316,MOD(A4316-1,Days),"")</f>
        <v/>
      </c>
      <c r="E4316" s="16">
        <f>IF(B4316,StartDate+D4316,"")</f>
        <v/>
      </c>
      <c r="F4316">
        <f>IF(B4316,MAX(MOD(SIN(Seed*0.1373+C4316*12.9898+D4316*78.233)*43758.5453,1),1E-9),"")</f>
        <v/>
      </c>
      <c r="G4316">
        <f>IF(B4316,MOD(SIN(Seed*0.5917+C4316*39.3468+D4316*11.135)*24634.6345,1),"")</f>
        <v/>
      </c>
      <c r="H4316">
        <f>IF(B4316,SQRT(-2*LN(F4316))*COS(2*PI()*G4316),"")</f>
        <v/>
      </c>
      <c r="I4316">
        <f>IF(B4316,IF(D4316=0,H4316,Rho*I4315+SQRT(1-Rho^2)*H4316),"")</f>
        <v/>
      </c>
      <c r="J4316">
        <f>IF(B4316,IF(Dist="Normal",DistA+DistB*I4316,DistA+(DistB-DistA)*NORMSDIST(I4316)),"")</f>
        <v/>
      </c>
      <c r="K4316">
        <f>IF(B4316,INDEX(MineScale,C4316),"")</f>
        <v/>
      </c>
      <c r="L4316">
        <f>IF(B4316,INDEX(Dow,1,WEEKDAY(E4316,2)),"")</f>
        <v/>
      </c>
      <c r="M4316">
        <f>IF(B4316,(1+Trend)^D4316,"")</f>
        <v/>
      </c>
      <c r="N4316">
        <f>IF(B4316,EXP(SUMPRODUCT(LN(1+(EvEff-1)*INDEX(Affected,0,C4316)*EXP(-((E4316-EvCenter)^2)/(2*EvSigma^2))))),"")</f>
        <v/>
      </c>
      <c r="O4316">
        <f>IF(B4316,ROUND(MAX(0,J4316*K4316*L4316*M4316*N4316),2),"")</f>
        <v/>
      </c>
    </row>
    <row r="4317">
      <c r="A4317" t="n">
        <v>4316</v>
      </c>
      <c r="B4317">
        <f>A4317&lt;=MineCount*Days</f>
        <v/>
      </c>
      <c r="C4317">
        <f>IF(B4317,INT((A4317-1)/Days)+1,"")</f>
        <v/>
      </c>
      <c r="D4317">
        <f>IF(B4317,MOD(A4317-1,Days),"")</f>
        <v/>
      </c>
      <c r="E4317" s="16">
        <f>IF(B4317,StartDate+D4317,"")</f>
        <v/>
      </c>
      <c r="F4317">
        <f>IF(B4317,MAX(MOD(SIN(Seed*0.1373+C4317*12.9898+D4317*78.233)*43758.5453,1),1E-9),"")</f>
        <v/>
      </c>
      <c r="G4317">
        <f>IF(B4317,MOD(SIN(Seed*0.5917+C4317*39.3468+D4317*11.135)*24634.6345,1),"")</f>
        <v/>
      </c>
      <c r="H4317">
        <f>IF(B4317,SQRT(-2*LN(F4317))*COS(2*PI()*G4317),"")</f>
        <v/>
      </c>
      <c r="I4317">
        <f>IF(B4317,IF(D4317=0,H4317,Rho*I4316+SQRT(1-Rho^2)*H4317),"")</f>
        <v/>
      </c>
      <c r="J4317">
        <f>IF(B4317,IF(Dist="Normal",DistA+DistB*I4317,DistA+(DistB-DistA)*NORMSDIST(I4317)),"")</f>
        <v/>
      </c>
      <c r="K4317">
        <f>IF(B4317,INDEX(MineScale,C4317),"")</f>
        <v/>
      </c>
      <c r="L4317">
        <f>IF(B4317,INDEX(Dow,1,WEEKDAY(E4317,2)),"")</f>
        <v/>
      </c>
      <c r="M4317">
        <f>IF(B4317,(1+Trend)^D4317,"")</f>
        <v/>
      </c>
      <c r="N4317">
        <f>IF(B4317,EXP(SUMPRODUCT(LN(1+(EvEff-1)*INDEX(Affected,0,C4317)*EXP(-((E4317-EvCenter)^2)/(2*EvSigma^2))))),"")</f>
        <v/>
      </c>
      <c r="O4317">
        <f>IF(B4317,ROUND(MAX(0,J4317*K4317*L4317*M4317*N4317),2),"")</f>
        <v/>
      </c>
    </row>
    <row r="4318">
      <c r="A4318" t="n">
        <v>4317</v>
      </c>
      <c r="B4318">
        <f>A4318&lt;=MineCount*Days</f>
        <v/>
      </c>
      <c r="C4318">
        <f>IF(B4318,INT((A4318-1)/Days)+1,"")</f>
        <v/>
      </c>
      <c r="D4318">
        <f>IF(B4318,MOD(A4318-1,Days),"")</f>
        <v/>
      </c>
      <c r="E4318" s="16">
        <f>IF(B4318,StartDate+D4318,"")</f>
        <v/>
      </c>
      <c r="F4318">
        <f>IF(B4318,MAX(MOD(SIN(Seed*0.1373+C4318*12.9898+D4318*78.233)*43758.5453,1),1E-9),"")</f>
        <v/>
      </c>
      <c r="G4318">
        <f>IF(B4318,MOD(SIN(Seed*0.5917+C4318*39.3468+D4318*11.135)*24634.6345,1),"")</f>
        <v/>
      </c>
      <c r="H4318">
        <f>IF(B4318,SQRT(-2*LN(F4318))*COS(2*PI()*G4318),"")</f>
        <v/>
      </c>
      <c r="I4318">
        <f>IF(B4318,IF(D4318=0,H4318,Rho*I4317+SQRT(1-Rho^2)*H4318),"")</f>
        <v/>
      </c>
      <c r="J4318">
        <f>IF(B4318,IF(Dist="Normal",DistA+DistB*I4318,DistA+(DistB-DistA)*NORMSDIST(I4318)),"")</f>
        <v/>
      </c>
      <c r="K4318">
        <f>IF(B4318,INDEX(MineScale,C4318),"")</f>
        <v/>
      </c>
      <c r="L4318">
        <f>IF(B4318,INDEX(Dow,1,WEEKDAY(E4318,2)),"")</f>
        <v/>
      </c>
      <c r="M4318">
        <f>IF(B4318,(1+Trend)^D4318,"")</f>
        <v/>
      </c>
      <c r="N4318">
        <f>IF(B4318,EXP(SUMPRODUCT(LN(1+(EvEff-1)*INDEX(Affected,0,C4318)*EXP(-((E4318-EvCenter)^2)/(2*EvSigma^2))))),"")</f>
        <v/>
      </c>
      <c r="O4318">
        <f>IF(B4318,ROUND(MAX(0,J4318*K4318*L4318*M4318*N4318),2),"")</f>
        <v/>
      </c>
    </row>
    <row r="4319">
      <c r="A4319" t="n">
        <v>4318</v>
      </c>
      <c r="B4319">
        <f>A4319&lt;=MineCount*Days</f>
        <v/>
      </c>
      <c r="C4319">
        <f>IF(B4319,INT((A4319-1)/Days)+1,"")</f>
        <v/>
      </c>
      <c r="D4319">
        <f>IF(B4319,MOD(A4319-1,Days),"")</f>
        <v/>
      </c>
      <c r="E4319" s="16">
        <f>IF(B4319,StartDate+D4319,"")</f>
        <v/>
      </c>
      <c r="F4319">
        <f>IF(B4319,MAX(MOD(SIN(Seed*0.1373+C4319*12.9898+D4319*78.233)*43758.5453,1),1E-9),"")</f>
        <v/>
      </c>
      <c r="G4319">
        <f>IF(B4319,MOD(SIN(Seed*0.5917+C4319*39.3468+D4319*11.135)*24634.6345,1),"")</f>
        <v/>
      </c>
      <c r="H4319">
        <f>IF(B4319,SQRT(-2*LN(F4319))*COS(2*PI()*G4319),"")</f>
        <v/>
      </c>
      <c r="I4319">
        <f>IF(B4319,IF(D4319=0,H4319,Rho*I4318+SQRT(1-Rho^2)*H4319),"")</f>
        <v/>
      </c>
      <c r="J4319">
        <f>IF(B4319,IF(Dist="Normal",DistA+DistB*I4319,DistA+(DistB-DistA)*NORMSDIST(I4319)),"")</f>
        <v/>
      </c>
      <c r="K4319">
        <f>IF(B4319,INDEX(MineScale,C4319),"")</f>
        <v/>
      </c>
      <c r="L4319">
        <f>IF(B4319,INDEX(Dow,1,WEEKDAY(E4319,2)),"")</f>
        <v/>
      </c>
      <c r="M4319">
        <f>IF(B4319,(1+Trend)^D4319,"")</f>
        <v/>
      </c>
      <c r="N4319">
        <f>IF(B4319,EXP(SUMPRODUCT(LN(1+(EvEff-1)*INDEX(Affected,0,C4319)*EXP(-((E4319-EvCenter)^2)/(2*EvSigma^2))))),"")</f>
        <v/>
      </c>
      <c r="O4319">
        <f>IF(B4319,ROUND(MAX(0,J4319*K4319*L4319*M4319*N4319),2),"")</f>
        <v/>
      </c>
    </row>
    <row r="4320">
      <c r="A4320" t="n">
        <v>4319</v>
      </c>
      <c r="B4320">
        <f>A4320&lt;=MineCount*Days</f>
        <v/>
      </c>
      <c r="C4320">
        <f>IF(B4320,INT((A4320-1)/Days)+1,"")</f>
        <v/>
      </c>
      <c r="D4320">
        <f>IF(B4320,MOD(A4320-1,Days),"")</f>
        <v/>
      </c>
      <c r="E4320" s="16">
        <f>IF(B4320,StartDate+D4320,"")</f>
        <v/>
      </c>
      <c r="F4320">
        <f>IF(B4320,MAX(MOD(SIN(Seed*0.1373+C4320*12.9898+D4320*78.233)*43758.5453,1),1E-9),"")</f>
        <v/>
      </c>
      <c r="G4320">
        <f>IF(B4320,MOD(SIN(Seed*0.5917+C4320*39.3468+D4320*11.135)*24634.6345,1),"")</f>
        <v/>
      </c>
      <c r="H4320">
        <f>IF(B4320,SQRT(-2*LN(F4320))*COS(2*PI()*G4320),"")</f>
        <v/>
      </c>
      <c r="I4320">
        <f>IF(B4320,IF(D4320=0,H4320,Rho*I4319+SQRT(1-Rho^2)*H4320),"")</f>
        <v/>
      </c>
      <c r="J4320">
        <f>IF(B4320,IF(Dist="Normal",DistA+DistB*I4320,DistA+(DistB-DistA)*NORMSDIST(I4320)),"")</f>
        <v/>
      </c>
      <c r="K4320">
        <f>IF(B4320,INDEX(MineScale,C4320),"")</f>
        <v/>
      </c>
      <c r="L4320">
        <f>IF(B4320,INDEX(Dow,1,WEEKDAY(E4320,2)),"")</f>
        <v/>
      </c>
      <c r="M4320">
        <f>IF(B4320,(1+Trend)^D4320,"")</f>
        <v/>
      </c>
      <c r="N4320">
        <f>IF(B4320,EXP(SUMPRODUCT(LN(1+(EvEff-1)*INDEX(Affected,0,C4320)*EXP(-((E4320-EvCenter)^2)/(2*EvSigma^2))))),"")</f>
        <v/>
      </c>
      <c r="O4320">
        <f>IF(B4320,ROUND(MAX(0,J4320*K4320*L4320*M4320*N4320),2),"")</f>
        <v/>
      </c>
    </row>
    <row r="4321">
      <c r="A4321" t="n">
        <v>4320</v>
      </c>
      <c r="B4321">
        <f>A4321&lt;=MineCount*Days</f>
        <v/>
      </c>
      <c r="C4321">
        <f>IF(B4321,INT((A4321-1)/Days)+1,"")</f>
        <v/>
      </c>
      <c r="D4321">
        <f>IF(B4321,MOD(A4321-1,Days),"")</f>
        <v/>
      </c>
      <c r="E4321" s="16">
        <f>IF(B4321,StartDate+D4321,"")</f>
        <v/>
      </c>
      <c r="F4321">
        <f>IF(B4321,MAX(MOD(SIN(Seed*0.1373+C4321*12.9898+D4321*78.233)*43758.5453,1),1E-9),"")</f>
        <v/>
      </c>
      <c r="G4321">
        <f>IF(B4321,MOD(SIN(Seed*0.5917+C4321*39.3468+D4321*11.135)*24634.6345,1),"")</f>
        <v/>
      </c>
      <c r="H4321">
        <f>IF(B4321,SQRT(-2*LN(F4321))*COS(2*PI()*G4321),"")</f>
        <v/>
      </c>
      <c r="I4321">
        <f>IF(B4321,IF(D4321=0,H4321,Rho*I4320+SQRT(1-Rho^2)*H4321),"")</f>
        <v/>
      </c>
      <c r="J4321">
        <f>IF(B4321,IF(Dist="Normal",DistA+DistB*I4321,DistA+(DistB-DistA)*NORMSDIST(I4321)),"")</f>
        <v/>
      </c>
      <c r="K4321">
        <f>IF(B4321,INDEX(MineScale,C4321),"")</f>
        <v/>
      </c>
      <c r="L4321">
        <f>IF(B4321,INDEX(Dow,1,WEEKDAY(E4321,2)),"")</f>
        <v/>
      </c>
      <c r="M4321">
        <f>IF(B4321,(1+Trend)^D4321,"")</f>
        <v/>
      </c>
      <c r="N4321">
        <f>IF(B4321,EXP(SUMPRODUCT(LN(1+(EvEff-1)*INDEX(Affected,0,C4321)*EXP(-((E4321-EvCenter)^2)/(2*EvSigma^2))))),"")</f>
        <v/>
      </c>
      <c r="O4321">
        <f>IF(B4321,ROUND(MAX(0,J4321*K4321*L4321*M4321*N4321),2),"")</f>
        <v/>
      </c>
    </row>
    <row r="4322">
      <c r="A4322" t="n">
        <v>4321</v>
      </c>
      <c r="B4322">
        <f>A4322&lt;=MineCount*Days</f>
        <v/>
      </c>
      <c r="C4322">
        <f>IF(B4322,INT((A4322-1)/Days)+1,"")</f>
        <v/>
      </c>
      <c r="D4322">
        <f>IF(B4322,MOD(A4322-1,Days),"")</f>
        <v/>
      </c>
      <c r="E4322" s="16">
        <f>IF(B4322,StartDate+D4322,"")</f>
        <v/>
      </c>
      <c r="F4322">
        <f>IF(B4322,MAX(MOD(SIN(Seed*0.1373+C4322*12.9898+D4322*78.233)*43758.5453,1),1E-9),"")</f>
        <v/>
      </c>
      <c r="G4322">
        <f>IF(B4322,MOD(SIN(Seed*0.5917+C4322*39.3468+D4322*11.135)*24634.6345,1),"")</f>
        <v/>
      </c>
      <c r="H4322">
        <f>IF(B4322,SQRT(-2*LN(F4322))*COS(2*PI()*G4322),"")</f>
        <v/>
      </c>
      <c r="I4322">
        <f>IF(B4322,IF(D4322=0,H4322,Rho*I4321+SQRT(1-Rho^2)*H4322),"")</f>
        <v/>
      </c>
      <c r="J4322">
        <f>IF(B4322,IF(Dist="Normal",DistA+DistB*I4322,DistA+(DistB-DistA)*NORMSDIST(I4322)),"")</f>
        <v/>
      </c>
      <c r="K4322">
        <f>IF(B4322,INDEX(MineScale,C4322),"")</f>
        <v/>
      </c>
      <c r="L4322">
        <f>IF(B4322,INDEX(Dow,1,WEEKDAY(E4322,2)),"")</f>
        <v/>
      </c>
      <c r="M4322">
        <f>IF(B4322,(1+Trend)^D4322,"")</f>
        <v/>
      </c>
      <c r="N4322">
        <f>IF(B4322,EXP(SUMPRODUCT(LN(1+(EvEff-1)*INDEX(Affected,0,C4322)*EXP(-((E4322-EvCenter)^2)/(2*EvSigma^2))))),"")</f>
        <v/>
      </c>
      <c r="O4322">
        <f>IF(B4322,ROUND(MAX(0,J4322*K4322*L4322*M4322*N4322),2),"")</f>
        <v/>
      </c>
    </row>
    <row r="4323">
      <c r="A4323" t="n">
        <v>4322</v>
      </c>
      <c r="B4323">
        <f>A4323&lt;=MineCount*Days</f>
        <v/>
      </c>
      <c r="C4323">
        <f>IF(B4323,INT((A4323-1)/Days)+1,"")</f>
        <v/>
      </c>
      <c r="D4323">
        <f>IF(B4323,MOD(A4323-1,Days),"")</f>
        <v/>
      </c>
      <c r="E4323" s="16">
        <f>IF(B4323,StartDate+D4323,"")</f>
        <v/>
      </c>
      <c r="F4323">
        <f>IF(B4323,MAX(MOD(SIN(Seed*0.1373+C4323*12.9898+D4323*78.233)*43758.5453,1),1E-9),"")</f>
        <v/>
      </c>
      <c r="G4323">
        <f>IF(B4323,MOD(SIN(Seed*0.5917+C4323*39.3468+D4323*11.135)*24634.6345,1),"")</f>
        <v/>
      </c>
      <c r="H4323">
        <f>IF(B4323,SQRT(-2*LN(F4323))*COS(2*PI()*G4323),"")</f>
        <v/>
      </c>
      <c r="I4323">
        <f>IF(B4323,IF(D4323=0,H4323,Rho*I4322+SQRT(1-Rho^2)*H4323),"")</f>
        <v/>
      </c>
      <c r="J4323">
        <f>IF(B4323,IF(Dist="Normal",DistA+DistB*I4323,DistA+(DistB-DistA)*NORMSDIST(I4323)),"")</f>
        <v/>
      </c>
      <c r="K4323">
        <f>IF(B4323,INDEX(MineScale,C4323),"")</f>
        <v/>
      </c>
      <c r="L4323">
        <f>IF(B4323,INDEX(Dow,1,WEEKDAY(E4323,2)),"")</f>
        <v/>
      </c>
      <c r="M4323">
        <f>IF(B4323,(1+Trend)^D4323,"")</f>
        <v/>
      </c>
      <c r="N4323">
        <f>IF(B4323,EXP(SUMPRODUCT(LN(1+(EvEff-1)*INDEX(Affected,0,C4323)*EXP(-((E4323-EvCenter)^2)/(2*EvSigma^2))))),"")</f>
        <v/>
      </c>
      <c r="O4323">
        <f>IF(B4323,ROUND(MAX(0,J4323*K4323*L4323*M4323*N4323),2),"")</f>
        <v/>
      </c>
    </row>
    <row r="4324">
      <c r="A4324" t="n">
        <v>4323</v>
      </c>
      <c r="B4324">
        <f>A4324&lt;=MineCount*Days</f>
        <v/>
      </c>
      <c r="C4324">
        <f>IF(B4324,INT((A4324-1)/Days)+1,"")</f>
        <v/>
      </c>
      <c r="D4324">
        <f>IF(B4324,MOD(A4324-1,Days),"")</f>
        <v/>
      </c>
      <c r="E4324" s="16">
        <f>IF(B4324,StartDate+D4324,"")</f>
        <v/>
      </c>
      <c r="F4324">
        <f>IF(B4324,MAX(MOD(SIN(Seed*0.1373+C4324*12.9898+D4324*78.233)*43758.5453,1),1E-9),"")</f>
        <v/>
      </c>
      <c r="G4324">
        <f>IF(B4324,MOD(SIN(Seed*0.5917+C4324*39.3468+D4324*11.135)*24634.6345,1),"")</f>
        <v/>
      </c>
      <c r="H4324">
        <f>IF(B4324,SQRT(-2*LN(F4324))*COS(2*PI()*G4324),"")</f>
        <v/>
      </c>
      <c r="I4324">
        <f>IF(B4324,IF(D4324=0,H4324,Rho*I4323+SQRT(1-Rho^2)*H4324),"")</f>
        <v/>
      </c>
      <c r="J4324">
        <f>IF(B4324,IF(Dist="Normal",DistA+DistB*I4324,DistA+(DistB-DistA)*NORMSDIST(I4324)),"")</f>
        <v/>
      </c>
      <c r="K4324">
        <f>IF(B4324,INDEX(MineScale,C4324),"")</f>
        <v/>
      </c>
      <c r="L4324">
        <f>IF(B4324,INDEX(Dow,1,WEEKDAY(E4324,2)),"")</f>
        <v/>
      </c>
      <c r="M4324">
        <f>IF(B4324,(1+Trend)^D4324,"")</f>
        <v/>
      </c>
      <c r="N4324">
        <f>IF(B4324,EXP(SUMPRODUCT(LN(1+(EvEff-1)*INDEX(Affected,0,C4324)*EXP(-((E4324-EvCenter)^2)/(2*EvSigma^2))))),"")</f>
        <v/>
      </c>
      <c r="O4324">
        <f>IF(B4324,ROUND(MAX(0,J4324*K4324*L4324*M4324*N4324),2),"")</f>
        <v/>
      </c>
    </row>
    <row r="4325">
      <c r="A4325" t="n">
        <v>4324</v>
      </c>
      <c r="B4325">
        <f>A4325&lt;=MineCount*Days</f>
        <v/>
      </c>
      <c r="C4325">
        <f>IF(B4325,INT((A4325-1)/Days)+1,"")</f>
        <v/>
      </c>
      <c r="D4325">
        <f>IF(B4325,MOD(A4325-1,Days),"")</f>
        <v/>
      </c>
      <c r="E4325" s="16">
        <f>IF(B4325,StartDate+D4325,"")</f>
        <v/>
      </c>
      <c r="F4325">
        <f>IF(B4325,MAX(MOD(SIN(Seed*0.1373+C4325*12.9898+D4325*78.233)*43758.5453,1),1E-9),"")</f>
        <v/>
      </c>
      <c r="G4325">
        <f>IF(B4325,MOD(SIN(Seed*0.5917+C4325*39.3468+D4325*11.135)*24634.6345,1),"")</f>
        <v/>
      </c>
      <c r="H4325">
        <f>IF(B4325,SQRT(-2*LN(F4325))*COS(2*PI()*G4325),"")</f>
        <v/>
      </c>
      <c r="I4325">
        <f>IF(B4325,IF(D4325=0,H4325,Rho*I4324+SQRT(1-Rho^2)*H4325),"")</f>
        <v/>
      </c>
      <c r="J4325">
        <f>IF(B4325,IF(Dist="Normal",DistA+DistB*I4325,DistA+(DistB-DistA)*NORMSDIST(I4325)),"")</f>
        <v/>
      </c>
      <c r="K4325">
        <f>IF(B4325,INDEX(MineScale,C4325),"")</f>
        <v/>
      </c>
      <c r="L4325">
        <f>IF(B4325,INDEX(Dow,1,WEEKDAY(E4325,2)),"")</f>
        <v/>
      </c>
      <c r="M4325">
        <f>IF(B4325,(1+Trend)^D4325,"")</f>
        <v/>
      </c>
      <c r="N4325">
        <f>IF(B4325,EXP(SUMPRODUCT(LN(1+(EvEff-1)*INDEX(Affected,0,C4325)*EXP(-((E4325-EvCenter)^2)/(2*EvSigma^2))))),"")</f>
        <v/>
      </c>
      <c r="O4325">
        <f>IF(B4325,ROUND(MAX(0,J4325*K4325*L4325*M4325*N4325),2),"")</f>
        <v/>
      </c>
    </row>
    <row r="4326">
      <c r="A4326" t="n">
        <v>4325</v>
      </c>
      <c r="B4326">
        <f>A4326&lt;=MineCount*Days</f>
        <v/>
      </c>
      <c r="C4326">
        <f>IF(B4326,INT((A4326-1)/Days)+1,"")</f>
        <v/>
      </c>
      <c r="D4326">
        <f>IF(B4326,MOD(A4326-1,Days),"")</f>
        <v/>
      </c>
      <c r="E4326" s="16">
        <f>IF(B4326,StartDate+D4326,"")</f>
        <v/>
      </c>
      <c r="F4326">
        <f>IF(B4326,MAX(MOD(SIN(Seed*0.1373+C4326*12.9898+D4326*78.233)*43758.5453,1),1E-9),"")</f>
        <v/>
      </c>
      <c r="G4326">
        <f>IF(B4326,MOD(SIN(Seed*0.5917+C4326*39.3468+D4326*11.135)*24634.6345,1),"")</f>
        <v/>
      </c>
      <c r="H4326">
        <f>IF(B4326,SQRT(-2*LN(F4326))*COS(2*PI()*G4326),"")</f>
        <v/>
      </c>
      <c r="I4326">
        <f>IF(B4326,IF(D4326=0,H4326,Rho*I4325+SQRT(1-Rho^2)*H4326),"")</f>
        <v/>
      </c>
      <c r="J4326">
        <f>IF(B4326,IF(Dist="Normal",DistA+DistB*I4326,DistA+(DistB-DistA)*NORMSDIST(I4326)),"")</f>
        <v/>
      </c>
      <c r="K4326">
        <f>IF(B4326,INDEX(MineScale,C4326),"")</f>
        <v/>
      </c>
      <c r="L4326">
        <f>IF(B4326,INDEX(Dow,1,WEEKDAY(E4326,2)),"")</f>
        <v/>
      </c>
      <c r="M4326">
        <f>IF(B4326,(1+Trend)^D4326,"")</f>
        <v/>
      </c>
      <c r="N4326">
        <f>IF(B4326,EXP(SUMPRODUCT(LN(1+(EvEff-1)*INDEX(Affected,0,C4326)*EXP(-((E4326-EvCenter)^2)/(2*EvSigma^2))))),"")</f>
        <v/>
      </c>
      <c r="O4326">
        <f>IF(B4326,ROUND(MAX(0,J4326*K4326*L4326*M4326*N4326),2),"")</f>
        <v/>
      </c>
    </row>
    <row r="4327">
      <c r="A4327" t="n">
        <v>4326</v>
      </c>
      <c r="B4327">
        <f>A4327&lt;=MineCount*Days</f>
        <v/>
      </c>
      <c r="C4327">
        <f>IF(B4327,INT((A4327-1)/Days)+1,"")</f>
        <v/>
      </c>
      <c r="D4327">
        <f>IF(B4327,MOD(A4327-1,Days),"")</f>
        <v/>
      </c>
      <c r="E4327" s="16">
        <f>IF(B4327,StartDate+D4327,"")</f>
        <v/>
      </c>
      <c r="F4327">
        <f>IF(B4327,MAX(MOD(SIN(Seed*0.1373+C4327*12.9898+D4327*78.233)*43758.5453,1),1E-9),"")</f>
        <v/>
      </c>
      <c r="G4327">
        <f>IF(B4327,MOD(SIN(Seed*0.5917+C4327*39.3468+D4327*11.135)*24634.6345,1),"")</f>
        <v/>
      </c>
      <c r="H4327">
        <f>IF(B4327,SQRT(-2*LN(F4327))*COS(2*PI()*G4327),"")</f>
        <v/>
      </c>
      <c r="I4327">
        <f>IF(B4327,IF(D4327=0,H4327,Rho*I4326+SQRT(1-Rho^2)*H4327),"")</f>
        <v/>
      </c>
      <c r="J4327">
        <f>IF(B4327,IF(Dist="Normal",DistA+DistB*I4327,DistA+(DistB-DistA)*NORMSDIST(I4327)),"")</f>
        <v/>
      </c>
      <c r="K4327">
        <f>IF(B4327,INDEX(MineScale,C4327),"")</f>
        <v/>
      </c>
      <c r="L4327">
        <f>IF(B4327,INDEX(Dow,1,WEEKDAY(E4327,2)),"")</f>
        <v/>
      </c>
      <c r="M4327">
        <f>IF(B4327,(1+Trend)^D4327,"")</f>
        <v/>
      </c>
      <c r="N4327">
        <f>IF(B4327,EXP(SUMPRODUCT(LN(1+(EvEff-1)*INDEX(Affected,0,C4327)*EXP(-((E4327-EvCenter)^2)/(2*EvSigma^2))))),"")</f>
        <v/>
      </c>
      <c r="O4327">
        <f>IF(B4327,ROUND(MAX(0,J4327*K4327*L4327*M4327*N4327),2),"")</f>
        <v/>
      </c>
    </row>
    <row r="4328">
      <c r="A4328" t="n">
        <v>4327</v>
      </c>
      <c r="B4328">
        <f>A4328&lt;=MineCount*Days</f>
        <v/>
      </c>
      <c r="C4328">
        <f>IF(B4328,INT((A4328-1)/Days)+1,"")</f>
        <v/>
      </c>
      <c r="D4328">
        <f>IF(B4328,MOD(A4328-1,Days),"")</f>
        <v/>
      </c>
      <c r="E4328" s="16">
        <f>IF(B4328,StartDate+D4328,"")</f>
        <v/>
      </c>
      <c r="F4328">
        <f>IF(B4328,MAX(MOD(SIN(Seed*0.1373+C4328*12.9898+D4328*78.233)*43758.5453,1),1E-9),"")</f>
        <v/>
      </c>
      <c r="G4328">
        <f>IF(B4328,MOD(SIN(Seed*0.5917+C4328*39.3468+D4328*11.135)*24634.6345,1),"")</f>
        <v/>
      </c>
      <c r="H4328">
        <f>IF(B4328,SQRT(-2*LN(F4328))*COS(2*PI()*G4328),"")</f>
        <v/>
      </c>
      <c r="I4328">
        <f>IF(B4328,IF(D4328=0,H4328,Rho*I4327+SQRT(1-Rho^2)*H4328),"")</f>
        <v/>
      </c>
      <c r="J4328">
        <f>IF(B4328,IF(Dist="Normal",DistA+DistB*I4328,DistA+(DistB-DistA)*NORMSDIST(I4328)),"")</f>
        <v/>
      </c>
      <c r="K4328">
        <f>IF(B4328,INDEX(MineScale,C4328),"")</f>
        <v/>
      </c>
      <c r="L4328">
        <f>IF(B4328,INDEX(Dow,1,WEEKDAY(E4328,2)),"")</f>
        <v/>
      </c>
      <c r="M4328">
        <f>IF(B4328,(1+Trend)^D4328,"")</f>
        <v/>
      </c>
      <c r="N4328">
        <f>IF(B4328,EXP(SUMPRODUCT(LN(1+(EvEff-1)*INDEX(Affected,0,C4328)*EXP(-((E4328-EvCenter)^2)/(2*EvSigma^2))))),"")</f>
        <v/>
      </c>
      <c r="O4328">
        <f>IF(B4328,ROUND(MAX(0,J4328*K4328*L4328*M4328*N4328),2),"")</f>
        <v/>
      </c>
    </row>
    <row r="4329">
      <c r="A4329" t="n">
        <v>4328</v>
      </c>
      <c r="B4329">
        <f>A4329&lt;=MineCount*Days</f>
        <v/>
      </c>
      <c r="C4329">
        <f>IF(B4329,INT((A4329-1)/Days)+1,"")</f>
        <v/>
      </c>
      <c r="D4329">
        <f>IF(B4329,MOD(A4329-1,Days),"")</f>
        <v/>
      </c>
      <c r="E4329" s="16">
        <f>IF(B4329,StartDate+D4329,"")</f>
        <v/>
      </c>
      <c r="F4329">
        <f>IF(B4329,MAX(MOD(SIN(Seed*0.1373+C4329*12.9898+D4329*78.233)*43758.5453,1),1E-9),"")</f>
        <v/>
      </c>
      <c r="G4329">
        <f>IF(B4329,MOD(SIN(Seed*0.5917+C4329*39.3468+D4329*11.135)*24634.6345,1),"")</f>
        <v/>
      </c>
      <c r="H4329">
        <f>IF(B4329,SQRT(-2*LN(F4329))*COS(2*PI()*G4329),"")</f>
        <v/>
      </c>
      <c r="I4329">
        <f>IF(B4329,IF(D4329=0,H4329,Rho*I4328+SQRT(1-Rho^2)*H4329),"")</f>
        <v/>
      </c>
      <c r="J4329">
        <f>IF(B4329,IF(Dist="Normal",DistA+DistB*I4329,DistA+(DistB-DistA)*NORMSDIST(I4329)),"")</f>
        <v/>
      </c>
      <c r="K4329">
        <f>IF(B4329,INDEX(MineScale,C4329),"")</f>
        <v/>
      </c>
      <c r="L4329">
        <f>IF(B4329,INDEX(Dow,1,WEEKDAY(E4329,2)),"")</f>
        <v/>
      </c>
      <c r="M4329">
        <f>IF(B4329,(1+Trend)^D4329,"")</f>
        <v/>
      </c>
      <c r="N4329">
        <f>IF(B4329,EXP(SUMPRODUCT(LN(1+(EvEff-1)*INDEX(Affected,0,C4329)*EXP(-((E4329-EvCenter)^2)/(2*EvSigma^2))))),"")</f>
        <v/>
      </c>
      <c r="O4329">
        <f>IF(B4329,ROUND(MAX(0,J4329*K4329*L4329*M4329*N4329),2),"")</f>
        <v/>
      </c>
    </row>
    <row r="4330">
      <c r="A4330" t="n">
        <v>4329</v>
      </c>
      <c r="B4330">
        <f>A4330&lt;=MineCount*Days</f>
        <v/>
      </c>
      <c r="C4330">
        <f>IF(B4330,INT((A4330-1)/Days)+1,"")</f>
        <v/>
      </c>
      <c r="D4330">
        <f>IF(B4330,MOD(A4330-1,Days),"")</f>
        <v/>
      </c>
      <c r="E4330" s="16">
        <f>IF(B4330,StartDate+D4330,"")</f>
        <v/>
      </c>
      <c r="F4330">
        <f>IF(B4330,MAX(MOD(SIN(Seed*0.1373+C4330*12.9898+D4330*78.233)*43758.5453,1),1E-9),"")</f>
        <v/>
      </c>
      <c r="G4330">
        <f>IF(B4330,MOD(SIN(Seed*0.5917+C4330*39.3468+D4330*11.135)*24634.6345,1),"")</f>
        <v/>
      </c>
      <c r="H4330">
        <f>IF(B4330,SQRT(-2*LN(F4330))*COS(2*PI()*G4330),"")</f>
        <v/>
      </c>
      <c r="I4330">
        <f>IF(B4330,IF(D4330=0,H4330,Rho*I4329+SQRT(1-Rho^2)*H4330),"")</f>
        <v/>
      </c>
      <c r="J4330">
        <f>IF(B4330,IF(Dist="Normal",DistA+DistB*I4330,DistA+(DistB-DistA)*NORMSDIST(I4330)),"")</f>
        <v/>
      </c>
      <c r="K4330">
        <f>IF(B4330,INDEX(MineScale,C4330),"")</f>
        <v/>
      </c>
      <c r="L4330">
        <f>IF(B4330,INDEX(Dow,1,WEEKDAY(E4330,2)),"")</f>
        <v/>
      </c>
      <c r="M4330">
        <f>IF(B4330,(1+Trend)^D4330,"")</f>
        <v/>
      </c>
      <c r="N4330">
        <f>IF(B4330,EXP(SUMPRODUCT(LN(1+(EvEff-1)*INDEX(Affected,0,C4330)*EXP(-((E4330-EvCenter)^2)/(2*EvSigma^2))))),"")</f>
        <v/>
      </c>
      <c r="O4330">
        <f>IF(B4330,ROUND(MAX(0,J4330*K4330*L4330*M4330*N4330),2),"")</f>
        <v/>
      </c>
    </row>
    <row r="4331">
      <c r="A4331" t="n">
        <v>4330</v>
      </c>
      <c r="B4331">
        <f>A4331&lt;=MineCount*Days</f>
        <v/>
      </c>
      <c r="C4331">
        <f>IF(B4331,INT((A4331-1)/Days)+1,"")</f>
        <v/>
      </c>
      <c r="D4331">
        <f>IF(B4331,MOD(A4331-1,Days),"")</f>
        <v/>
      </c>
      <c r="E4331" s="16">
        <f>IF(B4331,StartDate+D4331,"")</f>
        <v/>
      </c>
      <c r="F4331">
        <f>IF(B4331,MAX(MOD(SIN(Seed*0.1373+C4331*12.9898+D4331*78.233)*43758.5453,1),1E-9),"")</f>
        <v/>
      </c>
      <c r="G4331">
        <f>IF(B4331,MOD(SIN(Seed*0.5917+C4331*39.3468+D4331*11.135)*24634.6345,1),"")</f>
        <v/>
      </c>
      <c r="H4331">
        <f>IF(B4331,SQRT(-2*LN(F4331))*COS(2*PI()*G4331),"")</f>
        <v/>
      </c>
      <c r="I4331">
        <f>IF(B4331,IF(D4331=0,H4331,Rho*I4330+SQRT(1-Rho^2)*H4331),"")</f>
        <v/>
      </c>
      <c r="J4331">
        <f>IF(B4331,IF(Dist="Normal",DistA+DistB*I4331,DistA+(DistB-DistA)*NORMSDIST(I4331)),"")</f>
        <v/>
      </c>
      <c r="K4331">
        <f>IF(B4331,INDEX(MineScale,C4331),"")</f>
        <v/>
      </c>
      <c r="L4331">
        <f>IF(B4331,INDEX(Dow,1,WEEKDAY(E4331,2)),"")</f>
        <v/>
      </c>
      <c r="M4331">
        <f>IF(B4331,(1+Trend)^D4331,"")</f>
        <v/>
      </c>
      <c r="N4331">
        <f>IF(B4331,EXP(SUMPRODUCT(LN(1+(EvEff-1)*INDEX(Affected,0,C4331)*EXP(-((E4331-EvCenter)^2)/(2*EvSigma^2))))),"")</f>
        <v/>
      </c>
      <c r="O4331">
        <f>IF(B4331,ROUND(MAX(0,J4331*K4331*L4331*M4331*N4331),2),"")</f>
        <v/>
      </c>
    </row>
    <row r="4332">
      <c r="A4332" t="n">
        <v>4331</v>
      </c>
      <c r="B4332">
        <f>A4332&lt;=MineCount*Days</f>
        <v/>
      </c>
      <c r="C4332">
        <f>IF(B4332,INT((A4332-1)/Days)+1,"")</f>
        <v/>
      </c>
      <c r="D4332">
        <f>IF(B4332,MOD(A4332-1,Days),"")</f>
        <v/>
      </c>
      <c r="E4332" s="16">
        <f>IF(B4332,StartDate+D4332,"")</f>
        <v/>
      </c>
      <c r="F4332">
        <f>IF(B4332,MAX(MOD(SIN(Seed*0.1373+C4332*12.9898+D4332*78.233)*43758.5453,1),1E-9),"")</f>
        <v/>
      </c>
      <c r="G4332">
        <f>IF(B4332,MOD(SIN(Seed*0.5917+C4332*39.3468+D4332*11.135)*24634.6345,1),"")</f>
        <v/>
      </c>
      <c r="H4332">
        <f>IF(B4332,SQRT(-2*LN(F4332))*COS(2*PI()*G4332),"")</f>
        <v/>
      </c>
      <c r="I4332">
        <f>IF(B4332,IF(D4332=0,H4332,Rho*I4331+SQRT(1-Rho^2)*H4332),"")</f>
        <v/>
      </c>
      <c r="J4332">
        <f>IF(B4332,IF(Dist="Normal",DistA+DistB*I4332,DistA+(DistB-DistA)*NORMSDIST(I4332)),"")</f>
        <v/>
      </c>
      <c r="K4332">
        <f>IF(B4332,INDEX(MineScale,C4332),"")</f>
        <v/>
      </c>
      <c r="L4332">
        <f>IF(B4332,INDEX(Dow,1,WEEKDAY(E4332,2)),"")</f>
        <v/>
      </c>
      <c r="M4332">
        <f>IF(B4332,(1+Trend)^D4332,"")</f>
        <v/>
      </c>
      <c r="N4332">
        <f>IF(B4332,EXP(SUMPRODUCT(LN(1+(EvEff-1)*INDEX(Affected,0,C4332)*EXP(-((E4332-EvCenter)^2)/(2*EvSigma^2))))),"")</f>
        <v/>
      </c>
      <c r="O4332">
        <f>IF(B4332,ROUND(MAX(0,J4332*K4332*L4332*M4332*N4332),2),"")</f>
        <v/>
      </c>
    </row>
    <row r="4333">
      <c r="A4333" t="n">
        <v>4332</v>
      </c>
      <c r="B4333">
        <f>A4333&lt;=MineCount*Days</f>
        <v/>
      </c>
      <c r="C4333">
        <f>IF(B4333,INT((A4333-1)/Days)+1,"")</f>
        <v/>
      </c>
      <c r="D4333">
        <f>IF(B4333,MOD(A4333-1,Days),"")</f>
        <v/>
      </c>
      <c r="E4333" s="16">
        <f>IF(B4333,StartDate+D4333,"")</f>
        <v/>
      </c>
      <c r="F4333">
        <f>IF(B4333,MAX(MOD(SIN(Seed*0.1373+C4333*12.9898+D4333*78.233)*43758.5453,1),1E-9),"")</f>
        <v/>
      </c>
      <c r="G4333">
        <f>IF(B4333,MOD(SIN(Seed*0.5917+C4333*39.3468+D4333*11.135)*24634.6345,1),"")</f>
        <v/>
      </c>
      <c r="H4333">
        <f>IF(B4333,SQRT(-2*LN(F4333))*COS(2*PI()*G4333),"")</f>
        <v/>
      </c>
      <c r="I4333">
        <f>IF(B4333,IF(D4333=0,H4333,Rho*I4332+SQRT(1-Rho^2)*H4333),"")</f>
        <v/>
      </c>
      <c r="J4333">
        <f>IF(B4333,IF(Dist="Normal",DistA+DistB*I4333,DistA+(DistB-DistA)*NORMSDIST(I4333)),"")</f>
        <v/>
      </c>
      <c r="K4333">
        <f>IF(B4333,INDEX(MineScale,C4333),"")</f>
        <v/>
      </c>
      <c r="L4333">
        <f>IF(B4333,INDEX(Dow,1,WEEKDAY(E4333,2)),"")</f>
        <v/>
      </c>
      <c r="M4333">
        <f>IF(B4333,(1+Trend)^D4333,"")</f>
        <v/>
      </c>
      <c r="N4333">
        <f>IF(B4333,EXP(SUMPRODUCT(LN(1+(EvEff-1)*INDEX(Affected,0,C4333)*EXP(-((E4333-EvCenter)^2)/(2*EvSigma^2))))),"")</f>
        <v/>
      </c>
      <c r="O4333">
        <f>IF(B4333,ROUND(MAX(0,J4333*K4333*L4333*M4333*N4333),2),"")</f>
        <v/>
      </c>
    </row>
    <row r="4334">
      <c r="A4334" t="n">
        <v>4333</v>
      </c>
      <c r="B4334">
        <f>A4334&lt;=MineCount*Days</f>
        <v/>
      </c>
      <c r="C4334">
        <f>IF(B4334,INT((A4334-1)/Days)+1,"")</f>
        <v/>
      </c>
      <c r="D4334">
        <f>IF(B4334,MOD(A4334-1,Days),"")</f>
        <v/>
      </c>
      <c r="E4334" s="16">
        <f>IF(B4334,StartDate+D4334,"")</f>
        <v/>
      </c>
      <c r="F4334">
        <f>IF(B4334,MAX(MOD(SIN(Seed*0.1373+C4334*12.9898+D4334*78.233)*43758.5453,1),1E-9),"")</f>
        <v/>
      </c>
      <c r="G4334">
        <f>IF(B4334,MOD(SIN(Seed*0.5917+C4334*39.3468+D4334*11.135)*24634.6345,1),"")</f>
        <v/>
      </c>
      <c r="H4334">
        <f>IF(B4334,SQRT(-2*LN(F4334))*COS(2*PI()*G4334),"")</f>
        <v/>
      </c>
      <c r="I4334">
        <f>IF(B4334,IF(D4334=0,H4334,Rho*I4333+SQRT(1-Rho^2)*H4334),"")</f>
        <v/>
      </c>
      <c r="J4334">
        <f>IF(B4334,IF(Dist="Normal",DistA+DistB*I4334,DistA+(DistB-DistA)*NORMSDIST(I4334)),"")</f>
        <v/>
      </c>
      <c r="K4334">
        <f>IF(B4334,INDEX(MineScale,C4334),"")</f>
        <v/>
      </c>
      <c r="L4334">
        <f>IF(B4334,INDEX(Dow,1,WEEKDAY(E4334,2)),"")</f>
        <v/>
      </c>
      <c r="M4334">
        <f>IF(B4334,(1+Trend)^D4334,"")</f>
        <v/>
      </c>
      <c r="N4334">
        <f>IF(B4334,EXP(SUMPRODUCT(LN(1+(EvEff-1)*INDEX(Affected,0,C4334)*EXP(-((E4334-EvCenter)^2)/(2*EvSigma^2))))),"")</f>
        <v/>
      </c>
      <c r="O4334">
        <f>IF(B4334,ROUND(MAX(0,J4334*K4334*L4334*M4334*N4334),2),"")</f>
        <v/>
      </c>
    </row>
    <row r="4335">
      <c r="A4335" t="n">
        <v>4334</v>
      </c>
      <c r="B4335">
        <f>A4335&lt;=MineCount*Days</f>
        <v/>
      </c>
      <c r="C4335">
        <f>IF(B4335,INT((A4335-1)/Days)+1,"")</f>
        <v/>
      </c>
      <c r="D4335">
        <f>IF(B4335,MOD(A4335-1,Days),"")</f>
        <v/>
      </c>
      <c r="E4335" s="16">
        <f>IF(B4335,StartDate+D4335,"")</f>
        <v/>
      </c>
      <c r="F4335">
        <f>IF(B4335,MAX(MOD(SIN(Seed*0.1373+C4335*12.9898+D4335*78.233)*43758.5453,1),1E-9),"")</f>
        <v/>
      </c>
      <c r="G4335">
        <f>IF(B4335,MOD(SIN(Seed*0.5917+C4335*39.3468+D4335*11.135)*24634.6345,1),"")</f>
        <v/>
      </c>
      <c r="H4335">
        <f>IF(B4335,SQRT(-2*LN(F4335))*COS(2*PI()*G4335),"")</f>
        <v/>
      </c>
      <c r="I4335">
        <f>IF(B4335,IF(D4335=0,H4335,Rho*I4334+SQRT(1-Rho^2)*H4335),"")</f>
        <v/>
      </c>
      <c r="J4335">
        <f>IF(B4335,IF(Dist="Normal",DistA+DistB*I4335,DistA+(DistB-DistA)*NORMSDIST(I4335)),"")</f>
        <v/>
      </c>
      <c r="K4335">
        <f>IF(B4335,INDEX(MineScale,C4335),"")</f>
        <v/>
      </c>
      <c r="L4335">
        <f>IF(B4335,INDEX(Dow,1,WEEKDAY(E4335,2)),"")</f>
        <v/>
      </c>
      <c r="M4335">
        <f>IF(B4335,(1+Trend)^D4335,"")</f>
        <v/>
      </c>
      <c r="N4335">
        <f>IF(B4335,EXP(SUMPRODUCT(LN(1+(EvEff-1)*INDEX(Affected,0,C4335)*EXP(-((E4335-EvCenter)^2)/(2*EvSigma^2))))),"")</f>
        <v/>
      </c>
      <c r="O4335">
        <f>IF(B4335,ROUND(MAX(0,J4335*K4335*L4335*M4335*N4335),2),"")</f>
        <v/>
      </c>
    </row>
    <row r="4336">
      <c r="A4336" t="n">
        <v>4335</v>
      </c>
      <c r="B4336">
        <f>A4336&lt;=MineCount*Days</f>
        <v/>
      </c>
      <c r="C4336">
        <f>IF(B4336,INT((A4336-1)/Days)+1,"")</f>
        <v/>
      </c>
      <c r="D4336">
        <f>IF(B4336,MOD(A4336-1,Days),"")</f>
        <v/>
      </c>
      <c r="E4336" s="16">
        <f>IF(B4336,StartDate+D4336,"")</f>
        <v/>
      </c>
      <c r="F4336">
        <f>IF(B4336,MAX(MOD(SIN(Seed*0.1373+C4336*12.9898+D4336*78.233)*43758.5453,1),1E-9),"")</f>
        <v/>
      </c>
      <c r="G4336">
        <f>IF(B4336,MOD(SIN(Seed*0.5917+C4336*39.3468+D4336*11.135)*24634.6345,1),"")</f>
        <v/>
      </c>
      <c r="H4336">
        <f>IF(B4336,SQRT(-2*LN(F4336))*COS(2*PI()*G4336),"")</f>
        <v/>
      </c>
      <c r="I4336">
        <f>IF(B4336,IF(D4336=0,H4336,Rho*I4335+SQRT(1-Rho^2)*H4336),"")</f>
        <v/>
      </c>
      <c r="J4336">
        <f>IF(B4336,IF(Dist="Normal",DistA+DistB*I4336,DistA+(DistB-DistA)*NORMSDIST(I4336)),"")</f>
        <v/>
      </c>
      <c r="K4336">
        <f>IF(B4336,INDEX(MineScale,C4336),"")</f>
        <v/>
      </c>
      <c r="L4336">
        <f>IF(B4336,INDEX(Dow,1,WEEKDAY(E4336,2)),"")</f>
        <v/>
      </c>
      <c r="M4336">
        <f>IF(B4336,(1+Trend)^D4336,"")</f>
        <v/>
      </c>
      <c r="N4336">
        <f>IF(B4336,EXP(SUMPRODUCT(LN(1+(EvEff-1)*INDEX(Affected,0,C4336)*EXP(-((E4336-EvCenter)^2)/(2*EvSigma^2))))),"")</f>
        <v/>
      </c>
      <c r="O4336">
        <f>IF(B4336,ROUND(MAX(0,J4336*K4336*L4336*M4336*N4336),2),"")</f>
        <v/>
      </c>
    </row>
    <row r="4337">
      <c r="A4337" t="n">
        <v>4336</v>
      </c>
      <c r="B4337">
        <f>A4337&lt;=MineCount*Days</f>
        <v/>
      </c>
      <c r="C4337">
        <f>IF(B4337,INT((A4337-1)/Days)+1,"")</f>
        <v/>
      </c>
      <c r="D4337">
        <f>IF(B4337,MOD(A4337-1,Days),"")</f>
        <v/>
      </c>
      <c r="E4337" s="16">
        <f>IF(B4337,StartDate+D4337,"")</f>
        <v/>
      </c>
      <c r="F4337">
        <f>IF(B4337,MAX(MOD(SIN(Seed*0.1373+C4337*12.9898+D4337*78.233)*43758.5453,1),1E-9),"")</f>
        <v/>
      </c>
      <c r="G4337">
        <f>IF(B4337,MOD(SIN(Seed*0.5917+C4337*39.3468+D4337*11.135)*24634.6345,1),"")</f>
        <v/>
      </c>
      <c r="H4337">
        <f>IF(B4337,SQRT(-2*LN(F4337))*COS(2*PI()*G4337),"")</f>
        <v/>
      </c>
      <c r="I4337">
        <f>IF(B4337,IF(D4337=0,H4337,Rho*I4336+SQRT(1-Rho^2)*H4337),"")</f>
        <v/>
      </c>
      <c r="J4337">
        <f>IF(B4337,IF(Dist="Normal",DistA+DistB*I4337,DistA+(DistB-DistA)*NORMSDIST(I4337)),"")</f>
        <v/>
      </c>
      <c r="K4337">
        <f>IF(B4337,INDEX(MineScale,C4337),"")</f>
        <v/>
      </c>
      <c r="L4337">
        <f>IF(B4337,INDEX(Dow,1,WEEKDAY(E4337,2)),"")</f>
        <v/>
      </c>
      <c r="M4337">
        <f>IF(B4337,(1+Trend)^D4337,"")</f>
        <v/>
      </c>
      <c r="N4337">
        <f>IF(B4337,EXP(SUMPRODUCT(LN(1+(EvEff-1)*INDEX(Affected,0,C4337)*EXP(-((E4337-EvCenter)^2)/(2*EvSigma^2))))),"")</f>
        <v/>
      </c>
      <c r="O4337">
        <f>IF(B4337,ROUND(MAX(0,J4337*K4337*L4337*M4337*N4337),2),"")</f>
        <v/>
      </c>
    </row>
    <row r="4338">
      <c r="A4338" t="n">
        <v>4337</v>
      </c>
      <c r="B4338">
        <f>A4338&lt;=MineCount*Days</f>
        <v/>
      </c>
      <c r="C4338">
        <f>IF(B4338,INT((A4338-1)/Days)+1,"")</f>
        <v/>
      </c>
      <c r="D4338">
        <f>IF(B4338,MOD(A4338-1,Days),"")</f>
        <v/>
      </c>
      <c r="E4338" s="16">
        <f>IF(B4338,StartDate+D4338,"")</f>
        <v/>
      </c>
      <c r="F4338">
        <f>IF(B4338,MAX(MOD(SIN(Seed*0.1373+C4338*12.9898+D4338*78.233)*43758.5453,1),1E-9),"")</f>
        <v/>
      </c>
      <c r="G4338">
        <f>IF(B4338,MOD(SIN(Seed*0.5917+C4338*39.3468+D4338*11.135)*24634.6345,1),"")</f>
        <v/>
      </c>
      <c r="H4338">
        <f>IF(B4338,SQRT(-2*LN(F4338))*COS(2*PI()*G4338),"")</f>
        <v/>
      </c>
      <c r="I4338">
        <f>IF(B4338,IF(D4338=0,H4338,Rho*I4337+SQRT(1-Rho^2)*H4338),"")</f>
        <v/>
      </c>
      <c r="J4338">
        <f>IF(B4338,IF(Dist="Normal",DistA+DistB*I4338,DistA+(DistB-DistA)*NORMSDIST(I4338)),"")</f>
        <v/>
      </c>
      <c r="K4338">
        <f>IF(B4338,INDEX(MineScale,C4338),"")</f>
        <v/>
      </c>
      <c r="L4338">
        <f>IF(B4338,INDEX(Dow,1,WEEKDAY(E4338,2)),"")</f>
        <v/>
      </c>
      <c r="M4338">
        <f>IF(B4338,(1+Trend)^D4338,"")</f>
        <v/>
      </c>
      <c r="N4338">
        <f>IF(B4338,EXP(SUMPRODUCT(LN(1+(EvEff-1)*INDEX(Affected,0,C4338)*EXP(-((E4338-EvCenter)^2)/(2*EvSigma^2))))),"")</f>
        <v/>
      </c>
      <c r="O4338">
        <f>IF(B4338,ROUND(MAX(0,J4338*K4338*L4338*M4338*N4338),2),"")</f>
        <v/>
      </c>
    </row>
    <row r="4339">
      <c r="A4339" t="n">
        <v>4338</v>
      </c>
      <c r="B4339">
        <f>A4339&lt;=MineCount*Days</f>
        <v/>
      </c>
      <c r="C4339">
        <f>IF(B4339,INT((A4339-1)/Days)+1,"")</f>
        <v/>
      </c>
      <c r="D4339">
        <f>IF(B4339,MOD(A4339-1,Days),"")</f>
        <v/>
      </c>
      <c r="E4339" s="16">
        <f>IF(B4339,StartDate+D4339,"")</f>
        <v/>
      </c>
      <c r="F4339">
        <f>IF(B4339,MAX(MOD(SIN(Seed*0.1373+C4339*12.9898+D4339*78.233)*43758.5453,1),1E-9),"")</f>
        <v/>
      </c>
      <c r="G4339">
        <f>IF(B4339,MOD(SIN(Seed*0.5917+C4339*39.3468+D4339*11.135)*24634.6345,1),"")</f>
        <v/>
      </c>
      <c r="H4339">
        <f>IF(B4339,SQRT(-2*LN(F4339))*COS(2*PI()*G4339),"")</f>
        <v/>
      </c>
      <c r="I4339">
        <f>IF(B4339,IF(D4339=0,H4339,Rho*I4338+SQRT(1-Rho^2)*H4339),"")</f>
        <v/>
      </c>
      <c r="J4339">
        <f>IF(B4339,IF(Dist="Normal",DistA+DistB*I4339,DistA+(DistB-DistA)*NORMSDIST(I4339)),"")</f>
        <v/>
      </c>
      <c r="K4339">
        <f>IF(B4339,INDEX(MineScale,C4339),"")</f>
        <v/>
      </c>
      <c r="L4339">
        <f>IF(B4339,INDEX(Dow,1,WEEKDAY(E4339,2)),"")</f>
        <v/>
      </c>
      <c r="M4339">
        <f>IF(B4339,(1+Trend)^D4339,"")</f>
        <v/>
      </c>
      <c r="N4339">
        <f>IF(B4339,EXP(SUMPRODUCT(LN(1+(EvEff-1)*INDEX(Affected,0,C4339)*EXP(-((E4339-EvCenter)^2)/(2*EvSigma^2))))),"")</f>
        <v/>
      </c>
      <c r="O4339">
        <f>IF(B4339,ROUND(MAX(0,J4339*K4339*L4339*M4339*N4339),2),"")</f>
        <v/>
      </c>
    </row>
    <row r="4340">
      <c r="A4340" t="n">
        <v>4339</v>
      </c>
      <c r="B4340">
        <f>A4340&lt;=MineCount*Days</f>
        <v/>
      </c>
      <c r="C4340">
        <f>IF(B4340,INT((A4340-1)/Days)+1,"")</f>
        <v/>
      </c>
      <c r="D4340">
        <f>IF(B4340,MOD(A4340-1,Days),"")</f>
        <v/>
      </c>
      <c r="E4340" s="16">
        <f>IF(B4340,StartDate+D4340,"")</f>
        <v/>
      </c>
      <c r="F4340">
        <f>IF(B4340,MAX(MOD(SIN(Seed*0.1373+C4340*12.9898+D4340*78.233)*43758.5453,1),1E-9),"")</f>
        <v/>
      </c>
      <c r="G4340">
        <f>IF(B4340,MOD(SIN(Seed*0.5917+C4340*39.3468+D4340*11.135)*24634.6345,1),"")</f>
        <v/>
      </c>
      <c r="H4340">
        <f>IF(B4340,SQRT(-2*LN(F4340))*COS(2*PI()*G4340),"")</f>
        <v/>
      </c>
      <c r="I4340">
        <f>IF(B4340,IF(D4340=0,H4340,Rho*I4339+SQRT(1-Rho^2)*H4340),"")</f>
        <v/>
      </c>
      <c r="J4340">
        <f>IF(B4340,IF(Dist="Normal",DistA+DistB*I4340,DistA+(DistB-DistA)*NORMSDIST(I4340)),"")</f>
        <v/>
      </c>
      <c r="K4340">
        <f>IF(B4340,INDEX(MineScale,C4340),"")</f>
        <v/>
      </c>
      <c r="L4340">
        <f>IF(B4340,INDEX(Dow,1,WEEKDAY(E4340,2)),"")</f>
        <v/>
      </c>
      <c r="M4340">
        <f>IF(B4340,(1+Trend)^D4340,"")</f>
        <v/>
      </c>
      <c r="N4340">
        <f>IF(B4340,EXP(SUMPRODUCT(LN(1+(EvEff-1)*INDEX(Affected,0,C4340)*EXP(-((E4340-EvCenter)^2)/(2*EvSigma^2))))),"")</f>
        <v/>
      </c>
      <c r="O4340">
        <f>IF(B4340,ROUND(MAX(0,J4340*K4340*L4340*M4340*N4340),2),"")</f>
        <v/>
      </c>
    </row>
    <row r="4341">
      <c r="A4341" t="n">
        <v>4340</v>
      </c>
      <c r="B4341">
        <f>A4341&lt;=MineCount*Days</f>
        <v/>
      </c>
      <c r="C4341">
        <f>IF(B4341,INT((A4341-1)/Days)+1,"")</f>
        <v/>
      </c>
      <c r="D4341">
        <f>IF(B4341,MOD(A4341-1,Days),"")</f>
        <v/>
      </c>
      <c r="E4341" s="16">
        <f>IF(B4341,StartDate+D4341,"")</f>
        <v/>
      </c>
      <c r="F4341">
        <f>IF(B4341,MAX(MOD(SIN(Seed*0.1373+C4341*12.9898+D4341*78.233)*43758.5453,1),1E-9),"")</f>
        <v/>
      </c>
      <c r="G4341">
        <f>IF(B4341,MOD(SIN(Seed*0.5917+C4341*39.3468+D4341*11.135)*24634.6345,1),"")</f>
        <v/>
      </c>
      <c r="H4341">
        <f>IF(B4341,SQRT(-2*LN(F4341))*COS(2*PI()*G4341),"")</f>
        <v/>
      </c>
      <c r="I4341">
        <f>IF(B4341,IF(D4341=0,H4341,Rho*I4340+SQRT(1-Rho^2)*H4341),"")</f>
        <v/>
      </c>
      <c r="J4341">
        <f>IF(B4341,IF(Dist="Normal",DistA+DistB*I4341,DistA+(DistB-DistA)*NORMSDIST(I4341)),"")</f>
        <v/>
      </c>
      <c r="K4341">
        <f>IF(B4341,INDEX(MineScale,C4341),"")</f>
        <v/>
      </c>
      <c r="L4341">
        <f>IF(B4341,INDEX(Dow,1,WEEKDAY(E4341,2)),"")</f>
        <v/>
      </c>
      <c r="M4341">
        <f>IF(B4341,(1+Trend)^D4341,"")</f>
        <v/>
      </c>
      <c r="N4341">
        <f>IF(B4341,EXP(SUMPRODUCT(LN(1+(EvEff-1)*INDEX(Affected,0,C4341)*EXP(-((E4341-EvCenter)^2)/(2*EvSigma^2))))),"")</f>
        <v/>
      </c>
      <c r="O4341">
        <f>IF(B4341,ROUND(MAX(0,J4341*K4341*L4341*M4341*N4341),2),"")</f>
        <v/>
      </c>
    </row>
    <row r="4342">
      <c r="A4342" t="n">
        <v>4341</v>
      </c>
      <c r="B4342">
        <f>A4342&lt;=MineCount*Days</f>
        <v/>
      </c>
      <c r="C4342">
        <f>IF(B4342,INT((A4342-1)/Days)+1,"")</f>
        <v/>
      </c>
      <c r="D4342">
        <f>IF(B4342,MOD(A4342-1,Days),"")</f>
        <v/>
      </c>
      <c r="E4342" s="16">
        <f>IF(B4342,StartDate+D4342,"")</f>
        <v/>
      </c>
      <c r="F4342">
        <f>IF(B4342,MAX(MOD(SIN(Seed*0.1373+C4342*12.9898+D4342*78.233)*43758.5453,1),1E-9),"")</f>
        <v/>
      </c>
      <c r="G4342">
        <f>IF(B4342,MOD(SIN(Seed*0.5917+C4342*39.3468+D4342*11.135)*24634.6345,1),"")</f>
        <v/>
      </c>
      <c r="H4342">
        <f>IF(B4342,SQRT(-2*LN(F4342))*COS(2*PI()*G4342),"")</f>
        <v/>
      </c>
      <c r="I4342">
        <f>IF(B4342,IF(D4342=0,H4342,Rho*I4341+SQRT(1-Rho^2)*H4342),"")</f>
        <v/>
      </c>
      <c r="J4342">
        <f>IF(B4342,IF(Dist="Normal",DistA+DistB*I4342,DistA+(DistB-DistA)*NORMSDIST(I4342)),"")</f>
        <v/>
      </c>
      <c r="K4342">
        <f>IF(B4342,INDEX(MineScale,C4342),"")</f>
        <v/>
      </c>
      <c r="L4342">
        <f>IF(B4342,INDEX(Dow,1,WEEKDAY(E4342,2)),"")</f>
        <v/>
      </c>
      <c r="M4342">
        <f>IF(B4342,(1+Trend)^D4342,"")</f>
        <v/>
      </c>
      <c r="N4342">
        <f>IF(B4342,EXP(SUMPRODUCT(LN(1+(EvEff-1)*INDEX(Affected,0,C4342)*EXP(-((E4342-EvCenter)^2)/(2*EvSigma^2))))),"")</f>
        <v/>
      </c>
      <c r="O4342">
        <f>IF(B4342,ROUND(MAX(0,J4342*K4342*L4342*M4342*N4342),2),"")</f>
        <v/>
      </c>
    </row>
    <row r="4343">
      <c r="A4343" t="n">
        <v>4342</v>
      </c>
      <c r="B4343">
        <f>A4343&lt;=MineCount*Days</f>
        <v/>
      </c>
      <c r="C4343">
        <f>IF(B4343,INT((A4343-1)/Days)+1,"")</f>
        <v/>
      </c>
      <c r="D4343">
        <f>IF(B4343,MOD(A4343-1,Days),"")</f>
        <v/>
      </c>
      <c r="E4343" s="16">
        <f>IF(B4343,StartDate+D4343,"")</f>
        <v/>
      </c>
      <c r="F4343">
        <f>IF(B4343,MAX(MOD(SIN(Seed*0.1373+C4343*12.9898+D4343*78.233)*43758.5453,1),1E-9),"")</f>
        <v/>
      </c>
      <c r="G4343">
        <f>IF(B4343,MOD(SIN(Seed*0.5917+C4343*39.3468+D4343*11.135)*24634.6345,1),"")</f>
        <v/>
      </c>
      <c r="H4343">
        <f>IF(B4343,SQRT(-2*LN(F4343))*COS(2*PI()*G4343),"")</f>
        <v/>
      </c>
      <c r="I4343">
        <f>IF(B4343,IF(D4343=0,H4343,Rho*I4342+SQRT(1-Rho^2)*H4343),"")</f>
        <v/>
      </c>
      <c r="J4343">
        <f>IF(B4343,IF(Dist="Normal",DistA+DistB*I4343,DistA+(DistB-DistA)*NORMSDIST(I4343)),"")</f>
        <v/>
      </c>
      <c r="K4343">
        <f>IF(B4343,INDEX(MineScale,C4343),"")</f>
        <v/>
      </c>
      <c r="L4343">
        <f>IF(B4343,INDEX(Dow,1,WEEKDAY(E4343,2)),"")</f>
        <v/>
      </c>
      <c r="M4343">
        <f>IF(B4343,(1+Trend)^D4343,"")</f>
        <v/>
      </c>
      <c r="N4343">
        <f>IF(B4343,EXP(SUMPRODUCT(LN(1+(EvEff-1)*INDEX(Affected,0,C4343)*EXP(-((E4343-EvCenter)^2)/(2*EvSigma^2))))),"")</f>
        <v/>
      </c>
      <c r="O4343">
        <f>IF(B4343,ROUND(MAX(0,J4343*K4343*L4343*M4343*N4343),2),"")</f>
        <v/>
      </c>
    </row>
    <row r="4344">
      <c r="A4344" t="n">
        <v>4343</v>
      </c>
      <c r="B4344">
        <f>A4344&lt;=MineCount*Days</f>
        <v/>
      </c>
      <c r="C4344">
        <f>IF(B4344,INT((A4344-1)/Days)+1,"")</f>
        <v/>
      </c>
      <c r="D4344">
        <f>IF(B4344,MOD(A4344-1,Days),"")</f>
        <v/>
      </c>
      <c r="E4344" s="16">
        <f>IF(B4344,StartDate+D4344,"")</f>
        <v/>
      </c>
      <c r="F4344">
        <f>IF(B4344,MAX(MOD(SIN(Seed*0.1373+C4344*12.9898+D4344*78.233)*43758.5453,1),1E-9),"")</f>
        <v/>
      </c>
      <c r="G4344">
        <f>IF(B4344,MOD(SIN(Seed*0.5917+C4344*39.3468+D4344*11.135)*24634.6345,1),"")</f>
        <v/>
      </c>
      <c r="H4344">
        <f>IF(B4344,SQRT(-2*LN(F4344))*COS(2*PI()*G4344),"")</f>
        <v/>
      </c>
      <c r="I4344">
        <f>IF(B4344,IF(D4344=0,H4344,Rho*I4343+SQRT(1-Rho^2)*H4344),"")</f>
        <v/>
      </c>
      <c r="J4344">
        <f>IF(B4344,IF(Dist="Normal",DistA+DistB*I4344,DistA+(DistB-DistA)*NORMSDIST(I4344)),"")</f>
        <v/>
      </c>
      <c r="K4344">
        <f>IF(B4344,INDEX(MineScale,C4344),"")</f>
        <v/>
      </c>
      <c r="L4344">
        <f>IF(B4344,INDEX(Dow,1,WEEKDAY(E4344,2)),"")</f>
        <v/>
      </c>
      <c r="M4344">
        <f>IF(B4344,(1+Trend)^D4344,"")</f>
        <v/>
      </c>
      <c r="N4344">
        <f>IF(B4344,EXP(SUMPRODUCT(LN(1+(EvEff-1)*INDEX(Affected,0,C4344)*EXP(-((E4344-EvCenter)^2)/(2*EvSigma^2))))),"")</f>
        <v/>
      </c>
      <c r="O4344">
        <f>IF(B4344,ROUND(MAX(0,J4344*K4344*L4344*M4344*N4344),2),"")</f>
        <v/>
      </c>
    </row>
    <row r="4345">
      <c r="A4345" t="n">
        <v>4344</v>
      </c>
      <c r="B4345">
        <f>A4345&lt;=MineCount*Days</f>
        <v/>
      </c>
      <c r="C4345">
        <f>IF(B4345,INT((A4345-1)/Days)+1,"")</f>
        <v/>
      </c>
      <c r="D4345">
        <f>IF(B4345,MOD(A4345-1,Days),"")</f>
        <v/>
      </c>
      <c r="E4345" s="16">
        <f>IF(B4345,StartDate+D4345,"")</f>
        <v/>
      </c>
      <c r="F4345">
        <f>IF(B4345,MAX(MOD(SIN(Seed*0.1373+C4345*12.9898+D4345*78.233)*43758.5453,1),1E-9),"")</f>
        <v/>
      </c>
      <c r="G4345">
        <f>IF(B4345,MOD(SIN(Seed*0.5917+C4345*39.3468+D4345*11.135)*24634.6345,1),"")</f>
        <v/>
      </c>
      <c r="H4345">
        <f>IF(B4345,SQRT(-2*LN(F4345))*COS(2*PI()*G4345),"")</f>
        <v/>
      </c>
      <c r="I4345">
        <f>IF(B4345,IF(D4345=0,H4345,Rho*I4344+SQRT(1-Rho^2)*H4345),"")</f>
        <v/>
      </c>
      <c r="J4345">
        <f>IF(B4345,IF(Dist="Normal",DistA+DistB*I4345,DistA+(DistB-DistA)*NORMSDIST(I4345)),"")</f>
        <v/>
      </c>
      <c r="K4345">
        <f>IF(B4345,INDEX(MineScale,C4345),"")</f>
        <v/>
      </c>
      <c r="L4345">
        <f>IF(B4345,INDEX(Dow,1,WEEKDAY(E4345,2)),"")</f>
        <v/>
      </c>
      <c r="M4345">
        <f>IF(B4345,(1+Trend)^D4345,"")</f>
        <v/>
      </c>
      <c r="N4345">
        <f>IF(B4345,EXP(SUMPRODUCT(LN(1+(EvEff-1)*INDEX(Affected,0,C4345)*EXP(-((E4345-EvCenter)^2)/(2*EvSigma^2))))),"")</f>
        <v/>
      </c>
      <c r="O4345">
        <f>IF(B4345,ROUND(MAX(0,J4345*K4345*L4345*M4345*N4345),2),"")</f>
        <v/>
      </c>
    </row>
    <row r="4346">
      <c r="A4346" t="n">
        <v>4345</v>
      </c>
      <c r="B4346">
        <f>A4346&lt;=MineCount*Days</f>
        <v/>
      </c>
      <c r="C4346">
        <f>IF(B4346,INT((A4346-1)/Days)+1,"")</f>
        <v/>
      </c>
      <c r="D4346">
        <f>IF(B4346,MOD(A4346-1,Days),"")</f>
        <v/>
      </c>
      <c r="E4346" s="16">
        <f>IF(B4346,StartDate+D4346,"")</f>
        <v/>
      </c>
      <c r="F4346">
        <f>IF(B4346,MAX(MOD(SIN(Seed*0.1373+C4346*12.9898+D4346*78.233)*43758.5453,1),1E-9),"")</f>
        <v/>
      </c>
      <c r="G4346">
        <f>IF(B4346,MOD(SIN(Seed*0.5917+C4346*39.3468+D4346*11.135)*24634.6345,1),"")</f>
        <v/>
      </c>
      <c r="H4346">
        <f>IF(B4346,SQRT(-2*LN(F4346))*COS(2*PI()*G4346),"")</f>
        <v/>
      </c>
      <c r="I4346">
        <f>IF(B4346,IF(D4346=0,H4346,Rho*I4345+SQRT(1-Rho^2)*H4346),"")</f>
        <v/>
      </c>
      <c r="J4346">
        <f>IF(B4346,IF(Dist="Normal",DistA+DistB*I4346,DistA+(DistB-DistA)*NORMSDIST(I4346)),"")</f>
        <v/>
      </c>
      <c r="K4346">
        <f>IF(B4346,INDEX(MineScale,C4346),"")</f>
        <v/>
      </c>
      <c r="L4346">
        <f>IF(B4346,INDEX(Dow,1,WEEKDAY(E4346,2)),"")</f>
        <v/>
      </c>
      <c r="M4346">
        <f>IF(B4346,(1+Trend)^D4346,"")</f>
        <v/>
      </c>
      <c r="N4346">
        <f>IF(B4346,EXP(SUMPRODUCT(LN(1+(EvEff-1)*INDEX(Affected,0,C4346)*EXP(-((E4346-EvCenter)^2)/(2*EvSigma^2))))),"")</f>
        <v/>
      </c>
      <c r="O4346">
        <f>IF(B4346,ROUND(MAX(0,J4346*K4346*L4346*M4346*N4346),2),"")</f>
        <v/>
      </c>
    </row>
    <row r="4347">
      <c r="A4347" t="n">
        <v>4346</v>
      </c>
      <c r="B4347">
        <f>A4347&lt;=MineCount*Days</f>
        <v/>
      </c>
      <c r="C4347">
        <f>IF(B4347,INT((A4347-1)/Days)+1,"")</f>
        <v/>
      </c>
      <c r="D4347">
        <f>IF(B4347,MOD(A4347-1,Days),"")</f>
        <v/>
      </c>
      <c r="E4347" s="16">
        <f>IF(B4347,StartDate+D4347,"")</f>
        <v/>
      </c>
      <c r="F4347">
        <f>IF(B4347,MAX(MOD(SIN(Seed*0.1373+C4347*12.9898+D4347*78.233)*43758.5453,1),1E-9),"")</f>
        <v/>
      </c>
      <c r="G4347">
        <f>IF(B4347,MOD(SIN(Seed*0.5917+C4347*39.3468+D4347*11.135)*24634.6345,1),"")</f>
        <v/>
      </c>
      <c r="H4347">
        <f>IF(B4347,SQRT(-2*LN(F4347))*COS(2*PI()*G4347),"")</f>
        <v/>
      </c>
      <c r="I4347">
        <f>IF(B4347,IF(D4347=0,H4347,Rho*I4346+SQRT(1-Rho^2)*H4347),"")</f>
        <v/>
      </c>
      <c r="J4347">
        <f>IF(B4347,IF(Dist="Normal",DistA+DistB*I4347,DistA+(DistB-DistA)*NORMSDIST(I4347)),"")</f>
        <v/>
      </c>
      <c r="K4347">
        <f>IF(B4347,INDEX(MineScale,C4347),"")</f>
        <v/>
      </c>
      <c r="L4347">
        <f>IF(B4347,INDEX(Dow,1,WEEKDAY(E4347,2)),"")</f>
        <v/>
      </c>
      <c r="M4347">
        <f>IF(B4347,(1+Trend)^D4347,"")</f>
        <v/>
      </c>
      <c r="N4347">
        <f>IF(B4347,EXP(SUMPRODUCT(LN(1+(EvEff-1)*INDEX(Affected,0,C4347)*EXP(-((E4347-EvCenter)^2)/(2*EvSigma^2))))),"")</f>
        <v/>
      </c>
      <c r="O4347">
        <f>IF(B4347,ROUND(MAX(0,J4347*K4347*L4347*M4347*N4347),2),"")</f>
        <v/>
      </c>
    </row>
    <row r="4348">
      <c r="A4348" t="n">
        <v>4347</v>
      </c>
      <c r="B4348">
        <f>A4348&lt;=MineCount*Days</f>
        <v/>
      </c>
      <c r="C4348">
        <f>IF(B4348,INT((A4348-1)/Days)+1,"")</f>
        <v/>
      </c>
      <c r="D4348">
        <f>IF(B4348,MOD(A4348-1,Days),"")</f>
        <v/>
      </c>
      <c r="E4348" s="16">
        <f>IF(B4348,StartDate+D4348,"")</f>
        <v/>
      </c>
      <c r="F4348">
        <f>IF(B4348,MAX(MOD(SIN(Seed*0.1373+C4348*12.9898+D4348*78.233)*43758.5453,1),1E-9),"")</f>
        <v/>
      </c>
      <c r="G4348">
        <f>IF(B4348,MOD(SIN(Seed*0.5917+C4348*39.3468+D4348*11.135)*24634.6345,1),"")</f>
        <v/>
      </c>
      <c r="H4348">
        <f>IF(B4348,SQRT(-2*LN(F4348))*COS(2*PI()*G4348),"")</f>
        <v/>
      </c>
      <c r="I4348">
        <f>IF(B4348,IF(D4348=0,H4348,Rho*I4347+SQRT(1-Rho^2)*H4348),"")</f>
        <v/>
      </c>
      <c r="J4348">
        <f>IF(B4348,IF(Dist="Normal",DistA+DistB*I4348,DistA+(DistB-DistA)*NORMSDIST(I4348)),"")</f>
        <v/>
      </c>
      <c r="K4348">
        <f>IF(B4348,INDEX(MineScale,C4348),"")</f>
        <v/>
      </c>
      <c r="L4348">
        <f>IF(B4348,INDEX(Dow,1,WEEKDAY(E4348,2)),"")</f>
        <v/>
      </c>
      <c r="M4348">
        <f>IF(B4348,(1+Trend)^D4348,"")</f>
        <v/>
      </c>
      <c r="N4348">
        <f>IF(B4348,EXP(SUMPRODUCT(LN(1+(EvEff-1)*INDEX(Affected,0,C4348)*EXP(-((E4348-EvCenter)^2)/(2*EvSigma^2))))),"")</f>
        <v/>
      </c>
      <c r="O4348">
        <f>IF(B4348,ROUND(MAX(0,J4348*K4348*L4348*M4348*N4348),2),"")</f>
        <v/>
      </c>
    </row>
    <row r="4349">
      <c r="A4349" t="n">
        <v>4348</v>
      </c>
      <c r="B4349">
        <f>A4349&lt;=MineCount*Days</f>
        <v/>
      </c>
      <c r="C4349">
        <f>IF(B4349,INT((A4349-1)/Days)+1,"")</f>
        <v/>
      </c>
      <c r="D4349">
        <f>IF(B4349,MOD(A4349-1,Days),"")</f>
        <v/>
      </c>
      <c r="E4349" s="16">
        <f>IF(B4349,StartDate+D4349,"")</f>
        <v/>
      </c>
      <c r="F4349">
        <f>IF(B4349,MAX(MOD(SIN(Seed*0.1373+C4349*12.9898+D4349*78.233)*43758.5453,1),1E-9),"")</f>
        <v/>
      </c>
      <c r="G4349">
        <f>IF(B4349,MOD(SIN(Seed*0.5917+C4349*39.3468+D4349*11.135)*24634.6345,1),"")</f>
        <v/>
      </c>
      <c r="H4349">
        <f>IF(B4349,SQRT(-2*LN(F4349))*COS(2*PI()*G4349),"")</f>
        <v/>
      </c>
      <c r="I4349">
        <f>IF(B4349,IF(D4349=0,H4349,Rho*I4348+SQRT(1-Rho^2)*H4349),"")</f>
        <v/>
      </c>
      <c r="J4349">
        <f>IF(B4349,IF(Dist="Normal",DistA+DistB*I4349,DistA+(DistB-DistA)*NORMSDIST(I4349)),"")</f>
        <v/>
      </c>
      <c r="K4349">
        <f>IF(B4349,INDEX(MineScale,C4349),"")</f>
        <v/>
      </c>
      <c r="L4349">
        <f>IF(B4349,INDEX(Dow,1,WEEKDAY(E4349,2)),"")</f>
        <v/>
      </c>
      <c r="M4349">
        <f>IF(B4349,(1+Trend)^D4349,"")</f>
        <v/>
      </c>
      <c r="N4349">
        <f>IF(B4349,EXP(SUMPRODUCT(LN(1+(EvEff-1)*INDEX(Affected,0,C4349)*EXP(-((E4349-EvCenter)^2)/(2*EvSigma^2))))),"")</f>
        <v/>
      </c>
      <c r="O4349">
        <f>IF(B4349,ROUND(MAX(0,J4349*K4349*L4349*M4349*N4349),2),"")</f>
        <v/>
      </c>
    </row>
    <row r="4350">
      <c r="A4350" t="n">
        <v>4349</v>
      </c>
      <c r="B4350">
        <f>A4350&lt;=MineCount*Days</f>
        <v/>
      </c>
      <c r="C4350">
        <f>IF(B4350,INT((A4350-1)/Days)+1,"")</f>
        <v/>
      </c>
      <c r="D4350">
        <f>IF(B4350,MOD(A4350-1,Days),"")</f>
        <v/>
      </c>
      <c r="E4350" s="16">
        <f>IF(B4350,StartDate+D4350,"")</f>
        <v/>
      </c>
      <c r="F4350">
        <f>IF(B4350,MAX(MOD(SIN(Seed*0.1373+C4350*12.9898+D4350*78.233)*43758.5453,1),1E-9),"")</f>
        <v/>
      </c>
      <c r="G4350">
        <f>IF(B4350,MOD(SIN(Seed*0.5917+C4350*39.3468+D4350*11.135)*24634.6345,1),"")</f>
        <v/>
      </c>
      <c r="H4350">
        <f>IF(B4350,SQRT(-2*LN(F4350))*COS(2*PI()*G4350),"")</f>
        <v/>
      </c>
      <c r="I4350">
        <f>IF(B4350,IF(D4350=0,H4350,Rho*I4349+SQRT(1-Rho^2)*H4350),"")</f>
        <v/>
      </c>
      <c r="J4350">
        <f>IF(B4350,IF(Dist="Normal",DistA+DistB*I4350,DistA+(DistB-DistA)*NORMSDIST(I4350)),"")</f>
        <v/>
      </c>
      <c r="K4350">
        <f>IF(B4350,INDEX(MineScale,C4350),"")</f>
        <v/>
      </c>
      <c r="L4350">
        <f>IF(B4350,INDEX(Dow,1,WEEKDAY(E4350,2)),"")</f>
        <v/>
      </c>
      <c r="M4350">
        <f>IF(B4350,(1+Trend)^D4350,"")</f>
        <v/>
      </c>
      <c r="N4350">
        <f>IF(B4350,EXP(SUMPRODUCT(LN(1+(EvEff-1)*INDEX(Affected,0,C4350)*EXP(-((E4350-EvCenter)^2)/(2*EvSigma^2))))),"")</f>
        <v/>
      </c>
      <c r="O4350">
        <f>IF(B4350,ROUND(MAX(0,J4350*K4350*L4350*M4350*N4350),2),"")</f>
        <v/>
      </c>
    </row>
    <row r="4351">
      <c r="A4351" t="n">
        <v>4350</v>
      </c>
      <c r="B4351">
        <f>A4351&lt;=MineCount*Days</f>
        <v/>
      </c>
      <c r="C4351">
        <f>IF(B4351,INT((A4351-1)/Days)+1,"")</f>
        <v/>
      </c>
      <c r="D4351">
        <f>IF(B4351,MOD(A4351-1,Days),"")</f>
        <v/>
      </c>
      <c r="E4351" s="16">
        <f>IF(B4351,StartDate+D4351,"")</f>
        <v/>
      </c>
      <c r="F4351">
        <f>IF(B4351,MAX(MOD(SIN(Seed*0.1373+C4351*12.9898+D4351*78.233)*43758.5453,1),1E-9),"")</f>
        <v/>
      </c>
      <c r="G4351">
        <f>IF(B4351,MOD(SIN(Seed*0.5917+C4351*39.3468+D4351*11.135)*24634.6345,1),"")</f>
        <v/>
      </c>
      <c r="H4351">
        <f>IF(B4351,SQRT(-2*LN(F4351))*COS(2*PI()*G4351),"")</f>
        <v/>
      </c>
      <c r="I4351">
        <f>IF(B4351,IF(D4351=0,H4351,Rho*I4350+SQRT(1-Rho^2)*H4351),"")</f>
        <v/>
      </c>
      <c r="J4351">
        <f>IF(B4351,IF(Dist="Normal",DistA+DistB*I4351,DistA+(DistB-DistA)*NORMSDIST(I4351)),"")</f>
        <v/>
      </c>
      <c r="K4351">
        <f>IF(B4351,INDEX(MineScale,C4351),"")</f>
        <v/>
      </c>
      <c r="L4351">
        <f>IF(B4351,INDEX(Dow,1,WEEKDAY(E4351,2)),"")</f>
        <v/>
      </c>
      <c r="M4351">
        <f>IF(B4351,(1+Trend)^D4351,"")</f>
        <v/>
      </c>
      <c r="N4351">
        <f>IF(B4351,EXP(SUMPRODUCT(LN(1+(EvEff-1)*INDEX(Affected,0,C4351)*EXP(-((E4351-EvCenter)^2)/(2*EvSigma^2))))),"")</f>
        <v/>
      </c>
      <c r="O4351">
        <f>IF(B4351,ROUND(MAX(0,J4351*K4351*L4351*M4351*N4351),2),"")</f>
        <v/>
      </c>
    </row>
    <row r="4352">
      <c r="A4352" t="n">
        <v>4351</v>
      </c>
      <c r="B4352">
        <f>A4352&lt;=MineCount*Days</f>
        <v/>
      </c>
      <c r="C4352">
        <f>IF(B4352,INT((A4352-1)/Days)+1,"")</f>
        <v/>
      </c>
      <c r="D4352">
        <f>IF(B4352,MOD(A4352-1,Days),"")</f>
        <v/>
      </c>
      <c r="E4352" s="16">
        <f>IF(B4352,StartDate+D4352,"")</f>
        <v/>
      </c>
      <c r="F4352">
        <f>IF(B4352,MAX(MOD(SIN(Seed*0.1373+C4352*12.9898+D4352*78.233)*43758.5453,1),1E-9),"")</f>
        <v/>
      </c>
      <c r="G4352">
        <f>IF(B4352,MOD(SIN(Seed*0.5917+C4352*39.3468+D4352*11.135)*24634.6345,1),"")</f>
        <v/>
      </c>
      <c r="H4352">
        <f>IF(B4352,SQRT(-2*LN(F4352))*COS(2*PI()*G4352),"")</f>
        <v/>
      </c>
      <c r="I4352">
        <f>IF(B4352,IF(D4352=0,H4352,Rho*I4351+SQRT(1-Rho^2)*H4352),"")</f>
        <v/>
      </c>
      <c r="J4352">
        <f>IF(B4352,IF(Dist="Normal",DistA+DistB*I4352,DistA+(DistB-DistA)*NORMSDIST(I4352)),"")</f>
        <v/>
      </c>
      <c r="K4352">
        <f>IF(B4352,INDEX(MineScale,C4352),"")</f>
        <v/>
      </c>
      <c r="L4352">
        <f>IF(B4352,INDEX(Dow,1,WEEKDAY(E4352,2)),"")</f>
        <v/>
      </c>
      <c r="M4352">
        <f>IF(B4352,(1+Trend)^D4352,"")</f>
        <v/>
      </c>
      <c r="N4352">
        <f>IF(B4352,EXP(SUMPRODUCT(LN(1+(EvEff-1)*INDEX(Affected,0,C4352)*EXP(-((E4352-EvCenter)^2)/(2*EvSigma^2))))),"")</f>
        <v/>
      </c>
      <c r="O4352">
        <f>IF(B4352,ROUND(MAX(0,J4352*K4352*L4352*M4352*N4352),2),"")</f>
        <v/>
      </c>
    </row>
    <row r="4353">
      <c r="A4353" t="n">
        <v>4352</v>
      </c>
      <c r="B4353">
        <f>A4353&lt;=MineCount*Days</f>
        <v/>
      </c>
      <c r="C4353">
        <f>IF(B4353,INT((A4353-1)/Days)+1,"")</f>
        <v/>
      </c>
      <c r="D4353">
        <f>IF(B4353,MOD(A4353-1,Days),"")</f>
        <v/>
      </c>
      <c r="E4353" s="16">
        <f>IF(B4353,StartDate+D4353,"")</f>
        <v/>
      </c>
      <c r="F4353">
        <f>IF(B4353,MAX(MOD(SIN(Seed*0.1373+C4353*12.9898+D4353*78.233)*43758.5453,1),1E-9),"")</f>
        <v/>
      </c>
      <c r="G4353">
        <f>IF(B4353,MOD(SIN(Seed*0.5917+C4353*39.3468+D4353*11.135)*24634.6345,1),"")</f>
        <v/>
      </c>
      <c r="H4353">
        <f>IF(B4353,SQRT(-2*LN(F4353))*COS(2*PI()*G4353),"")</f>
        <v/>
      </c>
      <c r="I4353">
        <f>IF(B4353,IF(D4353=0,H4353,Rho*I4352+SQRT(1-Rho^2)*H4353),"")</f>
        <v/>
      </c>
      <c r="J4353">
        <f>IF(B4353,IF(Dist="Normal",DistA+DistB*I4353,DistA+(DistB-DistA)*NORMSDIST(I4353)),"")</f>
        <v/>
      </c>
      <c r="K4353">
        <f>IF(B4353,INDEX(MineScale,C4353),"")</f>
        <v/>
      </c>
      <c r="L4353">
        <f>IF(B4353,INDEX(Dow,1,WEEKDAY(E4353,2)),"")</f>
        <v/>
      </c>
      <c r="M4353">
        <f>IF(B4353,(1+Trend)^D4353,"")</f>
        <v/>
      </c>
      <c r="N4353">
        <f>IF(B4353,EXP(SUMPRODUCT(LN(1+(EvEff-1)*INDEX(Affected,0,C4353)*EXP(-((E4353-EvCenter)^2)/(2*EvSigma^2))))),"")</f>
        <v/>
      </c>
      <c r="O4353">
        <f>IF(B4353,ROUND(MAX(0,J4353*K4353*L4353*M4353*N4353),2),"")</f>
        <v/>
      </c>
    </row>
    <row r="4354">
      <c r="A4354" t="n">
        <v>4353</v>
      </c>
      <c r="B4354">
        <f>A4354&lt;=MineCount*Days</f>
        <v/>
      </c>
      <c r="C4354">
        <f>IF(B4354,INT((A4354-1)/Days)+1,"")</f>
        <v/>
      </c>
      <c r="D4354">
        <f>IF(B4354,MOD(A4354-1,Days),"")</f>
        <v/>
      </c>
      <c r="E4354" s="16">
        <f>IF(B4354,StartDate+D4354,"")</f>
        <v/>
      </c>
      <c r="F4354">
        <f>IF(B4354,MAX(MOD(SIN(Seed*0.1373+C4354*12.9898+D4354*78.233)*43758.5453,1),1E-9),"")</f>
        <v/>
      </c>
      <c r="G4354">
        <f>IF(B4354,MOD(SIN(Seed*0.5917+C4354*39.3468+D4354*11.135)*24634.6345,1),"")</f>
        <v/>
      </c>
      <c r="H4354">
        <f>IF(B4354,SQRT(-2*LN(F4354))*COS(2*PI()*G4354),"")</f>
        <v/>
      </c>
      <c r="I4354">
        <f>IF(B4354,IF(D4354=0,H4354,Rho*I4353+SQRT(1-Rho^2)*H4354),"")</f>
        <v/>
      </c>
      <c r="J4354">
        <f>IF(B4354,IF(Dist="Normal",DistA+DistB*I4354,DistA+(DistB-DistA)*NORMSDIST(I4354)),"")</f>
        <v/>
      </c>
      <c r="K4354">
        <f>IF(B4354,INDEX(MineScale,C4354),"")</f>
        <v/>
      </c>
      <c r="L4354">
        <f>IF(B4354,INDEX(Dow,1,WEEKDAY(E4354,2)),"")</f>
        <v/>
      </c>
      <c r="M4354">
        <f>IF(B4354,(1+Trend)^D4354,"")</f>
        <v/>
      </c>
      <c r="N4354">
        <f>IF(B4354,EXP(SUMPRODUCT(LN(1+(EvEff-1)*INDEX(Affected,0,C4354)*EXP(-((E4354-EvCenter)^2)/(2*EvSigma^2))))),"")</f>
        <v/>
      </c>
      <c r="O4354">
        <f>IF(B4354,ROUND(MAX(0,J4354*K4354*L4354*M4354*N4354),2),"")</f>
        <v/>
      </c>
    </row>
    <row r="4355">
      <c r="A4355" t="n">
        <v>4354</v>
      </c>
      <c r="B4355">
        <f>A4355&lt;=MineCount*Days</f>
        <v/>
      </c>
      <c r="C4355">
        <f>IF(B4355,INT((A4355-1)/Days)+1,"")</f>
        <v/>
      </c>
      <c r="D4355">
        <f>IF(B4355,MOD(A4355-1,Days),"")</f>
        <v/>
      </c>
      <c r="E4355" s="16">
        <f>IF(B4355,StartDate+D4355,"")</f>
        <v/>
      </c>
      <c r="F4355">
        <f>IF(B4355,MAX(MOD(SIN(Seed*0.1373+C4355*12.9898+D4355*78.233)*43758.5453,1),1E-9),"")</f>
        <v/>
      </c>
      <c r="G4355">
        <f>IF(B4355,MOD(SIN(Seed*0.5917+C4355*39.3468+D4355*11.135)*24634.6345,1),"")</f>
        <v/>
      </c>
      <c r="H4355">
        <f>IF(B4355,SQRT(-2*LN(F4355))*COS(2*PI()*G4355),"")</f>
        <v/>
      </c>
      <c r="I4355">
        <f>IF(B4355,IF(D4355=0,H4355,Rho*I4354+SQRT(1-Rho^2)*H4355),"")</f>
        <v/>
      </c>
      <c r="J4355">
        <f>IF(B4355,IF(Dist="Normal",DistA+DistB*I4355,DistA+(DistB-DistA)*NORMSDIST(I4355)),"")</f>
        <v/>
      </c>
      <c r="K4355">
        <f>IF(B4355,INDEX(MineScale,C4355),"")</f>
        <v/>
      </c>
      <c r="L4355">
        <f>IF(B4355,INDEX(Dow,1,WEEKDAY(E4355,2)),"")</f>
        <v/>
      </c>
      <c r="M4355">
        <f>IF(B4355,(1+Trend)^D4355,"")</f>
        <v/>
      </c>
      <c r="N4355">
        <f>IF(B4355,EXP(SUMPRODUCT(LN(1+(EvEff-1)*INDEX(Affected,0,C4355)*EXP(-((E4355-EvCenter)^2)/(2*EvSigma^2))))),"")</f>
        <v/>
      </c>
      <c r="O4355">
        <f>IF(B4355,ROUND(MAX(0,J4355*K4355*L4355*M4355*N4355),2),"")</f>
        <v/>
      </c>
    </row>
    <row r="4356">
      <c r="A4356" t="n">
        <v>4355</v>
      </c>
      <c r="B4356">
        <f>A4356&lt;=MineCount*Days</f>
        <v/>
      </c>
      <c r="C4356">
        <f>IF(B4356,INT((A4356-1)/Days)+1,"")</f>
        <v/>
      </c>
      <c r="D4356">
        <f>IF(B4356,MOD(A4356-1,Days),"")</f>
        <v/>
      </c>
      <c r="E4356" s="16">
        <f>IF(B4356,StartDate+D4356,"")</f>
        <v/>
      </c>
      <c r="F4356">
        <f>IF(B4356,MAX(MOD(SIN(Seed*0.1373+C4356*12.9898+D4356*78.233)*43758.5453,1),1E-9),"")</f>
        <v/>
      </c>
      <c r="G4356">
        <f>IF(B4356,MOD(SIN(Seed*0.5917+C4356*39.3468+D4356*11.135)*24634.6345,1),"")</f>
        <v/>
      </c>
      <c r="H4356">
        <f>IF(B4356,SQRT(-2*LN(F4356))*COS(2*PI()*G4356),"")</f>
        <v/>
      </c>
      <c r="I4356">
        <f>IF(B4356,IF(D4356=0,H4356,Rho*I4355+SQRT(1-Rho^2)*H4356),"")</f>
        <v/>
      </c>
      <c r="J4356">
        <f>IF(B4356,IF(Dist="Normal",DistA+DistB*I4356,DistA+(DistB-DistA)*NORMSDIST(I4356)),"")</f>
        <v/>
      </c>
      <c r="K4356">
        <f>IF(B4356,INDEX(MineScale,C4356),"")</f>
        <v/>
      </c>
      <c r="L4356">
        <f>IF(B4356,INDEX(Dow,1,WEEKDAY(E4356,2)),"")</f>
        <v/>
      </c>
      <c r="M4356">
        <f>IF(B4356,(1+Trend)^D4356,"")</f>
        <v/>
      </c>
      <c r="N4356">
        <f>IF(B4356,EXP(SUMPRODUCT(LN(1+(EvEff-1)*INDEX(Affected,0,C4356)*EXP(-((E4356-EvCenter)^2)/(2*EvSigma^2))))),"")</f>
        <v/>
      </c>
      <c r="O4356">
        <f>IF(B4356,ROUND(MAX(0,J4356*K4356*L4356*M4356*N4356),2),"")</f>
        <v/>
      </c>
    </row>
    <row r="4357">
      <c r="A4357" t="n">
        <v>4356</v>
      </c>
      <c r="B4357">
        <f>A4357&lt;=MineCount*Days</f>
        <v/>
      </c>
      <c r="C4357">
        <f>IF(B4357,INT((A4357-1)/Days)+1,"")</f>
        <v/>
      </c>
      <c r="D4357">
        <f>IF(B4357,MOD(A4357-1,Days),"")</f>
        <v/>
      </c>
      <c r="E4357" s="16">
        <f>IF(B4357,StartDate+D4357,"")</f>
        <v/>
      </c>
      <c r="F4357">
        <f>IF(B4357,MAX(MOD(SIN(Seed*0.1373+C4357*12.9898+D4357*78.233)*43758.5453,1),1E-9),"")</f>
        <v/>
      </c>
      <c r="G4357">
        <f>IF(B4357,MOD(SIN(Seed*0.5917+C4357*39.3468+D4357*11.135)*24634.6345,1),"")</f>
        <v/>
      </c>
      <c r="H4357">
        <f>IF(B4357,SQRT(-2*LN(F4357))*COS(2*PI()*G4357),"")</f>
        <v/>
      </c>
      <c r="I4357">
        <f>IF(B4357,IF(D4357=0,H4357,Rho*I4356+SQRT(1-Rho^2)*H4357),"")</f>
        <v/>
      </c>
      <c r="J4357">
        <f>IF(B4357,IF(Dist="Normal",DistA+DistB*I4357,DistA+(DistB-DistA)*NORMSDIST(I4357)),"")</f>
        <v/>
      </c>
      <c r="K4357">
        <f>IF(B4357,INDEX(MineScale,C4357),"")</f>
        <v/>
      </c>
      <c r="L4357">
        <f>IF(B4357,INDEX(Dow,1,WEEKDAY(E4357,2)),"")</f>
        <v/>
      </c>
      <c r="M4357">
        <f>IF(B4357,(1+Trend)^D4357,"")</f>
        <v/>
      </c>
      <c r="N4357">
        <f>IF(B4357,EXP(SUMPRODUCT(LN(1+(EvEff-1)*INDEX(Affected,0,C4357)*EXP(-((E4357-EvCenter)^2)/(2*EvSigma^2))))),"")</f>
        <v/>
      </c>
      <c r="O4357">
        <f>IF(B4357,ROUND(MAX(0,J4357*K4357*L4357*M4357*N4357),2),"")</f>
        <v/>
      </c>
    </row>
    <row r="4358">
      <c r="A4358" t="n">
        <v>4357</v>
      </c>
      <c r="B4358">
        <f>A4358&lt;=MineCount*Days</f>
        <v/>
      </c>
      <c r="C4358">
        <f>IF(B4358,INT((A4358-1)/Days)+1,"")</f>
        <v/>
      </c>
      <c r="D4358">
        <f>IF(B4358,MOD(A4358-1,Days),"")</f>
        <v/>
      </c>
      <c r="E4358" s="16">
        <f>IF(B4358,StartDate+D4358,"")</f>
        <v/>
      </c>
      <c r="F4358">
        <f>IF(B4358,MAX(MOD(SIN(Seed*0.1373+C4358*12.9898+D4358*78.233)*43758.5453,1),1E-9),"")</f>
        <v/>
      </c>
      <c r="G4358">
        <f>IF(B4358,MOD(SIN(Seed*0.5917+C4358*39.3468+D4358*11.135)*24634.6345,1),"")</f>
        <v/>
      </c>
      <c r="H4358">
        <f>IF(B4358,SQRT(-2*LN(F4358))*COS(2*PI()*G4358),"")</f>
        <v/>
      </c>
      <c r="I4358">
        <f>IF(B4358,IF(D4358=0,H4358,Rho*I4357+SQRT(1-Rho^2)*H4358),"")</f>
        <v/>
      </c>
      <c r="J4358">
        <f>IF(B4358,IF(Dist="Normal",DistA+DistB*I4358,DistA+(DistB-DistA)*NORMSDIST(I4358)),"")</f>
        <v/>
      </c>
      <c r="K4358">
        <f>IF(B4358,INDEX(MineScale,C4358),"")</f>
        <v/>
      </c>
      <c r="L4358">
        <f>IF(B4358,INDEX(Dow,1,WEEKDAY(E4358,2)),"")</f>
        <v/>
      </c>
      <c r="M4358">
        <f>IF(B4358,(1+Trend)^D4358,"")</f>
        <v/>
      </c>
      <c r="N4358">
        <f>IF(B4358,EXP(SUMPRODUCT(LN(1+(EvEff-1)*INDEX(Affected,0,C4358)*EXP(-((E4358-EvCenter)^2)/(2*EvSigma^2))))),"")</f>
        <v/>
      </c>
      <c r="O4358">
        <f>IF(B4358,ROUND(MAX(0,J4358*K4358*L4358*M4358*N4358),2),"")</f>
        <v/>
      </c>
    </row>
    <row r="4359">
      <c r="A4359" t="n">
        <v>4358</v>
      </c>
      <c r="B4359">
        <f>A4359&lt;=MineCount*Days</f>
        <v/>
      </c>
      <c r="C4359">
        <f>IF(B4359,INT((A4359-1)/Days)+1,"")</f>
        <v/>
      </c>
      <c r="D4359">
        <f>IF(B4359,MOD(A4359-1,Days),"")</f>
        <v/>
      </c>
      <c r="E4359" s="16">
        <f>IF(B4359,StartDate+D4359,"")</f>
        <v/>
      </c>
      <c r="F4359">
        <f>IF(B4359,MAX(MOD(SIN(Seed*0.1373+C4359*12.9898+D4359*78.233)*43758.5453,1),1E-9),"")</f>
        <v/>
      </c>
      <c r="G4359">
        <f>IF(B4359,MOD(SIN(Seed*0.5917+C4359*39.3468+D4359*11.135)*24634.6345,1),"")</f>
        <v/>
      </c>
      <c r="H4359">
        <f>IF(B4359,SQRT(-2*LN(F4359))*COS(2*PI()*G4359),"")</f>
        <v/>
      </c>
      <c r="I4359">
        <f>IF(B4359,IF(D4359=0,H4359,Rho*I4358+SQRT(1-Rho^2)*H4359),"")</f>
        <v/>
      </c>
      <c r="J4359">
        <f>IF(B4359,IF(Dist="Normal",DistA+DistB*I4359,DistA+(DistB-DistA)*NORMSDIST(I4359)),"")</f>
        <v/>
      </c>
      <c r="K4359">
        <f>IF(B4359,INDEX(MineScale,C4359),"")</f>
        <v/>
      </c>
      <c r="L4359">
        <f>IF(B4359,INDEX(Dow,1,WEEKDAY(E4359,2)),"")</f>
        <v/>
      </c>
      <c r="M4359">
        <f>IF(B4359,(1+Trend)^D4359,"")</f>
        <v/>
      </c>
      <c r="N4359">
        <f>IF(B4359,EXP(SUMPRODUCT(LN(1+(EvEff-1)*INDEX(Affected,0,C4359)*EXP(-((E4359-EvCenter)^2)/(2*EvSigma^2))))),"")</f>
        <v/>
      </c>
      <c r="O4359">
        <f>IF(B4359,ROUND(MAX(0,J4359*K4359*L4359*M4359*N4359),2),"")</f>
        <v/>
      </c>
    </row>
    <row r="4360">
      <c r="A4360" t="n">
        <v>4359</v>
      </c>
      <c r="B4360">
        <f>A4360&lt;=MineCount*Days</f>
        <v/>
      </c>
      <c r="C4360">
        <f>IF(B4360,INT((A4360-1)/Days)+1,"")</f>
        <v/>
      </c>
      <c r="D4360">
        <f>IF(B4360,MOD(A4360-1,Days),"")</f>
        <v/>
      </c>
      <c r="E4360" s="16">
        <f>IF(B4360,StartDate+D4360,"")</f>
        <v/>
      </c>
      <c r="F4360">
        <f>IF(B4360,MAX(MOD(SIN(Seed*0.1373+C4360*12.9898+D4360*78.233)*43758.5453,1),1E-9),"")</f>
        <v/>
      </c>
      <c r="G4360">
        <f>IF(B4360,MOD(SIN(Seed*0.5917+C4360*39.3468+D4360*11.135)*24634.6345,1),"")</f>
        <v/>
      </c>
      <c r="H4360">
        <f>IF(B4360,SQRT(-2*LN(F4360))*COS(2*PI()*G4360),"")</f>
        <v/>
      </c>
      <c r="I4360">
        <f>IF(B4360,IF(D4360=0,H4360,Rho*I4359+SQRT(1-Rho^2)*H4360),"")</f>
        <v/>
      </c>
      <c r="J4360">
        <f>IF(B4360,IF(Dist="Normal",DistA+DistB*I4360,DistA+(DistB-DistA)*NORMSDIST(I4360)),"")</f>
        <v/>
      </c>
      <c r="K4360">
        <f>IF(B4360,INDEX(MineScale,C4360),"")</f>
        <v/>
      </c>
      <c r="L4360">
        <f>IF(B4360,INDEX(Dow,1,WEEKDAY(E4360,2)),"")</f>
        <v/>
      </c>
      <c r="M4360">
        <f>IF(B4360,(1+Trend)^D4360,"")</f>
        <v/>
      </c>
      <c r="N4360">
        <f>IF(B4360,EXP(SUMPRODUCT(LN(1+(EvEff-1)*INDEX(Affected,0,C4360)*EXP(-((E4360-EvCenter)^2)/(2*EvSigma^2))))),"")</f>
        <v/>
      </c>
      <c r="O4360">
        <f>IF(B4360,ROUND(MAX(0,J4360*K4360*L4360*M4360*N4360),2),"")</f>
        <v/>
      </c>
    </row>
    <row r="4361">
      <c r="A4361" t="n">
        <v>4360</v>
      </c>
      <c r="B4361">
        <f>A4361&lt;=MineCount*Days</f>
        <v/>
      </c>
      <c r="C4361">
        <f>IF(B4361,INT((A4361-1)/Days)+1,"")</f>
        <v/>
      </c>
      <c r="D4361">
        <f>IF(B4361,MOD(A4361-1,Days),"")</f>
        <v/>
      </c>
      <c r="E4361" s="16">
        <f>IF(B4361,StartDate+D4361,"")</f>
        <v/>
      </c>
      <c r="F4361">
        <f>IF(B4361,MAX(MOD(SIN(Seed*0.1373+C4361*12.9898+D4361*78.233)*43758.5453,1),1E-9),"")</f>
        <v/>
      </c>
      <c r="G4361">
        <f>IF(B4361,MOD(SIN(Seed*0.5917+C4361*39.3468+D4361*11.135)*24634.6345,1),"")</f>
        <v/>
      </c>
      <c r="H4361">
        <f>IF(B4361,SQRT(-2*LN(F4361))*COS(2*PI()*G4361),"")</f>
        <v/>
      </c>
      <c r="I4361">
        <f>IF(B4361,IF(D4361=0,H4361,Rho*I4360+SQRT(1-Rho^2)*H4361),"")</f>
        <v/>
      </c>
      <c r="J4361">
        <f>IF(B4361,IF(Dist="Normal",DistA+DistB*I4361,DistA+(DistB-DistA)*NORMSDIST(I4361)),"")</f>
        <v/>
      </c>
      <c r="K4361">
        <f>IF(B4361,INDEX(MineScale,C4361),"")</f>
        <v/>
      </c>
      <c r="L4361">
        <f>IF(B4361,INDEX(Dow,1,WEEKDAY(E4361,2)),"")</f>
        <v/>
      </c>
      <c r="M4361">
        <f>IF(B4361,(1+Trend)^D4361,"")</f>
        <v/>
      </c>
      <c r="N4361">
        <f>IF(B4361,EXP(SUMPRODUCT(LN(1+(EvEff-1)*INDEX(Affected,0,C4361)*EXP(-((E4361-EvCenter)^2)/(2*EvSigma^2))))),"")</f>
        <v/>
      </c>
      <c r="O4361">
        <f>IF(B4361,ROUND(MAX(0,J4361*K4361*L4361*M4361*N4361),2),"")</f>
        <v/>
      </c>
    </row>
    <row r="4362">
      <c r="A4362" t="n">
        <v>4361</v>
      </c>
      <c r="B4362">
        <f>A4362&lt;=MineCount*Days</f>
        <v/>
      </c>
      <c r="C4362">
        <f>IF(B4362,INT((A4362-1)/Days)+1,"")</f>
        <v/>
      </c>
      <c r="D4362">
        <f>IF(B4362,MOD(A4362-1,Days),"")</f>
        <v/>
      </c>
      <c r="E4362" s="16">
        <f>IF(B4362,StartDate+D4362,"")</f>
        <v/>
      </c>
      <c r="F4362">
        <f>IF(B4362,MAX(MOD(SIN(Seed*0.1373+C4362*12.9898+D4362*78.233)*43758.5453,1),1E-9),"")</f>
        <v/>
      </c>
      <c r="G4362">
        <f>IF(B4362,MOD(SIN(Seed*0.5917+C4362*39.3468+D4362*11.135)*24634.6345,1),"")</f>
        <v/>
      </c>
      <c r="H4362">
        <f>IF(B4362,SQRT(-2*LN(F4362))*COS(2*PI()*G4362),"")</f>
        <v/>
      </c>
      <c r="I4362">
        <f>IF(B4362,IF(D4362=0,H4362,Rho*I4361+SQRT(1-Rho^2)*H4362),"")</f>
        <v/>
      </c>
      <c r="J4362">
        <f>IF(B4362,IF(Dist="Normal",DistA+DistB*I4362,DistA+(DistB-DistA)*NORMSDIST(I4362)),"")</f>
        <v/>
      </c>
      <c r="K4362">
        <f>IF(B4362,INDEX(MineScale,C4362),"")</f>
        <v/>
      </c>
      <c r="L4362">
        <f>IF(B4362,INDEX(Dow,1,WEEKDAY(E4362,2)),"")</f>
        <v/>
      </c>
      <c r="M4362">
        <f>IF(B4362,(1+Trend)^D4362,"")</f>
        <v/>
      </c>
      <c r="N4362">
        <f>IF(B4362,EXP(SUMPRODUCT(LN(1+(EvEff-1)*INDEX(Affected,0,C4362)*EXP(-((E4362-EvCenter)^2)/(2*EvSigma^2))))),"")</f>
        <v/>
      </c>
      <c r="O4362">
        <f>IF(B4362,ROUND(MAX(0,J4362*K4362*L4362*M4362*N4362),2),"")</f>
        <v/>
      </c>
    </row>
    <row r="4363">
      <c r="A4363" t="n">
        <v>4362</v>
      </c>
      <c r="B4363">
        <f>A4363&lt;=MineCount*Days</f>
        <v/>
      </c>
      <c r="C4363">
        <f>IF(B4363,INT((A4363-1)/Days)+1,"")</f>
        <v/>
      </c>
      <c r="D4363">
        <f>IF(B4363,MOD(A4363-1,Days),"")</f>
        <v/>
      </c>
      <c r="E4363" s="16">
        <f>IF(B4363,StartDate+D4363,"")</f>
        <v/>
      </c>
      <c r="F4363">
        <f>IF(B4363,MAX(MOD(SIN(Seed*0.1373+C4363*12.9898+D4363*78.233)*43758.5453,1),1E-9),"")</f>
        <v/>
      </c>
      <c r="G4363">
        <f>IF(B4363,MOD(SIN(Seed*0.5917+C4363*39.3468+D4363*11.135)*24634.6345,1),"")</f>
        <v/>
      </c>
      <c r="H4363">
        <f>IF(B4363,SQRT(-2*LN(F4363))*COS(2*PI()*G4363),"")</f>
        <v/>
      </c>
      <c r="I4363">
        <f>IF(B4363,IF(D4363=0,H4363,Rho*I4362+SQRT(1-Rho^2)*H4363),"")</f>
        <v/>
      </c>
      <c r="J4363">
        <f>IF(B4363,IF(Dist="Normal",DistA+DistB*I4363,DistA+(DistB-DistA)*NORMSDIST(I4363)),"")</f>
        <v/>
      </c>
      <c r="K4363">
        <f>IF(B4363,INDEX(MineScale,C4363),"")</f>
        <v/>
      </c>
      <c r="L4363">
        <f>IF(B4363,INDEX(Dow,1,WEEKDAY(E4363,2)),"")</f>
        <v/>
      </c>
      <c r="M4363">
        <f>IF(B4363,(1+Trend)^D4363,"")</f>
        <v/>
      </c>
      <c r="N4363">
        <f>IF(B4363,EXP(SUMPRODUCT(LN(1+(EvEff-1)*INDEX(Affected,0,C4363)*EXP(-((E4363-EvCenter)^2)/(2*EvSigma^2))))),"")</f>
        <v/>
      </c>
      <c r="O4363">
        <f>IF(B4363,ROUND(MAX(0,J4363*K4363*L4363*M4363*N4363),2),"")</f>
        <v/>
      </c>
    </row>
    <row r="4364">
      <c r="A4364" t="n">
        <v>4363</v>
      </c>
      <c r="B4364">
        <f>A4364&lt;=MineCount*Days</f>
        <v/>
      </c>
      <c r="C4364">
        <f>IF(B4364,INT((A4364-1)/Days)+1,"")</f>
        <v/>
      </c>
      <c r="D4364">
        <f>IF(B4364,MOD(A4364-1,Days),"")</f>
        <v/>
      </c>
      <c r="E4364" s="16">
        <f>IF(B4364,StartDate+D4364,"")</f>
        <v/>
      </c>
      <c r="F4364">
        <f>IF(B4364,MAX(MOD(SIN(Seed*0.1373+C4364*12.9898+D4364*78.233)*43758.5453,1),1E-9),"")</f>
        <v/>
      </c>
      <c r="G4364">
        <f>IF(B4364,MOD(SIN(Seed*0.5917+C4364*39.3468+D4364*11.135)*24634.6345,1),"")</f>
        <v/>
      </c>
      <c r="H4364">
        <f>IF(B4364,SQRT(-2*LN(F4364))*COS(2*PI()*G4364),"")</f>
        <v/>
      </c>
      <c r="I4364">
        <f>IF(B4364,IF(D4364=0,H4364,Rho*I4363+SQRT(1-Rho^2)*H4364),"")</f>
        <v/>
      </c>
      <c r="J4364">
        <f>IF(B4364,IF(Dist="Normal",DistA+DistB*I4364,DistA+(DistB-DistA)*NORMSDIST(I4364)),"")</f>
        <v/>
      </c>
      <c r="K4364">
        <f>IF(B4364,INDEX(MineScale,C4364),"")</f>
        <v/>
      </c>
      <c r="L4364">
        <f>IF(B4364,INDEX(Dow,1,WEEKDAY(E4364,2)),"")</f>
        <v/>
      </c>
      <c r="M4364">
        <f>IF(B4364,(1+Trend)^D4364,"")</f>
        <v/>
      </c>
      <c r="N4364">
        <f>IF(B4364,EXP(SUMPRODUCT(LN(1+(EvEff-1)*INDEX(Affected,0,C4364)*EXP(-((E4364-EvCenter)^2)/(2*EvSigma^2))))),"")</f>
        <v/>
      </c>
      <c r="O4364">
        <f>IF(B4364,ROUND(MAX(0,J4364*K4364*L4364*M4364*N4364),2),"")</f>
        <v/>
      </c>
    </row>
    <row r="4365">
      <c r="A4365" t="n">
        <v>4364</v>
      </c>
      <c r="B4365">
        <f>A4365&lt;=MineCount*Days</f>
        <v/>
      </c>
      <c r="C4365">
        <f>IF(B4365,INT((A4365-1)/Days)+1,"")</f>
        <v/>
      </c>
      <c r="D4365">
        <f>IF(B4365,MOD(A4365-1,Days),"")</f>
        <v/>
      </c>
      <c r="E4365" s="16">
        <f>IF(B4365,StartDate+D4365,"")</f>
        <v/>
      </c>
      <c r="F4365">
        <f>IF(B4365,MAX(MOD(SIN(Seed*0.1373+C4365*12.9898+D4365*78.233)*43758.5453,1),1E-9),"")</f>
        <v/>
      </c>
      <c r="G4365">
        <f>IF(B4365,MOD(SIN(Seed*0.5917+C4365*39.3468+D4365*11.135)*24634.6345,1),"")</f>
        <v/>
      </c>
      <c r="H4365">
        <f>IF(B4365,SQRT(-2*LN(F4365))*COS(2*PI()*G4365),"")</f>
        <v/>
      </c>
      <c r="I4365">
        <f>IF(B4365,IF(D4365=0,H4365,Rho*I4364+SQRT(1-Rho^2)*H4365),"")</f>
        <v/>
      </c>
      <c r="J4365">
        <f>IF(B4365,IF(Dist="Normal",DistA+DistB*I4365,DistA+(DistB-DistA)*NORMSDIST(I4365)),"")</f>
        <v/>
      </c>
      <c r="K4365">
        <f>IF(B4365,INDEX(MineScale,C4365),"")</f>
        <v/>
      </c>
      <c r="L4365">
        <f>IF(B4365,INDEX(Dow,1,WEEKDAY(E4365,2)),"")</f>
        <v/>
      </c>
      <c r="M4365">
        <f>IF(B4365,(1+Trend)^D4365,"")</f>
        <v/>
      </c>
      <c r="N4365">
        <f>IF(B4365,EXP(SUMPRODUCT(LN(1+(EvEff-1)*INDEX(Affected,0,C4365)*EXP(-((E4365-EvCenter)^2)/(2*EvSigma^2))))),"")</f>
        <v/>
      </c>
      <c r="O4365">
        <f>IF(B4365,ROUND(MAX(0,J4365*K4365*L4365*M4365*N4365),2),"")</f>
        <v/>
      </c>
    </row>
    <row r="4366">
      <c r="A4366" t="n">
        <v>4365</v>
      </c>
      <c r="B4366">
        <f>A4366&lt;=MineCount*Days</f>
        <v/>
      </c>
      <c r="C4366">
        <f>IF(B4366,INT((A4366-1)/Days)+1,"")</f>
        <v/>
      </c>
      <c r="D4366">
        <f>IF(B4366,MOD(A4366-1,Days),"")</f>
        <v/>
      </c>
      <c r="E4366" s="16">
        <f>IF(B4366,StartDate+D4366,"")</f>
        <v/>
      </c>
      <c r="F4366">
        <f>IF(B4366,MAX(MOD(SIN(Seed*0.1373+C4366*12.9898+D4366*78.233)*43758.5453,1),1E-9),"")</f>
        <v/>
      </c>
      <c r="G4366">
        <f>IF(B4366,MOD(SIN(Seed*0.5917+C4366*39.3468+D4366*11.135)*24634.6345,1),"")</f>
        <v/>
      </c>
      <c r="H4366">
        <f>IF(B4366,SQRT(-2*LN(F4366))*COS(2*PI()*G4366),"")</f>
        <v/>
      </c>
      <c r="I4366">
        <f>IF(B4366,IF(D4366=0,H4366,Rho*I4365+SQRT(1-Rho^2)*H4366),"")</f>
        <v/>
      </c>
      <c r="J4366">
        <f>IF(B4366,IF(Dist="Normal",DistA+DistB*I4366,DistA+(DistB-DistA)*NORMSDIST(I4366)),"")</f>
        <v/>
      </c>
      <c r="K4366">
        <f>IF(B4366,INDEX(MineScale,C4366),"")</f>
        <v/>
      </c>
      <c r="L4366">
        <f>IF(B4366,INDEX(Dow,1,WEEKDAY(E4366,2)),"")</f>
        <v/>
      </c>
      <c r="M4366">
        <f>IF(B4366,(1+Trend)^D4366,"")</f>
        <v/>
      </c>
      <c r="N4366">
        <f>IF(B4366,EXP(SUMPRODUCT(LN(1+(EvEff-1)*INDEX(Affected,0,C4366)*EXP(-((E4366-EvCenter)^2)/(2*EvSigma^2))))),"")</f>
        <v/>
      </c>
      <c r="O4366">
        <f>IF(B4366,ROUND(MAX(0,J4366*K4366*L4366*M4366*N4366),2),"")</f>
        <v/>
      </c>
    </row>
    <row r="4367">
      <c r="A4367" t="n">
        <v>4366</v>
      </c>
      <c r="B4367">
        <f>A4367&lt;=MineCount*Days</f>
        <v/>
      </c>
      <c r="C4367">
        <f>IF(B4367,INT((A4367-1)/Days)+1,"")</f>
        <v/>
      </c>
      <c r="D4367">
        <f>IF(B4367,MOD(A4367-1,Days),"")</f>
        <v/>
      </c>
      <c r="E4367" s="16">
        <f>IF(B4367,StartDate+D4367,"")</f>
        <v/>
      </c>
      <c r="F4367">
        <f>IF(B4367,MAX(MOD(SIN(Seed*0.1373+C4367*12.9898+D4367*78.233)*43758.5453,1),1E-9),"")</f>
        <v/>
      </c>
      <c r="G4367">
        <f>IF(B4367,MOD(SIN(Seed*0.5917+C4367*39.3468+D4367*11.135)*24634.6345,1),"")</f>
        <v/>
      </c>
      <c r="H4367">
        <f>IF(B4367,SQRT(-2*LN(F4367))*COS(2*PI()*G4367),"")</f>
        <v/>
      </c>
      <c r="I4367">
        <f>IF(B4367,IF(D4367=0,H4367,Rho*I4366+SQRT(1-Rho^2)*H4367),"")</f>
        <v/>
      </c>
      <c r="J4367">
        <f>IF(B4367,IF(Dist="Normal",DistA+DistB*I4367,DistA+(DistB-DistA)*NORMSDIST(I4367)),"")</f>
        <v/>
      </c>
      <c r="K4367">
        <f>IF(B4367,INDEX(MineScale,C4367),"")</f>
        <v/>
      </c>
      <c r="L4367">
        <f>IF(B4367,INDEX(Dow,1,WEEKDAY(E4367,2)),"")</f>
        <v/>
      </c>
      <c r="M4367">
        <f>IF(B4367,(1+Trend)^D4367,"")</f>
        <v/>
      </c>
      <c r="N4367">
        <f>IF(B4367,EXP(SUMPRODUCT(LN(1+(EvEff-1)*INDEX(Affected,0,C4367)*EXP(-((E4367-EvCenter)^2)/(2*EvSigma^2))))),"")</f>
        <v/>
      </c>
      <c r="O4367">
        <f>IF(B4367,ROUND(MAX(0,J4367*K4367*L4367*M4367*N4367),2),"")</f>
        <v/>
      </c>
    </row>
    <row r="4368">
      <c r="A4368" t="n">
        <v>4367</v>
      </c>
      <c r="B4368">
        <f>A4368&lt;=MineCount*Days</f>
        <v/>
      </c>
      <c r="C4368">
        <f>IF(B4368,INT((A4368-1)/Days)+1,"")</f>
        <v/>
      </c>
      <c r="D4368">
        <f>IF(B4368,MOD(A4368-1,Days),"")</f>
        <v/>
      </c>
      <c r="E4368" s="16">
        <f>IF(B4368,StartDate+D4368,"")</f>
        <v/>
      </c>
      <c r="F4368">
        <f>IF(B4368,MAX(MOD(SIN(Seed*0.1373+C4368*12.9898+D4368*78.233)*43758.5453,1),1E-9),"")</f>
        <v/>
      </c>
      <c r="G4368">
        <f>IF(B4368,MOD(SIN(Seed*0.5917+C4368*39.3468+D4368*11.135)*24634.6345,1),"")</f>
        <v/>
      </c>
      <c r="H4368">
        <f>IF(B4368,SQRT(-2*LN(F4368))*COS(2*PI()*G4368),"")</f>
        <v/>
      </c>
      <c r="I4368">
        <f>IF(B4368,IF(D4368=0,H4368,Rho*I4367+SQRT(1-Rho^2)*H4368),"")</f>
        <v/>
      </c>
      <c r="J4368">
        <f>IF(B4368,IF(Dist="Normal",DistA+DistB*I4368,DistA+(DistB-DistA)*NORMSDIST(I4368)),"")</f>
        <v/>
      </c>
      <c r="K4368">
        <f>IF(B4368,INDEX(MineScale,C4368),"")</f>
        <v/>
      </c>
      <c r="L4368">
        <f>IF(B4368,INDEX(Dow,1,WEEKDAY(E4368,2)),"")</f>
        <v/>
      </c>
      <c r="M4368">
        <f>IF(B4368,(1+Trend)^D4368,"")</f>
        <v/>
      </c>
      <c r="N4368">
        <f>IF(B4368,EXP(SUMPRODUCT(LN(1+(EvEff-1)*INDEX(Affected,0,C4368)*EXP(-((E4368-EvCenter)^2)/(2*EvSigma^2))))),"")</f>
        <v/>
      </c>
      <c r="O4368">
        <f>IF(B4368,ROUND(MAX(0,J4368*K4368*L4368*M4368*N4368),2),"")</f>
        <v/>
      </c>
    </row>
    <row r="4369">
      <c r="A4369" t="n">
        <v>4368</v>
      </c>
      <c r="B4369">
        <f>A4369&lt;=MineCount*Days</f>
        <v/>
      </c>
      <c r="C4369">
        <f>IF(B4369,INT((A4369-1)/Days)+1,"")</f>
        <v/>
      </c>
      <c r="D4369">
        <f>IF(B4369,MOD(A4369-1,Days),"")</f>
        <v/>
      </c>
      <c r="E4369" s="16">
        <f>IF(B4369,StartDate+D4369,"")</f>
        <v/>
      </c>
      <c r="F4369">
        <f>IF(B4369,MAX(MOD(SIN(Seed*0.1373+C4369*12.9898+D4369*78.233)*43758.5453,1),1E-9),"")</f>
        <v/>
      </c>
      <c r="G4369">
        <f>IF(B4369,MOD(SIN(Seed*0.5917+C4369*39.3468+D4369*11.135)*24634.6345,1),"")</f>
        <v/>
      </c>
      <c r="H4369">
        <f>IF(B4369,SQRT(-2*LN(F4369))*COS(2*PI()*G4369),"")</f>
        <v/>
      </c>
      <c r="I4369">
        <f>IF(B4369,IF(D4369=0,H4369,Rho*I4368+SQRT(1-Rho^2)*H4369),"")</f>
        <v/>
      </c>
      <c r="J4369">
        <f>IF(B4369,IF(Dist="Normal",DistA+DistB*I4369,DistA+(DistB-DistA)*NORMSDIST(I4369)),"")</f>
        <v/>
      </c>
      <c r="K4369">
        <f>IF(B4369,INDEX(MineScale,C4369),"")</f>
        <v/>
      </c>
      <c r="L4369">
        <f>IF(B4369,INDEX(Dow,1,WEEKDAY(E4369,2)),"")</f>
        <v/>
      </c>
      <c r="M4369">
        <f>IF(B4369,(1+Trend)^D4369,"")</f>
        <v/>
      </c>
      <c r="N4369">
        <f>IF(B4369,EXP(SUMPRODUCT(LN(1+(EvEff-1)*INDEX(Affected,0,C4369)*EXP(-((E4369-EvCenter)^2)/(2*EvSigma^2))))),"")</f>
        <v/>
      </c>
      <c r="O4369">
        <f>IF(B4369,ROUND(MAX(0,J4369*K4369*L4369*M4369*N4369),2),"")</f>
        <v/>
      </c>
    </row>
    <row r="4370">
      <c r="A4370" t="n">
        <v>4369</v>
      </c>
      <c r="B4370">
        <f>A4370&lt;=MineCount*Days</f>
        <v/>
      </c>
      <c r="C4370">
        <f>IF(B4370,INT((A4370-1)/Days)+1,"")</f>
        <v/>
      </c>
      <c r="D4370">
        <f>IF(B4370,MOD(A4370-1,Days),"")</f>
        <v/>
      </c>
      <c r="E4370" s="16">
        <f>IF(B4370,StartDate+D4370,"")</f>
        <v/>
      </c>
      <c r="F4370">
        <f>IF(B4370,MAX(MOD(SIN(Seed*0.1373+C4370*12.9898+D4370*78.233)*43758.5453,1),1E-9),"")</f>
        <v/>
      </c>
      <c r="G4370">
        <f>IF(B4370,MOD(SIN(Seed*0.5917+C4370*39.3468+D4370*11.135)*24634.6345,1),"")</f>
        <v/>
      </c>
      <c r="H4370">
        <f>IF(B4370,SQRT(-2*LN(F4370))*COS(2*PI()*G4370),"")</f>
        <v/>
      </c>
      <c r="I4370">
        <f>IF(B4370,IF(D4370=0,H4370,Rho*I4369+SQRT(1-Rho^2)*H4370),"")</f>
        <v/>
      </c>
      <c r="J4370">
        <f>IF(B4370,IF(Dist="Normal",DistA+DistB*I4370,DistA+(DistB-DistA)*NORMSDIST(I4370)),"")</f>
        <v/>
      </c>
      <c r="K4370">
        <f>IF(B4370,INDEX(MineScale,C4370),"")</f>
        <v/>
      </c>
      <c r="L4370">
        <f>IF(B4370,INDEX(Dow,1,WEEKDAY(E4370,2)),"")</f>
        <v/>
      </c>
      <c r="M4370">
        <f>IF(B4370,(1+Trend)^D4370,"")</f>
        <v/>
      </c>
      <c r="N4370">
        <f>IF(B4370,EXP(SUMPRODUCT(LN(1+(EvEff-1)*INDEX(Affected,0,C4370)*EXP(-((E4370-EvCenter)^2)/(2*EvSigma^2))))),"")</f>
        <v/>
      </c>
      <c r="O4370">
        <f>IF(B4370,ROUND(MAX(0,J4370*K4370*L4370*M4370*N4370),2),"")</f>
        <v/>
      </c>
    </row>
    <row r="4371">
      <c r="A4371" t="n">
        <v>4370</v>
      </c>
      <c r="B4371">
        <f>A4371&lt;=MineCount*Days</f>
        <v/>
      </c>
      <c r="C4371">
        <f>IF(B4371,INT((A4371-1)/Days)+1,"")</f>
        <v/>
      </c>
      <c r="D4371">
        <f>IF(B4371,MOD(A4371-1,Days),"")</f>
        <v/>
      </c>
      <c r="E4371" s="16">
        <f>IF(B4371,StartDate+D4371,"")</f>
        <v/>
      </c>
      <c r="F4371">
        <f>IF(B4371,MAX(MOD(SIN(Seed*0.1373+C4371*12.9898+D4371*78.233)*43758.5453,1),1E-9),"")</f>
        <v/>
      </c>
      <c r="G4371">
        <f>IF(B4371,MOD(SIN(Seed*0.5917+C4371*39.3468+D4371*11.135)*24634.6345,1),"")</f>
        <v/>
      </c>
      <c r="H4371">
        <f>IF(B4371,SQRT(-2*LN(F4371))*COS(2*PI()*G4371),"")</f>
        <v/>
      </c>
      <c r="I4371">
        <f>IF(B4371,IF(D4371=0,H4371,Rho*I4370+SQRT(1-Rho^2)*H4371),"")</f>
        <v/>
      </c>
      <c r="J4371">
        <f>IF(B4371,IF(Dist="Normal",DistA+DistB*I4371,DistA+(DistB-DistA)*NORMSDIST(I4371)),"")</f>
        <v/>
      </c>
      <c r="K4371">
        <f>IF(B4371,INDEX(MineScale,C4371),"")</f>
        <v/>
      </c>
      <c r="L4371">
        <f>IF(B4371,INDEX(Dow,1,WEEKDAY(E4371,2)),"")</f>
        <v/>
      </c>
      <c r="M4371">
        <f>IF(B4371,(1+Trend)^D4371,"")</f>
        <v/>
      </c>
      <c r="N4371">
        <f>IF(B4371,EXP(SUMPRODUCT(LN(1+(EvEff-1)*INDEX(Affected,0,C4371)*EXP(-((E4371-EvCenter)^2)/(2*EvSigma^2))))),"")</f>
        <v/>
      </c>
      <c r="O4371">
        <f>IF(B4371,ROUND(MAX(0,J4371*K4371*L4371*M4371*N4371),2),"")</f>
        <v/>
      </c>
    </row>
    <row r="4372">
      <c r="A4372" t="n">
        <v>4371</v>
      </c>
      <c r="B4372">
        <f>A4372&lt;=MineCount*Days</f>
        <v/>
      </c>
      <c r="C4372">
        <f>IF(B4372,INT((A4372-1)/Days)+1,"")</f>
        <v/>
      </c>
      <c r="D4372">
        <f>IF(B4372,MOD(A4372-1,Days),"")</f>
        <v/>
      </c>
      <c r="E4372" s="16">
        <f>IF(B4372,StartDate+D4372,"")</f>
        <v/>
      </c>
      <c r="F4372">
        <f>IF(B4372,MAX(MOD(SIN(Seed*0.1373+C4372*12.9898+D4372*78.233)*43758.5453,1),1E-9),"")</f>
        <v/>
      </c>
      <c r="G4372">
        <f>IF(B4372,MOD(SIN(Seed*0.5917+C4372*39.3468+D4372*11.135)*24634.6345,1),"")</f>
        <v/>
      </c>
      <c r="H4372">
        <f>IF(B4372,SQRT(-2*LN(F4372))*COS(2*PI()*G4372),"")</f>
        <v/>
      </c>
      <c r="I4372">
        <f>IF(B4372,IF(D4372=0,H4372,Rho*I4371+SQRT(1-Rho^2)*H4372),"")</f>
        <v/>
      </c>
      <c r="J4372">
        <f>IF(B4372,IF(Dist="Normal",DistA+DistB*I4372,DistA+(DistB-DistA)*NORMSDIST(I4372)),"")</f>
        <v/>
      </c>
      <c r="K4372">
        <f>IF(B4372,INDEX(MineScale,C4372),"")</f>
        <v/>
      </c>
      <c r="L4372">
        <f>IF(B4372,INDEX(Dow,1,WEEKDAY(E4372,2)),"")</f>
        <v/>
      </c>
      <c r="M4372">
        <f>IF(B4372,(1+Trend)^D4372,"")</f>
        <v/>
      </c>
      <c r="N4372">
        <f>IF(B4372,EXP(SUMPRODUCT(LN(1+(EvEff-1)*INDEX(Affected,0,C4372)*EXP(-((E4372-EvCenter)^2)/(2*EvSigma^2))))),"")</f>
        <v/>
      </c>
      <c r="O4372">
        <f>IF(B4372,ROUND(MAX(0,J4372*K4372*L4372*M4372*N4372),2),"")</f>
        <v/>
      </c>
    </row>
    <row r="4373">
      <c r="A4373" t="n">
        <v>4372</v>
      </c>
      <c r="B4373">
        <f>A4373&lt;=MineCount*Days</f>
        <v/>
      </c>
      <c r="C4373">
        <f>IF(B4373,INT((A4373-1)/Days)+1,"")</f>
        <v/>
      </c>
      <c r="D4373">
        <f>IF(B4373,MOD(A4373-1,Days),"")</f>
        <v/>
      </c>
      <c r="E4373" s="16">
        <f>IF(B4373,StartDate+D4373,"")</f>
        <v/>
      </c>
      <c r="F4373">
        <f>IF(B4373,MAX(MOD(SIN(Seed*0.1373+C4373*12.9898+D4373*78.233)*43758.5453,1),1E-9),"")</f>
        <v/>
      </c>
      <c r="G4373">
        <f>IF(B4373,MOD(SIN(Seed*0.5917+C4373*39.3468+D4373*11.135)*24634.6345,1),"")</f>
        <v/>
      </c>
      <c r="H4373">
        <f>IF(B4373,SQRT(-2*LN(F4373))*COS(2*PI()*G4373),"")</f>
        <v/>
      </c>
      <c r="I4373">
        <f>IF(B4373,IF(D4373=0,H4373,Rho*I4372+SQRT(1-Rho^2)*H4373),"")</f>
        <v/>
      </c>
      <c r="J4373">
        <f>IF(B4373,IF(Dist="Normal",DistA+DistB*I4373,DistA+(DistB-DistA)*NORMSDIST(I4373)),"")</f>
        <v/>
      </c>
      <c r="K4373">
        <f>IF(B4373,INDEX(MineScale,C4373),"")</f>
        <v/>
      </c>
      <c r="L4373">
        <f>IF(B4373,INDEX(Dow,1,WEEKDAY(E4373,2)),"")</f>
        <v/>
      </c>
      <c r="M4373">
        <f>IF(B4373,(1+Trend)^D4373,"")</f>
        <v/>
      </c>
      <c r="N4373">
        <f>IF(B4373,EXP(SUMPRODUCT(LN(1+(EvEff-1)*INDEX(Affected,0,C4373)*EXP(-((E4373-EvCenter)^2)/(2*EvSigma^2))))),"")</f>
        <v/>
      </c>
      <c r="O4373">
        <f>IF(B4373,ROUND(MAX(0,J4373*K4373*L4373*M4373*N4373),2),"")</f>
        <v/>
      </c>
    </row>
    <row r="4374">
      <c r="A4374" t="n">
        <v>4373</v>
      </c>
      <c r="B4374">
        <f>A4374&lt;=MineCount*Days</f>
        <v/>
      </c>
      <c r="C4374">
        <f>IF(B4374,INT((A4374-1)/Days)+1,"")</f>
        <v/>
      </c>
      <c r="D4374">
        <f>IF(B4374,MOD(A4374-1,Days),"")</f>
        <v/>
      </c>
      <c r="E4374" s="16">
        <f>IF(B4374,StartDate+D4374,"")</f>
        <v/>
      </c>
      <c r="F4374">
        <f>IF(B4374,MAX(MOD(SIN(Seed*0.1373+C4374*12.9898+D4374*78.233)*43758.5453,1),1E-9),"")</f>
        <v/>
      </c>
      <c r="G4374">
        <f>IF(B4374,MOD(SIN(Seed*0.5917+C4374*39.3468+D4374*11.135)*24634.6345,1),"")</f>
        <v/>
      </c>
      <c r="H4374">
        <f>IF(B4374,SQRT(-2*LN(F4374))*COS(2*PI()*G4374),"")</f>
        <v/>
      </c>
      <c r="I4374">
        <f>IF(B4374,IF(D4374=0,H4374,Rho*I4373+SQRT(1-Rho^2)*H4374),"")</f>
        <v/>
      </c>
      <c r="J4374">
        <f>IF(B4374,IF(Dist="Normal",DistA+DistB*I4374,DistA+(DistB-DistA)*NORMSDIST(I4374)),"")</f>
        <v/>
      </c>
      <c r="K4374">
        <f>IF(B4374,INDEX(MineScale,C4374),"")</f>
        <v/>
      </c>
      <c r="L4374">
        <f>IF(B4374,INDEX(Dow,1,WEEKDAY(E4374,2)),"")</f>
        <v/>
      </c>
      <c r="M4374">
        <f>IF(B4374,(1+Trend)^D4374,"")</f>
        <v/>
      </c>
      <c r="N4374">
        <f>IF(B4374,EXP(SUMPRODUCT(LN(1+(EvEff-1)*INDEX(Affected,0,C4374)*EXP(-((E4374-EvCenter)^2)/(2*EvSigma^2))))),"")</f>
        <v/>
      </c>
      <c r="O4374">
        <f>IF(B4374,ROUND(MAX(0,J4374*K4374*L4374*M4374*N4374),2),"")</f>
        <v/>
      </c>
    </row>
    <row r="4375">
      <c r="A4375" t="n">
        <v>4374</v>
      </c>
      <c r="B4375">
        <f>A4375&lt;=MineCount*Days</f>
        <v/>
      </c>
      <c r="C4375">
        <f>IF(B4375,INT((A4375-1)/Days)+1,"")</f>
        <v/>
      </c>
      <c r="D4375">
        <f>IF(B4375,MOD(A4375-1,Days),"")</f>
        <v/>
      </c>
      <c r="E4375" s="16">
        <f>IF(B4375,StartDate+D4375,"")</f>
        <v/>
      </c>
      <c r="F4375">
        <f>IF(B4375,MAX(MOD(SIN(Seed*0.1373+C4375*12.9898+D4375*78.233)*43758.5453,1),1E-9),"")</f>
        <v/>
      </c>
      <c r="G4375">
        <f>IF(B4375,MOD(SIN(Seed*0.5917+C4375*39.3468+D4375*11.135)*24634.6345,1),"")</f>
        <v/>
      </c>
      <c r="H4375">
        <f>IF(B4375,SQRT(-2*LN(F4375))*COS(2*PI()*G4375),"")</f>
        <v/>
      </c>
      <c r="I4375">
        <f>IF(B4375,IF(D4375=0,H4375,Rho*I4374+SQRT(1-Rho^2)*H4375),"")</f>
        <v/>
      </c>
      <c r="J4375">
        <f>IF(B4375,IF(Dist="Normal",DistA+DistB*I4375,DistA+(DistB-DistA)*NORMSDIST(I4375)),"")</f>
        <v/>
      </c>
      <c r="K4375">
        <f>IF(B4375,INDEX(MineScale,C4375),"")</f>
        <v/>
      </c>
      <c r="L4375">
        <f>IF(B4375,INDEX(Dow,1,WEEKDAY(E4375,2)),"")</f>
        <v/>
      </c>
      <c r="M4375">
        <f>IF(B4375,(1+Trend)^D4375,"")</f>
        <v/>
      </c>
      <c r="N4375">
        <f>IF(B4375,EXP(SUMPRODUCT(LN(1+(EvEff-1)*INDEX(Affected,0,C4375)*EXP(-((E4375-EvCenter)^2)/(2*EvSigma^2))))),"")</f>
        <v/>
      </c>
      <c r="O4375">
        <f>IF(B4375,ROUND(MAX(0,J4375*K4375*L4375*M4375*N4375),2),"")</f>
        <v/>
      </c>
    </row>
    <row r="4376">
      <c r="A4376" t="n">
        <v>4375</v>
      </c>
      <c r="B4376">
        <f>A4376&lt;=MineCount*Days</f>
        <v/>
      </c>
      <c r="C4376">
        <f>IF(B4376,INT((A4376-1)/Days)+1,"")</f>
        <v/>
      </c>
      <c r="D4376">
        <f>IF(B4376,MOD(A4376-1,Days),"")</f>
        <v/>
      </c>
      <c r="E4376" s="16">
        <f>IF(B4376,StartDate+D4376,"")</f>
        <v/>
      </c>
      <c r="F4376">
        <f>IF(B4376,MAX(MOD(SIN(Seed*0.1373+C4376*12.9898+D4376*78.233)*43758.5453,1),1E-9),"")</f>
        <v/>
      </c>
      <c r="G4376">
        <f>IF(B4376,MOD(SIN(Seed*0.5917+C4376*39.3468+D4376*11.135)*24634.6345,1),"")</f>
        <v/>
      </c>
      <c r="H4376">
        <f>IF(B4376,SQRT(-2*LN(F4376))*COS(2*PI()*G4376),"")</f>
        <v/>
      </c>
      <c r="I4376">
        <f>IF(B4376,IF(D4376=0,H4376,Rho*I4375+SQRT(1-Rho^2)*H4376),"")</f>
        <v/>
      </c>
      <c r="J4376">
        <f>IF(B4376,IF(Dist="Normal",DistA+DistB*I4376,DistA+(DistB-DistA)*NORMSDIST(I4376)),"")</f>
        <v/>
      </c>
      <c r="K4376">
        <f>IF(B4376,INDEX(MineScale,C4376),"")</f>
        <v/>
      </c>
      <c r="L4376">
        <f>IF(B4376,INDEX(Dow,1,WEEKDAY(E4376,2)),"")</f>
        <v/>
      </c>
      <c r="M4376">
        <f>IF(B4376,(1+Trend)^D4376,"")</f>
        <v/>
      </c>
      <c r="N4376">
        <f>IF(B4376,EXP(SUMPRODUCT(LN(1+(EvEff-1)*INDEX(Affected,0,C4376)*EXP(-((E4376-EvCenter)^2)/(2*EvSigma^2))))),"")</f>
        <v/>
      </c>
      <c r="O4376">
        <f>IF(B4376,ROUND(MAX(0,J4376*K4376*L4376*M4376*N4376),2),"")</f>
        <v/>
      </c>
    </row>
    <row r="4377">
      <c r="A4377" t="n">
        <v>4376</v>
      </c>
      <c r="B4377">
        <f>A4377&lt;=MineCount*Days</f>
        <v/>
      </c>
      <c r="C4377">
        <f>IF(B4377,INT((A4377-1)/Days)+1,"")</f>
        <v/>
      </c>
      <c r="D4377">
        <f>IF(B4377,MOD(A4377-1,Days),"")</f>
        <v/>
      </c>
      <c r="E4377" s="16">
        <f>IF(B4377,StartDate+D4377,"")</f>
        <v/>
      </c>
      <c r="F4377">
        <f>IF(B4377,MAX(MOD(SIN(Seed*0.1373+C4377*12.9898+D4377*78.233)*43758.5453,1),1E-9),"")</f>
        <v/>
      </c>
      <c r="G4377">
        <f>IF(B4377,MOD(SIN(Seed*0.5917+C4377*39.3468+D4377*11.135)*24634.6345,1),"")</f>
        <v/>
      </c>
      <c r="H4377">
        <f>IF(B4377,SQRT(-2*LN(F4377))*COS(2*PI()*G4377),"")</f>
        <v/>
      </c>
      <c r="I4377">
        <f>IF(B4377,IF(D4377=0,H4377,Rho*I4376+SQRT(1-Rho^2)*H4377),"")</f>
        <v/>
      </c>
      <c r="J4377">
        <f>IF(B4377,IF(Dist="Normal",DistA+DistB*I4377,DistA+(DistB-DistA)*NORMSDIST(I4377)),"")</f>
        <v/>
      </c>
      <c r="K4377">
        <f>IF(B4377,INDEX(MineScale,C4377),"")</f>
        <v/>
      </c>
      <c r="L4377">
        <f>IF(B4377,INDEX(Dow,1,WEEKDAY(E4377,2)),"")</f>
        <v/>
      </c>
      <c r="M4377">
        <f>IF(B4377,(1+Trend)^D4377,"")</f>
        <v/>
      </c>
      <c r="N4377">
        <f>IF(B4377,EXP(SUMPRODUCT(LN(1+(EvEff-1)*INDEX(Affected,0,C4377)*EXP(-((E4377-EvCenter)^2)/(2*EvSigma^2))))),"")</f>
        <v/>
      </c>
      <c r="O4377">
        <f>IF(B4377,ROUND(MAX(0,J4377*K4377*L4377*M4377*N4377),2),"")</f>
        <v/>
      </c>
    </row>
    <row r="4378">
      <c r="A4378" t="n">
        <v>4377</v>
      </c>
      <c r="B4378">
        <f>A4378&lt;=MineCount*Days</f>
        <v/>
      </c>
      <c r="C4378">
        <f>IF(B4378,INT((A4378-1)/Days)+1,"")</f>
        <v/>
      </c>
      <c r="D4378">
        <f>IF(B4378,MOD(A4378-1,Days),"")</f>
        <v/>
      </c>
      <c r="E4378" s="16">
        <f>IF(B4378,StartDate+D4378,"")</f>
        <v/>
      </c>
      <c r="F4378">
        <f>IF(B4378,MAX(MOD(SIN(Seed*0.1373+C4378*12.9898+D4378*78.233)*43758.5453,1),1E-9),"")</f>
        <v/>
      </c>
      <c r="G4378">
        <f>IF(B4378,MOD(SIN(Seed*0.5917+C4378*39.3468+D4378*11.135)*24634.6345,1),"")</f>
        <v/>
      </c>
      <c r="H4378">
        <f>IF(B4378,SQRT(-2*LN(F4378))*COS(2*PI()*G4378),"")</f>
        <v/>
      </c>
      <c r="I4378">
        <f>IF(B4378,IF(D4378=0,H4378,Rho*I4377+SQRT(1-Rho^2)*H4378),"")</f>
        <v/>
      </c>
      <c r="J4378">
        <f>IF(B4378,IF(Dist="Normal",DistA+DistB*I4378,DistA+(DistB-DistA)*NORMSDIST(I4378)),"")</f>
        <v/>
      </c>
      <c r="K4378">
        <f>IF(B4378,INDEX(MineScale,C4378),"")</f>
        <v/>
      </c>
      <c r="L4378">
        <f>IF(B4378,INDEX(Dow,1,WEEKDAY(E4378,2)),"")</f>
        <v/>
      </c>
      <c r="M4378">
        <f>IF(B4378,(1+Trend)^D4378,"")</f>
        <v/>
      </c>
      <c r="N4378">
        <f>IF(B4378,EXP(SUMPRODUCT(LN(1+(EvEff-1)*INDEX(Affected,0,C4378)*EXP(-((E4378-EvCenter)^2)/(2*EvSigma^2))))),"")</f>
        <v/>
      </c>
      <c r="O4378">
        <f>IF(B4378,ROUND(MAX(0,J4378*K4378*L4378*M4378*N4378),2),"")</f>
        <v/>
      </c>
    </row>
    <row r="4379">
      <c r="A4379" t="n">
        <v>4378</v>
      </c>
      <c r="B4379">
        <f>A4379&lt;=MineCount*Days</f>
        <v/>
      </c>
      <c r="C4379">
        <f>IF(B4379,INT((A4379-1)/Days)+1,"")</f>
        <v/>
      </c>
      <c r="D4379">
        <f>IF(B4379,MOD(A4379-1,Days),"")</f>
        <v/>
      </c>
      <c r="E4379" s="16">
        <f>IF(B4379,StartDate+D4379,"")</f>
        <v/>
      </c>
      <c r="F4379">
        <f>IF(B4379,MAX(MOD(SIN(Seed*0.1373+C4379*12.9898+D4379*78.233)*43758.5453,1),1E-9),"")</f>
        <v/>
      </c>
      <c r="G4379">
        <f>IF(B4379,MOD(SIN(Seed*0.5917+C4379*39.3468+D4379*11.135)*24634.6345,1),"")</f>
        <v/>
      </c>
      <c r="H4379">
        <f>IF(B4379,SQRT(-2*LN(F4379))*COS(2*PI()*G4379),"")</f>
        <v/>
      </c>
      <c r="I4379">
        <f>IF(B4379,IF(D4379=0,H4379,Rho*I4378+SQRT(1-Rho^2)*H4379),"")</f>
        <v/>
      </c>
      <c r="J4379">
        <f>IF(B4379,IF(Dist="Normal",DistA+DistB*I4379,DistA+(DistB-DistA)*NORMSDIST(I4379)),"")</f>
        <v/>
      </c>
      <c r="K4379">
        <f>IF(B4379,INDEX(MineScale,C4379),"")</f>
        <v/>
      </c>
      <c r="L4379">
        <f>IF(B4379,INDEX(Dow,1,WEEKDAY(E4379,2)),"")</f>
        <v/>
      </c>
      <c r="M4379">
        <f>IF(B4379,(1+Trend)^D4379,"")</f>
        <v/>
      </c>
      <c r="N4379">
        <f>IF(B4379,EXP(SUMPRODUCT(LN(1+(EvEff-1)*INDEX(Affected,0,C4379)*EXP(-((E4379-EvCenter)^2)/(2*EvSigma^2))))),"")</f>
        <v/>
      </c>
      <c r="O4379">
        <f>IF(B4379,ROUND(MAX(0,J4379*K4379*L4379*M4379*N4379),2),"")</f>
        <v/>
      </c>
    </row>
    <row r="4380">
      <c r="A4380" t="n">
        <v>4379</v>
      </c>
      <c r="B4380">
        <f>A4380&lt;=MineCount*Days</f>
        <v/>
      </c>
      <c r="C4380">
        <f>IF(B4380,INT((A4380-1)/Days)+1,"")</f>
        <v/>
      </c>
      <c r="D4380">
        <f>IF(B4380,MOD(A4380-1,Days),"")</f>
        <v/>
      </c>
      <c r="E4380" s="16">
        <f>IF(B4380,StartDate+D4380,"")</f>
        <v/>
      </c>
      <c r="F4380">
        <f>IF(B4380,MAX(MOD(SIN(Seed*0.1373+C4380*12.9898+D4380*78.233)*43758.5453,1),1E-9),"")</f>
        <v/>
      </c>
      <c r="G4380">
        <f>IF(B4380,MOD(SIN(Seed*0.5917+C4380*39.3468+D4380*11.135)*24634.6345,1),"")</f>
        <v/>
      </c>
      <c r="H4380">
        <f>IF(B4380,SQRT(-2*LN(F4380))*COS(2*PI()*G4380),"")</f>
        <v/>
      </c>
      <c r="I4380">
        <f>IF(B4380,IF(D4380=0,H4380,Rho*I4379+SQRT(1-Rho^2)*H4380),"")</f>
        <v/>
      </c>
      <c r="J4380">
        <f>IF(B4380,IF(Dist="Normal",DistA+DistB*I4380,DistA+(DistB-DistA)*NORMSDIST(I4380)),"")</f>
        <v/>
      </c>
      <c r="K4380">
        <f>IF(B4380,INDEX(MineScale,C4380),"")</f>
        <v/>
      </c>
      <c r="L4380">
        <f>IF(B4380,INDEX(Dow,1,WEEKDAY(E4380,2)),"")</f>
        <v/>
      </c>
      <c r="M4380">
        <f>IF(B4380,(1+Trend)^D4380,"")</f>
        <v/>
      </c>
      <c r="N4380">
        <f>IF(B4380,EXP(SUMPRODUCT(LN(1+(EvEff-1)*INDEX(Affected,0,C4380)*EXP(-((E4380-EvCenter)^2)/(2*EvSigma^2))))),"")</f>
        <v/>
      </c>
      <c r="O4380">
        <f>IF(B4380,ROUND(MAX(0,J4380*K4380*L4380*M4380*N4380),2),"")</f>
        <v/>
      </c>
    </row>
    <row r="4381">
      <c r="A4381" t="n">
        <v>4380</v>
      </c>
      <c r="B4381">
        <f>A4381&lt;=MineCount*Days</f>
        <v/>
      </c>
      <c r="C4381">
        <f>IF(B4381,INT((A4381-1)/Days)+1,"")</f>
        <v/>
      </c>
      <c r="D4381">
        <f>IF(B4381,MOD(A4381-1,Days),"")</f>
        <v/>
      </c>
      <c r="E4381" s="16">
        <f>IF(B4381,StartDate+D4381,"")</f>
        <v/>
      </c>
      <c r="F4381">
        <f>IF(B4381,MAX(MOD(SIN(Seed*0.1373+C4381*12.9898+D4381*78.233)*43758.5453,1),1E-9),"")</f>
        <v/>
      </c>
      <c r="G4381">
        <f>IF(B4381,MOD(SIN(Seed*0.5917+C4381*39.3468+D4381*11.135)*24634.6345,1),"")</f>
        <v/>
      </c>
      <c r="H4381">
        <f>IF(B4381,SQRT(-2*LN(F4381))*COS(2*PI()*G4381),"")</f>
        <v/>
      </c>
      <c r="I4381">
        <f>IF(B4381,IF(D4381=0,H4381,Rho*I4380+SQRT(1-Rho^2)*H4381),"")</f>
        <v/>
      </c>
      <c r="J4381">
        <f>IF(B4381,IF(Dist="Normal",DistA+DistB*I4381,DistA+(DistB-DistA)*NORMSDIST(I4381)),"")</f>
        <v/>
      </c>
      <c r="K4381">
        <f>IF(B4381,INDEX(MineScale,C4381),"")</f>
        <v/>
      </c>
      <c r="L4381">
        <f>IF(B4381,INDEX(Dow,1,WEEKDAY(E4381,2)),"")</f>
        <v/>
      </c>
      <c r="M4381">
        <f>IF(B4381,(1+Trend)^D4381,"")</f>
        <v/>
      </c>
      <c r="N4381">
        <f>IF(B4381,EXP(SUMPRODUCT(LN(1+(EvEff-1)*INDEX(Affected,0,C4381)*EXP(-((E4381-EvCenter)^2)/(2*EvSigma^2))))),"")</f>
        <v/>
      </c>
      <c r="O4381">
        <f>IF(B4381,ROUND(MAX(0,J4381*K4381*L4381*M4381*N4381),2),"")</f>
        <v/>
      </c>
    </row>
    <row r="4382">
      <c r="A4382" t="n">
        <v>4381</v>
      </c>
      <c r="B4382">
        <f>A4382&lt;=MineCount*Days</f>
        <v/>
      </c>
      <c r="C4382">
        <f>IF(B4382,INT((A4382-1)/Days)+1,"")</f>
        <v/>
      </c>
      <c r="D4382">
        <f>IF(B4382,MOD(A4382-1,Days),"")</f>
        <v/>
      </c>
      <c r="E4382" s="16">
        <f>IF(B4382,StartDate+D4382,"")</f>
        <v/>
      </c>
      <c r="F4382">
        <f>IF(B4382,MAX(MOD(SIN(Seed*0.1373+C4382*12.9898+D4382*78.233)*43758.5453,1),1E-9),"")</f>
        <v/>
      </c>
      <c r="G4382">
        <f>IF(B4382,MOD(SIN(Seed*0.5917+C4382*39.3468+D4382*11.135)*24634.6345,1),"")</f>
        <v/>
      </c>
      <c r="H4382">
        <f>IF(B4382,SQRT(-2*LN(F4382))*COS(2*PI()*G4382),"")</f>
        <v/>
      </c>
      <c r="I4382">
        <f>IF(B4382,IF(D4382=0,H4382,Rho*I4381+SQRT(1-Rho^2)*H4382),"")</f>
        <v/>
      </c>
      <c r="J4382">
        <f>IF(B4382,IF(Dist="Normal",DistA+DistB*I4382,DistA+(DistB-DistA)*NORMSDIST(I4382)),"")</f>
        <v/>
      </c>
      <c r="K4382">
        <f>IF(B4382,INDEX(MineScale,C4382),"")</f>
        <v/>
      </c>
      <c r="L4382">
        <f>IF(B4382,INDEX(Dow,1,WEEKDAY(E4382,2)),"")</f>
        <v/>
      </c>
      <c r="M4382">
        <f>IF(B4382,(1+Trend)^D4382,"")</f>
        <v/>
      </c>
      <c r="N4382">
        <f>IF(B4382,EXP(SUMPRODUCT(LN(1+(EvEff-1)*INDEX(Affected,0,C4382)*EXP(-((E4382-EvCenter)^2)/(2*EvSigma^2))))),"")</f>
        <v/>
      </c>
      <c r="O4382">
        <f>IF(B4382,ROUND(MAX(0,J4382*K4382*L4382*M4382*N4382),2),"")</f>
        <v/>
      </c>
    </row>
    <row r="4383">
      <c r="A4383" t="n">
        <v>4382</v>
      </c>
      <c r="B4383">
        <f>A4383&lt;=MineCount*Days</f>
        <v/>
      </c>
      <c r="C4383">
        <f>IF(B4383,INT((A4383-1)/Days)+1,"")</f>
        <v/>
      </c>
      <c r="D4383">
        <f>IF(B4383,MOD(A4383-1,Days),"")</f>
        <v/>
      </c>
      <c r="E4383" s="16">
        <f>IF(B4383,StartDate+D4383,"")</f>
        <v/>
      </c>
      <c r="F4383">
        <f>IF(B4383,MAX(MOD(SIN(Seed*0.1373+C4383*12.9898+D4383*78.233)*43758.5453,1),1E-9),"")</f>
        <v/>
      </c>
      <c r="G4383">
        <f>IF(B4383,MOD(SIN(Seed*0.5917+C4383*39.3468+D4383*11.135)*24634.6345,1),"")</f>
        <v/>
      </c>
      <c r="H4383">
        <f>IF(B4383,SQRT(-2*LN(F4383))*COS(2*PI()*G4383),"")</f>
        <v/>
      </c>
      <c r="I4383">
        <f>IF(B4383,IF(D4383=0,H4383,Rho*I4382+SQRT(1-Rho^2)*H4383),"")</f>
        <v/>
      </c>
      <c r="J4383">
        <f>IF(B4383,IF(Dist="Normal",DistA+DistB*I4383,DistA+(DistB-DistA)*NORMSDIST(I4383)),"")</f>
        <v/>
      </c>
      <c r="K4383">
        <f>IF(B4383,INDEX(MineScale,C4383),"")</f>
        <v/>
      </c>
      <c r="L4383">
        <f>IF(B4383,INDEX(Dow,1,WEEKDAY(E4383,2)),"")</f>
        <v/>
      </c>
      <c r="M4383">
        <f>IF(B4383,(1+Trend)^D4383,"")</f>
        <v/>
      </c>
      <c r="N4383">
        <f>IF(B4383,EXP(SUMPRODUCT(LN(1+(EvEff-1)*INDEX(Affected,0,C4383)*EXP(-((E4383-EvCenter)^2)/(2*EvSigma^2))))),"")</f>
        <v/>
      </c>
      <c r="O4383">
        <f>IF(B4383,ROUND(MAX(0,J4383*K4383*L4383*M4383*N4383),2),"")</f>
        <v/>
      </c>
    </row>
    <row r="4384">
      <c r="A4384" t="n">
        <v>4383</v>
      </c>
      <c r="B4384">
        <f>A4384&lt;=MineCount*Days</f>
        <v/>
      </c>
      <c r="C4384">
        <f>IF(B4384,INT((A4384-1)/Days)+1,"")</f>
        <v/>
      </c>
      <c r="D4384">
        <f>IF(B4384,MOD(A4384-1,Days),"")</f>
        <v/>
      </c>
      <c r="E4384" s="16">
        <f>IF(B4384,StartDate+D4384,"")</f>
        <v/>
      </c>
      <c r="F4384">
        <f>IF(B4384,MAX(MOD(SIN(Seed*0.1373+C4384*12.9898+D4384*78.233)*43758.5453,1),1E-9),"")</f>
        <v/>
      </c>
      <c r="G4384">
        <f>IF(B4384,MOD(SIN(Seed*0.5917+C4384*39.3468+D4384*11.135)*24634.6345,1),"")</f>
        <v/>
      </c>
      <c r="H4384">
        <f>IF(B4384,SQRT(-2*LN(F4384))*COS(2*PI()*G4384),"")</f>
        <v/>
      </c>
      <c r="I4384">
        <f>IF(B4384,IF(D4384=0,H4384,Rho*I4383+SQRT(1-Rho^2)*H4384),"")</f>
        <v/>
      </c>
      <c r="J4384">
        <f>IF(B4384,IF(Dist="Normal",DistA+DistB*I4384,DistA+(DistB-DistA)*NORMSDIST(I4384)),"")</f>
        <v/>
      </c>
      <c r="K4384">
        <f>IF(B4384,INDEX(MineScale,C4384),"")</f>
        <v/>
      </c>
      <c r="L4384">
        <f>IF(B4384,INDEX(Dow,1,WEEKDAY(E4384,2)),"")</f>
        <v/>
      </c>
      <c r="M4384">
        <f>IF(B4384,(1+Trend)^D4384,"")</f>
        <v/>
      </c>
      <c r="N4384">
        <f>IF(B4384,EXP(SUMPRODUCT(LN(1+(EvEff-1)*INDEX(Affected,0,C4384)*EXP(-((E4384-EvCenter)^2)/(2*EvSigma^2))))),"")</f>
        <v/>
      </c>
      <c r="O4384">
        <f>IF(B4384,ROUND(MAX(0,J4384*K4384*L4384*M4384*N4384),2),"")</f>
        <v/>
      </c>
    </row>
    <row r="4385">
      <c r="A4385" t="n">
        <v>4384</v>
      </c>
      <c r="B4385">
        <f>A4385&lt;=MineCount*Days</f>
        <v/>
      </c>
      <c r="C4385">
        <f>IF(B4385,INT((A4385-1)/Days)+1,"")</f>
        <v/>
      </c>
      <c r="D4385">
        <f>IF(B4385,MOD(A4385-1,Days),"")</f>
        <v/>
      </c>
      <c r="E4385" s="16">
        <f>IF(B4385,StartDate+D4385,"")</f>
        <v/>
      </c>
      <c r="F4385">
        <f>IF(B4385,MAX(MOD(SIN(Seed*0.1373+C4385*12.9898+D4385*78.233)*43758.5453,1),1E-9),"")</f>
        <v/>
      </c>
      <c r="G4385">
        <f>IF(B4385,MOD(SIN(Seed*0.5917+C4385*39.3468+D4385*11.135)*24634.6345,1),"")</f>
        <v/>
      </c>
      <c r="H4385">
        <f>IF(B4385,SQRT(-2*LN(F4385))*COS(2*PI()*G4385),"")</f>
        <v/>
      </c>
      <c r="I4385">
        <f>IF(B4385,IF(D4385=0,H4385,Rho*I4384+SQRT(1-Rho^2)*H4385),"")</f>
        <v/>
      </c>
      <c r="J4385">
        <f>IF(B4385,IF(Dist="Normal",DistA+DistB*I4385,DistA+(DistB-DistA)*NORMSDIST(I4385)),"")</f>
        <v/>
      </c>
      <c r="K4385">
        <f>IF(B4385,INDEX(MineScale,C4385),"")</f>
        <v/>
      </c>
      <c r="L4385">
        <f>IF(B4385,INDEX(Dow,1,WEEKDAY(E4385,2)),"")</f>
        <v/>
      </c>
      <c r="M4385">
        <f>IF(B4385,(1+Trend)^D4385,"")</f>
        <v/>
      </c>
      <c r="N4385">
        <f>IF(B4385,EXP(SUMPRODUCT(LN(1+(EvEff-1)*INDEX(Affected,0,C4385)*EXP(-((E4385-EvCenter)^2)/(2*EvSigma^2))))),"")</f>
        <v/>
      </c>
      <c r="O4385">
        <f>IF(B4385,ROUND(MAX(0,J4385*K4385*L4385*M4385*N4385),2),"")</f>
        <v/>
      </c>
    </row>
    <row r="4386">
      <c r="A4386" t="n">
        <v>4385</v>
      </c>
      <c r="B4386">
        <f>A4386&lt;=MineCount*Days</f>
        <v/>
      </c>
      <c r="C4386">
        <f>IF(B4386,INT((A4386-1)/Days)+1,"")</f>
        <v/>
      </c>
      <c r="D4386">
        <f>IF(B4386,MOD(A4386-1,Days),"")</f>
        <v/>
      </c>
      <c r="E4386" s="16">
        <f>IF(B4386,StartDate+D4386,"")</f>
        <v/>
      </c>
      <c r="F4386">
        <f>IF(B4386,MAX(MOD(SIN(Seed*0.1373+C4386*12.9898+D4386*78.233)*43758.5453,1),1E-9),"")</f>
        <v/>
      </c>
      <c r="G4386">
        <f>IF(B4386,MOD(SIN(Seed*0.5917+C4386*39.3468+D4386*11.135)*24634.6345,1),"")</f>
        <v/>
      </c>
      <c r="H4386">
        <f>IF(B4386,SQRT(-2*LN(F4386))*COS(2*PI()*G4386),"")</f>
        <v/>
      </c>
      <c r="I4386">
        <f>IF(B4386,IF(D4386=0,H4386,Rho*I4385+SQRT(1-Rho^2)*H4386),"")</f>
        <v/>
      </c>
      <c r="J4386">
        <f>IF(B4386,IF(Dist="Normal",DistA+DistB*I4386,DistA+(DistB-DistA)*NORMSDIST(I4386)),"")</f>
        <v/>
      </c>
      <c r="K4386">
        <f>IF(B4386,INDEX(MineScale,C4386),"")</f>
        <v/>
      </c>
      <c r="L4386">
        <f>IF(B4386,INDEX(Dow,1,WEEKDAY(E4386,2)),"")</f>
        <v/>
      </c>
      <c r="M4386">
        <f>IF(B4386,(1+Trend)^D4386,"")</f>
        <v/>
      </c>
      <c r="N4386">
        <f>IF(B4386,EXP(SUMPRODUCT(LN(1+(EvEff-1)*INDEX(Affected,0,C4386)*EXP(-((E4386-EvCenter)^2)/(2*EvSigma^2))))),"")</f>
        <v/>
      </c>
      <c r="O4386">
        <f>IF(B4386,ROUND(MAX(0,J4386*K4386*L4386*M4386*N4386),2),"")</f>
        <v/>
      </c>
    </row>
    <row r="4387">
      <c r="A4387" t="n">
        <v>4386</v>
      </c>
      <c r="B4387">
        <f>A4387&lt;=MineCount*Days</f>
        <v/>
      </c>
      <c r="C4387">
        <f>IF(B4387,INT((A4387-1)/Days)+1,"")</f>
        <v/>
      </c>
      <c r="D4387">
        <f>IF(B4387,MOD(A4387-1,Days),"")</f>
        <v/>
      </c>
      <c r="E4387" s="16">
        <f>IF(B4387,StartDate+D4387,"")</f>
        <v/>
      </c>
      <c r="F4387">
        <f>IF(B4387,MAX(MOD(SIN(Seed*0.1373+C4387*12.9898+D4387*78.233)*43758.5453,1),1E-9),"")</f>
        <v/>
      </c>
      <c r="G4387">
        <f>IF(B4387,MOD(SIN(Seed*0.5917+C4387*39.3468+D4387*11.135)*24634.6345,1),"")</f>
        <v/>
      </c>
      <c r="H4387">
        <f>IF(B4387,SQRT(-2*LN(F4387))*COS(2*PI()*G4387),"")</f>
        <v/>
      </c>
      <c r="I4387">
        <f>IF(B4387,IF(D4387=0,H4387,Rho*I4386+SQRT(1-Rho^2)*H4387),"")</f>
        <v/>
      </c>
      <c r="J4387">
        <f>IF(B4387,IF(Dist="Normal",DistA+DistB*I4387,DistA+(DistB-DistA)*NORMSDIST(I4387)),"")</f>
        <v/>
      </c>
      <c r="K4387">
        <f>IF(B4387,INDEX(MineScale,C4387),"")</f>
        <v/>
      </c>
      <c r="L4387">
        <f>IF(B4387,INDEX(Dow,1,WEEKDAY(E4387,2)),"")</f>
        <v/>
      </c>
      <c r="M4387">
        <f>IF(B4387,(1+Trend)^D4387,"")</f>
        <v/>
      </c>
      <c r="N4387">
        <f>IF(B4387,EXP(SUMPRODUCT(LN(1+(EvEff-1)*INDEX(Affected,0,C4387)*EXP(-((E4387-EvCenter)^2)/(2*EvSigma^2))))),"")</f>
        <v/>
      </c>
      <c r="O4387">
        <f>IF(B4387,ROUND(MAX(0,J4387*K4387*L4387*M4387*N4387),2),"")</f>
        <v/>
      </c>
    </row>
    <row r="4388">
      <c r="A4388" t="n">
        <v>4387</v>
      </c>
      <c r="B4388">
        <f>A4388&lt;=MineCount*Days</f>
        <v/>
      </c>
      <c r="C4388">
        <f>IF(B4388,INT((A4388-1)/Days)+1,"")</f>
        <v/>
      </c>
      <c r="D4388">
        <f>IF(B4388,MOD(A4388-1,Days),"")</f>
        <v/>
      </c>
      <c r="E4388" s="16">
        <f>IF(B4388,StartDate+D4388,"")</f>
        <v/>
      </c>
      <c r="F4388">
        <f>IF(B4388,MAX(MOD(SIN(Seed*0.1373+C4388*12.9898+D4388*78.233)*43758.5453,1),1E-9),"")</f>
        <v/>
      </c>
      <c r="G4388">
        <f>IF(B4388,MOD(SIN(Seed*0.5917+C4388*39.3468+D4388*11.135)*24634.6345,1),"")</f>
        <v/>
      </c>
      <c r="H4388">
        <f>IF(B4388,SQRT(-2*LN(F4388))*COS(2*PI()*G4388),"")</f>
        <v/>
      </c>
      <c r="I4388">
        <f>IF(B4388,IF(D4388=0,H4388,Rho*I4387+SQRT(1-Rho^2)*H4388),"")</f>
        <v/>
      </c>
      <c r="J4388">
        <f>IF(B4388,IF(Dist="Normal",DistA+DistB*I4388,DistA+(DistB-DistA)*NORMSDIST(I4388)),"")</f>
        <v/>
      </c>
      <c r="K4388">
        <f>IF(B4388,INDEX(MineScale,C4388),"")</f>
        <v/>
      </c>
      <c r="L4388">
        <f>IF(B4388,INDEX(Dow,1,WEEKDAY(E4388,2)),"")</f>
        <v/>
      </c>
      <c r="M4388">
        <f>IF(B4388,(1+Trend)^D4388,"")</f>
        <v/>
      </c>
      <c r="N4388">
        <f>IF(B4388,EXP(SUMPRODUCT(LN(1+(EvEff-1)*INDEX(Affected,0,C4388)*EXP(-((E4388-EvCenter)^2)/(2*EvSigma^2))))),"")</f>
        <v/>
      </c>
      <c r="O4388">
        <f>IF(B4388,ROUND(MAX(0,J4388*K4388*L4388*M4388*N4388),2),"")</f>
        <v/>
      </c>
    </row>
    <row r="4389">
      <c r="A4389" t="n">
        <v>4388</v>
      </c>
      <c r="B4389">
        <f>A4389&lt;=MineCount*Days</f>
        <v/>
      </c>
      <c r="C4389">
        <f>IF(B4389,INT((A4389-1)/Days)+1,"")</f>
        <v/>
      </c>
      <c r="D4389">
        <f>IF(B4389,MOD(A4389-1,Days),"")</f>
        <v/>
      </c>
      <c r="E4389" s="16">
        <f>IF(B4389,StartDate+D4389,"")</f>
        <v/>
      </c>
      <c r="F4389">
        <f>IF(B4389,MAX(MOD(SIN(Seed*0.1373+C4389*12.9898+D4389*78.233)*43758.5453,1),1E-9),"")</f>
        <v/>
      </c>
      <c r="G4389">
        <f>IF(B4389,MOD(SIN(Seed*0.5917+C4389*39.3468+D4389*11.135)*24634.6345,1),"")</f>
        <v/>
      </c>
      <c r="H4389">
        <f>IF(B4389,SQRT(-2*LN(F4389))*COS(2*PI()*G4389),"")</f>
        <v/>
      </c>
      <c r="I4389">
        <f>IF(B4389,IF(D4389=0,H4389,Rho*I4388+SQRT(1-Rho^2)*H4389),"")</f>
        <v/>
      </c>
      <c r="J4389">
        <f>IF(B4389,IF(Dist="Normal",DistA+DistB*I4389,DistA+(DistB-DistA)*NORMSDIST(I4389)),"")</f>
        <v/>
      </c>
      <c r="K4389">
        <f>IF(B4389,INDEX(MineScale,C4389),"")</f>
        <v/>
      </c>
      <c r="L4389">
        <f>IF(B4389,INDEX(Dow,1,WEEKDAY(E4389,2)),"")</f>
        <v/>
      </c>
      <c r="M4389">
        <f>IF(B4389,(1+Trend)^D4389,"")</f>
        <v/>
      </c>
      <c r="N4389">
        <f>IF(B4389,EXP(SUMPRODUCT(LN(1+(EvEff-1)*INDEX(Affected,0,C4389)*EXP(-((E4389-EvCenter)^2)/(2*EvSigma^2))))),"")</f>
        <v/>
      </c>
      <c r="O4389">
        <f>IF(B4389,ROUND(MAX(0,J4389*K4389*L4389*M4389*N4389),2),"")</f>
        <v/>
      </c>
    </row>
    <row r="4390">
      <c r="A4390" t="n">
        <v>4389</v>
      </c>
      <c r="B4390">
        <f>A4390&lt;=MineCount*Days</f>
        <v/>
      </c>
      <c r="C4390">
        <f>IF(B4390,INT((A4390-1)/Days)+1,"")</f>
        <v/>
      </c>
      <c r="D4390">
        <f>IF(B4390,MOD(A4390-1,Days),"")</f>
        <v/>
      </c>
      <c r="E4390" s="16">
        <f>IF(B4390,StartDate+D4390,"")</f>
        <v/>
      </c>
      <c r="F4390">
        <f>IF(B4390,MAX(MOD(SIN(Seed*0.1373+C4390*12.9898+D4390*78.233)*43758.5453,1),1E-9),"")</f>
        <v/>
      </c>
      <c r="G4390">
        <f>IF(B4390,MOD(SIN(Seed*0.5917+C4390*39.3468+D4390*11.135)*24634.6345,1),"")</f>
        <v/>
      </c>
      <c r="H4390">
        <f>IF(B4390,SQRT(-2*LN(F4390))*COS(2*PI()*G4390),"")</f>
        <v/>
      </c>
      <c r="I4390">
        <f>IF(B4390,IF(D4390=0,H4390,Rho*I4389+SQRT(1-Rho^2)*H4390),"")</f>
        <v/>
      </c>
      <c r="J4390">
        <f>IF(B4390,IF(Dist="Normal",DistA+DistB*I4390,DistA+(DistB-DistA)*NORMSDIST(I4390)),"")</f>
        <v/>
      </c>
      <c r="K4390">
        <f>IF(B4390,INDEX(MineScale,C4390),"")</f>
        <v/>
      </c>
      <c r="L4390">
        <f>IF(B4390,INDEX(Dow,1,WEEKDAY(E4390,2)),"")</f>
        <v/>
      </c>
      <c r="M4390">
        <f>IF(B4390,(1+Trend)^D4390,"")</f>
        <v/>
      </c>
      <c r="N4390">
        <f>IF(B4390,EXP(SUMPRODUCT(LN(1+(EvEff-1)*INDEX(Affected,0,C4390)*EXP(-((E4390-EvCenter)^2)/(2*EvSigma^2))))),"")</f>
        <v/>
      </c>
      <c r="O4390">
        <f>IF(B4390,ROUND(MAX(0,J4390*K4390*L4390*M4390*N4390),2),"")</f>
        <v/>
      </c>
    </row>
    <row r="4391">
      <c r="A4391" t="n">
        <v>4390</v>
      </c>
      <c r="B4391">
        <f>A4391&lt;=MineCount*Days</f>
        <v/>
      </c>
      <c r="C4391">
        <f>IF(B4391,INT((A4391-1)/Days)+1,"")</f>
        <v/>
      </c>
      <c r="D4391">
        <f>IF(B4391,MOD(A4391-1,Days),"")</f>
        <v/>
      </c>
      <c r="E4391" s="16">
        <f>IF(B4391,StartDate+D4391,"")</f>
        <v/>
      </c>
      <c r="F4391">
        <f>IF(B4391,MAX(MOD(SIN(Seed*0.1373+C4391*12.9898+D4391*78.233)*43758.5453,1),1E-9),"")</f>
        <v/>
      </c>
      <c r="G4391">
        <f>IF(B4391,MOD(SIN(Seed*0.5917+C4391*39.3468+D4391*11.135)*24634.6345,1),"")</f>
        <v/>
      </c>
      <c r="H4391">
        <f>IF(B4391,SQRT(-2*LN(F4391))*COS(2*PI()*G4391),"")</f>
        <v/>
      </c>
      <c r="I4391">
        <f>IF(B4391,IF(D4391=0,H4391,Rho*I4390+SQRT(1-Rho^2)*H4391),"")</f>
        <v/>
      </c>
      <c r="J4391">
        <f>IF(B4391,IF(Dist="Normal",DistA+DistB*I4391,DistA+(DistB-DistA)*NORMSDIST(I4391)),"")</f>
        <v/>
      </c>
      <c r="K4391">
        <f>IF(B4391,INDEX(MineScale,C4391),"")</f>
        <v/>
      </c>
      <c r="L4391">
        <f>IF(B4391,INDEX(Dow,1,WEEKDAY(E4391,2)),"")</f>
        <v/>
      </c>
      <c r="M4391">
        <f>IF(B4391,(1+Trend)^D4391,"")</f>
        <v/>
      </c>
      <c r="N4391">
        <f>IF(B4391,EXP(SUMPRODUCT(LN(1+(EvEff-1)*INDEX(Affected,0,C4391)*EXP(-((E4391-EvCenter)^2)/(2*EvSigma^2))))),"")</f>
        <v/>
      </c>
      <c r="O4391">
        <f>IF(B4391,ROUND(MAX(0,J4391*K4391*L4391*M4391*N4391),2),"")</f>
        <v/>
      </c>
    </row>
    <row r="4392">
      <c r="A4392" t="n">
        <v>4391</v>
      </c>
      <c r="B4392">
        <f>A4392&lt;=MineCount*Days</f>
        <v/>
      </c>
      <c r="C4392">
        <f>IF(B4392,INT((A4392-1)/Days)+1,"")</f>
        <v/>
      </c>
      <c r="D4392">
        <f>IF(B4392,MOD(A4392-1,Days),"")</f>
        <v/>
      </c>
      <c r="E4392" s="16">
        <f>IF(B4392,StartDate+D4392,"")</f>
        <v/>
      </c>
      <c r="F4392">
        <f>IF(B4392,MAX(MOD(SIN(Seed*0.1373+C4392*12.9898+D4392*78.233)*43758.5453,1),1E-9),"")</f>
        <v/>
      </c>
      <c r="G4392">
        <f>IF(B4392,MOD(SIN(Seed*0.5917+C4392*39.3468+D4392*11.135)*24634.6345,1),"")</f>
        <v/>
      </c>
      <c r="H4392">
        <f>IF(B4392,SQRT(-2*LN(F4392))*COS(2*PI()*G4392),"")</f>
        <v/>
      </c>
      <c r="I4392">
        <f>IF(B4392,IF(D4392=0,H4392,Rho*I4391+SQRT(1-Rho^2)*H4392),"")</f>
        <v/>
      </c>
      <c r="J4392">
        <f>IF(B4392,IF(Dist="Normal",DistA+DistB*I4392,DistA+(DistB-DistA)*NORMSDIST(I4392)),"")</f>
        <v/>
      </c>
      <c r="K4392">
        <f>IF(B4392,INDEX(MineScale,C4392),"")</f>
        <v/>
      </c>
      <c r="L4392">
        <f>IF(B4392,INDEX(Dow,1,WEEKDAY(E4392,2)),"")</f>
        <v/>
      </c>
      <c r="M4392">
        <f>IF(B4392,(1+Trend)^D4392,"")</f>
        <v/>
      </c>
      <c r="N4392">
        <f>IF(B4392,EXP(SUMPRODUCT(LN(1+(EvEff-1)*INDEX(Affected,0,C4392)*EXP(-((E4392-EvCenter)^2)/(2*EvSigma^2))))),"")</f>
        <v/>
      </c>
      <c r="O4392">
        <f>IF(B4392,ROUND(MAX(0,J4392*K4392*L4392*M4392*N4392),2),"")</f>
        <v/>
      </c>
    </row>
    <row r="4393">
      <c r="A4393" t="n">
        <v>4392</v>
      </c>
      <c r="B4393">
        <f>A4393&lt;=MineCount*Days</f>
        <v/>
      </c>
      <c r="C4393">
        <f>IF(B4393,INT((A4393-1)/Days)+1,"")</f>
        <v/>
      </c>
      <c r="D4393">
        <f>IF(B4393,MOD(A4393-1,Days),"")</f>
        <v/>
      </c>
      <c r="E4393" s="16">
        <f>IF(B4393,StartDate+D4393,"")</f>
        <v/>
      </c>
      <c r="F4393">
        <f>IF(B4393,MAX(MOD(SIN(Seed*0.1373+C4393*12.9898+D4393*78.233)*43758.5453,1),1E-9),"")</f>
        <v/>
      </c>
      <c r="G4393">
        <f>IF(B4393,MOD(SIN(Seed*0.5917+C4393*39.3468+D4393*11.135)*24634.6345,1),"")</f>
        <v/>
      </c>
      <c r="H4393">
        <f>IF(B4393,SQRT(-2*LN(F4393))*COS(2*PI()*G4393),"")</f>
        <v/>
      </c>
      <c r="I4393">
        <f>IF(B4393,IF(D4393=0,H4393,Rho*I4392+SQRT(1-Rho^2)*H4393),"")</f>
        <v/>
      </c>
      <c r="J4393">
        <f>IF(B4393,IF(Dist="Normal",DistA+DistB*I4393,DistA+(DistB-DistA)*NORMSDIST(I4393)),"")</f>
        <v/>
      </c>
      <c r="K4393">
        <f>IF(B4393,INDEX(MineScale,C4393),"")</f>
        <v/>
      </c>
      <c r="L4393">
        <f>IF(B4393,INDEX(Dow,1,WEEKDAY(E4393,2)),"")</f>
        <v/>
      </c>
      <c r="M4393">
        <f>IF(B4393,(1+Trend)^D4393,"")</f>
        <v/>
      </c>
      <c r="N4393">
        <f>IF(B4393,EXP(SUMPRODUCT(LN(1+(EvEff-1)*INDEX(Affected,0,C4393)*EXP(-((E4393-EvCenter)^2)/(2*EvSigma^2))))),"")</f>
        <v/>
      </c>
      <c r="O4393">
        <f>IF(B4393,ROUND(MAX(0,J4393*K4393*L4393*M4393*N4393),2),"")</f>
        <v/>
      </c>
    </row>
    <row r="4394">
      <c r="A4394" t="n">
        <v>4393</v>
      </c>
      <c r="B4394">
        <f>A4394&lt;=MineCount*Days</f>
        <v/>
      </c>
      <c r="C4394">
        <f>IF(B4394,INT((A4394-1)/Days)+1,"")</f>
        <v/>
      </c>
      <c r="D4394">
        <f>IF(B4394,MOD(A4394-1,Days),"")</f>
        <v/>
      </c>
      <c r="E4394" s="16">
        <f>IF(B4394,StartDate+D4394,"")</f>
        <v/>
      </c>
      <c r="F4394">
        <f>IF(B4394,MAX(MOD(SIN(Seed*0.1373+C4394*12.9898+D4394*78.233)*43758.5453,1),1E-9),"")</f>
        <v/>
      </c>
      <c r="G4394">
        <f>IF(B4394,MOD(SIN(Seed*0.5917+C4394*39.3468+D4394*11.135)*24634.6345,1),"")</f>
        <v/>
      </c>
      <c r="H4394">
        <f>IF(B4394,SQRT(-2*LN(F4394))*COS(2*PI()*G4394),"")</f>
        <v/>
      </c>
      <c r="I4394">
        <f>IF(B4394,IF(D4394=0,H4394,Rho*I4393+SQRT(1-Rho^2)*H4394),"")</f>
        <v/>
      </c>
      <c r="J4394">
        <f>IF(B4394,IF(Dist="Normal",DistA+DistB*I4394,DistA+(DistB-DistA)*NORMSDIST(I4394)),"")</f>
        <v/>
      </c>
      <c r="K4394">
        <f>IF(B4394,INDEX(MineScale,C4394),"")</f>
        <v/>
      </c>
      <c r="L4394">
        <f>IF(B4394,INDEX(Dow,1,WEEKDAY(E4394,2)),"")</f>
        <v/>
      </c>
      <c r="M4394">
        <f>IF(B4394,(1+Trend)^D4394,"")</f>
        <v/>
      </c>
      <c r="N4394">
        <f>IF(B4394,EXP(SUMPRODUCT(LN(1+(EvEff-1)*INDEX(Affected,0,C4394)*EXP(-((E4394-EvCenter)^2)/(2*EvSigma^2))))),"")</f>
        <v/>
      </c>
      <c r="O4394">
        <f>IF(B4394,ROUND(MAX(0,J4394*K4394*L4394*M4394*N4394),2),"")</f>
        <v/>
      </c>
    </row>
    <row r="4395">
      <c r="A4395" t="n">
        <v>4394</v>
      </c>
      <c r="B4395">
        <f>A4395&lt;=MineCount*Days</f>
        <v/>
      </c>
      <c r="C4395">
        <f>IF(B4395,INT((A4395-1)/Days)+1,"")</f>
        <v/>
      </c>
      <c r="D4395">
        <f>IF(B4395,MOD(A4395-1,Days),"")</f>
        <v/>
      </c>
      <c r="E4395" s="16">
        <f>IF(B4395,StartDate+D4395,"")</f>
        <v/>
      </c>
      <c r="F4395">
        <f>IF(B4395,MAX(MOD(SIN(Seed*0.1373+C4395*12.9898+D4395*78.233)*43758.5453,1),1E-9),"")</f>
        <v/>
      </c>
      <c r="G4395">
        <f>IF(B4395,MOD(SIN(Seed*0.5917+C4395*39.3468+D4395*11.135)*24634.6345,1),"")</f>
        <v/>
      </c>
      <c r="H4395">
        <f>IF(B4395,SQRT(-2*LN(F4395))*COS(2*PI()*G4395),"")</f>
        <v/>
      </c>
      <c r="I4395">
        <f>IF(B4395,IF(D4395=0,H4395,Rho*I4394+SQRT(1-Rho^2)*H4395),"")</f>
        <v/>
      </c>
      <c r="J4395">
        <f>IF(B4395,IF(Dist="Normal",DistA+DistB*I4395,DistA+(DistB-DistA)*NORMSDIST(I4395)),"")</f>
        <v/>
      </c>
      <c r="K4395">
        <f>IF(B4395,INDEX(MineScale,C4395),"")</f>
        <v/>
      </c>
      <c r="L4395">
        <f>IF(B4395,INDEX(Dow,1,WEEKDAY(E4395,2)),"")</f>
        <v/>
      </c>
      <c r="M4395">
        <f>IF(B4395,(1+Trend)^D4395,"")</f>
        <v/>
      </c>
      <c r="N4395">
        <f>IF(B4395,EXP(SUMPRODUCT(LN(1+(EvEff-1)*INDEX(Affected,0,C4395)*EXP(-((E4395-EvCenter)^2)/(2*EvSigma^2))))),"")</f>
        <v/>
      </c>
      <c r="O4395">
        <f>IF(B4395,ROUND(MAX(0,J4395*K4395*L4395*M4395*N4395),2),"")</f>
        <v/>
      </c>
    </row>
    <row r="4396">
      <c r="A4396" t="n">
        <v>4395</v>
      </c>
      <c r="B4396">
        <f>A4396&lt;=MineCount*Days</f>
        <v/>
      </c>
      <c r="C4396">
        <f>IF(B4396,INT((A4396-1)/Days)+1,"")</f>
        <v/>
      </c>
      <c r="D4396">
        <f>IF(B4396,MOD(A4396-1,Days),"")</f>
        <v/>
      </c>
      <c r="E4396" s="16">
        <f>IF(B4396,StartDate+D4396,"")</f>
        <v/>
      </c>
      <c r="F4396">
        <f>IF(B4396,MAX(MOD(SIN(Seed*0.1373+C4396*12.9898+D4396*78.233)*43758.5453,1),1E-9),"")</f>
        <v/>
      </c>
      <c r="G4396">
        <f>IF(B4396,MOD(SIN(Seed*0.5917+C4396*39.3468+D4396*11.135)*24634.6345,1),"")</f>
        <v/>
      </c>
      <c r="H4396">
        <f>IF(B4396,SQRT(-2*LN(F4396))*COS(2*PI()*G4396),"")</f>
        <v/>
      </c>
      <c r="I4396">
        <f>IF(B4396,IF(D4396=0,H4396,Rho*I4395+SQRT(1-Rho^2)*H4396),"")</f>
        <v/>
      </c>
      <c r="J4396">
        <f>IF(B4396,IF(Dist="Normal",DistA+DistB*I4396,DistA+(DistB-DistA)*NORMSDIST(I4396)),"")</f>
        <v/>
      </c>
      <c r="K4396">
        <f>IF(B4396,INDEX(MineScale,C4396),"")</f>
        <v/>
      </c>
      <c r="L4396">
        <f>IF(B4396,INDEX(Dow,1,WEEKDAY(E4396,2)),"")</f>
        <v/>
      </c>
      <c r="M4396">
        <f>IF(B4396,(1+Trend)^D4396,"")</f>
        <v/>
      </c>
      <c r="N4396">
        <f>IF(B4396,EXP(SUMPRODUCT(LN(1+(EvEff-1)*INDEX(Affected,0,C4396)*EXP(-((E4396-EvCenter)^2)/(2*EvSigma^2))))),"")</f>
        <v/>
      </c>
      <c r="O4396">
        <f>IF(B4396,ROUND(MAX(0,J4396*K4396*L4396*M4396*N4396),2),"")</f>
        <v/>
      </c>
    </row>
    <row r="4397">
      <c r="A4397" t="n">
        <v>4396</v>
      </c>
      <c r="B4397">
        <f>A4397&lt;=MineCount*Days</f>
        <v/>
      </c>
      <c r="C4397">
        <f>IF(B4397,INT((A4397-1)/Days)+1,"")</f>
        <v/>
      </c>
      <c r="D4397">
        <f>IF(B4397,MOD(A4397-1,Days),"")</f>
        <v/>
      </c>
      <c r="E4397" s="16">
        <f>IF(B4397,StartDate+D4397,"")</f>
        <v/>
      </c>
      <c r="F4397">
        <f>IF(B4397,MAX(MOD(SIN(Seed*0.1373+C4397*12.9898+D4397*78.233)*43758.5453,1),1E-9),"")</f>
        <v/>
      </c>
      <c r="G4397">
        <f>IF(B4397,MOD(SIN(Seed*0.5917+C4397*39.3468+D4397*11.135)*24634.6345,1),"")</f>
        <v/>
      </c>
      <c r="H4397">
        <f>IF(B4397,SQRT(-2*LN(F4397))*COS(2*PI()*G4397),"")</f>
        <v/>
      </c>
      <c r="I4397">
        <f>IF(B4397,IF(D4397=0,H4397,Rho*I4396+SQRT(1-Rho^2)*H4397),"")</f>
        <v/>
      </c>
      <c r="J4397">
        <f>IF(B4397,IF(Dist="Normal",DistA+DistB*I4397,DistA+(DistB-DistA)*NORMSDIST(I4397)),"")</f>
        <v/>
      </c>
      <c r="K4397">
        <f>IF(B4397,INDEX(MineScale,C4397),"")</f>
        <v/>
      </c>
      <c r="L4397">
        <f>IF(B4397,INDEX(Dow,1,WEEKDAY(E4397,2)),"")</f>
        <v/>
      </c>
      <c r="M4397">
        <f>IF(B4397,(1+Trend)^D4397,"")</f>
        <v/>
      </c>
      <c r="N4397">
        <f>IF(B4397,EXP(SUMPRODUCT(LN(1+(EvEff-1)*INDEX(Affected,0,C4397)*EXP(-((E4397-EvCenter)^2)/(2*EvSigma^2))))),"")</f>
        <v/>
      </c>
      <c r="O4397">
        <f>IF(B4397,ROUND(MAX(0,J4397*K4397*L4397*M4397*N4397),2),"")</f>
        <v/>
      </c>
    </row>
    <row r="4398">
      <c r="A4398" t="n">
        <v>4397</v>
      </c>
      <c r="B4398">
        <f>A4398&lt;=MineCount*Days</f>
        <v/>
      </c>
      <c r="C4398">
        <f>IF(B4398,INT((A4398-1)/Days)+1,"")</f>
        <v/>
      </c>
      <c r="D4398">
        <f>IF(B4398,MOD(A4398-1,Days),"")</f>
        <v/>
      </c>
      <c r="E4398" s="16">
        <f>IF(B4398,StartDate+D4398,"")</f>
        <v/>
      </c>
      <c r="F4398">
        <f>IF(B4398,MAX(MOD(SIN(Seed*0.1373+C4398*12.9898+D4398*78.233)*43758.5453,1),1E-9),"")</f>
        <v/>
      </c>
      <c r="G4398">
        <f>IF(B4398,MOD(SIN(Seed*0.5917+C4398*39.3468+D4398*11.135)*24634.6345,1),"")</f>
        <v/>
      </c>
      <c r="H4398">
        <f>IF(B4398,SQRT(-2*LN(F4398))*COS(2*PI()*G4398),"")</f>
        <v/>
      </c>
      <c r="I4398">
        <f>IF(B4398,IF(D4398=0,H4398,Rho*I4397+SQRT(1-Rho^2)*H4398),"")</f>
        <v/>
      </c>
      <c r="J4398">
        <f>IF(B4398,IF(Dist="Normal",DistA+DistB*I4398,DistA+(DistB-DistA)*NORMSDIST(I4398)),"")</f>
        <v/>
      </c>
      <c r="K4398">
        <f>IF(B4398,INDEX(MineScale,C4398),"")</f>
        <v/>
      </c>
      <c r="L4398">
        <f>IF(B4398,INDEX(Dow,1,WEEKDAY(E4398,2)),"")</f>
        <v/>
      </c>
      <c r="M4398">
        <f>IF(B4398,(1+Trend)^D4398,"")</f>
        <v/>
      </c>
      <c r="N4398">
        <f>IF(B4398,EXP(SUMPRODUCT(LN(1+(EvEff-1)*INDEX(Affected,0,C4398)*EXP(-((E4398-EvCenter)^2)/(2*EvSigma^2))))),"")</f>
        <v/>
      </c>
      <c r="O4398">
        <f>IF(B4398,ROUND(MAX(0,J4398*K4398*L4398*M4398*N4398),2),"")</f>
        <v/>
      </c>
    </row>
    <row r="4399">
      <c r="A4399" t="n">
        <v>4398</v>
      </c>
      <c r="B4399">
        <f>A4399&lt;=MineCount*Days</f>
        <v/>
      </c>
      <c r="C4399">
        <f>IF(B4399,INT((A4399-1)/Days)+1,"")</f>
        <v/>
      </c>
      <c r="D4399">
        <f>IF(B4399,MOD(A4399-1,Days),"")</f>
        <v/>
      </c>
      <c r="E4399" s="16">
        <f>IF(B4399,StartDate+D4399,"")</f>
        <v/>
      </c>
      <c r="F4399">
        <f>IF(B4399,MAX(MOD(SIN(Seed*0.1373+C4399*12.9898+D4399*78.233)*43758.5453,1),1E-9),"")</f>
        <v/>
      </c>
      <c r="G4399">
        <f>IF(B4399,MOD(SIN(Seed*0.5917+C4399*39.3468+D4399*11.135)*24634.6345,1),"")</f>
        <v/>
      </c>
      <c r="H4399">
        <f>IF(B4399,SQRT(-2*LN(F4399))*COS(2*PI()*G4399),"")</f>
        <v/>
      </c>
      <c r="I4399">
        <f>IF(B4399,IF(D4399=0,H4399,Rho*I4398+SQRT(1-Rho^2)*H4399),"")</f>
        <v/>
      </c>
      <c r="J4399">
        <f>IF(B4399,IF(Dist="Normal",DistA+DistB*I4399,DistA+(DistB-DistA)*NORMSDIST(I4399)),"")</f>
        <v/>
      </c>
      <c r="K4399">
        <f>IF(B4399,INDEX(MineScale,C4399),"")</f>
        <v/>
      </c>
      <c r="L4399">
        <f>IF(B4399,INDEX(Dow,1,WEEKDAY(E4399,2)),"")</f>
        <v/>
      </c>
      <c r="M4399">
        <f>IF(B4399,(1+Trend)^D4399,"")</f>
        <v/>
      </c>
      <c r="N4399">
        <f>IF(B4399,EXP(SUMPRODUCT(LN(1+(EvEff-1)*INDEX(Affected,0,C4399)*EXP(-((E4399-EvCenter)^2)/(2*EvSigma^2))))),"")</f>
        <v/>
      </c>
      <c r="O4399">
        <f>IF(B4399,ROUND(MAX(0,J4399*K4399*L4399*M4399*N4399),2),"")</f>
        <v/>
      </c>
    </row>
    <row r="4400">
      <c r="A4400" t="n">
        <v>4399</v>
      </c>
      <c r="B4400">
        <f>A4400&lt;=MineCount*Days</f>
        <v/>
      </c>
      <c r="C4400">
        <f>IF(B4400,INT((A4400-1)/Days)+1,"")</f>
        <v/>
      </c>
      <c r="D4400">
        <f>IF(B4400,MOD(A4400-1,Days),"")</f>
        <v/>
      </c>
      <c r="E4400" s="16">
        <f>IF(B4400,StartDate+D4400,"")</f>
        <v/>
      </c>
      <c r="F4400">
        <f>IF(B4400,MAX(MOD(SIN(Seed*0.1373+C4400*12.9898+D4400*78.233)*43758.5453,1),1E-9),"")</f>
        <v/>
      </c>
      <c r="G4400">
        <f>IF(B4400,MOD(SIN(Seed*0.5917+C4400*39.3468+D4400*11.135)*24634.6345,1),"")</f>
        <v/>
      </c>
      <c r="H4400">
        <f>IF(B4400,SQRT(-2*LN(F4400))*COS(2*PI()*G4400),"")</f>
        <v/>
      </c>
      <c r="I4400">
        <f>IF(B4400,IF(D4400=0,H4400,Rho*I4399+SQRT(1-Rho^2)*H4400),"")</f>
        <v/>
      </c>
      <c r="J4400">
        <f>IF(B4400,IF(Dist="Normal",DistA+DistB*I4400,DistA+(DistB-DistA)*NORMSDIST(I4400)),"")</f>
        <v/>
      </c>
      <c r="K4400">
        <f>IF(B4400,INDEX(MineScale,C4400),"")</f>
        <v/>
      </c>
      <c r="L4400">
        <f>IF(B4400,INDEX(Dow,1,WEEKDAY(E4400,2)),"")</f>
        <v/>
      </c>
      <c r="M4400">
        <f>IF(B4400,(1+Trend)^D4400,"")</f>
        <v/>
      </c>
      <c r="N4400">
        <f>IF(B4400,EXP(SUMPRODUCT(LN(1+(EvEff-1)*INDEX(Affected,0,C4400)*EXP(-((E4400-EvCenter)^2)/(2*EvSigma^2))))),"")</f>
        <v/>
      </c>
      <c r="O4400">
        <f>IF(B4400,ROUND(MAX(0,J4400*K4400*L4400*M4400*N4400),2),"")</f>
        <v/>
      </c>
    </row>
    <row r="4401">
      <c r="A4401" t="n">
        <v>4400</v>
      </c>
      <c r="B4401">
        <f>A4401&lt;=MineCount*Days</f>
        <v/>
      </c>
      <c r="C4401">
        <f>IF(B4401,INT((A4401-1)/Days)+1,"")</f>
        <v/>
      </c>
      <c r="D4401">
        <f>IF(B4401,MOD(A4401-1,Days),"")</f>
        <v/>
      </c>
      <c r="E4401" s="16">
        <f>IF(B4401,StartDate+D4401,"")</f>
        <v/>
      </c>
      <c r="F4401">
        <f>IF(B4401,MAX(MOD(SIN(Seed*0.1373+C4401*12.9898+D4401*78.233)*43758.5453,1),1E-9),"")</f>
        <v/>
      </c>
      <c r="G4401">
        <f>IF(B4401,MOD(SIN(Seed*0.5917+C4401*39.3468+D4401*11.135)*24634.6345,1),"")</f>
        <v/>
      </c>
      <c r="H4401">
        <f>IF(B4401,SQRT(-2*LN(F4401))*COS(2*PI()*G4401),"")</f>
        <v/>
      </c>
      <c r="I4401">
        <f>IF(B4401,IF(D4401=0,H4401,Rho*I4400+SQRT(1-Rho^2)*H4401),"")</f>
        <v/>
      </c>
      <c r="J4401">
        <f>IF(B4401,IF(Dist="Normal",DistA+DistB*I4401,DistA+(DistB-DistA)*NORMSDIST(I4401)),"")</f>
        <v/>
      </c>
      <c r="K4401">
        <f>IF(B4401,INDEX(MineScale,C4401),"")</f>
        <v/>
      </c>
      <c r="L4401">
        <f>IF(B4401,INDEX(Dow,1,WEEKDAY(E4401,2)),"")</f>
        <v/>
      </c>
      <c r="M4401">
        <f>IF(B4401,(1+Trend)^D4401,"")</f>
        <v/>
      </c>
      <c r="N4401">
        <f>IF(B4401,EXP(SUMPRODUCT(LN(1+(EvEff-1)*INDEX(Affected,0,C4401)*EXP(-((E4401-EvCenter)^2)/(2*EvSigma^2))))),"")</f>
        <v/>
      </c>
      <c r="O4401">
        <f>IF(B4401,ROUND(MAX(0,J4401*K4401*L4401*M4401*N4401),2),"")</f>
        <v/>
      </c>
    </row>
    <row r="4402">
      <c r="A4402" t="n">
        <v>4401</v>
      </c>
      <c r="B4402">
        <f>A4402&lt;=MineCount*Days</f>
        <v/>
      </c>
      <c r="C4402">
        <f>IF(B4402,INT((A4402-1)/Days)+1,"")</f>
        <v/>
      </c>
      <c r="D4402">
        <f>IF(B4402,MOD(A4402-1,Days),"")</f>
        <v/>
      </c>
      <c r="E4402" s="16">
        <f>IF(B4402,StartDate+D4402,"")</f>
        <v/>
      </c>
      <c r="F4402">
        <f>IF(B4402,MAX(MOD(SIN(Seed*0.1373+C4402*12.9898+D4402*78.233)*43758.5453,1),1E-9),"")</f>
        <v/>
      </c>
      <c r="G4402">
        <f>IF(B4402,MOD(SIN(Seed*0.5917+C4402*39.3468+D4402*11.135)*24634.6345,1),"")</f>
        <v/>
      </c>
      <c r="H4402">
        <f>IF(B4402,SQRT(-2*LN(F4402))*COS(2*PI()*G4402),"")</f>
        <v/>
      </c>
      <c r="I4402">
        <f>IF(B4402,IF(D4402=0,H4402,Rho*I4401+SQRT(1-Rho^2)*H4402),"")</f>
        <v/>
      </c>
      <c r="J4402">
        <f>IF(B4402,IF(Dist="Normal",DistA+DistB*I4402,DistA+(DistB-DistA)*NORMSDIST(I4402)),"")</f>
        <v/>
      </c>
      <c r="K4402">
        <f>IF(B4402,INDEX(MineScale,C4402),"")</f>
        <v/>
      </c>
      <c r="L4402">
        <f>IF(B4402,INDEX(Dow,1,WEEKDAY(E4402,2)),"")</f>
        <v/>
      </c>
      <c r="M4402">
        <f>IF(B4402,(1+Trend)^D4402,"")</f>
        <v/>
      </c>
      <c r="N4402">
        <f>IF(B4402,EXP(SUMPRODUCT(LN(1+(EvEff-1)*INDEX(Affected,0,C4402)*EXP(-((E4402-EvCenter)^2)/(2*EvSigma^2))))),"")</f>
        <v/>
      </c>
      <c r="O4402">
        <f>IF(B4402,ROUND(MAX(0,J4402*K4402*L4402*M4402*N4402),2),"")</f>
        <v/>
      </c>
    </row>
    <row r="4403">
      <c r="A4403" t="n">
        <v>4402</v>
      </c>
      <c r="B4403">
        <f>A4403&lt;=MineCount*Days</f>
        <v/>
      </c>
      <c r="C4403">
        <f>IF(B4403,INT((A4403-1)/Days)+1,"")</f>
        <v/>
      </c>
      <c r="D4403">
        <f>IF(B4403,MOD(A4403-1,Days),"")</f>
        <v/>
      </c>
      <c r="E4403" s="16">
        <f>IF(B4403,StartDate+D4403,"")</f>
        <v/>
      </c>
      <c r="F4403">
        <f>IF(B4403,MAX(MOD(SIN(Seed*0.1373+C4403*12.9898+D4403*78.233)*43758.5453,1),1E-9),"")</f>
        <v/>
      </c>
      <c r="G4403">
        <f>IF(B4403,MOD(SIN(Seed*0.5917+C4403*39.3468+D4403*11.135)*24634.6345,1),"")</f>
        <v/>
      </c>
      <c r="H4403">
        <f>IF(B4403,SQRT(-2*LN(F4403))*COS(2*PI()*G4403),"")</f>
        <v/>
      </c>
      <c r="I4403">
        <f>IF(B4403,IF(D4403=0,H4403,Rho*I4402+SQRT(1-Rho^2)*H4403),"")</f>
        <v/>
      </c>
      <c r="J4403">
        <f>IF(B4403,IF(Dist="Normal",DistA+DistB*I4403,DistA+(DistB-DistA)*NORMSDIST(I4403)),"")</f>
        <v/>
      </c>
      <c r="K4403">
        <f>IF(B4403,INDEX(MineScale,C4403),"")</f>
        <v/>
      </c>
      <c r="L4403">
        <f>IF(B4403,INDEX(Dow,1,WEEKDAY(E4403,2)),"")</f>
        <v/>
      </c>
      <c r="M4403">
        <f>IF(B4403,(1+Trend)^D4403,"")</f>
        <v/>
      </c>
      <c r="N4403">
        <f>IF(B4403,EXP(SUMPRODUCT(LN(1+(EvEff-1)*INDEX(Affected,0,C4403)*EXP(-((E4403-EvCenter)^2)/(2*EvSigma^2))))),"")</f>
        <v/>
      </c>
      <c r="O4403">
        <f>IF(B4403,ROUND(MAX(0,J4403*K4403*L4403*M4403*N4403),2),"")</f>
        <v/>
      </c>
    </row>
    <row r="4404">
      <c r="A4404" t="n">
        <v>4403</v>
      </c>
      <c r="B4404">
        <f>A4404&lt;=MineCount*Days</f>
        <v/>
      </c>
      <c r="C4404">
        <f>IF(B4404,INT((A4404-1)/Days)+1,"")</f>
        <v/>
      </c>
      <c r="D4404">
        <f>IF(B4404,MOD(A4404-1,Days),"")</f>
        <v/>
      </c>
      <c r="E4404" s="16">
        <f>IF(B4404,StartDate+D4404,"")</f>
        <v/>
      </c>
      <c r="F4404">
        <f>IF(B4404,MAX(MOD(SIN(Seed*0.1373+C4404*12.9898+D4404*78.233)*43758.5453,1),1E-9),"")</f>
        <v/>
      </c>
      <c r="G4404">
        <f>IF(B4404,MOD(SIN(Seed*0.5917+C4404*39.3468+D4404*11.135)*24634.6345,1),"")</f>
        <v/>
      </c>
      <c r="H4404">
        <f>IF(B4404,SQRT(-2*LN(F4404))*COS(2*PI()*G4404),"")</f>
        <v/>
      </c>
      <c r="I4404">
        <f>IF(B4404,IF(D4404=0,H4404,Rho*I4403+SQRT(1-Rho^2)*H4404),"")</f>
        <v/>
      </c>
      <c r="J4404">
        <f>IF(B4404,IF(Dist="Normal",DistA+DistB*I4404,DistA+(DistB-DistA)*NORMSDIST(I4404)),"")</f>
        <v/>
      </c>
      <c r="K4404">
        <f>IF(B4404,INDEX(MineScale,C4404),"")</f>
        <v/>
      </c>
      <c r="L4404">
        <f>IF(B4404,INDEX(Dow,1,WEEKDAY(E4404,2)),"")</f>
        <v/>
      </c>
      <c r="M4404">
        <f>IF(B4404,(1+Trend)^D4404,"")</f>
        <v/>
      </c>
      <c r="N4404">
        <f>IF(B4404,EXP(SUMPRODUCT(LN(1+(EvEff-1)*INDEX(Affected,0,C4404)*EXP(-((E4404-EvCenter)^2)/(2*EvSigma^2))))),"")</f>
        <v/>
      </c>
      <c r="O4404">
        <f>IF(B4404,ROUND(MAX(0,J4404*K4404*L4404*M4404*N4404),2),"")</f>
        <v/>
      </c>
    </row>
    <row r="4405">
      <c r="A4405" t="n">
        <v>4404</v>
      </c>
      <c r="B4405">
        <f>A4405&lt;=MineCount*Days</f>
        <v/>
      </c>
      <c r="C4405">
        <f>IF(B4405,INT((A4405-1)/Days)+1,"")</f>
        <v/>
      </c>
      <c r="D4405">
        <f>IF(B4405,MOD(A4405-1,Days),"")</f>
        <v/>
      </c>
      <c r="E4405" s="16">
        <f>IF(B4405,StartDate+D4405,"")</f>
        <v/>
      </c>
      <c r="F4405">
        <f>IF(B4405,MAX(MOD(SIN(Seed*0.1373+C4405*12.9898+D4405*78.233)*43758.5453,1),1E-9),"")</f>
        <v/>
      </c>
      <c r="G4405">
        <f>IF(B4405,MOD(SIN(Seed*0.5917+C4405*39.3468+D4405*11.135)*24634.6345,1),"")</f>
        <v/>
      </c>
      <c r="H4405">
        <f>IF(B4405,SQRT(-2*LN(F4405))*COS(2*PI()*G4405),"")</f>
        <v/>
      </c>
      <c r="I4405">
        <f>IF(B4405,IF(D4405=0,H4405,Rho*I4404+SQRT(1-Rho^2)*H4405),"")</f>
        <v/>
      </c>
      <c r="J4405">
        <f>IF(B4405,IF(Dist="Normal",DistA+DistB*I4405,DistA+(DistB-DistA)*NORMSDIST(I4405)),"")</f>
        <v/>
      </c>
      <c r="K4405">
        <f>IF(B4405,INDEX(MineScale,C4405),"")</f>
        <v/>
      </c>
      <c r="L4405">
        <f>IF(B4405,INDEX(Dow,1,WEEKDAY(E4405,2)),"")</f>
        <v/>
      </c>
      <c r="M4405">
        <f>IF(B4405,(1+Trend)^D4405,"")</f>
        <v/>
      </c>
      <c r="N4405">
        <f>IF(B4405,EXP(SUMPRODUCT(LN(1+(EvEff-1)*INDEX(Affected,0,C4405)*EXP(-((E4405-EvCenter)^2)/(2*EvSigma^2))))),"")</f>
        <v/>
      </c>
      <c r="O4405">
        <f>IF(B4405,ROUND(MAX(0,J4405*K4405*L4405*M4405*N4405),2),"")</f>
        <v/>
      </c>
    </row>
    <row r="4406">
      <c r="A4406" t="n">
        <v>4405</v>
      </c>
      <c r="B4406">
        <f>A4406&lt;=MineCount*Days</f>
        <v/>
      </c>
      <c r="C4406">
        <f>IF(B4406,INT((A4406-1)/Days)+1,"")</f>
        <v/>
      </c>
      <c r="D4406">
        <f>IF(B4406,MOD(A4406-1,Days),"")</f>
        <v/>
      </c>
      <c r="E4406" s="16">
        <f>IF(B4406,StartDate+D4406,"")</f>
        <v/>
      </c>
      <c r="F4406">
        <f>IF(B4406,MAX(MOD(SIN(Seed*0.1373+C4406*12.9898+D4406*78.233)*43758.5453,1),1E-9),"")</f>
        <v/>
      </c>
      <c r="G4406">
        <f>IF(B4406,MOD(SIN(Seed*0.5917+C4406*39.3468+D4406*11.135)*24634.6345,1),"")</f>
        <v/>
      </c>
      <c r="H4406">
        <f>IF(B4406,SQRT(-2*LN(F4406))*COS(2*PI()*G4406),"")</f>
        <v/>
      </c>
      <c r="I4406">
        <f>IF(B4406,IF(D4406=0,H4406,Rho*I4405+SQRT(1-Rho^2)*H4406),"")</f>
        <v/>
      </c>
      <c r="J4406">
        <f>IF(B4406,IF(Dist="Normal",DistA+DistB*I4406,DistA+(DistB-DistA)*NORMSDIST(I4406)),"")</f>
        <v/>
      </c>
      <c r="K4406">
        <f>IF(B4406,INDEX(MineScale,C4406),"")</f>
        <v/>
      </c>
      <c r="L4406">
        <f>IF(B4406,INDEX(Dow,1,WEEKDAY(E4406,2)),"")</f>
        <v/>
      </c>
      <c r="M4406">
        <f>IF(B4406,(1+Trend)^D4406,"")</f>
        <v/>
      </c>
      <c r="N4406">
        <f>IF(B4406,EXP(SUMPRODUCT(LN(1+(EvEff-1)*INDEX(Affected,0,C4406)*EXP(-((E4406-EvCenter)^2)/(2*EvSigma^2))))),"")</f>
        <v/>
      </c>
      <c r="O4406">
        <f>IF(B4406,ROUND(MAX(0,J4406*K4406*L4406*M4406*N4406),2),"")</f>
        <v/>
      </c>
    </row>
    <row r="4407">
      <c r="A4407" t="n">
        <v>4406</v>
      </c>
      <c r="B4407">
        <f>A4407&lt;=MineCount*Days</f>
        <v/>
      </c>
      <c r="C4407">
        <f>IF(B4407,INT((A4407-1)/Days)+1,"")</f>
        <v/>
      </c>
      <c r="D4407">
        <f>IF(B4407,MOD(A4407-1,Days),"")</f>
        <v/>
      </c>
      <c r="E4407" s="16">
        <f>IF(B4407,StartDate+D4407,"")</f>
        <v/>
      </c>
      <c r="F4407">
        <f>IF(B4407,MAX(MOD(SIN(Seed*0.1373+C4407*12.9898+D4407*78.233)*43758.5453,1),1E-9),"")</f>
        <v/>
      </c>
      <c r="G4407">
        <f>IF(B4407,MOD(SIN(Seed*0.5917+C4407*39.3468+D4407*11.135)*24634.6345,1),"")</f>
        <v/>
      </c>
      <c r="H4407">
        <f>IF(B4407,SQRT(-2*LN(F4407))*COS(2*PI()*G4407),"")</f>
        <v/>
      </c>
      <c r="I4407">
        <f>IF(B4407,IF(D4407=0,H4407,Rho*I4406+SQRT(1-Rho^2)*H4407),"")</f>
        <v/>
      </c>
      <c r="J4407">
        <f>IF(B4407,IF(Dist="Normal",DistA+DistB*I4407,DistA+(DistB-DistA)*NORMSDIST(I4407)),"")</f>
        <v/>
      </c>
      <c r="K4407">
        <f>IF(B4407,INDEX(MineScale,C4407),"")</f>
        <v/>
      </c>
      <c r="L4407">
        <f>IF(B4407,INDEX(Dow,1,WEEKDAY(E4407,2)),"")</f>
        <v/>
      </c>
      <c r="M4407">
        <f>IF(B4407,(1+Trend)^D4407,"")</f>
        <v/>
      </c>
      <c r="N4407">
        <f>IF(B4407,EXP(SUMPRODUCT(LN(1+(EvEff-1)*INDEX(Affected,0,C4407)*EXP(-((E4407-EvCenter)^2)/(2*EvSigma^2))))),"")</f>
        <v/>
      </c>
      <c r="O4407">
        <f>IF(B4407,ROUND(MAX(0,J4407*K4407*L4407*M4407*N4407),2),"")</f>
        <v/>
      </c>
    </row>
    <row r="4408">
      <c r="A4408" t="n">
        <v>4407</v>
      </c>
      <c r="B4408">
        <f>A4408&lt;=MineCount*Days</f>
        <v/>
      </c>
      <c r="C4408">
        <f>IF(B4408,INT((A4408-1)/Days)+1,"")</f>
        <v/>
      </c>
      <c r="D4408">
        <f>IF(B4408,MOD(A4408-1,Days),"")</f>
        <v/>
      </c>
      <c r="E4408" s="16">
        <f>IF(B4408,StartDate+D4408,"")</f>
        <v/>
      </c>
      <c r="F4408">
        <f>IF(B4408,MAX(MOD(SIN(Seed*0.1373+C4408*12.9898+D4408*78.233)*43758.5453,1),1E-9),"")</f>
        <v/>
      </c>
      <c r="G4408">
        <f>IF(B4408,MOD(SIN(Seed*0.5917+C4408*39.3468+D4408*11.135)*24634.6345,1),"")</f>
        <v/>
      </c>
      <c r="H4408">
        <f>IF(B4408,SQRT(-2*LN(F4408))*COS(2*PI()*G4408),"")</f>
        <v/>
      </c>
      <c r="I4408">
        <f>IF(B4408,IF(D4408=0,H4408,Rho*I4407+SQRT(1-Rho^2)*H4408),"")</f>
        <v/>
      </c>
      <c r="J4408">
        <f>IF(B4408,IF(Dist="Normal",DistA+DistB*I4408,DistA+(DistB-DistA)*NORMSDIST(I4408)),"")</f>
        <v/>
      </c>
      <c r="K4408">
        <f>IF(B4408,INDEX(MineScale,C4408),"")</f>
        <v/>
      </c>
      <c r="L4408">
        <f>IF(B4408,INDEX(Dow,1,WEEKDAY(E4408,2)),"")</f>
        <v/>
      </c>
      <c r="M4408">
        <f>IF(B4408,(1+Trend)^D4408,"")</f>
        <v/>
      </c>
      <c r="N4408">
        <f>IF(B4408,EXP(SUMPRODUCT(LN(1+(EvEff-1)*INDEX(Affected,0,C4408)*EXP(-((E4408-EvCenter)^2)/(2*EvSigma^2))))),"")</f>
        <v/>
      </c>
      <c r="O4408">
        <f>IF(B4408,ROUND(MAX(0,J4408*K4408*L4408*M4408*N4408),2),"")</f>
        <v/>
      </c>
    </row>
    <row r="4409">
      <c r="A4409" t="n">
        <v>4408</v>
      </c>
      <c r="B4409">
        <f>A4409&lt;=MineCount*Days</f>
        <v/>
      </c>
      <c r="C4409">
        <f>IF(B4409,INT((A4409-1)/Days)+1,"")</f>
        <v/>
      </c>
      <c r="D4409">
        <f>IF(B4409,MOD(A4409-1,Days),"")</f>
        <v/>
      </c>
      <c r="E4409" s="16">
        <f>IF(B4409,StartDate+D4409,"")</f>
        <v/>
      </c>
      <c r="F4409">
        <f>IF(B4409,MAX(MOD(SIN(Seed*0.1373+C4409*12.9898+D4409*78.233)*43758.5453,1),1E-9),"")</f>
        <v/>
      </c>
      <c r="G4409">
        <f>IF(B4409,MOD(SIN(Seed*0.5917+C4409*39.3468+D4409*11.135)*24634.6345,1),"")</f>
        <v/>
      </c>
      <c r="H4409">
        <f>IF(B4409,SQRT(-2*LN(F4409))*COS(2*PI()*G4409),"")</f>
        <v/>
      </c>
      <c r="I4409">
        <f>IF(B4409,IF(D4409=0,H4409,Rho*I4408+SQRT(1-Rho^2)*H4409),"")</f>
        <v/>
      </c>
      <c r="J4409">
        <f>IF(B4409,IF(Dist="Normal",DistA+DistB*I4409,DistA+(DistB-DistA)*NORMSDIST(I4409)),"")</f>
        <v/>
      </c>
      <c r="K4409">
        <f>IF(B4409,INDEX(MineScale,C4409),"")</f>
        <v/>
      </c>
      <c r="L4409">
        <f>IF(B4409,INDEX(Dow,1,WEEKDAY(E4409,2)),"")</f>
        <v/>
      </c>
      <c r="M4409">
        <f>IF(B4409,(1+Trend)^D4409,"")</f>
        <v/>
      </c>
      <c r="N4409">
        <f>IF(B4409,EXP(SUMPRODUCT(LN(1+(EvEff-1)*INDEX(Affected,0,C4409)*EXP(-((E4409-EvCenter)^2)/(2*EvSigma^2))))),"")</f>
        <v/>
      </c>
      <c r="O4409">
        <f>IF(B4409,ROUND(MAX(0,J4409*K4409*L4409*M4409*N4409),2),"")</f>
        <v/>
      </c>
    </row>
    <row r="4410">
      <c r="A4410" t="n">
        <v>4409</v>
      </c>
      <c r="B4410">
        <f>A4410&lt;=MineCount*Days</f>
        <v/>
      </c>
      <c r="C4410">
        <f>IF(B4410,INT((A4410-1)/Days)+1,"")</f>
        <v/>
      </c>
      <c r="D4410">
        <f>IF(B4410,MOD(A4410-1,Days),"")</f>
        <v/>
      </c>
      <c r="E4410" s="16">
        <f>IF(B4410,StartDate+D4410,"")</f>
        <v/>
      </c>
      <c r="F4410">
        <f>IF(B4410,MAX(MOD(SIN(Seed*0.1373+C4410*12.9898+D4410*78.233)*43758.5453,1),1E-9),"")</f>
        <v/>
      </c>
      <c r="G4410">
        <f>IF(B4410,MOD(SIN(Seed*0.5917+C4410*39.3468+D4410*11.135)*24634.6345,1),"")</f>
        <v/>
      </c>
      <c r="H4410">
        <f>IF(B4410,SQRT(-2*LN(F4410))*COS(2*PI()*G4410),"")</f>
        <v/>
      </c>
      <c r="I4410">
        <f>IF(B4410,IF(D4410=0,H4410,Rho*I4409+SQRT(1-Rho^2)*H4410),"")</f>
        <v/>
      </c>
      <c r="J4410">
        <f>IF(B4410,IF(Dist="Normal",DistA+DistB*I4410,DistA+(DistB-DistA)*NORMSDIST(I4410)),"")</f>
        <v/>
      </c>
      <c r="K4410">
        <f>IF(B4410,INDEX(MineScale,C4410),"")</f>
        <v/>
      </c>
      <c r="L4410">
        <f>IF(B4410,INDEX(Dow,1,WEEKDAY(E4410,2)),"")</f>
        <v/>
      </c>
      <c r="M4410">
        <f>IF(B4410,(1+Trend)^D4410,"")</f>
        <v/>
      </c>
      <c r="N4410">
        <f>IF(B4410,EXP(SUMPRODUCT(LN(1+(EvEff-1)*INDEX(Affected,0,C4410)*EXP(-((E4410-EvCenter)^2)/(2*EvSigma^2))))),"")</f>
        <v/>
      </c>
      <c r="O4410">
        <f>IF(B4410,ROUND(MAX(0,J4410*K4410*L4410*M4410*N4410),2),"")</f>
        <v/>
      </c>
    </row>
    <row r="4411">
      <c r="A4411" t="n">
        <v>4410</v>
      </c>
      <c r="B4411">
        <f>A4411&lt;=MineCount*Days</f>
        <v/>
      </c>
      <c r="C4411">
        <f>IF(B4411,INT((A4411-1)/Days)+1,"")</f>
        <v/>
      </c>
      <c r="D4411">
        <f>IF(B4411,MOD(A4411-1,Days),"")</f>
        <v/>
      </c>
      <c r="E4411" s="16">
        <f>IF(B4411,StartDate+D4411,"")</f>
        <v/>
      </c>
      <c r="F4411">
        <f>IF(B4411,MAX(MOD(SIN(Seed*0.1373+C4411*12.9898+D4411*78.233)*43758.5453,1),1E-9),"")</f>
        <v/>
      </c>
      <c r="G4411">
        <f>IF(B4411,MOD(SIN(Seed*0.5917+C4411*39.3468+D4411*11.135)*24634.6345,1),"")</f>
        <v/>
      </c>
      <c r="H4411">
        <f>IF(B4411,SQRT(-2*LN(F4411))*COS(2*PI()*G4411),"")</f>
        <v/>
      </c>
      <c r="I4411">
        <f>IF(B4411,IF(D4411=0,H4411,Rho*I4410+SQRT(1-Rho^2)*H4411),"")</f>
        <v/>
      </c>
      <c r="J4411">
        <f>IF(B4411,IF(Dist="Normal",DistA+DistB*I4411,DistA+(DistB-DistA)*NORMSDIST(I4411)),"")</f>
        <v/>
      </c>
      <c r="K4411">
        <f>IF(B4411,INDEX(MineScale,C4411),"")</f>
        <v/>
      </c>
      <c r="L4411">
        <f>IF(B4411,INDEX(Dow,1,WEEKDAY(E4411,2)),"")</f>
        <v/>
      </c>
      <c r="M4411">
        <f>IF(B4411,(1+Trend)^D4411,"")</f>
        <v/>
      </c>
      <c r="N4411">
        <f>IF(B4411,EXP(SUMPRODUCT(LN(1+(EvEff-1)*INDEX(Affected,0,C4411)*EXP(-((E4411-EvCenter)^2)/(2*EvSigma^2))))),"")</f>
        <v/>
      </c>
      <c r="O4411">
        <f>IF(B4411,ROUND(MAX(0,J4411*K4411*L4411*M4411*N4411),2),"")</f>
        <v/>
      </c>
    </row>
    <row r="4412">
      <c r="A4412" t="n">
        <v>4411</v>
      </c>
      <c r="B4412">
        <f>A4412&lt;=MineCount*Days</f>
        <v/>
      </c>
      <c r="C4412">
        <f>IF(B4412,INT((A4412-1)/Days)+1,"")</f>
        <v/>
      </c>
      <c r="D4412">
        <f>IF(B4412,MOD(A4412-1,Days),"")</f>
        <v/>
      </c>
      <c r="E4412" s="16">
        <f>IF(B4412,StartDate+D4412,"")</f>
        <v/>
      </c>
      <c r="F4412">
        <f>IF(B4412,MAX(MOD(SIN(Seed*0.1373+C4412*12.9898+D4412*78.233)*43758.5453,1),1E-9),"")</f>
        <v/>
      </c>
      <c r="G4412">
        <f>IF(B4412,MOD(SIN(Seed*0.5917+C4412*39.3468+D4412*11.135)*24634.6345,1),"")</f>
        <v/>
      </c>
      <c r="H4412">
        <f>IF(B4412,SQRT(-2*LN(F4412))*COS(2*PI()*G4412),"")</f>
        <v/>
      </c>
      <c r="I4412">
        <f>IF(B4412,IF(D4412=0,H4412,Rho*I4411+SQRT(1-Rho^2)*H4412),"")</f>
        <v/>
      </c>
      <c r="J4412">
        <f>IF(B4412,IF(Dist="Normal",DistA+DistB*I4412,DistA+(DistB-DistA)*NORMSDIST(I4412)),"")</f>
        <v/>
      </c>
      <c r="K4412">
        <f>IF(B4412,INDEX(MineScale,C4412),"")</f>
        <v/>
      </c>
      <c r="L4412">
        <f>IF(B4412,INDEX(Dow,1,WEEKDAY(E4412,2)),"")</f>
        <v/>
      </c>
      <c r="M4412">
        <f>IF(B4412,(1+Trend)^D4412,"")</f>
        <v/>
      </c>
      <c r="N4412">
        <f>IF(B4412,EXP(SUMPRODUCT(LN(1+(EvEff-1)*INDEX(Affected,0,C4412)*EXP(-((E4412-EvCenter)^2)/(2*EvSigma^2))))),"")</f>
        <v/>
      </c>
      <c r="O4412">
        <f>IF(B4412,ROUND(MAX(0,J4412*K4412*L4412*M4412*N4412),2),"")</f>
        <v/>
      </c>
    </row>
    <row r="4413">
      <c r="A4413" t="n">
        <v>4412</v>
      </c>
      <c r="B4413">
        <f>A4413&lt;=MineCount*Days</f>
        <v/>
      </c>
      <c r="C4413">
        <f>IF(B4413,INT((A4413-1)/Days)+1,"")</f>
        <v/>
      </c>
      <c r="D4413">
        <f>IF(B4413,MOD(A4413-1,Days),"")</f>
        <v/>
      </c>
      <c r="E4413" s="16">
        <f>IF(B4413,StartDate+D4413,"")</f>
        <v/>
      </c>
      <c r="F4413">
        <f>IF(B4413,MAX(MOD(SIN(Seed*0.1373+C4413*12.9898+D4413*78.233)*43758.5453,1),1E-9),"")</f>
        <v/>
      </c>
      <c r="G4413">
        <f>IF(B4413,MOD(SIN(Seed*0.5917+C4413*39.3468+D4413*11.135)*24634.6345,1),"")</f>
        <v/>
      </c>
      <c r="H4413">
        <f>IF(B4413,SQRT(-2*LN(F4413))*COS(2*PI()*G4413),"")</f>
        <v/>
      </c>
      <c r="I4413">
        <f>IF(B4413,IF(D4413=0,H4413,Rho*I4412+SQRT(1-Rho^2)*H4413),"")</f>
        <v/>
      </c>
      <c r="J4413">
        <f>IF(B4413,IF(Dist="Normal",DistA+DistB*I4413,DistA+(DistB-DistA)*NORMSDIST(I4413)),"")</f>
        <v/>
      </c>
      <c r="K4413">
        <f>IF(B4413,INDEX(MineScale,C4413),"")</f>
        <v/>
      </c>
      <c r="L4413">
        <f>IF(B4413,INDEX(Dow,1,WEEKDAY(E4413,2)),"")</f>
        <v/>
      </c>
      <c r="M4413">
        <f>IF(B4413,(1+Trend)^D4413,"")</f>
        <v/>
      </c>
      <c r="N4413">
        <f>IF(B4413,EXP(SUMPRODUCT(LN(1+(EvEff-1)*INDEX(Affected,0,C4413)*EXP(-((E4413-EvCenter)^2)/(2*EvSigma^2))))),"")</f>
        <v/>
      </c>
      <c r="O4413">
        <f>IF(B4413,ROUND(MAX(0,J4413*K4413*L4413*M4413*N4413),2),"")</f>
        <v/>
      </c>
    </row>
    <row r="4414">
      <c r="A4414" t="n">
        <v>4413</v>
      </c>
      <c r="B4414">
        <f>A4414&lt;=MineCount*Days</f>
        <v/>
      </c>
      <c r="C4414">
        <f>IF(B4414,INT((A4414-1)/Days)+1,"")</f>
        <v/>
      </c>
      <c r="D4414">
        <f>IF(B4414,MOD(A4414-1,Days),"")</f>
        <v/>
      </c>
      <c r="E4414" s="16">
        <f>IF(B4414,StartDate+D4414,"")</f>
        <v/>
      </c>
      <c r="F4414">
        <f>IF(B4414,MAX(MOD(SIN(Seed*0.1373+C4414*12.9898+D4414*78.233)*43758.5453,1),1E-9),"")</f>
        <v/>
      </c>
      <c r="G4414">
        <f>IF(B4414,MOD(SIN(Seed*0.5917+C4414*39.3468+D4414*11.135)*24634.6345,1),"")</f>
        <v/>
      </c>
      <c r="H4414">
        <f>IF(B4414,SQRT(-2*LN(F4414))*COS(2*PI()*G4414),"")</f>
        <v/>
      </c>
      <c r="I4414">
        <f>IF(B4414,IF(D4414=0,H4414,Rho*I4413+SQRT(1-Rho^2)*H4414),"")</f>
        <v/>
      </c>
      <c r="J4414">
        <f>IF(B4414,IF(Dist="Normal",DistA+DistB*I4414,DistA+(DistB-DistA)*NORMSDIST(I4414)),"")</f>
        <v/>
      </c>
      <c r="K4414">
        <f>IF(B4414,INDEX(MineScale,C4414),"")</f>
        <v/>
      </c>
      <c r="L4414">
        <f>IF(B4414,INDEX(Dow,1,WEEKDAY(E4414,2)),"")</f>
        <v/>
      </c>
      <c r="M4414">
        <f>IF(B4414,(1+Trend)^D4414,"")</f>
        <v/>
      </c>
      <c r="N4414">
        <f>IF(B4414,EXP(SUMPRODUCT(LN(1+(EvEff-1)*INDEX(Affected,0,C4414)*EXP(-((E4414-EvCenter)^2)/(2*EvSigma^2))))),"")</f>
        <v/>
      </c>
      <c r="O4414">
        <f>IF(B4414,ROUND(MAX(0,J4414*K4414*L4414*M4414*N4414),2),"")</f>
        <v/>
      </c>
    </row>
    <row r="4415">
      <c r="A4415" t="n">
        <v>4414</v>
      </c>
      <c r="B4415">
        <f>A4415&lt;=MineCount*Days</f>
        <v/>
      </c>
      <c r="C4415">
        <f>IF(B4415,INT((A4415-1)/Days)+1,"")</f>
        <v/>
      </c>
      <c r="D4415">
        <f>IF(B4415,MOD(A4415-1,Days),"")</f>
        <v/>
      </c>
      <c r="E4415" s="16">
        <f>IF(B4415,StartDate+D4415,"")</f>
        <v/>
      </c>
      <c r="F4415">
        <f>IF(B4415,MAX(MOD(SIN(Seed*0.1373+C4415*12.9898+D4415*78.233)*43758.5453,1),1E-9),"")</f>
        <v/>
      </c>
      <c r="G4415">
        <f>IF(B4415,MOD(SIN(Seed*0.5917+C4415*39.3468+D4415*11.135)*24634.6345,1),"")</f>
        <v/>
      </c>
      <c r="H4415">
        <f>IF(B4415,SQRT(-2*LN(F4415))*COS(2*PI()*G4415),"")</f>
        <v/>
      </c>
      <c r="I4415">
        <f>IF(B4415,IF(D4415=0,H4415,Rho*I4414+SQRT(1-Rho^2)*H4415),"")</f>
        <v/>
      </c>
      <c r="J4415">
        <f>IF(B4415,IF(Dist="Normal",DistA+DistB*I4415,DistA+(DistB-DistA)*NORMSDIST(I4415)),"")</f>
        <v/>
      </c>
      <c r="K4415">
        <f>IF(B4415,INDEX(MineScale,C4415),"")</f>
        <v/>
      </c>
      <c r="L4415">
        <f>IF(B4415,INDEX(Dow,1,WEEKDAY(E4415,2)),"")</f>
        <v/>
      </c>
      <c r="M4415">
        <f>IF(B4415,(1+Trend)^D4415,"")</f>
        <v/>
      </c>
      <c r="N4415">
        <f>IF(B4415,EXP(SUMPRODUCT(LN(1+(EvEff-1)*INDEX(Affected,0,C4415)*EXP(-((E4415-EvCenter)^2)/(2*EvSigma^2))))),"")</f>
        <v/>
      </c>
      <c r="O4415">
        <f>IF(B4415,ROUND(MAX(0,J4415*K4415*L4415*M4415*N4415),2),"")</f>
        <v/>
      </c>
    </row>
    <row r="4416">
      <c r="A4416" t="n">
        <v>4415</v>
      </c>
      <c r="B4416">
        <f>A4416&lt;=MineCount*Days</f>
        <v/>
      </c>
      <c r="C4416">
        <f>IF(B4416,INT((A4416-1)/Days)+1,"")</f>
        <v/>
      </c>
      <c r="D4416">
        <f>IF(B4416,MOD(A4416-1,Days),"")</f>
        <v/>
      </c>
      <c r="E4416" s="16">
        <f>IF(B4416,StartDate+D4416,"")</f>
        <v/>
      </c>
      <c r="F4416">
        <f>IF(B4416,MAX(MOD(SIN(Seed*0.1373+C4416*12.9898+D4416*78.233)*43758.5453,1),1E-9),"")</f>
        <v/>
      </c>
      <c r="G4416">
        <f>IF(B4416,MOD(SIN(Seed*0.5917+C4416*39.3468+D4416*11.135)*24634.6345,1),"")</f>
        <v/>
      </c>
      <c r="H4416">
        <f>IF(B4416,SQRT(-2*LN(F4416))*COS(2*PI()*G4416),"")</f>
        <v/>
      </c>
      <c r="I4416">
        <f>IF(B4416,IF(D4416=0,H4416,Rho*I4415+SQRT(1-Rho^2)*H4416),"")</f>
        <v/>
      </c>
      <c r="J4416">
        <f>IF(B4416,IF(Dist="Normal",DistA+DistB*I4416,DistA+(DistB-DistA)*NORMSDIST(I4416)),"")</f>
        <v/>
      </c>
      <c r="K4416">
        <f>IF(B4416,INDEX(MineScale,C4416),"")</f>
        <v/>
      </c>
      <c r="L4416">
        <f>IF(B4416,INDEX(Dow,1,WEEKDAY(E4416,2)),"")</f>
        <v/>
      </c>
      <c r="M4416">
        <f>IF(B4416,(1+Trend)^D4416,"")</f>
        <v/>
      </c>
      <c r="N4416">
        <f>IF(B4416,EXP(SUMPRODUCT(LN(1+(EvEff-1)*INDEX(Affected,0,C4416)*EXP(-((E4416-EvCenter)^2)/(2*EvSigma^2))))),"")</f>
        <v/>
      </c>
      <c r="O4416">
        <f>IF(B4416,ROUND(MAX(0,J4416*K4416*L4416*M4416*N4416),2),"")</f>
        <v/>
      </c>
    </row>
    <row r="4417">
      <c r="A4417" t="n">
        <v>4416</v>
      </c>
      <c r="B4417">
        <f>A4417&lt;=MineCount*Days</f>
        <v/>
      </c>
      <c r="C4417">
        <f>IF(B4417,INT((A4417-1)/Days)+1,"")</f>
        <v/>
      </c>
      <c r="D4417">
        <f>IF(B4417,MOD(A4417-1,Days),"")</f>
        <v/>
      </c>
      <c r="E4417" s="16">
        <f>IF(B4417,StartDate+D4417,"")</f>
        <v/>
      </c>
      <c r="F4417">
        <f>IF(B4417,MAX(MOD(SIN(Seed*0.1373+C4417*12.9898+D4417*78.233)*43758.5453,1),1E-9),"")</f>
        <v/>
      </c>
      <c r="G4417">
        <f>IF(B4417,MOD(SIN(Seed*0.5917+C4417*39.3468+D4417*11.135)*24634.6345,1),"")</f>
        <v/>
      </c>
      <c r="H4417">
        <f>IF(B4417,SQRT(-2*LN(F4417))*COS(2*PI()*G4417),"")</f>
        <v/>
      </c>
      <c r="I4417">
        <f>IF(B4417,IF(D4417=0,H4417,Rho*I4416+SQRT(1-Rho^2)*H4417),"")</f>
        <v/>
      </c>
      <c r="J4417">
        <f>IF(B4417,IF(Dist="Normal",DistA+DistB*I4417,DistA+(DistB-DistA)*NORMSDIST(I4417)),"")</f>
        <v/>
      </c>
      <c r="K4417">
        <f>IF(B4417,INDEX(MineScale,C4417),"")</f>
        <v/>
      </c>
      <c r="L4417">
        <f>IF(B4417,INDEX(Dow,1,WEEKDAY(E4417,2)),"")</f>
        <v/>
      </c>
      <c r="M4417">
        <f>IF(B4417,(1+Trend)^D4417,"")</f>
        <v/>
      </c>
      <c r="N4417">
        <f>IF(B4417,EXP(SUMPRODUCT(LN(1+(EvEff-1)*INDEX(Affected,0,C4417)*EXP(-((E4417-EvCenter)^2)/(2*EvSigma^2))))),"")</f>
        <v/>
      </c>
      <c r="O4417">
        <f>IF(B4417,ROUND(MAX(0,J4417*K4417*L4417*M4417*N4417),2),"")</f>
        <v/>
      </c>
    </row>
    <row r="4418">
      <c r="A4418" t="n">
        <v>4417</v>
      </c>
      <c r="B4418">
        <f>A4418&lt;=MineCount*Days</f>
        <v/>
      </c>
      <c r="C4418">
        <f>IF(B4418,INT((A4418-1)/Days)+1,"")</f>
        <v/>
      </c>
      <c r="D4418">
        <f>IF(B4418,MOD(A4418-1,Days),"")</f>
        <v/>
      </c>
      <c r="E4418" s="16">
        <f>IF(B4418,StartDate+D4418,"")</f>
        <v/>
      </c>
      <c r="F4418">
        <f>IF(B4418,MAX(MOD(SIN(Seed*0.1373+C4418*12.9898+D4418*78.233)*43758.5453,1),1E-9),"")</f>
        <v/>
      </c>
      <c r="G4418">
        <f>IF(B4418,MOD(SIN(Seed*0.5917+C4418*39.3468+D4418*11.135)*24634.6345,1),"")</f>
        <v/>
      </c>
      <c r="H4418">
        <f>IF(B4418,SQRT(-2*LN(F4418))*COS(2*PI()*G4418),"")</f>
        <v/>
      </c>
      <c r="I4418">
        <f>IF(B4418,IF(D4418=0,H4418,Rho*I4417+SQRT(1-Rho^2)*H4418),"")</f>
        <v/>
      </c>
      <c r="J4418">
        <f>IF(B4418,IF(Dist="Normal",DistA+DistB*I4418,DistA+(DistB-DistA)*NORMSDIST(I4418)),"")</f>
        <v/>
      </c>
      <c r="K4418">
        <f>IF(B4418,INDEX(MineScale,C4418),"")</f>
        <v/>
      </c>
      <c r="L4418">
        <f>IF(B4418,INDEX(Dow,1,WEEKDAY(E4418,2)),"")</f>
        <v/>
      </c>
      <c r="M4418">
        <f>IF(B4418,(1+Trend)^D4418,"")</f>
        <v/>
      </c>
      <c r="N4418">
        <f>IF(B4418,EXP(SUMPRODUCT(LN(1+(EvEff-1)*INDEX(Affected,0,C4418)*EXP(-((E4418-EvCenter)^2)/(2*EvSigma^2))))),"")</f>
        <v/>
      </c>
      <c r="O4418">
        <f>IF(B4418,ROUND(MAX(0,J4418*K4418*L4418*M4418*N4418),2),"")</f>
        <v/>
      </c>
    </row>
    <row r="4419">
      <c r="A4419" t="n">
        <v>4418</v>
      </c>
      <c r="B4419">
        <f>A4419&lt;=MineCount*Days</f>
        <v/>
      </c>
      <c r="C4419">
        <f>IF(B4419,INT((A4419-1)/Days)+1,"")</f>
        <v/>
      </c>
      <c r="D4419">
        <f>IF(B4419,MOD(A4419-1,Days),"")</f>
        <v/>
      </c>
      <c r="E4419" s="16">
        <f>IF(B4419,StartDate+D4419,"")</f>
        <v/>
      </c>
      <c r="F4419">
        <f>IF(B4419,MAX(MOD(SIN(Seed*0.1373+C4419*12.9898+D4419*78.233)*43758.5453,1),1E-9),"")</f>
        <v/>
      </c>
      <c r="G4419">
        <f>IF(B4419,MOD(SIN(Seed*0.5917+C4419*39.3468+D4419*11.135)*24634.6345,1),"")</f>
        <v/>
      </c>
      <c r="H4419">
        <f>IF(B4419,SQRT(-2*LN(F4419))*COS(2*PI()*G4419),"")</f>
        <v/>
      </c>
      <c r="I4419">
        <f>IF(B4419,IF(D4419=0,H4419,Rho*I4418+SQRT(1-Rho^2)*H4419),"")</f>
        <v/>
      </c>
      <c r="J4419">
        <f>IF(B4419,IF(Dist="Normal",DistA+DistB*I4419,DistA+(DistB-DistA)*NORMSDIST(I4419)),"")</f>
        <v/>
      </c>
      <c r="K4419">
        <f>IF(B4419,INDEX(MineScale,C4419),"")</f>
        <v/>
      </c>
      <c r="L4419">
        <f>IF(B4419,INDEX(Dow,1,WEEKDAY(E4419,2)),"")</f>
        <v/>
      </c>
      <c r="M4419">
        <f>IF(B4419,(1+Trend)^D4419,"")</f>
        <v/>
      </c>
      <c r="N4419">
        <f>IF(B4419,EXP(SUMPRODUCT(LN(1+(EvEff-1)*INDEX(Affected,0,C4419)*EXP(-((E4419-EvCenter)^2)/(2*EvSigma^2))))),"")</f>
        <v/>
      </c>
      <c r="O4419">
        <f>IF(B4419,ROUND(MAX(0,J4419*K4419*L4419*M4419*N4419),2),"")</f>
        <v/>
      </c>
    </row>
    <row r="4420">
      <c r="A4420" t="n">
        <v>4419</v>
      </c>
      <c r="B4420">
        <f>A4420&lt;=MineCount*Days</f>
        <v/>
      </c>
      <c r="C4420">
        <f>IF(B4420,INT((A4420-1)/Days)+1,"")</f>
        <v/>
      </c>
      <c r="D4420">
        <f>IF(B4420,MOD(A4420-1,Days),"")</f>
        <v/>
      </c>
      <c r="E4420" s="16">
        <f>IF(B4420,StartDate+D4420,"")</f>
        <v/>
      </c>
      <c r="F4420">
        <f>IF(B4420,MAX(MOD(SIN(Seed*0.1373+C4420*12.9898+D4420*78.233)*43758.5453,1),1E-9),"")</f>
        <v/>
      </c>
      <c r="G4420">
        <f>IF(B4420,MOD(SIN(Seed*0.5917+C4420*39.3468+D4420*11.135)*24634.6345,1),"")</f>
        <v/>
      </c>
      <c r="H4420">
        <f>IF(B4420,SQRT(-2*LN(F4420))*COS(2*PI()*G4420),"")</f>
        <v/>
      </c>
      <c r="I4420">
        <f>IF(B4420,IF(D4420=0,H4420,Rho*I4419+SQRT(1-Rho^2)*H4420),"")</f>
        <v/>
      </c>
      <c r="J4420">
        <f>IF(B4420,IF(Dist="Normal",DistA+DistB*I4420,DistA+(DistB-DistA)*NORMSDIST(I4420)),"")</f>
        <v/>
      </c>
      <c r="K4420">
        <f>IF(B4420,INDEX(MineScale,C4420),"")</f>
        <v/>
      </c>
      <c r="L4420">
        <f>IF(B4420,INDEX(Dow,1,WEEKDAY(E4420,2)),"")</f>
        <v/>
      </c>
      <c r="M4420">
        <f>IF(B4420,(1+Trend)^D4420,"")</f>
        <v/>
      </c>
      <c r="N4420">
        <f>IF(B4420,EXP(SUMPRODUCT(LN(1+(EvEff-1)*INDEX(Affected,0,C4420)*EXP(-((E4420-EvCenter)^2)/(2*EvSigma^2))))),"")</f>
        <v/>
      </c>
      <c r="O4420">
        <f>IF(B4420,ROUND(MAX(0,J4420*K4420*L4420*M4420*N4420),2),"")</f>
        <v/>
      </c>
    </row>
    <row r="4421">
      <c r="A4421" t="n">
        <v>4420</v>
      </c>
      <c r="B4421">
        <f>A4421&lt;=MineCount*Days</f>
        <v/>
      </c>
      <c r="C4421">
        <f>IF(B4421,INT((A4421-1)/Days)+1,"")</f>
        <v/>
      </c>
      <c r="D4421">
        <f>IF(B4421,MOD(A4421-1,Days),"")</f>
        <v/>
      </c>
      <c r="E4421" s="16">
        <f>IF(B4421,StartDate+D4421,"")</f>
        <v/>
      </c>
      <c r="F4421">
        <f>IF(B4421,MAX(MOD(SIN(Seed*0.1373+C4421*12.9898+D4421*78.233)*43758.5453,1),1E-9),"")</f>
        <v/>
      </c>
      <c r="G4421">
        <f>IF(B4421,MOD(SIN(Seed*0.5917+C4421*39.3468+D4421*11.135)*24634.6345,1),"")</f>
        <v/>
      </c>
      <c r="H4421">
        <f>IF(B4421,SQRT(-2*LN(F4421))*COS(2*PI()*G4421),"")</f>
        <v/>
      </c>
      <c r="I4421">
        <f>IF(B4421,IF(D4421=0,H4421,Rho*I4420+SQRT(1-Rho^2)*H4421),"")</f>
        <v/>
      </c>
      <c r="J4421">
        <f>IF(B4421,IF(Dist="Normal",DistA+DistB*I4421,DistA+(DistB-DistA)*NORMSDIST(I4421)),"")</f>
        <v/>
      </c>
      <c r="K4421">
        <f>IF(B4421,INDEX(MineScale,C4421),"")</f>
        <v/>
      </c>
      <c r="L4421">
        <f>IF(B4421,INDEX(Dow,1,WEEKDAY(E4421,2)),"")</f>
        <v/>
      </c>
      <c r="M4421">
        <f>IF(B4421,(1+Trend)^D4421,"")</f>
        <v/>
      </c>
      <c r="N4421">
        <f>IF(B4421,EXP(SUMPRODUCT(LN(1+(EvEff-1)*INDEX(Affected,0,C4421)*EXP(-((E4421-EvCenter)^2)/(2*EvSigma^2))))),"")</f>
        <v/>
      </c>
      <c r="O4421">
        <f>IF(B4421,ROUND(MAX(0,J4421*K4421*L4421*M4421*N4421),2),"")</f>
        <v/>
      </c>
    </row>
    <row r="4422">
      <c r="A4422" t="n">
        <v>4421</v>
      </c>
      <c r="B4422">
        <f>A4422&lt;=MineCount*Days</f>
        <v/>
      </c>
      <c r="C4422">
        <f>IF(B4422,INT((A4422-1)/Days)+1,"")</f>
        <v/>
      </c>
      <c r="D4422">
        <f>IF(B4422,MOD(A4422-1,Days),"")</f>
        <v/>
      </c>
      <c r="E4422" s="16">
        <f>IF(B4422,StartDate+D4422,"")</f>
        <v/>
      </c>
      <c r="F4422">
        <f>IF(B4422,MAX(MOD(SIN(Seed*0.1373+C4422*12.9898+D4422*78.233)*43758.5453,1),1E-9),"")</f>
        <v/>
      </c>
      <c r="G4422">
        <f>IF(B4422,MOD(SIN(Seed*0.5917+C4422*39.3468+D4422*11.135)*24634.6345,1),"")</f>
        <v/>
      </c>
      <c r="H4422">
        <f>IF(B4422,SQRT(-2*LN(F4422))*COS(2*PI()*G4422),"")</f>
        <v/>
      </c>
      <c r="I4422">
        <f>IF(B4422,IF(D4422=0,H4422,Rho*I4421+SQRT(1-Rho^2)*H4422),"")</f>
        <v/>
      </c>
      <c r="J4422">
        <f>IF(B4422,IF(Dist="Normal",DistA+DistB*I4422,DistA+(DistB-DistA)*NORMSDIST(I4422)),"")</f>
        <v/>
      </c>
      <c r="K4422">
        <f>IF(B4422,INDEX(MineScale,C4422),"")</f>
        <v/>
      </c>
      <c r="L4422">
        <f>IF(B4422,INDEX(Dow,1,WEEKDAY(E4422,2)),"")</f>
        <v/>
      </c>
      <c r="M4422">
        <f>IF(B4422,(1+Trend)^D4422,"")</f>
        <v/>
      </c>
      <c r="N4422">
        <f>IF(B4422,EXP(SUMPRODUCT(LN(1+(EvEff-1)*INDEX(Affected,0,C4422)*EXP(-((E4422-EvCenter)^2)/(2*EvSigma^2))))),"")</f>
        <v/>
      </c>
      <c r="O4422">
        <f>IF(B4422,ROUND(MAX(0,J4422*K4422*L4422*M4422*N4422),2),"")</f>
        <v/>
      </c>
    </row>
    <row r="4423">
      <c r="A4423" t="n">
        <v>4422</v>
      </c>
      <c r="B4423">
        <f>A4423&lt;=MineCount*Days</f>
        <v/>
      </c>
      <c r="C4423">
        <f>IF(B4423,INT((A4423-1)/Days)+1,"")</f>
        <v/>
      </c>
      <c r="D4423">
        <f>IF(B4423,MOD(A4423-1,Days),"")</f>
        <v/>
      </c>
      <c r="E4423" s="16">
        <f>IF(B4423,StartDate+D4423,"")</f>
        <v/>
      </c>
      <c r="F4423">
        <f>IF(B4423,MAX(MOD(SIN(Seed*0.1373+C4423*12.9898+D4423*78.233)*43758.5453,1),1E-9),"")</f>
        <v/>
      </c>
      <c r="G4423">
        <f>IF(B4423,MOD(SIN(Seed*0.5917+C4423*39.3468+D4423*11.135)*24634.6345,1),"")</f>
        <v/>
      </c>
      <c r="H4423">
        <f>IF(B4423,SQRT(-2*LN(F4423))*COS(2*PI()*G4423),"")</f>
        <v/>
      </c>
      <c r="I4423">
        <f>IF(B4423,IF(D4423=0,H4423,Rho*I4422+SQRT(1-Rho^2)*H4423),"")</f>
        <v/>
      </c>
      <c r="J4423">
        <f>IF(B4423,IF(Dist="Normal",DistA+DistB*I4423,DistA+(DistB-DistA)*NORMSDIST(I4423)),"")</f>
        <v/>
      </c>
      <c r="K4423">
        <f>IF(B4423,INDEX(MineScale,C4423),"")</f>
        <v/>
      </c>
      <c r="L4423">
        <f>IF(B4423,INDEX(Dow,1,WEEKDAY(E4423,2)),"")</f>
        <v/>
      </c>
      <c r="M4423">
        <f>IF(B4423,(1+Trend)^D4423,"")</f>
        <v/>
      </c>
      <c r="N4423">
        <f>IF(B4423,EXP(SUMPRODUCT(LN(1+(EvEff-1)*INDEX(Affected,0,C4423)*EXP(-((E4423-EvCenter)^2)/(2*EvSigma^2))))),"")</f>
        <v/>
      </c>
      <c r="O4423">
        <f>IF(B4423,ROUND(MAX(0,J4423*K4423*L4423*M4423*N4423),2),"")</f>
        <v/>
      </c>
    </row>
    <row r="4424">
      <c r="A4424" t="n">
        <v>4423</v>
      </c>
      <c r="B4424">
        <f>A4424&lt;=MineCount*Days</f>
        <v/>
      </c>
      <c r="C4424">
        <f>IF(B4424,INT((A4424-1)/Days)+1,"")</f>
        <v/>
      </c>
      <c r="D4424">
        <f>IF(B4424,MOD(A4424-1,Days),"")</f>
        <v/>
      </c>
      <c r="E4424" s="16">
        <f>IF(B4424,StartDate+D4424,"")</f>
        <v/>
      </c>
      <c r="F4424">
        <f>IF(B4424,MAX(MOD(SIN(Seed*0.1373+C4424*12.9898+D4424*78.233)*43758.5453,1),1E-9),"")</f>
        <v/>
      </c>
      <c r="G4424">
        <f>IF(B4424,MOD(SIN(Seed*0.5917+C4424*39.3468+D4424*11.135)*24634.6345,1),"")</f>
        <v/>
      </c>
      <c r="H4424">
        <f>IF(B4424,SQRT(-2*LN(F4424))*COS(2*PI()*G4424),"")</f>
        <v/>
      </c>
      <c r="I4424">
        <f>IF(B4424,IF(D4424=0,H4424,Rho*I4423+SQRT(1-Rho^2)*H4424),"")</f>
        <v/>
      </c>
      <c r="J4424">
        <f>IF(B4424,IF(Dist="Normal",DistA+DistB*I4424,DistA+(DistB-DistA)*NORMSDIST(I4424)),"")</f>
        <v/>
      </c>
      <c r="K4424">
        <f>IF(B4424,INDEX(MineScale,C4424),"")</f>
        <v/>
      </c>
      <c r="L4424">
        <f>IF(B4424,INDEX(Dow,1,WEEKDAY(E4424,2)),"")</f>
        <v/>
      </c>
      <c r="M4424">
        <f>IF(B4424,(1+Trend)^D4424,"")</f>
        <v/>
      </c>
      <c r="N4424">
        <f>IF(B4424,EXP(SUMPRODUCT(LN(1+(EvEff-1)*INDEX(Affected,0,C4424)*EXP(-((E4424-EvCenter)^2)/(2*EvSigma^2))))),"")</f>
        <v/>
      </c>
      <c r="O4424">
        <f>IF(B4424,ROUND(MAX(0,J4424*K4424*L4424*M4424*N4424),2),"")</f>
        <v/>
      </c>
    </row>
    <row r="4425">
      <c r="A4425" t="n">
        <v>4424</v>
      </c>
      <c r="B4425">
        <f>A4425&lt;=MineCount*Days</f>
        <v/>
      </c>
      <c r="C4425">
        <f>IF(B4425,INT((A4425-1)/Days)+1,"")</f>
        <v/>
      </c>
      <c r="D4425">
        <f>IF(B4425,MOD(A4425-1,Days),"")</f>
        <v/>
      </c>
      <c r="E4425" s="16">
        <f>IF(B4425,StartDate+D4425,"")</f>
        <v/>
      </c>
      <c r="F4425">
        <f>IF(B4425,MAX(MOD(SIN(Seed*0.1373+C4425*12.9898+D4425*78.233)*43758.5453,1),1E-9),"")</f>
        <v/>
      </c>
      <c r="G4425">
        <f>IF(B4425,MOD(SIN(Seed*0.5917+C4425*39.3468+D4425*11.135)*24634.6345,1),"")</f>
        <v/>
      </c>
      <c r="H4425">
        <f>IF(B4425,SQRT(-2*LN(F4425))*COS(2*PI()*G4425),"")</f>
        <v/>
      </c>
      <c r="I4425">
        <f>IF(B4425,IF(D4425=0,H4425,Rho*I4424+SQRT(1-Rho^2)*H4425),"")</f>
        <v/>
      </c>
      <c r="J4425">
        <f>IF(B4425,IF(Dist="Normal",DistA+DistB*I4425,DistA+(DistB-DistA)*NORMSDIST(I4425)),"")</f>
        <v/>
      </c>
      <c r="K4425">
        <f>IF(B4425,INDEX(MineScale,C4425),"")</f>
        <v/>
      </c>
      <c r="L4425">
        <f>IF(B4425,INDEX(Dow,1,WEEKDAY(E4425,2)),"")</f>
        <v/>
      </c>
      <c r="M4425">
        <f>IF(B4425,(1+Trend)^D4425,"")</f>
        <v/>
      </c>
      <c r="N4425">
        <f>IF(B4425,EXP(SUMPRODUCT(LN(1+(EvEff-1)*INDEX(Affected,0,C4425)*EXP(-((E4425-EvCenter)^2)/(2*EvSigma^2))))),"")</f>
        <v/>
      </c>
      <c r="O4425">
        <f>IF(B4425,ROUND(MAX(0,J4425*K4425*L4425*M4425*N4425),2),"")</f>
        <v/>
      </c>
    </row>
    <row r="4426">
      <c r="A4426" t="n">
        <v>4425</v>
      </c>
      <c r="B4426">
        <f>A4426&lt;=MineCount*Days</f>
        <v/>
      </c>
      <c r="C4426">
        <f>IF(B4426,INT((A4426-1)/Days)+1,"")</f>
        <v/>
      </c>
      <c r="D4426">
        <f>IF(B4426,MOD(A4426-1,Days),"")</f>
        <v/>
      </c>
      <c r="E4426" s="16">
        <f>IF(B4426,StartDate+D4426,"")</f>
        <v/>
      </c>
      <c r="F4426">
        <f>IF(B4426,MAX(MOD(SIN(Seed*0.1373+C4426*12.9898+D4426*78.233)*43758.5453,1),1E-9),"")</f>
        <v/>
      </c>
      <c r="G4426">
        <f>IF(B4426,MOD(SIN(Seed*0.5917+C4426*39.3468+D4426*11.135)*24634.6345,1),"")</f>
        <v/>
      </c>
      <c r="H4426">
        <f>IF(B4426,SQRT(-2*LN(F4426))*COS(2*PI()*G4426),"")</f>
        <v/>
      </c>
      <c r="I4426">
        <f>IF(B4426,IF(D4426=0,H4426,Rho*I4425+SQRT(1-Rho^2)*H4426),"")</f>
        <v/>
      </c>
      <c r="J4426">
        <f>IF(B4426,IF(Dist="Normal",DistA+DistB*I4426,DistA+(DistB-DistA)*NORMSDIST(I4426)),"")</f>
        <v/>
      </c>
      <c r="K4426">
        <f>IF(B4426,INDEX(MineScale,C4426),"")</f>
        <v/>
      </c>
      <c r="L4426">
        <f>IF(B4426,INDEX(Dow,1,WEEKDAY(E4426,2)),"")</f>
        <v/>
      </c>
      <c r="M4426">
        <f>IF(B4426,(1+Trend)^D4426,"")</f>
        <v/>
      </c>
      <c r="N4426">
        <f>IF(B4426,EXP(SUMPRODUCT(LN(1+(EvEff-1)*INDEX(Affected,0,C4426)*EXP(-((E4426-EvCenter)^2)/(2*EvSigma^2))))),"")</f>
        <v/>
      </c>
      <c r="O4426">
        <f>IF(B4426,ROUND(MAX(0,J4426*K4426*L4426*M4426*N4426),2),"")</f>
        <v/>
      </c>
    </row>
    <row r="4427">
      <c r="A4427" t="n">
        <v>4426</v>
      </c>
      <c r="B4427">
        <f>A4427&lt;=MineCount*Days</f>
        <v/>
      </c>
      <c r="C4427">
        <f>IF(B4427,INT((A4427-1)/Days)+1,"")</f>
        <v/>
      </c>
      <c r="D4427">
        <f>IF(B4427,MOD(A4427-1,Days),"")</f>
        <v/>
      </c>
      <c r="E4427" s="16">
        <f>IF(B4427,StartDate+D4427,"")</f>
        <v/>
      </c>
      <c r="F4427">
        <f>IF(B4427,MAX(MOD(SIN(Seed*0.1373+C4427*12.9898+D4427*78.233)*43758.5453,1),1E-9),"")</f>
        <v/>
      </c>
      <c r="G4427">
        <f>IF(B4427,MOD(SIN(Seed*0.5917+C4427*39.3468+D4427*11.135)*24634.6345,1),"")</f>
        <v/>
      </c>
      <c r="H4427">
        <f>IF(B4427,SQRT(-2*LN(F4427))*COS(2*PI()*G4427),"")</f>
        <v/>
      </c>
      <c r="I4427">
        <f>IF(B4427,IF(D4427=0,H4427,Rho*I4426+SQRT(1-Rho^2)*H4427),"")</f>
        <v/>
      </c>
      <c r="J4427">
        <f>IF(B4427,IF(Dist="Normal",DistA+DistB*I4427,DistA+(DistB-DistA)*NORMSDIST(I4427)),"")</f>
        <v/>
      </c>
      <c r="K4427">
        <f>IF(B4427,INDEX(MineScale,C4427),"")</f>
        <v/>
      </c>
      <c r="L4427">
        <f>IF(B4427,INDEX(Dow,1,WEEKDAY(E4427,2)),"")</f>
        <v/>
      </c>
      <c r="M4427">
        <f>IF(B4427,(1+Trend)^D4427,"")</f>
        <v/>
      </c>
      <c r="N4427">
        <f>IF(B4427,EXP(SUMPRODUCT(LN(1+(EvEff-1)*INDEX(Affected,0,C4427)*EXP(-((E4427-EvCenter)^2)/(2*EvSigma^2))))),"")</f>
        <v/>
      </c>
      <c r="O4427">
        <f>IF(B4427,ROUND(MAX(0,J4427*K4427*L4427*M4427*N4427),2),"")</f>
        <v/>
      </c>
    </row>
    <row r="4428">
      <c r="A4428" t="n">
        <v>4427</v>
      </c>
      <c r="B4428">
        <f>A4428&lt;=MineCount*Days</f>
        <v/>
      </c>
      <c r="C4428">
        <f>IF(B4428,INT((A4428-1)/Days)+1,"")</f>
        <v/>
      </c>
      <c r="D4428">
        <f>IF(B4428,MOD(A4428-1,Days),"")</f>
        <v/>
      </c>
      <c r="E4428" s="16">
        <f>IF(B4428,StartDate+D4428,"")</f>
        <v/>
      </c>
      <c r="F4428">
        <f>IF(B4428,MAX(MOD(SIN(Seed*0.1373+C4428*12.9898+D4428*78.233)*43758.5453,1),1E-9),"")</f>
        <v/>
      </c>
      <c r="G4428">
        <f>IF(B4428,MOD(SIN(Seed*0.5917+C4428*39.3468+D4428*11.135)*24634.6345,1),"")</f>
        <v/>
      </c>
      <c r="H4428">
        <f>IF(B4428,SQRT(-2*LN(F4428))*COS(2*PI()*G4428),"")</f>
        <v/>
      </c>
      <c r="I4428">
        <f>IF(B4428,IF(D4428=0,H4428,Rho*I4427+SQRT(1-Rho^2)*H4428),"")</f>
        <v/>
      </c>
      <c r="J4428">
        <f>IF(B4428,IF(Dist="Normal",DistA+DistB*I4428,DistA+(DistB-DistA)*NORMSDIST(I4428)),"")</f>
        <v/>
      </c>
      <c r="K4428">
        <f>IF(B4428,INDEX(MineScale,C4428),"")</f>
        <v/>
      </c>
      <c r="L4428">
        <f>IF(B4428,INDEX(Dow,1,WEEKDAY(E4428,2)),"")</f>
        <v/>
      </c>
      <c r="M4428">
        <f>IF(B4428,(1+Trend)^D4428,"")</f>
        <v/>
      </c>
      <c r="N4428">
        <f>IF(B4428,EXP(SUMPRODUCT(LN(1+(EvEff-1)*INDEX(Affected,0,C4428)*EXP(-((E4428-EvCenter)^2)/(2*EvSigma^2))))),"")</f>
        <v/>
      </c>
      <c r="O4428">
        <f>IF(B4428,ROUND(MAX(0,J4428*K4428*L4428*M4428*N4428),2),"")</f>
        <v/>
      </c>
    </row>
    <row r="4429">
      <c r="A4429" t="n">
        <v>4428</v>
      </c>
      <c r="B4429">
        <f>A4429&lt;=MineCount*Days</f>
        <v/>
      </c>
      <c r="C4429">
        <f>IF(B4429,INT((A4429-1)/Days)+1,"")</f>
        <v/>
      </c>
      <c r="D4429">
        <f>IF(B4429,MOD(A4429-1,Days),"")</f>
        <v/>
      </c>
      <c r="E4429" s="16">
        <f>IF(B4429,StartDate+D4429,"")</f>
        <v/>
      </c>
      <c r="F4429">
        <f>IF(B4429,MAX(MOD(SIN(Seed*0.1373+C4429*12.9898+D4429*78.233)*43758.5453,1),1E-9),"")</f>
        <v/>
      </c>
      <c r="G4429">
        <f>IF(B4429,MOD(SIN(Seed*0.5917+C4429*39.3468+D4429*11.135)*24634.6345,1),"")</f>
        <v/>
      </c>
      <c r="H4429">
        <f>IF(B4429,SQRT(-2*LN(F4429))*COS(2*PI()*G4429),"")</f>
        <v/>
      </c>
      <c r="I4429">
        <f>IF(B4429,IF(D4429=0,H4429,Rho*I4428+SQRT(1-Rho^2)*H4429),"")</f>
        <v/>
      </c>
      <c r="J4429">
        <f>IF(B4429,IF(Dist="Normal",DistA+DistB*I4429,DistA+(DistB-DistA)*NORMSDIST(I4429)),"")</f>
        <v/>
      </c>
      <c r="K4429">
        <f>IF(B4429,INDEX(MineScale,C4429),"")</f>
        <v/>
      </c>
      <c r="L4429">
        <f>IF(B4429,INDEX(Dow,1,WEEKDAY(E4429,2)),"")</f>
        <v/>
      </c>
      <c r="M4429">
        <f>IF(B4429,(1+Trend)^D4429,"")</f>
        <v/>
      </c>
      <c r="N4429">
        <f>IF(B4429,EXP(SUMPRODUCT(LN(1+(EvEff-1)*INDEX(Affected,0,C4429)*EXP(-((E4429-EvCenter)^2)/(2*EvSigma^2))))),"")</f>
        <v/>
      </c>
      <c r="O4429">
        <f>IF(B4429,ROUND(MAX(0,J4429*K4429*L4429*M4429*N4429),2),"")</f>
        <v/>
      </c>
    </row>
    <row r="4430">
      <c r="A4430" t="n">
        <v>4429</v>
      </c>
      <c r="B4430">
        <f>A4430&lt;=MineCount*Days</f>
        <v/>
      </c>
      <c r="C4430">
        <f>IF(B4430,INT((A4430-1)/Days)+1,"")</f>
        <v/>
      </c>
      <c r="D4430">
        <f>IF(B4430,MOD(A4430-1,Days),"")</f>
        <v/>
      </c>
      <c r="E4430" s="16">
        <f>IF(B4430,StartDate+D4430,"")</f>
        <v/>
      </c>
      <c r="F4430">
        <f>IF(B4430,MAX(MOD(SIN(Seed*0.1373+C4430*12.9898+D4430*78.233)*43758.5453,1),1E-9),"")</f>
        <v/>
      </c>
      <c r="G4430">
        <f>IF(B4430,MOD(SIN(Seed*0.5917+C4430*39.3468+D4430*11.135)*24634.6345,1),"")</f>
        <v/>
      </c>
      <c r="H4430">
        <f>IF(B4430,SQRT(-2*LN(F4430))*COS(2*PI()*G4430),"")</f>
        <v/>
      </c>
      <c r="I4430">
        <f>IF(B4430,IF(D4430=0,H4430,Rho*I4429+SQRT(1-Rho^2)*H4430),"")</f>
        <v/>
      </c>
      <c r="J4430">
        <f>IF(B4430,IF(Dist="Normal",DistA+DistB*I4430,DistA+(DistB-DistA)*NORMSDIST(I4430)),"")</f>
        <v/>
      </c>
      <c r="K4430">
        <f>IF(B4430,INDEX(MineScale,C4430),"")</f>
        <v/>
      </c>
      <c r="L4430">
        <f>IF(B4430,INDEX(Dow,1,WEEKDAY(E4430,2)),"")</f>
        <v/>
      </c>
      <c r="M4430">
        <f>IF(B4430,(1+Trend)^D4430,"")</f>
        <v/>
      </c>
      <c r="N4430">
        <f>IF(B4430,EXP(SUMPRODUCT(LN(1+(EvEff-1)*INDEX(Affected,0,C4430)*EXP(-((E4430-EvCenter)^2)/(2*EvSigma^2))))),"")</f>
        <v/>
      </c>
      <c r="O4430">
        <f>IF(B4430,ROUND(MAX(0,J4430*K4430*L4430*M4430*N4430),2),"")</f>
        <v/>
      </c>
    </row>
    <row r="4431">
      <c r="A4431" t="n">
        <v>4430</v>
      </c>
      <c r="B4431">
        <f>A4431&lt;=MineCount*Days</f>
        <v/>
      </c>
      <c r="C4431">
        <f>IF(B4431,INT((A4431-1)/Days)+1,"")</f>
        <v/>
      </c>
      <c r="D4431">
        <f>IF(B4431,MOD(A4431-1,Days),"")</f>
        <v/>
      </c>
      <c r="E4431" s="16">
        <f>IF(B4431,StartDate+D4431,"")</f>
        <v/>
      </c>
      <c r="F4431">
        <f>IF(B4431,MAX(MOD(SIN(Seed*0.1373+C4431*12.9898+D4431*78.233)*43758.5453,1),1E-9),"")</f>
        <v/>
      </c>
      <c r="G4431">
        <f>IF(B4431,MOD(SIN(Seed*0.5917+C4431*39.3468+D4431*11.135)*24634.6345,1),"")</f>
        <v/>
      </c>
      <c r="H4431">
        <f>IF(B4431,SQRT(-2*LN(F4431))*COS(2*PI()*G4431),"")</f>
        <v/>
      </c>
      <c r="I4431">
        <f>IF(B4431,IF(D4431=0,H4431,Rho*I4430+SQRT(1-Rho^2)*H4431),"")</f>
        <v/>
      </c>
      <c r="J4431">
        <f>IF(B4431,IF(Dist="Normal",DistA+DistB*I4431,DistA+(DistB-DistA)*NORMSDIST(I4431)),"")</f>
        <v/>
      </c>
      <c r="K4431">
        <f>IF(B4431,INDEX(MineScale,C4431),"")</f>
        <v/>
      </c>
      <c r="L4431">
        <f>IF(B4431,INDEX(Dow,1,WEEKDAY(E4431,2)),"")</f>
        <v/>
      </c>
      <c r="M4431">
        <f>IF(B4431,(1+Trend)^D4431,"")</f>
        <v/>
      </c>
      <c r="N4431">
        <f>IF(B4431,EXP(SUMPRODUCT(LN(1+(EvEff-1)*INDEX(Affected,0,C4431)*EXP(-((E4431-EvCenter)^2)/(2*EvSigma^2))))),"")</f>
        <v/>
      </c>
      <c r="O4431">
        <f>IF(B4431,ROUND(MAX(0,J4431*K4431*L4431*M4431*N4431),2),"")</f>
        <v/>
      </c>
    </row>
    <row r="4432">
      <c r="A4432" t="n">
        <v>4431</v>
      </c>
      <c r="B4432">
        <f>A4432&lt;=MineCount*Days</f>
        <v/>
      </c>
      <c r="C4432">
        <f>IF(B4432,INT((A4432-1)/Days)+1,"")</f>
        <v/>
      </c>
      <c r="D4432">
        <f>IF(B4432,MOD(A4432-1,Days),"")</f>
        <v/>
      </c>
      <c r="E4432" s="16">
        <f>IF(B4432,StartDate+D4432,"")</f>
        <v/>
      </c>
      <c r="F4432">
        <f>IF(B4432,MAX(MOD(SIN(Seed*0.1373+C4432*12.9898+D4432*78.233)*43758.5453,1),1E-9),"")</f>
        <v/>
      </c>
      <c r="G4432">
        <f>IF(B4432,MOD(SIN(Seed*0.5917+C4432*39.3468+D4432*11.135)*24634.6345,1),"")</f>
        <v/>
      </c>
      <c r="H4432">
        <f>IF(B4432,SQRT(-2*LN(F4432))*COS(2*PI()*G4432),"")</f>
        <v/>
      </c>
      <c r="I4432">
        <f>IF(B4432,IF(D4432=0,H4432,Rho*I4431+SQRT(1-Rho^2)*H4432),"")</f>
        <v/>
      </c>
      <c r="J4432">
        <f>IF(B4432,IF(Dist="Normal",DistA+DistB*I4432,DistA+(DistB-DistA)*NORMSDIST(I4432)),"")</f>
        <v/>
      </c>
      <c r="K4432">
        <f>IF(B4432,INDEX(MineScale,C4432),"")</f>
        <v/>
      </c>
      <c r="L4432">
        <f>IF(B4432,INDEX(Dow,1,WEEKDAY(E4432,2)),"")</f>
        <v/>
      </c>
      <c r="M4432">
        <f>IF(B4432,(1+Trend)^D4432,"")</f>
        <v/>
      </c>
      <c r="N4432">
        <f>IF(B4432,EXP(SUMPRODUCT(LN(1+(EvEff-1)*INDEX(Affected,0,C4432)*EXP(-((E4432-EvCenter)^2)/(2*EvSigma^2))))),"")</f>
        <v/>
      </c>
      <c r="O4432">
        <f>IF(B4432,ROUND(MAX(0,J4432*K4432*L4432*M4432*N4432),2),"")</f>
        <v/>
      </c>
    </row>
    <row r="4433">
      <c r="A4433" t="n">
        <v>4432</v>
      </c>
      <c r="B4433">
        <f>A4433&lt;=MineCount*Days</f>
        <v/>
      </c>
      <c r="C4433">
        <f>IF(B4433,INT((A4433-1)/Days)+1,"")</f>
        <v/>
      </c>
      <c r="D4433">
        <f>IF(B4433,MOD(A4433-1,Days),"")</f>
        <v/>
      </c>
      <c r="E4433" s="16">
        <f>IF(B4433,StartDate+D4433,"")</f>
        <v/>
      </c>
      <c r="F4433">
        <f>IF(B4433,MAX(MOD(SIN(Seed*0.1373+C4433*12.9898+D4433*78.233)*43758.5453,1),1E-9),"")</f>
        <v/>
      </c>
      <c r="G4433">
        <f>IF(B4433,MOD(SIN(Seed*0.5917+C4433*39.3468+D4433*11.135)*24634.6345,1),"")</f>
        <v/>
      </c>
      <c r="H4433">
        <f>IF(B4433,SQRT(-2*LN(F4433))*COS(2*PI()*G4433),"")</f>
        <v/>
      </c>
      <c r="I4433">
        <f>IF(B4433,IF(D4433=0,H4433,Rho*I4432+SQRT(1-Rho^2)*H4433),"")</f>
        <v/>
      </c>
      <c r="J4433">
        <f>IF(B4433,IF(Dist="Normal",DistA+DistB*I4433,DistA+(DistB-DistA)*NORMSDIST(I4433)),"")</f>
        <v/>
      </c>
      <c r="K4433">
        <f>IF(B4433,INDEX(MineScale,C4433),"")</f>
        <v/>
      </c>
      <c r="L4433">
        <f>IF(B4433,INDEX(Dow,1,WEEKDAY(E4433,2)),"")</f>
        <v/>
      </c>
      <c r="M4433">
        <f>IF(B4433,(1+Trend)^D4433,"")</f>
        <v/>
      </c>
      <c r="N4433">
        <f>IF(B4433,EXP(SUMPRODUCT(LN(1+(EvEff-1)*INDEX(Affected,0,C4433)*EXP(-((E4433-EvCenter)^2)/(2*EvSigma^2))))),"")</f>
        <v/>
      </c>
      <c r="O4433">
        <f>IF(B4433,ROUND(MAX(0,J4433*K4433*L4433*M4433*N4433),2),"")</f>
        <v/>
      </c>
    </row>
    <row r="4434">
      <c r="A4434" t="n">
        <v>4433</v>
      </c>
      <c r="B4434">
        <f>A4434&lt;=MineCount*Days</f>
        <v/>
      </c>
      <c r="C4434">
        <f>IF(B4434,INT((A4434-1)/Days)+1,"")</f>
        <v/>
      </c>
      <c r="D4434">
        <f>IF(B4434,MOD(A4434-1,Days),"")</f>
        <v/>
      </c>
      <c r="E4434" s="16">
        <f>IF(B4434,StartDate+D4434,"")</f>
        <v/>
      </c>
      <c r="F4434">
        <f>IF(B4434,MAX(MOD(SIN(Seed*0.1373+C4434*12.9898+D4434*78.233)*43758.5453,1),1E-9),"")</f>
        <v/>
      </c>
      <c r="G4434">
        <f>IF(B4434,MOD(SIN(Seed*0.5917+C4434*39.3468+D4434*11.135)*24634.6345,1),"")</f>
        <v/>
      </c>
      <c r="H4434">
        <f>IF(B4434,SQRT(-2*LN(F4434))*COS(2*PI()*G4434),"")</f>
        <v/>
      </c>
      <c r="I4434">
        <f>IF(B4434,IF(D4434=0,H4434,Rho*I4433+SQRT(1-Rho^2)*H4434),"")</f>
        <v/>
      </c>
      <c r="J4434">
        <f>IF(B4434,IF(Dist="Normal",DistA+DistB*I4434,DistA+(DistB-DistA)*NORMSDIST(I4434)),"")</f>
        <v/>
      </c>
      <c r="K4434">
        <f>IF(B4434,INDEX(MineScale,C4434),"")</f>
        <v/>
      </c>
      <c r="L4434">
        <f>IF(B4434,INDEX(Dow,1,WEEKDAY(E4434,2)),"")</f>
        <v/>
      </c>
      <c r="M4434">
        <f>IF(B4434,(1+Trend)^D4434,"")</f>
        <v/>
      </c>
      <c r="N4434">
        <f>IF(B4434,EXP(SUMPRODUCT(LN(1+(EvEff-1)*INDEX(Affected,0,C4434)*EXP(-((E4434-EvCenter)^2)/(2*EvSigma^2))))),"")</f>
        <v/>
      </c>
      <c r="O4434">
        <f>IF(B4434,ROUND(MAX(0,J4434*K4434*L4434*M4434*N4434),2),"")</f>
        <v/>
      </c>
    </row>
    <row r="4435">
      <c r="A4435" t="n">
        <v>4434</v>
      </c>
      <c r="B4435">
        <f>A4435&lt;=MineCount*Days</f>
        <v/>
      </c>
      <c r="C4435">
        <f>IF(B4435,INT((A4435-1)/Days)+1,"")</f>
        <v/>
      </c>
      <c r="D4435">
        <f>IF(B4435,MOD(A4435-1,Days),"")</f>
        <v/>
      </c>
      <c r="E4435" s="16">
        <f>IF(B4435,StartDate+D4435,"")</f>
        <v/>
      </c>
      <c r="F4435">
        <f>IF(B4435,MAX(MOD(SIN(Seed*0.1373+C4435*12.9898+D4435*78.233)*43758.5453,1),1E-9),"")</f>
        <v/>
      </c>
      <c r="G4435">
        <f>IF(B4435,MOD(SIN(Seed*0.5917+C4435*39.3468+D4435*11.135)*24634.6345,1),"")</f>
        <v/>
      </c>
      <c r="H4435">
        <f>IF(B4435,SQRT(-2*LN(F4435))*COS(2*PI()*G4435),"")</f>
        <v/>
      </c>
      <c r="I4435">
        <f>IF(B4435,IF(D4435=0,H4435,Rho*I4434+SQRT(1-Rho^2)*H4435),"")</f>
        <v/>
      </c>
      <c r="J4435">
        <f>IF(B4435,IF(Dist="Normal",DistA+DistB*I4435,DistA+(DistB-DistA)*NORMSDIST(I4435)),"")</f>
        <v/>
      </c>
      <c r="K4435">
        <f>IF(B4435,INDEX(MineScale,C4435),"")</f>
        <v/>
      </c>
      <c r="L4435">
        <f>IF(B4435,INDEX(Dow,1,WEEKDAY(E4435,2)),"")</f>
        <v/>
      </c>
      <c r="M4435">
        <f>IF(B4435,(1+Trend)^D4435,"")</f>
        <v/>
      </c>
      <c r="N4435">
        <f>IF(B4435,EXP(SUMPRODUCT(LN(1+(EvEff-1)*INDEX(Affected,0,C4435)*EXP(-((E4435-EvCenter)^2)/(2*EvSigma^2))))),"")</f>
        <v/>
      </c>
      <c r="O4435">
        <f>IF(B4435,ROUND(MAX(0,J4435*K4435*L4435*M4435*N4435),2),"")</f>
        <v/>
      </c>
    </row>
    <row r="4436">
      <c r="A4436" t="n">
        <v>4435</v>
      </c>
      <c r="B4436">
        <f>A4436&lt;=MineCount*Days</f>
        <v/>
      </c>
      <c r="C4436">
        <f>IF(B4436,INT((A4436-1)/Days)+1,"")</f>
        <v/>
      </c>
      <c r="D4436">
        <f>IF(B4436,MOD(A4436-1,Days),"")</f>
        <v/>
      </c>
      <c r="E4436" s="16">
        <f>IF(B4436,StartDate+D4436,"")</f>
        <v/>
      </c>
      <c r="F4436">
        <f>IF(B4436,MAX(MOD(SIN(Seed*0.1373+C4436*12.9898+D4436*78.233)*43758.5453,1),1E-9),"")</f>
        <v/>
      </c>
      <c r="G4436">
        <f>IF(B4436,MOD(SIN(Seed*0.5917+C4436*39.3468+D4436*11.135)*24634.6345,1),"")</f>
        <v/>
      </c>
      <c r="H4436">
        <f>IF(B4436,SQRT(-2*LN(F4436))*COS(2*PI()*G4436),"")</f>
        <v/>
      </c>
      <c r="I4436">
        <f>IF(B4436,IF(D4436=0,H4436,Rho*I4435+SQRT(1-Rho^2)*H4436),"")</f>
        <v/>
      </c>
      <c r="J4436">
        <f>IF(B4436,IF(Dist="Normal",DistA+DistB*I4436,DistA+(DistB-DistA)*NORMSDIST(I4436)),"")</f>
        <v/>
      </c>
      <c r="K4436">
        <f>IF(B4436,INDEX(MineScale,C4436),"")</f>
        <v/>
      </c>
      <c r="L4436">
        <f>IF(B4436,INDEX(Dow,1,WEEKDAY(E4436,2)),"")</f>
        <v/>
      </c>
      <c r="M4436">
        <f>IF(B4436,(1+Trend)^D4436,"")</f>
        <v/>
      </c>
      <c r="N4436">
        <f>IF(B4436,EXP(SUMPRODUCT(LN(1+(EvEff-1)*INDEX(Affected,0,C4436)*EXP(-((E4436-EvCenter)^2)/(2*EvSigma^2))))),"")</f>
        <v/>
      </c>
      <c r="O4436">
        <f>IF(B4436,ROUND(MAX(0,J4436*K4436*L4436*M4436*N4436),2),"")</f>
        <v/>
      </c>
    </row>
    <row r="4437">
      <c r="A4437" t="n">
        <v>4436</v>
      </c>
      <c r="B4437">
        <f>A4437&lt;=MineCount*Days</f>
        <v/>
      </c>
      <c r="C4437">
        <f>IF(B4437,INT((A4437-1)/Days)+1,"")</f>
        <v/>
      </c>
      <c r="D4437">
        <f>IF(B4437,MOD(A4437-1,Days),"")</f>
        <v/>
      </c>
      <c r="E4437" s="16">
        <f>IF(B4437,StartDate+D4437,"")</f>
        <v/>
      </c>
      <c r="F4437">
        <f>IF(B4437,MAX(MOD(SIN(Seed*0.1373+C4437*12.9898+D4437*78.233)*43758.5453,1),1E-9),"")</f>
        <v/>
      </c>
      <c r="G4437">
        <f>IF(B4437,MOD(SIN(Seed*0.5917+C4437*39.3468+D4437*11.135)*24634.6345,1),"")</f>
        <v/>
      </c>
      <c r="H4437">
        <f>IF(B4437,SQRT(-2*LN(F4437))*COS(2*PI()*G4437),"")</f>
        <v/>
      </c>
      <c r="I4437">
        <f>IF(B4437,IF(D4437=0,H4437,Rho*I4436+SQRT(1-Rho^2)*H4437),"")</f>
        <v/>
      </c>
      <c r="J4437">
        <f>IF(B4437,IF(Dist="Normal",DistA+DistB*I4437,DistA+(DistB-DistA)*NORMSDIST(I4437)),"")</f>
        <v/>
      </c>
      <c r="K4437">
        <f>IF(B4437,INDEX(MineScale,C4437),"")</f>
        <v/>
      </c>
      <c r="L4437">
        <f>IF(B4437,INDEX(Dow,1,WEEKDAY(E4437,2)),"")</f>
        <v/>
      </c>
      <c r="M4437">
        <f>IF(B4437,(1+Trend)^D4437,"")</f>
        <v/>
      </c>
      <c r="N4437">
        <f>IF(B4437,EXP(SUMPRODUCT(LN(1+(EvEff-1)*INDEX(Affected,0,C4437)*EXP(-((E4437-EvCenter)^2)/(2*EvSigma^2))))),"")</f>
        <v/>
      </c>
      <c r="O4437">
        <f>IF(B4437,ROUND(MAX(0,J4437*K4437*L4437*M4437*N4437),2),"")</f>
        <v/>
      </c>
    </row>
    <row r="4438">
      <c r="A4438" t="n">
        <v>4437</v>
      </c>
      <c r="B4438">
        <f>A4438&lt;=MineCount*Days</f>
        <v/>
      </c>
      <c r="C4438">
        <f>IF(B4438,INT((A4438-1)/Days)+1,"")</f>
        <v/>
      </c>
      <c r="D4438">
        <f>IF(B4438,MOD(A4438-1,Days),"")</f>
        <v/>
      </c>
      <c r="E4438" s="16">
        <f>IF(B4438,StartDate+D4438,"")</f>
        <v/>
      </c>
      <c r="F4438">
        <f>IF(B4438,MAX(MOD(SIN(Seed*0.1373+C4438*12.9898+D4438*78.233)*43758.5453,1),1E-9),"")</f>
        <v/>
      </c>
      <c r="G4438">
        <f>IF(B4438,MOD(SIN(Seed*0.5917+C4438*39.3468+D4438*11.135)*24634.6345,1),"")</f>
        <v/>
      </c>
      <c r="H4438">
        <f>IF(B4438,SQRT(-2*LN(F4438))*COS(2*PI()*G4438),"")</f>
        <v/>
      </c>
      <c r="I4438">
        <f>IF(B4438,IF(D4438=0,H4438,Rho*I4437+SQRT(1-Rho^2)*H4438),"")</f>
        <v/>
      </c>
      <c r="J4438">
        <f>IF(B4438,IF(Dist="Normal",DistA+DistB*I4438,DistA+(DistB-DistA)*NORMSDIST(I4438)),"")</f>
        <v/>
      </c>
      <c r="K4438">
        <f>IF(B4438,INDEX(MineScale,C4438),"")</f>
        <v/>
      </c>
      <c r="L4438">
        <f>IF(B4438,INDEX(Dow,1,WEEKDAY(E4438,2)),"")</f>
        <v/>
      </c>
      <c r="M4438">
        <f>IF(B4438,(1+Trend)^D4438,"")</f>
        <v/>
      </c>
      <c r="N4438">
        <f>IF(B4438,EXP(SUMPRODUCT(LN(1+(EvEff-1)*INDEX(Affected,0,C4438)*EXP(-((E4438-EvCenter)^2)/(2*EvSigma^2))))),"")</f>
        <v/>
      </c>
      <c r="O4438">
        <f>IF(B4438,ROUND(MAX(0,J4438*K4438*L4438*M4438*N4438),2),"")</f>
        <v/>
      </c>
    </row>
    <row r="4439">
      <c r="A4439" t="n">
        <v>4438</v>
      </c>
      <c r="B4439">
        <f>A4439&lt;=MineCount*Days</f>
        <v/>
      </c>
      <c r="C4439">
        <f>IF(B4439,INT((A4439-1)/Days)+1,"")</f>
        <v/>
      </c>
      <c r="D4439">
        <f>IF(B4439,MOD(A4439-1,Days),"")</f>
        <v/>
      </c>
      <c r="E4439" s="16">
        <f>IF(B4439,StartDate+D4439,"")</f>
        <v/>
      </c>
      <c r="F4439">
        <f>IF(B4439,MAX(MOD(SIN(Seed*0.1373+C4439*12.9898+D4439*78.233)*43758.5453,1),1E-9),"")</f>
        <v/>
      </c>
      <c r="G4439">
        <f>IF(B4439,MOD(SIN(Seed*0.5917+C4439*39.3468+D4439*11.135)*24634.6345,1),"")</f>
        <v/>
      </c>
      <c r="H4439">
        <f>IF(B4439,SQRT(-2*LN(F4439))*COS(2*PI()*G4439),"")</f>
        <v/>
      </c>
      <c r="I4439">
        <f>IF(B4439,IF(D4439=0,H4439,Rho*I4438+SQRT(1-Rho^2)*H4439),"")</f>
        <v/>
      </c>
      <c r="J4439">
        <f>IF(B4439,IF(Dist="Normal",DistA+DistB*I4439,DistA+(DistB-DistA)*NORMSDIST(I4439)),"")</f>
        <v/>
      </c>
      <c r="K4439">
        <f>IF(B4439,INDEX(MineScale,C4439),"")</f>
        <v/>
      </c>
      <c r="L4439">
        <f>IF(B4439,INDEX(Dow,1,WEEKDAY(E4439,2)),"")</f>
        <v/>
      </c>
      <c r="M4439">
        <f>IF(B4439,(1+Trend)^D4439,"")</f>
        <v/>
      </c>
      <c r="N4439">
        <f>IF(B4439,EXP(SUMPRODUCT(LN(1+(EvEff-1)*INDEX(Affected,0,C4439)*EXP(-((E4439-EvCenter)^2)/(2*EvSigma^2))))),"")</f>
        <v/>
      </c>
      <c r="O4439">
        <f>IF(B4439,ROUND(MAX(0,J4439*K4439*L4439*M4439*N4439),2),"")</f>
        <v/>
      </c>
    </row>
    <row r="4440">
      <c r="A4440" t="n">
        <v>4439</v>
      </c>
      <c r="B4440">
        <f>A4440&lt;=MineCount*Days</f>
        <v/>
      </c>
      <c r="C4440">
        <f>IF(B4440,INT((A4440-1)/Days)+1,"")</f>
        <v/>
      </c>
      <c r="D4440">
        <f>IF(B4440,MOD(A4440-1,Days),"")</f>
        <v/>
      </c>
      <c r="E4440" s="16">
        <f>IF(B4440,StartDate+D4440,"")</f>
        <v/>
      </c>
      <c r="F4440">
        <f>IF(B4440,MAX(MOD(SIN(Seed*0.1373+C4440*12.9898+D4440*78.233)*43758.5453,1),1E-9),"")</f>
        <v/>
      </c>
      <c r="G4440">
        <f>IF(B4440,MOD(SIN(Seed*0.5917+C4440*39.3468+D4440*11.135)*24634.6345,1),"")</f>
        <v/>
      </c>
      <c r="H4440">
        <f>IF(B4440,SQRT(-2*LN(F4440))*COS(2*PI()*G4440),"")</f>
        <v/>
      </c>
      <c r="I4440">
        <f>IF(B4440,IF(D4440=0,H4440,Rho*I4439+SQRT(1-Rho^2)*H4440),"")</f>
        <v/>
      </c>
      <c r="J4440">
        <f>IF(B4440,IF(Dist="Normal",DistA+DistB*I4440,DistA+(DistB-DistA)*NORMSDIST(I4440)),"")</f>
        <v/>
      </c>
      <c r="K4440">
        <f>IF(B4440,INDEX(MineScale,C4440),"")</f>
        <v/>
      </c>
      <c r="L4440">
        <f>IF(B4440,INDEX(Dow,1,WEEKDAY(E4440,2)),"")</f>
        <v/>
      </c>
      <c r="M4440">
        <f>IF(B4440,(1+Trend)^D4440,"")</f>
        <v/>
      </c>
      <c r="N4440">
        <f>IF(B4440,EXP(SUMPRODUCT(LN(1+(EvEff-1)*INDEX(Affected,0,C4440)*EXP(-((E4440-EvCenter)^2)/(2*EvSigma^2))))),"")</f>
        <v/>
      </c>
      <c r="O4440">
        <f>IF(B4440,ROUND(MAX(0,J4440*K4440*L4440*M4440*N4440),2),"")</f>
        <v/>
      </c>
    </row>
    <row r="4441">
      <c r="A4441" t="n">
        <v>4440</v>
      </c>
      <c r="B4441">
        <f>A4441&lt;=MineCount*Days</f>
        <v/>
      </c>
      <c r="C4441">
        <f>IF(B4441,INT((A4441-1)/Days)+1,"")</f>
        <v/>
      </c>
      <c r="D4441">
        <f>IF(B4441,MOD(A4441-1,Days),"")</f>
        <v/>
      </c>
      <c r="E4441" s="16">
        <f>IF(B4441,StartDate+D4441,"")</f>
        <v/>
      </c>
      <c r="F4441">
        <f>IF(B4441,MAX(MOD(SIN(Seed*0.1373+C4441*12.9898+D4441*78.233)*43758.5453,1),1E-9),"")</f>
        <v/>
      </c>
      <c r="G4441">
        <f>IF(B4441,MOD(SIN(Seed*0.5917+C4441*39.3468+D4441*11.135)*24634.6345,1),"")</f>
        <v/>
      </c>
      <c r="H4441">
        <f>IF(B4441,SQRT(-2*LN(F4441))*COS(2*PI()*G4441),"")</f>
        <v/>
      </c>
      <c r="I4441">
        <f>IF(B4441,IF(D4441=0,H4441,Rho*I4440+SQRT(1-Rho^2)*H4441),"")</f>
        <v/>
      </c>
      <c r="J4441">
        <f>IF(B4441,IF(Dist="Normal",DistA+DistB*I4441,DistA+(DistB-DistA)*NORMSDIST(I4441)),"")</f>
        <v/>
      </c>
      <c r="K4441">
        <f>IF(B4441,INDEX(MineScale,C4441),"")</f>
        <v/>
      </c>
      <c r="L4441">
        <f>IF(B4441,INDEX(Dow,1,WEEKDAY(E4441,2)),"")</f>
        <v/>
      </c>
      <c r="M4441">
        <f>IF(B4441,(1+Trend)^D4441,"")</f>
        <v/>
      </c>
      <c r="N4441">
        <f>IF(B4441,EXP(SUMPRODUCT(LN(1+(EvEff-1)*INDEX(Affected,0,C4441)*EXP(-((E4441-EvCenter)^2)/(2*EvSigma^2))))),"")</f>
        <v/>
      </c>
      <c r="O4441">
        <f>IF(B4441,ROUND(MAX(0,J4441*K4441*L4441*M4441*N4441),2),"")</f>
        <v/>
      </c>
    </row>
    <row r="4442">
      <c r="A4442" t="n">
        <v>4441</v>
      </c>
      <c r="B4442">
        <f>A4442&lt;=MineCount*Days</f>
        <v/>
      </c>
      <c r="C4442">
        <f>IF(B4442,INT((A4442-1)/Days)+1,"")</f>
        <v/>
      </c>
      <c r="D4442">
        <f>IF(B4442,MOD(A4442-1,Days),"")</f>
        <v/>
      </c>
      <c r="E4442" s="16">
        <f>IF(B4442,StartDate+D4442,"")</f>
        <v/>
      </c>
      <c r="F4442">
        <f>IF(B4442,MAX(MOD(SIN(Seed*0.1373+C4442*12.9898+D4442*78.233)*43758.5453,1),1E-9),"")</f>
        <v/>
      </c>
      <c r="G4442">
        <f>IF(B4442,MOD(SIN(Seed*0.5917+C4442*39.3468+D4442*11.135)*24634.6345,1),"")</f>
        <v/>
      </c>
      <c r="H4442">
        <f>IF(B4442,SQRT(-2*LN(F4442))*COS(2*PI()*G4442),"")</f>
        <v/>
      </c>
      <c r="I4442">
        <f>IF(B4442,IF(D4442=0,H4442,Rho*I4441+SQRT(1-Rho^2)*H4442),"")</f>
        <v/>
      </c>
      <c r="J4442">
        <f>IF(B4442,IF(Dist="Normal",DistA+DistB*I4442,DistA+(DistB-DistA)*NORMSDIST(I4442)),"")</f>
        <v/>
      </c>
      <c r="K4442">
        <f>IF(B4442,INDEX(MineScale,C4442),"")</f>
        <v/>
      </c>
      <c r="L4442">
        <f>IF(B4442,INDEX(Dow,1,WEEKDAY(E4442,2)),"")</f>
        <v/>
      </c>
      <c r="M4442">
        <f>IF(B4442,(1+Trend)^D4442,"")</f>
        <v/>
      </c>
      <c r="N4442">
        <f>IF(B4442,EXP(SUMPRODUCT(LN(1+(EvEff-1)*INDEX(Affected,0,C4442)*EXP(-((E4442-EvCenter)^2)/(2*EvSigma^2))))),"")</f>
        <v/>
      </c>
      <c r="O4442">
        <f>IF(B4442,ROUND(MAX(0,J4442*K4442*L4442*M4442*N4442),2),"")</f>
        <v/>
      </c>
    </row>
    <row r="4443">
      <c r="A4443" t="n">
        <v>4442</v>
      </c>
      <c r="B4443">
        <f>A4443&lt;=MineCount*Days</f>
        <v/>
      </c>
      <c r="C4443">
        <f>IF(B4443,INT((A4443-1)/Days)+1,"")</f>
        <v/>
      </c>
      <c r="D4443">
        <f>IF(B4443,MOD(A4443-1,Days),"")</f>
        <v/>
      </c>
      <c r="E4443" s="16">
        <f>IF(B4443,StartDate+D4443,"")</f>
        <v/>
      </c>
      <c r="F4443">
        <f>IF(B4443,MAX(MOD(SIN(Seed*0.1373+C4443*12.9898+D4443*78.233)*43758.5453,1),1E-9),"")</f>
        <v/>
      </c>
      <c r="G4443">
        <f>IF(B4443,MOD(SIN(Seed*0.5917+C4443*39.3468+D4443*11.135)*24634.6345,1),"")</f>
        <v/>
      </c>
      <c r="H4443">
        <f>IF(B4443,SQRT(-2*LN(F4443))*COS(2*PI()*G4443),"")</f>
        <v/>
      </c>
      <c r="I4443">
        <f>IF(B4443,IF(D4443=0,H4443,Rho*I4442+SQRT(1-Rho^2)*H4443),"")</f>
        <v/>
      </c>
      <c r="J4443">
        <f>IF(B4443,IF(Dist="Normal",DistA+DistB*I4443,DistA+(DistB-DistA)*NORMSDIST(I4443)),"")</f>
        <v/>
      </c>
      <c r="K4443">
        <f>IF(B4443,INDEX(MineScale,C4443),"")</f>
        <v/>
      </c>
      <c r="L4443">
        <f>IF(B4443,INDEX(Dow,1,WEEKDAY(E4443,2)),"")</f>
        <v/>
      </c>
      <c r="M4443">
        <f>IF(B4443,(1+Trend)^D4443,"")</f>
        <v/>
      </c>
      <c r="N4443">
        <f>IF(B4443,EXP(SUMPRODUCT(LN(1+(EvEff-1)*INDEX(Affected,0,C4443)*EXP(-((E4443-EvCenter)^2)/(2*EvSigma^2))))),"")</f>
        <v/>
      </c>
      <c r="O4443">
        <f>IF(B4443,ROUND(MAX(0,J4443*K4443*L4443*M4443*N4443),2),"")</f>
        <v/>
      </c>
    </row>
    <row r="4444">
      <c r="A4444" t="n">
        <v>4443</v>
      </c>
      <c r="B4444">
        <f>A4444&lt;=MineCount*Days</f>
        <v/>
      </c>
      <c r="C4444">
        <f>IF(B4444,INT((A4444-1)/Days)+1,"")</f>
        <v/>
      </c>
      <c r="D4444">
        <f>IF(B4444,MOD(A4444-1,Days),"")</f>
        <v/>
      </c>
      <c r="E4444" s="16">
        <f>IF(B4444,StartDate+D4444,"")</f>
        <v/>
      </c>
      <c r="F4444">
        <f>IF(B4444,MAX(MOD(SIN(Seed*0.1373+C4444*12.9898+D4444*78.233)*43758.5453,1),1E-9),"")</f>
        <v/>
      </c>
      <c r="G4444">
        <f>IF(B4444,MOD(SIN(Seed*0.5917+C4444*39.3468+D4444*11.135)*24634.6345,1),"")</f>
        <v/>
      </c>
      <c r="H4444">
        <f>IF(B4444,SQRT(-2*LN(F4444))*COS(2*PI()*G4444),"")</f>
        <v/>
      </c>
      <c r="I4444">
        <f>IF(B4444,IF(D4444=0,H4444,Rho*I4443+SQRT(1-Rho^2)*H4444),"")</f>
        <v/>
      </c>
      <c r="J4444">
        <f>IF(B4444,IF(Dist="Normal",DistA+DistB*I4444,DistA+(DistB-DistA)*NORMSDIST(I4444)),"")</f>
        <v/>
      </c>
      <c r="K4444">
        <f>IF(B4444,INDEX(MineScale,C4444),"")</f>
        <v/>
      </c>
      <c r="L4444">
        <f>IF(B4444,INDEX(Dow,1,WEEKDAY(E4444,2)),"")</f>
        <v/>
      </c>
      <c r="M4444">
        <f>IF(B4444,(1+Trend)^D4444,"")</f>
        <v/>
      </c>
      <c r="N4444">
        <f>IF(B4444,EXP(SUMPRODUCT(LN(1+(EvEff-1)*INDEX(Affected,0,C4444)*EXP(-((E4444-EvCenter)^2)/(2*EvSigma^2))))),"")</f>
        <v/>
      </c>
      <c r="O4444">
        <f>IF(B4444,ROUND(MAX(0,J4444*K4444*L4444*M4444*N4444),2),"")</f>
        <v/>
      </c>
    </row>
    <row r="4445">
      <c r="A4445" t="n">
        <v>4444</v>
      </c>
      <c r="B4445">
        <f>A4445&lt;=MineCount*Days</f>
        <v/>
      </c>
      <c r="C4445">
        <f>IF(B4445,INT((A4445-1)/Days)+1,"")</f>
        <v/>
      </c>
      <c r="D4445">
        <f>IF(B4445,MOD(A4445-1,Days),"")</f>
        <v/>
      </c>
      <c r="E4445" s="16">
        <f>IF(B4445,StartDate+D4445,"")</f>
        <v/>
      </c>
      <c r="F4445">
        <f>IF(B4445,MAX(MOD(SIN(Seed*0.1373+C4445*12.9898+D4445*78.233)*43758.5453,1),1E-9),"")</f>
        <v/>
      </c>
      <c r="G4445">
        <f>IF(B4445,MOD(SIN(Seed*0.5917+C4445*39.3468+D4445*11.135)*24634.6345,1),"")</f>
        <v/>
      </c>
      <c r="H4445">
        <f>IF(B4445,SQRT(-2*LN(F4445))*COS(2*PI()*G4445),"")</f>
        <v/>
      </c>
      <c r="I4445">
        <f>IF(B4445,IF(D4445=0,H4445,Rho*I4444+SQRT(1-Rho^2)*H4445),"")</f>
        <v/>
      </c>
      <c r="J4445">
        <f>IF(B4445,IF(Dist="Normal",DistA+DistB*I4445,DistA+(DistB-DistA)*NORMSDIST(I4445)),"")</f>
        <v/>
      </c>
      <c r="K4445">
        <f>IF(B4445,INDEX(MineScale,C4445),"")</f>
        <v/>
      </c>
      <c r="L4445">
        <f>IF(B4445,INDEX(Dow,1,WEEKDAY(E4445,2)),"")</f>
        <v/>
      </c>
      <c r="M4445">
        <f>IF(B4445,(1+Trend)^D4445,"")</f>
        <v/>
      </c>
      <c r="N4445">
        <f>IF(B4445,EXP(SUMPRODUCT(LN(1+(EvEff-1)*INDEX(Affected,0,C4445)*EXP(-((E4445-EvCenter)^2)/(2*EvSigma^2))))),"")</f>
        <v/>
      </c>
      <c r="O4445">
        <f>IF(B4445,ROUND(MAX(0,J4445*K4445*L4445*M4445*N4445),2),"")</f>
        <v/>
      </c>
    </row>
    <row r="4446">
      <c r="A4446" t="n">
        <v>4445</v>
      </c>
      <c r="B4446">
        <f>A4446&lt;=MineCount*Days</f>
        <v/>
      </c>
      <c r="C4446">
        <f>IF(B4446,INT((A4446-1)/Days)+1,"")</f>
        <v/>
      </c>
      <c r="D4446">
        <f>IF(B4446,MOD(A4446-1,Days),"")</f>
        <v/>
      </c>
      <c r="E4446" s="16">
        <f>IF(B4446,StartDate+D4446,"")</f>
        <v/>
      </c>
      <c r="F4446">
        <f>IF(B4446,MAX(MOD(SIN(Seed*0.1373+C4446*12.9898+D4446*78.233)*43758.5453,1),1E-9),"")</f>
        <v/>
      </c>
      <c r="G4446">
        <f>IF(B4446,MOD(SIN(Seed*0.5917+C4446*39.3468+D4446*11.135)*24634.6345,1),"")</f>
        <v/>
      </c>
      <c r="H4446">
        <f>IF(B4446,SQRT(-2*LN(F4446))*COS(2*PI()*G4446),"")</f>
        <v/>
      </c>
      <c r="I4446">
        <f>IF(B4446,IF(D4446=0,H4446,Rho*I4445+SQRT(1-Rho^2)*H4446),"")</f>
        <v/>
      </c>
      <c r="J4446">
        <f>IF(B4446,IF(Dist="Normal",DistA+DistB*I4446,DistA+(DistB-DistA)*NORMSDIST(I4446)),"")</f>
        <v/>
      </c>
      <c r="K4446">
        <f>IF(B4446,INDEX(MineScale,C4446),"")</f>
        <v/>
      </c>
      <c r="L4446">
        <f>IF(B4446,INDEX(Dow,1,WEEKDAY(E4446,2)),"")</f>
        <v/>
      </c>
      <c r="M4446">
        <f>IF(B4446,(1+Trend)^D4446,"")</f>
        <v/>
      </c>
      <c r="N4446">
        <f>IF(B4446,EXP(SUMPRODUCT(LN(1+(EvEff-1)*INDEX(Affected,0,C4446)*EXP(-((E4446-EvCenter)^2)/(2*EvSigma^2))))),"")</f>
        <v/>
      </c>
      <c r="O4446">
        <f>IF(B4446,ROUND(MAX(0,J4446*K4446*L4446*M4446*N4446),2),"")</f>
        <v/>
      </c>
    </row>
    <row r="4447">
      <c r="A4447" t="n">
        <v>4446</v>
      </c>
      <c r="B4447">
        <f>A4447&lt;=MineCount*Days</f>
        <v/>
      </c>
      <c r="C4447">
        <f>IF(B4447,INT((A4447-1)/Days)+1,"")</f>
        <v/>
      </c>
      <c r="D4447">
        <f>IF(B4447,MOD(A4447-1,Days),"")</f>
        <v/>
      </c>
      <c r="E4447" s="16">
        <f>IF(B4447,StartDate+D4447,"")</f>
        <v/>
      </c>
      <c r="F4447">
        <f>IF(B4447,MAX(MOD(SIN(Seed*0.1373+C4447*12.9898+D4447*78.233)*43758.5453,1),1E-9),"")</f>
        <v/>
      </c>
      <c r="G4447">
        <f>IF(B4447,MOD(SIN(Seed*0.5917+C4447*39.3468+D4447*11.135)*24634.6345,1),"")</f>
        <v/>
      </c>
      <c r="H4447">
        <f>IF(B4447,SQRT(-2*LN(F4447))*COS(2*PI()*G4447),"")</f>
        <v/>
      </c>
      <c r="I4447">
        <f>IF(B4447,IF(D4447=0,H4447,Rho*I4446+SQRT(1-Rho^2)*H4447),"")</f>
        <v/>
      </c>
      <c r="J4447">
        <f>IF(B4447,IF(Dist="Normal",DistA+DistB*I4447,DistA+(DistB-DistA)*NORMSDIST(I4447)),"")</f>
        <v/>
      </c>
      <c r="K4447">
        <f>IF(B4447,INDEX(MineScale,C4447),"")</f>
        <v/>
      </c>
      <c r="L4447">
        <f>IF(B4447,INDEX(Dow,1,WEEKDAY(E4447,2)),"")</f>
        <v/>
      </c>
      <c r="M4447">
        <f>IF(B4447,(1+Trend)^D4447,"")</f>
        <v/>
      </c>
      <c r="N4447">
        <f>IF(B4447,EXP(SUMPRODUCT(LN(1+(EvEff-1)*INDEX(Affected,0,C4447)*EXP(-((E4447-EvCenter)^2)/(2*EvSigma^2))))),"")</f>
        <v/>
      </c>
      <c r="O4447">
        <f>IF(B4447,ROUND(MAX(0,J4447*K4447*L4447*M4447*N4447),2),"")</f>
        <v/>
      </c>
    </row>
    <row r="4448">
      <c r="A4448" t="n">
        <v>4447</v>
      </c>
      <c r="B4448">
        <f>A4448&lt;=MineCount*Days</f>
        <v/>
      </c>
      <c r="C4448">
        <f>IF(B4448,INT((A4448-1)/Days)+1,"")</f>
        <v/>
      </c>
      <c r="D4448">
        <f>IF(B4448,MOD(A4448-1,Days),"")</f>
        <v/>
      </c>
      <c r="E4448" s="16">
        <f>IF(B4448,StartDate+D4448,"")</f>
        <v/>
      </c>
      <c r="F4448">
        <f>IF(B4448,MAX(MOD(SIN(Seed*0.1373+C4448*12.9898+D4448*78.233)*43758.5453,1),1E-9),"")</f>
        <v/>
      </c>
      <c r="G4448">
        <f>IF(B4448,MOD(SIN(Seed*0.5917+C4448*39.3468+D4448*11.135)*24634.6345,1),"")</f>
        <v/>
      </c>
      <c r="H4448">
        <f>IF(B4448,SQRT(-2*LN(F4448))*COS(2*PI()*G4448),"")</f>
        <v/>
      </c>
      <c r="I4448">
        <f>IF(B4448,IF(D4448=0,H4448,Rho*I4447+SQRT(1-Rho^2)*H4448),"")</f>
        <v/>
      </c>
      <c r="J4448">
        <f>IF(B4448,IF(Dist="Normal",DistA+DistB*I4448,DistA+(DistB-DistA)*NORMSDIST(I4448)),"")</f>
        <v/>
      </c>
      <c r="K4448">
        <f>IF(B4448,INDEX(MineScale,C4448),"")</f>
        <v/>
      </c>
      <c r="L4448">
        <f>IF(B4448,INDEX(Dow,1,WEEKDAY(E4448,2)),"")</f>
        <v/>
      </c>
      <c r="M4448">
        <f>IF(B4448,(1+Trend)^D4448,"")</f>
        <v/>
      </c>
      <c r="N4448">
        <f>IF(B4448,EXP(SUMPRODUCT(LN(1+(EvEff-1)*INDEX(Affected,0,C4448)*EXP(-((E4448-EvCenter)^2)/(2*EvSigma^2))))),"")</f>
        <v/>
      </c>
      <c r="O4448">
        <f>IF(B4448,ROUND(MAX(0,J4448*K4448*L4448*M4448*N4448),2),"")</f>
        <v/>
      </c>
    </row>
    <row r="4449">
      <c r="A4449" t="n">
        <v>4448</v>
      </c>
      <c r="B4449">
        <f>A4449&lt;=MineCount*Days</f>
        <v/>
      </c>
      <c r="C4449">
        <f>IF(B4449,INT((A4449-1)/Days)+1,"")</f>
        <v/>
      </c>
      <c r="D4449">
        <f>IF(B4449,MOD(A4449-1,Days),"")</f>
        <v/>
      </c>
      <c r="E4449" s="16">
        <f>IF(B4449,StartDate+D4449,"")</f>
        <v/>
      </c>
      <c r="F4449">
        <f>IF(B4449,MAX(MOD(SIN(Seed*0.1373+C4449*12.9898+D4449*78.233)*43758.5453,1),1E-9),"")</f>
        <v/>
      </c>
      <c r="G4449">
        <f>IF(B4449,MOD(SIN(Seed*0.5917+C4449*39.3468+D4449*11.135)*24634.6345,1),"")</f>
        <v/>
      </c>
      <c r="H4449">
        <f>IF(B4449,SQRT(-2*LN(F4449))*COS(2*PI()*G4449),"")</f>
        <v/>
      </c>
      <c r="I4449">
        <f>IF(B4449,IF(D4449=0,H4449,Rho*I4448+SQRT(1-Rho^2)*H4449),"")</f>
        <v/>
      </c>
      <c r="J4449">
        <f>IF(B4449,IF(Dist="Normal",DistA+DistB*I4449,DistA+(DistB-DistA)*NORMSDIST(I4449)),"")</f>
        <v/>
      </c>
      <c r="K4449">
        <f>IF(B4449,INDEX(MineScale,C4449),"")</f>
        <v/>
      </c>
      <c r="L4449">
        <f>IF(B4449,INDEX(Dow,1,WEEKDAY(E4449,2)),"")</f>
        <v/>
      </c>
      <c r="M4449">
        <f>IF(B4449,(1+Trend)^D4449,"")</f>
        <v/>
      </c>
      <c r="N4449">
        <f>IF(B4449,EXP(SUMPRODUCT(LN(1+(EvEff-1)*INDEX(Affected,0,C4449)*EXP(-((E4449-EvCenter)^2)/(2*EvSigma^2))))),"")</f>
        <v/>
      </c>
      <c r="O4449">
        <f>IF(B4449,ROUND(MAX(0,J4449*K4449*L4449*M4449*N4449),2),"")</f>
        <v/>
      </c>
    </row>
    <row r="4450">
      <c r="A4450" t="n">
        <v>4449</v>
      </c>
      <c r="B4450">
        <f>A4450&lt;=MineCount*Days</f>
        <v/>
      </c>
      <c r="C4450">
        <f>IF(B4450,INT((A4450-1)/Days)+1,"")</f>
        <v/>
      </c>
      <c r="D4450">
        <f>IF(B4450,MOD(A4450-1,Days),"")</f>
        <v/>
      </c>
      <c r="E4450" s="16">
        <f>IF(B4450,StartDate+D4450,"")</f>
        <v/>
      </c>
      <c r="F4450">
        <f>IF(B4450,MAX(MOD(SIN(Seed*0.1373+C4450*12.9898+D4450*78.233)*43758.5453,1),1E-9),"")</f>
        <v/>
      </c>
      <c r="G4450">
        <f>IF(B4450,MOD(SIN(Seed*0.5917+C4450*39.3468+D4450*11.135)*24634.6345,1),"")</f>
        <v/>
      </c>
      <c r="H4450">
        <f>IF(B4450,SQRT(-2*LN(F4450))*COS(2*PI()*G4450),"")</f>
        <v/>
      </c>
      <c r="I4450">
        <f>IF(B4450,IF(D4450=0,H4450,Rho*I4449+SQRT(1-Rho^2)*H4450),"")</f>
        <v/>
      </c>
      <c r="J4450">
        <f>IF(B4450,IF(Dist="Normal",DistA+DistB*I4450,DistA+(DistB-DistA)*NORMSDIST(I4450)),"")</f>
        <v/>
      </c>
      <c r="K4450">
        <f>IF(B4450,INDEX(MineScale,C4450),"")</f>
        <v/>
      </c>
      <c r="L4450">
        <f>IF(B4450,INDEX(Dow,1,WEEKDAY(E4450,2)),"")</f>
        <v/>
      </c>
      <c r="M4450">
        <f>IF(B4450,(1+Trend)^D4450,"")</f>
        <v/>
      </c>
      <c r="N4450">
        <f>IF(B4450,EXP(SUMPRODUCT(LN(1+(EvEff-1)*INDEX(Affected,0,C4450)*EXP(-((E4450-EvCenter)^2)/(2*EvSigma^2))))),"")</f>
        <v/>
      </c>
      <c r="O4450">
        <f>IF(B4450,ROUND(MAX(0,J4450*K4450*L4450*M4450*N4450),2),"")</f>
        <v/>
      </c>
    </row>
    <row r="4451">
      <c r="A4451" t="n">
        <v>4450</v>
      </c>
      <c r="B4451">
        <f>A4451&lt;=MineCount*Days</f>
        <v/>
      </c>
      <c r="C4451">
        <f>IF(B4451,INT((A4451-1)/Days)+1,"")</f>
        <v/>
      </c>
      <c r="D4451">
        <f>IF(B4451,MOD(A4451-1,Days),"")</f>
        <v/>
      </c>
      <c r="E4451" s="16">
        <f>IF(B4451,StartDate+D4451,"")</f>
        <v/>
      </c>
      <c r="F4451">
        <f>IF(B4451,MAX(MOD(SIN(Seed*0.1373+C4451*12.9898+D4451*78.233)*43758.5453,1),1E-9),"")</f>
        <v/>
      </c>
      <c r="G4451">
        <f>IF(B4451,MOD(SIN(Seed*0.5917+C4451*39.3468+D4451*11.135)*24634.6345,1),"")</f>
        <v/>
      </c>
      <c r="H4451">
        <f>IF(B4451,SQRT(-2*LN(F4451))*COS(2*PI()*G4451),"")</f>
        <v/>
      </c>
      <c r="I4451">
        <f>IF(B4451,IF(D4451=0,H4451,Rho*I4450+SQRT(1-Rho^2)*H4451),"")</f>
        <v/>
      </c>
      <c r="J4451">
        <f>IF(B4451,IF(Dist="Normal",DistA+DistB*I4451,DistA+(DistB-DistA)*NORMSDIST(I4451)),"")</f>
        <v/>
      </c>
      <c r="K4451">
        <f>IF(B4451,INDEX(MineScale,C4451),"")</f>
        <v/>
      </c>
      <c r="L4451">
        <f>IF(B4451,INDEX(Dow,1,WEEKDAY(E4451,2)),"")</f>
        <v/>
      </c>
      <c r="M4451">
        <f>IF(B4451,(1+Trend)^D4451,"")</f>
        <v/>
      </c>
      <c r="N4451">
        <f>IF(B4451,EXP(SUMPRODUCT(LN(1+(EvEff-1)*INDEX(Affected,0,C4451)*EXP(-((E4451-EvCenter)^2)/(2*EvSigma^2))))),"")</f>
        <v/>
      </c>
      <c r="O4451">
        <f>IF(B4451,ROUND(MAX(0,J4451*K4451*L4451*M4451*N4451),2),"")</f>
        <v/>
      </c>
    </row>
    <row r="4452">
      <c r="A4452" t="n">
        <v>4451</v>
      </c>
      <c r="B4452">
        <f>A4452&lt;=MineCount*Days</f>
        <v/>
      </c>
      <c r="C4452">
        <f>IF(B4452,INT((A4452-1)/Days)+1,"")</f>
        <v/>
      </c>
      <c r="D4452">
        <f>IF(B4452,MOD(A4452-1,Days),"")</f>
        <v/>
      </c>
      <c r="E4452" s="16">
        <f>IF(B4452,StartDate+D4452,"")</f>
        <v/>
      </c>
      <c r="F4452">
        <f>IF(B4452,MAX(MOD(SIN(Seed*0.1373+C4452*12.9898+D4452*78.233)*43758.5453,1),1E-9),"")</f>
        <v/>
      </c>
      <c r="G4452">
        <f>IF(B4452,MOD(SIN(Seed*0.5917+C4452*39.3468+D4452*11.135)*24634.6345,1),"")</f>
        <v/>
      </c>
      <c r="H4452">
        <f>IF(B4452,SQRT(-2*LN(F4452))*COS(2*PI()*G4452),"")</f>
        <v/>
      </c>
      <c r="I4452">
        <f>IF(B4452,IF(D4452=0,H4452,Rho*I4451+SQRT(1-Rho^2)*H4452),"")</f>
        <v/>
      </c>
      <c r="J4452">
        <f>IF(B4452,IF(Dist="Normal",DistA+DistB*I4452,DistA+(DistB-DistA)*NORMSDIST(I4452)),"")</f>
        <v/>
      </c>
      <c r="K4452">
        <f>IF(B4452,INDEX(MineScale,C4452),"")</f>
        <v/>
      </c>
      <c r="L4452">
        <f>IF(B4452,INDEX(Dow,1,WEEKDAY(E4452,2)),"")</f>
        <v/>
      </c>
      <c r="M4452">
        <f>IF(B4452,(1+Trend)^D4452,"")</f>
        <v/>
      </c>
      <c r="N4452">
        <f>IF(B4452,EXP(SUMPRODUCT(LN(1+(EvEff-1)*INDEX(Affected,0,C4452)*EXP(-((E4452-EvCenter)^2)/(2*EvSigma^2))))),"")</f>
        <v/>
      </c>
      <c r="O4452">
        <f>IF(B4452,ROUND(MAX(0,J4452*K4452*L4452*M4452*N4452),2),"")</f>
        <v/>
      </c>
    </row>
    <row r="4453">
      <c r="A4453" t="n">
        <v>4452</v>
      </c>
      <c r="B4453">
        <f>A4453&lt;=MineCount*Days</f>
        <v/>
      </c>
      <c r="C4453">
        <f>IF(B4453,INT((A4453-1)/Days)+1,"")</f>
        <v/>
      </c>
      <c r="D4453">
        <f>IF(B4453,MOD(A4453-1,Days),"")</f>
        <v/>
      </c>
      <c r="E4453" s="16">
        <f>IF(B4453,StartDate+D4453,"")</f>
        <v/>
      </c>
      <c r="F4453">
        <f>IF(B4453,MAX(MOD(SIN(Seed*0.1373+C4453*12.9898+D4453*78.233)*43758.5453,1),1E-9),"")</f>
        <v/>
      </c>
      <c r="G4453">
        <f>IF(B4453,MOD(SIN(Seed*0.5917+C4453*39.3468+D4453*11.135)*24634.6345,1),"")</f>
        <v/>
      </c>
      <c r="H4453">
        <f>IF(B4453,SQRT(-2*LN(F4453))*COS(2*PI()*G4453),"")</f>
        <v/>
      </c>
      <c r="I4453">
        <f>IF(B4453,IF(D4453=0,H4453,Rho*I4452+SQRT(1-Rho^2)*H4453),"")</f>
        <v/>
      </c>
      <c r="J4453">
        <f>IF(B4453,IF(Dist="Normal",DistA+DistB*I4453,DistA+(DistB-DistA)*NORMSDIST(I4453)),"")</f>
        <v/>
      </c>
      <c r="K4453">
        <f>IF(B4453,INDEX(MineScale,C4453),"")</f>
        <v/>
      </c>
      <c r="L4453">
        <f>IF(B4453,INDEX(Dow,1,WEEKDAY(E4453,2)),"")</f>
        <v/>
      </c>
      <c r="M4453">
        <f>IF(B4453,(1+Trend)^D4453,"")</f>
        <v/>
      </c>
      <c r="N4453">
        <f>IF(B4453,EXP(SUMPRODUCT(LN(1+(EvEff-1)*INDEX(Affected,0,C4453)*EXP(-((E4453-EvCenter)^2)/(2*EvSigma^2))))),"")</f>
        <v/>
      </c>
      <c r="O4453">
        <f>IF(B4453,ROUND(MAX(0,J4453*K4453*L4453*M4453*N4453),2),"")</f>
        <v/>
      </c>
    </row>
    <row r="4454">
      <c r="A4454" t="n">
        <v>4453</v>
      </c>
      <c r="B4454">
        <f>A4454&lt;=MineCount*Days</f>
        <v/>
      </c>
      <c r="C4454">
        <f>IF(B4454,INT((A4454-1)/Days)+1,"")</f>
        <v/>
      </c>
      <c r="D4454">
        <f>IF(B4454,MOD(A4454-1,Days),"")</f>
        <v/>
      </c>
      <c r="E4454" s="16">
        <f>IF(B4454,StartDate+D4454,"")</f>
        <v/>
      </c>
      <c r="F4454">
        <f>IF(B4454,MAX(MOD(SIN(Seed*0.1373+C4454*12.9898+D4454*78.233)*43758.5453,1),1E-9),"")</f>
        <v/>
      </c>
      <c r="G4454">
        <f>IF(B4454,MOD(SIN(Seed*0.5917+C4454*39.3468+D4454*11.135)*24634.6345,1),"")</f>
        <v/>
      </c>
      <c r="H4454">
        <f>IF(B4454,SQRT(-2*LN(F4454))*COS(2*PI()*G4454),"")</f>
        <v/>
      </c>
      <c r="I4454">
        <f>IF(B4454,IF(D4454=0,H4454,Rho*I4453+SQRT(1-Rho^2)*H4454),"")</f>
        <v/>
      </c>
      <c r="J4454">
        <f>IF(B4454,IF(Dist="Normal",DistA+DistB*I4454,DistA+(DistB-DistA)*NORMSDIST(I4454)),"")</f>
        <v/>
      </c>
      <c r="K4454">
        <f>IF(B4454,INDEX(MineScale,C4454),"")</f>
        <v/>
      </c>
      <c r="L4454">
        <f>IF(B4454,INDEX(Dow,1,WEEKDAY(E4454,2)),"")</f>
        <v/>
      </c>
      <c r="M4454">
        <f>IF(B4454,(1+Trend)^D4454,"")</f>
        <v/>
      </c>
      <c r="N4454">
        <f>IF(B4454,EXP(SUMPRODUCT(LN(1+(EvEff-1)*INDEX(Affected,0,C4454)*EXP(-((E4454-EvCenter)^2)/(2*EvSigma^2))))),"")</f>
        <v/>
      </c>
      <c r="O4454">
        <f>IF(B4454,ROUND(MAX(0,J4454*K4454*L4454*M4454*N4454),2),"")</f>
        <v/>
      </c>
    </row>
    <row r="4455">
      <c r="A4455" t="n">
        <v>4454</v>
      </c>
      <c r="B4455">
        <f>A4455&lt;=MineCount*Days</f>
        <v/>
      </c>
      <c r="C4455">
        <f>IF(B4455,INT((A4455-1)/Days)+1,"")</f>
        <v/>
      </c>
      <c r="D4455">
        <f>IF(B4455,MOD(A4455-1,Days),"")</f>
        <v/>
      </c>
      <c r="E4455" s="16">
        <f>IF(B4455,StartDate+D4455,"")</f>
        <v/>
      </c>
      <c r="F4455">
        <f>IF(B4455,MAX(MOD(SIN(Seed*0.1373+C4455*12.9898+D4455*78.233)*43758.5453,1),1E-9),"")</f>
        <v/>
      </c>
      <c r="G4455">
        <f>IF(B4455,MOD(SIN(Seed*0.5917+C4455*39.3468+D4455*11.135)*24634.6345,1),"")</f>
        <v/>
      </c>
      <c r="H4455">
        <f>IF(B4455,SQRT(-2*LN(F4455))*COS(2*PI()*G4455),"")</f>
        <v/>
      </c>
      <c r="I4455">
        <f>IF(B4455,IF(D4455=0,H4455,Rho*I4454+SQRT(1-Rho^2)*H4455),"")</f>
        <v/>
      </c>
      <c r="J4455">
        <f>IF(B4455,IF(Dist="Normal",DistA+DistB*I4455,DistA+(DistB-DistA)*NORMSDIST(I4455)),"")</f>
        <v/>
      </c>
      <c r="K4455">
        <f>IF(B4455,INDEX(MineScale,C4455),"")</f>
        <v/>
      </c>
      <c r="L4455">
        <f>IF(B4455,INDEX(Dow,1,WEEKDAY(E4455,2)),"")</f>
        <v/>
      </c>
      <c r="M4455">
        <f>IF(B4455,(1+Trend)^D4455,"")</f>
        <v/>
      </c>
      <c r="N4455">
        <f>IF(B4455,EXP(SUMPRODUCT(LN(1+(EvEff-1)*INDEX(Affected,0,C4455)*EXP(-((E4455-EvCenter)^2)/(2*EvSigma^2))))),"")</f>
        <v/>
      </c>
      <c r="O4455">
        <f>IF(B4455,ROUND(MAX(0,J4455*K4455*L4455*M4455*N4455),2),"")</f>
        <v/>
      </c>
    </row>
    <row r="4456">
      <c r="A4456" t="n">
        <v>4455</v>
      </c>
      <c r="B4456">
        <f>A4456&lt;=MineCount*Days</f>
        <v/>
      </c>
      <c r="C4456">
        <f>IF(B4456,INT((A4456-1)/Days)+1,"")</f>
        <v/>
      </c>
      <c r="D4456">
        <f>IF(B4456,MOD(A4456-1,Days),"")</f>
        <v/>
      </c>
      <c r="E4456" s="16">
        <f>IF(B4456,StartDate+D4456,"")</f>
        <v/>
      </c>
      <c r="F4456">
        <f>IF(B4456,MAX(MOD(SIN(Seed*0.1373+C4456*12.9898+D4456*78.233)*43758.5453,1),1E-9),"")</f>
        <v/>
      </c>
      <c r="G4456">
        <f>IF(B4456,MOD(SIN(Seed*0.5917+C4456*39.3468+D4456*11.135)*24634.6345,1),"")</f>
        <v/>
      </c>
      <c r="H4456">
        <f>IF(B4456,SQRT(-2*LN(F4456))*COS(2*PI()*G4456),"")</f>
        <v/>
      </c>
      <c r="I4456">
        <f>IF(B4456,IF(D4456=0,H4456,Rho*I4455+SQRT(1-Rho^2)*H4456),"")</f>
        <v/>
      </c>
      <c r="J4456">
        <f>IF(B4456,IF(Dist="Normal",DistA+DistB*I4456,DistA+(DistB-DistA)*NORMSDIST(I4456)),"")</f>
        <v/>
      </c>
      <c r="K4456">
        <f>IF(B4456,INDEX(MineScale,C4456),"")</f>
        <v/>
      </c>
      <c r="L4456">
        <f>IF(B4456,INDEX(Dow,1,WEEKDAY(E4456,2)),"")</f>
        <v/>
      </c>
      <c r="M4456">
        <f>IF(B4456,(1+Trend)^D4456,"")</f>
        <v/>
      </c>
      <c r="N4456">
        <f>IF(B4456,EXP(SUMPRODUCT(LN(1+(EvEff-1)*INDEX(Affected,0,C4456)*EXP(-((E4456-EvCenter)^2)/(2*EvSigma^2))))),"")</f>
        <v/>
      </c>
      <c r="O4456">
        <f>IF(B4456,ROUND(MAX(0,J4456*K4456*L4456*M4456*N4456),2),"")</f>
        <v/>
      </c>
    </row>
    <row r="4457">
      <c r="A4457" t="n">
        <v>4456</v>
      </c>
      <c r="B4457">
        <f>A4457&lt;=MineCount*Days</f>
        <v/>
      </c>
      <c r="C4457">
        <f>IF(B4457,INT((A4457-1)/Days)+1,"")</f>
        <v/>
      </c>
      <c r="D4457">
        <f>IF(B4457,MOD(A4457-1,Days),"")</f>
        <v/>
      </c>
      <c r="E4457" s="16">
        <f>IF(B4457,StartDate+D4457,"")</f>
        <v/>
      </c>
      <c r="F4457">
        <f>IF(B4457,MAX(MOD(SIN(Seed*0.1373+C4457*12.9898+D4457*78.233)*43758.5453,1),1E-9),"")</f>
        <v/>
      </c>
      <c r="G4457">
        <f>IF(B4457,MOD(SIN(Seed*0.5917+C4457*39.3468+D4457*11.135)*24634.6345,1),"")</f>
        <v/>
      </c>
      <c r="H4457">
        <f>IF(B4457,SQRT(-2*LN(F4457))*COS(2*PI()*G4457),"")</f>
        <v/>
      </c>
      <c r="I4457">
        <f>IF(B4457,IF(D4457=0,H4457,Rho*I4456+SQRT(1-Rho^2)*H4457),"")</f>
        <v/>
      </c>
      <c r="J4457">
        <f>IF(B4457,IF(Dist="Normal",DistA+DistB*I4457,DistA+(DistB-DistA)*NORMSDIST(I4457)),"")</f>
        <v/>
      </c>
      <c r="K4457">
        <f>IF(B4457,INDEX(MineScale,C4457),"")</f>
        <v/>
      </c>
      <c r="L4457">
        <f>IF(B4457,INDEX(Dow,1,WEEKDAY(E4457,2)),"")</f>
        <v/>
      </c>
      <c r="M4457">
        <f>IF(B4457,(1+Trend)^D4457,"")</f>
        <v/>
      </c>
      <c r="N4457">
        <f>IF(B4457,EXP(SUMPRODUCT(LN(1+(EvEff-1)*INDEX(Affected,0,C4457)*EXP(-((E4457-EvCenter)^2)/(2*EvSigma^2))))),"")</f>
        <v/>
      </c>
      <c r="O4457">
        <f>IF(B4457,ROUND(MAX(0,J4457*K4457*L4457*M4457*N4457),2),"")</f>
        <v/>
      </c>
    </row>
    <row r="4458">
      <c r="A4458" t="n">
        <v>4457</v>
      </c>
      <c r="B4458">
        <f>A4458&lt;=MineCount*Days</f>
        <v/>
      </c>
      <c r="C4458">
        <f>IF(B4458,INT((A4458-1)/Days)+1,"")</f>
        <v/>
      </c>
      <c r="D4458">
        <f>IF(B4458,MOD(A4458-1,Days),"")</f>
        <v/>
      </c>
      <c r="E4458" s="16">
        <f>IF(B4458,StartDate+D4458,"")</f>
        <v/>
      </c>
      <c r="F4458">
        <f>IF(B4458,MAX(MOD(SIN(Seed*0.1373+C4458*12.9898+D4458*78.233)*43758.5453,1),1E-9),"")</f>
        <v/>
      </c>
      <c r="G4458">
        <f>IF(B4458,MOD(SIN(Seed*0.5917+C4458*39.3468+D4458*11.135)*24634.6345,1),"")</f>
        <v/>
      </c>
      <c r="H4458">
        <f>IF(B4458,SQRT(-2*LN(F4458))*COS(2*PI()*G4458),"")</f>
        <v/>
      </c>
      <c r="I4458">
        <f>IF(B4458,IF(D4458=0,H4458,Rho*I4457+SQRT(1-Rho^2)*H4458),"")</f>
        <v/>
      </c>
      <c r="J4458">
        <f>IF(B4458,IF(Dist="Normal",DistA+DistB*I4458,DistA+(DistB-DistA)*NORMSDIST(I4458)),"")</f>
        <v/>
      </c>
      <c r="K4458">
        <f>IF(B4458,INDEX(MineScale,C4458),"")</f>
        <v/>
      </c>
      <c r="L4458">
        <f>IF(B4458,INDEX(Dow,1,WEEKDAY(E4458,2)),"")</f>
        <v/>
      </c>
      <c r="M4458">
        <f>IF(B4458,(1+Trend)^D4458,"")</f>
        <v/>
      </c>
      <c r="N4458">
        <f>IF(B4458,EXP(SUMPRODUCT(LN(1+(EvEff-1)*INDEX(Affected,0,C4458)*EXP(-((E4458-EvCenter)^2)/(2*EvSigma^2))))),"")</f>
        <v/>
      </c>
      <c r="O4458">
        <f>IF(B4458,ROUND(MAX(0,J4458*K4458*L4458*M4458*N4458),2),"")</f>
        <v/>
      </c>
    </row>
    <row r="4459">
      <c r="A4459" t="n">
        <v>4458</v>
      </c>
      <c r="B4459">
        <f>A4459&lt;=MineCount*Days</f>
        <v/>
      </c>
      <c r="C4459">
        <f>IF(B4459,INT((A4459-1)/Days)+1,"")</f>
        <v/>
      </c>
      <c r="D4459">
        <f>IF(B4459,MOD(A4459-1,Days),"")</f>
        <v/>
      </c>
      <c r="E4459" s="16">
        <f>IF(B4459,StartDate+D4459,"")</f>
        <v/>
      </c>
      <c r="F4459">
        <f>IF(B4459,MAX(MOD(SIN(Seed*0.1373+C4459*12.9898+D4459*78.233)*43758.5453,1),1E-9),"")</f>
        <v/>
      </c>
      <c r="G4459">
        <f>IF(B4459,MOD(SIN(Seed*0.5917+C4459*39.3468+D4459*11.135)*24634.6345,1),"")</f>
        <v/>
      </c>
      <c r="H4459">
        <f>IF(B4459,SQRT(-2*LN(F4459))*COS(2*PI()*G4459),"")</f>
        <v/>
      </c>
      <c r="I4459">
        <f>IF(B4459,IF(D4459=0,H4459,Rho*I4458+SQRT(1-Rho^2)*H4459),"")</f>
        <v/>
      </c>
      <c r="J4459">
        <f>IF(B4459,IF(Dist="Normal",DistA+DistB*I4459,DistA+(DistB-DistA)*NORMSDIST(I4459)),"")</f>
        <v/>
      </c>
      <c r="K4459">
        <f>IF(B4459,INDEX(MineScale,C4459),"")</f>
        <v/>
      </c>
      <c r="L4459">
        <f>IF(B4459,INDEX(Dow,1,WEEKDAY(E4459,2)),"")</f>
        <v/>
      </c>
      <c r="M4459">
        <f>IF(B4459,(1+Trend)^D4459,"")</f>
        <v/>
      </c>
      <c r="N4459">
        <f>IF(B4459,EXP(SUMPRODUCT(LN(1+(EvEff-1)*INDEX(Affected,0,C4459)*EXP(-((E4459-EvCenter)^2)/(2*EvSigma^2))))),"")</f>
        <v/>
      </c>
      <c r="O4459">
        <f>IF(B4459,ROUND(MAX(0,J4459*K4459*L4459*M4459*N4459),2),"")</f>
        <v/>
      </c>
    </row>
    <row r="4460">
      <c r="A4460" t="n">
        <v>4459</v>
      </c>
      <c r="B4460">
        <f>A4460&lt;=MineCount*Days</f>
        <v/>
      </c>
      <c r="C4460">
        <f>IF(B4460,INT((A4460-1)/Days)+1,"")</f>
        <v/>
      </c>
      <c r="D4460">
        <f>IF(B4460,MOD(A4460-1,Days),"")</f>
        <v/>
      </c>
      <c r="E4460" s="16">
        <f>IF(B4460,StartDate+D4460,"")</f>
        <v/>
      </c>
      <c r="F4460">
        <f>IF(B4460,MAX(MOD(SIN(Seed*0.1373+C4460*12.9898+D4460*78.233)*43758.5453,1),1E-9),"")</f>
        <v/>
      </c>
      <c r="G4460">
        <f>IF(B4460,MOD(SIN(Seed*0.5917+C4460*39.3468+D4460*11.135)*24634.6345,1),"")</f>
        <v/>
      </c>
      <c r="H4460">
        <f>IF(B4460,SQRT(-2*LN(F4460))*COS(2*PI()*G4460),"")</f>
        <v/>
      </c>
      <c r="I4460">
        <f>IF(B4460,IF(D4460=0,H4460,Rho*I4459+SQRT(1-Rho^2)*H4460),"")</f>
        <v/>
      </c>
      <c r="J4460">
        <f>IF(B4460,IF(Dist="Normal",DistA+DistB*I4460,DistA+(DistB-DistA)*NORMSDIST(I4460)),"")</f>
        <v/>
      </c>
      <c r="K4460">
        <f>IF(B4460,INDEX(MineScale,C4460),"")</f>
        <v/>
      </c>
      <c r="L4460">
        <f>IF(B4460,INDEX(Dow,1,WEEKDAY(E4460,2)),"")</f>
        <v/>
      </c>
      <c r="M4460">
        <f>IF(B4460,(1+Trend)^D4460,"")</f>
        <v/>
      </c>
      <c r="N4460">
        <f>IF(B4460,EXP(SUMPRODUCT(LN(1+(EvEff-1)*INDEX(Affected,0,C4460)*EXP(-((E4460-EvCenter)^2)/(2*EvSigma^2))))),"")</f>
        <v/>
      </c>
      <c r="O4460">
        <f>IF(B4460,ROUND(MAX(0,J4460*K4460*L4460*M4460*N4460),2),"")</f>
        <v/>
      </c>
    </row>
    <row r="4461">
      <c r="A4461" t="n">
        <v>4460</v>
      </c>
      <c r="B4461">
        <f>A4461&lt;=MineCount*Days</f>
        <v/>
      </c>
      <c r="C4461">
        <f>IF(B4461,INT((A4461-1)/Days)+1,"")</f>
        <v/>
      </c>
      <c r="D4461">
        <f>IF(B4461,MOD(A4461-1,Days),"")</f>
        <v/>
      </c>
      <c r="E4461" s="16">
        <f>IF(B4461,StartDate+D4461,"")</f>
        <v/>
      </c>
      <c r="F4461">
        <f>IF(B4461,MAX(MOD(SIN(Seed*0.1373+C4461*12.9898+D4461*78.233)*43758.5453,1),1E-9),"")</f>
        <v/>
      </c>
      <c r="G4461">
        <f>IF(B4461,MOD(SIN(Seed*0.5917+C4461*39.3468+D4461*11.135)*24634.6345,1),"")</f>
        <v/>
      </c>
      <c r="H4461">
        <f>IF(B4461,SQRT(-2*LN(F4461))*COS(2*PI()*G4461),"")</f>
        <v/>
      </c>
      <c r="I4461">
        <f>IF(B4461,IF(D4461=0,H4461,Rho*I4460+SQRT(1-Rho^2)*H4461),"")</f>
        <v/>
      </c>
      <c r="J4461">
        <f>IF(B4461,IF(Dist="Normal",DistA+DistB*I4461,DistA+(DistB-DistA)*NORMSDIST(I4461)),"")</f>
        <v/>
      </c>
      <c r="K4461">
        <f>IF(B4461,INDEX(MineScale,C4461),"")</f>
        <v/>
      </c>
      <c r="L4461">
        <f>IF(B4461,INDEX(Dow,1,WEEKDAY(E4461,2)),"")</f>
        <v/>
      </c>
      <c r="M4461">
        <f>IF(B4461,(1+Trend)^D4461,"")</f>
        <v/>
      </c>
      <c r="N4461">
        <f>IF(B4461,EXP(SUMPRODUCT(LN(1+(EvEff-1)*INDEX(Affected,0,C4461)*EXP(-((E4461-EvCenter)^2)/(2*EvSigma^2))))),"")</f>
        <v/>
      </c>
      <c r="O4461">
        <f>IF(B4461,ROUND(MAX(0,J4461*K4461*L4461*M4461*N4461),2),"")</f>
        <v/>
      </c>
    </row>
    <row r="4462">
      <c r="A4462" t="n">
        <v>4461</v>
      </c>
      <c r="B4462">
        <f>A4462&lt;=MineCount*Days</f>
        <v/>
      </c>
      <c r="C4462">
        <f>IF(B4462,INT((A4462-1)/Days)+1,"")</f>
        <v/>
      </c>
      <c r="D4462">
        <f>IF(B4462,MOD(A4462-1,Days),"")</f>
        <v/>
      </c>
      <c r="E4462" s="16">
        <f>IF(B4462,StartDate+D4462,"")</f>
        <v/>
      </c>
      <c r="F4462">
        <f>IF(B4462,MAX(MOD(SIN(Seed*0.1373+C4462*12.9898+D4462*78.233)*43758.5453,1),1E-9),"")</f>
        <v/>
      </c>
      <c r="G4462">
        <f>IF(B4462,MOD(SIN(Seed*0.5917+C4462*39.3468+D4462*11.135)*24634.6345,1),"")</f>
        <v/>
      </c>
      <c r="H4462">
        <f>IF(B4462,SQRT(-2*LN(F4462))*COS(2*PI()*G4462),"")</f>
        <v/>
      </c>
      <c r="I4462">
        <f>IF(B4462,IF(D4462=0,H4462,Rho*I4461+SQRT(1-Rho^2)*H4462),"")</f>
        <v/>
      </c>
      <c r="J4462">
        <f>IF(B4462,IF(Dist="Normal",DistA+DistB*I4462,DistA+(DistB-DistA)*NORMSDIST(I4462)),"")</f>
        <v/>
      </c>
      <c r="K4462">
        <f>IF(B4462,INDEX(MineScale,C4462),"")</f>
        <v/>
      </c>
      <c r="L4462">
        <f>IF(B4462,INDEX(Dow,1,WEEKDAY(E4462,2)),"")</f>
        <v/>
      </c>
      <c r="M4462">
        <f>IF(B4462,(1+Trend)^D4462,"")</f>
        <v/>
      </c>
      <c r="N4462">
        <f>IF(B4462,EXP(SUMPRODUCT(LN(1+(EvEff-1)*INDEX(Affected,0,C4462)*EXP(-((E4462-EvCenter)^2)/(2*EvSigma^2))))),"")</f>
        <v/>
      </c>
      <c r="O4462">
        <f>IF(B4462,ROUND(MAX(0,J4462*K4462*L4462*M4462*N4462),2),"")</f>
        <v/>
      </c>
    </row>
    <row r="4463">
      <c r="A4463" t="n">
        <v>4462</v>
      </c>
      <c r="B4463">
        <f>A4463&lt;=MineCount*Days</f>
        <v/>
      </c>
      <c r="C4463">
        <f>IF(B4463,INT((A4463-1)/Days)+1,"")</f>
        <v/>
      </c>
      <c r="D4463">
        <f>IF(B4463,MOD(A4463-1,Days),"")</f>
        <v/>
      </c>
      <c r="E4463" s="16">
        <f>IF(B4463,StartDate+D4463,"")</f>
        <v/>
      </c>
      <c r="F4463">
        <f>IF(B4463,MAX(MOD(SIN(Seed*0.1373+C4463*12.9898+D4463*78.233)*43758.5453,1),1E-9),"")</f>
        <v/>
      </c>
      <c r="G4463">
        <f>IF(B4463,MOD(SIN(Seed*0.5917+C4463*39.3468+D4463*11.135)*24634.6345,1),"")</f>
        <v/>
      </c>
      <c r="H4463">
        <f>IF(B4463,SQRT(-2*LN(F4463))*COS(2*PI()*G4463),"")</f>
        <v/>
      </c>
      <c r="I4463">
        <f>IF(B4463,IF(D4463=0,H4463,Rho*I4462+SQRT(1-Rho^2)*H4463),"")</f>
        <v/>
      </c>
      <c r="J4463">
        <f>IF(B4463,IF(Dist="Normal",DistA+DistB*I4463,DistA+(DistB-DistA)*NORMSDIST(I4463)),"")</f>
        <v/>
      </c>
      <c r="K4463">
        <f>IF(B4463,INDEX(MineScale,C4463),"")</f>
        <v/>
      </c>
      <c r="L4463">
        <f>IF(B4463,INDEX(Dow,1,WEEKDAY(E4463,2)),"")</f>
        <v/>
      </c>
      <c r="M4463">
        <f>IF(B4463,(1+Trend)^D4463,"")</f>
        <v/>
      </c>
      <c r="N4463">
        <f>IF(B4463,EXP(SUMPRODUCT(LN(1+(EvEff-1)*INDEX(Affected,0,C4463)*EXP(-((E4463-EvCenter)^2)/(2*EvSigma^2))))),"")</f>
        <v/>
      </c>
      <c r="O4463">
        <f>IF(B4463,ROUND(MAX(0,J4463*K4463*L4463*M4463*N4463),2),"")</f>
        <v/>
      </c>
    </row>
    <row r="4464">
      <c r="A4464" t="n">
        <v>4463</v>
      </c>
      <c r="B4464">
        <f>A4464&lt;=MineCount*Days</f>
        <v/>
      </c>
      <c r="C4464">
        <f>IF(B4464,INT((A4464-1)/Days)+1,"")</f>
        <v/>
      </c>
      <c r="D4464">
        <f>IF(B4464,MOD(A4464-1,Days),"")</f>
        <v/>
      </c>
      <c r="E4464" s="16">
        <f>IF(B4464,StartDate+D4464,"")</f>
        <v/>
      </c>
      <c r="F4464">
        <f>IF(B4464,MAX(MOD(SIN(Seed*0.1373+C4464*12.9898+D4464*78.233)*43758.5453,1),1E-9),"")</f>
        <v/>
      </c>
      <c r="G4464">
        <f>IF(B4464,MOD(SIN(Seed*0.5917+C4464*39.3468+D4464*11.135)*24634.6345,1),"")</f>
        <v/>
      </c>
      <c r="H4464">
        <f>IF(B4464,SQRT(-2*LN(F4464))*COS(2*PI()*G4464),"")</f>
        <v/>
      </c>
      <c r="I4464">
        <f>IF(B4464,IF(D4464=0,H4464,Rho*I4463+SQRT(1-Rho^2)*H4464),"")</f>
        <v/>
      </c>
      <c r="J4464">
        <f>IF(B4464,IF(Dist="Normal",DistA+DistB*I4464,DistA+(DistB-DistA)*NORMSDIST(I4464)),"")</f>
        <v/>
      </c>
      <c r="K4464">
        <f>IF(B4464,INDEX(MineScale,C4464),"")</f>
        <v/>
      </c>
      <c r="L4464">
        <f>IF(B4464,INDEX(Dow,1,WEEKDAY(E4464,2)),"")</f>
        <v/>
      </c>
      <c r="M4464">
        <f>IF(B4464,(1+Trend)^D4464,"")</f>
        <v/>
      </c>
      <c r="N4464">
        <f>IF(B4464,EXP(SUMPRODUCT(LN(1+(EvEff-1)*INDEX(Affected,0,C4464)*EXP(-((E4464-EvCenter)^2)/(2*EvSigma^2))))),"")</f>
        <v/>
      </c>
      <c r="O4464">
        <f>IF(B4464,ROUND(MAX(0,J4464*K4464*L4464*M4464*N4464),2),"")</f>
        <v/>
      </c>
    </row>
    <row r="4465">
      <c r="A4465" t="n">
        <v>4464</v>
      </c>
      <c r="B4465">
        <f>A4465&lt;=MineCount*Days</f>
        <v/>
      </c>
      <c r="C4465">
        <f>IF(B4465,INT((A4465-1)/Days)+1,"")</f>
        <v/>
      </c>
      <c r="D4465">
        <f>IF(B4465,MOD(A4465-1,Days),"")</f>
        <v/>
      </c>
      <c r="E4465" s="16">
        <f>IF(B4465,StartDate+D4465,"")</f>
        <v/>
      </c>
      <c r="F4465">
        <f>IF(B4465,MAX(MOD(SIN(Seed*0.1373+C4465*12.9898+D4465*78.233)*43758.5453,1),1E-9),"")</f>
        <v/>
      </c>
      <c r="G4465">
        <f>IF(B4465,MOD(SIN(Seed*0.5917+C4465*39.3468+D4465*11.135)*24634.6345,1),"")</f>
        <v/>
      </c>
      <c r="H4465">
        <f>IF(B4465,SQRT(-2*LN(F4465))*COS(2*PI()*G4465),"")</f>
        <v/>
      </c>
      <c r="I4465">
        <f>IF(B4465,IF(D4465=0,H4465,Rho*I4464+SQRT(1-Rho^2)*H4465),"")</f>
        <v/>
      </c>
      <c r="J4465">
        <f>IF(B4465,IF(Dist="Normal",DistA+DistB*I4465,DistA+(DistB-DistA)*NORMSDIST(I4465)),"")</f>
        <v/>
      </c>
      <c r="K4465">
        <f>IF(B4465,INDEX(MineScale,C4465),"")</f>
        <v/>
      </c>
      <c r="L4465">
        <f>IF(B4465,INDEX(Dow,1,WEEKDAY(E4465,2)),"")</f>
        <v/>
      </c>
      <c r="M4465">
        <f>IF(B4465,(1+Trend)^D4465,"")</f>
        <v/>
      </c>
      <c r="N4465">
        <f>IF(B4465,EXP(SUMPRODUCT(LN(1+(EvEff-1)*INDEX(Affected,0,C4465)*EXP(-((E4465-EvCenter)^2)/(2*EvSigma^2))))),"")</f>
        <v/>
      </c>
      <c r="O4465">
        <f>IF(B4465,ROUND(MAX(0,J4465*K4465*L4465*M4465*N4465),2),"")</f>
        <v/>
      </c>
    </row>
    <row r="4466">
      <c r="A4466" t="n">
        <v>4465</v>
      </c>
      <c r="B4466">
        <f>A4466&lt;=MineCount*Days</f>
        <v/>
      </c>
      <c r="C4466">
        <f>IF(B4466,INT((A4466-1)/Days)+1,"")</f>
        <v/>
      </c>
      <c r="D4466">
        <f>IF(B4466,MOD(A4466-1,Days),"")</f>
        <v/>
      </c>
      <c r="E4466" s="16">
        <f>IF(B4466,StartDate+D4466,"")</f>
        <v/>
      </c>
      <c r="F4466">
        <f>IF(B4466,MAX(MOD(SIN(Seed*0.1373+C4466*12.9898+D4466*78.233)*43758.5453,1),1E-9),"")</f>
        <v/>
      </c>
      <c r="G4466">
        <f>IF(B4466,MOD(SIN(Seed*0.5917+C4466*39.3468+D4466*11.135)*24634.6345,1),"")</f>
        <v/>
      </c>
      <c r="H4466">
        <f>IF(B4466,SQRT(-2*LN(F4466))*COS(2*PI()*G4466),"")</f>
        <v/>
      </c>
      <c r="I4466">
        <f>IF(B4466,IF(D4466=0,H4466,Rho*I4465+SQRT(1-Rho^2)*H4466),"")</f>
        <v/>
      </c>
      <c r="J4466">
        <f>IF(B4466,IF(Dist="Normal",DistA+DistB*I4466,DistA+(DistB-DistA)*NORMSDIST(I4466)),"")</f>
        <v/>
      </c>
      <c r="K4466">
        <f>IF(B4466,INDEX(MineScale,C4466),"")</f>
        <v/>
      </c>
      <c r="L4466">
        <f>IF(B4466,INDEX(Dow,1,WEEKDAY(E4466,2)),"")</f>
        <v/>
      </c>
      <c r="M4466">
        <f>IF(B4466,(1+Trend)^D4466,"")</f>
        <v/>
      </c>
      <c r="N4466">
        <f>IF(B4466,EXP(SUMPRODUCT(LN(1+(EvEff-1)*INDEX(Affected,0,C4466)*EXP(-((E4466-EvCenter)^2)/(2*EvSigma^2))))),"")</f>
        <v/>
      </c>
      <c r="O4466">
        <f>IF(B4466,ROUND(MAX(0,J4466*K4466*L4466*M4466*N4466),2),"")</f>
        <v/>
      </c>
    </row>
    <row r="4467">
      <c r="A4467" t="n">
        <v>4466</v>
      </c>
      <c r="B4467">
        <f>A4467&lt;=MineCount*Days</f>
        <v/>
      </c>
      <c r="C4467">
        <f>IF(B4467,INT((A4467-1)/Days)+1,"")</f>
        <v/>
      </c>
      <c r="D4467">
        <f>IF(B4467,MOD(A4467-1,Days),"")</f>
        <v/>
      </c>
      <c r="E4467" s="16">
        <f>IF(B4467,StartDate+D4467,"")</f>
        <v/>
      </c>
      <c r="F4467">
        <f>IF(B4467,MAX(MOD(SIN(Seed*0.1373+C4467*12.9898+D4467*78.233)*43758.5453,1),1E-9),"")</f>
        <v/>
      </c>
      <c r="G4467">
        <f>IF(B4467,MOD(SIN(Seed*0.5917+C4467*39.3468+D4467*11.135)*24634.6345,1),"")</f>
        <v/>
      </c>
      <c r="H4467">
        <f>IF(B4467,SQRT(-2*LN(F4467))*COS(2*PI()*G4467),"")</f>
        <v/>
      </c>
      <c r="I4467">
        <f>IF(B4467,IF(D4467=0,H4467,Rho*I4466+SQRT(1-Rho^2)*H4467),"")</f>
        <v/>
      </c>
      <c r="J4467">
        <f>IF(B4467,IF(Dist="Normal",DistA+DistB*I4467,DistA+(DistB-DistA)*NORMSDIST(I4467)),"")</f>
        <v/>
      </c>
      <c r="K4467">
        <f>IF(B4467,INDEX(MineScale,C4467),"")</f>
        <v/>
      </c>
      <c r="L4467">
        <f>IF(B4467,INDEX(Dow,1,WEEKDAY(E4467,2)),"")</f>
        <v/>
      </c>
      <c r="M4467">
        <f>IF(B4467,(1+Trend)^D4467,"")</f>
        <v/>
      </c>
      <c r="N4467">
        <f>IF(B4467,EXP(SUMPRODUCT(LN(1+(EvEff-1)*INDEX(Affected,0,C4467)*EXP(-((E4467-EvCenter)^2)/(2*EvSigma^2))))),"")</f>
        <v/>
      </c>
      <c r="O4467">
        <f>IF(B4467,ROUND(MAX(0,J4467*K4467*L4467*M4467*N4467),2),"")</f>
        <v/>
      </c>
    </row>
    <row r="4468">
      <c r="A4468" t="n">
        <v>4467</v>
      </c>
      <c r="B4468">
        <f>A4468&lt;=MineCount*Days</f>
        <v/>
      </c>
      <c r="C4468">
        <f>IF(B4468,INT((A4468-1)/Days)+1,"")</f>
        <v/>
      </c>
      <c r="D4468">
        <f>IF(B4468,MOD(A4468-1,Days),"")</f>
        <v/>
      </c>
      <c r="E4468" s="16">
        <f>IF(B4468,StartDate+D4468,"")</f>
        <v/>
      </c>
      <c r="F4468">
        <f>IF(B4468,MAX(MOD(SIN(Seed*0.1373+C4468*12.9898+D4468*78.233)*43758.5453,1),1E-9),"")</f>
        <v/>
      </c>
      <c r="G4468">
        <f>IF(B4468,MOD(SIN(Seed*0.5917+C4468*39.3468+D4468*11.135)*24634.6345,1),"")</f>
        <v/>
      </c>
      <c r="H4468">
        <f>IF(B4468,SQRT(-2*LN(F4468))*COS(2*PI()*G4468),"")</f>
        <v/>
      </c>
      <c r="I4468">
        <f>IF(B4468,IF(D4468=0,H4468,Rho*I4467+SQRT(1-Rho^2)*H4468),"")</f>
        <v/>
      </c>
      <c r="J4468">
        <f>IF(B4468,IF(Dist="Normal",DistA+DistB*I4468,DistA+(DistB-DistA)*NORMSDIST(I4468)),"")</f>
        <v/>
      </c>
      <c r="K4468">
        <f>IF(B4468,INDEX(MineScale,C4468),"")</f>
        <v/>
      </c>
      <c r="L4468">
        <f>IF(B4468,INDEX(Dow,1,WEEKDAY(E4468,2)),"")</f>
        <v/>
      </c>
      <c r="M4468">
        <f>IF(B4468,(1+Trend)^D4468,"")</f>
        <v/>
      </c>
      <c r="N4468">
        <f>IF(B4468,EXP(SUMPRODUCT(LN(1+(EvEff-1)*INDEX(Affected,0,C4468)*EXP(-((E4468-EvCenter)^2)/(2*EvSigma^2))))),"")</f>
        <v/>
      </c>
      <c r="O4468">
        <f>IF(B4468,ROUND(MAX(0,J4468*K4468*L4468*M4468*N4468),2),"")</f>
        <v/>
      </c>
    </row>
    <row r="4469">
      <c r="A4469" t="n">
        <v>4468</v>
      </c>
      <c r="B4469">
        <f>A4469&lt;=MineCount*Days</f>
        <v/>
      </c>
      <c r="C4469">
        <f>IF(B4469,INT((A4469-1)/Days)+1,"")</f>
        <v/>
      </c>
      <c r="D4469">
        <f>IF(B4469,MOD(A4469-1,Days),"")</f>
        <v/>
      </c>
      <c r="E4469" s="16">
        <f>IF(B4469,StartDate+D4469,"")</f>
        <v/>
      </c>
      <c r="F4469">
        <f>IF(B4469,MAX(MOD(SIN(Seed*0.1373+C4469*12.9898+D4469*78.233)*43758.5453,1),1E-9),"")</f>
        <v/>
      </c>
      <c r="G4469">
        <f>IF(B4469,MOD(SIN(Seed*0.5917+C4469*39.3468+D4469*11.135)*24634.6345,1),"")</f>
        <v/>
      </c>
      <c r="H4469">
        <f>IF(B4469,SQRT(-2*LN(F4469))*COS(2*PI()*G4469),"")</f>
        <v/>
      </c>
      <c r="I4469">
        <f>IF(B4469,IF(D4469=0,H4469,Rho*I4468+SQRT(1-Rho^2)*H4469),"")</f>
        <v/>
      </c>
      <c r="J4469">
        <f>IF(B4469,IF(Dist="Normal",DistA+DistB*I4469,DistA+(DistB-DistA)*NORMSDIST(I4469)),"")</f>
        <v/>
      </c>
      <c r="K4469">
        <f>IF(B4469,INDEX(MineScale,C4469),"")</f>
        <v/>
      </c>
      <c r="L4469">
        <f>IF(B4469,INDEX(Dow,1,WEEKDAY(E4469,2)),"")</f>
        <v/>
      </c>
      <c r="M4469">
        <f>IF(B4469,(1+Trend)^D4469,"")</f>
        <v/>
      </c>
      <c r="N4469">
        <f>IF(B4469,EXP(SUMPRODUCT(LN(1+(EvEff-1)*INDEX(Affected,0,C4469)*EXP(-((E4469-EvCenter)^2)/(2*EvSigma^2))))),"")</f>
        <v/>
      </c>
      <c r="O4469">
        <f>IF(B4469,ROUND(MAX(0,J4469*K4469*L4469*M4469*N4469),2),"")</f>
        <v/>
      </c>
    </row>
    <row r="4470">
      <c r="A4470" t="n">
        <v>4469</v>
      </c>
      <c r="B4470">
        <f>A4470&lt;=MineCount*Days</f>
        <v/>
      </c>
      <c r="C4470">
        <f>IF(B4470,INT((A4470-1)/Days)+1,"")</f>
        <v/>
      </c>
      <c r="D4470">
        <f>IF(B4470,MOD(A4470-1,Days),"")</f>
        <v/>
      </c>
      <c r="E4470" s="16">
        <f>IF(B4470,StartDate+D4470,"")</f>
        <v/>
      </c>
      <c r="F4470">
        <f>IF(B4470,MAX(MOD(SIN(Seed*0.1373+C4470*12.9898+D4470*78.233)*43758.5453,1),1E-9),"")</f>
        <v/>
      </c>
      <c r="G4470">
        <f>IF(B4470,MOD(SIN(Seed*0.5917+C4470*39.3468+D4470*11.135)*24634.6345,1),"")</f>
        <v/>
      </c>
      <c r="H4470">
        <f>IF(B4470,SQRT(-2*LN(F4470))*COS(2*PI()*G4470),"")</f>
        <v/>
      </c>
      <c r="I4470">
        <f>IF(B4470,IF(D4470=0,H4470,Rho*I4469+SQRT(1-Rho^2)*H4470),"")</f>
        <v/>
      </c>
      <c r="J4470">
        <f>IF(B4470,IF(Dist="Normal",DistA+DistB*I4470,DistA+(DistB-DistA)*NORMSDIST(I4470)),"")</f>
        <v/>
      </c>
      <c r="K4470">
        <f>IF(B4470,INDEX(MineScale,C4470),"")</f>
        <v/>
      </c>
      <c r="L4470">
        <f>IF(B4470,INDEX(Dow,1,WEEKDAY(E4470,2)),"")</f>
        <v/>
      </c>
      <c r="M4470">
        <f>IF(B4470,(1+Trend)^D4470,"")</f>
        <v/>
      </c>
      <c r="N4470">
        <f>IF(B4470,EXP(SUMPRODUCT(LN(1+(EvEff-1)*INDEX(Affected,0,C4470)*EXP(-((E4470-EvCenter)^2)/(2*EvSigma^2))))),"")</f>
        <v/>
      </c>
      <c r="O4470">
        <f>IF(B4470,ROUND(MAX(0,J4470*K4470*L4470*M4470*N4470),2),"")</f>
        <v/>
      </c>
    </row>
    <row r="4471">
      <c r="A4471" t="n">
        <v>4470</v>
      </c>
      <c r="B4471">
        <f>A4471&lt;=MineCount*Days</f>
        <v/>
      </c>
      <c r="C4471">
        <f>IF(B4471,INT((A4471-1)/Days)+1,"")</f>
        <v/>
      </c>
      <c r="D4471">
        <f>IF(B4471,MOD(A4471-1,Days),"")</f>
        <v/>
      </c>
      <c r="E4471" s="16">
        <f>IF(B4471,StartDate+D4471,"")</f>
        <v/>
      </c>
      <c r="F4471">
        <f>IF(B4471,MAX(MOD(SIN(Seed*0.1373+C4471*12.9898+D4471*78.233)*43758.5453,1),1E-9),"")</f>
        <v/>
      </c>
      <c r="G4471">
        <f>IF(B4471,MOD(SIN(Seed*0.5917+C4471*39.3468+D4471*11.135)*24634.6345,1),"")</f>
        <v/>
      </c>
      <c r="H4471">
        <f>IF(B4471,SQRT(-2*LN(F4471))*COS(2*PI()*G4471),"")</f>
        <v/>
      </c>
      <c r="I4471">
        <f>IF(B4471,IF(D4471=0,H4471,Rho*I4470+SQRT(1-Rho^2)*H4471),"")</f>
        <v/>
      </c>
      <c r="J4471">
        <f>IF(B4471,IF(Dist="Normal",DistA+DistB*I4471,DistA+(DistB-DistA)*NORMSDIST(I4471)),"")</f>
        <v/>
      </c>
      <c r="K4471">
        <f>IF(B4471,INDEX(MineScale,C4471),"")</f>
        <v/>
      </c>
      <c r="L4471">
        <f>IF(B4471,INDEX(Dow,1,WEEKDAY(E4471,2)),"")</f>
        <v/>
      </c>
      <c r="M4471">
        <f>IF(B4471,(1+Trend)^D4471,"")</f>
        <v/>
      </c>
      <c r="N4471">
        <f>IF(B4471,EXP(SUMPRODUCT(LN(1+(EvEff-1)*INDEX(Affected,0,C4471)*EXP(-((E4471-EvCenter)^2)/(2*EvSigma^2))))),"")</f>
        <v/>
      </c>
      <c r="O4471">
        <f>IF(B4471,ROUND(MAX(0,J4471*K4471*L4471*M4471*N4471),2),"")</f>
        <v/>
      </c>
    </row>
    <row r="4472">
      <c r="A4472" t="n">
        <v>4471</v>
      </c>
      <c r="B4472">
        <f>A4472&lt;=MineCount*Days</f>
        <v/>
      </c>
      <c r="C4472">
        <f>IF(B4472,INT((A4472-1)/Days)+1,"")</f>
        <v/>
      </c>
      <c r="D4472">
        <f>IF(B4472,MOD(A4472-1,Days),"")</f>
        <v/>
      </c>
      <c r="E4472" s="16">
        <f>IF(B4472,StartDate+D4472,"")</f>
        <v/>
      </c>
      <c r="F4472">
        <f>IF(B4472,MAX(MOD(SIN(Seed*0.1373+C4472*12.9898+D4472*78.233)*43758.5453,1),1E-9),"")</f>
        <v/>
      </c>
      <c r="G4472">
        <f>IF(B4472,MOD(SIN(Seed*0.5917+C4472*39.3468+D4472*11.135)*24634.6345,1),"")</f>
        <v/>
      </c>
      <c r="H4472">
        <f>IF(B4472,SQRT(-2*LN(F4472))*COS(2*PI()*G4472),"")</f>
        <v/>
      </c>
      <c r="I4472">
        <f>IF(B4472,IF(D4472=0,H4472,Rho*I4471+SQRT(1-Rho^2)*H4472),"")</f>
        <v/>
      </c>
      <c r="J4472">
        <f>IF(B4472,IF(Dist="Normal",DistA+DistB*I4472,DistA+(DistB-DistA)*NORMSDIST(I4472)),"")</f>
        <v/>
      </c>
      <c r="K4472">
        <f>IF(B4472,INDEX(MineScale,C4472),"")</f>
        <v/>
      </c>
      <c r="L4472">
        <f>IF(B4472,INDEX(Dow,1,WEEKDAY(E4472,2)),"")</f>
        <v/>
      </c>
      <c r="M4472">
        <f>IF(B4472,(1+Trend)^D4472,"")</f>
        <v/>
      </c>
      <c r="N4472">
        <f>IF(B4472,EXP(SUMPRODUCT(LN(1+(EvEff-1)*INDEX(Affected,0,C4472)*EXP(-((E4472-EvCenter)^2)/(2*EvSigma^2))))),"")</f>
        <v/>
      </c>
      <c r="O4472">
        <f>IF(B4472,ROUND(MAX(0,J4472*K4472*L4472*M4472*N4472),2),"")</f>
        <v/>
      </c>
    </row>
    <row r="4473">
      <c r="A4473" t="n">
        <v>4472</v>
      </c>
      <c r="B4473">
        <f>A4473&lt;=MineCount*Days</f>
        <v/>
      </c>
      <c r="C4473">
        <f>IF(B4473,INT((A4473-1)/Days)+1,"")</f>
        <v/>
      </c>
      <c r="D4473">
        <f>IF(B4473,MOD(A4473-1,Days),"")</f>
        <v/>
      </c>
      <c r="E4473" s="16">
        <f>IF(B4473,StartDate+D4473,"")</f>
        <v/>
      </c>
      <c r="F4473">
        <f>IF(B4473,MAX(MOD(SIN(Seed*0.1373+C4473*12.9898+D4473*78.233)*43758.5453,1),1E-9),"")</f>
        <v/>
      </c>
      <c r="G4473">
        <f>IF(B4473,MOD(SIN(Seed*0.5917+C4473*39.3468+D4473*11.135)*24634.6345,1),"")</f>
        <v/>
      </c>
      <c r="H4473">
        <f>IF(B4473,SQRT(-2*LN(F4473))*COS(2*PI()*G4473),"")</f>
        <v/>
      </c>
      <c r="I4473">
        <f>IF(B4473,IF(D4473=0,H4473,Rho*I4472+SQRT(1-Rho^2)*H4473),"")</f>
        <v/>
      </c>
      <c r="J4473">
        <f>IF(B4473,IF(Dist="Normal",DistA+DistB*I4473,DistA+(DistB-DistA)*NORMSDIST(I4473)),"")</f>
        <v/>
      </c>
      <c r="K4473">
        <f>IF(B4473,INDEX(MineScale,C4473),"")</f>
        <v/>
      </c>
      <c r="L4473">
        <f>IF(B4473,INDEX(Dow,1,WEEKDAY(E4473,2)),"")</f>
        <v/>
      </c>
      <c r="M4473">
        <f>IF(B4473,(1+Trend)^D4473,"")</f>
        <v/>
      </c>
      <c r="N4473">
        <f>IF(B4473,EXP(SUMPRODUCT(LN(1+(EvEff-1)*INDEX(Affected,0,C4473)*EXP(-((E4473-EvCenter)^2)/(2*EvSigma^2))))),"")</f>
        <v/>
      </c>
      <c r="O4473">
        <f>IF(B4473,ROUND(MAX(0,J4473*K4473*L4473*M4473*N4473),2),"")</f>
        <v/>
      </c>
    </row>
    <row r="4474">
      <c r="A4474" t="n">
        <v>4473</v>
      </c>
      <c r="B4474">
        <f>A4474&lt;=MineCount*Days</f>
        <v/>
      </c>
      <c r="C4474">
        <f>IF(B4474,INT((A4474-1)/Days)+1,"")</f>
        <v/>
      </c>
      <c r="D4474">
        <f>IF(B4474,MOD(A4474-1,Days),"")</f>
        <v/>
      </c>
      <c r="E4474" s="16">
        <f>IF(B4474,StartDate+D4474,"")</f>
        <v/>
      </c>
      <c r="F4474">
        <f>IF(B4474,MAX(MOD(SIN(Seed*0.1373+C4474*12.9898+D4474*78.233)*43758.5453,1),1E-9),"")</f>
        <v/>
      </c>
      <c r="G4474">
        <f>IF(B4474,MOD(SIN(Seed*0.5917+C4474*39.3468+D4474*11.135)*24634.6345,1),"")</f>
        <v/>
      </c>
      <c r="H4474">
        <f>IF(B4474,SQRT(-2*LN(F4474))*COS(2*PI()*G4474),"")</f>
        <v/>
      </c>
      <c r="I4474">
        <f>IF(B4474,IF(D4474=0,H4474,Rho*I4473+SQRT(1-Rho^2)*H4474),"")</f>
        <v/>
      </c>
      <c r="J4474">
        <f>IF(B4474,IF(Dist="Normal",DistA+DistB*I4474,DistA+(DistB-DistA)*NORMSDIST(I4474)),"")</f>
        <v/>
      </c>
      <c r="K4474">
        <f>IF(B4474,INDEX(MineScale,C4474),"")</f>
        <v/>
      </c>
      <c r="L4474">
        <f>IF(B4474,INDEX(Dow,1,WEEKDAY(E4474,2)),"")</f>
        <v/>
      </c>
      <c r="M4474">
        <f>IF(B4474,(1+Trend)^D4474,"")</f>
        <v/>
      </c>
      <c r="N4474">
        <f>IF(B4474,EXP(SUMPRODUCT(LN(1+(EvEff-1)*INDEX(Affected,0,C4474)*EXP(-((E4474-EvCenter)^2)/(2*EvSigma^2))))),"")</f>
        <v/>
      </c>
      <c r="O4474">
        <f>IF(B4474,ROUND(MAX(0,J4474*K4474*L4474*M4474*N4474),2),"")</f>
        <v/>
      </c>
    </row>
    <row r="4475">
      <c r="A4475" t="n">
        <v>4474</v>
      </c>
      <c r="B4475">
        <f>A4475&lt;=MineCount*Days</f>
        <v/>
      </c>
      <c r="C4475">
        <f>IF(B4475,INT((A4475-1)/Days)+1,"")</f>
        <v/>
      </c>
      <c r="D4475">
        <f>IF(B4475,MOD(A4475-1,Days),"")</f>
        <v/>
      </c>
      <c r="E4475" s="16">
        <f>IF(B4475,StartDate+D4475,"")</f>
        <v/>
      </c>
      <c r="F4475">
        <f>IF(B4475,MAX(MOD(SIN(Seed*0.1373+C4475*12.9898+D4475*78.233)*43758.5453,1),1E-9),"")</f>
        <v/>
      </c>
      <c r="G4475">
        <f>IF(B4475,MOD(SIN(Seed*0.5917+C4475*39.3468+D4475*11.135)*24634.6345,1),"")</f>
        <v/>
      </c>
      <c r="H4475">
        <f>IF(B4475,SQRT(-2*LN(F4475))*COS(2*PI()*G4475),"")</f>
        <v/>
      </c>
      <c r="I4475">
        <f>IF(B4475,IF(D4475=0,H4475,Rho*I4474+SQRT(1-Rho^2)*H4475),"")</f>
        <v/>
      </c>
      <c r="J4475">
        <f>IF(B4475,IF(Dist="Normal",DistA+DistB*I4475,DistA+(DistB-DistA)*NORMSDIST(I4475)),"")</f>
        <v/>
      </c>
      <c r="K4475">
        <f>IF(B4475,INDEX(MineScale,C4475),"")</f>
        <v/>
      </c>
      <c r="L4475">
        <f>IF(B4475,INDEX(Dow,1,WEEKDAY(E4475,2)),"")</f>
        <v/>
      </c>
      <c r="M4475">
        <f>IF(B4475,(1+Trend)^D4475,"")</f>
        <v/>
      </c>
      <c r="N4475">
        <f>IF(B4475,EXP(SUMPRODUCT(LN(1+(EvEff-1)*INDEX(Affected,0,C4475)*EXP(-((E4475-EvCenter)^2)/(2*EvSigma^2))))),"")</f>
        <v/>
      </c>
      <c r="O4475">
        <f>IF(B4475,ROUND(MAX(0,J4475*K4475*L4475*M4475*N4475),2),"")</f>
        <v/>
      </c>
    </row>
    <row r="4476">
      <c r="A4476" t="n">
        <v>4475</v>
      </c>
      <c r="B4476">
        <f>A4476&lt;=MineCount*Days</f>
        <v/>
      </c>
      <c r="C4476">
        <f>IF(B4476,INT((A4476-1)/Days)+1,"")</f>
        <v/>
      </c>
      <c r="D4476">
        <f>IF(B4476,MOD(A4476-1,Days),"")</f>
        <v/>
      </c>
      <c r="E4476" s="16">
        <f>IF(B4476,StartDate+D4476,"")</f>
        <v/>
      </c>
      <c r="F4476">
        <f>IF(B4476,MAX(MOD(SIN(Seed*0.1373+C4476*12.9898+D4476*78.233)*43758.5453,1),1E-9),"")</f>
        <v/>
      </c>
      <c r="G4476">
        <f>IF(B4476,MOD(SIN(Seed*0.5917+C4476*39.3468+D4476*11.135)*24634.6345,1),"")</f>
        <v/>
      </c>
      <c r="H4476">
        <f>IF(B4476,SQRT(-2*LN(F4476))*COS(2*PI()*G4476),"")</f>
        <v/>
      </c>
      <c r="I4476">
        <f>IF(B4476,IF(D4476=0,H4476,Rho*I4475+SQRT(1-Rho^2)*H4476),"")</f>
        <v/>
      </c>
      <c r="J4476">
        <f>IF(B4476,IF(Dist="Normal",DistA+DistB*I4476,DistA+(DistB-DistA)*NORMSDIST(I4476)),"")</f>
        <v/>
      </c>
      <c r="K4476">
        <f>IF(B4476,INDEX(MineScale,C4476),"")</f>
        <v/>
      </c>
      <c r="L4476">
        <f>IF(B4476,INDEX(Dow,1,WEEKDAY(E4476,2)),"")</f>
        <v/>
      </c>
      <c r="M4476">
        <f>IF(B4476,(1+Trend)^D4476,"")</f>
        <v/>
      </c>
      <c r="N4476">
        <f>IF(B4476,EXP(SUMPRODUCT(LN(1+(EvEff-1)*INDEX(Affected,0,C4476)*EXP(-((E4476-EvCenter)^2)/(2*EvSigma^2))))),"")</f>
        <v/>
      </c>
      <c r="O4476">
        <f>IF(B4476,ROUND(MAX(0,J4476*K4476*L4476*M4476*N4476),2),"")</f>
        <v/>
      </c>
    </row>
    <row r="4477">
      <c r="A4477" t="n">
        <v>4476</v>
      </c>
      <c r="B4477">
        <f>A4477&lt;=MineCount*Days</f>
        <v/>
      </c>
      <c r="C4477">
        <f>IF(B4477,INT((A4477-1)/Days)+1,"")</f>
        <v/>
      </c>
      <c r="D4477">
        <f>IF(B4477,MOD(A4477-1,Days),"")</f>
        <v/>
      </c>
      <c r="E4477" s="16">
        <f>IF(B4477,StartDate+D4477,"")</f>
        <v/>
      </c>
      <c r="F4477">
        <f>IF(B4477,MAX(MOD(SIN(Seed*0.1373+C4477*12.9898+D4477*78.233)*43758.5453,1),1E-9),"")</f>
        <v/>
      </c>
      <c r="G4477">
        <f>IF(B4477,MOD(SIN(Seed*0.5917+C4477*39.3468+D4477*11.135)*24634.6345,1),"")</f>
        <v/>
      </c>
      <c r="H4477">
        <f>IF(B4477,SQRT(-2*LN(F4477))*COS(2*PI()*G4477),"")</f>
        <v/>
      </c>
      <c r="I4477">
        <f>IF(B4477,IF(D4477=0,H4477,Rho*I4476+SQRT(1-Rho^2)*H4477),"")</f>
        <v/>
      </c>
      <c r="J4477">
        <f>IF(B4477,IF(Dist="Normal",DistA+DistB*I4477,DistA+(DistB-DistA)*NORMSDIST(I4477)),"")</f>
        <v/>
      </c>
      <c r="K4477">
        <f>IF(B4477,INDEX(MineScale,C4477),"")</f>
        <v/>
      </c>
      <c r="L4477">
        <f>IF(B4477,INDEX(Dow,1,WEEKDAY(E4477,2)),"")</f>
        <v/>
      </c>
      <c r="M4477">
        <f>IF(B4477,(1+Trend)^D4477,"")</f>
        <v/>
      </c>
      <c r="N4477">
        <f>IF(B4477,EXP(SUMPRODUCT(LN(1+(EvEff-1)*INDEX(Affected,0,C4477)*EXP(-((E4477-EvCenter)^2)/(2*EvSigma^2))))),"")</f>
        <v/>
      </c>
      <c r="O4477">
        <f>IF(B4477,ROUND(MAX(0,J4477*K4477*L4477*M4477*N4477),2),"")</f>
        <v/>
      </c>
    </row>
    <row r="4478">
      <c r="A4478" t="n">
        <v>4477</v>
      </c>
      <c r="B4478">
        <f>A4478&lt;=MineCount*Days</f>
        <v/>
      </c>
      <c r="C4478">
        <f>IF(B4478,INT((A4478-1)/Days)+1,"")</f>
        <v/>
      </c>
      <c r="D4478">
        <f>IF(B4478,MOD(A4478-1,Days),"")</f>
        <v/>
      </c>
      <c r="E4478" s="16">
        <f>IF(B4478,StartDate+D4478,"")</f>
        <v/>
      </c>
      <c r="F4478">
        <f>IF(B4478,MAX(MOD(SIN(Seed*0.1373+C4478*12.9898+D4478*78.233)*43758.5453,1),1E-9),"")</f>
        <v/>
      </c>
      <c r="G4478">
        <f>IF(B4478,MOD(SIN(Seed*0.5917+C4478*39.3468+D4478*11.135)*24634.6345,1),"")</f>
        <v/>
      </c>
      <c r="H4478">
        <f>IF(B4478,SQRT(-2*LN(F4478))*COS(2*PI()*G4478),"")</f>
        <v/>
      </c>
      <c r="I4478">
        <f>IF(B4478,IF(D4478=0,H4478,Rho*I4477+SQRT(1-Rho^2)*H4478),"")</f>
        <v/>
      </c>
      <c r="J4478">
        <f>IF(B4478,IF(Dist="Normal",DistA+DistB*I4478,DistA+(DistB-DistA)*NORMSDIST(I4478)),"")</f>
        <v/>
      </c>
      <c r="K4478">
        <f>IF(B4478,INDEX(MineScale,C4478),"")</f>
        <v/>
      </c>
      <c r="L4478">
        <f>IF(B4478,INDEX(Dow,1,WEEKDAY(E4478,2)),"")</f>
        <v/>
      </c>
      <c r="M4478">
        <f>IF(B4478,(1+Trend)^D4478,"")</f>
        <v/>
      </c>
      <c r="N4478">
        <f>IF(B4478,EXP(SUMPRODUCT(LN(1+(EvEff-1)*INDEX(Affected,0,C4478)*EXP(-((E4478-EvCenter)^2)/(2*EvSigma^2))))),"")</f>
        <v/>
      </c>
      <c r="O4478">
        <f>IF(B4478,ROUND(MAX(0,J4478*K4478*L4478*M4478*N4478),2),"")</f>
        <v/>
      </c>
    </row>
    <row r="4479">
      <c r="A4479" t="n">
        <v>4478</v>
      </c>
      <c r="B4479">
        <f>A4479&lt;=MineCount*Days</f>
        <v/>
      </c>
      <c r="C4479">
        <f>IF(B4479,INT((A4479-1)/Days)+1,"")</f>
        <v/>
      </c>
      <c r="D4479">
        <f>IF(B4479,MOD(A4479-1,Days),"")</f>
        <v/>
      </c>
      <c r="E4479" s="16">
        <f>IF(B4479,StartDate+D4479,"")</f>
        <v/>
      </c>
      <c r="F4479">
        <f>IF(B4479,MAX(MOD(SIN(Seed*0.1373+C4479*12.9898+D4479*78.233)*43758.5453,1),1E-9),"")</f>
        <v/>
      </c>
      <c r="G4479">
        <f>IF(B4479,MOD(SIN(Seed*0.5917+C4479*39.3468+D4479*11.135)*24634.6345,1),"")</f>
        <v/>
      </c>
      <c r="H4479">
        <f>IF(B4479,SQRT(-2*LN(F4479))*COS(2*PI()*G4479),"")</f>
        <v/>
      </c>
      <c r="I4479">
        <f>IF(B4479,IF(D4479=0,H4479,Rho*I4478+SQRT(1-Rho^2)*H4479),"")</f>
        <v/>
      </c>
      <c r="J4479">
        <f>IF(B4479,IF(Dist="Normal",DistA+DistB*I4479,DistA+(DistB-DistA)*NORMSDIST(I4479)),"")</f>
        <v/>
      </c>
      <c r="K4479">
        <f>IF(B4479,INDEX(MineScale,C4479),"")</f>
        <v/>
      </c>
      <c r="L4479">
        <f>IF(B4479,INDEX(Dow,1,WEEKDAY(E4479,2)),"")</f>
        <v/>
      </c>
      <c r="M4479">
        <f>IF(B4479,(1+Trend)^D4479,"")</f>
        <v/>
      </c>
      <c r="N4479">
        <f>IF(B4479,EXP(SUMPRODUCT(LN(1+(EvEff-1)*INDEX(Affected,0,C4479)*EXP(-((E4479-EvCenter)^2)/(2*EvSigma^2))))),"")</f>
        <v/>
      </c>
      <c r="O4479">
        <f>IF(B4479,ROUND(MAX(0,J4479*K4479*L4479*M4479*N4479),2),"")</f>
        <v/>
      </c>
    </row>
    <row r="4480">
      <c r="A4480" t="n">
        <v>4479</v>
      </c>
      <c r="B4480">
        <f>A4480&lt;=MineCount*Days</f>
        <v/>
      </c>
      <c r="C4480">
        <f>IF(B4480,INT((A4480-1)/Days)+1,"")</f>
        <v/>
      </c>
      <c r="D4480">
        <f>IF(B4480,MOD(A4480-1,Days),"")</f>
        <v/>
      </c>
      <c r="E4480" s="16">
        <f>IF(B4480,StartDate+D4480,"")</f>
        <v/>
      </c>
      <c r="F4480">
        <f>IF(B4480,MAX(MOD(SIN(Seed*0.1373+C4480*12.9898+D4480*78.233)*43758.5453,1),1E-9),"")</f>
        <v/>
      </c>
      <c r="G4480">
        <f>IF(B4480,MOD(SIN(Seed*0.5917+C4480*39.3468+D4480*11.135)*24634.6345,1),"")</f>
        <v/>
      </c>
      <c r="H4480">
        <f>IF(B4480,SQRT(-2*LN(F4480))*COS(2*PI()*G4480),"")</f>
        <v/>
      </c>
      <c r="I4480">
        <f>IF(B4480,IF(D4480=0,H4480,Rho*I4479+SQRT(1-Rho^2)*H4480),"")</f>
        <v/>
      </c>
      <c r="J4480">
        <f>IF(B4480,IF(Dist="Normal",DistA+DistB*I4480,DistA+(DistB-DistA)*NORMSDIST(I4480)),"")</f>
        <v/>
      </c>
      <c r="K4480">
        <f>IF(B4480,INDEX(MineScale,C4480),"")</f>
        <v/>
      </c>
      <c r="L4480">
        <f>IF(B4480,INDEX(Dow,1,WEEKDAY(E4480,2)),"")</f>
        <v/>
      </c>
      <c r="M4480">
        <f>IF(B4480,(1+Trend)^D4480,"")</f>
        <v/>
      </c>
      <c r="N4480">
        <f>IF(B4480,EXP(SUMPRODUCT(LN(1+(EvEff-1)*INDEX(Affected,0,C4480)*EXP(-((E4480-EvCenter)^2)/(2*EvSigma^2))))),"")</f>
        <v/>
      </c>
      <c r="O4480">
        <f>IF(B4480,ROUND(MAX(0,J4480*K4480*L4480*M4480*N4480),2),"")</f>
        <v/>
      </c>
    </row>
    <row r="4481">
      <c r="A4481" t="n">
        <v>4480</v>
      </c>
      <c r="B4481">
        <f>A4481&lt;=MineCount*Days</f>
        <v/>
      </c>
      <c r="C4481">
        <f>IF(B4481,INT((A4481-1)/Days)+1,"")</f>
        <v/>
      </c>
      <c r="D4481">
        <f>IF(B4481,MOD(A4481-1,Days),"")</f>
        <v/>
      </c>
      <c r="E4481" s="16">
        <f>IF(B4481,StartDate+D4481,"")</f>
        <v/>
      </c>
      <c r="F4481">
        <f>IF(B4481,MAX(MOD(SIN(Seed*0.1373+C4481*12.9898+D4481*78.233)*43758.5453,1),1E-9),"")</f>
        <v/>
      </c>
      <c r="G4481">
        <f>IF(B4481,MOD(SIN(Seed*0.5917+C4481*39.3468+D4481*11.135)*24634.6345,1),"")</f>
        <v/>
      </c>
      <c r="H4481">
        <f>IF(B4481,SQRT(-2*LN(F4481))*COS(2*PI()*G4481),"")</f>
        <v/>
      </c>
      <c r="I4481">
        <f>IF(B4481,IF(D4481=0,H4481,Rho*I4480+SQRT(1-Rho^2)*H4481),"")</f>
        <v/>
      </c>
      <c r="J4481">
        <f>IF(B4481,IF(Dist="Normal",DistA+DistB*I4481,DistA+(DistB-DistA)*NORMSDIST(I4481)),"")</f>
        <v/>
      </c>
      <c r="K4481">
        <f>IF(B4481,INDEX(MineScale,C4481),"")</f>
        <v/>
      </c>
      <c r="L4481">
        <f>IF(B4481,INDEX(Dow,1,WEEKDAY(E4481,2)),"")</f>
        <v/>
      </c>
      <c r="M4481">
        <f>IF(B4481,(1+Trend)^D4481,"")</f>
        <v/>
      </c>
      <c r="N4481">
        <f>IF(B4481,EXP(SUMPRODUCT(LN(1+(EvEff-1)*INDEX(Affected,0,C4481)*EXP(-((E4481-EvCenter)^2)/(2*EvSigma^2))))),"")</f>
        <v/>
      </c>
      <c r="O4481">
        <f>IF(B4481,ROUND(MAX(0,J4481*K4481*L4481*M4481*N4481),2),"")</f>
        <v/>
      </c>
    </row>
    <row r="4482">
      <c r="A4482" t="n">
        <v>4481</v>
      </c>
      <c r="B4482">
        <f>A4482&lt;=MineCount*Days</f>
        <v/>
      </c>
      <c r="C4482">
        <f>IF(B4482,INT((A4482-1)/Days)+1,"")</f>
        <v/>
      </c>
      <c r="D4482">
        <f>IF(B4482,MOD(A4482-1,Days),"")</f>
        <v/>
      </c>
      <c r="E4482" s="16">
        <f>IF(B4482,StartDate+D4482,"")</f>
        <v/>
      </c>
      <c r="F4482">
        <f>IF(B4482,MAX(MOD(SIN(Seed*0.1373+C4482*12.9898+D4482*78.233)*43758.5453,1),1E-9),"")</f>
        <v/>
      </c>
      <c r="G4482">
        <f>IF(B4482,MOD(SIN(Seed*0.5917+C4482*39.3468+D4482*11.135)*24634.6345,1),"")</f>
        <v/>
      </c>
      <c r="H4482">
        <f>IF(B4482,SQRT(-2*LN(F4482))*COS(2*PI()*G4482),"")</f>
        <v/>
      </c>
      <c r="I4482">
        <f>IF(B4482,IF(D4482=0,H4482,Rho*I4481+SQRT(1-Rho^2)*H4482),"")</f>
        <v/>
      </c>
      <c r="J4482">
        <f>IF(B4482,IF(Dist="Normal",DistA+DistB*I4482,DistA+(DistB-DistA)*NORMSDIST(I4482)),"")</f>
        <v/>
      </c>
      <c r="K4482">
        <f>IF(B4482,INDEX(MineScale,C4482),"")</f>
        <v/>
      </c>
      <c r="L4482">
        <f>IF(B4482,INDEX(Dow,1,WEEKDAY(E4482,2)),"")</f>
        <v/>
      </c>
      <c r="M4482">
        <f>IF(B4482,(1+Trend)^D4482,"")</f>
        <v/>
      </c>
      <c r="N4482">
        <f>IF(B4482,EXP(SUMPRODUCT(LN(1+(EvEff-1)*INDEX(Affected,0,C4482)*EXP(-((E4482-EvCenter)^2)/(2*EvSigma^2))))),"")</f>
        <v/>
      </c>
      <c r="O4482">
        <f>IF(B4482,ROUND(MAX(0,J4482*K4482*L4482*M4482*N4482),2),"")</f>
        <v/>
      </c>
    </row>
    <row r="4483">
      <c r="A4483" t="n">
        <v>4482</v>
      </c>
      <c r="B4483">
        <f>A4483&lt;=MineCount*Days</f>
        <v/>
      </c>
      <c r="C4483">
        <f>IF(B4483,INT((A4483-1)/Days)+1,"")</f>
        <v/>
      </c>
      <c r="D4483">
        <f>IF(B4483,MOD(A4483-1,Days),"")</f>
        <v/>
      </c>
      <c r="E4483" s="16">
        <f>IF(B4483,StartDate+D4483,"")</f>
        <v/>
      </c>
      <c r="F4483">
        <f>IF(B4483,MAX(MOD(SIN(Seed*0.1373+C4483*12.9898+D4483*78.233)*43758.5453,1),1E-9),"")</f>
        <v/>
      </c>
      <c r="G4483">
        <f>IF(B4483,MOD(SIN(Seed*0.5917+C4483*39.3468+D4483*11.135)*24634.6345,1),"")</f>
        <v/>
      </c>
      <c r="H4483">
        <f>IF(B4483,SQRT(-2*LN(F4483))*COS(2*PI()*G4483),"")</f>
        <v/>
      </c>
      <c r="I4483">
        <f>IF(B4483,IF(D4483=0,H4483,Rho*I4482+SQRT(1-Rho^2)*H4483),"")</f>
        <v/>
      </c>
      <c r="J4483">
        <f>IF(B4483,IF(Dist="Normal",DistA+DistB*I4483,DistA+(DistB-DistA)*NORMSDIST(I4483)),"")</f>
        <v/>
      </c>
      <c r="K4483">
        <f>IF(B4483,INDEX(MineScale,C4483),"")</f>
        <v/>
      </c>
      <c r="L4483">
        <f>IF(B4483,INDEX(Dow,1,WEEKDAY(E4483,2)),"")</f>
        <v/>
      </c>
      <c r="M4483">
        <f>IF(B4483,(1+Trend)^D4483,"")</f>
        <v/>
      </c>
      <c r="N4483">
        <f>IF(B4483,EXP(SUMPRODUCT(LN(1+(EvEff-1)*INDEX(Affected,0,C4483)*EXP(-((E4483-EvCenter)^2)/(2*EvSigma^2))))),"")</f>
        <v/>
      </c>
      <c r="O4483">
        <f>IF(B4483,ROUND(MAX(0,J4483*K4483*L4483*M4483*N4483),2),"")</f>
        <v/>
      </c>
    </row>
    <row r="4484">
      <c r="A4484" t="n">
        <v>4483</v>
      </c>
      <c r="B4484">
        <f>A4484&lt;=MineCount*Days</f>
        <v/>
      </c>
      <c r="C4484">
        <f>IF(B4484,INT((A4484-1)/Days)+1,"")</f>
        <v/>
      </c>
      <c r="D4484">
        <f>IF(B4484,MOD(A4484-1,Days),"")</f>
        <v/>
      </c>
      <c r="E4484" s="16">
        <f>IF(B4484,StartDate+D4484,"")</f>
        <v/>
      </c>
      <c r="F4484">
        <f>IF(B4484,MAX(MOD(SIN(Seed*0.1373+C4484*12.9898+D4484*78.233)*43758.5453,1),1E-9),"")</f>
        <v/>
      </c>
      <c r="G4484">
        <f>IF(B4484,MOD(SIN(Seed*0.5917+C4484*39.3468+D4484*11.135)*24634.6345,1),"")</f>
        <v/>
      </c>
      <c r="H4484">
        <f>IF(B4484,SQRT(-2*LN(F4484))*COS(2*PI()*G4484),"")</f>
        <v/>
      </c>
      <c r="I4484">
        <f>IF(B4484,IF(D4484=0,H4484,Rho*I4483+SQRT(1-Rho^2)*H4484),"")</f>
        <v/>
      </c>
      <c r="J4484">
        <f>IF(B4484,IF(Dist="Normal",DistA+DistB*I4484,DistA+(DistB-DistA)*NORMSDIST(I4484)),"")</f>
        <v/>
      </c>
      <c r="K4484">
        <f>IF(B4484,INDEX(MineScale,C4484),"")</f>
        <v/>
      </c>
      <c r="L4484">
        <f>IF(B4484,INDEX(Dow,1,WEEKDAY(E4484,2)),"")</f>
        <v/>
      </c>
      <c r="M4484">
        <f>IF(B4484,(1+Trend)^D4484,"")</f>
        <v/>
      </c>
      <c r="N4484">
        <f>IF(B4484,EXP(SUMPRODUCT(LN(1+(EvEff-1)*INDEX(Affected,0,C4484)*EXP(-((E4484-EvCenter)^2)/(2*EvSigma^2))))),"")</f>
        <v/>
      </c>
      <c r="O4484">
        <f>IF(B4484,ROUND(MAX(0,J4484*K4484*L4484*M4484*N4484),2),"")</f>
        <v/>
      </c>
    </row>
    <row r="4485">
      <c r="A4485" t="n">
        <v>4484</v>
      </c>
      <c r="B4485">
        <f>A4485&lt;=MineCount*Days</f>
        <v/>
      </c>
      <c r="C4485">
        <f>IF(B4485,INT((A4485-1)/Days)+1,"")</f>
        <v/>
      </c>
      <c r="D4485">
        <f>IF(B4485,MOD(A4485-1,Days),"")</f>
        <v/>
      </c>
      <c r="E4485" s="16">
        <f>IF(B4485,StartDate+D4485,"")</f>
        <v/>
      </c>
      <c r="F4485">
        <f>IF(B4485,MAX(MOD(SIN(Seed*0.1373+C4485*12.9898+D4485*78.233)*43758.5453,1),1E-9),"")</f>
        <v/>
      </c>
      <c r="G4485">
        <f>IF(B4485,MOD(SIN(Seed*0.5917+C4485*39.3468+D4485*11.135)*24634.6345,1),"")</f>
        <v/>
      </c>
      <c r="H4485">
        <f>IF(B4485,SQRT(-2*LN(F4485))*COS(2*PI()*G4485),"")</f>
        <v/>
      </c>
      <c r="I4485">
        <f>IF(B4485,IF(D4485=0,H4485,Rho*I4484+SQRT(1-Rho^2)*H4485),"")</f>
        <v/>
      </c>
      <c r="J4485">
        <f>IF(B4485,IF(Dist="Normal",DistA+DistB*I4485,DistA+(DistB-DistA)*NORMSDIST(I4485)),"")</f>
        <v/>
      </c>
      <c r="K4485">
        <f>IF(B4485,INDEX(MineScale,C4485),"")</f>
        <v/>
      </c>
      <c r="L4485">
        <f>IF(B4485,INDEX(Dow,1,WEEKDAY(E4485,2)),"")</f>
        <v/>
      </c>
      <c r="M4485">
        <f>IF(B4485,(1+Trend)^D4485,"")</f>
        <v/>
      </c>
      <c r="N4485">
        <f>IF(B4485,EXP(SUMPRODUCT(LN(1+(EvEff-1)*INDEX(Affected,0,C4485)*EXP(-((E4485-EvCenter)^2)/(2*EvSigma^2))))),"")</f>
        <v/>
      </c>
      <c r="O4485">
        <f>IF(B4485,ROUND(MAX(0,J4485*K4485*L4485*M4485*N4485),2),"")</f>
        <v/>
      </c>
    </row>
    <row r="4486">
      <c r="A4486" t="n">
        <v>4485</v>
      </c>
      <c r="B4486">
        <f>A4486&lt;=MineCount*Days</f>
        <v/>
      </c>
      <c r="C4486">
        <f>IF(B4486,INT((A4486-1)/Days)+1,"")</f>
        <v/>
      </c>
      <c r="D4486">
        <f>IF(B4486,MOD(A4486-1,Days),"")</f>
        <v/>
      </c>
      <c r="E4486" s="16">
        <f>IF(B4486,StartDate+D4486,"")</f>
        <v/>
      </c>
      <c r="F4486">
        <f>IF(B4486,MAX(MOD(SIN(Seed*0.1373+C4486*12.9898+D4486*78.233)*43758.5453,1),1E-9),"")</f>
        <v/>
      </c>
      <c r="G4486">
        <f>IF(B4486,MOD(SIN(Seed*0.5917+C4486*39.3468+D4486*11.135)*24634.6345,1),"")</f>
        <v/>
      </c>
      <c r="H4486">
        <f>IF(B4486,SQRT(-2*LN(F4486))*COS(2*PI()*G4486),"")</f>
        <v/>
      </c>
      <c r="I4486">
        <f>IF(B4486,IF(D4486=0,H4486,Rho*I4485+SQRT(1-Rho^2)*H4486),"")</f>
        <v/>
      </c>
      <c r="J4486">
        <f>IF(B4486,IF(Dist="Normal",DistA+DistB*I4486,DistA+(DistB-DistA)*NORMSDIST(I4486)),"")</f>
        <v/>
      </c>
      <c r="K4486">
        <f>IF(B4486,INDEX(MineScale,C4486),"")</f>
        <v/>
      </c>
      <c r="L4486">
        <f>IF(B4486,INDEX(Dow,1,WEEKDAY(E4486,2)),"")</f>
        <v/>
      </c>
      <c r="M4486">
        <f>IF(B4486,(1+Trend)^D4486,"")</f>
        <v/>
      </c>
      <c r="N4486">
        <f>IF(B4486,EXP(SUMPRODUCT(LN(1+(EvEff-1)*INDEX(Affected,0,C4486)*EXP(-((E4486-EvCenter)^2)/(2*EvSigma^2))))),"")</f>
        <v/>
      </c>
      <c r="O4486">
        <f>IF(B4486,ROUND(MAX(0,J4486*K4486*L4486*M4486*N4486),2),"")</f>
        <v/>
      </c>
    </row>
    <row r="4487">
      <c r="A4487" t="n">
        <v>4486</v>
      </c>
      <c r="B4487">
        <f>A4487&lt;=MineCount*Days</f>
        <v/>
      </c>
      <c r="C4487">
        <f>IF(B4487,INT((A4487-1)/Days)+1,"")</f>
        <v/>
      </c>
      <c r="D4487">
        <f>IF(B4487,MOD(A4487-1,Days),"")</f>
        <v/>
      </c>
      <c r="E4487" s="16">
        <f>IF(B4487,StartDate+D4487,"")</f>
        <v/>
      </c>
      <c r="F4487">
        <f>IF(B4487,MAX(MOD(SIN(Seed*0.1373+C4487*12.9898+D4487*78.233)*43758.5453,1),1E-9),"")</f>
        <v/>
      </c>
      <c r="G4487">
        <f>IF(B4487,MOD(SIN(Seed*0.5917+C4487*39.3468+D4487*11.135)*24634.6345,1),"")</f>
        <v/>
      </c>
      <c r="H4487">
        <f>IF(B4487,SQRT(-2*LN(F4487))*COS(2*PI()*G4487),"")</f>
        <v/>
      </c>
      <c r="I4487">
        <f>IF(B4487,IF(D4487=0,H4487,Rho*I4486+SQRT(1-Rho^2)*H4487),"")</f>
        <v/>
      </c>
      <c r="J4487">
        <f>IF(B4487,IF(Dist="Normal",DistA+DistB*I4487,DistA+(DistB-DistA)*NORMSDIST(I4487)),"")</f>
        <v/>
      </c>
      <c r="K4487">
        <f>IF(B4487,INDEX(MineScale,C4487),"")</f>
        <v/>
      </c>
      <c r="L4487">
        <f>IF(B4487,INDEX(Dow,1,WEEKDAY(E4487,2)),"")</f>
        <v/>
      </c>
      <c r="M4487">
        <f>IF(B4487,(1+Trend)^D4487,"")</f>
        <v/>
      </c>
      <c r="N4487">
        <f>IF(B4487,EXP(SUMPRODUCT(LN(1+(EvEff-1)*INDEX(Affected,0,C4487)*EXP(-((E4487-EvCenter)^2)/(2*EvSigma^2))))),"")</f>
        <v/>
      </c>
      <c r="O4487">
        <f>IF(B4487,ROUND(MAX(0,J4487*K4487*L4487*M4487*N4487),2),"")</f>
        <v/>
      </c>
    </row>
    <row r="4488">
      <c r="A4488" t="n">
        <v>4487</v>
      </c>
      <c r="B4488">
        <f>A4488&lt;=MineCount*Days</f>
        <v/>
      </c>
      <c r="C4488">
        <f>IF(B4488,INT((A4488-1)/Days)+1,"")</f>
        <v/>
      </c>
      <c r="D4488">
        <f>IF(B4488,MOD(A4488-1,Days),"")</f>
        <v/>
      </c>
      <c r="E4488" s="16">
        <f>IF(B4488,StartDate+D4488,"")</f>
        <v/>
      </c>
      <c r="F4488">
        <f>IF(B4488,MAX(MOD(SIN(Seed*0.1373+C4488*12.9898+D4488*78.233)*43758.5453,1),1E-9),"")</f>
        <v/>
      </c>
      <c r="G4488">
        <f>IF(B4488,MOD(SIN(Seed*0.5917+C4488*39.3468+D4488*11.135)*24634.6345,1),"")</f>
        <v/>
      </c>
      <c r="H4488">
        <f>IF(B4488,SQRT(-2*LN(F4488))*COS(2*PI()*G4488),"")</f>
        <v/>
      </c>
      <c r="I4488">
        <f>IF(B4488,IF(D4488=0,H4488,Rho*I4487+SQRT(1-Rho^2)*H4488),"")</f>
        <v/>
      </c>
      <c r="J4488">
        <f>IF(B4488,IF(Dist="Normal",DistA+DistB*I4488,DistA+(DistB-DistA)*NORMSDIST(I4488)),"")</f>
        <v/>
      </c>
      <c r="K4488">
        <f>IF(B4488,INDEX(MineScale,C4488),"")</f>
        <v/>
      </c>
      <c r="L4488">
        <f>IF(B4488,INDEX(Dow,1,WEEKDAY(E4488,2)),"")</f>
        <v/>
      </c>
      <c r="M4488">
        <f>IF(B4488,(1+Trend)^D4488,"")</f>
        <v/>
      </c>
      <c r="N4488">
        <f>IF(B4488,EXP(SUMPRODUCT(LN(1+(EvEff-1)*INDEX(Affected,0,C4488)*EXP(-((E4488-EvCenter)^2)/(2*EvSigma^2))))),"")</f>
        <v/>
      </c>
      <c r="O4488">
        <f>IF(B4488,ROUND(MAX(0,J4488*K4488*L4488*M4488*N4488),2),"")</f>
        <v/>
      </c>
    </row>
    <row r="4489">
      <c r="A4489" t="n">
        <v>4488</v>
      </c>
      <c r="B4489">
        <f>A4489&lt;=MineCount*Days</f>
        <v/>
      </c>
      <c r="C4489">
        <f>IF(B4489,INT((A4489-1)/Days)+1,"")</f>
        <v/>
      </c>
      <c r="D4489">
        <f>IF(B4489,MOD(A4489-1,Days),"")</f>
        <v/>
      </c>
      <c r="E4489" s="16">
        <f>IF(B4489,StartDate+D4489,"")</f>
        <v/>
      </c>
      <c r="F4489">
        <f>IF(B4489,MAX(MOD(SIN(Seed*0.1373+C4489*12.9898+D4489*78.233)*43758.5453,1),1E-9),"")</f>
        <v/>
      </c>
      <c r="G4489">
        <f>IF(B4489,MOD(SIN(Seed*0.5917+C4489*39.3468+D4489*11.135)*24634.6345,1),"")</f>
        <v/>
      </c>
      <c r="H4489">
        <f>IF(B4489,SQRT(-2*LN(F4489))*COS(2*PI()*G4489),"")</f>
        <v/>
      </c>
      <c r="I4489">
        <f>IF(B4489,IF(D4489=0,H4489,Rho*I4488+SQRT(1-Rho^2)*H4489),"")</f>
        <v/>
      </c>
      <c r="J4489">
        <f>IF(B4489,IF(Dist="Normal",DistA+DistB*I4489,DistA+(DistB-DistA)*NORMSDIST(I4489)),"")</f>
        <v/>
      </c>
      <c r="K4489">
        <f>IF(B4489,INDEX(MineScale,C4489),"")</f>
        <v/>
      </c>
      <c r="L4489">
        <f>IF(B4489,INDEX(Dow,1,WEEKDAY(E4489,2)),"")</f>
        <v/>
      </c>
      <c r="M4489">
        <f>IF(B4489,(1+Trend)^D4489,"")</f>
        <v/>
      </c>
      <c r="N4489">
        <f>IF(B4489,EXP(SUMPRODUCT(LN(1+(EvEff-1)*INDEX(Affected,0,C4489)*EXP(-((E4489-EvCenter)^2)/(2*EvSigma^2))))),"")</f>
        <v/>
      </c>
      <c r="O4489">
        <f>IF(B4489,ROUND(MAX(0,J4489*K4489*L4489*M4489*N4489),2),"")</f>
        <v/>
      </c>
    </row>
    <row r="4490">
      <c r="A4490" t="n">
        <v>4489</v>
      </c>
      <c r="B4490">
        <f>A4490&lt;=MineCount*Days</f>
        <v/>
      </c>
      <c r="C4490">
        <f>IF(B4490,INT((A4490-1)/Days)+1,"")</f>
        <v/>
      </c>
      <c r="D4490">
        <f>IF(B4490,MOD(A4490-1,Days),"")</f>
        <v/>
      </c>
      <c r="E4490" s="16">
        <f>IF(B4490,StartDate+D4490,"")</f>
        <v/>
      </c>
      <c r="F4490">
        <f>IF(B4490,MAX(MOD(SIN(Seed*0.1373+C4490*12.9898+D4490*78.233)*43758.5453,1),1E-9),"")</f>
        <v/>
      </c>
      <c r="G4490">
        <f>IF(B4490,MOD(SIN(Seed*0.5917+C4490*39.3468+D4490*11.135)*24634.6345,1),"")</f>
        <v/>
      </c>
      <c r="H4490">
        <f>IF(B4490,SQRT(-2*LN(F4490))*COS(2*PI()*G4490),"")</f>
        <v/>
      </c>
      <c r="I4490">
        <f>IF(B4490,IF(D4490=0,H4490,Rho*I4489+SQRT(1-Rho^2)*H4490),"")</f>
        <v/>
      </c>
      <c r="J4490">
        <f>IF(B4490,IF(Dist="Normal",DistA+DistB*I4490,DistA+(DistB-DistA)*NORMSDIST(I4490)),"")</f>
        <v/>
      </c>
      <c r="K4490">
        <f>IF(B4490,INDEX(MineScale,C4490),"")</f>
        <v/>
      </c>
      <c r="L4490">
        <f>IF(B4490,INDEX(Dow,1,WEEKDAY(E4490,2)),"")</f>
        <v/>
      </c>
      <c r="M4490">
        <f>IF(B4490,(1+Trend)^D4490,"")</f>
        <v/>
      </c>
      <c r="N4490">
        <f>IF(B4490,EXP(SUMPRODUCT(LN(1+(EvEff-1)*INDEX(Affected,0,C4490)*EXP(-((E4490-EvCenter)^2)/(2*EvSigma^2))))),"")</f>
        <v/>
      </c>
      <c r="O4490">
        <f>IF(B4490,ROUND(MAX(0,J4490*K4490*L4490*M4490*N4490),2),"")</f>
        <v/>
      </c>
    </row>
    <row r="4491">
      <c r="A4491" t="n">
        <v>4490</v>
      </c>
      <c r="B4491">
        <f>A4491&lt;=MineCount*Days</f>
        <v/>
      </c>
      <c r="C4491">
        <f>IF(B4491,INT((A4491-1)/Days)+1,"")</f>
        <v/>
      </c>
      <c r="D4491">
        <f>IF(B4491,MOD(A4491-1,Days),"")</f>
        <v/>
      </c>
      <c r="E4491" s="16">
        <f>IF(B4491,StartDate+D4491,"")</f>
        <v/>
      </c>
      <c r="F4491">
        <f>IF(B4491,MAX(MOD(SIN(Seed*0.1373+C4491*12.9898+D4491*78.233)*43758.5453,1),1E-9),"")</f>
        <v/>
      </c>
      <c r="G4491">
        <f>IF(B4491,MOD(SIN(Seed*0.5917+C4491*39.3468+D4491*11.135)*24634.6345,1),"")</f>
        <v/>
      </c>
      <c r="H4491">
        <f>IF(B4491,SQRT(-2*LN(F4491))*COS(2*PI()*G4491),"")</f>
        <v/>
      </c>
      <c r="I4491">
        <f>IF(B4491,IF(D4491=0,H4491,Rho*I4490+SQRT(1-Rho^2)*H4491),"")</f>
        <v/>
      </c>
      <c r="J4491">
        <f>IF(B4491,IF(Dist="Normal",DistA+DistB*I4491,DistA+(DistB-DistA)*NORMSDIST(I4491)),"")</f>
        <v/>
      </c>
      <c r="K4491">
        <f>IF(B4491,INDEX(MineScale,C4491),"")</f>
        <v/>
      </c>
      <c r="L4491">
        <f>IF(B4491,INDEX(Dow,1,WEEKDAY(E4491,2)),"")</f>
        <v/>
      </c>
      <c r="M4491">
        <f>IF(B4491,(1+Trend)^D4491,"")</f>
        <v/>
      </c>
      <c r="N4491">
        <f>IF(B4491,EXP(SUMPRODUCT(LN(1+(EvEff-1)*INDEX(Affected,0,C4491)*EXP(-((E4491-EvCenter)^2)/(2*EvSigma^2))))),"")</f>
        <v/>
      </c>
      <c r="O4491">
        <f>IF(B4491,ROUND(MAX(0,J4491*K4491*L4491*M4491*N4491),2),"")</f>
        <v/>
      </c>
    </row>
    <row r="4492">
      <c r="A4492" t="n">
        <v>4491</v>
      </c>
      <c r="B4492">
        <f>A4492&lt;=MineCount*Days</f>
        <v/>
      </c>
      <c r="C4492">
        <f>IF(B4492,INT((A4492-1)/Days)+1,"")</f>
        <v/>
      </c>
      <c r="D4492">
        <f>IF(B4492,MOD(A4492-1,Days),"")</f>
        <v/>
      </c>
      <c r="E4492" s="16">
        <f>IF(B4492,StartDate+D4492,"")</f>
        <v/>
      </c>
      <c r="F4492">
        <f>IF(B4492,MAX(MOD(SIN(Seed*0.1373+C4492*12.9898+D4492*78.233)*43758.5453,1),1E-9),"")</f>
        <v/>
      </c>
      <c r="G4492">
        <f>IF(B4492,MOD(SIN(Seed*0.5917+C4492*39.3468+D4492*11.135)*24634.6345,1),"")</f>
        <v/>
      </c>
      <c r="H4492">
        <f>IF(B4492,SQRT(-2*LN(F4492))*COS(2*PI()*G4492),"")</f>
        <v/>
      </c>
      <c r="I4492">
        <f>IF(B4492,IF(D4492=0,H4492,Rho*I4491+SQRT(1-Rho^2)*H4492),"")</f>
        <v/>
      </c>
      <c r="J4492">
        <f>IF(B4492,IF(Dist="Normal",DistA+DistB*I4492,DistA+(DistB-DistA)*NORMSDIST(I4492)),"")</f>
        <v/>
      </c>
      <c r="K4492">
        <f>IF(B4492,INDEX(MineScale,C4492),"")</f>
        <v/>
      </c>
      <c r="L4492">
        <f>IF(B4492,INDEX(Dow,1,WEEKDAY(E4492,2)),"")</f>
        <v/>
      </c>
      <c r="M4492">
        <f>IF(B4492,(1+Trend)^D4492,"")</f>
        <v/>
      </c>
      <c r="N4492">
        <f>IF(B4492,EXP(SUMPRODUCT(LN(1+(EvEff-1)*INDEX(Affected,0,C4492)*EXP(-((E4492-EvCenter)^2)/(2*EvSigma^2))))),"")</f>
        <v/>
      </c>
      <c r="O4492">
        <f>IF(B4492,ROUND(MAX(0,J4492*K4492*L4492*M4492*N4492),2),"")</f>
        <v/>
      </c>
    </row>
    <row r="4493">
      <c r="A4493" t="n">
        <v>4492</v>
      </c>
      <c r="B4493">
        <f>A4493&lt;=MineCount*Days</f>
        <v/>
      </c>
      <c r="C4493">
        <f>IF(B4493,INT((A4493-1)/Days)+1,"")</f>
        <v/>
      </c>
      <c r="D4493">
        <f>IF(B4493,MOD(A4493-1,Days),"")</f>
        <v/>
      </c>
      <c r="E4493" s="16">
        <f>IF(B4493,StartDate+D4493,"")</f>
        <v/>
      </c>
      <c r="F4493">
        <f>IF(B4493,MAX(MOD(SIN(Seed*0.1373+C4493*12.9898+D4493*78.233)*43758.5453,1),1E-9),"")</f>
        <v/>
      </c>
      <c r="G4493">
        <f>IF(B4493,MOD(SIN(Seed*0.5917+C4493*39.3468+D4493*11.135)*24634.6345,1),"")</f>
        <v/>
      </c>
      <c r="H4493">
        <f>IF(B4493,SQRT(-2*LN(F4493))*COS(2*PI()*G4493),"")</f>
        <v/>
      </c>
      <c r="I4493">
        <f>IF(B4493,IF(D4493=0,H4493,Rho*I4492+SQRT(1-Rho^2)*H4493),"")</f>
        <v/>
      </c>
      <c r="J4493">
        <f>IF(B4493,IF(Dist="Normal",DistA+DistB*I4493,DistA+(DistB-DistA)*NORMSDIST(I4493)),"")</f>
        <v/>
      </c>
      <c r="K4493">
        <f>IF(B4493,INDEX(MineScale,C4493),"")</f>
        <v/>
      </c>
      <c r="L4493">
        <f>IF(B4493,INDEX(Dow,1,WEEKDAY(E4493,2)),"")</f>
        <v/>
      </c>
      <c r="M4493">
        <f>IF(B4493,(1+Trend)^D4493,"")</f>
        <v/>
      </c>
      <c r="N4493">
        <f>IF(B4493,EXP(SUMPRODUCT(LN(1+(EvEff-1)*INDEX(Affected,0,C4493)*EXP(-((E4493-EvCenter)^2)/(2*EvSigma^2))))),"")</f>
        <v/>
      </c>
      <c r="O4493">
        <f>IF(B4493,ROUND(MAX(0,J4493*K4493*L4493*M4493*N4493),2),"")</f>
        <v/>
      </c>
    </row>
    <row r="4494">
      <c r="A4494" t="n">
        <v>4493</v>
      </c>
      <c r="B4494">
        <f>A4494&lt;=MineCount*Days</f>
        <v/>
      </c>
      <c r="C4494">
        <f>IF(B4494,INT((A4494-1)/Days)+1,"")</f>
        <v/>
      </c>
      <c r="D4494">
        <f>IF(B4494,MOD(A4494-1,Days),"")</f>
        <v/>
      </c>
      <c r="E4494" s="16">
        <f>IF(B4494,StartDate+D4494,"")</f>
        <v/>
      </c>
      <c r="F4494">
        <f>IF(B4494,MAX(MOD(SIN(Seed*0.1373+C4494*12.9898+D4494*78.233)*43758.5453,1),1E-9),"")</f>
        <v/>
      </c>
      <c r="G4494">
        <f>IF(B4494,MOD(SIN(Seed*0.5917+C4494*39.3468+D4494*11.135)*24634.6345,1),"")</f>
        <v/>
      </c>
      <c r="H4494">
        <f>IF(B4494,SQRT(-2*LN(F4494))*COS(2*PI()*G4494),"")</f>
        <v/>
      </c>
      <c r="I4494">
        <f>IF(B4494,IF(D4494=0,H4494,Rho*I4493+SQRT(1-Rho^2)*H4494),"")</f>
        <v/>
      </c>
      <c r="J4494">
        <f>IF(B4494,IF(Dist="Normal",DistA+DistB*I4494,DistA+(DistB-DistA)*NORMSDIST(I4494)),"")</f>
        <v/>
      </c>
      <c r="K4494">
        <f>IF(B4494,INDEX(MineScale,C4494),"")</f>
        <v/>
      </c>
      <c r="L4494">
        <f>IF(B4494,INDEX(Dow,1,WEEKDAY(E4494,2)),"")</f>
        <v/>
      </c>
      <c r="M4494">
        <f>IF(B4494,(1+Trend)^D4494,"")</f>
        <v/>
      </c>
      <c r="N4494">
        <f>IF(B4494,EXP(SUMPRODUCT(LN(1+(EvEff-1)*INDEX(Affected,0,C4494)*EXP(-((E4494-EvCenter)^2)/(2*EvSigma^2))))),"")</f>
        <v/>
      </c>
      <c r="O4494">
        <f>IF(B4494,ROUND(MAX(0,J4494*K4494*L4494*M4494*N4494),2),"")</f>
        <v/>
      </c>
    </row>
    <row r="4495">
      <c r="A4495" t="n">
        <v>4494</v>
      </c>
      <c r="B4495">
        <f>A4495&lt;=MineCount*Days</f>
        <v/>
      </c>
      <c r="C4495">
        <f>IF(B4495,INT((A4495-1)/Days)+1,"")</f>
        <v/>
      </c>
      <c r="D4495">
        <f>IF(B4495,MOD(A4495-1,Days),"")</f>
        <v/>
      </c>
      <c r="E4495" s="16">
        <f>IF(B4495,StartDate+D4495,"")</f>
        <v/>
      </c>
      <c r="F4495">
        <f>IF(B4495,MAX(MOD(SIN(Seed*0.1373+C4495*12.9898+D4495*78.233)*43758.5453,1),1E-9),"")</f>
        <v/>
      </c>
      <c r="G4495">
        <f>IF(B4495,MOD(SIN(Seed*0.5917+C4495*39.3468+D4495*11.135)*24634.6345,1),"")</f>
        <v/>
      </c>
      <c r="H4495">
        <f>IF(B4495,SQRT(-2*LN(F4495))*COS(2*PI()*G4495),"")</f>
        <v/>
      </c>
      <c r="I4495">
        <f>IF(B4495,IF(D4495=0,H4495,Rho*I4494+SQRT(1-Rho^2)*H4495),"")</f>
        <v/>
      </c>
      <c r="J4495">
        <f>IF(B4495,IF(Dist="Normal",DistA+DistB*I4495,DistA+(DistB-DistA)*NORMSDIST(I4495)),"")</f>
        <v/>
      </c>
      <c r="K4495">
        <f>IF(B4495,INDEX(MineScale,C4495),"")</f>
        <v/>
      </c>
      <c r="L4495">
        <f>IF(B4495,INDEX(Dow,1,WEEKDAY(E4495,2)),"")</f>
        <v/>
      </c>
      <c r="M4495">
        <f>IF(B4495,(1+Trend)^D4495,"")</f>
        <v/>
      </c>
      <c r="N4495">
        <f>IF(B4495,EXP(SUMPRODUCT(LN(1+(EvEff-1)*INDEX(Affected,0,C4495)*EXP(-((E4495-EvCenter)^2)/(2*EvSigma^2))))),"")</f>
        <v/>
      </c>
      <c r="O4495">
        <f>IF(B4495,ROUND(MAX(0,J4495*K4495*L4495*M4495*N4495),2),"")</f>
        <v/>
      </c>
    </row>
    <row r="4496">
      <c r="A4496" t="n">
        <v>4495</v>
      </c>
      <c r="B4496">
        <f>A4496&lt;=MineCount*Days</f>
        <v/>
      </c>
      <c r="C4496">
        <f>IF(B4496,INT((A4496-1)/Days)+1,"")</f>
        <v/>
      </c>
      <c r="D4496">
        <f>IF(B4496,MOD(A4496-1,Days),"")</f>
        <v/>
      </c>
      <c r="E4496" s="16">
        <f>IF(B4496,StartDate+D4496,"")</f>
        <v/>
      </c>
      <c r="F4496">
        <f>IF(B4496,MAX(MOD(SIN(Seed*0.1373+C4496*12.9898+D4496*78.233)*43758.5453,1),1E-9),"")</f>
        <v/>
      </c>
      <c r="G4496">
        <f>IF(B4496,MOD(SIN(Seed*0.5917+C4496*39.3468+D4496*11.135)*24634.6345,1),"")</f>
        <v/>
      </c>
      <c r="H4496">
        <f>IF(B4496,SQRT(-2*LN(F4496))*COS(2*PI()*G4496),"")</f>
        <v/>
      </c>
      <c r="I4496">
        <f>IF(B4496,IF(D4496=0,H4496,Rho*I4495+SQRT(1-Rho^2)*H4496),"")</f>
        <v/>
      </c>
      <c r="J4496">
        <f>IF(B4496,IF(Dist="Normal",DistA+DistB*I4496,DistA+(DistB-DistA)*NORMSDIST(I4496)),"")</f>
        <v/>
      </c>
      <c r="K4496">
        <f>IF(B4496,INDEX(MineScale,C4496),"")</f>
        <v/>
      </c>
      <c r="L4496">
        <f>IF(B4496,INDEX(Dow,1,WEEKDAY(E4496,2)),"")</f>
        <v/>
      </c>
      <c r="M4496">
        <f>IF(B4496,(1+Trend)^D4496,"")</f>
        <v/>
      </c>
      <c r="N4496">
        <f>IF(B4496,EXP(SUMPRODUCT(LN(1+(EvEff-1)*INDEX(Affected,0,C4496)*EXP(-((E4496-EvCenter)^2)/(2*EvSigma^2))))),"")</f>
        <v/>
      </c>
      <c r="O4496">
        <f>IF(B4496,ROUND(MAX(0,J4496*K4496*L4496*M4496*N4496),2),"")</f>
        <v/>
      </c>
    </row>
    <row r="4497">
      <c r="A4497" t="n">
        <v>4496</v>
      </c>
      <c r="B4497">
        <f>A4497&lt;=MineCount*Days</f>
        <v/>
      </c>
      <c r="C4497">
        <f>IF(B4497,INT((A4497-1)/Days)+1,"")</f>
        <v/>
      </c>
      <c r="D4497">
        <f>IF(B4497,MOD(A4497-1,Days),"")</f>
        <v/>
      </c>
      <c r="E4497" s="16">
        <f>IF(B4497,StartDate+D4497,"")</f>
        <v/>
      </c>
      <c r="F4497">
        <f>IF(B4497,MAX(MOD(SIN(Seed*0.1373+C4497*12.9898+D4497*78.233)*43758.5453,1),1E-9),"")</f>
        <v/>
      </c>
      <c r="G4497">
        <f>IF(B4497,MOD(SIN(Seed*0.5917+C4497*39.3468+D4497*11.135)*24634.6345,1),"")</f>
        <v/>
      </c>
      <c r="H4497">
        <f>IF(B4497,SQRT(-2*LN(F4497))*COS(2*PI()*G4497),"")</f>
        <v/>
      </c>
      <c r="I4497">
        <f>IF(B4497,IF(D4497=0,H4497,Rho*I4496+SQRT(1-Rho^2)*H4497),"")</f>
        <v/>
      </c>
      <c r="J4497">
        <f>IF(B4497,IF(Dist="Normal",DistA+DistB*I4497,DistA+(DistB-DistA)*NORMSDIST(I4497)),"")</f>
        <v/>
      </c>
      <c r="K4497">
        <f>IF(B4497,INDEX(MineScale,C4497),"")</f>
        <v/>
      </c>
      <c r="L4497">
        <f>IF(B4497,INDEX(Dow,1,WEEKDAY(E4497,2)),"")</f>
        <v/>
      </c>
      <c r="M4497">
        <f>IF(B4497,(1+Trend)^D4497,"")</f>
        <v/>
      </c>
      <c r="N4497">
        <f>IF(B4497,EXP(SUMPRODUCT(LN(1+(EvEff-1)*INDEX(Affected,0,C4497)*EXP(-((E4497-EvCenter)^2)/(2*EvSigma^2))))),"")</f>
        <v/>
      </c>
      <c r="O4497">
        <f>IF(B4497,ROUND(MAX(0,J4497*K4497*L4497*M4497*N4497),2),"")</f>
        <v/>
      </c>
    </row>
    <row r="4498">
      <c r="A4498" t="n">
        <v>4497</v>
      </c>
      <c r="B4498">
        <f>A4498&lt;=MineCount*Days</f>
        <v/>
      </c>
      <c r="C4498">
        <f>IF(B4498,INT((A4498-1)/Days)+1,"")</f>
        <v/>
      </c>
      <c r="D4498">
        <f>IF(B4498,MOD(A4498-1,Days),"")</f>
        <v/>
      </c>
      <c r="E4498" s="16">
        <f>IF(B4498,StartDate+D4498,"")</f>
        <v/>
      </c>
      <c r="F4498">
        <f>IF(B4498,MAX(MOD(SIN(Seed*0.1373+C4498*12.9898+D4498*78.233)*43758.5453,1),1E-9),"")</f>
        <v/>
      </c>
      <c r="G4498">
        <f>IF(B4498,MOD(SIN(Seed*0.5917+C4498*39.3468+D4498*11.135)*24634.6345,1),"")</f>
        <v/>
      </c>
      <c r="H4498">
        <f>IF(B4498,SQRT(-2*LN(F4498))*COS(2*PI()*G4498),"")</f>
        <v/>
      </c>
      <c r="I4498">
        <f>IF(B4498,IF(D4498=0,H4498,Rho*I4497+SQRT(1-Rho^2)*H4498),"")</f>
        <v/>
      </c>
      <c r="J4498">
        <f>IF(B4498,IF(Dist="Normal",DistA+DistB*I4498,DistA+(DistB-DistA)*NORMSDIST(I4498)),"")</f>
        <v/>
      </c>
      <c r="K4498">
        <f>IF(B4498,INDEX(MineScale,C4498),"")</f>
        <v/>
      </c>
      <c r="L4498">
        <f>IF(B4498,INDEX(Dow,1,WEEKDAY(E4498,2)),"")</f>
        <v/>
      </c>
      <c r="M4498">
        <f>IF(B4498,(1+Trend)^D4498,"")</f>
        <v/>
      </c>
      <c r="N4498">
        <f>IF(B4498,EXP(SUMPRODUCT(LN(1+(EvEff-1)*INDEX(Affected,0,C4498)*EXP(-((E4498-EvCenter)^2)/(2*EvSigma^2))))),"")</f>
        <v/>
      </c>
      <c r="O4498">
        <f>IF(B4498,ROUND(MAX(0,J4498*K4498*L4498*M4498*N4498),2),"")</f>
        <v/>
      </c>
    </row>
    <row r="4499">
      <c r="A4499" t="n">
        <v>4498</v>
      </c>
      <c r="B4499">
        <f>A4499&lt;=MineCount*Days</f>
        <v/>
      </c>
      <c r="C4499">
        <f>IF(B4499,INT((A4499-1)/Days)+1,"")</f>
        <v/>
      </c>
      <c r="D4499">
        <f>IF(B4499,MOD(A4499-1,Days),"")</f>
        <v/>
      </c>
      <c r="E4499" s="16">
        <f>IF(B4499,StartDate+D4499,"")</f>
        <v/>
      </c>
      <c r="F4499">
        <f>IF(B4499,MAX(MOD(SIN(Seed*0.1373+C4499*12.9898+D4499*78.233)*43758.5453,1),1E-9),"")</f>
        <v/>
      </c>
      <c r="G4499">
        <f>IF(B4499,MOD(SIN(Seed*0.5917+C4499*39.3468+D4499*11.135)*24634.6345,1),"")</f>
        <v/>
      </c>
      <c r="H4499">
        <f>IF(B4499,SQRT(-2*LN(F4499))*COS(2*PI()*G4499),"")</f>
        <v/>
      </c>
      <c r="I4499">
        <f>IF(B4499,IF(D4499=0,H4499,Rho*I4498+SQRT(1-Rho^2)*H4499),"")</f>
        <v/>
      </c>
      <c r="J4499">
        <f>IF(B4499,IF(Dist="Normal",DistA+DistB*I4499,DistA+(DistB-DistA)*NORMSDIST(I4499)),"")</f>
        <v/>
      </c>
      <c r="K4499">
        <f>IF(B4499,INDEX(MineScale,C4499),"")</f>
        <v/>
      </c>
      <c r="L4499">
        <f>IF(B4499,INDEX(Dow,1,WEEKDAY(E4499,2)),"")</f>
        <v/>
      </c>
      <c r="M4499">
        <f>IF(B4499,(1+Trend)^D4499,"")</f>
        <v/>
      </c>
      <c r="N4499">
        <f>IF(B4499,EXP(SUMPRODUCT(LN(1+(EvEff-1)*INDEX(Affected,0,C4499)*EXP(-((E4499-EvCenter)^2)/(2*EvSigma^2))))),"")</f>
        <v/>
      </c>
      <c r="O4499">
        <f>IF(B4499,ROUND(MAX(0,J4499*K4499*L4499*M4499*N4499),2),"")</f>
        <v/>
      </c>
    </row>
    <row r="4500">
      <c r="A4500" t="n">
        <v>4499</v>
      </c>
      <c r="B4500">
        <f>A4500&lt;=MineCount*Days</f>
        <v/>
      </c>
      <c r="C4500">
        <f>IF(B4500,INT((A4500-1)/Days)+1,"")</f>
        <v/>
      </c>
      <c r="D4500">
        <f>IF(B4500,MOD(A4500-1,Days),"")</f>
        <v/>
      </c>
      <c r="E4500" s="16">
        <f>IF(B4500,StartDate+D4500,"")</f>
        <v/>
      </c>
      <c r="F4500">
        <f>IF(B4500,MAX(MOD(SIN(Seed*0.1373+C4500*12.9898+D4500*78.233)*43758.5453,1),1E-9),"")</f>
        <v/>
      </c>
      <c r="G4500">
        <f>IF(B4500,MOD(SIN(Seed*0.5917+C4500*39.3468+D4500*11.135)*24634.6345,1),"")</f>
        <v/>
      </c>
      <c r="H4500">
        <f>IF(B4500,SQRT(-2*LN(F4500))*COS(2*PI()*G4500),"")</f>
        <v/>
      </c>
      <c r="I4500">
        <f>IF(B4500,IF(D4500=0,H4500,Rho*I4499+SQRT(1-Rho^2)*H4500),"")</f>
        <v/>
      </c>
      <c r="J4500">
        <f>IF(B4500,IF(Dist="Normal",DistA+DistB*I4500,DistA+(DistB-DistA)*NORMSDIST(I4500)),"")</f>
        <v/>
      </c>
      <c r="K4500">
        <f>IF(B4500,INDEX(MineScale,C4500),"")</f>
        <v/>
      </c>
      <c r="L4500">
        <f>IF(B4500,INDEX(Dow,1,WEEKDAY(E4500,2)),"")</f>
        <v/>
      </c>
      <c r="M4500">
        <f>IF(B4500,(1+Trend)^D4500,"")</f>
        <v/>
      </c>
      <c r="N4500">
        <f>IF(B4500,EXP(SUMPRODUCT(LN(1+(EvEff-1)*INDEX(Affected,0,C4500)*EXP(-((E4500-EvCenter)^2)/(2*EvSigma^2))))),"")</f>
        <v/>
      </c>
      <c r="O4500">
        <f>IF(B4500,ROUND(MAX(0,J4500*K4500*L4500*M4500*N4500),2),"")</f>
        <v/>
      </c>
    </row>
    <row r="4501">
      <c r="A4501" t="n">
        <v>4500</v>
      </c>
      <c r="B4501">
        <f>A4501&lt;=MineCount*Days</f>
        <v/>
      </c>
      <c r="C4501">
        <f>IF(B4501,INT((A4501-1)/Days)+1,"")</f>
        <v/>
      </c>
      <c r="D4501">
        <f>IF(B4501,MOD(A4501-1,Days),"")</f>
        <v/>
      </c>
      <c r="E4501" s="16">
        <f>IF(B4501,StartDate+D4501,"")</f>
        <v/>
      </c>
      <c r="F4501">
        <f>IF(B4501,MAX(MOD(SIN(Seed*0.1373+C4501*12.9898+D4501*78.233)*43758.5453,1),1E-9),"")</f>
        <v/>
      </c>
      <c r="G4501">
        <f>IF(B4501,MOD(SIN(Seed*0.5917+C4501*39.3468+D4501*11.135)*24634.6345,1),"")</f>
        <v/>
      </c>
      <c r="H4501">
        <f>IF(B4501,SQRT(-2*LN(F4501))*COS(2*PI()*G4501),"")</f>
        <v/>
      </c>
      <c r="I4501">
        <f>IF(B4501,IF(D4501=0,H4501,Rho*I4500+SQRT(1-Rho^2)*H4501),"")</f>
        <v/>
      </c>
      <c r="J4501">
        <f>IF(B4501,IF(Dist="Normal",DistA+DistB*I4501,DistA+(DistB-DistA)*NORMSDIST(I4501)),"")</f>
        <v/>
      </c>
      <c r="K4501">
        <f>IF(B4501,INDEX(MineScale,C4501),"")</f>
        <v/>
      </c>
      <c r="L4501">
        <f>IF(B4501,INDEX(Dow,1,WEEKDAY(E4501,2)),"")</f>
        <v/>
      </c>
      <c r="M4501">
        <f>IF(B4501,(1+Trend)^D4501,"")</f>
        <v/>
      </c>
      <c r="N4501">
        <f>IF(B4501,EXP(SUMPRODUCT(LN(1+(EvEff-1)*INDEX(Affected,0,C4501)*EXP(-((E4501-EvCenter)^2)/(2*EvSigma^2))))),"")</f>
        <v/>
      </c>
      <c r="O4501">
        <f>IF(B4501,ROUND(MAX(0,J4501*K4501*L4501*M4501*N4501),2),"")</f>
        <v/>
      </c>
    </row>
    <row r="4502">
      <c r="A4502" t="n">
        <v>4501</v>
      </c>
      <c r="B4502">
        <f>A4502&lt;=MineCount*Days</f>
        <v/>
      </c>
      <c r="C4502">
        <f>IF(B4502,INT((A4502-1)/Days)+1,"")</f>
        <v/>
      </c>
      <c r="D4502">
        <f>IF(B4502,MOD(A4502-1,Days),"")</f>
        <v/>
      </c>
      <c r="E4502" s="16">
        <f>IF(B4502,StartDate+D4502,"")</f>
        <v/>
      </c>
      <c r="F4502">
        <f>IF(B4502,MAX(MOD(SIN(Seed*0.1373+C4502*12.9898+D4502*78.233)*43758.5453,1),1E-9),"")</f>
        <v/>
      </c>
      <c r="G4502">
        <f>IF(B4502,MOD(SIN(Seed*0.5917+C4502*39.3468+D4502*11.135)*24634.6345,1),"")</f>
        <v/>
      </c>
      <c r="H4502">
        <f>IF(B4502,SQRT(-2*LN(F4502))*COS(2*PI()*G4502),"")</f>
        <v/>
      </c>
      <c r="I4502">
        <f>IF(B4502,IF(D4502=0,H4502,Rho*I4501+SQRT(1-Rho^2)*H4502),"")</f>
        <v/>
      </c>
      <c r="J4502">
        <f>IF(B4502,IF(Dist="Normal",DistA+DistB*I4502,DistA+(DistB-DistA)*NORMSDIST(I4502)),"")</f>
        <v/>
      </c>
      <c r="K4502">
        <f>IF(B4502,INDEX(MineScale,C4502),"")</f>
        <v/>
      </c>
      <c r="L4502">
        <f>IF(B4502,INDEX(Dow,1,WEEKDAY(E4502,2)),"")</f>
        <v/>
      </c>
      <c r="M4502">
        <f>IF(B4502,(1+Trend)^D4502,"")</f>
        <v/>
      </c>
      <c r="N4502">
        <f>IF(B4502,EXP(SUMPRODUCT(LN(1+(EvEff-1)*INDEX(Affected,0,C4502)*EXP(-((E4502-EvCenter)^2)/(2*EvSigma^2))))),"")</f>
        <v/>
      </c>
      <c r="O4502">
        <f>IF(B4502,ROUND(MAX(0,J4502*K4502*L4502*M4502*N4502),2),"")</f>
        <v/>
      </c>
    </row>
    <row r="4503">
      <c r="A4503" t="n">
        <v>4502</v>
      </c>
      <c r="B4503">
        <f>A4503&lt;=MineCount*Days</f>
        <v/>
      </c>
      <c r="C4503">
        <f>IF(B4503,INT((A4503-1)/Days)+1,"")</f>
        <v/>
      </c>
      <c r="D4503">
        <f>IF(B4503,MOD(A4503-1,Days),"")</f>
        <v/>
      </c>
      <c r="E4503" s="16">
        <f>IF(B4503,StartDate+D4503,"")</f>
        <v/>
      </c>
      <c r="F4503">
        <f>IF(B4503,MAX(MOD(SIN(Seed*0.1373+C4503*12.9898+D4503*78.233)*43758.5453,1),1E-9),"")</f>
        <v/>
      </c>
      <c r="G4503">
        <f>IF(B4503,MOD(SIN(Seed*0.5917+C4503*39.3468+D4503*11.135)*24634.6345,1),"")</f>
        <v/>
      </c>
      <c r="H4503">
        <f>IF(B4503,SQRT(-2*LN(F4503))*COS(2*PI()*G4503),"")</f>
        <v/>
      </c>
      <c r="I4503">
        <f>IF(B4503,IF(D4503=0,H4503,Rho*I4502+SQRT(1-Rho^2)*H4503),"")</f>
        <v/>
      </c>
      <c r="J4503">
        <f>IF(B4503,IF(Dist="Normal",DistA+DistB*I4503,DistA+(DistB-DistA)*NORMSDIST(I4503)),"")</f>
        <v/>
      </c>
      <c r="K4503">
        <f>IF(B4503,INDEX(MineScale,C4503),"")</f>
        <v/>
      </c>
      <c r="L4503">
        <f>IF(B4503,INDEX(Dow,1,WEEKDAY(E4503,2)),"")</f>
        <v/>
      </c>
      <c r="M4503">
        <f>IF(B4503,(1+Trend)^D4503,"")</f>
        <v/>
      </c>
      <c r="N4503">
        <f>IF(B4503,EXP(SUMPRODUCT(LN(1+(EvEff-1)*INDEX(Affected,0,C4503)*EXP(-((E4503-EvCenter)^2)/(2*EvSigma^2))))),"")</f>
        <v/>
      </c>
      <c r="O4503">
        <f>IF(B4503,ROUND(MAX(0,J4503*K4503*L4503*M4503*N4503),2),"")</f>
        <v/>
      </c>
    </row>
    <row r="4504">
      <c r="A4504" t="n">
        <v>4503</v>
      </c>
      <c r="B4504">
        <f>A4504&lt;=MineCount*Days</f>
        <v/>
      </c>
      <c r="C4504">
        <f>IF(B4504,INT((A4504-1)/Days)+1,"")</f>
        <v/>
      </c>
      <c r="D4504">
        <f>IF(B4504,MOD(A4504-1,Days),"")</f>
        <v/>
      </c>
      <c r="E4504" s="16">
        <f>IF(B4504,StartDate+D4504,"")</f>
        <v/>
      </c>
      <c r="F4504">
        <f>IF(B4504,MAX(MOD(SIN(Seed*0.1373+C4504*12.9898+D4504*78.233)*43758.5453,1),1E-9),"")</f>
        <v/>
      </c>
      <c r="G4504">
        <f>IF(B4504,MOD(SIN(Seed*0.5917+C4504*39.3468+D4504*11.135)*24634.6345,1),"")</f>
        <v/>
      </c>
      <c r="H4504">
        <f>IF(B4504,SQRT(-2*LN(F4504))*COS(2*PI()*G4504),"")</f>
        <v/>
      </c>
      <c r="I4504">
        <f>IF(B4504,IF(D4504=0,H4504,Rho*I4503+SQRT(1-Rho^2)*H4504),"")</f>
        <v/>
      </c>
      <c r="J4504">
        <f>IF(B4504,IF(Dist="Normal",DistA+DistB*I4504,DistA+(DistB-DistA)*NORMSDIST(I4504)),"")</f>
        <v/>
      </c>
      <c r="K4504">
        <f>IF(B4504,INDEX(MineScale,C4504),"")</f>
        <v/>
      </c>
      <c r="L4504">
        <f>IF(B4504,INDEX(Dow,1,WEEKDAY(E4504,2)),"")</f>
        <v/>
      </c>
      <c r="M4504">
        <f>IF(B4504,(1+Trend)^D4504,"")</f>
        <v/>
      </c>
      <c r="N4504">
        <f>IF(B4504,EXP(SUMPRODUCT(LN(1+(EvEff-1)*INDEX(Affected,0,C4504)*EXP(-((E4504-EvCenter)^2)/(2*EvSigma^2))))),"")</f>
        <v/>
      </c>
      <c r="O4504">
        <f>IF(B4504,ROUND(MAX(0,J4504*K4504*L4504*M4504*N4504),2),"")</f>
        <v/>
      </c>
    </row>
    <row r="4505">
      <c r="A4505" t="n">
        <v>4504</v>
      </c>
      <c r="B4505">
        <f>A4505&lt;=MineCount*Days</f>
        <v/>
      </c>
      <c r="C4505">
        <f>IF(B4505,INT((A4505-1)/Days)+1,"")</f>
        <v/>
      </c>
      <c r="D4505">
        <f>IF(B4505,MOD(A4505-1,Days),"")</f>
        <v/>
      </c>
      <c r="E4505" s="16">
        <f>IF(B4505,StartDate+D4505,"")</f>
        <v/>
      </c>
      <c r="F4505">
        <f>IF(B4505,MAX(MOD(SIN(Seed*0.1373+C4505*12.9898+D4505*78.233)*43758.5453,1),1E-9),"")</f>
        <v/>
      </c>
      <c r="G4505">
        <f>IF(B4505,MOD(SIN(Seed*0.5917+C4505*39.3468+D4505*11.135)*24634.6345,1),"")</f>
        <v/>
      </c>
      <c r="H4505">
        <f>IF(B4505,SQRT(-2*LN(F4505))*COS(2*PI()*G4505),"")</f>
        <v/>
      </c>
      <c r="I4505">
        <f>IF(B4505,IF(D4505=0,H4505,Rho*I4504+SQRT(1-Rho^2)*H4505),"")</f>
        <v/>
      </c>
      <c r="J4505">
        <f>IF(B4505,IF(Dist="Normal",DistA+DistB*I4505,DistA+(DistB-DistA)*NORMSDIST(I4505)),"")</f>
        <v/>
      </c>
      <c r="K4505">
        <f>IF(B4505,INDEX(MineScale,C4505),"")</f>
        <v/>
      </c>
      <c r="L4505">
        <f>IF(B4505,INDEX(Dow,1,WEEKDAY(E4505,2)),"")</f>
        <v/>
      </c>
      <c r="M4505">
        <f>IF(B4505,(1+Trend)^D4505,"")</f>
        <v/>
      </c>
      <c r="N4505">
        <f>IF(B4505,EXP(SUMPRODUCT(LN(1+(EvEff-1)*INDEX(Affected,0,C4505)*EXP(-((E4505-EvCenter)^2)/(2*EvSigma^2))))),"")</f>
        <v/>
      </c>
      <c r="O4505">
        <f>IF(B4505,ROUND(MAX(0,J4505*K4505*L4505*M4505*N4505),2),"")</f>
        <v/>
      </c>
    </row>
    <row r="4506">
      <c r="A4506" t="n">
        <v>4505</v>
      </c>
      <c r="B4506">
        <f>A4506&lt;=MineCount*Days</f>
        <v/>
      </c>
      <c r="C4506">
        <f>IF(B4506,INT((A4506-1)/Days)+1,"")</f>
        <v/>
      </c>
      <c r="D4506">
        <f>IF(B4506,MOD(A4506-1,Days),"")</f>
        <v/>
      </c>
      <c r="E4506" s="16">
        <f>IF(B4506,StartDate+D4506,"")</f>
        <v/>
      </c>
      <c r="F4506">
        <f>IF(B4506,MAX(MOD(SIN(Seed*0.1373+C4506*12.9898+D4506*78.233)*43758.5453,1),1E-9),"")</f>
        <v/>
      </c>
      <c r="G4506">
        <f>IF(B4506,MOD(SIN(Seed*0.5917+C4506*39.3468+D4506*11.135)*24634.6345,1),"")</f>
        <v/>
      </c>
      <c r="H4506">
        <f>IF(B4506,SQRT(-2*LN(F4506))*COS(2*PI()*G4506),"")</f>
        <v/>
      </c>
      <c r="I4506">
        <f>IF(B4506,IF(D4506=0,H4506,Rho*I4505+SQRT(1-Rho^2)*H4506),"")</f>
        <v/>
      </c>
      <c r="J4506">
        <f>IF(B4506,IF(Dist="Normal",DistA+DistB*I4506,DistA+(DistB-DistA)*NORMSDIST(I4506)),"")</f>
        <v/>
      </c>
      <c r="K4506">
        <f>IF(B4506,INDEX(MineScale,C4506),"")</f>
        <v/>
      </c>
      <c r="L4506">
        <f>IF(B4506,INDEX(Dow,1,WEEKDAY(E4506,2)),"")</f>
        <v/>
      </c>
      <c r="M4506">
        <f>IF(B4506,(1+Trend)^D4506,"")</f>
        <v/>
      </c>
      <c r="N4506">
        <f>IF(B4506,EXP(SUMPRODUCT(LN(1+(EvEff-1)*INDEX(Affected,0,C4506)*EXP(-((E4506-EvCenter)^2)/(2*EvSigma^2))))),"")</f>
        <v/>
      </c>
      <c r="O4506">
        <f>IF(B4506,ROUND(MAX(0,J4506*K4506*L4506*M4506*N4506),2),"")</f>
        <v/>
      </c>
    </row>
    <row r="4507">
      <c r="A4507" t="n">
        <v>4506</v>
      </c>
      <c r="B4507">
        <f>A4507&lt;=MineCount*Days</f>
        <v/>
      </c>
      <c r="C4507">
        <f>IF(B4507,INT((A4507-1)/Days)+1,"")</f>
        <v/>
      </c>
      <c r="D4507">
        <f>IF(B4507,MOD(A4507-1,Days),"")</f>
        <v/>
      </c>
      <c r="E4507" s="16">
        <f>IF(B4507,StartDate+D4507,"")</f>
        <v/>
      </c>
      <c r="F4507">
        <f>IF(B4507,MAX(MOD(SIN(Seed*0.1373+C4507*12.9898+D4507*78.233)*43758.5453,1),1E-9),"")</f>
        <v/>
      </c>
      <c r="G4507">
        <f>IF(B4507,MOD(SIN(Seed*0.5917+C4507*39.3468+D4507*11.135)*24634.6345,1),"")</f>
        <v/>
      </c>
      <c r="H4507">
        <f>IF(B4507,SQRT(-2*LN(F4507))*COS(2*PI()*G4507),"")</f>
        <v/>
      </c>
      <c r="I4507">
        <f>IF(B4507,IF(D4507=0,H4507,Rho*I4506+SQRT(1-Rho^2)*H4507),"")</f>
        <v/>
      </c>
      <c r="J4507">
        <f>IF(B4507,IF(Dist="Normal",DistA+DistB*I4507,DistA+(DistB-DistA)*NORMSDIST(I4507)),"")</f>
        <v/>
      </c>
      <c r="K4507">
        <f>IF(B4507,INDEX(MineScale,C4507),"")</f>
        <v/>
      </c>
      <c r="L4507">
        <f>IF(B4507,INDEX(Dow,1,WEEKDAY(E4507,2)),"")</f>
        <v/>
      </c>
      <c r="M4507">
        <f>IF(B4507,(1+Trend)^D4507,"")</f>
        <v/>
      </c>
      <c r="N4507">
        <f>IF(B4507,EXP(SUMPRODUCT(LN(1+(EvEff-1)*INDEX(Affected,0,C4507)*EXP(-((E4507-EvCenter)^2)/(2*EvSigma^2))))),"")</f>
        <v/>
      </c>
      <c r="O4507">
        <f>IF(B4507,ROUND(MAX(0,J4507*K4507*L4507*M4507*N4507),2),"")</f>
        <v/>
      </c>
    </row>
    <row r="4508">
      <c r="A4508" t="n">
        <v>4507</v>
      </c>
      <c r="B4508">
        <f>A4508&lt;=MineCount*Days</f>
        <v/>
      </c>
      <c r="C4508">
        <f>IF(B4508,INT((A4508-1)/Days)+1,"")</f>
        <v/>
      </c>
      <c r="D4508">
        <f>IF(B4508,MOD(A4508-1,Days),"")</f>
        <v/>
      </c>
      <c r="E4508" s="16">
        <f>IF(B4508,StartDate+D4508,"")</f>
        <v/>
      </c>
      <c r="F4508">
        <f>IF(B4508,MAX(MOD(SIN(Seed*0.1373+C4508*12.9898+D4508*78.233)*43758.5453,1),1E-9),"")</f>
        <v/>
      </c>
      <c r="G4508">
        <f>IF(B4508,MOD(SIN(Seed*0.5917+C4508*39.3468+D4508*11.135)*24634.6345,1),"")</f>
        <v/>
      </c>
      <c r="H4508">
        <f>IF(B4508,SQRT(-2*LN(F4508))*COS(2*PI()*G4508),"")</f>
        <v/>
      </c>
      <c r="I4508">
        <f>IF(B4508,IF(D4508=0,H4508,Rho*I4507+SQRT(1-Rho^2)*H4508),"")</f>
        <v/>
      </c>
      <c r="J4508">
        <f>IF(B4508,IF(Dist="Normal",DistA+DistB*I4508,DistA+(DistB-DistA)*NORMSDIST(I4508)),"")</f>
        <v/>
      </c>
      <c r="K4508">
        <f>IF(B4508,INDEX(MineScale,C4508),"")</f>
        <v/>
      </c>
      <c r="L4508">
        <f>IF(B4508,INDEX(Dow,1,WEEKDAY(E4508,2)),"")</f>
        <v/>
      </c>
      <c r="M4508">
        <f>IF(B4508,(1+Trend)^D4508,"")</f>
        <v/>
      </c>
      <c r="N4508">
        <f>IF(B4508,EXP(SUMPRODUCT(LN(1+(EvEff-1)*INDEX(Affected,0,C4508)*EXP(-((E4508-EvCenter)^2)/(2*EvSigma^2))))),"")</f>
        <v/>
      </c>
      <c r="O4508">
        <f>IF(B4508,ROUND(MAX(0,J4508*K4508*L4508*M4508*N4508),2),"")</f>
        <v/>
      </c>
    </row>
    <row r="4509">
      <c r="A4509" t="n">
        <v>4508</v>
      </c>
      <c r="B4509">
        <f>A4509&lt;=MineCount*Days</f>
        <v/>
      </c>
      <c r="C4509">
        <f>IF(B4509,INT((A4509-1)/Days)+1,"")</f>
        <v/>
      </c>
      <c r="D4509">
        <f>IF(B4509,MOD(A4509-1,Days),"")</f>
        <v/>
      </c>
      <c r="E4509" s="16">
        <f>IF(B4509,StartDate+D4509,"")</f>
        <v/>
      </c>
      <c r="F4509">
        <f>IF(B4509,MAX(MOD(SIN(Seed*0.1373+C4509*12.9898+D4509*78.233)*43758.5453,1),1E-9),"")</f>
        <v/>
      </c>
      <c r="G4509">
        <f>IF(B4509,MOD(SIN(Seed*0.5917+C4509*39.3468+D4509*11.135)*24634.6345,1),"")</f>
        <v/>
      </c>
      <c r="H4509">
        <f>IF(B4509,SQRT(-2*LN(F4509))*COS(2*PI()*G4509),"")</f>
        <v/>
      </c>
      <c r="I4509">
        <f>IF(B4509,IF(D4509=0,H4509,Rho*I4508+SQRT(1-Rho^2)*H4509),"")</f>
        <v/>
      </c>
      <c r="J4509">
        <f>IF(B4509,IF(Dist="Normal",DistA+DistB*I4509,DistA+(DistB-DistA)*NORMSDIST(I4509)),"")</f>
        <v/>
      </c>
      <c r="K4509">
        <f>IF(B4509,INDEX(MineScale,C4509),"")</f>
        <v/>
      </c>
      <c r="L4509">
        <f>IF(B4509,INDEX(Dow,1,WEEKDAY(E4509,2)),"")</f>
        <v/>
      </c>
      <c r="M4509">
        <f>IF(B4509,(1+Trend)^D4509,"")</f>
        <v/>
      </c>
      <c r="N4509">
        <f>IF(B4509,EXP(SUMPRODUCT(LN(1+(EvEff-1)*INDEX(Affected,0,C4509)*EXP(-((E4509-EvCenter)^2)/(2*EvSigma^2))))),"")</f>
        <v/>
      </c>
      <c r="O4509">
        <f>IF(B4509,ROUND(MAX(0,J4509*K4509*L4509*M4509*N4509),2),"")</f>
        <v/>
      </c>
    </row>
    <row r="4510">
      <c r="A4510" t="n">
        <v>4509</v>
      </c>
      <c r="B4510">
        <f>A4510&lt;=MineCount*Days</f>
        <v/>
      </c>
      <c r="C4510">
        <f>IF(B4510,INT((A4510-1)/Days)+1,"")</f>
        <v/>
      </c>
      <c r="D4510">
        <f>IF(B4510,MOD(A4510-1,Days),"")</f>
        <v/>
      </c>
      <c r="E4510" s="16">
        <f>IF(B4510,StartDate+D4510,"")</f>
        <v/>
      </c>
      <c r="F4510">
        <f>IF(B4510,MAX(MOD(SIN(Seed*0.1373+C4510*12.9898+D4510*78.233)*43758.5453,1),1E-9),"")</f>
        <v/>
      </c>
      <c r="G4510">
        <f>IF(B4510,MOD(SIN(Seed*0.5917+C4510*39.3468+D4510*11.135)*24634.6345,1),"")</f>
        <v/>
      </c>
      <c r="H4510">
        <f>IF(B4510,SQRT(-2*LN(F4510))*COS(2*PI()*G4510),"")</f>
        <v/>
      </c>
      <c r="I4510">
        <f>IF(B4510,IF(D4510=0,H4510,Rho*I4509+SQRT(1-Rho^2)*H4510),"")</f>
        <v/>
      </c>
      <c r="J4510">
        <f>IF(B4510,IF(Dist="Normal",DistA+DistB*I4510,DistA+(DistB-DistA)*NORMSDIST(I4510)),"")</f>
        <v/>
      </c>
      <c r="K4510">
        <f>IF(B4510,INDEX(MineScale,C4510),"")</f>
        <v/>
      </c>
      <c r="L4510">
        <f>IF(B4510,INDEX(Dow,1,WEEKDAY(E4510,2)),"")</f>
        <v/>
      </c>
      <c r="M4510">
        <f>IF(B4510,(1+Trend)^D4510,"")</f>
        <v/>
      </c>
      <c r="N4510">
        <f>IF(B4510,EXP(SUMPRODUCT(LN(1+(EvEff-1)*INDEX(Affected,0,C4510)*EXP(-((E4510-EvCenter)^2)/(2*EvSigma^2))))),"")</f>
        <v/>
      </c>
      <c r="O4510">
        <f>IF(B4510,ROUND(MAX(0,J4510*K4510*L4510*M4510*N4510),2),"")</f>
        <v/>
      </c>
    </row>
    <row r="4511">
      <c r="A4511" t="n">
        <v>4510</v>
      </c>
      <c r="B4511">
        <f>A4511&lt;=MineCount*Days</f>
        <v/>
      </c>
      <c r="C4511">
        <f>IF(B4511,INT((A4511-1)/Days)+1,"")</f>
        <v/>
      </c>
      <c r="D4511">
        <f>IF(B4511,MOD(A4511-1,Days),"")</f>
        <v/>
      </c>
      <c r="E4511" s="16">
        <f>IF(B4511,StartDate+D4511,"")</f>
        <v/>
      </c>
      <c r="F4511">
        <f>IF(B4511,MAX(MOD(SIN(Seed*0.1373+C4511*12.9898+D4511*78.233)*43758.5453,1),1E-9),"")</f>
        <v/>
      </c>
      <c r="G4511">
        <f>IF(B4511,MOD(SIN(Seed*0.5917+C4511*39.3468+D4511*11.135)*24634.6345,1),"")</f>
        <v/>
      </c>
      <c r="H4511">
        <f>IF(B4511,SQRT(-2*LN(F4511))*COS(2*PI()*G4511),"")</f>
        <v/>
      </c>
      <c r="I4511">
        <f>IF(B4511,IF(D4511=0,H4511,Rho*I4510+SQRT(1-Rho^2)*H4511),"")</f>
        <v/>
      </c>
      <c r="J4511">
        <f>IF(B4511,IF(Dist="Normal",DistA+DistB*I4511,DistA+(DistB-DistA)*NORMSDIST(I4511)),"")</f>
        <v/>
      </c>
      <c r="K4511">
        <f>IF(B4511,INDEX(MineScale,C4511),"")</f>
        <v/>
      </c>
      <c r="L4511">
        <f>IF(B4511,INDEX(Dow,1,WEEKDAY(E4511,2)),"")</f>
        <v/>
      </c>
      <c r="M4511">
        <f>IF(B4511,(1+Trend)^D4511,"")</f>
        <v/>
      </c>
      <c r="N4511">
        <f>IF(B4511,EXP(SUMPRODUCT(LN(1+(EvEff-1)*INDEX(Affected,0,C4511)*EXP(-((E4511-EvCenter)^2)/(2*EvSigma^2))))),"")</f>
        <v/>
      </c>
      <c r="O4511">
        <f>IF(B4511,ROUND(MAX(0,J4511*K4511*L4511*M4511*N4511),2),"")</f>
        <v/>
      </c>
    </row>
    <row r="4512">
      <c r="A4512" t="n">
        <v>4511</v>
      </c>
      <c r="B4512">
        <f>A4512&lt;=MineCount*Days</f>
        <v/>
      </c>
      <c r="C4512">
        <f>IF(B4512,INT((A4512-1)/Days)+1,"")</f>
        <v/>
      </c>
      <c r="D4512">
        <f>IF(B4512,MOD(A4512-1,Days),"")</f>
        <v/>
      </c>
      <c r="E4512" s="16">
        <f>IF(B4512,StartDate+D4512,"")</f>
        <v/>
      </c>
      <c r="F4512">
        <f>IF(B4512,MAX(MOD(SIN(Seed*0.1373+C4512*12.9898+D4512*78.233)*43758.5453,1),1E-9),"")</f>
        <v/>
      </c>
      <c r="G4512">
        <f>IF(B4512,MOD(SIN(Seed*0.5917+C4512*39.3468+D4512*11.135)*24634.6345,1),"")</f>
        <v/>
      </c>
      <c r="H4512">
        <f>IF(B4512,SQRT(-2*LN(F4512))*COS(2*PI()*G4512),"")</f>
        <v/>
      </c>
      <c r="I4512">
        <f>IF(B4512,IF(D4512=0,H4512,Rho*I4511+SQRT(1-Rho^2)*H4512),"")</f>
        <v/>
      </c>
      <c r="J4512">
        <f>IF(B4512,IF(Dist="Normal",DistA+DistB*I4512,DistA+(DistB-DistA)*NORMSDIST(I4512)),"")</f>
        <v/>
      </c>
      <c r="K4512">
        <f>IF(B4512,INDEX(MineScale,C4512),"")</f>
        <v/>
      </c>
      <c r="L4512">
        <f>IF(B4512,INDEX(Dow,1,WEEKDAY(E4512,2)),"")</f>
        <v/>
      </c>
      <c r="M4512">
        <f>IF(B4512,(1+Trend)^D4512,"")</f>
        <v/>
      </c>
      <c r="N4512">
        <f>IF(B4512,EXP(SUMPRODUCT(LN(1+(EvEff-1)*INDEX(Affected,0,C4512)*EXP(-((E4512-EvCenter)^2)/(2*EvSigma^2))))),"")</f>
        <v/>
      </c>
      <c r="O4512">
        <f>IF(B4512,ROUND(MAX(0,J4512*K4512*L4512*M4512*N4512),2),"")</f>
        <v/>
      </c>
    </row>
    <row r="4513">
      <c r="A4513" t="n">
        <v>4512</v>
      </c>
      <c r="B4513">
        <f>A4513&lt;=MineCount*Days</f>
        <v/>
      </c>
      <c r="C4513">
        <f>IF(B4513,INT((A4513-1)/Days)+1,"")</f>
        <v/>
      </c>
      <c r="D4513">
        <f>IF(B4513,MOD(A4513-1,Days),"")</f>
        <v/>
      </c>
      <c r="E4513" s="16">
        <f>IF(B4513,StartDate+D4513,"")</f>
        <v/>
      </c>
      <c r="F4513">
        <f>IF(B4513,MAX(MOD(SIN(Seed*0.1373+C4513*12.9898+D4513*78.233)*43758.5453,1),1E-9),"")</f>
        <v/>
      </c>
      <c r="G4513">
        <f>IF(B4513,MOD(SIN(Seed*0.5917+C4513*39.3468+D4513*11.135)*24634.6345,1),"")</f>
        <v/>
      </c>
      <c r="H4513">
        <f>IF(B4513,SQRT(-2*LN(F4513))*COS(2*PI()*G4513),"")</f>
        <v/>
      </c>
      <c r="I4513">
        <f>IF(B4513,IF(D4513=0,H4513,Rho*I4512+SQRT(1-Rho^2)*H4513),"")</f>
        <v/>
      </c>
      <c r="J4513">
        <f>IF(B4513,IF(Dist="Normal",DistA+DistB*I4513,DistA+(DistB-DistA)*NORMSDIST(I4513)),"")</f>
        <v/>
      </c>
      <c r="K4513">
        <f>IF(B4513,INDEX(MineScale,C4513),"")</f>
        <v/>
      </c>
      <c r="L4513">
        <f>IF(B4513,INDEX(Dow,1,WEEKDAY(E4513,2)),"")</f>
        <v/>
      </c>
      <c r="M4513">
        <f>IF(B4513,(1+Trend)^D4513,"")</f>
        <v/>
      </c>
      <c r="N4513">
        <f>IF(B4513,EXP(SUMPRODUCT(LN(1+(EvEff-1)*INDEX(Affected,0,C4513)*EXP(-((E4513-EvCenter)^2)/(2*EvSigma^2))))),"")</f>
        <v/>
      </c>
      <c r="O4513">
        <f>IF(B4513,ROUND(MAX(0,J4513*K4513*L4513*M4513*N4513),2),"")</f>
        <v/>
      </c>
    </row>
    <row r="4514">
      <c r="A4514" t="n">
        <v>4513</v>
      </c>
      <c r="B4514">
        <f>A4514&lt;=MineCount*Days</f>
        <v/>
      </c>
      <c r="C4514">
        <f>IF(B4514,INT((A4514-1)/Days)+1,"")</f>
        <v/>
      </c>
      <c r="D4514">
        <f>IF(B4514,MOD(A4514-1,Days),"")</f>
        <v/>
      </c>
      <c r="E4514" s="16">
        <f>IF(B4514,StartDate+D4514,"")</f>
        <v/>
      </c>
      <c r="F4514">
        <f>IF(B4514,MAX(MOD(SIN(Seed*0.1373+C4514*12.9898+D4514*78.233)*43758.5453,1),1E-9),"")</f>
        <v/>
      </c>
      <c r="G4514">
        <f>IF(B4514,MOD(SIN(Seed*0.5917+C4514*39.3468+D4514*11.135)*24634.6345,1),"")</f>
        <v/>
      </c>
      <c r="H4514">
        <f>IF(B4514,SQRT(-2*LN(F4514))*COS(2*PI()*G4514),"")</f>
        <v/>
      </c>
      <c r="I4514">
        <f>IF(B4514,IF(D4514=0,H4514,Rho*I4513+SQRT(1-Rho^2)*H4514),"")</f>
        <v/>
      </c>
      <c r="J4514">
        <f>IF(B4514,IF(Dist="Normal",DistA+DistB*I4514,DistA+(DistB-DistA)*NORMSDIST(I4514)),"")</f>
        <v/>
      </c>
      <c r="K4514">
        <f>IF(B4514,INDEX(MineScale,C4514),"")</f>
        <v/>
      </c>
      <c r="L4514">
        <f>IF(B4514,INDEX(Dow,1,WEEKDAY(E4514,2)),"")</f>
        <v/>
      </c>
      <c r="M4514">
        <f>IF(B4514,(1+Trend)^D4514,"")</f>
        <v/>
      </c>
      <c r="N4514">
        <f>IF(B4514,EXP(SUMPRODUCT(LN(1+(EvEff-1)*INDEX(Affected,0,C4514)*EXP(-((E4514-EvCenter)^2)/(2*EvSigma^2))))),"")</f>
        <v/>
      </c>
      <c r="O4514">
        <f>IF(B4514,ROUND(MAX(0,J4514*K4514*L4514*M4514*N4514),2),"")</f>
        <v/>
      </c>
    </row>
    <row r="4515">
      <c r="A4515" t="n">
        <v>4514</v>
      </c>
      <c r="B4515">
        <f>A4515&lt;=MineCount*Days</f>
        <v/>
      </c>
      <c r="C4515">
        <f>IF(B4515,INT((A4515-1)/Days)+1,"")</f>
        <v/>
      </c>
      <c r="D4515">
        <f>IF(B4515,MOD(A4515-1,Days),"")</f>
        <v/>
      </c>
      <c r="E4515" s="16">
        <f>IF(B4515,StartDate+D4515,"")</f>
        <v/>
      </c>
      <c r="F4515">
        <f>IF(B4515,MAX(MOD(SIN(Seed*0.1373+C4515*12.9898+D4515*78.233)*43758.5453,1),1E-9),"")</f>
        <v/>
      </c>
      <c r="G4515">
        <f>IF(B4515,MOD(SIN(Seed*0.5917+C4515*39.3468+D4515*11.135)*24634.6345,1),"")</f>
        <v/>
      </c>
      <c r="H4515">
        <f>IF(B4515,SQRT(-2*LN(F4515))*COS(2*PI()*G4515),"")</f>
        <v/>
      </c>
      <c r="I4515">
        <f>IF(B4515,IF(D4515=0,H4515,Rho*I4514+SQRT(1-Rho^2)*H4515),"")</f>
        <v/>
      </c>
      <c r="J4515">
        <f>IF(B4515,IF(Dist="Normal",DistA+DistB*I4515,DistA+(DistB-DistA)*NORMSDIST(I4515)),"")</f>
        <v/>
      </c>
      <c r="K4515">
        <f>IF(B4515,INDEX(MineScale,C4515),"")</f>
        <v/>
      </c>
      <c r="L4515">
        <f>IF(B4515,INDEX(Dow,1,WEEKDAY(E4515,2)),"")</f>
        <v/>
      </c>
      <c r="M4515">
        <f>IF(B4515,(1+Trend)^D4515,"")</f>
        <v/>
      </c>
      <c r="N4515">
        <f>IF(B4515,EXP(SUMPRODUCT(LN(1+(EvEff-1)*INDEX(Affected,0,C4515)*EXP(-((E4515-EvCenter)^2)/(2*EvSigma^2))))),"")</f>
        <v/>
      </c>
      <c r="O4515">
        <f>IF(B4515,ROUND(MAX(0,J4515*K4515*L4515*M4515*N4515),2),"")</f>
        <v/>
      </c>
    </row>
    <row r="4516">
      <c r="A4516" t="n">
        <v>4515</v>
      </c>
      <c r="B4516">
        <f>A4516&lt;=MineCount*Days</f>
        <v/>
      </c>
      <c r="C4516">
        <f>IF(B4516,INT((A4516-1)/Days)+1,"")</f>
        <v/>
      </c>
      <c r="D4516">
        <f>IF(B4516,MOD(A4516-1,Days),"")</f>
        <v/>
      </c>
      <c r="E4516" s="16">
        <f>IF(B4516,StartDate+D4516,"")</f>
        <v/>
      </c>
      <c r="F4516">
        <f>IF(B4516,MAX(MOD(SIN(Seed*0.1373+C4516*12.9898+D4516*78.233)*43758.5453,1),1E-9),"")</f>
        <v/>
      </c>
      <c r="G4516">
        <f>IF(B4516,MOD(SIN(Seed*0.5917+C4516*39.3468+D4516*11.135)*24634.6345,1),"")</f>
        <v/>
      </c>
      <c r="H4516">
        <f>IF(B4516,SQRT(-2*LN(F4516))*COS(2*PI()*G4516),"")</f>
        <v/>
      </c>
      <c r="I4516">
        <f>IF(B4516,IF(D4516=0,H4516,Rho*I4515+SQRT(1-Rho^2)*H4516),"")</f>
        <v/>
      </c>
      <c r="J4516">
        <f>IF(B4516,IF(Dist="Normal",DistA+DistB*I4516,DistA+(DistB-DistA)*NORMSDIST(I4516)),"")</f>
        <v/>
      </c>
      <c r="K4516">
        <f>IF(B4516,INDEX(MineScale,C4516),"")</f>
        <v/>
      </c>
      <c r="L4516">
        <f>IF(B4516,INDEX(Dow,1,WEEKDAY(E4516,2)),"")</f>
        <v/>
      </c>
      <c r="M4516">
        <f>IF(B4516,(1+Trend)^D4516,"")</f>
        <v/>
      </c>
      <c r="N4516">
        <f>IF(B4516,EXP(SUMPRODUCT(LN(1+(EvEff-1)*INDEX(Affected,0,C4516)*EXP(-((E4516-EvCenter)^2)/(2*EvSigma^2))))),"")</f>
        <v/>
      </c>
      <c r="O4516">
        <f>IF(B4516,ROUND(MAX(0,J4516*K4516*L4516*M4516*N4516),2),"")</f>
        <v/>
      </c>
    </row>
    <row r="4517">
      <c r="A4517" t="n">
        <v>4516</v>
      </c>
      <c r="B4517">
        <f>A4517&lt;=MineCount*Days</f>
        <v/>
      </c>
      <c r="C4517">
        <f>IF(B4517,INT((A4517-1)/Days)+1,"")</f>
        <v/>
      </c>
      <c r="D4517">
        <f>IF(B4517,MOD(A4517-1,Days),"")</f>
        <v/>
      </c>
      <c r="E4517" s="16">
        <f>IF(B4517,StartDate+D4517,"")</f>
        <v/>
      </c>
      <c r="F4517">
        <f>IF(B4517,MAX(MOD(SIN(Seed*0.1373+C4517*12.9898+D4517*78.233)*43758.5453,1),1E-9),"")</f>
        <v/>
      </c>
      <c r="G4517">
        <f>IF(B4517,MOD(SIN(Seed*0.5917+C4517*39.3468+D4517*11.135)*24634.6345,1),"")</f>
        <v/>
      </c>
      <c r="H4517">
        <f>IF(B4517,SQRT(-2*LN(F4517))*COS(2*PI()*G4517),"")</f>
        <v/>
      </c>
      <c r="I4517">
        <f>IF(B4517,IF(D4517=0,H4517,Rho*I4516+SQRT(1-Rho^2)*H4517),"")</f>
        <v/>
      </c>
      <c r="J4517">
        <f>IF(B4517,IF(Dist="Normal",DistA+DistB*I4517,DistA+(DistB-DistA)*NORMSDIST(I4517)),"")</f>
        <v/>
      </c>
      <c r="K4517">
        <f>IF(B4517,INDEX(MineScale,C4517),"")</f>
        <v/>
      </c>
      <c r="L4517">
        <f>IF(B4517,INDEX(Dow,1,WEEKDAY(E4517,2)),"")</f>
        <v/>
      </c>
      <c r="M4517">
        <f>IF(B4517,(1+Trend)^D4517,"")</f>
        <v/>
      </c>
      <c r="N4517">
        <f>IF(B4517,EXP(SUMPRODUCT(LN(1+(EvEff-1)*INDEX(Affected,0,C4517)*EXP(-((E4517-EvCenter)^2)/(2*EvSigma^2))))),"")</f>
        <v/>
      </c>
      <c r="O4517">
        <f>IF(B4517,ROUND(MAX(0,J4517*K4517*L4517*M4517*N4517),2),"")</f>
        <v/>
      </c>
    </row>
    <row r="4518">
      <c r="A4518" t="n">
        <v>4517</v>
      </c>
      <c r="B4518">
        <f>A4518&lt;=MineCount*Days</f>
        <v/>
      </c>
      <c r="C4518">
        <f>IF(B4518,INT((A4518-1)/Days)+1,"")</f>
        <v/>
      </c>
      <c r="D4518">
        <f>IF(B4518,MOD(A4518-1,Days),"")</f>
        <v/>
      </c>
      <c r="E4518" s="16">
        <f>IF(B4518,StartDate+D4518,"")</f>
        <v/>
      </c>
      <c r="F4518">
        <f>IF(B4518,MAX(MOD(SIN(Seed*0.1373+C4518*12.9898+D4518*78.233)*43758.5453,1),1E-9),"")</f>
        <v/>
      </c>
      <c r="G4518">
        <f>IF(B4518,MOD(SIN(Seed*0.5917+C4518*39.3468+D4518*11.135)*24634.6345,1),"")</f>
        <v/>
      </c>
      <c r="H4518">
        <f>IF(B4518,SQRT(-2*LN(F4518))*COS(2*PI()*G4518),"")</f>
        <v/>
      </c>
      <c r="I4518">
        <f>IF(B4518,IF(D4518=0,H4518,Rho*I4517+SQRT(1-Rho^2)*H4518),"")</f>
        <v/>
      </c>
      <c r="J4518">
        <f>IF(B4518,IF(Dist="Normal",DistA+DistB*I4518,DistA+(DistB-DistA)*NORMSDIST(I4518)),"")</f>
        <v/>
      </c>
      <c r="K4518">
        <f>IF(B4518,INDEX(MineScale,C4518),"")</f>
        <v/>
      </c>
      <c r="L4518">
        <f>IF(B4518,INDEX(Dow,1,WEEKDAY(E4518,2)),"")</f>
        <v/>
      </c>
      <c r="M4518">
        <f>IF(B4518,(1+Trend)^D4518,"")</f>
        <v/>
      </c>
      <c r="N4518">
        <f>IF(B4518,EXP(SUMPRODUCT(LN(1+(EvEff-1)*INDEX(Affected,0,C4518)*EXP(-((E4518-EvCenter)^2)/(2*EvSigma^2))))),"")</f>
        <v/>
      </c>
      <c r="O4518">
        <f>IF(B4518,ROUND(MAX(0,J4518*K4518*L4518*M4518*N4518),2),"")</f>
        <v/>
      </c>
    </row>
    <row r="4519">
      <c r="A4519" t="n">
        <v>4518</v>
      </c>
      <c r="B4519">
        <f>A4519&lt;=MineCount*Days</f>
        <v/>
      </c>
      <c r="C4519">
        <f>IF(B4519,INT((A4519-1)/Days)+1,"")</f>
        <v/>
      </c>
      <c r="D4519">
        <f>IF(B4519,MOD(A4519-1,Days),"")</f>
        <v/>
      </c>
      <c r="E4519" s="16">
        <f>IF(B4519,StartDate+D4519,"")</f>
        <v/>
      </c>
      <c r="F4519">
        <f>IF(B4519,MAX(MOD(SIN(Seed*0.1373+C4519*12.9898+D4519*78.233)*43758.5453,1),1E-9),"")</f>
        <v/>
      </c>
      <c r="G4519">
        <f>IF(B4519,MOD(SIN(Seed*0.5917+C4519*39.3468+D4519*11.135)*24634.6345,1),"")</f>
        <v/>
      </c>
      <c r="H4519">
        <f>IF(B4519,SQRT(-2*LN(F4519))*COS(2*PI()*G4519),"")</f>
        <v/>
      </c>
      <c r="I4519">
        <f>IF(B4519,IF(D4519=0,H4519,Rho*I4518+SQRT(1-Rho^2)*H4519),"")</f>
        <v/>
      </c>
      <c r="J4519">
        <f>IF(B4519,IF(Dist="Normal",DistA+DistB*I4519,DistA+(DistB-DistA)*NORMSDIST(I4519)),"")</f>
        <v/>
      </c>
      <c r="K4519">
        <f>IF(B4519,INDEX(MineScale,C4519),"")</f>
        <v/>
      </c>
      <c r="L4519">
        <f>IF(B4519,INDEX(Dow,1,WEEKDAY(E4519,2)),"")</f>
        <v/>
      </c>
      <c r="M4519">
        <f>IF(B4519,(1+Trend)^D4519,"")</f>
        <v/>
      </c>
      <c r="N4519">
        <f>IF(B4519,EXP(SUMPRODUCT(LN(1+(EvEff-1)*INDEX(Affected,0,C4519)*EXP(-((E4519-EvCenter)^2)/(2*EvSigma^2))))),"")</f>
        <v/>
      </c>
      <c r="O4519">
        <f>IF(B4519,ROUND(MAX(0,J4519*K4519*L4519*M4519*N4519),2),"")</f>
        <v/>
      </c>
    </row>
    <row r="4520">
      <c r="A4520" t="n">
        <v>4519</v>
      </c>
      <c r="B4520">
        <f>A4520&lt;=MineCount*Days</f>
        <v/>
      </c>
      <c r="C4520">
        <f>IF(B4520,INT((A4520-1)/Days)+1,"")</f>
        <v/>
      </c>
      <c r="D4520">
        <f>IF(B4520,MOD(A4520-1,Days),"")</f>
        <v/>
      </c>
      <c r="E4520" s="16">
        <f>IF(B4520,StartDate+D4520,"")</f>
        <v/>
      </c>
      <c r="F4520">
        <f>IF(B4520,MAX(MOD(SIN(Seed*0.1373+C4520*12.9898+D4520*78.233)*43758.5453,1),1E-9),"")</f>
        <v/>
      </c>
      <c r="G4520">
        <f>IF(B4520,MOD(SIN(Seed*0.5917+C4520*39.3468+D4520*11.135)*24634.6345,1),"")</f>
        <v/>
      </c>
      <c r="H4520">
        <f>IF(B4520,SQRT(-2*LN(F4520))*COS(2*PI()*G4520),"")</f>
        <v/>
      </c>
      <c r="I4520">
        <f>IF(B4520,IF(D4520=0,H4520,Rho*I4519+SQRT(1-Rho^2)*H4520),"")</f>
        <v/>
      </c>
      <c r="J4520">
        <f>IF(B4520,IF(Dist="Normal",DistA+DistB*I4520,DistA+(DistB-DistA)*NORMSDIST(I4520)),"")</f>
        <v/>
      </c>
      <c r="K4520">
        <f>IF(B4520,INDEX(MineScale,C4520),"")</f>
        <v/>
      </c>
      <c r="L4520">
        <f>IF(B4520,INDEX(Dow,1,WEEKDAY(E4520,2)),"")</f>
        <v/>
      </c>
      <c r="M4520">
        <f>IF(B4520,(1+Trend)^D4520,"")</f>
        <v/>
      </c>
      <c r="N4520">
        <f>IF(B4520,EXP(SUMPRODUCT(LN(1+(EvEff-1)*INDEX(Affected,0,C4520)*EXP(-((E4520-EvCenter)^2)/(2*EvSigma^2))))),"")</f>
        <v/>
      </c>
      <c r="O4520">
        <f>IF(B4520,ROUND(MAX(0,J4520*K4520*L4520*M4520*N4520),2),"")</f>
        <v/>
      </c>
    </row>
    <row r="4521">
      <c r="A4521" t="n">
        <v>4520</v>
      </c>
      <c r="B4521">
        <f>A4521&lt;=MineCount*Days</f>
        <v/>
      </c>
      <c r="C4521">
        <f>IF(B4521,INT((A4521-1)/Days)+1,"")</f>
        <v/>
      </c>
      <c r="D4521">
        <f>IF(B4521,MOD(A4521-1,Days),"")</f>
        <v/>
      </c>
      <c r="E4521" s="16">
        <f>IF(B4521,StartDate+D4521,"")</f>
        <v/>
      </c>
      <c r="F4521">
        <f>IF(B4521,MAX(MOD(SIN(Seed*0.1373+C4521*12.9898+D4521*78.233)*43758.5453,1),1E-9),"")</f>
        <v/>
      </c>
      <c r="G4521">
        <f>IF(B4521,MOD(SIN(Seed*0.5917+C4521*39.3468+D4521*11.135)*24634.6345,1),"")</f>
        <v/>
      </c>
      <c r="H4521">
        <f>IF(B4521,SQRT(-2*LN(F4521))*COS(2*PI()*G4521),"")</f>
        <v/>
      </c>
      <c r="I4521">
        <f>IF(B4521,IF(D4521=0,H4521,Rho*I4520+SQRT(1-Rho^2)*H4521),"")</f>
        <v/>
      </c>
      <c r="J4521">
        <f>IF(B4521,IF(Dist="Normal",DistA+DistB*I4521,DistA+(DistB-DistA)*NORMSDIST(I4521)),"")</f>
        <v/>
      </c>
      <c r="K4521">
        <f>IF(B4521,INDEX(MineScale,C4521),"")</f>
        <v/>
      </c>
      <c r="L4521">
        <f>IF(B4521,INDEX(Dow,1,WEEKDAY(E4521,2)),"")</f>
        <v/>
      </c>
      <c r="M4521">
        <f>IF(B4521,(1+Trend)^D4521,"")</f>
        <v/>
      </c>
      <c r="N4521">
        <f>IF(B4521,EXP(SUMPRODUCT(LN(1+(EvEff-1)*INDEX(Affected,0,C4521)*EXP(-((E4521-EvCenter)^2)/(2*EvSigma^2))))),"")</f>
        <v/>
      </c>
      <c r="O4521">
        <f>IF(B4521,ROUND(MAX(0,J4521*K4521*L4521*M4521*N4521),2),"")</f>
        <v/>
      </c>
    </row>
    <row r="4522">
      <c r="A4522" t="n">
        <v>4521</v>
      </c>
      <c r="B4522">
        <f>A4522&lt;=MineCount*Days</f>
        <v/>
      </c>
      <c r="C4522">
        <f>IF(B4522,INT((A4522-1)/Days)+1,"")</f>
        <v/>
      </c>
      <c r="D4522">
        <f>IF(B4522,MOD(A4522-1,Days),"")</f>
        <v/>
      </c>
      <c r="E4522" s="16">
        <f>IF(B4522,StartDate+D4522,"")</f>
        <v/>
      </c>
      <c r="F4522">
        <f>IF(B4522,MAX(MOD(SIN(Seed*0.1373+C4522*12.9898+D4522*78.233)*43758.5453,1),1E-9),"")</f>
        <v/>
      </c>
      <c r="G4522">
        <f>IF(B4522,MOD(SIN(Seed*0.5917+C4522*39.3468+D4522*11.135)*24634.6345,1),"")</f>
        <v/>
      </c>
      <c r="H4522">
        <f>IF(B4522,SQRT(-2*LN(F4522))*COS(2*PI()*G4522),"")</f>
        <v/>
      </c>
      <c r="I4522">
        <f>IF(B4522,IF(D4522=0,H4522,Rho*I4521+SQRT(1-Rho^2)*H4522),"")</f>
        <v/>
      </c>
      <c r="J4522">
        <f>IF(B4522,IF(Dist="Normal",DistA+DistB*I4522,DistA+(DistB-DistA)*NORMSDIST(I4522)),"")</f>
        <v/>
      </c>
      <c r="K4522">
        <f>IF(B4522,INDEX(MineScale,C4522),"")</f>
        <v/>
      </c>
      <c r="L4522">
        <f>IF(B4522,INDEX(Dow,1,WEEKDAY(E4522,2)),"")</f>
        <v/>
      </c>
      <c r="M4522">
        <f>IF(B4522,(1+Trend)^D4522,"")</f>
        <v/>
      </c>
      <c r="N4522">
        <f>IF(B4522,EXP(SUMPRODUCT(LN(1+(EvEff-1)*INDEX(Affected,0,C4522)*EXP(-((E4522-EvCenter)^2)/(2*EvSigma^2))))),"")</f>
        <v/>
      </c>
      <c r="O4522">
        <f>IF(B4522,ROUND(MAX(0,J4522*K4522*L4522*M4522*N4522),2),"")</f>
        <v/>
      </c>
    </row>
    <row r="4523">
      <c r="A4523" t="n">
        <v>4522</v>
      </c>
      <c r="B4523">
        <f>A4523&lt;=MineCount*Days</f>
        <v/>
      </c>
      <c r="C4523">
        <f>IF(B4523,INT((A4523-1)/Days)+1,"")</f>
        <v/>
      </c>
      <c r="D4523">
        <f>IF(B4523,MOD(A4523-1,Days),"")</f>
        <v/>
      </c>
      <c r="E4523" s="16">
        <f>IF(B4523,StartDate+D4523,"")</f>
        <v/>
      </c>
      <c r="F4523">
        <f>IF(B4523,MAX(MOD(SIN(Seed*0.1373+C4523*12.9898+D4523*78.233)*43758.5453,1),1E-9),"")</f>
        <v/>
      </c>
      <c r="G4523">
        <f>IF(B4523,MOD(SIN(Seed*0.5917+C4523*39.3468+D4523*11.135)*24634.6345,1),"")</f>
        <v/>
      </c>
      <c r="H4523">
        <f>IF(B4523,SQRT(-2*LN(F4523))*COS(2*PI()*G4523),"")</f>
        <v/>
      </c>
      <c r="I4523">
        <f>IF(B4523,IF(D4523=0,H4523,Rho*I4522+SQRT(1-Rho^2)*H4523),"")</f>
        <v/>
      </c>
      <c r="J4523">
        <f>IF(B4523,IF(Dist="Normal",DistA+DistB*I4523,DistA+(DistB-DistA)*NORMSDIST(I4523)),"")</f>
        <v/>
      </c>
      <c r="K4523">
        <f>IF(B4523,INDEX(MineScale,C4523),"")</f>
        <v/>
      </c>
      <c r="L4523">
        <f>IF(B4523,INDEX(Dow,1,WEEKDAY(E4523,2)),"")</f>
        <v/>
      </c>
      <c r="M4523">
        <f>IF(B4523,(1+Trend)^D4523,"")</f>
        <v/>
      </c>
      <c r="N4523">
        <f>IF(B4523,EXP(SUMPRODUCT(LN(1+(EvEff-1)*INDEX(Affected,0,C4523)*EXP(-((E4523-EvCenter)^2)/(2*EvSigma^2))))),"")</f>
        <v/>
      </c>
      <c r="O4523">
        <f>IF(B4523,ROUND(MAX(0,J4523*K4523*L4523*M4523*N4523),2),"")</f>
        <v/>
      </c>
    </row>
    <row r="4524">
      <c r="A4524" t="n">
        <v>4523</v>
      </c>
      <c r="B4524">
        <f>A4524&lt;=MineCount*Days</f>
        <v/>
      </c>
      <c r="C4524">
        <f>IF(B4524,INT((A4524-1)/Days)+1,"")</f>
        <v/>
      </c>
      <c r="D4524">
        <f>IF(B4524,MOD(A4524-1,Days),"")</f>
        <v/>
      </c>
      <c r="E4524" s="16">
        <f>IF(B4524,StartDate+D4524,"")</f>
        <v/>
      </c>
      <c r="F4524">
        <f>IF(B4524,MAX(MOD(SIN(Seed*0.1373+C4524*12.9898+D4524*78.233)*43758.5453,1),1E-9),"")</f>
        <v/>
      </c>
      <c r="G4524">
        <f>IF(B4524,MOD(SIN(Seed*0.5917+C4524*39.3468+D4524*11.135)*24634.6345,1),"")</f>
        <v/>
      </c>
      <c r="H4524">
        <f>IF(B4524,SQRT(-2*LN(F4524))*COS(2*PI()*G4524),"")</f>
        <v/>
      </c>
      <c r="I4524">
        <f>IF(B4524,IF(D4524=0,H4524,Rho*I4523+SQRT(1-Rho^2)*H4524),"")</f>
        <v/>
      </c>
      <c r="J4524">
        <f>IF(B4524,IF(Dist="Normal",DistA+DistB*I4524,DistA+(DistB-DistA)*NORMSDIST(I4524)),"")</f>
        <v/>
      </c>
      <c r="K4524">
        <f>IF(B4524,INDEX(MineScale,C4524),"")</f>
        <v/>
      </c>
      <c r="L4524">
        <f>IF(B4524,INDEX(Dow,1,WEEKDAY(E4524,2)),"")</f>
        <v/>
      </c>
      <c r="M4524">
        <f>IF(B4524,(1+Trend)^D4524,"")</f>
        <v/>
      </c>
      <c r="N4524">
        <f>IF(B4524,EXP(SUMPRODUCT(LN(1+(EvEff-1)*INDEX(Affected,0,C4524)*EXP(-((E4524-EvCenter)^2)/(2*EvSigma^2))))),"")</f>
        <v/>
      </c>
      <c r="O4524">
        <f>IF(B4524,ROUND(MAX(0,J4524*K4524*L4524*M4524*N4524),2),"")</f>
        <v/>
      </c>
    </row>
    <row r="4525">
      <c r="A4525" t="n">
        <v>4524</v>
      </c>
      <c r="B4525">
        <f>A4525&lt;=MineCount*Days</f>
        <v/>
      </c>
      <c r="C4525">
        <f>IF(B4525,INT((A4525-1)/Days)+1,"")</f>
        <v/>
      </c>
      <c r="D4525">
        <f>IF(B4525,MOD(A4525-1,Days),"")</f>
        <v/>
      </c>
      <c r="E4525" s="16">
        <f>IF(B4525,StartDate+D4525,"")</f>
        <v/>
      </c>
      <c r="F4525">
        <f>IF(B4525,MAX(MOD(SIN(Seed*0.1373+C4525*12.9898+D4525*78.233)*43758.5453,1),1E-9),"")</f>
        <v/>
      </c>
      <c r="G4525">
        <f>IF(B4525,MOD(SIN(Seed*0.5917+C4525*39.3468+D4525*11.135)*24634.6345,1),"")</f>
        <v/>
      </c>
      <c r="H4525">
        <f>IF(B4525,SQRT(-2*LN(F4525))*COS(2*PI()*G4525),"")</f>
        <v/>
      </c>
      <c r="I4525">
        <f>IF(B4525,IF(D4525=0,H4525,Rho*I4524+SQRT(1-Rho^2)*H4525),"")</f>
        <v/>
      </c>
      <c r="J4525">
        <f>IF(B4525,IF(Dist="Normal",DistA+DistB*I4525,DistA+(DistB-DistA)*NORMSDIST(I4525)),"")</f>
        <v/>
      </c>
      <c r="K4525">
        <f>IF(B4525,INDEX(MineScale,C4525),"")</f>
        <v/>
      </c>
      <c r="L4525">
        <f>IF(B4525,INDEX(Dow,1,WEEKDAY(E4525,2)),"")</f>
        <v/>
      </c>
      <c r="M4525">
        <f>IF(B4525,(1+Trend)^D4525,"")</f>
        <v/>
      </c>
      <c r="N4525">
        <f>IF(B4525,EXP(SUMPRODUCT(LN(1+(EvEff-1)*INDEX(Affected,0,C4525)*EXP(-((E4525-EvCenter)^2)/(2*EvSigma^2))))),"")</f>
        <v/>
      </c>
      <c r="O4525">
        <f>IF(B4525,ROUND(MAX(0,J4525*K4525*L4525*M4525*N4525),2),"")</f>
        <v/>
      </c>
    </row>
    <row r="4526">
      <c r="A4526" t="n">
        <v>4525</v>
      </c>
      <c r="B4526">
        <f>A4526&lt;=MineCount*Days</f>
        <v/>
      </c>
      <c r="C4526">
        <f>IF(B4526,INT((A4526-1)/Days)+1,"")</f>
        <v/>
      </c>
      <c r="D4526">
        <f>IF(B4526,MOD(A4526-1,Days),"")</f>
        <v/>
      </c>
      <c r="E4526" s="16">
        <f>IF(B4526,StartDate+D4526,"")</f>
        <v/>
      </c>
      <c r="F4526">
        <f>IF(B4526,MAX(MOD(SIN(Seed*0.1373+C4526*12.9898+D4526*78.233)*43758.5453,1),1E-9),"")</f>
        <v/>
      </c>
      <c r="G4526">
        <f>IF(B4526,MOD(SIN(Seed*0.5917+C4526*39.3468+D4526*11.135)*24634.6345,1),"")</f>
        <v/>
      </c>
      <c r="H4526">
        <f>IF(B4526,SQRT(-2*LN(F4526))*COS(2*PI()*G4526),"")</f>
        <v/>
      </c>
      <c r="I4526">
        <f>IF(B4526,IF(D4526=0,H4526,Rho*I4525+SQRT(1-Rho^2)*H4526),"")</f>
        <v/>
      </c>
      <c r="J4526">
        <f>IF(B4526,IF(Dist="Normal",DistA+DistB*I4526,DistA+(DistB-DistA)*NORMSDIST(I4526)),"")</f>
        <v/>
      </c>
      <c r="K4526">
        <f>IF(B4526,INDEX(MineScale,C4526),"")</f>
        <v/>
      </c>
      <c r="L4526">
        <f>IF(B4526,INDEX(Dow,1,WEEKDAY(E4526,2)),"")</f>
        <v/>
      </c>
      <c r="M4526">
        <f>IF(B4526,(1+Trend)^D4526,"")</f>
        <v/>
      </c>
      <c r="N4526">
        <f>IF(B4526,EXP(SUMPRODUCT(LN(1+(EvEff-1)*INDEX(Affected,0,C4526)*EXP(-((E4526-EvCenter)^2)/(2*EvSigma^2))))),"")</f>
        <v/>
      </c>
      <c r="O4526">
        <f>IF(B4526,ROUND(MAX(0,J4526*K4526*L4526*M4526*N4526),2),"")</f>
        <v/>
      </c>
    </row>
    <row r="4527">
      <c r="A4527" t="n">
        <v>4526</v>
      </c>
      <c r="B4527">
        <f>A4527&lt;=MineCount*Days</f>
        <v/>
      </c>
      <c r="C4527">
        <f>IF(B4527,INT((A4527-1)/Days)+1,"")</f>
        <v/>
      </c>
      <c r="D4527">
        <f>IF(B4527,MOD(A4527-1,Days),"")</f>
        <v/>
      </c>
      <c r="E4527" s="16">
        <f>IF(B4527,StartDate+D4527,"")</f>
        <v/>
      </c>
      <c r="F4527">
        <f>IF(B4527,MAX(MOD(SIN(Seed*0.1373+C4527*12.9898+D4527*78.233)*43758.5453,1),1E-9),"")</f>
        <v/>
      </c>
      <c r="G4527">
        <f>IF(B4527,MOD(SIN(Seed*0.5917+C4527*39.3468+D4527*11.135)*24634.6345,1),"")</f>
        <v/>
      </c>
      <c r="H4527">
        <f>IF(B4527,SQRT(-2*LN(F4527))*COS(2*PI()*G4527),"")</f>
        <v/>
      </c>
      <c r="I4527">
        <f>IF(B4527,IF(D4527=0,H4527,Rho*I4526+SQRT(1-Rho^2)*H4527),"")</f>
        <v/>
      </c>
      <c r="J4527">
        <f>IF(B4527,IF(Dist="Normal",DistA+DistB*I4527,DistA+(DistB-DistA)*NORMSDIST(I4527)),"")</f>
        <v/>
      </c>
      <c r="K4527">
        <f>IF(B4527,INDEX(MineScale,C4527),"")</f>
        <v/>
      </c>
      <c r="L4527">
        <f>IF(B4527,INDEX(Dow,1,WEEKDAY(E4527,2)),"")</f>
        <v/>
      </c>
      <c r="M4527">
        <f>IF(B4527,(1+Trend)^D4527,"")</f>
        <v/>
      </c>
      <c r="N4527">
        <f>IF(B4527,EXP(SUMPRODUCT(LN(1+(EvEff-1)*INDEX(Affected,0,C4527)*EXP(-((E4527-EvCenter)^2)/(2*EvSigma^2))))),"")</f>
        <v/>
      </c>
      <c r="O4527">
        <f>IF(B4527,ROUND(MAX(0,J4527*K4527*L4527*M4527*N4527),2),"")</f>
        <v/>
      </c>
    </row>
    <row r="4528">
      <c r="A4528" t="n">
        <v>4527</v>
      </c>
      <c r="B4528">
        <f>A4528&lt;=MineCount*Days</f>
        <v/>
      </c>
      <c r="C4528">
        <f>IF(B4528,INT((A4528-1)/Days)+1,"")</f>
        <v/>
      </c>
      <c r="D4528">
        <f>IF(B4528,MOD(A4528-1,Days),"")</f>
        <v/>
      </c>
      <c r="E4528" s="16">
        <f>IF(B4528,StartDate+D4528,"")</f>
        <v/>
      </c>
      <c r="F4528">
        <f>IF(B4528,MAX(MOD(SIN(Seed*0.1373+C4528*12.9898+D4528*78.233)*43758.5453,1),1E-9),"")</f>
        <v/>
      </c>
      <c r="G4528">
        <f>IF(B4528,MOD(SIN(Seed*0.5917+C4528*39.3468+D4528*11.135)*24634.6345,1),"")</f>
        <v/>
      </c>
      <c r="H4528">
        <f>IF(B4528,SQRT(-2*LN(F4528))*COS(2*PI()*G4528),"")</f>
        <v/>
      </c>
      <c r="I4528">
        <f>IF(B4528,IF(D4528=0,H4528,Rho*I4527+SQRT(1-Rho^2)*H4528),"")</f>
        <v/>
      </c>
      <c r="J4528">
        <f>IF(B4528,IF(Dist="Normal",DistA+DistB*I4528,DistA+(DistB-DistA)*NORMSDIST(I4528)),"")</f>
        <v/>
      </c>
      <c r="K4528">
        <f>IF(B4528,INDEX(MineScale,C4528),"")</f>
        <v/>
      </c>
      <c r="L4528">
        <f>IF(B4528,INDEX(Dow,1,WEEKDAY(E4528,2)),"")</f>
        <v/>
      </c>
      <c r="M4528">
        <f>IF(B4528,(1+Trend)^D4528,"")</f>
        <v/>
      </c>
      <c r="N4528">
        <f>IF(B4528,EXP(SUMPRODUCT(LN(1+(EvEff-1)*INDEX(Affected,0,C4528)*EXP(-((E4528-EvCenter)^2)/(2*EvSigma^2))))),"")</f>
        <v/>
      </c>
      <c r="O4528">
        <f>IF(B4528,ROUND(MAX(0,J4528*K4528*L4528*M4528*N4528),2),"")</f>
        <v/>
      </c>
    </row>
    <row r="4529">
      <c r="A4529" t="n">
        <v>4528</v>
      </c>
      <c r="B4529">
        <f>A4529&lt;=MineCount*Days</f>
        <v/>
      </c>
      <c r="C4529">
        <f>IF(B4529,INT((A4529-1)/Days)+1,"")</f>
        <v/>
      </c>
      <c r="D4529">
        <f>IF(B4529,MOD(A4529-1,Days),"")</f>
        <v/>
      </c>
      <c r="E4529" s="16">
        <f>IF(B4529,StartDate+D4529,"")</f>
        <v/>
      </c>
      <c r="F4529">
        <f>IF(B4529,MAX(MOD(SIN(Seed*0.1373+C4529*12.9898+D4529*78.233)*43758.5453,1),1E-9),"")</f>
        <v/>
      </c>
      <c r="G4529">
        <f>IF(B4529,MOD(SIN(Seed*0.5917+C4529*39.3468+D4529*11.135)*24634.6345,1),"")</f>
        <v/>
      </c>
      <c r="H4529">
        <f>IF(B4529,SQRT(-2*LN(F4529))*COS(2*PI()*G4529),"")</f>
        <v/>
      </c>
      <c r="I4529">
        <f>IF(B4529,IF(D4529=0,H4529,Rho*I4528+SQRT(1-Rho^2)*H4529),"")</f>
        <v/>
      </c>
      <c r="J4529">
        <f>IF(B4529,IF(Dist="Normal",DistA+DistB*I4529,DistA+(DistB-DistA)*NORMSDIST(I4529)),"")</f>
        <v/>
      </c>
      <c r="K4529">
        <f>IF(B4529,INDEX(MineScale,C4529),"")</f>
        <v/>
      </c>
      <c r="L4529">
        <f>IF(B4529,INDEX(Dow,1,WEEKDAY(E4529,2)),"")</f>
        <v/>
      </c>
      <c r="M4529">
        <f>IF(B4529,(1+Trend)^D4529,"")</f>
        <v/>
      </c>
      <c r="N4529">
        <f>IF(B4529,EXP(SUMPRODUCT(LN(1+(EvEff-1)*INDEX(Affected,0,C4529)*EXP(-((E4529-EvCenter)^2)/(2*EvSigma^2))))),"")</f>
        <v/>
      </c>
      <c r="O4529">
        <f>IF(B4529,ROUND(MAX(0,J4529*K4529*L4529*M4529*N4529),2),"")</f>
        <v/>
      </c>
    </row>
    <row r="4530">
      <c r="A4530" t="n">
        <v>4529</v>
      </c>
      <c r="B4530">
        <f>A4530&lt;=MineCount*Days</f>
        <v/>
      </c>
      <c r="C4530">
        <f>IF(B4530,INT((A4530-1)/Days)+1,"")</f>
        <v/>
      </c>
      <c r="D4530">
        <f>IF(B4530,MOD(A4530-1,Days),"")</f>
        <v/>
      </c>
      <c r="E4530" s="16">
        <f>IF(B4530,StartDate+D4530,"")</f>
        <v/>
      </c>
      <c r="F4530">
        <f>IF(B4530,MAX(MOD(SIN(Seed*0.1373+C4530*12.9898+D4530*78.233)*43758.5453,1),1E-9),"")</f>
        <v/>
      </c>
      <c r="G4530">
        <f>IF(B4530,MOD(SIN(Seed*0.5917+C4530*39.3468+D4530*11.135)*24634.6345,1),"")</f>
        <v/>
      </c>
      <c r="H4530">
        <f>IF(B4530,SQRT(-2*LN(F4530))*COS(2*PI()*G4530),"")</f>
        <v/>
      </c>
      <c r="I4530">
        <f>IF(B4530,IF(D4530=0,H4530,Rho*I4529+SQRT(1-Rho^2)*H4530),"")</f>
        <v/>
      </c>
      <c r="J4530">
        <f>IF(B4530,IF(Dist="Normal",DistA+DistB*I4530,DistA+(DistB-DistA)*NORMSDIST(I4530)),"")</f>
        <v/>
      </c>
      <c r="K4530">
        <f>IF(B4530,INDEX(MineScale,C4530),"")</f>
        <v/>
      </c>
      <c r="L4530">
        <f>IF(B4530,INDEX(Dow,1,WEEKDAY(E4530,2)),"")</f>
        <v/>
      </c>
      <c r="M4530">
        <f>IF(B4530,(1+Trend)^D4530,"")</f>
        <v/>
      </c>
      <c r="N4530">
        <f>IF(B4530,EXP(SUMPRODUCT(LN(1+(EvEff-1)*INDEX(Affected,0,C4530)*EXP(-((E4530-EvCenter)^2)/(2*EvSigma^2))))),"")</f>
        <v/>
      </c>
      <c r="O4530">
        <f>IF(B4530,ROUND(MAX(0,J4530*K4530*L4530*M4530*N4530),2),"")</f>
        <v/>
      </c>
    </row>
    <row r="4531">
      <c r="A4531" t="n">
        <v>4530</v>
      </c>
      <c r="B4531">
        <f>A4531&lt;=MineCount*Days</f>
        <v/>
      </c>
      <c r="C4531">
        <f>IF(B4531,INT((A4531-1)/Days)+1,"")</f>
        <v/>
      </c>
      <c r="D4531">
        <f>IF(B4531,MOD(A4531-1,Days),"")</f>
        <v/>
      </c>
      <c r="E4531" s="16">
        <f>IF(B4531,StartDate+D4531,"")</f>
        <v/>
      </c>
      <c r="F4531">
        <f>IF(B4531,MAX(MOD(SIN(Seed*0.1373+C4531*12.9898+D4531*78.233)*43758.5453,1),1E-9),"")</f>
        <v/>
      </c>
      <c r="G4531">
        <f>IF(B4531,MOD(SIN(Seed*0.5917+C4531*39.3468+D4531*11.135)*24634.6345,1),"")</f>
        <v/>
      </c>
      <c r="H4531">
        <f>IF(B4531,SQRT(-2*LN(F4531))*COS(2*PI()*G4531),"")</f>
        <v/>
      </c>
      <c r="I4531">
        <f>IF(B4531,IF(D4531=0,H4531,Rho*I4530+SQRT(1-Rho^2)*H4531),"")</f>
        <v/>
      </c>
      <c r="J4531">
        <f>IF(B4531,IF(Dist="Normal",DistA+DistB*I4531,DistA+(DistB-DistA)*NORMSDIST(I4531)),"")</f>
        <v/>
      </c>
      <c r="K4531">
        <f>IF(B4531,INDEX(MineScale,C4531),"")</f>
        <v/>
      </c>
      <c r="L4531">
        <f>IF(B4531,INDEX(Dow,1,WEEKDAY(E4531,2)),"")</f>
        <v/>
      </c>
      <c r="M4531">
        <f>IF(B4531,(1+Trend)^D4531,"")</f>
        <v/>
      </c>
      <c r="N4531">
        <f>IF(B4531,EXP(SUMPRODUCT(LN(1+(EvEff-1)*INDEX(Affected,0,C4531)*EXP(-((E4531-EvCenter)^2)/(2*EvSigma^2))))),"")</f>
        <v/>
      </c>
      <c r="O4531">
        <f>IF(B4531,ROUND(MAX(0,J4531*K4531*L4531*M4531*N4531),2),"")</f>
        <v/>
      </c>
    </row>
    <row r="4532">
      <c r="A4532" t="n">
        <v>4531</v>
      </c>
      <c r="B4532">
        <f>A4532&lt;=MineCount*Days</f>
        <v/>
      </c>
      <c r="C4532">
        <f>IF(B4532,INT((A4532-1)/Days)+1,"")</f>
        <v/>
      </c>
      <c r="D4532">
        <f>IF(B4532,MOD(A4532-1,Days),"")</f>
        <v/>
      </c>
      <c r="E4532" s="16">
        <f>IF(B4532,StartDate+D4532,"")</f>
        <v/>
      </c>
      <c r="F4532">
        <f>IF(B4532,MAX(MOD(SIN(Seed*0.1373+C4532*12.9898+D4532*78.233)*43758.5453,1),1E-9),"")</f>
        <v/>
      </c>
      <c r="G4532">
        <f>IF(B4532,MOD(SIN(Seed*0.5917+C4532*39.3468+D4532*11.135)*24634.6345,1),"")</f>
        <v/>
      </c>
      <c r="H4532">
        <f>IF(B4532,SQRT(-2*LN(F4532))*COS(2*PI()*G4532),"")</f>
        <v/>
      </c>
      <c r="I4532">
        <f>IF(B4532,IF(D4532=0,H4532,Rho*I4531+SQRT(1-Rho^2)*H4532),"")</f>
        <v/>
      </c>
      <c r="J4532">
        <f>IF(B4532,IF(Dist="Normal",DistA+DistB*I4532,DistA+(DistB-DistA)*NORMSDIST(I4532)),"")</f>
        <v/>
      </c>
      <c r="K4532">
        <f>IF(B4532,INDEX(MineScale,C4532),"")</f>
        <v/>
      </c>
      <c r="L4532">
        <f>IF(B4532,INDEX(Dow,1,WEEKDAY(E4532,2)),"")</f>
        <v/>
      </c>
      <c r="M4532">
        <f>IF(B4532,(1+Trend)^D4532,"")</f>
        <v/>
      </c>
      <c r="N4532">
        <f>IF(B4532,EXP(SUMPRODUCT(LN(1+(EvEff-1)*INDEX(Affected,0,C4532)*EXP(-((E4532-EvCenter)^2)/(2*EvSigma^2))))),"")</f>
        <v/>
      </c>
      <c r="O4532">
        <f>IF(B4532,ROUND(MAX(0,J4532*K4532*L4532*M4532*N4532),2),"")</f>
        <v/>
      </c>
    </row>
    <row r="4533">
      <c r="A4533" t="n">
        <v>4532</v>
      </c>
      <c r="B4533">
        <f>A4533&lt;=MineCount*Days</f>
        <v/>
      </c>
      <c r="C4533">
        <f>IF(B4533,INT((A4533-1)/Days)+1,"")</f>
        <v/>
      </c>
      <c r="D4533">
        <f>IF(B4533,MOD(A4533-1,Days),"")</f>
        <v/>
      </c>
      <c r="E4533" s="16">
        <f>IF(B4533,StartDate+D4533,"")</f>
        <v/>
      </c>
      <c r="F4533">
        <f>IF(B4533,MAX(MOD(SIN(Seed*0.1373+C4533*12.9898+D4533*78.233)*43758.5453,1),1E-9),"")</f>
        <v/>
      </c>
      <c r="G4533">
        <f>IF(B4533,MOD(SIN(Seed*0.5917+C4533*39.3468+D4533*11.135)*24634.6345,1),"")</f>
        <v/>
      </c>
      <c r="H4533">
        <f>IF(B4533,SQRT(-2*LN(F4533))*COS(2*PI()*G4533),"")</f>
        <v/>
      </c>
      <c r="I4533">
        <f>IF(B4533,IF(D4533=0,H4533,Rho*I4532+SQRT(1-Rho^2)*H4533),"")</f>
        <v/>
      </c>
      <c r="J4533">
        <f>IF(B4533,IF(Dist="Normal",DistA+DistB*I4533,DistA+(DistB-DistA)*NORMSDIST(I4533)),"")</f>
        <v/>
      </c>
      <c r="K4533">
        <f>IF(B4533,INDEX(MineScale,C4533),"")</f>
        <v/>
      </c>
      <c r="L4533">
        <f>IF(B4533,INDEX(Dow,1,WEEKDAY(E4533,2)),"")</f>
        <v/>
      </c>
      <c r="M4533">
        <f>IF(B4533,(1+Trend)^D4533,"")</f>
        <v/>
      </c>
      <c r="N4533">
        <f>IF(B4533,EXP(SUMPRODUCT(LN(1+(EvEff-1)*INDEX(Affected,0,C4533)*EXP(-((E4533-EvCenter)^2)/(2*EvSigma^2))))),"")</f>
        <v/>
      </c>
      <c r="O4533">
        <f>IF(B4533,ROUND(MAX(0,J4533*K4533*L4533*M4533*N4533),2),"")</f>
        <v/>
      </c>
    </row>
    <row r="4534">
      <c r="A4534" t="n">
        <v>4533</v>
      </c>
      <c r="B4534">
        <f>A4534&lt;=MineCount*Days</f>
        <v/>
      </c>
      <c r="C4534">
        <f>IF(B4534,INT((A4534-1)/Days)+1,"")</f>
        <v/>
      </c>
      <c r="D4534">
        <f>IF(B4534,MOD(A4534-1,Days),"")</f>
        <v/>
      </c>
      <c r="E4534" s="16">
        <f>IF(B4534,StartDate+D4534,"")</f>
        <v/>
      </c>
      <c r="F4534">
        <f>IF(B4534,MAX(MOD(SIN(Seed*0.1373+C4534*12.9898+D4534*78.233)*43758.5453,1),1E-9),"")</f>
        <v/>
      </c>
      <c r="G4534">
        <f>IF(B4534,MOD(SIN(Seed*0.5917+C4534*39.3468+D4534*11.135)*24634.6345,1),"")</f>
        <v/>
      </c>
      <c r="H4534">
        <f>IF(B4534,SQRT(-2*LN(F4534))*COS(2*PI()*G4534),"")</f>
        <v/>
      </c>
      <c r="I4534">
        <f>IF(B4534,IF(D4534=0,H4534,Rho*I4533+SQRT(1-Rho^2)*H4534),"")</f>
        <v/>
      </c>
      <c r="J4534">
        <f>IF(B4534,IF(Dist="Normal",DistA+DistB*I4534,DistA+(DistB-DistA)*NORMSDIST(I4534)),"")</f>
        <v/>
      </c>
      <c r="K4534">
        <f>IF(B4534,INDEX(MineScale,C4534),"")</f>
        <v/>
      </c>
      <c r="L4534">
        <f>IF(B4534,INDEX(Dow,1,WEEKDAY(E4534,2)),"")</f>
        <v/>
      </c>
      <c r="M4534">
        <f>IF(B4534,(1+Trend)^D4534,"")</f>
        <v/>
      </c>
      <c r="N4534">
        <f>IF(B4534,EXP(SUMPRODUCT(LN(1+(EvEff-1)*INDEX(Affected,0,C4534)*EXP(-((E4534-EvCenter)^2)/(2*EvSigma^2))))),"")</f>
        <v/>
      </c>
      <c r="O4534">
        <f>IF(B4534,ROUND(MAX(0,J4534*K4534*L4534*M4534*N4534),2),"")</f>
        <v/>
      </c>
    </row>
    <row r="4535">
      <c r="A4535" t="n">
        <v>4534</v>
      </c>
      <c r="B4535">
        <f>A4535&lt;=MineCount*Days</f>
        <v/>
      </c>
      <c r="C4535">
        <f>IF(B4535,INT((A4535-1)/Days)+1,"")</f>
        <v/>
      </c>
      <c r="D4535">
        <f>IF(B4535,MOD(A4535-1,Days),"")</f>
        <v/>
      </c>
      <c r="E4535" s="16">
        <f>IF(B4535,StartDate+D4535,"")</f>
        <v/>
      </c>
      <c r="F4535">
        <f>IF(B4535,MAX(MOD(SIN(Seed*0.1373+C4535*12.9898+D4535*78.233)*43758.5453,1),1E-9),"")</f>
        <v/>
      </c>
      <c r="G4535">
        <f>IF(B4535,MOD(SIN(Seed*0.5917+C4535*39.3468+D4535*11.135)*24634.6345,1),"")</f>
        <v/>
      </c>
      <c r="H4535">
        <f>IF(B4535,SQRT(-2*LN(F4535))*COS(2*PI()*G4535),"")</f>
        <v/>
      </c>
      <c r="I4535">
        <f>IF(B4535,IF(D4535=0,H4535,Rho*I4534+SQRT(1-Rho^2)*H4535),"")</f>
        <v/>
      </c>
      <c r="J4535">
        <f>IF(B4535,IF(Dist="Normal",DistA+DistB*I4535,DistA+(DistB-DistA)*NORMSDIST(I4535)),"")</f>
        <v/>
      </c>
      <c r="K4535">
        <f>IF(B4535,INDEX(MineScale,C4535),"")</f>
        <v/>
      </c>
      <c r="L4535">
        <f>IF(B4535,INDEX(Dow,1,WEEKDAY(E4535,2)),"")</f>
        <v/>
      </c>
      <c r="M4535">
        <f>IF(B4535,(1+Trend)^D4535,"")</f>
        <v/>
      </c>
      <c r="N4535">
        <f>IF(B4535,EXP(SUMPRODUCT(LN(1+(EvEff-1)*INDEX(Affected,0,C4535)*EXP(-((E4535-EvCenter)^2)/(2*EvSigma^2))))),"")</f>
        <v/>
      </c>
      <c r="O4535">
        <f>IF(B4535,ROUND(MAX(0,J4535*K4535*L4535*M4535*N4535),2),"")</f>
        <v/>
      </c>
    </row>
    <row r="4536">
      <c r="A4536" t="n">
        <v>4535</v>
      </c>
      <c r="B4536">
        <f>A4536&lt;=MineCount*Days</f>
        <v/>
      </c>
      <c r="C4536">
        <f>IF(B4536,INT((A4536-1)/Days)+1,"")</f>
        <v/>
      </c>
      <c r="D4536">
        <f>IF(B4536,MOD(A4536-1,Days),"")</f>
        <v/>
      </c>
      <c r="E4536" s="16">
        <f>IF(B4536,StartDate+D4536,"")</f>
        <v/>
      </c>
      <c r="F4536">
        <f>IF(B4536,MAX(MOD(SIN(Seed*0.1373+C4536*12.9898+D4536*78.233)*43758.5453,1),1E-9),"")</f>
        <v/>
      </c>
      <c r="G4536">
        <f>IF(B4536,MOD(SIN(Seed*0.5917+C4536*39.3468+D4536*11.135)*24634.6345,1),"")</f>
        <v/>
      </c>
      <c r="H4536">
        <f>IF(B4536,SQRT(-2*LN(F4536))*COS(2*PI()*G4536),"")</f>
        <v/>
      </c>
      <c r="I4536">
        <f>IF(B4536,IF(D4536=0,H4536,Rho*I4535+SQRT(1-Rho^2)*H4536),"")</f>
        <v/>
      </c>
      <c r="J4536">
        <f>IF(B4536,IF(Dist="Normal",DistA+DistB*I4536,DistA+(DistB-DistA)*NORMSDIST(I4536)),"")</f>
        <v/>
      </c>
      <c r="K4536">
        <f>IF(B4536,INDEX(MineScale,C4536),"")</f>
        <v/>
      </c>
      <c r="L4536">
        <f>IF(B4536,INDEX(Dow,1,WEEKDAY(E4536,2)),"")</f>
        <v/>
      </c>
      <c r="M4536">
        <f>IF(B4536,(1+Trend)^D4536,"")</f>
        <v/>
      </c>
      <c r="N4536">
        <f>IF(B4536,EXP(SUMPRODUCT(LN(1+(EvEff-1)*INDEX(Affected,0,C4536)*EXP(-((E4536-EvCenter)^2)/(2*EvSigma^2))))),"")</f>
        <v/>
      </c>
      <c r="O4536">
        <f>IF(B4536,ROUND(MAX(0,J4536*K4536*L4536*M4536*N4536),2),"")</f>
        <v/>
      </c>
    </row>
    <row r="4537">
      <c r="A4537" t="n">
        <v>4536</v>
      </c>
      <c r="B4537">
        <f>A4537&lt;=MineCount*Days</f>
        <v/>
      </c>
      <c r="C4537">
        <f>IF(B4537,INT((A4537-1)/Days)+1,"")</f>
        <v/>
      </c>
      <c r="D4537">
        <f>IF(B4537,MOD(A4537-1,Days),"")</f>
        <v/>
      </c>
      <c r="E4537" s="16">
        <f>IF(B4537,StartDate+D4537,"")</f>
        <v/>
      </c>
      <c r="F4537">
        <f>IF(B4537,MAX(MOD(SIN(Seed*0.1373+C4537*12.9898+D4537*78.233)*43758.5453,1),1E-9),"")</f>
        <v/>
      </c>
      <c r="G4537">
        <f>IF(B4537,MOD(SIN(Seed*0.5917+C4537*39.3468+D4537*11.135)*24634.6345,1),"")</f>
        <v/>
      </c>
      <c r="H4537">
        <f>IF(B4537,SQRT(-2*LN(F4537))*COS(2*PI()*G4537),"")</f>
        <v/>
      </c>
      <c r="I4537">
        <f>IF(B4537,IF(D4537=0,H4537,Rho*I4536+SQRT(1-Rho^2)*H4537),"")</f>
        <v/>
      </c>
      <c r="J4537">
        <f>IF(B4537,IF(Dist="Normal",DistA+DistB*I4537,DistA+(DistB-DistA)*NORMSDIST(I4537)),"")</f>
        <v/>
      </c>
      <c r="K4537">
        <f>IF(B4537,INDEX(MineScale,C4537),"")</f>
        <v/>
      </c>
      <c r="L4537">
        <f>IF(B4537,INDEX(Dow,1,WEEKDAY(E4537,2)),"")</f>
        <v/>
      </c>
      <c r="M4537">
        <f>IF(B4537,(1+Trend)^D4537,"")</f>
        <v/>
      </c>
      <c r="N4537">
        <f>IF(B4537,EXP(SUMPRODUCT(LN(1+(EvEff-1)*INDEX(Affected,0,C4537)*EXP(-((E4537-EvCenter)^2)/(2*EvSigma^2))))),"")</f>
        <v/>
      </c>
      <c r="O4537">
        <f>IF(B4537,ROUND(MAX(0,J4537*K4537*L4537*M4537*N4537),2),"")</f>
        <v/>
      </c>
    </row>
    <row r="4538">
      <c r="A4538" t="n">
        <v>4537</v>
      </c>
      <c r="B4538">
        <f>A4538&lt;=MineCount*Days</f>
        <v/>
      </c>
      <c r="C4538">
        <f>IF(B4538,INT((A4538-1)/Days)+1,"")</f>
        <v/>
      </c>
      <c r="D4538">
        <f>IF(B4538,MOD(A4538-1,Days),"")</f>
        <v/>
      </c>
      <c r="E4538" s="16">
        <f>IF(B4538,StartDate+D4538,"")</f>
        <v/>
      </c>
      <c r="F4538">
        <f>IF(B4538,MAX(MOD(SIN(Seed*0.1373+C4538*12.9898+D4538*78.233)*43758.5453,1),1E-9),"")</f>
        <v/>
      </c>
      <c r="G4538">
        <f>IF(B4538,MOD(SIN(Seed*0.5917+C4538*39.3468+D4538*11.135)*24634.6345,1),"")</f>
        <v/>
      </c>
      <c r="H4538">
        <f>IF(B4538,SQRT(-2*LN(F4538))*COS(2*PI()*G4538),"")</f>
        <v/>
      </c>
      <c r="I4538">
        <f>IF(B4538,IF(D4538=0,H4538,Rho*I4537+SQRT(1-Rho^2)*H4538),"")</f>
        <v/>
      </c>
      <c r="J4538">
        <f>IF(B4538,IF(Dist="Normal",DistA+DistB*I4538,DistA+(DistB-DistA)*NORMSDIST(I4538)),"")</f>
        <v/>
      </c>
      <c r="K4538">
        <f>IF(B4538,INDEX(MineScale,C4538),"")</f>
        <v/>
      </c>
      <c r="L4538">
        <f>IF(B4538,INDEX(Dow,1,WEEKDAY(E4538,2)),"")</f>
        <v/>
      </c>
      <c r="M4538">
        <f>IF(B4538,(1+Trend)^D4538,"")</f>
        <v/>
      </c>
      <c r="N4538">
        <f>IF(B4538,EXP(SUMPRODUCT(LN(1+(EvEff-1)*INDEX(Affected,0,C4538)*EXP(-((E4538-EvCenter)^2)/(2*EvSigma^2))))),"")</f>
        <v/>
      </c>
      <c r="O4538">
        <f>IF(B4538,ROUND(MAX(0,J4538*K4538*L4538*M4538*N4538),2),"")</f>
        <v/>
      </c>
    </row>
    <row r="4539">
      <c r="A4539" t="n">
        <v>4538</v>
      </c>
      <c r="B4539">
        <f>A4539&lt;=MineCount*Days</f>
        <v/>
      </c>
      <c r="C4539">
        <f>IF(B4539,INT((A4539-1)/Days)+1,"")</f>
        <v/>
      </c>
      <c r="D4539">
        <f>IF(B4539,MOD(A4539-1,Days),"")</f>
        <v/>
      </c>
      <c r="E4539" s="16">
        <f>IF(B4539,StartDate+D4539,"")</f>
        <v/>
      </c>
      <c r="F4539">
        <f>IF(B4539,MAX(MOD(SIN(Seed*0.1373+C4539*12.9898+D4539*78.233)*43758.5453,1),1E-9),"")</f>
        <v/>
      </c>
      <c r="G4539">
        <f>IF(B4539,MOD(SIN(Seed*0.5917+C4539*39.3468+D4539*11.135)*24634.6345,1),"")</f>
        <v/>
      </c>
      <c r="H4539">
        <f>IF(B4539,SQRT(-2*LN(F4539))*COS(2*PI()*G4539),"")</f>
        <v/>
      </c>
      <c r="I4539">
        <f>IF(B4539,IF(D4539=0,H4539,Rho*I4538+SQRT(1-Rho^2)*H4539),"")</f>
        <v/>
      </c>
      <c r="J4539">
        <f>IF(B4539,IF(Dist="Normal",DistA+DistB*I4539,DistA+(DistB-DistA)*NORMSDIST(I4539)),"")</f>
        <v/>
      </c>
      <c r="K4539">
        <f>IF(B4539,INDEX(MineScale,C4539),"")</f>
        <v/>
      </c>
      <c r="L4539">
        <f>IF(B4539,INDEX(Dow,1,WEEKDAY(E4539,2)),"")</f>
        <v/>
      </c>
      <c r="M4539">
        <f>IF(B4539,(1+Trend)^D4539,"")</f>
        <v/>
      </c>
      <c r="N4539">
        <f>IF(B4539,EXP(SUMPRODUCT(LN(1+(EvEff-1)*INDEX(Affected,0,C4539)*EXP(-((E4539-EvCenter)^2)/(2*EvSigma^2))))),"")</f>
        <v/>
      </c>
      <c r="O4539">
        <f>IF(B4539,ROUND(MAX(0,J4539*K4539*L4539*M4539*N4539),2),"")</f>
        <v/>
      </c>
    </row>
    <row r="4540">
      <c r="A4540" t="n">
        <v>4539</v>
      </c>
      <c r="B4540">
        <f>A4540&lt;=MineCount*Days</f>
        <v/>
      </c>
      <c r="C4540">
        <f>IF(B4540,INT((A4540-1)/Days)+1,"")</f>
        <v/>
      </c>
      <c r="D4540">
        <f>IF(B4540,MOD(A4540-1,Days),"")</f>
        <v/>
      </c>
      <c r="E4540" s="16">
        <f>IF(B4540,StartDate+D4540,"")</f>
        <v/>
      </c>
      <c r="F4540">
        <f>IF(B4540,MAX(MOD(SIN(Seed*0.1373+C4540*12.9898+D4540*78.233)*43758.5453,1),1E-9),"")</f>
        <v/>
      </c>
      <c r="G4540">
        <f>IF(B4540,MOD(SIN(Seed*0.5917+C4540*39.3468+D4540*11.135)*24634.6345,1),"")</f>
        <v/>
      </c>
      <c r="H4540">
        <f>IF(B4540,SQRT(-2*LN(F4540))*COS(2*PI()*G4540),"")</f>
        <v/>
      </c>
      <c r="I4540">
        <f>IF(B4540,IF(D4540=0,H4540,Rho*I4539+SQRT(1-Rho^2)*H4540),"")</f>
        <v/>
      </c>
      <c r="J4540">
        <f>IF(B4540,IF(Dist="Normal",DistA+DistB*I4540,DistA+(DistB-DistA)*NORMSDIST(I4540)),"")</f>
        <v/>
      </c>
      <c r="K4540">
        <f>IF(B4540,INDEX(MineScale,C4540),"")</f>
        <v/>
      </c>
      <c r="L4540">
        <f>IF(B4540,INDEX(Dow,1,WEEKDAY(E4540,2)),"")</f>
        <v/>
      </c>
      <c r="M4540">
        <f>IF(B4540,(1+Trend)^D4540,"")</f>
        <v/>
      </c>
      <c r="N4540">
        <f>IF(B4540,EXP(SUMPRODUCT(LN(1+(EvEff-1)*INDEX(Affected,0,C4540)*EXP(-((E4540-EvCenter)^2)/(2*EvSigma^2))))),"")</f>
        <v/>
      </c>
      <c r="O4540">
        <f>IF(B4540,ROUND(MAX(0,J4540*K4540*L4540*M4540*N4540),2),"")</f>
        <v/>
      </c>
    </row>
    <row r="4541">
      <c r="A4541" t="n">
        <v>4540</v>
      </c>
      <c r="B4541">
        <f>A4541&lt;=MineCount*Days</f>
        <v/>
      </c>
      <c r="C4541">
        <f>IF(B4541,INT((A4541-1)/Days)+1,"")</f>
        <v/>
      </c>
      <c r="D4541">
        <f>IF(B4541,MOD(A4541-1,Days),"")</f>
        <v/>
      </c>
      <c r="E4541" s="16">
        <f>IF(B4541,StartDate+D4541,"")</f>
        <v/>
      </c>
      <c r="F4541">
        <f>IF(B4541,MAX(MOD(SIN(Seed*0.1373+C4541*12.9898+D4541*78.233)*43758.5453,1),1E-9),"")</f>
        <v/>
      </c>
      <c r="G4541">
        <f>IF(B4541,MOD(SIN(Seed*0.5917+C4541*39.3468+D4541*11.135)*24634.6345,1),"")</f>
        <v/>
      </c>
      <c r="H4541">
        <f>IF(B4541,SQRT(-2*LN(F4541))*COS(2*PI()*G4541),"")</f>
        <v/>
      </c>
      <c r="I4541">
        <f>IF(B4541,IF(D4541=0,H4541,Rho*I4540+SQRT(1-Rho^2)*H4541),"")</f>
        <v/>
      </c>
      <c r="J4541">
        <f>IF(B4541,IF(Dist="Normal",DistA+DistB*I4541,DistA+(DistB-DistA)*NORMSDIST(I4541)),"")</f>
        <v/>
      </c>
      <c r="K4541">
        <f>IF(B4541,INDEX(MineScale,C4541),"")</f>
        <v/>
      </c>
      <c r="L4541">
        <f>IF(B4541,INDEX(Dow,1,WEEKDAY(E4541,2)),"")</f>
        <v/>
      </c>
      <c r="M4541">
        <f>IF(B4541,(1+Trend)^D4541,"")</f>
        <v/>
      </c>
      <c r="N4541">
        <f>IF(B4541,EXP(SUMPRODUCT(LN(1+(EvEff-1)*INDEX(Affected,0,C4541)*EXP(-((E4541-EvCenter)^2)/(2*EvSigma^2))))),"")</f>
        <v/>
      </c>
      <c r="O4541">
        <f>IF(B4541,ROUND(MAX(0,J4541*K4541*L4541*M4541*N4541),2),"")</f>
        <v/>
      </c>
    </row>
    <row r="4542">
      <c r="A4542" t="n">
        <v>4541</v>
      </c>
      <c r="B4542">
        <f>A4542&lt;=MineCount*Days</f>
        <v/>
      </c>
      <c r="C4542">
        <f>IF(B4542,INT((A4542-1)/Days)+1,"")</f>
        <v/>
      </c>
      <c r="D4542">
        <f>IF(B4542,MOD(A4542-1,Days),"")</f>
        <v/>
      </c>
      <c r="E4542" s="16">
        <f>IF(B4542,StartDate+D4542,"")</f>
        <v/>
      </c>
      <c r="F4542">
        <f>IF(B4542,MAX(MOD(SIN(Seed*0.1373+C4542*12.9898+D4542*78.233)*43758.5453,1),1E-9),"")</f>
        <v/>
      </c>
      <c r="G4542">
        <f>IF(B4542,MOD(SIN(Seed*0.5917+C4542*39.3468+D4542*11.135)*24634.6345,1),"")</f>
        <v/>
      </c>
      <c r="H4542">
        <f>IF(B4542,SQRT(-2*LN(F4542))*COS(2*PI()*G4542),"")</f>
        <v/>
      </c>
      <c r="I4542">
        <f>IF(B4542,IF(D4542=0,H4542,Rho*I4541+SQRT(1-Rho^2)*H4542),"")</f>
        <v/>
      </c>
      <c r="J4542">
        <f>IF(B4542,IF(Dist="Normal",DistA+DistB*I4542,DistA+(DistB-DistA)*NORMSDIST(I4542)),"")</f>
        <v/>
      </c>
      <c r="K4542">
        <f>IF(B4542,INDEX(MineScale,C4542),"")</f>
        <v/>
      </c>
      <c r="L4542">
        <f>IF(B4542,INDEX(Dow,1,WEEKDAY(E4542,2)),"")</f>
        <v/>
      </c>
      <c r="M4542">
        <f>IF(B4542,(1+Trend)^D4542,"")</f>
        <v/>
      </c>
      <c r="N4542">
        <f>IF(B4542,EXP(SUMPRODUCT(LN(1+(EvEff-1)*INDEX(Affected,0,C4542)*EXP(-((E4542-EvCenter)^2)/(2*EvSigma^2))))),"")</f>
        <v/>
      </c>
      <c r="O4542">
        <f>IF(B4542,ROUND(MAX(0,J4542*K4542*L4542*M4542*N4542),2),"")</f>
        <v/>
      </c>
    </row>
    <row r="4543">
      <c r="A4543" t="n">
        <v>4542</v>
      </c>
      <c r="B4543">
        <f>A4543&lt;=MineCount*Days</f>
        <v/>
      </c>
      <c r="C4543">
        <f>IF(B4543,INT((A4543-1)/Days)+1,"")</f>
        <v/>
      </c>
      <c r="D4543">
        <f>IF(B4543,MOD(A4543-1,Days),"")</f>
        <v/>
      </c>
      <c r="E4543" s="16">
        <f>IF(B4543,StartDate+D4543,"")</f>
        <v/>
      </c>
      <c r="F4543">
        <f>IF(B4543,MAX(MOD(SIN(Seed*0.1373+C4543*12.9898+D4543*78.233)*43758.5453,1),1E-9),"")</f>
        <v/>
      </c>
      <c r="G4543">
        <f>IF(B4543,MOD(SIN(Seed*0.5917+C4543*39.3468+D4543*11.135)*24634.6345,1),"")</f>
        <v/>
      </c>
      <c r="H4543">
        <f>IF(B4543,SQRT(-2*LN(F4543))*COS(2*PI()*G4543),"")</f>
        <v/>
      </c>
      <c r="I4543">
        <f>IF(B4543,IF(D4543=0,H4543,Rho*I4542+SQRT(1-Rho^2)*H4543),"")</f>
        <v/>
      </c>
      <c r="J4543">
        <f>IF(B4543,IF(Dist="Normal",DistA+DistB*I4543,DistA+(DistB-DistA)*NORMSDIST(I4543)),"")</f>
        <v/>
      </c>
      <c r="K4543">
        <f>IF(B4543,INDEX(MineScale,C4543),"")</f>
        <v/>
      </c>
      <c r="L4543">
        <f>IF(B4543,INDEX(Dow,1,WEEKDAY(E4543,2)),"")</f>
        <v/>
      </c>
      <c r="M4543">
        <f>IF(B4543,(1+Trend)^D4543,"")</f>
        <v/>
      </c>
      <c r="N4543">
        <f>IF(B4543,EXP(SUMPRODUCT(LN(1+(EvEff-1)*INDEX(Affected,0,C4543)*EXP(-((E4543-EvCenter)^2)/(2*EvSigma^2))))),"")</f>
        <v/>
      </c>
      <c r="O4543">
        <f>IF(B4543,ROUND(MAX(0,J4543*K4543*L4543*M4543*N4543),2),"")</f>
        <v/>
      </c>
    </row>
    <row r="4544">
      <c r="A4544" t="n">
        <v>4543</v>
      </c>
      <c r="B4544">
        <f>A4544&lt;=MineCount*Days</f>
        <v/>
      </c>
      <c r="C4544">
        <f>IF(B4544,INT((A4544-1)/Days)+1,"")</f>
        <v/>
      </c>
      <c r="D4544">
        <f>IF(B4544,MOD(A4544-1,Days),"")</f>
        <v/>
      </c>
      <c r="E4544" s="16">
        <f>IF(B4544,StartDate+D4544,"")</f>
        <v/>
      </c>
      <c r="F4544">
        <f>IF(B4544,MAX(MOD(SIN(Seed*0.1373+C4544*12.9898+D4544*78.233)*43758.5453,1),1E-9),"")</f>
        <v/>
      </c>
      <c r="G4544">
        <f>IF(B4544,MOD(SIN(Seed*0.5917+C4544*39.3468+D4544*11.135)*24634.6345,1),"")</f>
        <v/>
      </c>
      <c r="H4544">
        <f>IF(B4544,SQRT(-2*LN(F4544))*COS(2*PI()*G4544),"")</f>
        <v/>
      </c>
      <c r="I4544">
        <f>IF(B4544,IF(D4544=0,H4544,Rho*I4543+SQRT(1-Rho^2)*H4544),"")</f>
        <v/>
      </c>
      <c r="J4544">
        <f>IF(B4544,IF(Dist="Normal",DistA+DistB*I4544,DistA+(DistB-DistA)*NORMSDIST(I4544)),"")</f>
        <v/>
      </c>
      <c r="K4544">
        <f>IF(B4544,INDEX(MineScale,C4544),"")</f>
        <v/>
      </c>
      <c r="L4544">
        <f>IF(B4544,INDEX(Dow,1,WEEKDAY(E4544,2)),"")</f>
        <v/>
      </c>
      <c r="M4544">
        <f>IF(B4544,(1+Trend)^D4544,"")</f>
        <v/>
      </c>
      <c r="N4544">
        <f>IF(B4544,EXP(SUMPRODUCT(LN(1+(EvEff-1)*INDEX(Affected,0,C4544)*EXP(-((E4544-EvCenter)^2)/(2*EvSigma^2))))),"")</f>
        <v/>
      </c>
      <c r="O4544">
        <f>IF(B4544,ROUND(MAX(0,J4544*K4544*L4544*M4544*N4544),2),"")</f>
        <v/>
      </c>
    </row>
    <row r="4545">
      <c r="A4545" t="n">
        <v>4544</v>
      </c>
      <c r="B4545">
        <f>A4545&lt;=MineCount*Days</f>
        <v/>
      </c>
      <c r="C4545">
        <f>IF(B4545,INT((A4545-1)/Days)+1,"")</f>
        <v/>
      </c>
      <c r="D4545">
        <f>IF(B4545,MOD(A4545-1,Days),"")</f>
        <v/>
      </c>
      <c r="E4545" s="16">
        <f>IF(B4545,StartDate+D4545,"")</f>
        <v/>
      </c>
      <c r="F4545">
        <f>IF(B4545,MAX(MOD(SIN(Seed*0.1373+C4545*12.9898+D4545*78.233)*43758.5453,1),1E-9),"")</f>
        <v/>
      </c>
      <c r="G4545">
        <f>IF(B4545,MOD(SIN(Seed*0.5917+C4545*39.3468+D4545*11.135)*24634.6345,1),"")</f>
        <v/>
      </c>
      <c r="H4545">
        <f>IF(B4545,SQRT(-2*LN(F4545))*COS(2*PI()*G4545),"")</f>
        <v/>
      </c>
      <c r="I4545">
        <f>IF(B4545,IF(D4545=0,H4545,Rho*I4544+SQRT(1-Rho^2)*H4545),"")</f>
        <v/>
      </c>
      <c r="J4545">
        <f>IF(B4545,IF(Dist="Normal",DistA+DistB*I4545,DistA+(DistB-DistA)*NORMSDIST(I4545)),"")</f>
        <v/>
      </c>
      <c r="K4545">
        <f>IF(B4545,INDEX(MineScale,C4545),"")</f>
        <v/>
      </c>
      <c r="L4545">
        <f>IF(B4545,INDEX(Dow,1,WEEKDAY(E4545,2)),"")</f>
        <v/>
      </c>
      <c r="M4545">
        <f>IF(B4545,(1+Trend)^D4545,"")</f>
        <v/>
      </c>
      <c r="N4545">
        <f>IF(B4545,EXP(SUMPRODUCT(LN(1+(EvEff-1)*INDEX(Affected,0,C4545)*EXP(-((E4545-EvCenter)^2)/(2*EvSigma^2))))),"")</f>
        <v/>
      </c>
      <c r="O4545">
        <f>IF(B4545,ROUND(MAX(0,J4545*K4545*L4545*M4545*N4545),2),"")</f>
        <v/>
      </c>
    </row>
    <row r="4546">
      <c r="A4546" t="n">
        <v>4545</v>
      </c>
      <c r="B4546">
        <f>A4546&lt;=MineCount*Days</f>
        <v/>
      </c>
      <c r="C4546">
        <f>IF(B4546,INT((A4546-1)/Days)+1,"")</f>
        <v/>
      </c>
      <c r="D4546">
        <f>IF(B4546,MOD(A4546-1,Days),"")</f>
        <v/>
      </c>
      <c r="E4546" s="16">
        <f>IF(B4546,StartDate+D4546,"")</f>
        <v/>
      </c>
      <c r="F4546">
        <f>IF(B4546,MAX(MOD(SIN(Seed*0.1373+C4546*12.9898+D4546*78.233)*43758.5453,1),1E-9),"")</f>
        <v/>
      </c>
      <c r="G4546">
        <f>IF(B4546,MOD(SIN(Seed*0.5917+C4546*39.3468+D4546*11.135)*24634.6345,1),"")</f>
        <v/>
      </c>
      <c r="H4546">
        <f>IF(B4546,SQRT(-2*LN(F4546))*COS(2*PI()*G4546),"")</f>
        <v/>
      </c>
      <c r="I4546">
        <f>IF(B4546,IF(D4546=0,H4546,Rho*I4545+SQRT(1-Rho^2)*H4546),"")</f>
        <v/>
      </c>
      <c r="J4546">
        <f>IF(B4546,IF(Dist="Normal",DistA+DistB*I4546,DistA+(DistB-DistA)*NORMSDIST(I4546)),"")</f>
        <v/>
      </c>
      <c r="K4546">
        <f>IF(B4546,INDEX(MineScale,C4546),"")</f>
        <v/>
      </c>
      <c r="L4546">
        <f>IF(B4546,INDEX(Dow,1,WEEKDAY(E4546,2)),"")</f>
        <v/>
      </c>
      <c r="M4546">
        <f>IF(B4546,(1+Trend)^D4546,"")</f>
        <v/>
      </c>
      <c r="N4546">
        <f>IF(B4546,EXP(SUMPRODUCT(LN(1+(EvEff-1)*INDEX(Affected,0,C4546)*EXP(-((E4546-EvCenter)^2)/(2*EvSigma^2))))),"")</f>
        <v/>
      </c>
      <c r="O4546">
        <f>IF(B4546,ROUND(MAX(0,J4546*K4546*L4546*M4546*N4546),2),"")</f>
        <v/>
      </c>
    </row>
    <row r="4547">
      <c r="A4547" t="n">
        <v>4546</v>
      </c>
      <c r="B4547">
        <f>A4547&lt;=MineCount*Days</f>
        <v/>
      </c>
      <c r="C4547">
        <f>IF(B4547,INT((A4547-1)/Days)+1,"")</f>
        <v/>
      </c>
      <c r="D4547">
        <f>IF(B4547,MOD(A4547-1,Days),"")</f>
        <v/>
      </c>
      <c r="E4547" s="16">
        <f>IF(B4547,StartDate+D4547,"")</f>
        <v/>
      </c>
      <c r="F4547">
        <f>IF(B4547,MAX(MOD(SIN(Seed*0.1373+C4547*12.9898+D4547*78.233)*43758.5453,1),1E-9),"")</f>
        <v/>
      </c>
      <c r="G4547">
        <f>IF(B4547,MOD(SIN(Seed*0.5917+C4547*39.3468+D4547*11.135)*24634.6345,1),"")</f>
        <v/>
      </c>
      <c r="H4547">
        <f>IF(B4547,SQRT(-2*LN(F4547))*COS(2*PI()*G4547),"")</f>
        <v/>
      </c>
      <c r="I4547">
        <f>IF(B4547,IF(D4547=0,H4547,Rho*I4546+SQRT(1-Rho^2)*H4547),"")</f>
        <v/>
      </c>
      <c r="J4547">
        <f>IF(B4547,IF(Dist="Normal",DistA+DistB*I4547,DistA+(DistB-DistA)*NORMSDIST(I4547)),"")</f>
        <v/>
      </c>
      <c r="K4547">
        <f>IF(B4547,INDEX(MineScale,C4547),"")</f>
        <v/>
      </c>
      <c r="L4547">
        <f>IF(B4547,INDEX(Dow,1,WEEKDAY(E4547,2)),"")</f>
        <v/>
      </c>
      <c r="M4547">
        <f>IF(B4547,(1+Trend)^D4547,"")</f>
        <v/>
      </c>
      <c r="N4547">
        <f>IF(B4547,EXP(SUMPRODUCT(LN(1+(EvEff-1)*INDEX(Affected,0,C4547)*EXP(-((E4547-EvCenter)^2)/(2*EvSigma^2))))),"")</f>
        <v/>
      </c>
      <c r="O4547">
        <f>IF(B4547,ROUND(MAX(0,J4547*K4547*L4547*M4547*N4547),2),"")</f>
        <v/>
      </c>
    </row>
    <row r="4548">
      <c r="A4548" t="n">
        <v>4547</v>
      </c>
      <c r="B4548">
        <f>A4548&lt;=MineCount*Days</f>
        <v/>
      </c>
      <c r="C4548">
        <f>IF(B4548,INT((A4548-1)/Days)+1,"")</f>
        <v/>
      </c>
      <c r="D4548">
        <f>IF(B4548,MOD(A4548-1,Days),"")</f>
        <v/>
      </c>
      <c r="E4548" s="16">
        <f>IF(B4548,StartDate+D4548,"")</f>
        <v/>
      </c>
      <c r="F4548">
        <f>IF(B4548,MAX(MOD(SIN(Seed*0.1373+C4548*12.9898+D4548*78.233)*43758.5453,1),1E-9),"")</f>
        <v/>
      </c>
      <c r="G4548">
        <f>IF(B4548,MOD(SIN(Seed*0.5917+C4548*39.3468+D4548*11.135)*24634.6345,1),"")</f>
        <v/>
      </c>
      <c r="H4548">
        <f>IF(B4548,SQRT(-2*LN(F4548))*COS(2*PI()*G4548),"")</f>
        <v/>
      </c>
      <c r="I4548">
        <f>IF(B4548,IF(D4548=0,H4548,Rho*I4547+SQRT(1-Rho^2)*H4548),"")</f>
        <v/>
      </c>
      <c r="J4548">
        <f>IF(B4548,IF(Dist="Normal",DistA+DistB*I4548,DistA+(DistB-DistA)*NORMSDIST(I4548)),"")</f>
        <v/>
      </c>
      <c r="K4548">
        <f>IF(B4548,INDEX(MineScale,C4548),"")</f>
        <v/>
      </c>
      <c r="L4548">
        <f>IF(B4548,INDEX(Dow,1,WEEKDAY(E4548,2)),"")</f>
        <v/>
      </c>
      <c r="M4548">
        <f>IF(B4548,(1+Trend)^D4548,"")</f>
        <v/>
      </c>
      <c r="N4548">
        <f>IF(B4548,EXP(SUMPRODUCT(LN(1+(EvEff-1)*INDEX(Affected,0,C4548)*EXP(-((E4548-EvCenter)^2)/(2*EvSigma^2))))),"")</f>
        <v/>
      </c>
      <c r="O4548">
        <f>IF(B4548,ROUND(MAX(0,J4548*K4548*L4548*M4548*N4548),2),"")</f>
        <v/>
      </c>
    </row>
    <row r="4549">
      <c r="A4549" t="n">
        <v>4548</v>
      </c>
      <c r="B4549">
        <f>A4549&lt;=MineCount*Days</f>
        <v/>
      </c>
      <c r="C4549">
        <f>IF(B4549,INT((A4549-1)/Days)+1,"")</f>
        <v/>
      </c>
      <c r="D4549">
        <f>IF(B4549,MOD(A4549-1,Days),"")</f>
        <v/>
      </c>
      <c r="E4549" s="16">
        <f>IF(B4549,StartDate+D4549,"")</f>
        <v/>
      </c>
      <c r="F4549">
        <f>IF(B4549,MAX(MOD(SIN(Seed*0.1373+C4549*12.9898+D4549*78.233)*43758.5453,1),1E-9),"")</f>
        <v/>
      </c>
      <c r="G4549">
        <f>IF(B4549,MOD(SIN(Seed*0.5917+C4549*39.3468+D4549*11.135)*24634.6345,1),"")</f>
        <v/>
      </c>
      <c r="H4549">
        <f>IF(B4549,SQRT(-2*LN(F4549))*COS(2*PI()*G4549),"")</f>
        <v/>
      </c>
      <c r="I4549">
        <f>IF(B4549,IF(D4549=0,H4549,Rho*I4548+SQRT(1-Rho^2)*H4549),"")</f>
        <v/>
      </c>
      <c r="J4549">
        <f>IF(B4549,IF(Dist="Normal",DistA+DistB*I4549,DistA+(DistB-DistA)*NORMSDIST(I4549)),"")</f>
        <v/>
      </c>
      <c r="K4549">
        <f>IF(B4549,INDEX(MineScale,C4549),"")</f>
        <v/>
      </c>
      <c r="L4549">
        <f>IF(B4549,INDEX(Dow,1,WEEKDAY(E4549,2)),"")</f>
        <v/>
      </c>
      <c r="M4549">
        <f>IF(B4549,(1+Trend)^D4549,"")</f>
        <v/>
      </c>
      <c r="N4549">
        <f>IF(B4549,EXP(SUMPRODUCT(LN(1+(EvEff-1)*INDEX(Affected,0,C4549)*EXP(-((E4549-EvCenter)^2)/(2*EvSigma^2))))),"")</f>
        <v/>
      </c>
      <c r="O4549">
        <f>IF(B4549,ROUND(MAX(0,J4549*K4549*L4549*M4549*N4549),2),"")</f>
        <v/>
      </c>
    </row>
    <row r="4550">
      <c r="A4550" t="n">
        <v>4549</v>
      </c>
      <c r="B4550">
        <f>A4550&lt;=MineCount*Days</f>
        <v/>
      </c>
      <c r="C4550">
        <f>IF(B4550,INT((A4550-1)/Days)+1,"")</f>
        <v/>
      </c>
      <c r="D4550">
        <f>IF(B4550,MOD(A4550-1,Days),"")</f>
        <v/>
      </c>
      <c r="E4550" s="16">
        <f>IF(B4550,StartDate+D4550,"")</f>
        <v/>
      </c>
      <c r="F4550">
        <f>IF(B4550,MAX(MOD(SIN(Seed*0.1373+C4550*12.9898+D4550*78.233)*43758.5453,1),1E-9),"")</f>
        <v/>
      </c>
      <c r="G4550">
        <f>IF(B4550,MOD(SIN(Seed*0.5917+C4550*39.3468+D4550*11.135)*24634.6345,1),"")</f>
        <v/>
      </c>
      <c r="H4550">
        <f>IF(B4550,SQRT(-2*LN(F4550))*COS(2*PI()*G4550),"")</f>
        <v/>
      </c>
      <c r="I4550">
        <f>IF(B4550,IF(D4550=0,H4550,Rho*I4549+SQRT(1-Rho^2)*H4550),"")</f>
        <v/>
      </c>
      <c r="J4550">
        <f>IF(B4550,IF(Dist="Normal",DistA+DistB*I4550,DistA+(DistB-DistA)*NORMSDIST(I4550)),"")</f>
        <v/>
      </c>
      <c r="K4550">
        <f>IF(B4550,INDEX(MineScale,C4550),"")</f>
        <v/>
      </c>
      <c r="L4550">
        <f>IF(B4550,INDEX(Dow,1,WEEKDAY(E4550,2)),"")</f>
        <v/>
      </c>
      <c r="M4550">
        <f>IF(B4550,(1+Trend)^D4550,"")</f>
        <v/>
      </c>
      <c r="N4550">
        <f>IF(B4550,EXP(SUMPRODUCT(LN(1+(EvEff-1)*INDEX(Affected,0,C4550)*EXP(-((E4550-EvCenter)^2)/(2*EvSigma^2))))),"")</f>
        <v/>
      </c>
      <c r="O4550">
        <f>IF(B4550,ROUND(MAX(0,J4550*K4550*L4550*M4550*N4550),2),"")</f>
        <v/>
      </c>
    </row>
    <row r="4551">
      <c r="A4551" t="n">
        <v>4550</v>
      </c>
      <c r="B4551">
        <f>A4551&lt;=MineCount*Days</f>
        <v/>
      </c>
      <c r="C4551">
        <f>IF(B4551,INT((A4551-1)/Days)+1,"")</f>
        <v/>
      </c>
      <c r="D4551">
        <f>IF(B4551,MOD(A4551-1,Days),"")</f>
        <v/>
      </c>
      <c r="E4551" s="16">
        <f>IF(B4551,StartDate+D4551,"")</f>
        <v/>
      </c>
      <c r="F4551">
        <f>IF(B4551,MAX(MOD(SIN(Seed*0.1373+C4551*12.9898+D4551*78.233)*43758.5453,1),1E-9),"")</f>
        <v/>
      </c>
      <c r="G4551">
        <f>IF(B4551,MOD(SIN(Seed*0.5917+C4551*39.3468+D4551*11.135)*24634.6345,1),"")</f>
        <v/>
      </c>
      <c r="H4551">
        <f>IF(B4551,SQRT(-2*LN(F4551))*COS(2*PI()*G4551),"")</f>
        <v/>
      </c>
      <c r="I4551">
        <f>IF(B4551,IF(D4551=0,H4551,Rho*I4550+SQRT(1-Rho^2)*H4551),"")</f>
        <v/>
      </c>
      <c r="J4551">
        <f>IF(B4551,IF(Dist="Normal",DistA+DistB*I4551,DistA+(DistB-DistA)*NORMSDIST(I4551)),"")</f>
        <v/>
      </c>
      <c r="K4551">
        <f>IF(B4551,INDEX(MineScale,C4551),"")</f>
        <v/>
      </c>
      <c r="L4551">
        <f>IF(B4551,INDEX(Dow,1,WEEKDAY(E4551,2)),"")</f>
        <v/>
      </c>
      <c r="M4551">
        <f>IF(B4551,(1+Trend)^D4551,"")</f>
        <v/>
      </c>
      <c r="N4551">
        <f>IF(B4551,EXP(SUMPRODUCT(LN(1+(EvEff-1)*INDEX(Affected,0,C4551)*EXP(-((E4551-EvCenter)^2)/(2*EvSigma^2))))),"")</f>
        <v/>
      </c>
      <c r="O4551">
        <f>IF(B4551,ROUND(MAX(0,J4551*K4551*L4551*M4551*N4551),2),"")</f>
        <v/>
      </c>
    </row>
    <row r="4552">
      <c r="A4552" t="n">
        <v>4551</v>
      </c>
      <c r="B4552">
        <f>A4552&lt;=MineCount*Days</f>
        <v/>
      </c>
      <c r="C4552">
        <f>IF(B4552,INT((A4552-1)/Days)+1,"")</f>
        <v/>
      </c>
      <c r="D4552">
        <f>IF(B4552,MOD(A4552-1,Days),"")</f>
        <v/>
      </c>
      <c r="E4552" s="16">
        <f>IF(B4552,StartDate+D4552,"")</f>
        <v/>
      </c>
      <c r="F4552">
        <f>IF(B4552,MAX(MOD(SIN(Seed*0.1373+C4552*12.9898+D4552*78.233)*43758.5453,1),1E-9),"")</f>
        <v/>
      </c>
      <c r="G4552">
        <f>IF(B4552,MOD(SIN(Seed*0.5917+C4552*39.3468+D4552*11.135)*24634.6345,1),"")</f>
        <v/>
      </c>
      <c r="H4552">
        <f>IF(B4552,SQRT(-2*LN(F4552))*COS(2*PI()*G4552),"")</f>
        <v/>
      </c>
      <c r="I4552">
        <f>IF(B4552,IF(D4552=0,H4552,Rho*I4551+SQRT(1-Rho^2)*H4552),"")</f>
        <v/>
      </c>
      <c r="J4552">
        <f>IF(B4552,IF(Dist="Normal",DistA+DistB*I4552,DistA+(DistB-DistA)*NORMSDIST(I4552)),"")</f>
        <v/>
      </c>
      <c r="K4552">
        <f>IF(B4552,INDEX(MineScale,C4552),"")</f>
        <v/>
      </c>
      <c r="L4552">
        <f>IF(B4552,INDEX(Dow,1,WEEKDAY(E4552,2)),"")</f>
        <v/>
      </c>
      <c r="M4552">
        <f>IF(B4552,(1+Trend)^D4552,"")</f>
        <v/>
      </c>
      <c r="N4552">
        <f>IF(B4552,EXP(SUMPRODUCT(LN(1+(EvEff-1)*INDEX(Affected,0,C4552)*EXP(-((E4552-EvCenter)^2)/(2*EvSigma^2))))),"")</f>
        <v/>
      </c>
      <c r="O4552">
        <f>IF(B4552,ROUND(MAX(0,J4552*K4552*L4552*M4552*N4552),2),"")</f>
        <v/>
      </c>
    </row>
    <row r="4553">
      <c r="A4553" t="n">
        <v>4552</v>
      </c>
      <c r="B4553">
        <f>A4553&lt;=MineCount*Days</f>
        <v/>
      </c>
      <c r="C4553">
        <f>IF(B4553,INT((A4553-1)/Days)+1,"")</f>
        <v/>
      </c>
      <c r="D4553">
        <f>IF(B4553,MOD(A4553-1,Days),"")</f>
        <v/>
      </c>
      <c r="E4553" s="16">
        <f>IF(B4553,StartDate+D4553,"")</f>
        <v/>
      </c>
      <c r="F4553">
        <f>IF(B4553,MAX(MOD(SIN(Seed*0.1373+C4553*12.9898+D4553*78.233)*43758.5453,1),1E-9),"")</f>
        <v/>
      </c>
      <c r="G4553">
        <f>IF(B4553,MOD(SIN(Seed*0.5917+C4553*39.3468+D4553*11.135)*24634.6345,1),"")</f>
        <v/>
      </c>
      <c r="H4553">
        <f>IF(B4553,SQRT(-2*LN(F4553))*COS(2*PI()*G4553),"")</f>
        <v/>
      </c>
      <c r="I4553">
        <f>IF(B4553,IF(D4553=0,H4553,Rho*I4552+SQRT(1-Rho^2)*H4553),"")</f>
        <v/>
      </c>
      <c r="J4553">
        <f>IF(B4553,IF(Dist="Normal",DistA+DistB*I4553,DistA+(DistB-DistA)*NORMSDIST(I4553)),"")</f>
        <v/>
      </c>
      <c r="K4553">
        <f>IF(B4553,INDEX(MineScale,C4553),"")</f>
        <v/>
      </c>
      <c r="L4553">
        <f>IF(B4553,INDEX(Dow,1,WEEKDAY(E4553,2)),"")</f>
        <v/>
      </c>
      <c r="M4553">
        <f>IF(B4553,(1+Trend)^D4553,"")</f>
        <v/>
      </c>
      <c r="N4553">
        <f>IF(B4553,EXP(SUMPRODUCT(LN(1+(EvEff-1)*INDEX(Affected,0,C4553)*EXP(-((E4553-EvCenter)^2)/(2*EvSigma^2))))),"")</f>
        <v/>
      </c>
      <c r="O4553">
        <f>IF(B4553,ROUND(MAX(0,J4553*K4553*L4553*M4553*N4553),2),"")</f>
        <v/>
      </c>
    </row>
    <row r="4554">
      <c r="A4554" t="n">
        <v>4553</v>
      </c>
      <c r="B4554">
        <f>A4554&lt;=MineCount*Days</f>
        <v/>
      </c>
      <c r="C4554">
        <f>IF(B4554,INT((A4554-1)/Days)+1,"")</f>
        <v/>
      </c>
      <c r="D4554">
        <f>IF(B4554,MOD(A4554-1,Days),"")</f>
        <v/>
      </c>
      <c r="E4554" s="16">
        <f>IF(B4554,StartDate+D4554,"")</f>
        <v/>
      </c>
      <c r="F4554">
        <f>IF(B4554,MAX(MOD(SIN(Seed*0.1373+C4554*12.9898+D4554*78.233)*43758.5453,1),1E-9),"")</f>
        <v/>
      </c>
      <c r="G4554">
        <f>IF(B4554,MOD(SIN(Seed*0.5917+C4554*39.3468+D4554*11.135)*24634.6345,1),"")</f>
        <v/>
      </c>
      <c r="H4554">
        <f>IF(B4554,SQRT(-2*LN(F4554))*COS(2*PI()*G4554),"")</f>
        <v/>
      </c>
      <c r="I4554">
        <f>IF(B4554,IF(D4554=0,H4554,Rho*I4553+SQRT(1-Rho^2)*H4554),"")</f>
        <v/>
      </c>
      <c r="J4554">
        <f>IF(B4554,IF(Dist="Normal",DistA+DistB*I4554,DistA+(DistB-DistA)*NORMSDIST(I4554)),"")</f>
        <v/>
      </c>
      <c r="K4554">
        <f>IF(B4554,INDEX(MineScale,C4554),"")</f>
        <v/>
      </c>
      <c r="L4554">
        <f>IF(B4554,INDEX(Dow,1,WEEKDAY(E4554,2)),"")</f>
        <v/>
      </c>
      <c r="M4554">
        <f>IF(B4554,(1+Trend)^D4554,"")</f>
        <v/>
      </c>
      <c r="N4554">
        <f>IF(B4554,EXP(SUMPRODUCT(LN(1+(EvEff-1)*INDEX(Affected,0,C4554)*EXP(-((E4554-EvCenter)^2)/(2*EvSigma^2))))),"")</f>
        <v/>
      </c>
      <c r="O4554">
        <f>IF(B4554,ROUND(MAX(0,J4554*K4554*L4554*M4554*N4554),2),"")</f>
        <v/>
      </c>
    </row>
    <row r="4555">
      <c r="A4555" t="n">
        <v>4554</v>
      </c>
      <c r="B4555">
        <f>A4555&lt;=MineCount*Days</f>
        <v/>
      </c>
      <c r="C4555">
        <f>IF(B4555,INT((A4555-1)/Days)+1,"")</f>
        <v/>
      </c>
      <c r="D4555">
        <f>IF(B4555,MOD(A4555-1,Days),"")</f>
        <v/>
      </c>
      <c r="E4555" s="16">
        <f>IF(B4555,StartDate+D4555,"")</f>
        <v/>
      </c>
      <c r="F4555">
        <f>IF(B4555,MAX(MOD(SIN(Seed*0.1373+C4555*12.9898+D4555*78.233)*43758.5453,1),1E-9),"")</f>
        <v/>
      </c>
      <c r="G4555">
        <f>IF(B4555,MOD(SIN(Seed*0.5917+C4555*39.3468+D4555*11.135)*24634.6345,1),"")</f>
        <v/>
      </c>
      <c r="H4555">
        <f>IF(B4555,SQRT(-2*LN(F4555))*COS(2*PI()*G4555),"")</f>
        <v/>
      </c>
      <c r="I4555">
        <f>IF(B4555,IF(D4555=0,H4555,Rho*I4554+SQRT(1-Rho^2)*H4555),"")</f>
        <v/>
      </c>
      <c r="J4555">
        <f>IF(B4555,IF(Dist="Normal",DistA+DistB*I4555,DistA+(DistB-DistA)*NORMSDIST(I4555)),"")</f>
        <v/>
      </c>
      <c r="K4555">
        <f>IF(B4555,INDEX(MineScale,C4555),"")</f>
        <v/>
      </c>
      <c r="L4555">
        <f>IF(B4555,INDEX(Dow,1,WEEKDAY(E4555,2)),"")</f>
        <v/>
      </c>
      <c r="M4555">
        <f>IF(B4555,(1+Trend)^D4555,"")</f>
        <v/>
      </c>
      <c r="N4555">
        <f>IF(B4555,EXP(SUMPRODUCT(LN(1+(EvEff-1)*INDEX(Affected,0,C4555)*EXP(-((E4555-EvCenter)^2)/(2*EvSigma^2))))),"")</f>
        <v/>
      </c>
      <c r="O4555">
        <f>IF(B4555,ROUND(MAX(0,J4555*K4555*L4555*M4555*N4555),2),"")</f>
        <v/>
      </c>
    </row>
    <row r="4556">
      <c r="A4556" t="n">
        <v>4555</v>
      </c>
      <c r="B4556">
        <f>A4556&lt;=MineCount*Days</f>
        <v/>
      </c>
      <c r="C4556">
        <f>IF(B4556,INT((A4556-1)/Days)+1,"")</f>
        <v/>
      </c>
      <c r="D4556">
        <f>IF(B4556,MOD(A4556-1,Days),"")</f>
        <v/>
      </c>
      <c r="E4556" s="16">
        <f>IF(B4556,StartDate+D4556,"")</f>
        <v/>
      </c>
      <c r="F4556">
        <f>IF(B4556,MAX(MOD(SIN(Seed*0.1373+C4556*12.9898+D4556*78.233)*43758.5453,1),1E-9),"")</f>
        <v/>
      </c>
      <c r="G4556">
        <f>IF(B4556,MOD(SIN(Seed*0.5917+C4556*39.3468+D4556*11.135)*24634.6345,1),"")</f>
        <v/>
      </c>
      <c r="H4556">
        <f>IF(B4556,SQRT(-2*LN(F4556))*COS(2*PI()*G4556),"")</f>
        <v/>
      </c>
      <c r="I4556">
        <f>IF(B4556,IF(D4556=0,H4556,Rho*I4555+SQRT(1-Rho^2)*H4556),"")</f>
        <v/>
      </c>
      <c r="J4556">
        <f>IF(B4556,IF(Dist="Normal",DistA+DistB*I4556,DistA+(DistB-DistA)*NORMSDIST(I4556)),"")</f>
        <v/>
      </c>
      <c r="K4556">
        <f>IF(B4556,INDEX(MineScale,C4556),"")</f>
        <v/>
      </c>
      <c r="L4556">
        <f>IF(B4556,INDEX(Dow,1,WEEKDAY(E4556,2)),"")</f>
        <v/>
      </c>
      <c r="M4556">
        <f>IF(B4556,(1+Trend)^D4556,"")</f>
        <v/>
      </c>
      <c r="N4556">
        <f>IF(B4556,EXP(SUMPRODUCT(LN(1+(EvEff-1)*INDEX(Affected,0,C4556)*EXP(-((E4556-EvCenter)^2)/(2*EvSigma^2))))),"")</f>
        <v/>
      </c>
      <c r="O4556">
        <f>IF(B4556,ROUND(MAX(0,J4556*K4556*L4556*M4556*N4556),2),"")</f>
        <v/>
      </c>
    </row>
    <row r="4557">
      <c r="A4557" t="n">
        <v>4556</v>
      </c>
      <c r="B4557">
        <f>A4557&lt;=MineCount*Days</f>
        <v/>
      </c>
      <c r="C4557">
        <f>IF(B4557,INT((A4557-1)/Days)+1,"")</f>
        <v/>
      </c>
      <c r="D4557">
        <f>IF(B4557,MOD(A4557-1,Days),"")</f>
        <v/>
      </c>
      <c r="E4557" s="16">
        <f>IF(B4557,StartDate+D4557,"")</f>
        <v/>
      </c>
      <c r="F4557">
        <f>IF(B4557,MAX(MOD(SIN(Seed*0.1373+C4557*12.9898+D4557*78.233)*43758.5453,1),1E-9),"")</f>
        <v/>
      </c>
      <c r="G4557">
        <f>IF(B4557,MOD(SIN(Seed*0.5917+C4557*39.3468+D4557*11.135)*24634.6345,1),"")</f>
        <v/>
      </c>
      <c r="H4557">
        <f>IF(B4557,SQRT(-2*LN(F4557))*COS(2*PI()*G4557),"")</f>
        <v/>
      </c>
      <c r="I4557">
        <f>IF(B4557,IF(D4557=0,H4557,Rho*I4556+SQRT(1-Rho^2)*H4557),"")</f>
        <v/>
      </c>
      <c r="J4557">
        <f>IF(B4557,IF(Dist="Normal",DistA+DistB*I4557,DistA+(DistB-DistA)*NORMSDIST(I4557)),"")</f>
        <v/>
      </c>
      <c r="K4557">
        <f>IF(B4557,INDEX(MineScale,C4557),"")</f>
        <v/>
      </c>
      <c r="L4557">
        <f>IF(B4557,INDEX(Dow,1,WEEKDAY(E4557,2)),"")</f>
        <v/>
      </c>
      <c r="M4557">
        <f>IF(B4557,(1+Trend)^D4557,"")</f>
        <v/>
      </c>
      <c r="N4557">
        <f>IF(B4557,EXP(SUMPRODUCT(LN(1+(EvEff-1)*INDEX(Affected,0,C4557)*EXP(-((E4557-EvCenter)^2)/(2*EvSigma^2))))),"")</f>
        <v/>
      </c>
      <c r="O4557">
        <f>IF(B4557,ROUND(MAX(0,J4557*K4557*L4557*M4557*N4557),2),"")</f>
        <v/>
      </c>
    </row>
    <row r="4558">
      <c r="A4558" t="n">
        <v>4557</v>
      </c>
      <c r="B4558">
        <f>A4558&lt;=MineCount*Days</f>
        <v/>
      </c>
      <c r="C4558">
        <f>IF(B4558,INT((A4558-1)/Days)+1,"")</f>
        <v/>
      </c>
      <c r="D4558">
        <f>IF(B4558,MOD(A4558-1,Days),"")</f>
        <v/>
      </c>
      <c r="E4558" s="16">
        <f>IF(B4558,StartDate+D4558,"")</f>
        <v/>
      </c>
      <c r="F4558">
        <f>IF(B4558,MAX(MOD(SIN(Seed*0.1373+C4558*12.9898+D4558*78.233)*43758.5453,1),1E-9),"")</f>
        <v/>
      </c>
      <c r="G4558">
        <f>IF(B4558,MOD(SIN(Seed*0.5917+C4558*39.3468+D4558*11.135)*24634.6345,1),"")</f>
        <v/>
      </c>
      <c r="H4558">
        <f>IF(B4558,SQRT(-2*LN(F4558))*COS(2*PI()*G4558),"")</f>
        <v/>
      </c>
      <c r="I4558">
        <f>IF(B4558,IF(D4558=0,H4558,Rho*I4557+SQRT(1-Rho^2)*H4558),"")</f>
        <v/>
      </c>
      <c r="J4558">
        <f>IF(B4558,IF(Dist="Normal",DistA+DistB*I4558,DistA+(DistB-DistA)*NORMSDIST(I4558)),"")</f>
        <v/>
      </c>
      <c r="K4558">
        <f>IF(B4558,INDEX(MineScale,C4558),"")</f>
        <v/>
      </c>
      <c r="L4558">
        <f>IF(B4558,INDEX(Dow,1,WEEKDAY(E4558,2)),"")</f>
        <v/>
      </c>
      <c r="M4558">
        <f>IF(B4558,(1+Trend)^D4558,"")</f>
        <v/>
      </c>
      <c r="N4558">
        <f>IF(B4558,EXP(SUMPRODUCT(LN(1+(EvEff-1)*INDEX(Affected,0,C4558)*EXP(-((E4558-EvCenter)^2)/(2*EvSigma^2))))),"")</f>
        <v/>
      </c>
      <c r="O4558">
        <f>IF(B4558,ROUND(MAX(0,J4558*K4558*L4558*M4558*N4558),2),"")</f>
        <v/>
      </c>
    </row>
    <row r="4559">
      <c r="A4559" t="n">
        <v>4558</v>
      </c>
      <c r="B4559">
        <f>A4559&lt;=MineCount*Days</f>
        <v/>
      </c>
      <c r="C4559">
        <f>IF(B4559,INT((A4559-1)/Days)+1,"")</f>
        <v/>
      </c>
      <c r="D4559">
        <f>IF(B4559,MOD(A4559-1,Days),"")</f>
        <v/>
      </c>
      <c r="E4559" s="16">
        <f>IF(B4559,StartDate+D4559,"")</f>
        <v/>
      </c>
      <c r="F4559">
        <f>IF(B4559,MAX(MOD(SIN(Seed*0.1373+C4559*12.9898+D4559*78.233)*43758.5453,1),1E-9),"")</f>
        <v/>
      </c>
      <c r="G4559">
        <f>IF(B4559,MOD(SIN(Seed*0.5917+C4559*39.3468+D4559*11.135)*24634.6345,1),"")</f>
        <v/>
      </c>
      <c r="H4559">
        <f>IF(B4559,SQRT(-2*LN(F4559))*COS(2*PI()*G4559),"")</f>
        <v/>
      </c>
      <c r="I4559">
        <f>IF(B4559,IF(D4559=0,H4559,Rho*I4558+SQRT(1-Rho^2)*H4559),"")</f>
        <v/>
      </c>
      <c r="J4559">
        <f>IF(B4559,IF(Dist="Normal",DistA+DistB*I4559,DistA+(DistB-DistA)*NORMSDIST(I4559)),"")</f>
        <v/>
      </c>
      <c r="K4559">
        <f>IF(B4559,INDEX(MineScale,C4559),"")</f>
        <v/>
      </c>
      <c r="L4559">
        <f>IF(B4559,INDEX(Dow,1,WEEKDAY(E4559,2)),"")</f>
        <v/>
      </c>
      <c r="M4559">
        <f>IF(B4559,(1+Trend)^D4559,"")</f>
        <v/>
      </c>
      <c r="N4559">
        <f>IF(B4559,EXP(SUMPRODUCT(LN(1+(EvEff-1)*INDEX(Affected,0,C4559)*EXP(-((E4559-EvCenter)^2)/(2*EvSigma^2))))),"")</f>
        <v/>
      </c>
      <c r="O4559">
        <f>IF(B4559,ROUND(MAX(0,J4559*K4559*L4559*M4559*N4559),2),"")</f>
        <v/>
      </c>
    </row>
    <row r="4560">
      <c r="A4560" t="n">
        <v>4559</v>
      </c>
      <c r="B4560">
        <f>A4560&lt;=MineCount*Days</f>
        <v/>
      </c>
      <c r="C4560">
        <f>IF(B4560,INT((A4560-1)/Days)+1,"")</f>
        <v/>
      </c>
      <c r="D4560">
        <f>IF(B4560,MOD(A4560-1,Days),"")</f>
        <v/>
      </c>
      <c r="E4560" s="16">
        <f>IF(B4560,StartDate+D4560,"")</f>
        <v/>
      </c>
      <c r="F4560">
        <f>IF(B4560,MAX(MOD(SIN(Seed*0.1373+C4560*12.9898+D4560*78.233)*43758.5453,1),1E-9),"")</f>
        <v/>
      </c>
      <c r="G4560">
        <f>IF(B4560,MOD(SIN(Seed*0.5917+C4560*39.3468+D4560*11.135)*24634.6345,1),"")</f>
        <v/>
      </c>
      <c r="H4560">
        <f>IF(B4560,SQRT(-2*LN(F4560))*COS(2*PI()*G4560),"")</f>
        <v/>
      </c>
      <c r="I4560">
        <f>IF(B4560,IF(D4560=0,H4560,Rho*I4559+SQRT(1-Rho^2)*H4560),"")</f>
        <v/>
      </c>
      <c r="J4560">
        <f>IF(B4560,IF(Dist="Normal",DistA+DistB*I4560,DistA+(DistB-DistA)*NORMSDIST(I4560)),"")</f>
        <v/>
      </c>
      <c r="K4560">
        <f>IF(B4560,INDEX(MineScale,C4560),"")</f>
        <v/>
      </c>
      <c r="L4560">
        <f>IF(B4560,INDEX(Dow,1,WEEKDAY(E4560,2)),"")</f>
        <v/>
      </c>
      <c r="M4560">
        <f>IF(B4560,(1+Trend)^D4560,"")</f>
        <v/>
      </c>
      <c r="N4560">
        <f>IF(B4560,EXP(SUMPRODUCT(LN(1+(EvEff-1)*INDEX(Affected,0,C4560)*EXP(-((E4560-EvCenter)^2)/(2*EvSigma^2))))),"")</f>
        <v/>
      </c>
      <c r="O4560">
        <f>IF(B4560,ROUND(MAX(0,J4560*K4560*L4560*M4560*N4560),2),"")</f>
        <v/>
      </c>
    </row>
    <row r="4561">
      <c r="A4561" t="n">
        <v>4560</v>
      </c>
      <c r="B4561">
        <f>A4561&lt;=MineCount*Days</f>
        <v/>
      </c>
      <c r="C4561">
        <f>IF(B4561,INT((A4561-1)/Days)+1,"")</f>
        <v/>
      </c>
      <c r="D4561">
        <f>IF(B4561,MOD(A4561-1,Days),"")</f>
        <v/>
      </c>
      <c r="E4561" s="16">
        <f>IF(B4561,StartDate+D4561,"")</f>
        <v/>
      </c>
      <c r="F4561">
        <f>IF(B4561,MAX(MOD(SIN(Seed*0.1373+C4561*12.9898+D4561*78.233)*43758.5453,1),1E-9),"")</f>
        <v/>
      </c>
      <c r="G4561">
        <f>IF(B4561,MOD(SIN(Seed*0.5917+C4561*39.3468+D4561*11.135)*24634.6345,1),"")</f>
        <v/>
      </c>
      <c r="H4561">
        <f>IF(B4561,SQRT(-2*LN(F4561))*COS(2*PI()*G4561),"")</f>
        <v/>
      </c>
      <c r="I4561">
        <f>IF(B4561,IF(D4561=0,H4561,Rho*I4560+SQRT(1-Rho^2)*H4561),"")</f>
        <v/>
      </c>
      <c r="J4561">
        <f>IF(B4561,IF(Dist="Normal",DistA+DistB*I4561,DistA+(DistB-DistA)*NORMSDIST(I4561)),"")</f>
        <v/>
      </c>
      <c r="K4561">
        <f>IF(B4561,INDEX(MineScale,C4561),"")</f>
        <v/>
      </c>
      <c r="L4561">
        <f>IF(B4561,INDEX(Dow,1,WEEKDAY(E4561,2)),"")</f>
        <v/>
      </c>
      <c r="M4561">
        <f>IF(B4561,(1+Trend)^D4561,"")</f>
        <v/>
      </c>
      <c r="N4561">
        <f>IF(B4561,EXP(SUMPRODUCT(LN(1+(EvEff-1)*INDEX(Affected,0,C4561)*EXP(-((E4561-EvCenter)^2)/(2*EvSigma^2))))),"")</f>
        <v/>
      </c>
      <c r="O4561">
        <f>IF(B4561,ROUND(MAX(0,J4561*K4561*L4561*M4561*N4561),2),"")</f>
        <v/>
      </c>
    </row>
    <row r="4562">
      <c r="A4562" t="n">
        <v>4561</v>
      </c>
      <c r="B4562">
        <f>A4562&lt;=MineCount*Days</f>
        <v/>
      </c>
      <c r="C4562">
        <f>IF(B4562,INT((A4562-1)/Days)+1,"")</f>
        <v/>
      </c>
      <c r="D4562">
        <f>IF(B4562,MOD(A4562-1,Days),"")</f>
        <v/>
      </c>
      <c r="E4562" s="16">
        <f>IF(B4562,StartDate+D4562,"")</f>
        <v/>
      </c>
      <c r="F4562">
        <f>IF(B4562,MAX(MOD(SIN(Seed*0.1373+C4562*12.9898+D4562*78.233)*43758.5453,1),1E-9),"")</f>
        <v/>
      </c>
      <c r="G4562">
        <f>IF(B4562,MOD(SIN(Seed*0.5917+C4562*39.3468+D4562*11.135)*24634.6345,1),"")</f>
        <v/>
      </c>
      <c r="H4562">
        <f>IF(B4562,SQRT(-2*LN(F4562))*COS(2*PI()*G4562),"")</f>
        <v/>
      </c>
      <c r="I4562">
        <f>IF(B4562,IF(D4562=0,H4562,Rho*I4561+SQRT(1-Rho^2)*H4562),"")</f>
        <v/>
      </c>
      <c r="J4562">
        <f>IF(B4562,IF(Dist="Normal",DistA+DistB*I4562,DistA+(DistB-DistA)*NORMSDIST(I4562)),"")</f>
        <v/>
      </c>
      <c r="K4562">
        <f>IF(B4562,INDEX(MineScale,C4562),"")</f>
        <v/>
      </c>
      <c r="L4562">
        <f>IF(B4562,INDEX(Dow,1,WEEKDAY(E4562,2)),"")</f>
        <v/>
      </c>
      <c r="M4562">
        <f>IF(B4562,(1+Trend)^D4562,"")</f>
        <v/>
      </c>
      <c r="N4562">
        <f>IF(B4562,EXP(SUMPRODUCT(LN(1+(EvEff-1)*INDEX(Affected,0,C4562)*EXP(-((E4562-EvCenter)^2)/(2*EvSigma^2))))),"")</f>
        <v/>
      </c>
      <c r="O4562">
        <f>IF(B4562,ROUND(MAX(0,J4562*K4562*L4562*M4562*N4562),2),"")</f>
        <v/>
      </c>
    </row>
    <row r="4563">
      <c r="A4563" t="n">
        <v>4562</v>
      </c>
      <c r="B4563">
        <f>A4563&lt;=MineCount*Days</f>
        <v/>
      </c>
      <c r="C4563">
        <f>IF(B4563,INT((A4563-1)/Days)+1,"")</f>
        <v/>
      </c>
      <c r="D4563">
        <f>IF(B4563,MOD(A4563-1,Days),"")</f>
        <v/>
      </c>
      <c r="E4563" s="16">
        <f>IF(B4563,StartDate+D4563,"")</f>
        <v/>
      </c>
      <c r="F4563">
        <f>IF(B4563,MAX(MOD(SIN(Seed*0.1373+C4563*12.9898+D4563*78.233)*43758.5453,1),1E-9),"")</f>
        <v/>
      </c>
      <c r="G4563">
        <f>IF(B4563,MOD(SIN(Seed*0.5917+C4563*39.3468+D4563*11.135)*24634.6345,1),"")</f>
        <v/>
      </c>
      <c r="H4563">
        <f>IF(B4563,SQRT(-2*LN(F4563))*COS(2*PI()*G4563),"")</f>
        <v/>
      </c>
      <c r="I4563">
        <f>IF(B4563,IF(D4563=0,H4563,Rho*I4562+SQRT(1-Rho^2)*H4563),"")</f>
        <v/>
      </c>
      <c r="J4563">
        <f>IF(B4563,IF(Dist="Normal",DistA+DistB*I4563,DistA+(DistB-DistA)*NORMSDIST(I4563)),"")</f>
        <v/>
      </c>
      <c r="K4563">
        <f>IF(B4563,INDEX(MineScale,C4563),"")</f>
        <v/>
      </c>
      <c r="L4563">
        <f>IF(B4563,INDEX(Dow,1,WEEKDAY(E4563,2)),"")</f>
        <v/>
      </c>
      <c r="M4563">
        <f>IF(B4563,(1+Trend)^D4563,"")</f>
        <v/>
      </c>
      <c r="N4563">
        <f>IF(B4563,EXP(SUMPRODUCT(LN(1+(EvEff-1)*INDEX(Affected,0,C4563)*EXP(-((E4563-EvCenter)^2)/(2*EvSigma^2))))),"")</f>
        <v/>
      </c>
      <c r="O4563">
        <f>IF(B4563,ROUND(MAX(0,J4563*K4563*L4563*M4563*N4563),2),"")</f>
        <v/>
      </c>
    </row>
    <row r="4564">
      <c r="A4564" t="n">
        <v>4563</v>
      </c>
      <c r="B4564">
        <f>A4564&lt;=MineCount*Days</f>
        <v/>
      </c>
      <c r="C4564">
        <f>IF(B4564,INT((A4564-1)/Days)+1,"")</f>
        <v/>
      </c>
      <c r="D4564">
        <f>IF(B4564,MOD(A4564-1,Days),"")</f>
        <v/>
      </c>
      <c r="E4564" s="16">
        <f>IF(B4564,StartDate+D4564,"")</f>
        <v/>
      </c>
      <c r="F4564">
        <f>IF(B4564,MAX(MOD(SIN(Seed*0.1373+C4564*12.9898+D4564*78.233)*43758.5453,1),1E-9),"")</f>
        <v/>
      </c>
      <c r="G4564">
        <f>IF(B4564,MOD(SIN(Seed*0.5917+C4564*39.3468+D4564*11.135)*24634.6345,1),"")</f>
        <v/>
      </c>
      <c r="H4564">
        <f>IF(B4564,SQRT(-2*LN(F4564))*COS(2*PI()*G4564),"")</f>
        <v/>
      </c>
      <c r="I4564">
        <f>IF(B4564,IF(D4564=0,H4564,Rho*I4563+SQRT(1-Rho^2)*H4564),"")</f>
        <v/>
      </c>
      <c r="J4564">
        <f>IF(B4564,IF(Dist="Normal",DistA+DistB*I4564,DistA+(DistB-DistA)*NORMSDIST(I4564)),"")</f>
        <v/>
      </c>
      <c r="K4564">
        <f>IF(B4564,INDEX(MineScale,C4564),"")</f>
        <v/>
      </c>
      <c r="L4564">
        <f>IF(B4564,INDEX(Dow,1,WEEKDAY(E4564,2)),"")</f>
        <v/>
      </c>
      <c r="M4564">
        <f>IF(B4564,(1+Trend)^D4564,"")</f>
        <v/>
      </c>
      <c r="N4564">
        <f>IF(B4564,EXP(SUMPRODUCT(LN(1+(EvEff-1)*INDEX(Affected,0,C4564)*EXP(-((E4564-EvCenter)^2)/(2*EvSigma^2))))),"")</f>
        <v/>
      </c>
      <c r="O4564">
        <f>IF(B4564,ROUND(MAX(0,J4564*K4564*L4564*M4564*N4564),2),"")</f>
        <v/>
      </c>
    </row>
    <row r="4565">
      <c r="A4565" t="n">
        <v>4564</v>
      </c>
      <c r="B4565">
        <f>A4565&lt;=MineCount*Days</f>
        <v/>
      </c>
      <c r="C4565">
        <f>IF(B4565,INT((A4565-1)/Days)+1,"")</f>
        <v/>
      </c>
      <c r="D4565">
        <f>IF(B4565,MOD(A4565-1,Days),"")</f>
        <v/>
      </c>
      <c r="E4565" s="16">
        <f>IF(B4565,StartDate+D4565,"")</f>
        <v/>
      </c>
      <c r="F4565">
        <f>IF(B4565,MAX(MOD(SIN(Seed*0.1373+C4565*12.9898+D4565*78.233)*43758.5453,1),1E-9),"")</f>
        <v/>
      </c>
      <c r="G4565">
        <f>IF(B4565,MOD(SIN(Seed*0.5917+C4565*39.3468+D4565*11.135)*24634.6345,1),"")</f>
        <v/>
      </c>
      <c r="H4565">
        <f>IF(B4565,SQRT(-2*LN(F4565))*COS(2*PI()*G4565),"")</f>
        <v/>
      </c>
      <c r="I4565">
        <f>IF(B4565,IF(D4565=0,H4565,Rho*I4564+SQRT(1-Rho^2)*H4565),"")</f>
        <v/>
      </c>
      <c r="J4565">
        <f>IF(B4565,IF(Dist="Normal",DistA+DistB*I4565,DistA+(DistB-DistA)*NORMSDIST(I4565)),"")</f>
        <v/>
      </c>
      <c r="K4565">
        <f>IF(B4565,INDEX(MineScale,C4565),"")</f>
        <v/>
      </c>
      <c r="L4565">
        <f>IF(B4565,INDEX(Dow,1,WEEKDAY(E4565,2)),"")</f>
        <v/>
      </c>
      <c r="M4565">
        <f>IF(B4565,(1+Trend)^D4565,"")</f>
        <v/>
      </c>
      <c r="N4565">
        <f>IF(B4565,EXP(SUMPRODUCT(LN(1+(EvEff-1)*INDEX(Affected,0,C4565)*EXP(-((E4565-EvCenter)^2)/(2*EvSigma^2))))),"")</f>
        <v/>
      </c>
      <c r="O4565">
        <f>IF(B4565,ROUND(MAX(0,J4565*K4565*L4565*M4565*N4565),2),"")</f>
        <v/>
      </c>
    </row>
    <row r="4566">
      <c r="A4566" t="n">
        <v>4565</v>
      </c>
      <c r="B4566">
        <f>A4566&lt;=MineCount*Days</f>
        <v/>
      </c>
      <c r="C4566">
        <f>IF(B4566,INT((A4566-1)/Days)+1,"")</f>
        <v/>
      </c>
      <c r="D4566">
        <f>IF(B4566,MOD(A4566-1,Days),"")</f>
        <v/>
      </c>
      <c r="E4566" s="16">
        <f>IF(B4566,StartDate+D4566,"")</f>
        <v/>
      </c>
      <c r="F4566">
        <f>IF(B4566,MAX(MOD(SIN(Seed*0.1373+C4566*12.9898+D4566*78.233)*43758.5453,1),1E-9),"")</f>
        <v/>
      </c>
      <c r="G4566">
        <f>IF(B4566,MOD(SIN(Seed*0.5917+C4566*39.3468+D4566*11.135)*24634.6345,1),"")</f>
        <v/>
      </c>
      <c r="H4566">
        <f>IF(B4566,SQRT(-2*LN(F4566))*COS(2*PI()*G4566),"")</f>
        <v/>
      </c>
      <c r="I4566">
        <f>IF(B4566,IF(D4566=0,H4566,Rho*I4565+SQRT(1-Rho^2)*H4566),"")</f>
        <v/>
      </c>
      <c r="J4566">
        <f>IF(B4566,IF(Dist="Normal",DistA+DistB*I4566,DistA+(DistB-DistA)*NORMSDIST(I4566)),"")</f>
        <v/>
      </c>
      <c r="K4566">
        <f>IF(B4566,INDEX(MineScale,C4566),"")</f>
        <v/>
      </c>
      <c r="L4566">
        <f>IF(B4566,INDEX(Dow,1,WEEKDAY(E4566,2)),"")</f>
        <v/>
      </c>
      <c r="M4566">
        <f>IF(B4566,(1+Trend)^D4566,"")</f>
        <v/>
      </c>
      <c r="N4566">
        <f>IF(B4566,EXP(SUMPRODUCT(LN(1+(EvEff-1)*INDEX(Affected,0,C4566)*EXP(-((E4566-EvCenter)^2)/(2*EvSigma^2))))),"")</f>
        <v/>
      </c>
      <c r="O4566">
        <f>IF(B4566,ROUND(MAX(0,J4566*K4566*L4566*M4566*N4566),2),"")</f>
        <v/>
      </c>
    </row>
    <row r="4567">
      <c r="A4567" t="n">
        <v>4566</v>
      </c>
      <c r="B4567">
        <f>A4567&lt;=MineCount*Days</f>
        <v/>
      </c>
      <c r="C4567">
        <f>IF(B4567,INT((A4567-1)/Days)+1,"")</f>
        <v/>
      </c>
      <c r="D4567">
        <f>IF(B4567,MOD(A4567-1,Days),"")</f>
        <v/>
      </c>
      <c r="E4567" s="16">
        <f>IF(B4567,StartDate+D4567,"")</f>
        <v/>
      </c>
      <c r="F4567">
        <f>IF(B4567,MAX(MOD(SIN(Seed*0.1373+C4567*12.9898+D4567*78.233)*43758.5453,1),1E-9),"")</f>
        <v/>
      </c>
      <c r="G4567">
        <f>IF(B4567,MOD(SIN(Seed*0.5917+C4567*39.3468+D4567*11.135)*24634.6345,1),"")</f>
        <v/>
      </c>
      <c r="H4567">
        <f>IF(B4567,SQRT(-2*LN(F4567))*COS(2*PI()*G4567),"")</f>
        <v/>
      </c>
      <c r="I4567">
        <f>IF(B4567,IF(D4567=0,H4567,Rho*I4566+SQRT(1-Rho^2)*H4567),"")</f>
        <v/>
      </c>
      <c r="J4567">
        <f>IF(B4567,IF(Dist="Normal",DistA+DistB*I4567,DistA+(DistB-DistA)*NORMSDIST(I4567)),"")</f>
        <v/>
      </c>
      <c r="K4567">
        <f>IF(B4567,INDEX(MineScale,C4567),"")</f>
        <v/>
      </c>
      <c r="L4567">
        <f>IF(B4567,INDEX(Dow,1,WEEKDAY(E4567,2)),"")</f>
        <v/>
      </c>
      <c r="M4567">
        <f>IF(B4567,(1+Trend)^D4567,"")</f>
        <v/>
      </c>
      <c r="N4567">
        <f>IF(B4567,EXP(SUMPRODUCT(LN(1+(EvEff-1)*INDEX(Affected,0,C4567)*EXP(-((E4567-EvCenter)^2)/(2*EvSigma^2))))),"")</f>
        <v/>
      </c>
      <c r="O4567">
        <f>IF(B4567,ROUND(MAX(0,J4567*K4567*L4567*M4567*N4567),2),"")</f>
        <v/>
      </c>
    </row>
    <row r="4568">
      <c r="A4568" t="n">
        <v>4567</v>
      </c>
      <c r="B4568">
        <f>A4568&lt;=MineCount*Days</f>
        <v/>
      </c>
      <c r="C4568">
        <f>IF(B4568,INT((A4568-1)/Days)+1,"")</f>
        <v/>
      </c>
      <c r="D4568">
        <f>IF(B4568,MOD(A4568-1,Days),"")</f>
        <v/>
      </c>
      <c r="E4568" s="16">
        <f>IF(B4568,StartDate+D4568,"")</f>
        <v/>
      </c>
      <c r="F4568">
        <f>IF(B4568,MAX(MOD(SIN(Seed*0.1373+C4568*12.9898+D4568*78.233)*43758.5453,1),1E-9),"")</f>
        <v/>
      </c>
      <c r="G4568">
        <f>IF(B4568,MOD(SIN(Seed*0.5917+C4568*39.3468+D4568*11.135)*24634.6345,1),"")</f>
        <v/>
      </c>
      <c r="H4568">
        <f>IF(B4568,SQRT(-2*LN(F4568))*COS(2*PI()*G4568),"")</f>
        <v/>
      </c>
      <c r="I4568">
        <f>IF(B4568,IF(D4568=0,H4568,Rho*I4567+SQRT(1-Rho^2)*H4568),"")</f>
        <v/>
      </c>
      <c r="J4568">
        <f>IF(B4568,IF(Dist="Normal",DistA+DistB*I4568,DistA+(DistB-DistA)*NORMSDIST(I4568)),"")</f>
        <v/>
      </c>
      <c r="K4568">
        <f>IF(B4568,INDEX(MineScale,C4568),"")</f>
        <v/>
      </c>
      <c r="L4568">
        <f>IF(B4568,INDEX(Dow,1,WEEKDAY(E4568,2)),"")</f>
        <v/>
      </c>
      <c r="M4568">
        <f>IF(B4568,(1+Trend)^D4568,"")</f>
        <v/>
      </c>
      <c r="N4568">
        <f>IF(B4568,EXP(SUMPRODUCT(LN(1+(EvEff-1)*INDEX(Affected,0,C4568)*EXP(-((E4568-EvCenter)^2)/(2*EvSigma^2))))),"")</f>
        <v/>
      </c>
      <c r="O4568">
        <f>IF(B4568,ROUND(MAX(0,J4568*K4568*L4568*M4568*N4568),2),"")</f>
        <v/>
      </c>
    </row>
    <row r="4569">
      <c r="A4569" t="n">
        <v>4568</v>
      </c>
      <c r="B4569">
        <f>A4569&lt;=MineCount*Days</f>
        <v/>
      </c>
      <c r="C4569">
        <f>IF(B4569,INT((A4569-1)/Days)+1,"")</f>
        <v/>
      </c>
      <c r="D4569">
        <f>IF(B4569,MOD(A4569-1,Days),"")</f>
        <v/>
      </c>
      <c r="E4569" s="16">
        <f>IF(B4569,StartDate+D4569,"")</f>
        <v/>
      </c>
      <c r="F4569">
        <f>IF(B4569,MAX(MOD(SIN(Seed*0.1373+C4569*12.9898+D4569*78.233)*43758.5453,1),1E-9),"")</f>
        <v/>
      </c>
      <c r="G4569">
        <f>IF(B4569,MOD(SIN(Seed*0.5917+C4569*39.3468+D4569*11.135)*24634.6345,1),"")</f>
        <v/>
      </c>
      <c r="H4569">
        <f>IF(B4569,SQRT(-2*LN(F4569))*COS(2*PI()*G4569),"")</f>
        <v/>
      </c>
      <c r="I4569">
        <f>IF(B4569,IF(D4569=0,H4569,Rho*I4568+SQRT(1-Rho^2)*H4569),"")</f>
        <v/>
      </c>
      <c r="J4569">
        <f>IF(B4569,IF(Dist="Normal",DistA+DistB*I4569,DistA+(DistB-DistA)*NORMSDIST(I4569)),"")</f>
        <v/>
      </c>
      <c r="K4569">
        <f>IF(B4569,INDEX(MineScale,C4569),"")</f>
        <v/>
      </c>
      <c r="L4569">
        <f>IF(B4569,INDEX(Dow,1,WEEKDAY(E4569,2)),"")</f>
        <v/>
      </c>
      <c r="M4569">
        <f>IF(B4569,(1+Trend)^D4569,"")</f>
        <v/>
      </c>
      <c r="N4569">
        <f>IF(B4569,EXP(SUMPRODUCT(LN(1+(EvEff-1)*INDEX(Affected,0,C4569)*EXP(-((E4569-EvCenter)^2)/(2*EvSigma^2))))),"")</f>
        <v/>
      </c>
      <c r="O4569">
        <f>IF(B4569,ROUND(MAX(0,J4569*K4569*L4569*M4569*N4569),2),"")</f>
        <v/>
      </c>
    </row>
    <row r="4570">
      <c r="A4570" t="n">
        <v>4569</v>
      </c>
      <c r="B4570">
        <f>A4570&lt;=MineCount*Days</f>
        <v/>
      </c>
      <c r="C4570">
        <f>IF(B4570,INT((A4570-1)/Days)+1,"")</f>
        <v/>
      </c>
      <c r="D4570">
        <f>IF(B4570,MOD(A4570-1,Days),"")</f>
        <v/>
      </c>
      <c r="E4570" s="16">
        <f>IF(B4570,StartDate+D4570,"")</f>
        <v/>
      </c>
      <c r="F4570">
        <f>IF(B4570,MAX(MOD(SIN(Seed*0.1373+C4570*12.9898+D4570*78.233)*43758.5453,1),1E-9),"")</f>
        <v/>
      </c>
      <c r="G4570">
        <f>IF(B4570,MOD(SIN(Seed*0.5917+C4570*39.3468+D4570*11.135)*24634.6345,1),"")</f>
        <v/>
      </c>
      <c r="H4570">
        <f>IF(B4570,SQRT(-2*LN(F4570))*COS(2*PI()*G4570),"")</f>
        <v/>
      </c>
      <c r="I4570">
        <f>IF(B4570,IF(D4570=0,H4570,Rho*I4569+SQRT(1-Rho^2)*H4570),"")</f>
        <v/>
      </c>
      <c r="J4570">
        <f>IF(B4570,IF(Dist="Normal",DistA+DistB*I4570,DistA+(DistB-DistA)*NORMSDIST(I4570)),"")</f>
        <v/>
      </c>
      <c r="K4570">
        <f>IF(B4570,INDEX(MineScale,C4570),"")</f>
        <v/>
      </c>
      <c r="L4570">
        <f>IF(B4570,INDEX(Dow,1,WEEKDAY(E4570,2)),"")</f>
        <v/>
      </c>
      <c r="M4570">
        <f>IF(B4570,(1+Trend)^D4570,"")</f>
        <v/>
      </c>
      <c r="N4570">
        <f>IF(B4570,EXP(SUMPRODUCT(LN(1+(EvEff-1)*INDEX(Affected,0,C4570)*EXP(-((E4570-EvCenter)^2)/(2*EvSigma^2))))),"")</f>
        <v/>
      </c>
      <c r="O4570">
        <f>IF(B4570,ROUND(MAX(0,J4570*K4570*L4570*M4570*N4570),2),"")</f>
        <v/>
      </c>
    </row>
    <row r="4571">
      <c r="A4571" t="n">
        <v>4570</v>
      </c>
      <c r="B4571">
        <f>A4571&lt;=MineCount*Days</f>
        <v/>
      </c>
      <c r="C4571">
        <f>IF(B4571,INT((A4571-1)/Days)+1,"")</f>
        <v/>
      </c>
      <c r="D4571">
        <f>IF(B4571,MOD(A4571-1,Days),"")</f>
        <v/>
      </c>
      <c r="E4571" s="16">
        <f>IF(B4571,StartDate+D4571,"")</f>
        <v/>
      </c>
      <c r="F4571">
        <f>IF(B4571,MAX(MOD(SIN(Seed*0.1373+C4571*12.9898+D4571*78.233)*43758.5453,1),1E-9),"")</f>
        <v/>
      </c>
      <c r="G4571">
        <f>IF(B4571,MOD(SIN(Seed*0.5917+C4571*39.3468+D4571*11.135)*24634.6345,1),"")</f>
        <v/>
      </c>
      <c r="H4571">
        <f>IF(B4571,SQRT(-2*LN(F4571))*COS(2*PI()*G4571),"")</f>
        <v/>
      </c>
      <c r="I4571">
        <f>IF(B4571,IF(D4571=0,H4571,Rho*I4570+SQRT(1-Rho^2)*H4571),"")</f>
        <v/>
      </c>
      <c r="J4571">
        <f>IF(B4571,IF(Dist="Normal",DistA+DistB*I4571,DistA+(DistB-DistA)*NORMSDIST(I4571)),"")</f>
        <v/>
      </c>
      <c r="K4571">
        <f>IF(B4571,INDEX(MineScale,C4571),"")</f>
        <v/>
      </c>
      <c r="L4571">
        <f>IF(B4571,INDEX(Dow,1,WEEKDAY(E4571,2)),"")</f>
        <v/>
      </c>
      <c r="M4571">
        <f>IF(B4571,(1+Trend)^D4571,"")</f>
        <v/>
      </c>
      <c r="N4571">
        <f>IF(B4571,EXP(SUMPRODUCT(LN(1+(EvEff-1)*INDEX(Affected,0,C4571)*EXP(-((E4571-EvCenter)^2)/(2*EvSigma^2))))),"")</f>
        <v/>
      </c>
      <c r="O4571">
        <f>IF(B4571,ROUND(MAX(0,J4571*K4571*L4571*M4571*N4571),2),"")</f>
        <v/>
      </c>
    </row>
    <row r="4572">
      <c r="A4572" t="n">
        <v>4571</v>
      </c>
      <c r="B4572">
        <f>A4572&lt;=MineCount*Days</f>
        <v/>
      </c>
      <c r="C4572">
        <f>IF(B4572,INT((A4572-1)/Days)+1,"")</f>
        <v/>
      </c>
      <c r="D4572">
        <f>IF(B4572,MOD(A4572-1,Days),"")</f>
        <v/>
      </c>
      <c r="E4572" s="16">
        <f>IF(B4572,StartDate+D4572,"")</f>
        <v/>
      </c>
      <c r="F4572">
        <f>IF(B4572,MAX(MOD(SIN(Seed*0.1373+C4572*12.9898+D4572*78.233)*43758.5453,1),1E-9),"")</f>
        <v/>
      </c>
      <c r="G4572">
        <f>IF(B4572,MOD(SIN(Seed*0.5917+C4572*39.3468+D4572*11.135)*24634.6345,1),"")</f>
        <v/>
      </c>
      <c r="H4572">
        <f>IF(B4572,SQRT(-2*LN(F4572))*COS(2*PI()*G4572),"")</f>
        <v/>
      </c>
      <c r="I4572">
        <f>IF(B4572,IF(D4572=0,H4572,Rho*I4571+SQRT(1-Rho^2)*H4572),"")</f>
        <v/>
      </c>
      <c r="J4572">
        <f>IF(B4572,IF(Dist="Normal",DistA+DistB*I4572,DistA+(DistB-DistA)*NORMSDIST(I4572)),"")</f>
        <v/>
      </c>
      <c r="K4572">
        <f>IF(B4572,INDEX(MineScale,C4572),"")</f>
        <v/>
      </c>
      <c r="L4572">
        <f>IF(B4572,INDEX(Dow,1,WEEKDAY(E4572,2)),"")</f>
        <v/>
      </c>
      <c r="M4572">
        <f>IF(B4572,(1+Trend)^D4572,"")</f>
        <v/>
      </c>
      <c r="N4572">
        <f>IF(B4572,EXP(SUMPRODUCT(LN(1+(EvEff-1)*INDEX(Affected,0,C4572)*EXP(-((E4572-EvCenter)^2)/(2*EvSigma^2))))),"")</f>
        <v/>
      </c>
      <c r="O4572">
        <f>IF(B4572,ROUND(MAX(0,J4572*K4572*L4572*M4572*N4572),2),"")</f>
        <v/>
      </c>
    </row>
    <row r="4573">
      <c r="A4573" t="n">
        <v>4572</v>
      </c>
      <c r="B4573">
        <f>A4573&lt;=MineCount*Days</f>
        <v/>
      </c>
      <c r="C4573">
        <f>IF(B4573,INT((A4573-1)/Days)+1,"")</f>
        <v/>
      </c>
      <c r="D4573">
        <f>IF(B4573,MOD(A4573-1,Days),"")</f>
        <v/>
      </c>
      <c r="E4573" s="16">
        <f>IF(B4573,StartDate+D4573,"")</f>
        <v/>
      </c>
      <c r="F4573">
        <f>IF(B4573,MAX(MOD(SIN(Seed*0.1373+C4573*12.9898+D4573*78.233)*43758.5453,1),1E-9),"")</f>
        <v/>
      </c>
      <c r="G4573">
        <f>IF(B4573,MOD(SIN(Seed*0.5917+C4573*39.3468+D4573*11.135)*24634.6345,1),"")</f>
        <v/>
      </c>
      <c r="H4573">
        <f>IF(B4573,SQRT(-2*LN(F4573))*COS(2*PI()*G4573),"")</f>
        <v/>
      </c>
      <c r="I4573">
        <f>IF(B4573,IF(D4573=0,H4573,Rho*I4572+SQRT(1-Rho^2)*H4573),"")</f>
        <v/>
      </c>
      <c r="J4573">
        <f>IF(B4573,IF(Dist="Normal",DistA+DistB*I4573,DistA+(DistB-DistA)*NORMSDIST(I4573)),"")</f>
        <v/>
      </c>
      <c r="K4573">
        <f>IF(B4573,INDEX(MineScale,C4573),"")</f>
        <v/>
      </c>
      <c r="L4573">
        <f>IF(B4573,INDEX(Dow,1,WEEKDAY(E4573,2)),"")</f>
        <v/>
      </c>
      <c r="M4573">
        <f>IF(B4573,(1+Trend)^D4573,"")</f>
        <v/>
      </c>
      <c r="N4573">
        <f>IF(B4573,EXP(SUMPRODUCT(LN(1+(EvEff-1)*INDEX(Affected,0,C4573)*EXP(-((E4573-EvCenter)^2)/(2*EvSigma^2))))),"")</f>
        <v/>
      </c>
      <c r="O4573">
        <f>IF(B4573,ROUND(MAX(0,J4573*K4573*L4573*M4573*N4573),2),"")</f>
        <v/>
      </c>
    </row>
    <row r="4574">
      <c r="A4574" t="n">
        <v>4573</v>
      </c>
      <c r="B4574">
        <f>A4574&lt;=MineCount*Days</f>
        <v/>
      </c>
      <c r="C4574">
        <f>IF(B4574,INT((A4574-1)/Days)+1,"")</f>
        <v/>
      </c>
      <c r="D4574">
        <f>IF(B4574,MOD(A4574-1,Days),"")</f>
        <v/>
      </c>
      <c r="E4574" s="16">
        <f>IF(B4574,StartDate+D4574,"")</f>
        <v/>
      </c>
      <c r="F4574">
        <f>IF(B4574,MAX(MOD(SIN(Seed*0.1373+C4574*12.9898+D4574*78.233)*43758.5453,1),1E-9),"")</f>
        <v/>
      </c>
      <c r="G4574">
        <f>IF(B4574,MOD(SIN(Seed*0.5917+C4574*39.3468+D4574*11.135)*24634.6345,1),"")</f>
        <v/>
      </c>
      <c r="H4574">
        <f>IF(B4574,SQRT(-2*LN(F4574))*COS(2*PI()*G4574),"")</f>
        <v/>
      </c>
      <c r="I4574">
        <f>IF(B4574,IF(D4574=0,H4574,Rho*I4573+SQRT(1-Rho^2)*H4574),"")</f>
        <v/>
      </c>
      <c r="J4574">
        <f>IF(B4574,IF(Dist="Normal",DistA+DistB*I4574,DistA+(DistB-DistA)*NORMSDIST(I4574)),"")</f>
        <v/>
      </c>
      <c r="K4574">
        <f>IF(B4574,INDEX(MineScale,C4574),"")</f>
        <v/>
      </c>
      <c r="L4574">
        <f>IF(B4574,INDEX(Dow,1,WEEKDAY(E4574,2)),"")</f>
        <v/>
      </c>
      <c r="M4574">
        <f>IF(B4574,(1+Trend)^D4574,"")</f>
        <v/>
      </c>
      <c r="N4574">
        <f>IF(B4574,EXP(SUMPRODUCT(LN(1+(EvEff-1)*INDEX(Affected,0,C4574)*EXP(-((E4574-EvCenter)^2)/(2*EvSigma^2))))),"")</f>
        <v/>
      </c>
      <c r="O4574">
        <f>IF(B4574,ROUND(MAX(0,J4574*K4574*L4574*M4574*N4574),2),"")</f>
        <v/>
      </c>
    </row>
    <row r="4575">
      <c r="A4575" t="n">
        <v>4574</v>
      </c>
      <c r="B4575">
        <f>A4575&lt;=MineCount*Days</f>
        <v/>
      </c>
      <c r="C4575">
        <f>IF(B4575,INT((A4575-1)/Days)+1,"")</f>
        <v/>
      </c>
      <c r="D4575">
        <f>IF(B4575,MOD(A4575-1,Days),"")</f>
        <v/>
      </c>
      <c r="E4575" s="16">
        <f>IF(B4575,StartDate+D4575,"")</f>
        <v/>
      </c>
      <c r="F4575">
        <f>IF(B4575,MAX(MOD(SIN(Seed*0.1373+C4575*12.9898+D4575*78.233)*43758.5453,1),1E-9),"")</f>
        <v/>
      </c>
      <c r="G4575">
        <f>IF(B4575,MOD(SIN(Seed*0.5917+C4575*39.3468+D4575*11.135)*24634.6345,1),"")</f>
        <v/>
      </c>
      <c r="H4575">
        <f>IF(B4575,SQRT(-2*LN(F4575))*COS(2*PI()*G4575),"")</f>
        <v/>
      </c>
      <c r="I4575">
        <f>IF(B4575,IF(D4575=0,H4575,Rho*I4574+SQRT(1-Rho^2)*H4575),"")</f>
        <v/>
      </c>
      <c r="J4575">
        <f>IF(B4575,IF(Dist="Normal",DistA+DistB*I4575,DistA+(DistB-DistA)*NORMSDIST(I4575)),"")</f>
        <v/>
      </c>
      <c r="K4575">
        <f>IF(B4575,INDEX(MineScale,C4575),"")</f>
        <v/>
      </c>
      <c r="L4575">
        <f>IF(B4575,INDEX(Dow,1,WEEKDAY(E4575,2)),"")</f>
        <v/>
      </c>
      <c r="M4575">
        <f>IF(B4575,(1+Trend)^D4575,"")</f>
        <v/>
      </c>
      <c r="N4575">
        <f>IF(B4575,EXP(SUMPRODUCT(LN(1+(EvEff-1)*INDEX(Affected,0,C4575)*EXP(-((E4575-EvCenter)^2)/(2*EvSigma^2))))),"")</f>
        <v/>
      </c>
      <c r="O4575">
        <f>IF(B4575,ROUND(MAX(0,J4575*K4575*L4575*M4575*N4575),2),"")</f>
        <v/>
      </c>
    </row>
    <row r="4576">
      <c r="A4576" t="n">
        <v>4575</v>
      </c>
      <c r="B4576">
        <f>A4576&lt;=MineCount*Days</f>
        <v/>
      </c>
      <c r="C4576">
        <f>IF(B4576,INT((A4576-1)/Days)+1,"")</f>
        <v/>
      </c>
      <c r="D4576">
        <f>IF(B4576,MOD(A4576-1,Days),"")</f>
        <v/>
      </c>
      <c r="E4576" s="16">
        <f>IF(B4576,StartDate+D4576,"")</f>
        <v/>
      </c>
      <c r="F4576">
        <f>IF(B4576,MAX(MOD(SIN(Seed*0.1373+C4576*12.9898+D4576*78.233)*43758.5453,1),1E-9),"")</f>
        <v/>
      </c>
      <c r="G4576">
        <f>IF(B4576,MOD(SIN(Seed*0.5917+C4576*39.3468+D4576*11.135)*24634.6345,1),"")</f>
        <v/>
      </c>
      <c r="H4576">
        <f>IF(B4576,SQRT(-2*LN(F4576))*COS(2*PI()*G4576),"")</f>
        <v/>
      </c>
      <c r="I4576">
        <f>IF(B4576,IF(D4576=0,H4576,Rho*I4575+SQRT(1-Rho^2)*H4576),"")</f>
        <v/>
      </c>
      <c r="J4576">
        <f>IF(B4576,IF(Dist="Normal",DistA+DistB*I4576,DistA+(DistB-DistA)*NORMSDIST(I4576)),"")</f>
        <v/>
      </c>
      <c r="K4576">
        <f>IF(B4576,INDEX(MineScale,C4576),"")</f>
        <v/>
      </c>
      <c r="L4576">
        <f>IF(B4576,INDEX(Dow,1,WEEKDAY(E4576,2)),"")</f>
        <v/>
      </c>
      <c r="M4576">
        <f>IF(B4576,(1+Trend)^D4576,"")</f>
        <v/>
      </c>
      <c r="N4576">
        <f>IF(B4576,EXP(SUMPRODUCT(LN(1+(EvEff-1)*INDEX(Affected,0,C4576)*EXP(-((E4576-EvCenter)^2)/(2*EvSigma^2))))),"")</f>
        <v/>
      </c>
      <c r="O4576">
        <f>IF(B4576,ROUND(MAX(0,J4576*K4576*L4576*M4576*N4576),2),"")</f>
        <v/>
      </c>
    </row>
    <row r="4577">
      <c r="A4577" t="n">
        <v>4576</v>
      </c>
      <c r="B4577">
        <f>A4577&lt;=MineCount*Days</f>
        <v/>
      </c>
      <c r="C4577">
        <f>IF(B4577,INT((A4577-1)/Days)+1,"")</f>
        <v/>
      </c>
      <c r="D4577">
        <f>IF(B4577,MOD(A4577-1,Days),"")</f>
        <v/>
      </c>
      <c r="E4577" s="16">
        <f>IF(B4577,StartDate+D4577,"")</f>
        <v/>
      </c>
      <c r="F4577">
        <f>IF(B4577,MAX(MOD(SIN(Seed*0.1373+C4577*12.9898+D4577*78.233)*43758.5453,1),1E-9),"")</f>
        <v/>
      </c>
      <c r="G4577">
        <f>IF(B4577,MOD(SIN(Seed*0.5917+C4577*39.3468+D4577*11.135)*24634.6345,1),"")</f>
        <v/>
      </c>
      <c r="H4577">
        <f>IF(B4577,SQRT(-2*LN(F4577))*COS(2*PI()*G4577),"")</f>
        <v/>
      </c>
      <c r="I4577">
        <f>IF(B4577,IF(D4577=0,H4577,Rho*I4576+SQRT(1-Rho^2)*H4577),"")</f>
        <v/>
      </c>
      <c r="J4577">
        <f>IF(B4577,IF(Dist="Normal",DistA+DistB*I4577,DistA+(DistB-DistA)*NORMSDIST(I4577)),"")</f>
        <v/>
      </c>
      <c r="K4577">
        <f>IF(B4577,INDEX(MineScale,C4577),"")</f>
        <v/>
      </c>
      <c r="L4577">
        <f>IF(B4577,INDEX(Dow,1,WEEKDAY(E4577,2)),"")</f>
        <v/>
      </c>
      <c r="M4577">
        <f>IF(B4577,(1+Trend)^D4577,"")</f>
        <v/>
      </c>
      <c r="N4577">
        <f>IF(B4577,EXP(SUMPRODUCT(LN(1+(EvEff-1)*INDEX(Affected,0,C4577)*EXP(-((E4577-EvCenter)^2)/(2*EvSigma^2))))),"")</f>
        <v/>
      </c>
      <c r="O4577">
        <f>IF(B4577,ROUND(MAX(0,J4577*K4577*L4577*M4577*N4577),2),"")</f>
        <v/>
      </c>
    </row>
    <row r="4578">
      <c r="A4578" t="n">
        <v>4577</v>
      </c>
      <c r="B4578">
        <f>A4578&lt;=MineCount*Days</f>
        <v/>
      </c>
      <c r="C4578">
        <f>IF(B4578,INT((A4578-1)/Days)+1,"")</f>
        <v/>
      </c>
      <c r="D4578">
        <f>IF(B4578,MOD(A4578-1,Days),"")</f>
        <v/>
      </c>
      <c r="E4578" s="16">
        <f>IF(B4578,StartDate+D4578,"")</f>
        <v/>
      </c>
      <c r="F4578">
        <f>IF(B4578,MAX(MOD(SIN(Seed*0.1373+C4578*12.9898+D4578*78.233)*43758.5453,1),1E-9),"")</f>
        <v/>
      </c>
      <c r="G4578">
        <f>IF(B4578,MOD(SIN(Seed*0.5917+C4578*39.3468+D4578*11.135)*24634.6345,1),"")</f>
        <v/>
      </c>
      <c r="H4578">
        <f>IF(B4578,SQRT(-2*LN(F4578))*COS(2*PI()*G4578),"")</f>
        <v/>
      </c>
      <c r="I4578">
        <f>IF(B4578,IF(D4578=0,H4578,Rho*I4577+SQRT(1-Rho^2)*H4578),"")</f>
        <v/>
      </c>
      <c r="J4578">
        <f>IF(B4578,IF(Dist="Normal",DistA+DistB*I4578,DistA+(DistB-DistA)*NORMSDIST(I4578)),"")</f>
        <v/>
      </c>
      <c r="K4578">
        <f>IF(B4578,INDEX(MineScale,C4578),"")</f>
        <v/>
      </c>
      <c r="L4578">
        <f>IF(B4578,INDEX(Dow,1,WEEKDAY(E4578,2)),"")</f>
        <v/>
      </c>
      <c r="M4578">
        <f>IF(B4578,(1+Trend)^D4578,"")</f>
        <v/>
      </c>
      <c r="N4578">
        <f>IF(B4578,EXP(SUMPRODUCT(LN(1+(EvEff-1)*INDEX(Affected,0,C4578)*EXP(-((E4578-EvCenter)^2)/(2*EvSigma^2))))),"")</f>
        <v/>
      </c>
      <c r="O4578">
        <f>IF(B4578,ROUND(MAX(0,J4578*K4578*L4578*M4578*N4578),2),"")</f>
        <v/>
      </c>
    </row>
    <row r="4579">
      <c r="A4579" t="n">
        <v>4578</v>
      </c>
      <c r="B4579">
        <f>A4579&lt;=MineCount*Days</f>
        <v/>
      </c>
      <c r="C4579">
        <f>IF(B4579,INT((A4579-1)/Days)+1,"")</f>
        <v/>
      </c>
      <c r="D4579">
        <f>IF(B4579,MOD(A4579-1,Days),"")</f>
        <v/>
      </c>
      <c r="E4579" s="16">
        <f>IF(B4579,StartDate+D4579,"")</f>
        <v/>
      </c>
      <c r="F4579">
        <f>IF(B4579,MAX(MOD(SIN(Seed*0.1373+C4579*12.9898+D4579*78.233)*43758.5453,1),1E-9),"")</f>
        <v/>
      </c>
      <c r="G4579">
        <f>IF(B4579,MOD(SIN(Seed*0.5917+C4579*39.3468+D4579*11.135)*24634.6345,1),"")</f>
        <v/>
      </c>
      <c r="H4579">
        <f>IF(B4579,SQRT(-2*LN(F4579))*COS(2*PI()*G4579),"")</f>
        <v/>
      </c>
      <c r="I4579">
        <f>IF(B4579,IF(D4579=0,H4579,Rho*I4578+SQRT(1-Rho^2)*H4579),"")</f>
        <v/>
      </c>
      <c r="J4579">
        <f>IF(B4579,IF(Dist="Normal",DistA+DistB*I4579,DistA+(DistB-DistA)*NORMSDIST(I4579)),"")</f>
        <v/>
      </c>
      <c r="K4579">
        <f>IF(B4579,INDEX(MineScale,C4579),"")</f>
        <v/>
      </c>
      <c r="L4579">
        <f>IF(B4579,INDEX(Dow,1,WEEKDAY(E4579,2)),"")</f>
        <v/>
      </c>
      <c r="M4579">
        <f>IF(B4579,(1+Trend)^D4579,"")</f>
        <v/>
      </c>
      <c r="N4579">
        <f>IF(B4579,EXP(SUMPRODUCT(LN(1+(EvEff-1)*INDEX(Affected,0,C4579)*EXP(-((E4579-EvCenter)^2)/(2*EvSigma^2))))),"")</f>
        <v/>
      </c>
      <c r="O4579">
        <f>IF(B4579,ROUND(MAX(0,J4579*K4579*L4579*M4579*N4579),2),"")</f>
        <v/>
      </c>
    </row>
    <row r="4580">
      <c r="A4580" t="n">
        <v>4579</v>
      </c>
      <c r="B4580">
        <f>A4580&lt;=MineCount*Days</f>
        <v/>
      </c>
      <c r="C4580">
        <f>IF(B4580,INT((A4580-1)/Days)+1,"")</f>
        <v/>
      </c>
      <c r="D4580">
        <f>IF(B4580,MOD(A4580-1,Days),"")</f>
        <v/>
      </c>
      <c r="E4580" s="16">
        <f>IF(B4580,StartDate+D4580,"")</f>
        <v/>
      </c>
      <c r="F4580">
        <f>IF(B4580,MAX(MOD(SIN(Seed*0.1373+C4580*12.9898+D4580*78.233)*43758.5453,1),1E-9),"")</f>
        <v/>
      </c>
      <c r="G4580">
        <f>IF(B4580,MOD(SIN(Seed*0.5917+C4580*39.3468+D4580*11.135)*24634.6345,1),"")</f>
        <v/>
      </c>
      <c r="H4580">
        <f>IF(B4580,SQRT(-2*LN(F4580))*COS(2*PI()*G4580),"")</f>
        <v/>
      </c>
      <c r="I4580">
        <f>IF(B4580,IF(D4580=0,H4580,Rho*I4579+SQRT(1-Rho^2)*H4580),"")</f>
        <v/>
      </c>
      <c r="J4580">
        <f>IF(B4580,IF(Dist="Normal",DistA+DistB*I4580,DistA+(DistB-DistA)*NORMSDIST(I4580)),"")</f>
        <v/>
      </c>
      <c r="K4580">
        <f>IF(B4580,INDEX(MineScale,C4580),"")</f>
        <v/>
      </c>
      <c r="L4580">
        <f>IF(B4580,INDEX(Dow,1,WEEKDAY(E4580,2)),"")</f>
        <v/>
      </c>
      <c r="M4580">
        <f>IF(B4580,(1+Trend)^D4580,"")</f>
        <v/>
      </c>
      <c r="N4580">
        <f>IF(B4580,EXP(SUMPRODUCT(LN(1+(EvEff-1)*INDEX(Affected,0,C4580)*EXP(-((E4580-EvCenter)^2)/(2*EvSigma^2))))),"")</f>
        <v/>
      </c>
      <c r="O4580">
        <f>IF(B4580,ROUND(MAX(0,J4580*K4580*L4580*M4580*N4580),2),"")</f>
        <v/>
      </c>
    </row>
    <row r="4581">
      <c r="A4581" t="n">
        <v>4580</v>
      </c>
      <c r="B4581">
        <f>A4581&lt;=MineCount*Days</f>
        <v/>
      </c>
      <c r="C4581">
        <f>IF(B4581,INT((A4581-1)/Days)+1,"")</f>
        <v/>
      </c>
      <c r="D4581">
        <f>IF(B4581,MOD(A4581-1,Days),"")</f>
        <v/>
      </c>
      <c r="E4581" s="16">
        <f>IF(B4581,StartDate+D4581,"")</f>
        <v/>
      </c>
      <c r="F4581">
        <f>IF(B4581,MAX(MOD(SIN(Seed*0.1373+C4581*12.9898+D4581*78.233)*43758.5453,1),1E-9),"")</f>
        <v/>
      </c>
      <c r="G4581">
        <f>IF(B4581,MOD(SIN(Seed*0.5917+C4581*39.3468+D4581*11.135)*24634.6345,1),"")</f>
        <v/>
      </c>
      <c r="H4581">
        <f>IF(B4581,SQRT(-2*LN(F4581))*COS(2*PI()*G4581),"")</f>
        <v/>
      </c>
      <c r="I4581">
        <f>IF(B4581,IF(D4581=0,H4581,Rho*I4580+SQRT(1-Rho^2)*H4581),"")</f>
        <v/>
      </c>
      <c r="J4581">
        <f>IF(B4581,IF(Dist="Normal",DistA+DistB*I4581,DistA+(DistB-DistA)*NORMSDIST(I4581)),"")</f>
        <v/>
      </c>
      <c r="K4581">
        <f>IF(B4581,INDEX(MineScale,C4581),"")</f>
        <v/>
      </c>
      <c r="L4581">
        <f>IF(B4581,INDEX(Dow,1,WEEKDAY(E4581,2)),"")</f>
        <v/>
      </c>
      <c r="M4581">
        <f>IF(B4581,(1+Trend)^D4581,"")</f>
        <v/>
      </c>
      <c r="N4581">
        <f>IF(B4581,EXP(SUMPRODUCT(LN(1+(EvEff-1)*INDEX(Affected,0,C4581)*EXP(-((E4581-EvCenter)^2)/(2*EvSigma^2))))),"")</f>
        <v/>
      </c>
      <c r="O4581">
        <f>IF(B4581,ROUND(MAX(0,J4581*K4581*L4581*M4581*N4581),2),"")</f>
        <v/>
      </c>
    </row>
    <row r="4582">
      <c r="A4582" t="n">
        <v>4581</v>
      </c>
      <c r="B4582">
        <f>A4582&lt;=MineCount*Days</f>
        <v/>
      </c>
      <c r="C4582">
        <f>IF(B4582,INT((A4582-1)/Days)+1,"")</f>
        <v/>
      </c>
      <c r="D4582">
        <f>IF(B4582,MOD(A4582-1,Days),"")</f>
        <v/>
      </c>
      <c r="E4582" s="16">
        <f>IF(B4582,StartDate+D4582,"")</f>
        <v/>
      </c>
      <c r="F4582">
        <f>IF(B4582,MAX(MOD(SIN(Seed*0.1373+C4582*12.9898+D4582*78.233)*43758.5453,1),1E-9),"")</f>
        <v/>
      </c>
      <c r="G4582">
        <f>IF(B4582,MOD(SIN(Seed*0.5917+C4582*39.3468+D4582*11.135)*24634.6345,1),"")</f>
        <v/>
      </c>
      <c r="H4582">
        <f>IF(B4582,SQRT(-2*LN(F4582))*COS(2*PI()*G4582),"")</f>
        <v/>
      </c>
      <c r="I4582">
        <f>IF(B4582,IF(D4582=0,H4582,Rho*I4581+SQRT(1-Rho^2)*H4582),"")</f>
        <v/>
      </c>
      <c r="J4582">
        <f>IF(B4582,IF(Dist="Normal",DistA+DistB*I4582,DistA+(DistB-DistA)*NORMSDIST(I4582)),"")</f>
        <v/>
      </c>
      <c r="K4582">
        <f>IF(B4582,INDEX(MineScale,C4582),"")</f>
        <v/>
      </c>
      <c r="L4582">
        <f>IF(B4582,INDEX(Dow,1,WEEKDAY(E4582,2)),"")</f>
        <v/>
      </c>
      <c r="M4582">
        <f>IF(B4582,(1+Trend)^D4582,"")</f>
        <v/>
      </c>
      <c r="N4582">
        <f>IF(B4582,EXP(SUMPRODUCT(LN(1+(EvEff-1)*INDEX(Affected,0,C4582)*EXP(-((E4582-EvCenter)^2)/(2*EvSigma^2))))),"")</f>
        <v/>
      </c>
      <c r="O4582">
        <f>IF(B4582,ROUND(MAX(0,J4582*K4582*L4582*M4582*N4582),2),"")</f>
        <v/>
      </c>
    </row>
    <row r="4583">
      <c r="A4583" t="n">
        <v>4582</v>
      </c>
      <c r="B4583">
        <f>A4583&lt;=MineCount*Days</f>
        <v/>
      </c>
      <c r="C4583">
        <f>IF(B4583,INT((A4583-1)/Days)+1,"")</f>
        <v/>
      </c>
      <c r="D4583">
        <f>IF(B4583,MOD(A4583-1,Days),"")</f>
        <v/>
      </c>
      <c r="E4583" s="16">
        <f>IF(B4583,StartDate+D4583,"")</f>
        <v/>
      </c>
      <c r="F4583">
        <f>IF(B4583,MAX(MOD(SIN(Seed*0.1373+C4583*12.9898+D4583*78.233)*43758.5453,1),1E-9),"")</f>
        <v/>
      </c>
      <c r="G4583">
        <f>IF(B4583,MOD(SIN(Seed*0.5917+C4583*39.3468+D4583*11.135)*24634.6345,1),"")</f>
        <v/>
      </c>
      <c r="H4583">
        <f>IF(B4583,SQRT(-2*LN(F4583))*COS(2*PI()*G4583),"")</f>
        <v/>
      </c>
      <c r="I4583">
        <f>IF(B4583,IF(D4583=0,H4583,Rho*I4582+SQRT(1-Rho^2)*H4583),"")</f>
        <v/>
      </c>
      <c r="J4583">
        <f>IF(B4583,IF(Dist="Normal",DistA+DistB*I4583,DistA+(DistB-DistA)*NORMSDIST(I4583)),"")</f>
        <v/>
      </c>
      <c r="K4583">
        <f>IF(B4583,INDEX(MineScale,C4583),"")</f>
        <v/>
      </c>
      <c r="L4583">
        <f>IF(B4583,INDEX(Dow,1,WEEKDAY(E4583,2)),"")</f>
        <v/>
      </c>
      <c r="M4583">
        <f>IF(B4583,(1+Trend)^D4583,"")</f>
        <v/>
      </c>
      <c r="N4583">
        <f>IF(B4583,EXP(SUMPRODUCT(LN(1+(EvEff-1)*INDEX(Affected,0,C4583)*EXP(-((E4583-EvCenter)^2)/(2*EvSigma^2))))),"")</f>
        <v/>
      </c>
      <c r="O4583">
        <f>IF(B4583,ROUND(MAX(0,J4583*K4583*L4583*M4583*N4583),2),"")</f>
        <v/>
      </c>
    </row>
    <row r="4584">
      <c r="A4584" t="n">
        <v>4583</v>
      </c>
      <c r="B4584">
        <f>A4584&lt;=MineCount*Days</f>
        <v/>
      </c>
      <c r="C4584">
        <f>IF(B4584,INT((A4584-1)/Days)+1,"")</f>
        <v/>
      </c>
      <c r="D4584">
        <f>IF(B4584,MOD(A4584-1,Days),"")</f>
        <v/>
      </c>
      <c r="E4584" s="16">
        <f>IF(B4584,StartDate+D4584,"")</f>
        <v/>
      </c>
      <c r="F4584">
        <f>IF(B4584,MAX(MOD(SIN(Seed*0.1373+C4584*12.9898+D4584*78.233)*43758.5453,1),1E-9),"")</f>
        <v/>
      </c>
      <c r="G4584">
        <f>IF(B4584,MOD(SIN(Seed*0.5917+C4584*39.3468+D4584*11.135)*24634.6345,1),"")</f>
        <v/>
      </c>
      <c r="H4584">
        <f>IF(B4584,SQRT(-2*LN(F4584))*COS(2*PI()*G4584),"")</f>
        <v/>
      </c>
      <c r="I4584">
        <f>IF(B4584,IF(D4584=0,H4584,Rho*I4583+SQRT(1-Rho^2)*H4584),"")</f>
        <v/>
      </c>
      <c r="J4584">
        <f>IF(B4584,IF(Dist="Normal",DistA+DistB*I4584,DistA+(DistB-DistA)*NORMSDIST(I4584)),"")</f>
        <v/>
      </c>
      <c r="K4584">
        <f>IF(B4584,INDEX(MineScale,C4584),"")</f>
        <v/>
      </c>
      <c r="L4584">
        <f>IF(B4584,INDEX(Dow,1,WEEKDAY(E4584,2)),"")</f>
        <v/>
      </c>
      <c r="M4584">
        <f>IF(B4584,(1+Trend)^D4584,"")</f>
        <v/>
      </c>
      <c r="N4584">
        <f>IF(B4584,EXP(SUMPRODUCT(LN(1+(EvEff-1)*INDEX(Affected,0,C4584)*EXP(-((E4584-EvCenter)^2)/(2*EvSigma^2))))),"")</f>
        <v/>
      </c>
      <c r="O4584">
        <f>IF(B4584,ROUND(MAX(0,J4584*K4584*L4584*M4584*N4584),2),"")</f>
        <v/>
      </c>
    </row>
    <row r="4585">
      <c r="A4585" t="n">
        <v>4584</v>
      </c>
      <c r="B4585">
        <f>A4585&lt;=MineCount*Days</f>
        <v/>
      </c>
      <c r="C4585">
        <f>IF(B4585,INT((A4585-1)/Days)+1,"")</f>
        <v/>
      </c>
      <c r="D4585">
        <f>IF(B4585,MOD(A4585-1,Days),"")</f>
        <v/>
      </c>
      <c r="E4585" s="16">
        <f>IF(B4585,StartDate+D4585,"")</f>
        <v/>
      </c>
      <c r="F4585">
        <f>IF(B4585,MAX(MOD(SIN(Seed*0.1373+C4585*12.9898+D4585*78.233)*43758.5453,1),1E-9),"")</f>
        <v/>
      </c>
      <c r="G4585">
        <f>IF(B4585,MOD(SIN(Seed*0.5917+C4585*39.3468+D4585*11.135)*24634.6345,1),"")</f>
        <v/>
      </c>
      <c r="H4585">
        <f>IF(B4585,SQRT(-2*LN(F4585))*COS(2*PI()*G4585),"")</f>
        <v/>
      </c>
      <c r="I4585">
        <f>IF(B4585,IF(D4585=0,H4585,Rho*I4584+SQRT(1-Rho^2)*H4585),"")</f>
        <v/>
      </c>
      <c r="J4585">
        <f>IF(B4585,IF(Dist="Normal",DistA+DistB*I4585,DistA+(DistB-DistA)*NORMSDIST(I4585)),"")</f>
        <v/>
      </c>
      <c r="K4585">
        <f>IF(B4585,INDEX(MineScale,C4585),"")</f>
        <v/>
      </c>
      <c r="L4585">
        <f>IF(B4585,INDEX(Dow,1,WEEKDAY(E4585,2)),"")</f>
        <v/>
      </c>
      <c r="M4585">
        <f>IF(B4585,(1+Trend)^D4585,"")</f>
        <v/>
      </c>
      <c r="N4585">
        <f>IF(B4585,EXP(SUMPRODUCT(LN(1+(EvEff-1)*INDEX(Affected,0,C4585)*EXP(-((E4585-EvCenter)^2)/(2*EvSigma^2))))),"")</f>
        <v/>
      </c>
      <c r="O4585">
        <f>IF(B4585,ROUND(MAX(0,J4585*K4585*L4585*M4585*N4585),2),"")</f>
        <v/>
      </c>
    </row>
    <row r="4586">
      <c r="A4586" t="n">
        <v>4585</v>
      </c>
      <c r="B4586">
        <f>A4586&lt;=MineCount*Days</f>
        <v/>
      </c>
      <c r="C4586">
        <f>IF(B4586,INT((A4586-1)/Days)+1,"")</f>
        <v/>
      </c>
      <c r="D4586">
        <f>IF(B4586,MOD(A4586-1,Days),"")</f>
        <v/>
      </c>
      <c r="E4586" s="16">
        <f>IF(B4586,StartDate+D4586,"")</f>
        <v/>
      </c>
      <c r="F4586">
        <f>IF(B4586,MAX(MOD(SIN(Seed*0.1373+C4586*12.9898+D4586*78.233)*43758.5453,1),1E-9),"")</f>
        <v/>
      </c>
      <c r="G4586">
        <f>IF(B4586,MOD(SIN(Seed*0.5917+C4586*39.3468+D4586*11.135)*24634.6345,1),"")</f>
        <v/>
      </c>
      <c r="H4586">
        <f>IF(B4586,SQRT(-2*LN(F4586))*COS(2*PI()*G4586),"")</f>
        <v/>
      </c>
      <c r="I4586">
        <f>IF(B4586,IF(D4586=0,H4586,Rho*I4585+SQRT(1-Rho^2)*H4586),"")</f>
        <v/>
      </c>
      <c r="J4586">
        <f>IF(B4586,IF(Dist="Normal",DistA+DistB*I4586,DistA+(DistB-DistA)*NORMSDIST(I4586)),"")</f>
        <v/>
      </c>
      <c r="K4586">
        <f>IF(B4586,INDEX(MineScale,C4586),"")</f>
        <v/>
      </c>
      <c r="L4586">
        <f>IF(B4586,INDEX(Dow,1,WEEKDAY(E4586,2)),"")</f>
        <v/>
      </c>
      <c r="M4586">
        <f>IF(B4586,(1+Trend)^D4586,"")</f>
        <v/>
      </c>
      <c r="N4586">
        <f>IF(B4586,EXP(SUMPRODUCT(LN(1+(EvEff-1)*INDEX(Affected,0,C4586)*EXP(-((E4586-EvCenter)^2)/(2*EvSigma^2))))),"")</f>
        <v/>
      </c>
      <c r="O4586">
        <f>IF(B4586,ROUND(MAX(0,J4586*K4586*L4586*M4586*N4586),2),"")</f>
        <v/>
      </c>
    </row>
    <row r="4587">
      <c r="A4587" t="n">
        <v>4586</v>
      </c>
      <c r="B4587">
        <f>A4587&lt;=MineCount*Days</f>
        <v/>
      </c>
      <c r="C4587">
        <f>IF(B4587,INT((A4587-1)/Days)+1,"")</f>
        <v/>
      </c>
      <c r="D4587">
        <f>IF(B4587,MOD(A4587-1,Days),"")</f>
        <v/>
      </c>
      <c r="E4587" s="16">
        <f>IF(B4587,StartDate+D4587,"")</f>
        <v/>
      </c>
      <c r="F4587">
        <f>IF(B4587,MAX(MOD(SIN(Seed*0.1373+C4587*12.9898+D4587*78.233)*43758.5453,1),1E-9),"")</f>
        <v/>
      </c>
      <c r="G4587">
        <f>IF(B4587,MOD(SIN(Seed*0.5917+C4587*39.3468+D4587*11.135)*24634.6345,1),"")</f>
        <v/>
      </c>
      <c r="H4587">
        <f>IF(B4587,SQRT(-2*LN(F4587))*COS(2*PI()*G4587),"")</f>
        <v/>
      </c>
      <c r="I4587">
        <f>IF(B4587,IF(D4587=0,H4587,Rho*I4586+SQRT(1-Rho^2)*H4587),"")</f>
        <v/>
      </c>
      <c r="J4587">
        <f>IF(B4587,IF(Dist="Normal",DistA+DistB*I4587,DistA+(DistB-DistA)*NORMSDIST(I4587)),"")</f>
        <v/>
      </c>
      <c r="K4587">
        <f>IF(B4587,INDEX(MineScale,C4587),"")</f>
        <v/>
      </c>
      <c r="L4587">
        <f>IF(B4587,INDEX(Dow,1,WEEKDAY(E4587,2)),"")</f>
        <v/>
      </c>
      <c r="M4587">
        <f>IF(B4587,(1+Trend)^D4587,"")</f>
        <v/>
      </c>
      <c r="N4587">
        <f>IF(B4587,EXP(SUMPRODUCT(LN(1+(EvEff-1)*INDEX(Affected,0,C4587)*EXP(-((E4587-EvCenter)^2)/(2*EvSigma^2))))),"")</f>
        <v/>
      </c>
      <c r="O4587">
        <f>IF(B4587,ROUND(MAX(0,J4587*K4587*L4587*M4587*N4587),2),"")</f>
        <v/>
      </c>
    </row>
    <row r="4588">
      <c r="A4588" t="n">
        <v>4587</v>
      </c>
      <c r="B4588">
        <f>A4588&lt;=MineCount*Days</f>
        <v/>
      </c>
      <c r="C4588">
        <f>IF(B4588,INT((A4588-1)/Days)+1,"")</f>
        <v/>
      </c>
      <c r="D4588">
        <f>IF(B4588,MOD(A4588-1,Days),"")</f>
        <v/>
      </c>
      <c r="E4588" s="16">
        <f>IF(B4588,StartDate+D4588,"")</f>
        <v/>
      </c>
      <c r="F4588">
        <f>IF(B4588,MAX(MOD(SIN(Seed*0.1373+C4588*12.9898+D4588*78.233)*43758.5453,1),1E-9),"")</f>
        <v/>
      </c>
      <c r="G4588">
        <f>IF(B4588,MOD(SIN(Seed*0.5917+C4588*39.3468+D4588*11.135)*24634.6345,1),"")</f>
        <v/>
      </c>
      <c r="H4588">
        <f>IF(B4588,SQRT(-2*LN(F4588))*COS(2*PI()*G4588),"")</f>
        <v/>
      </c>
      <c r="I4588">
        <f>IF(B4588,IF(D4588=0,H4588,Rho*I4587+SQRT(1-Rho^2)*H4588),"")</f>
        <v/>
      </c>
      <c r="J4588">
        <f>IF(B4588,IF(Dist="Normal",DistA+DistB*I4588,DistA+(DistB-DistA)*NORMSDIST(I4588)),"")</f>
        <v/>
      </c>
      <c r="K4588">
        <f>IF(B4588,INDEX(MineScale,C4588),"")</f>
        <v/>
      </c>
      <c r="L4588">
        <f>IF(B4588,INDEX(Dow,1,WEEKDAY(E4588,2)),"")</f>
        <v/>
      </c>
      <c r="M4588">
        <f>IF(B4588,(1+Trend)^D4588,"")</f>
        <v/>
      </c>
      <c r="N4588">
        <f>IF(B4588,EXP(SUMPRODUCT(LN(1+(EvEff-1)*INDEX(Affected,0,C4588)*EXP(-((E4588-EvCenter)^2)/(2*EvSigma^2))))),"")</f>
        <v/>
      </c>
      <c r="O4588">
        <f>IF(B4588,ROUND(MAX(0,J4588*K4588*L4588*M4588*N4588),2),"")</f>
        <v/>
      </c>
    </row>
    <row r="4589">
      <c r="A4589" t="n">
        <v>4588</v>
      </c>
      <c r="B4589">
        <f>A4589&lt;=MineCount*Days</f>
        <v/>
      </c>
      <c r="C4589">
        <f>IF(B4589,INT((A4589-1)/Days)+1,"")</f>
        <v/>
      </c>
      <c r="D4589">
        <f>IF(B4589,MOD(A4589-1,Days),"")</f>
        <v/>
      </c>
      <c r="E4589" s="16">
        <f>IF(B4589,StartDate+D4589,"")</f>
        <v/>
      </c>
      <c r="F4589">
        <f>IF(B4589,MAX(MOD(SIN(Seed*0.1373+C4589*12.9898+D4589*78.233)*43758.5453,1),1E-9),"")</f>
        <v/>
      </c>
      <c r="G4589">
        <f>IF(B4589,MOD(SIN(Seed*0.5917+C4589*39.3468+D4589*11.135)*24634.6345,1),"")</f>
        <v/>
      </c>
      <c r="H4589">
        <f>IF(B4589,SQRT(-2*LN(F4589))*COS(2*PI()*G4589),"")</f>
        <v/>
      </c>
      <c r="I4589">
        <f>IF(B4589,IF(D4589=0,H4589,Rho*I4588+SQRT(1-Rho^2)*H4589),"")</f>
        <v/>
      </c>
      <c r="J4589">
        <f>IF(B4589,IF(Dist="Normal",DistA+DistB*I4589,DistA+(DistB-DistA)*NORMSDIST(I4589)),"")</f>
        <v/>
      </c>
      <c r="K4589">
        <f>IF(B4589,INDEX(MineScale,C4589),"")</f>
        <v/>
      </c>
      <c r="L4589">
        <f>IF(B4589,INDEX(Dow,1,WEEKDAY(E4589,2)),"")</f>
        <v/>
      </c>
      <c r="M4589">
        <f>IF(B4589,(1+Trend)^D4589,"")</f>
        <v/>
      </c>
      <c r="N4589">
        <f>IF(B4589,EXP(SUMPRODUCT(LN(1+(EvEff-1)*INDEX(Affected,0,C4589)*EXP(-((E4589-EvCenter)^2)/(2*EvSigma^2))))),"")</f>
        <v/>
      </c>
      <c r="O4589">
        <f>IF(B4589,ROUND(MAX(0,J4589*K4589*L4589*M4589*N4589),2),"")</f>
        <v/>
      </c>
    </row>
    <row r="4590">
      <c r="A4590" t="n">
        <v>4589</v>
      </c>
      <c r="B4590">
        <f>A4590&lt;=MineCount*Days</f>
        <v/>
      </c>
      <c r="C4590">
        <f>IF(B4590,INT((A4590-1)/Days)+1,"")</f>
        <v/>
      </c>
      <c r="D4590">
        <f>IF(B4590,MOD(A4590-1,Days),"")</f>
        <v/>
      </c>
      <c r="E4590" s="16">
        <f>IF(B4590,StartDate+D4590,"")</f>
        <v/>
      </c>
      <c r="F4590">
        <f>IF(B4590,MAX(MOD(SIN(Seed*0.1373+C4590*12.9898+D4590*78.233)*43758.5453,1),1E-9),"")</f>
        <v/>
      </c>
      <c r="G4590">
        <f>IF(B4590,MOD(SIN(Seed*0.5917+C4590*39.3468+D4590*11.135)*24634.6345,1),"")</f>
        <v/>
      </c>
      <c r="H4590">
        <f>IF(B4590,SQRT(-2*LN(F4590))*COS(2*PI()*G4590),"")</f>
        <v/>
      </c>
      <c r="I4590">
        <f>IF(B4590,IF(D4590=0,H4590,Rho*I4589+SQRT(1-Rho^2)*H4590),"")</f>
        <v/>
      </c>
      <c r="J4590">
        <f>IF(B4590,IF(Dist="Normal",DistA+DistB*I4590,DistA+(DistB-DistA)*NORMSDIST(I4590)),"")</f>
        <v/>
      </c>
      <c r="K4590">
        <f>IF(B4590,INDEX(MineScale,C4590),"")</f>
        <v/>
      </c>
      <c r="L4590">
        <f>IF(B4590,INDEX(Dow,1,WEEKDAY(E4590,2)),"")</f>
        <v/>
      </c>
      <c r="M4590">
        <f>IF(B4590,(1+Trend)^D4590,"")</f>
        <v/>
      </c>
      <c r="N4590">
        <f>IF(B4590,EXP(SUMPRODUCT(LN(1+(EvEff-1)*INDEX(Affected,0,C4590)*EXP(-((E4590-EvCenter)^2)/(2*EvSigma^2))))),"")</f>
        <v/>
      </c>
      <c r="O4590">
        <f>IF(B4590,ROUND(MAX(0,J4590*K4590*L4590*M4590*N4590),2),"")</f>
        <v/>
      </c>
    </row>
    <row r="4591">
      <c r="A4591" t="n">
        <v>4590</v>
      </c>
      <c r="B4591">
        <f>A4591&lt;=MineCount*Days</f>
        <v/>
      </c>
      <c r="C4591">
        <f>IF(B4591,INT((A4591-1)/Days)+1,"")</f>
        <v/>
      </c>
      <c r="D4591">
        <f>IF(B4591,MOD(A4591-1,Days),"")</f>
        <v/>
      </c>
      <c r="E4591" s="16">
        <f>IF(B4591,StartDate+D4591,"")</f>
        <v/>
      </c>
      <c r="F4591">
        <f>IF(B4591,MAX(MOD(SIN(Seed*0.1373+C4591*12.9898+D4591*78.233)*43758.5453,1),1E-9),"")</f>
        <v/>
      </c>
      <c r="G4591">
        <f>IF(B4591,MOD(SIN(Seed*0.5917+C4591*39.3468+D4591*11.135)*24634.6345,1),"")</f>
        <v/>
      </c>
      <c r="H4591">
        <f>IF(B4591,SQRT(-2*LN(F4591))*COS(2*PI()*G4591),"")</f>
        <v/>
      </c>
      <c r="I4591">
        <f>IF(B4591,IF(D4591=0,H4591,Rho*I4590+SQRT(1-Rho^2)*H4591),"")</f>
        <v/>
      </c>
      <c r="J4591">
        <f>IF(B4591,IF(Dist="Normal",DistA+DistB*I4591,DistA+(DistB-DistA)*NORMSDIST(I4591)),"")</f>
        <v/>
      </c>
      <c r="K4591">
        <f>IF(B4591,INDEX(MineScale,C4591),"")</f>
        <v/>
      </c>
      <c r="L4591">
        <f>IF(B4591,INDEX(Dow,1,WEEKDAY(E4591,2)),"")</f>
        <v/>
      </c>
      <c r="M4591">
        <f>IF(B4591,(1+Trend)^D4591,"")</f>
        <v/>
      </c>
      <c r="N4591">
        <f>IF(B4591,EXP(SUMPRODUCT(LN(1+(EvEff-1)*INDEX(Affected,0,C4591)*EXP(-((E4591-EvCenter)^2)/(2*EvSigma^2))))),"")</f>
        <v/>
      </c>
      <c r="O4591">
        <f>IF(B4591,ROUND(MAX(0,J4591*K4591*L4591*M4591*N4591),2),"")</f>
        <v/>
      </c>
    </row>
    <row r="4592">
      <c r="A4592" t="n">
        <v>4591</v>
      </c>
      <c r="B4592">
        <f>A4592&lt;=MineCount*Days</f>
        <v/>
      </c>
      <c r="C4592">
        <f>IF(B4592,INT((A4592-1)/Days)+1,"")</f>
        <v/>
      </c>
      <c r="D4592">
        <f>IF(B4592,MOD(A4592-1,Days),"")</f>
        <v/>
      </c>
      <c r="E4592" s="16">
        <f>IF(B4592,StartDate+D4592,"")</f>
        <v/>
      </c>
      <c r="F4592">
        <f>IF(B4592,MAX(MOD(SIN(Seed*0.1373+C4592*12.9898+D4592*78.233)*43758.5453,1),1E-9),"")</f>
        <v/>
      </c>
      <c r="G4592">
        <f>IF(B4592,MOD(SIN(Seed*0.5917+C4592*39.3468+D4592*11.135)*24634.6345,1),"")</f>
        <v/>
      </c>
      <c r="H4592">
        <f>IF(B4592,SQRT(-2*LN(F4592))*COS(2*PI()*G4592),"")</f>
        <v/>
      </c>
      <c r="I4592">
        <f>IF(B4592,IF(D4592=0,H4592,Rho*I4591+SQRT(1-Rho^2)*H4592),"")</f>
        <v/>
      </c>
      <c r="J4592">
        <f>IF(B4592,IF(Dist="Normal",DistA+DistB*I4592,DistA+(DistB-DistA)*NORMSDIST(I4592)),"")</f>
        <v/>
      </c>
      <c r="K4592">
        <f>IF(B4592,INDEX(MineScale,C4592),"")</f>
        <v/>
      </c>
      <c r="L4592">
        <f>IF(B4592,INDEX(Dow,1,WEEKDAY(E4592,2)),"")</f>
        <v/>
      </c>
      <c r="M4592">
        <f>IF(B4592,(1+Trend)^D4592,"")</f>
        <v/>
      </c>
      <c r="N4592">
        <f>IF(B4592,EXP(SUMPRODUCT(LN(1+(EvEff-1)*INDEX(Affected,0,C4592)*EXP(-((E4592-EvCenter)^2)/(2*EvSigma^2))))),"")</f>
        <v/>
      </c>
      <c r="O4592">
        <f>IF(B4592,ROUND(MAX(0,J4592*K4592*L4592*M4592*N4592),2),"")</f>
        <v/>
      </c>
    </row>
    <row r="4593">
      <c r="A4593" t="n">
        <v>4592</v>
      </c>
      <c r="B4593">
        <f>A4593&lt;=MineCount*Days</f>
        <v/>
      </c>
      <c r="C4593">
        <f>IF(B4593,INT((A4593-1)/Days)+1,"")</f>
        <v/>
      </c>
      <c r="D4593">
        <f>IF(B4593,MOD(A4593-1,Days),"")</f>
        <v/>
      </c>
      <c r="E4593" s="16">
        <f>IF(B4593,StartDate+D4593,"")</f>
        <v/>
      </c>
      <c r="F4593">
        <f>IF(B4593,MAX(MOD(SIN(Seed*0.1373+C4593*12.9898+D4593*78.233)*43758.5453,1),1E-9),"")</f>
        <v/>
      </c>
      <c r="G4593">
        <f>IF(B4593,MOD(SIN(Seed*0.5917+C4593*39.3468+D4593*11.135)*24634.6345,1),"")</f>
        <v/>
      </c>
      <c r="H4593">
        <f>IF(B4593,SQRT(-2*LN(F4593))*COS(2*PI()*G4593),"")</f>
        <v/>
      </c>
      <c r="I4593">
        <f>IF(B4593,IF(D4593=0,H4593,Rho*I4592+SQRT(1-Rho^2)*H4593),"")</f>
        <v/>
      </c>
      <c r="J4593">
        <f>IF(B4593,IF(Dist="Normal",DistA+DistB*I4593,DistA+(DistB-DistA)*NORMSDIST(I4593)),"")</f>
        <v/>
      </c>
      <c r="K4593">
        <f>IF(B4593,INDEX(MineScale,C4593),"")</f>
        <v/>
      </c>
      <c r="L4593">
        <f>IF(B4593,INDEX(Dow,1,WEEKDAY(E4593,2)),"")</f>
        <v/>
      </c>
      <c r="M4593">
        <f>IF(B4593,(1+Trend)^D4593,"")</f>
        <v/>
      </c>
      <c r="N4593">
        <f>IF(B4593,EXP(SUMPRODUCT(LN(1+(EvEff-1)*INDEX(Affected,0,C4593)*EXP(-((E4593-EvCenter)^2)/(2*EvSigma^2))))),"")</f>
        <v/>
      </c>
      <c r="O4593">
        <f>IF(B4593,ROUND(MAX(0,J4593*K4593*L4593*M4593*N4593),2),"")</f>
        <v/>
      </c>
    </row>
    <row r="4594">
      <c r="A4594" t="n">
        <v>4593</v>
      </c>
      <c r="B4594">
        <f>A4594&lt;=MineCount*Days</f>
        <v/>
      </c>
      <c r="C4594">
        <f>IF(B4594,INT((A4594-1)/Days)+1,"")</f>
        <v/>
      </c>
      <c r="D4594">
        <f>IF(B4594,MOD(A4594-1,Days),"")</f>
        <v/>
      </c>
      <c r="E4594" s="16">
        <f>IF(B4594,StartDate+D4594,"")</f>
        <v/>
      </c>
      <c r="F4594">
        <f>IF(B4594,MAX(MOD(SIN(Seed*0.1373+C4594*12.9898+D4594*78.233)*43758.5453,1),1E-9),"")</f>
        <v/>
      </c>
      <c r="G4594">
        <f>IF(B4594,MOD(SIN(Seed*0.5917+C4594*39.3468+D4594*11.135)*24634.6345,1),"")</f>
        <v/>
      </c>
      <c r="H4594">
        <f>IF(B4594,SQRT(-2*LN(F4594))*COS(2*PI()*G4594),"")</f>
        <v/>
      </c>
      <c r="I4594">
        <f>IF(B4594,IF(D4594=0,H4594,Rho*I4593+SQRT(1-Rho^2)*H4594),"")</f>
        <v/>
      </c>
      <c r="J4594">
        <f>IF(B4594,IF(Dist="Normal",DistA+DistB*I4594,DistA+(DistB-DistA)*NORMSDIST(I4594)),"")</f>
        <v/>
      </c>
      <c r="K4594">
        <f>IF(B4594,INDEX(MineScale,C4594),"")</f>
        <v/>
      </c>
      <c r="L4594">
        <f>IF(B4594,INDEX(Dow,1,WEEKDAY(E4594,2)),"")</f>
        <v/>
      </c>
      <c r="M4594">
        <f>IF(B4594,(1+Trend)^D4594,"")</f>
        <v/>
      </c>
      <c r="N4594">
        <f>IF(B4594,EXP(SUMPRODUCT(LN(1+(EvEff-1)*INDEX(Affected,0,C4594)*EXP(-((E4594-EvCenter)^2)/(2*EvSigma^2))))),"")</f>
        <v/>
      </c>
      <c r="O4594">
        <f>IF(B4594,ROUND(MAX(0,J4594*K4594*L4594*M4594*N4594),2),"")</f>
        <v/>
      </c>
    </row>
    <row r="4595">
      <c r="A4595" t="n">
        <v>4594</v>
      </c>
      <c r="B4595">
        <f>A4595&lt;=MineCount*Days</f>
        <v/>
      </c>
      <c r="C4595">
        <f>IF(B4595,INT((A4595-1)/Days)+1,"")</f>
        <v/>
      </c>
      <c r="D4595">
        <f>IF(B4595,MOD(A4595-1,Days),"")</f>
        <v/>
      </c>
      <c r="E4595" s="16">
        <f>IF(B4595,StartDate+D4595,"")</f>
        <v/>
      </c>
      <c r="F4595">
        <f>IF(B4595,MAX(MOD(SIN(Seed*0.1373+C4595*12.9898+D4595*78.233)*43758.5453,1),1E-9),"")</f>
        <v/>
      </c>
      <c r="G4595">
        <f>IF(B4595,MOD(SIN(Seed*0.5917+C4595*39.3468+D4595*11.135)*24634.6345,1),"")</f>
        <v/>
      </c>
      <c r="H4595">
        <f>IF(B4595,SQRT(-2*LN(F4595))*COS(2*PI()*G4595),"")</f>
        <v/>
      </c>
      <c r="I4595">
        <f>IF(B4595,IF(D4595=0,H4595,Rho*I4594+SQRT(1-Rho^2)*H4595),"")</f>
        <v/>
      </c>
      <c r="J4595">
        <f>IF(B4595,IF(Dist="Normal",DistA+DistB*I4595,DistA+(DistB-DistA)*NORMSDIST(I4595)),"")</f>
        <v/>
      </c>
      <c r="K4595">
        <f>IF(B4595,INDEX(MineScale,C4595),"")</f>
        <v/>
      </c>
      <c r="L4595">
        <f>IF(B4595,INDEX(Dow,1,WEEKDAY(E4595,2)),"")</f>
        <v/>
      </c>
      <c r="M4595">
        <f>IF(B4595,(1+Trend)^D4595,"")</f>
        <v/>
      </c>
      <c r="N4595">
        <f>IF(B4595,EXP(SUMPRODUCT(LN(1+(EvEff-1)*INDEX(Affected,0,C4595)*EXP(-((E4595-EvCenter)^2)/(2*EvSigma^2))))),"")</f>
        <v/>
      </c>
      <c r="O4595">
        <f>IF(B4595,ROUND(MAX(0,J4595*K4595*L4595*M4595*N4595),2),"")</f>
        <v/>
      </c>
    </row>
    <row r="4596">
      <c r="A4596" t="n">
        <v>4595</v>
      </c>
      <c r="B4596">
        <f>A4596&lt;=MineCount*Days</f>
        <v/>
      </c>
      <c r="C4596">
        <f>IF(B4596,INT((A4596-1)/Days)+1,"")</f>
        <v/>
      </c>
      <c r="D4596">
        <f>IF(B4596,MOD(A4596-1,Days),"")</f>
        <v/>
      </c>
      <c r="E4596" s="16">
        <f>IF(B4596,StartDate+D4596,"")</f>
        <v/>
      </c>
      <c r="F4596">
        <f>IF(B4596,MAX(MOD(SIN(Seed*0.1373+C4596*12.9898+D4596*78.233)*43758.5453,1),1E-9),"")</f>
        <v/>
      </c>
      <c r="G4596">
        <f>IF(B4596,MOD(SIN(Seed*0.5917+C4596*39.3468+D4596*11.135)*24634.6345,1),"")</f>
        <v/>
      </c>
      <c r="H4596">
        <f>IF(B4596,SQRT(-2*LN(F4596))*COS(2*PI()*G4596),"")</f>
        <v/>
      </c>
      <c r="I4596">
        <f>IF(B4596,IF(D4596=0,H4596,Rho*I4595+SQRT(1-Rho^2)*H4596),"")</f>
        <v/>
      </c>
      <c r="J4596">
        <f>IF(B4596,IF(Dist="Normal",DistA+DistB*I4596,DistA+(DistB-DistA)*NORMSDIST(I4596)),"")</f>
        <v/>
      </c>
      <c r="K4596">
        <f>IF(B4596,INDEX(MineScale,C4596),"")</f>
        <v/>
      </c>
      <c r="L4596">
        <f>IF(B4596,INDEX(Dow,1,WEEKDAY(E4596,2)),"")</f>
        <v/>
      </c>
      <c r="M4596">
        <f>IF(B4596,(1+Trend)^D4596,"")</f>
        <v/>
      </c>
      <c r="N4596">
        <f>IF(B4596,EXP(SUMPRODUCT(LN(1+(EvEff-1)*INDEX(Affected,0,C4596)*EXP(-((E4596-EvCenter)^2)/(2*EvSigma^2))))),"")</f>
        <v/>
      </c>
      <c r="O4596">
        <f>IF(B4596,ROUND(MAX(0,J4596*K4596*L4596*M4596*N4596),2),"")</f>
        <v/>
      </c>
    </row>
    <row r="4597">
      <c r="A4597" t="n">
        <v>4596</v>
      </c>
      <c r="B4597">
        <f>A4597&lt;=MineCount*Days</f>
        <v/>
      </c>
      <c r="C4597">
        <f>IF(B4597,INT((A4597-1)/Days)+1,"")</f>
        <v/>
      </c>
      <c r="D4597">
        <f>IF(B4597,MOD(A4597-1,Days),"")</f>
        <v/>
      </c>
      <c r="E4597" s="16">
        <f>IF(B4597,StartDate+D4597,"")</f>
        <v/>
      </c>
      <c r="F4597">
        <f>IF(B4597,MAX(MOD(SIN(Seed*0.1373+C4597*12.9898+D4597*78.233)*43758.5453,1),1E-9),"")</f>
        <v/>
      </c>
      <c r="G4597">
        <f>IF(B4597,MOD(SIN(Seed*0.5917+C4597*39.3468+D4597*11.135)*24634.6345,1),"")</f>
        <v/>
      </c>
      <c r="H4597">
        <f>IF(B4597,SQRT(-2*LN(F4597))*COS(2*PI()*G4597),"")</f>
        <v/>
      </c>
      <c r="I4597">
        <f>IF(B4597,IF(D4597=0,H4597,Rho*I4596+SQRT(1-Rho^2)*H4597),"")</f>
        <v/>
      </c>
      <c r="J4597">
        <f>IF(B4597,IF(Dist="Normal",DistA+DistB*I4597,DistA+(DistB-DistA)*NORMSDIST(I4597)),"")</f>
        <v/>
      </c>
      <c r="K4597">
        <f>IF(B4597,INDEX(MineScale,C4597),"")</f>
        <v/>
      </c>
      <c r="L4597">
        <f>IF(B4597,INDEX(Dow,1,WEEKDAY(E4597,2)),"")</f>
        <v/>
      </c>
      <c r="M4597">
        <f>IF(B4597,(1+Trend)^D4597,"")</f>
        <v/>
      </c>
      <c r="N4597">
        <f>IF(B4597,EXP(SUMPRODUCT(LN(1+(EvEff-1)*INDEX(Affected,0,C4597)*EXP(-((E4597-EvCenter)^2)/(2*EvSigma^2))))),"")</f>
        <v/>
      </c>
      <c r="O4597">
        <f>IF(B4597,ROUND(MAX(0,J4597*K4597*L4597*M4597*N4597),2),"")</f>
        <v/>
      </c>
    </row>
    <row r="4598">
      <c r="A4598" t="n">
        <v>4597</v>
      </c>
      <c r="B4598">
        <f>A4598&lt;=MineCount*Days</f>
        <v/>
      </c>
      <c r="C4598">
        <f>IF(B4598,INT((A4598-1)/Days)+1,"")</f>
        <v/>
      </c>
      <c r="D4598">
        <f>IF(B4598,MOD(A4598-1,Days),"")</f>
        <v/>
      </c>
      <c r="E4598" s="16">
        <f>IF(B4598,StartDate+D4598,"")</f>
        <v/>
      </c>
      <c r="F4598">
        <f>IF(B4598,MAX(MOD(SIN(Seed*0.1373+C4598*12.9898+D4598*78.233)*43758.5453,1),1E-9),"")</f>
        <v/>
      </c>
      <c r="G4598">
        <f>IF(B4598,MOD(SIN(Seed*0.5917+C4598*39.3468+D4598*11.135)*24634.6345,1),"")</f>
        <v/>
      </c>
      <c r="H4598">
        <f>IF(B4598,SQRT(-2*LN(F4598))*COS(2*PI()*G4598),"")</f>
        <v/>
      </c>
      <c r="I4598">
        <f>IF(B4598,IF(D4598=0,H4598,Rho*I4597+SQRT(1-Rho^2)*H4598),"")</f>
        <v/>
      </c>
      <c r="J4598">
        <f>IF(B4598,IF(Dist="Normal",DistA+DistB*I4598,DistA+(DistB-DistA)*NORMSDIST(I4598)),"")</f>
        <v/>
      </c>
      <c r="K4598">
        <f>IF(B4598,INDEX(MineScale,C4598),"")</f>
        <v/>
      </c>
      <c r="L4598">
        <f>IF(B4598,INDEX(Dow,1,WEEKDAY(E4598,2)),"")</f>
        <v/>
      </c>
      <c r="M4598">
        <f>IF(B4598,(1+Trend)^D4598,"")</f>
        <v/>
      </c>
      <c r="N4598">
        <f>IF(B4598,EXP(SUMPRODUCT(LN(1+(EvEff-1)*INDEX(Affected,0,C4598)*EXP(-((E4598-EvCenter)^2)/(2*EvSigma^2))))),"")</f>
        <v/>
      </c>
      <c r="O4598">
        <f>IF(B4598,ROUND(MAX(0,J4598*K4598*L4598*M4598*N4598),2),"")</f>
        <v/>
      </c>
    </row>
    <row r="4599">
      <c r="A4599" t="n">
        <v>4598</v>
      </c>
      <c r="B4599">
        <f>A4599&lt;=MineCount*Days</f>
        <v/>
      </c>
      <c r="C4599">
        <f>IF(B4599,INT((A4599-1)/Days)+1,"")</f>
        <v/>
      </c>
      <c r="D4599">
        <f>IF(B4599,MOD(A4599-1,Days),"")</f>
        <v/>
      </c>
      <c r="E4599" s="16">
        <f>IF(B4599,StartDate+D4599,"")</f>
        <v/>
      </c>
      <c r="F4599">
        <f>IF(B4599,MAX(MOD(SIN(Seed*0.1373+C4599*12.9898+D4599*78.233)*43758.5453,1),1E-9),"")</f>
        <v/>
      </c>
      <c r="G4599">
        <f>IF(B4599,MOD(SIN(Seed*0.5917+C4599*39.3468+D4599*11.135)*24634.6345,1),"")</f>
        <v/>
      </c>
      <c r="H4599">
        <f>IF(B4599,SQRT(-2*LN(F4599))*COS(2*PI()*G4599),"")</f>
        <v/>
      </c>
      <c r="I4599">
        <f>IF(B4599,IF(D4599=0,H4599,Rho*I4598+SQRT(1-Rho^2)*H4599),"")</f>
        <v/>
      </c>
      <c r="J4599">
        <f>IF(B4599,IF(Dist="Normal",DistA+DistB*I4599,DistA+(DistB-DistA)*NORMSDIST(I4599)),"")</f>
        <v/>
      </c>
      <c r="K4599">
        <f>IF(B4599,INDEX(MineScale,C4599),"")</f>
        <v/>
      </c>
      <c r="L4599">
        <f>IF(B4599,INDEX(Dow,1,WEEKDAY(E4599,2)),"")</f>
        <v/>
      </c>
      <c r="M4599">
        <f>IF(B4599,(1+Trend)^D4599,"")</f>
        <v/>
      </c>
      <c r="N4599">
        <f>IF(B4599,EXP(SUMPRODUCT(LN(1+(EvEff-1)*INDEX(Affected,0,C4599)*EXP(-((E4599-EvCenter)^2)/(2*EvSigma^2))))),"")</f>
        <v/>
      </c>
      <c r="O4599">
        <f>IF(B4599,ROUND(MAX(0,J4599*K4599*L4599*M4599*N4599),2),"")</f>
        <v/>
      </c>
    </row>
    <row r="4600">
      <c r="A4600" t="n">
        <v>4599</v>
      </c>
      <c r="B4600">
        <f>A4600&lt;=MineCount*Days</f>
        <v/>
      </c>
      <c r="C4600">
        <f>IF(B4600,INT((A4600-1)/Days)+1,"")</f>
        <v/>
      </c>
      <c r="D4600">
        <f>IF(B4600,MOD(A4600-1,Days),"")</f>
        <v/>
      </c>
      <c r="E4600" s="16">
        <f>IF(B4600,StartDate+D4600,"")</f>
        <v/>
      </c>
      <c r="F4600">
        <f>IF(B4600,MAX(MOD(SIN(Seed*0.1373+C4600*12.9898+D4600*78.233)*43758.5453,1),1E-9),"")</f>
        <v/>
      </c>
      <c r="G4600">
        <f>IF(B4600,MOD(SIN(Seed*0.5917+C4600*39.3468+D4600*11.135)*24634.6345,1),"")</f>
        <v/>
      </c>
      <c r="H4600">
        <f>IF(B4600,SQRT(-2*LN(F4600))*COS(2*PI()*G4600),"")</f>
        <v/>
      </c>
      <c r="I4600">
        <f>IF(B4600,IF(D4600=0,H4600,Rho*I4599+SQRT(1-Rho^2)*H4600),"")</f>
        <v/>
      </c>
      <c r="J4600">
        <f>IF(B4600,IF(Dist="Normal",DistA+DistB*I4600,DistA+(DistB-DistA)*NORMSDIST(I4600)),"")</f>
        <v/>
      </c>
      <c r="K4600">
        <f>IF(B4600,INDEX(MineScale,C4600),"")</f>
        <v/>
      </c>
      <c r="L4600">
        <f>IF(B4600,INDEX(Dow,1,WEEKDAY(E4600,2)),"")</f>
        <v/>
      </c>
      <c r="M4600">
        <f>IF(B4600,(1+Trend)^D4600,"")</f>
        <v/>
      </c>
      <c r="N4600">
        <f>IF(B4600,EXP(SUMPRODUCT(LN(1+(EvEff-1)*INDEX(Affected,0,C4600)*EXP(-((E4600-EvCenter)^2)/(2*EvSigma^2))))),"")</f>
        <v/>
      </c>
      <c r="O4600">
        <f>IF(B4600,ROUND(MAX(0,J4600*K4600*L4600*M4600*N4600),2),"")</f>
        <v/>
      </c>
    </row>
    <row r="4601">
      <c r="A4601" t="n">
        <v>4600</v>
      </c>
      <c r="B4601">
        <f>A4601&lt;=MineCount*Days</f>
        <v/>
      </c>
      <c r="C4601">
        <f>IF(B4601,INT((A4601-1)/Days)+1,"")</f>
        <v/>
      </c>
      <c r="D4601">
        <f>IF(B4601,MOD(A4601-1,Days),"")</f>
        <v/>
      </c>
      <c r="E4601" s="16">
        <f>IF(B4601,StartDate+D4601,"")</f>
        <v/>
      </c>
      <c r="F4601">
        <f>IF(B4601,MAX(MOD(SIN(Seed*0.1373+C4601*12.9898+D4601*78.233)*43758.5453,1),1E-9),"")</f>
        <v/>
      </c>
      <c r="G4601">
        <f>IF(B4601,MOD(SIN(Seed*0.5917+C4601*39.3468+D4601*11.135)*24634.6345,1),"")</f>
        <v/>
      </c>
      <c r="H4601">
        <f>IF(B4601,SQRT(-2*LN(F4601))*COS(2*PI()*G4601),"")</f>
        <v/>
      </c>
      <c r="I4601">
        <f>IF(B4601,IF(D4601=0,H4601,Rho*I4600+SQRT(1-Rho^2)*H4601),"")</f>
        <v/>
      </c>
      <c r="J4601">
        <f>IF(B4601,IF(Dist="Normal",DistA+DistB*I4601,DistA+(DistB-DistA)*NORMSDIST(I4601)),"")</f>
        <v/>
      </c>
      <c r="K4601">
        <f>IF(B4601,INDEX(MineScale,C4601),"")</f>
        <v/>
      </c>
      <c r="L4601">
        <f>IF(B4601,INDEX(Dow,1,WEEKDAY(E4601,2)),"")</f>
        <v/>
      </c>
      <c r="M4601">
        <f>IF(B4601,(1+Trend)^D4601,"")</f>
        <v/>
      </c>
      <c r="N4601">
        <f>IF(B4601,EXP(SUMPRODUCT(LN(1+(EvEff-1)*INDEX(Affected,0,C4601)*EXP(-((E4601-EvCenter)^2)/(2*EvSigma^2))))),"")</f>
        <v/>
      </c>
      <c r="O4601">
        <f>IF(B4601,ROUND(MAX(0,J4601*K4601*L4601*M4601*N4601),2),"")</f>
        <v/>
      </c>
    </row>
    <row r="4602">
      <c r="A4602" t="n">
        <v>4601</v>
      </c>
      <c r="B4602">
        <f>A4602&lt;=MineCount*Days</f>
        <v/>
      </c>
      <c r="C4602">
        <f>IF(B4602,INT((A4602-1)/Days)+1,"")</f>
        <v/>
      </c>
      <c r="D4602">
        <f>IF(B4602,MOD(A4602-1,Days),"")</f>
        <v/>
      </c>
      <c r="E4602" s="16">
        <f>IF(B4602,StartDate+D4602,"")</f>
        <v/>
      </c>
      <c r="F4602">
        <f>IF(B4602,MAX(MOD(SIN(Seed*0.1373+C4602*12.9898+D4602*78.233)*43758.5453,1),1E-9),"")</f>
        <v/>
      </c>
      <c r="G4602">
        <f>IF(B4602,MOD(SIN(Seed*0.5917+C4602*39.3468+D4602*11.135)*24634.6345,1),"")</f>
        <v/>
      </c>
      <c r="H4602">
        <f>IF(B4602,SQRT(-2*LN(F4602))*COS(2*PI()*G4602),"")</f>
        <v/>
      </c>
      <c r="I4602">
        <f>IF(B4602,IF(D4602=0,H4602,Rho*I4601+SQRT(1-Rho^2)*H4602),"")</f>
        <v/>
      </c>
      <c r="J4602">
        <f>IF(B4602,IF(Dist="Normal",DistA+DistB*I4602,DistA+(DistB-DistA)*NORMSDIST(I4602)),"")</f>
        <v/>
      </c>
      <c r="K4602">
        <f>IF(B4602,INDEX(MineScale,C4602),"")</f>
        <v/>
      </c>
      <c r="L4602">
        <f>IF(B4602,INDEX(Dow,1,WEEKDAY(E4602,2)),"")</f>
        <v/>
      </c>
      <c r="M4602">
        <f>IF(B4602,(1+Trend)^D4602,"")</f>
        <v/>
      </c>
      <c r="N4602">
        <f>IF(B4602,EXP(SUMPRODUCT(LN(1+(EvEff-1)*INDEX(Affected,0,C4602)*EXP(-((E4602-EvCenter)^2)/(2*EvSigma^2))))),"")</f>
        <v/>
      </c>
      <c r="O4602">
        <f>IF(B4602,ROUND(MAX(0,J4602*K4602*L4602*M4602*N4602),2),"")</f>
        <v/>
      </c>
    </row>
    <row r="4603">
      <c r="A4603" t="n">
        <v>4602</v>
      </c>
      <c r="B4603">
        <f>A4603&lt;=MineCount*Days</f>
        <v/>
      </c>
      <c r="C4603">
        <f>IF(B4603,INT((A4603-1)/Days)+1,"")</f>
        <v/>
      </c>
      <c r="D4603">
        <f>IF(B4603,MOD(A4603-1,Days),"")</f>
        <v/>
      </c>
      <c r="E4603" s="16">
        <f>IF(B4603,StartDate+D4603,"")</f>
        <v/>
      </c>
      <c r="F4603">
        <f>IF(B4603,MAX(MOD(SIN(Seed*0.1373+C4603*12.9898+D4603*78.233)*43758.5453,1),1E-9),"")</f>
        <v/>
      </c>
      <c r="G4603">
        <f>IF(B4603,MOD(SIN(Seed*0.5917+C4603*39.3468+D4603*11.135)*24634.6345,1),"")</f>
        <v/>
      </c>
      <c r="H4603">
        <f>IF(B4603,SQRT(-2*LN(F4603))*COS(2*PI()*G4603),"")</f>
        <v/>
      </c>
      <c r="I4603">
        <f>IF(B4603,IF(D4603=0,H4603,Rho*I4602+SQRT(1-Rho^2)*H4603),"")</f>
        <v/>
      </c>
      <c r="J4603">
        <f>IF(B4603,IF(Dist="Normal",DistA+DistB*I4603,DistA+(DistB-DistA)*NORMSDIST(I4603)),"")</f>
        <v/>
      </c>
      <c r="K4603">
        <f>IF(B4603,INDEX(MineScale,C4603),"")</f>
        <v/>
      </c>
      <c r="L4603">
        <f>IF(B4603,INDEX(Dow,1,WEEKDAY(E4603,2)),"")</f>
        <v/>
      </c>
      <c r="M4603">
        <f>IF(B4603,(1+Trend)^D4603,"")</f>
        <v/>
      </c>
      <c r="N4603">
        <f>IF(B4603,EXP(SUMPRODUCT(LN(1+(EvEff-1)*INDEX(Affected,0,C4603)*EXP(-((E4603-EvCenter)^2)/(2*EvSigma^2))))),"")</f>
        <v/>
      </c>
      <c r="O4603">
        <f>IF(B4603,ROUND(MAX(0,J4603*K4603*L4603*M4603*N4603),2),"")</f>
        <v/>
      </c>
    </row>
    <row r="4604">
      <c r="A4604" t="n">
        <v>4603</v>
      </c>
      <c r="B4604">
        <f>A4604&lt;=MineCount*Days</f>
        <v/>
      </c>
      <c r="C4604">
        <f>IF(B4604,INT((A4604-1)/Days)+1,"")</f>
        <v/>
      </c>
      <c r="D4604">
        <f>IF(B4604,MOD(A4604-1,Days),"")</f>
        <v/>
      </c>
      <c r="E4604" s="16">
        <f>IF(B4604,StartDate+D4604,"")</f>
        <v/>
      </c>
      <c r="F4604">
        <f>IF(B4604,MAX(MOD(SIN(Seed*0.1373+C4604*12.9898+D4604*78.233)*43758.5453,1),1E-9),"")</f>
        <v/>
      </c>
      <c r="G4604">
        <f>IF(B4604,MOD(SIN(Seed*0.5917+C4604*39.3468+D4604*11.135)*24634.6345,1),"")</f>
        <v/>
      </c>
      <c r="H4604">
        <f>IF(B4604,SQRT(-2*LN(F4604))*COS(2*PI()*G4604),"")</f>
        <v/>
      </c>
      <c r="I4604">
        <f>IF(B4604,IF(D4604=0,H4604,Rho*I4603+SQRT(1-Rho^2)*H4604),"")</f>
        <v/>
      </c>
      <c r="J4604">
        <f>IF(B4604,IF(Dist="Normal",DistA+DistB*I4604,DistA+(DistB-DistA)*NORMSDIST(I4604)),"")</f>
        <v/>
      </c>
      <c r="K4604">
        <f>IF(B4604,INDEX(MineScale,C4604),"")</f>
        <v/>
      </c>
      <c r="L4604">
        <f>IF(B4604,INDEX(Dow,1,WEEKDAY(E4604,2)),"")</f>
        <v/>
      </c>
      <c r="M4604">
        <f>IF(B4604,(1+Trend)^D4604,"")</f>
        <v/>
      </c>
      <c r="N4604">
        <f>IF(B4604,EXP(SUMPRODUCT(LN(1+(EvEff-1)*INDEX(Affected,0,C4604)*EXP(-((E4604-EvCenter)^2)/(2*EvSigma^2))))),"")</f>
        <v/>
      </c>
      <c r="O4604">
        <f>IF(B4604,ROUND(MAX(0,J4604*K4604*L4604*M4604*N4604),2),"")</f>
        <v/>
      </c>
    </row>
    <row r="4605">
      <c r="A4605" t="n">
        <v>4604</v>
      </c>
      <c r="B4605">
        <f>A4605&lt;=MineCount*Days</f>
        <v/>
      </c>
      <c r="C4605">
        <f>IF(B4605,INT((A4605-1)/Days)+1,"")</f>
        <v/>
      </c>
      <c r="D4605">
        <f>IF(B4605,MOD(A4605-1,Days),"")</f>
        <v/>
      </c>
      <c r="E4605" s="16">
        <f>IF(B4605,StartDate+D4605,"")</f>
        <v/>
      </c>
      <c r="F4605">
        <f>IF(B4605,MAX(MOD(SIN(Seed*0.1373+C4605*12.9898+D4605*78.233)*43758.5453,1),1E-9),"")</f>
        <v/>
      </c>
      <c r="G4605">
        <f>IF(B4605,MOD(SIN(Seed*0.5917+C4605*39.3468+D4605*11.135)*24634.6345,1),"")</f>
        <v/>
      </c>
      <c r="H4605">
        <f>IF(B4605,SQRT(-2*LN(F4605))*COS(2*PI()*G4605),"")</f>
        <v/>
      </c>
      <c r="I4605">
        <f>IF(B4605,IF(D4605=0,H4605,Rho*I4604+SQRT(1-Rho^2)*H4605),"")</f>
        <v/>
      </c>
      <c r="J4605">
        <f>IF(B4605,IF(Dist="Normal",DistA+DistB*I4605,DistA+(DistB-DistA)*NORMSDIST(I4605)),"")</f>
        <v/>
      </c>
      <c r="K4605">
        <f>IF(B4605,INDEX(MineScale,C4605),"")</f>
        <v/>
      </c>
      <c r="L4605">
        <f>IF(B4605,INDEX(Dow,1,WEEKDAY(E4605,2)),"")</f>
        <v/>
      </c>
      <c r="M4605">
        <f>IF(B4605,(1+Trend)^D4605,"")</f>
        <v/>
      </c>
      <c r="N4605">
        <f>IF(B4605,EXP(SUMPRODUCT(LN(1+(EvEff-1)*INDEX(Affected,0,C4605)*EXP(-((E4605-EvCenter)^2)/(2*EvSigma^2))))),"")</f>
        <v/>
      </c>
      <c r="O4605">
        <f>IF(B4605,ROUND(MAX(0,J4605*K4605*L4605*M4605*N4605),2),"")</f>
        <v/>
      </c>
    </row>
    <row r="4606">
      <c r="A4606" t="n">
        <v>4605</v>
      </c>
      <c r="B4606">
        <f>A4606&lt;=MineCount*Days</f>
        <v/>
      </c>
      <c r="C4606">
        <f>IF(B4606,INT((A4606-1)/Days)+1,"")</f>
        <v/>
      </c>
      <c r="D4606">
        <f>IF(B4606,MOD(A4606-1,Days),"")</f>
        <v/>
      </c>
      <c r="E4606" s="16">
        <f>IF(B4606,StartDate+D4606,"")</f>
        <v/>
      </c>
      <c r="F4606">
        <f>IF(B4606,MAX(MOD(SIN(Seed*0.1373+C4606*12.9898+D4606*78.233)*43758.5453,1),1E-9),"")</f>
        <v/>
      </c>
      <c r="G4606">
        <f>IF(B4606,MOD(SIN(Seed*0.5917+C4606*39.3468+D4606*11.135)*24634.6345,1),"")</f>
        <v/>
      </c>
      <c r="H4606">
        <f>IF(B4606,SQRT(-2*LN(F4606))*COS(2*PI()*G4606),"")</f>
        <v/>
      </c>
      <c r="I4606">
        <f>IF(B4606,IF(D4606=0,H4606,Rho*I4605+SQRT(1-Rho^2)*H4606),"")</f>
        <v/>
      </c>
      <c r="J4606">
        <f>IF(B4606,IF(Dist="Normal",DistA+DistB*I4606,DistA+(DistB-DistA)*NORMSDIST(I4606)),"")</f>
        <v/>
      </c>
      <c r="K4606">
        <f>IF(B4606,INDEX(MineScale,C4606),"")</f>
        <v/>
      </c>
      <c r="L4606">
        <f>IF(B4606,INDEX(Dow,1,WEEKDAY(E4606,2)),"")</f>
        <v/>
      </c>
      <c r="M4606">
        <f>IF(B4606,(1+Trend)^D4606,"")</f>
        <v/>
      </c>
      <c r="N4606">
        <f>IF(B4606,EXP(SUMPRODUCT(LN(1+(EvEff-1)*INDEX(Affected,0,C4606)*EXP(-((E4606-EvCenter)^2)/(2*EvSigma^2))))),"")</f>
        <v/>
      </c>
      <c r="O4606">
        <f>IF(B4606,ROUND(MAX(0,J4606*K4606*L4606*M4606*N4606),2),"")</f>
        <v/>
      </c>
    </row>
    <row r="4607">
      <c r="A4607" t="n">
        <v>4606</v>
      </c>
      <c r="B4607">
        <f>A4607&lt;=MineCount*Days</f>
        <v/>
      </c>
      <c r="C4607">
        <f>IF(B4607,INT((A4607-1)/Days)+1,"")</f>
        <v/>
      </c>
      <c r="D4607">
        <f>IF(B4607,MOD(A4607-1,Days),"")</f>
        <v/>
      </c>
      <c r="E4607" s="16">
        <f>IF(B4607,StartDate+D4607,"")</f>
        <v/>
      </c>
      <c r="F4607">
        <f>IF(B4607,MAX(MOD(SIN(Seed*0.1373+C4607*12.9898+D4607*78.233)*43758.5453,1),1E-9),"")</f>
        <v/>
      </c>
      <c r="G4607">
        <f>IF(B4607,MOD(SIN(Seed*0.5917+C4607*39.3468+D4607*11.135)*24634.6345,1),"")</f>
        <v/>
      </c>
      <c r="H4607">
        <f>IF(B4607,SQRT(-2*LN(F4607))*COS(2*PI()*G4607),"")</f>
        <v/>
      </c>
      <c r="I4607">
        <f>IF(B4607,IF(D4607=0,H4607,Rho*I4606+SQRT(1-Rho^2)*H4607),"")</f>
        <v/>
      </c>
      <c r="J4607">
        <f>IF(B4607,IF(Dist="Normal",DistA+DistB*I4607,DistA+(DistB-DistA)*NORMSDIST(I4607)),"")</f>
        <v/>
      </c>
      <c r="K4607">
        <f>IF(B4607,INDEX(MineScale,C4607),"")</f>
        <v/>
      </c>
      <c r="L4607">
        <f>IF(B4607,INDEX(Dow,1,WEEKDAY(E4607,2)),"")</f>
        <v/>
      </c>
      <c r="M4607">
        <f>IF(B4607,(1+Trend)^D4607,"")</f>
        <v/>
      </c>
      <c r="N4607">
        <f>IF(B4607,EXP(SUMPRODUCT(LN(1+(EvEff-1)*INDEX(Affected,0,C4607)*EXP(-((E4607-EvCenter)^2)/(2*EvSigma^2))))),"")</f>
        <v/>
      </c>
      <c r="O4607">
        <f>IF(B4607,ROUND(MAX(0,J4607*K4607*L4607*M4607*N4607),2),"")</f>
        <v/>
      </c>
    </row>
    <row r="4608">
      <c r="A4608" t="n">
        <v>4607</v>
      </c>
      <c r="B4608">
        <f>A4608&lt;=MineCount*Days</f>
        <v/>
      </c>
      <c r="C4608">
        <f>IF(B4608,INT((A4608-1)/Days)+1,"")</f>
        <v/>
      </c>
      <c r="D4608">
        <f>IF(B4608,MOD(A4608-1,Days),"")</f>
        <v/>
      </c>
      <c r="E4608" s="16">
        <f>IF(B4608,StartDate+D4608,"")</f>
        <v/>
      </c>
      <c r="F4608">
        <f>IF(B4608,MAX(MOD(SIN(Seed*0.1373+C4608*12.9898+D4608*78.233)*43758.5453,1),1E-9),"")</f>
        <v/>
      </c>
      <c r="G4608">
        <f>IF(B4608,MOD(SIN(Seed*0.5917+C4608*39.3468+D4608*11.135)*24634.6345,1),"")</f>
        <v/>
      </c>
      <c r="H4608">
        <f>IF(B4608,SQRT(-2*LN(F4608))*COS(2*PI()*G4608),"")</f>
        <v/>
      </c>
      <c r="I4608">
        <f>IF(B4608,IF(D4608=0,H4608,Rho*I4607+SQRT(1-Rho^2)*H4608),"")</f>
        <v/>
      </c>
      <c r="J4608">
        <f>IF(B4608,IF(Dist="Normal",DistA+DistB*I4608,DistA+(DistB-DistA)*NORMSDIST(I4608)),"")</f>
        <v/>
      </c>
      <c r="K4608">
        <f>IF(B4608,INDEX(MineScale,C4608),"")</f>
        <v/>
      </c>
      <c r="L4608">
        <f>IF(B4608,INDEX(Dow,1,WEEKDAY(E4608,2)),"")</f>
        <v/>
      </c>
      <c r="M4608">
        <f>IF(B4608,(1+Trend)^D4608,"")</f>
        <v/>
      </c>
      <c r="N4608">
        <f>IF(B4608,EXP(SUMPRODUCT(LN(1+(EvEff-1)*INDEX(Affected,0,C4608)*EXP(-((E4608-EvCenter)^2)/(2*EvSigma^2))))),"")</f>
        <v/>
      </c>
      <c r="O4608">
        <f>IF(B4608,ROUND(MAX(0,J4608*K4608*L4608*M4608*N4608),2),"")</f>
        <v/>
      </c>
    </row>
    <row r="4609">
      <c r="A4609" t="n">
        <v>4608</v>
      </c>
      <c r="B4609">
        <f>A4609&lt;=MineCount*Days</f>
        <v/>
      </c>
      <c r="C4609">
        <f>IF(B4609,INT((A4609-1)/Days)+1,"")</f>
        <v/>
      </c>
      <c r="D4609">
        <f>IF(B4609,MOD(A4609-1,Days),"")</f>
        <v/>
      </c>
      <c r="E4609" s="16">
        <f>IF(B4609,StartDate+D4609,"")</f>
        <v/>
      </c>
      <c r="F4609">
        <f>IF(B4609,MAX(MOD(SIN(Seed*0.1373+C4609*12.9898+D4609*78.233)*43758.5453,1),1E-9),"")</f>
        <v/>
      </c>
      <c r="G4609">
        <f>IF(B4609,MOD(SIN(Seed*0.5917+C4609*39.3468+D4609*11.135)*24634.6345,1),"")</f>
        <v/>
      </c>
      <c r="H4609">
        <f>IF(B4609,SQRT(-2*LN(F4609))*COS(2*PI()*G4609),"")</f>
        <v/>
      </c>
      <c r="I4609">
        <f>IF(B4609,IF(D4609=0,H4609,Rho*I4608+SQRT(1-Rho^2)*H4609),"")</f>
        <v/>
      </c>
      <c r="J4609">
        <f>IF(B4609,IF(Dist="Normal",DistA+DistB*I4609,DistA+(DistB-DistA)*NORMSDIST(I4609)),"")</f>
        <v/>
      </c>
      <c r="K4609">
        <f>IF(B4609,INDEX(MineScale,C4609),"")</f>
        <v/>
      </c>
      <c r="L4609">
        <f>IF(B4609,INDEX(Dow,1,WEEKDAY(E4609,2)),"")</f>
        <v/>
      </c>
      <c r="M4609">
        <f>IF(B4609,(1+Trend)^D4609,"")</f>
        <v/>
      </c>
      <c r="N4609">
        <f>IF(B4609,EXP(SUMPRODUCT(LN(1+(EvEff-1)*INDEX(Affected,0,C4609)*EXP(-((E4609-EvCenter)^2)/(2*EvSigma^2))))),"")</f>
        <v/>
      </c>
      <c r="O4609">
        <f>IF(B4609,ROUND(MAX(0,J4609*K4609*L4609*M4609*N4609),2),"")</f>
        <v/>
      </c>
    </row>
    <row r="4610">
      <c r="A4610" t="n">
        <v>4609</v>
      </c>
      <c r="B4610">
        <f>A4610&lt;=MineCount*Days</f>
        <v/>
      </c>
      <c r="C4610">
        <f>IF(B4610,INT((A4610-1)/Days)+1,"")</f>
        <v/>
      </c>
      <c r="D4610">
        <f>IF(B4610,MOD(A4610-1,Days),"")</f>
        <v/>
      </c>
      <c r="E4610" s="16">
        <f>IF(B4610,StartDate+D4610,"")</f>
        <v/>
      </c>
      <c r="F4610">
        <f>IF(B4610,MAX(MOD(SIN(Seed*0.1373+C4610*12.9898+D4610*78.233)*43758.5453,1),1E-9),"")</f>
        <v/>
      </c>
      <c r="G4610">
        <f>IF(B4610,MOD(SIN(Seed*0.5917+C4610*39.3468+D4610*11.135)*24634.6345,1),"")</f>
        <v/>
      </c>
      <c r="H4610">
        <f>IF(B4610,SQRT(-2*LN(F4610))*COS(2*PI()*G4610),"")</f>
        <v/>
      </c>
      <c r="I4610">
        <f>IF(B4610,IF(D4610=0,H4610,Rho*I4609+SQRT(1-Rho^2)*H4610),"")</f>
        <v/>
      </c>
      <c r="J4610">
        <f>IF(B4610,IF(Dist="Normal",DistA+DistB*I4610,DistA+(DistB-DistA)*NORMSDIST(I4610)),"")</f>
        <v/>
      </c>
      <c r="K4610">
        <f>IF(B4610,INDEX(MineScale,C4610),"")</f>
        <v/>
      </c>
      <c r="L4610">
        <f>IF(B4610,INDEX(Dow,1,WEEKDAY(E4610,2)),"")</f>
        <v/>
      </c>
      <c r="M4610">
        <f>IF(B4610,(1+Trend)^D4610,"")</f>
        <v/>
      </c>
      <c r="N4610">
        <f>IF(B4610,EXP(SUMPRODUCT(LN(1+(EvEff-1)*INDEX(Affected,0,C4610)*EXP(-((E4610-EvCenter)^2)/(2*EvSigma^2))))),"")</f>
        <v/>
      </c>
      <c r="O4610">
        <f>IF(B4610,ROUND(MAX(0,J4610*K4610*L4610*M4610*N4610),2),"")</f>
        <v/>
      </c>
    </row>
    <row r="4611">
      <c r="A4611" t="n">
        <v>4610</v>
      </c>
      <c r="B4611">
        <f>A4611&lt;=MineCount*Days</f>
        <v/>
      </c>
      <c r="C4611">
        <f>IF(B4611,INT((A4611-1)/Days)+1,"")</f>
        <v/>
      </c>
      <c r="D4611">
        <f>IF(B4611,MOD(A4611-1,Days),"")</f>
        <v/>
      </c>
      <c r="E4611" s="16">
        <f>IF(B4611,StartDate+D4611,"")</f>
        <v/>
      </c>
      <c r="F4611">
        <f>IF(B4611,MAX(MOD(SIN(Seed*0.1373+C4611*12.9898+D4611*78.233)*43758.5453,1),1E-9),"")</f>
        <v/>
      </c>
      <c r="G4611">
        <f>IF(B4611,MOD(SIN(Seed*0.5917+C4611*39.3468+D4611*11.135)*24634.6345,1),"")</f>
        <v/>
      </c>
      <c r="H4611">
        <f>IF(B4611,SQRT(-2*LN(F4611))*COS(2*PI()*G4611),"")</f>
        <v/>
      </c>
      <c r="I4611">
        <f>IF(B4611,IF(D4611=0,H4611,Rho*I4610+SQRT(1-Rho^2)*H4611),"")</f>
        <v/>
      </c>
      <c r="J4611">
        <f>IF(B4611,IF(Dist="Normal",DistA+DistB*I4611,DistA+(DistB-DistA)*NORMSDIST(I4611)),"")</f>
        <v/>
      </c>
      <c r="K4611">
        <f>IF(B4611,INDEX(MineScale,C4611),"")</f>
        <v/>
      </c>
      <c r="L4611">
        <f>IF(B4611,INDEX(Dow,1,WEEKDAY(E4611,2)),"")</f>
        <v/>
      </c>
      <c r="M4611">
        <f>IF(B4611,(1+Trend)^D4611,"")</f>
        <v/>
      </c>
      <c r="N4611">
        <f>IF(B4611,EXP(SUMPRODUCT(LN(1+(EvEff-1)*INDEX(Affected,0,C4611)*EXP(-((E4611-EvCenter)^2)/(2*EvSigma^2))))),"")</f>
        <v/>
      </c>
      <c r="O4611">
        <f>IF(B4611,ROUND(MAX(0,J4611*K4611*L4611*M4611*N4611),2),"")</f>
        <v/>
      </c>
    </row>
    <row r="4612">
      <c r="A4612" t="n">
        <v>4611</v>
      </c>
      <c r="B4612">
        <f>A4612&lt;=MineCount*Days</f>
        <v/>
      </c>
      <c r="C4612">
        <f>IF(B4612,INT((A4612-1)/Days)+1,"")</f>
        <v/>
      </c>
      <c r="D4612">
        <f>IF(B4612,MOD(A4612-1,Days),"")</f>
        <v/>
      </c>
      <c r="E4612" s="16">
        <f>IF(B4612,StartDate+D4612,"")</f>
        <v/>
      </c>
      <c r="F4612">
        <f>IF(B4612,MAX(MOD(SIN(Seed*0.1373+C4612*12.9898+D4612*78.233)*43758.5453,1),1E-9),"")</f>
        <v/>
      </c>
      <c r="G4612">
        <f>IF(B4612,MOD(SIN(Seed*0.5917+C4612*39.3468+D4612*11.135)*24634.6345,1),"")</f>
        <v/>
      </c>
      <c r="H4612">
        <f>IF(B4612,SQRT(-2*LN(F4612))*COS(2*PI()*G4612),"")</f>
        <v/>
      </c>
      <c r="I4612">
        <f>IF(B4612,IF(D4612=0,H4612,Rho*I4611+SQRT(1-Rho^2)*H4612),"")</f>
        <v/>
      </c>
      <c r="J4612">
        <f>IF(B4612,IF(Dist="Normal",DistA+DistB*I4612,DistA+(DistB-DistA)*NORMSDIST(I4612)),"")</f>
        <v/>
      </c>
      <c r="K4612">
        <f>IF(B4612,INDEX(MineScale,C4612),"")</f>
        <v/>
      </c>
      <c r="L4612">
        <f>IF(B4612,INDEX(Dow,1,WEEKDAY(E4612,2)),"")</f>
        <v/>
      </c>
      <c r="M4612">
        <f>IF(B4612,(1+Trend)^D4612,"")</f>
        <v/>
      </c>
      <c r="N4612">
        <f>IF(B4612,EXP(SUMPRODUCT(LN(1+(EvEff-1)*INDEX(Affected,0,C4612)*EXP(-((E4612-EvCenter)^2)/(2*EvSigma^2))))),"")</f>
        <v/>
      </c>
      <c r="O4612">
        <f>IF(B4612,ROUND(MAX(0,J4612*K4612*L4612*M4612*N4612),2),"")</f>
        <v/>
      </c>
    </row>
    <row r="4613">
      <c r="A4613" t="n">
        <v>4612</v>
      </c>
      <c r="B4613">
        <f>A4613&lt;=MineCount*Days</f>
        <v/>
      </c>
      <c r="C4613">
        <f>IF(B4613,INT((A4613-1)/Days)+1,"")</f>
        <v/>
      </c>
      <c r="D4613">
        <f>IF(B4613,MOD(A4613-1,Days),"")</f>
        <v/>
      </c>
      <c r="E4613" s="16">
        <f>IF(B4613,StartDate+D4613,"")</f>
        <v/>
      </c>
      <c r="F4613">
        <f>IF(B4613,MAX(MOD(SIN(Seed*0.1373+C4613*12.9898+D4613*78.233)*43758.5453,1),1E-9),"")</f>
        <v/>
      </c>
      <c r="G4613">
        <f>IF(B4613,MOD(SIN(Seed*0.5917+C4613*39.3468+D4613*11.135)*24634.6345,1),"")</f>
        <v/>
      </c>
      <c r="H4613">
        <f>IF(B4613,SQRT(-2*LN(F4613))*COS(2*PI()*G4613),"")</f>
        <v/>
      </c>
      <c r="I4613">
        <f>IF(B4613,IF(D4613=0,H4613,Rho*I4612+SQRT(1-Rho^2)*H4613),"")</f>
        <v/>
      </c>
      <c r="J4613">
        <f>IF(B4613,IF(Dist="Normal",DistA+DistB*I4613,DistA+(DistB-DistA)*NORMSDIST(I4613)),"")</f>
        <v/>
      </c>
      <c r="K4613">
        <f>IF(B4613,INDEX(MineScale,C4613),"")</f>
        <v/>
      </c>
      <c r="L4613">
        <f>IF(B4613,INDEX(Dow,1,WEEKDAY(E4613,2)),"")</f>
        <v/>
      </c>
      <c r="M4613">
        <f>IF(B4613,(1+Trend)^D4613,"")</f>
        <v/>
      </c>
      <c r="N4613">
        <f>IF(B4613,EXP(SUMPRODUCT(LN(1+(EvEff-1)*INDEX(Affected,0,C4613)*EXP(-((E4613-EvCenter)^2)/(2*EvSigma^2))))),"")</f>
        <v/>
      </c>
      <c r="O4613">
        <f>IF(B4613,ROUND(MAX(0,J4613*K4613*L4613*M4613*N4613),2),"")</f>
        <v/>
      </c>
    </row>
    <row r="4614">
      <c r="A4614" t="n">
        <v>4613</v>
      </c>
      <c r="B4614">
        <f>A4614&lt;=MineCount*Days</f>
        <v/>
      </c>
      <c r="C4614">
        <f>IF(B4614,INT((A4614-1)/Days)+1,"")</f>
        <v/>
      </c>
      <c r="D4614">
        <f>IF(B4614,MOD(A4614-1,Days),"")</f>
        <v/>
      </c>
      <c r="E4614" s="16">
        <f>IF(B4614,StartDate+D4614,"")</f>
        <v/>
      </c>
      <c r="F4614">
        <f>IF(B4614,MAX(MOD(SIN(Seed*0.1373+C4614*12.9898+D4614*78.233)*43758.5453,1),1E-9),"")</f>
        <v/>
      </c>
      <c r="G4614">
        <f>IF(B4614,MOD(SIN(Seed*0.5917+C4614*39.3468+D4614*11.135)*24634.6345,1),"")</f>
        <v/>
      </c>
      <c r="H4614">
        <f>IF(B4614,SQRT(-2*LN(F4614))*COS(2*PI()*G4614),"")</f>
        <v/>
      </c>
      <c r="I4614">
        <f>IF(B4614,IF(D4614=0,H4614,Rho*I4613+SQRT(1-Rho^2)*H4614),"")</f>
        <v/>
      </c>
      <c r="J4614">
        <f>IF(B4614,IF(Dist="Normal",DistA+DistB*I4614,DistA+(DistB-DistA)*NORMSDIST(I4614)),"")</f>
        <v/>
      </c>
      <c r="K4614">
        <f>IF(B4614,INDEX(MineScale,C4614),"")</f>
        <v/>
      </c>
      <c r="L4614">
        <f>IF(B4614,INDEX(Dow,1,WEEKDAY(E4614,2)),"")</f>
        <v/>
      </c>
      <c r="M4614">
        <f>IF(B4614,(1+Trend)^D4614,"")</f>
        <v/>
      </c>
      <c r="N4614">
        <f>IF(B4614,EXP(SUMPRODUCT(LN(1+(EvEff-1)*INDEX(Affected,0,C4614)*EXP(-((E4614-EvCenter)^2)/(2*EvSigma^2))))),"")</f>
        <v/>
      </c>
      <c r="O4614">
        <f>IF(B4614,ROUND(MAX(0,J4614*K4614*L4614*M4614*N4614),2),"")</f>
        <v/>
      </c>
    </row>
    <row r="4615">
      <c r="A4615" t="n">
        <v>4614</v>
      </c>
      <c r="B4615">
        <f>A4615&lt;=MineCount*Days</f>
        <v/>
      </c>
      <c r="C4615">
        <f>IF(B4615,INT((A4615-1)/Days)+1,"")</f>
        <v/>
      </c>
      <c r="D4615">
        <f>IF(B4615,MOD(A4615-1,Days),"")</f>
        <v/>
      </c>
      <c r="E4615" s="16">
        <f>IF(B4615,StartDate+D4615,"")</f>
        <v/>
      </c>
      <c r="F4615">
        <f>IF(B4615,MAX(MOD(SIN(Seed*0.1373+C4615*12.9898+D4615*78.233)*43758.5453,1),1E-9),"")</f>
        <v/>
      </c>
      <c r="G4615">
        <f>IF(B4615,MOD(SIN(Seed*0.5917+C4615*39.3468+D4615*11.135)*24634.6345,1),"")</f>
        <v/>
      </c>
      <c r="H4615">
        <f>IF(B4615,SQRT(-2*LN(F4615))*COS(2*PI()*G4615),"")</f>
        <v/>
      </c>
      <c r="I4615">
        <f>IF(B4615,IF(D4615=0,H4615,Rho*I4614+SQRT(1-Rho^2)*H4615),"")</f>
        <v/>
      </c>
      <c r="J4615">
        <f>IF(B4615,IF(Dist="Normal",DistA+DistB*I4615,DistA+(DistB-DistA)*NORMSDIST(I4615)),"")</f>
        <v/>
      </c>
      <c r="K4615">
        <f>IF(B4615,INDEX(MineScale,C4615),"")</f>
        <v/>
      </c>
      <c r="L4615">
        <f>IF(B4615,INDEX(Dow,1,WEEKDAY(E4615,2)),"")</f>
        <v/>
      </c>
      <c r="M4615">
        <f>IF(B4615,(1+Trend)^D4615,"")</f>
        <v/>
      </c>
      <c r="N4615">
        <f>IF(B4615,EXP(SUMPRODUCT(LN(1+(EvEff-1)*INDEX(Affected,0,C4615)*EXP(-((E4615-EvCenter)^2)/(2*EvSigma^2))))),"")</f>
        <v/>
      </c>
      <c r="O4615">
        <f>IF(B4615,ROUND(MAX(0,J4615*K4615*L4615*M4615*N4615),2),"")</f>
        <v/>
      </c>
    </row>
    <row r="4616">
      <c r="A4616" t="n">
        <v>4615</v>
      </c>
      <c r="B4616">
        <f>A4616&lt;=MineCount*Days</f>
        <v/>
      </c>
      <c r="C4616">
        <f>IF(B4616,INT((A4616-1)/Days)+1,"")</f>
        <v/>
      </c>
      <c r="D4616">
        <f>IF(B4616,MOD(A4616-1,Days),"")</f>
        <v/>
      </c>
      <c r="E4616" s="16">
        <f>IF(B4616,StartDate+D4616,"")</f>
        <v/>
      </c>
      <c r="F4616">
        <f>IF(B4616,MAX(MOD(SIN(Seed*0.1373+C4616*12.9898+D4616*78.233)*43758.5453,1),1E-9),"")</f>
        <v/>
      </c>
      <c r="G4616">
        <f>IF(B4616,MOD(SIN(Seed*0.5917+C4616*39.3468+D4616*11.135)*24634.6345,1),"")</f>
        <v/>
      </c>
      <c r="H4616">
        <f>IF(B4616,SQRT(-2*LN(F4616))*COS(2*PI()*G4616),"")</f>
        <v/>
      </c>
      <c r="I4616">
        <f>IF(B4616,IF(D4616=0,H4616,Rho*I4615+SQRT(1-Rho^2)*H4616),"")</f>
        <v/>
      </c>
      <c r="J4616">
        <f>IF(B4616,IF(Dist="Normal",DistA+DistB*I4616,DistA+(DistB-DistA)*NORMSDIST(I4616)),"")</f>
        <v/>
      </c>
      <c r="K4616">
        <f>IF(B4616,INDEX(MineScale,C4616),"")</f>
        <v/>
      </c>
      <c r="L4616">
        <f>IF(B4616,INDEX(Dow,1,WEEKDAY(E4616,2)),"")</f>
        <v/>
      </c>
      <c r="M4616">
        <f>IF(B4616,(1+Trend)^D4616,"")</f>
        <v/>
      </c>
      <c r="N4616">
        <f>IF(B4616,EXP(SUMPRODUCT(LN(1+(EvEff-1)*INDEX(Affected,0,C4616)*EXP(-((E4616-EvCenter)^2)/(2*EvSigma^2))))),"")</f>
        <v/>
      </c>
      <c r="O4616">
        <f>IF(B4616,ROUND(MAX(0,J4616*K4616*L4616*M4616*N4616),2),"")</f>
        <v/>
      </c>
    </row>
    <row r="4617">
      <c r="A4617" t="n">
        <v>4616</v>
      </c>
      <c r="B4617">
        <f>A4617&lt;=MineCount*Days</f>
        <v/>
      </c>
      <c r="C4617">
        <f>IF(B4617,INT((A4617-1)/Days)+1,"")</f>
        <v/>
      </c>
      <c r="D4617">
        <f>IF(B4617,MOD(A4617-1,Days),"")</f>
        <v/>
      </c>
      <c r="E4617" s="16">
        <f>IF(B4617,StartDate+D4617,"")</f>
        <v/>
      </c>
      <c r="F4617">
        <f>IF(B4617,MAX(MOD(SIN(Seed*0.1373+C4617*12.9898+D4617*78.233)*43758.5453,1),1E-9),"")</f>
        <v/>
      </c>
      <c r="G4617">
        <f>IF(B4617,MOD(SIN(Seed*0.5917+C4617*39.3468+D4617*11.135)*24634.6345,1),"")</f>
        <v/>
      </c>
      <c r="H4617">
        <f>IF(B4617,SQRT(-2*LN(F4617))*COS(2*PI()*G4617),"")</f>
        <v/>
      </c>
      <c r="I4617">
        <f>IF(B4617,IF(D4617=0,H4617,Rho*I4616+SQRT(1-Rho^2)*H4617),"")</f>
        <v/>
      </c>
      <c r="J4617">
        <f>IF(B4617,IF(Dist="Normal",DistA+DistB*I4617,DistA+(DistB-DistA)*NORMSDIST(I4617)),"")</f>
        <v/>
      </c>
      <c r="K4617">
        <f>IF(B4617,INDEX(MineScale,C4617),"")</f>
        <v/>
      </c>
      <c r="L4617">
        <f>IF(B4617,INDEX(Dow,1,WEEKDAY(E4617,2)),"")</f>
        <v/>
      </c>
      <c r="M4617">
        <f>IF(B4617,(1+Trend)^D4617,"")</f>
        <v/>
      </c>
      <c r="N4617">
        <f>IF(B4617,EXP(SUMPRODUCT(LN(1+(EvEff-1)*INDEX(Affected,0,C4617)*EXP(-((E4617-EvCenter)^2)/(2*EvSigma^2))))),"")</f>
        <v/>
      </c>
      <c r="O4617">
        <f>IF(B4617,ROUND(MAX(0,J4617*K4617*L4617*M4617*N4617),2),"")</f>
        <v/>
      </c>
    </row>
    <row r="4618">
      <c r="A4618" t="n">
        <v>4617</v>
      </c>
      <c r="B4618">
        <f>A4618&lt;=MineCount*Days</f>
        <v/>
      </c>
      <c r="C4618">
        <f>IF(B4618,INT((A4618-1)/Days)+1,"")</f>
        <v/>
      </c>
      <c r="D4618">
        <f>IF(B4618,MOD(A4618-1,Days),"")</f>
        <v/>
      </c>
      <c r="E4618" s="16">
        <f>IF(B4618,StartDate+D4618,"")</f>
        <v/>
      </c>
      <c r="F4618">
        <f>IF(B4618,MAX(MOD(SIN(Seed*0.1373+C4618*12.9898+D4618*78.233)*43758.5453,1),1E-9),"")</f>
        <v/>
      </c>
      <c r="G4618">
        <f>IF(B4618,MOD(SIN(Seed*0.5917+C4618*39.3468+D4618*11.135)*24634.6345,1),"")</f>
        <v/>
      </c>
      <c r="H4618">
        <f>IF(B4618,SQRT(-2*LN(F4618))*COS(2*PI()*G4618),"")</f>
        <v/>
      </c>
      <c r="I4618">
        <f>IF(B4618,IF(D4618=0,H4618,Rho*I4617+SQRT(1-Rho^2)*H4618),"")</f>
        <v/>
      </c>
      <c r="J4618">
        <f>IF(B4618,IF(Dist="Normal",DistA+DistB*I4618,DistA+(DistB-DistA)*NORMSDIST(I4618)),"")</f>
        <v/>
      </c>
      <c r="K4618">
        <f>IF(B4618,INDEX(MineScale,C4618),"")</f>
        <v/>
      </c>
      <c r="L4618">
        <f>IF(B4618,INDEX(Dow,1,WEEKDAY(E4618,2)),"")</f>
        <v/>
      </c>
      <c r="M4618">
        <f>IF(B4618,(1+Trend)^D4618,"")</f>
        <v/>
      </c>
      <c r="N4618">
        <f>IF(B4618,EXP(SUMPRODUCT(LN(1+(EvEff-1)*INDEX(Affected,0,C4618)*EXP(-((E4618-EvCenter)^2)/(2*EvSigma^2))))),"")</f>
        <v/>
      </c>
      <c r="O4618">
        <f>IF(B4618,ROUND(MAX(0,J4618*K4618*L4618*M4618*N4618),2),"")</f>
        <v/>
      </c>
    </row>
    <row r="4619">
      <c r="A4619" t="n">
        <v>4618</v>
      </c>
      <c r="B4619">
        <f>A4619&lt;=MineCount*Days</f>
        <v/>
      </c>
      <c r="C4619">
        <f>IF(B4619,INT((A4619-1)/Days)+1,"")</f>
        <v/>
      </c>
      <c r="D4619">
        <f>IF(B4619,MOD(A4619-1,Days),"")</f>
        <v/>
      </c>
      <c r="E4619" s="16">
        <f>IF(B4619,StartDate+D4619,"")</f>
        <v/>
      </c>
      <c r="F4619">
        <f>IF(B4619,MAX(MOD(SIN(Seed*0.1373+C4619*12.9898+D4619*78.233)*43758.5453,1),1E-9),"")</f>
        <v/>
      </c>
      <c r="G4619">
        <f>IF(B4619,MOD(SIN(Seed*0.5917+C4619*39.3468+D4619*11.135)*24634.6345,1),"")</f>
        <v/>
      </c>
      <c r="H4619">
        <f>IF(B4619,SQRT(-2*LN(F4619))*COS(2*PI()*G4619),"")</f>
        <v/>
      </c>
      <c r="I4619">
        <f>IF(B4619,IF(D4619=0,H4619,Rho*I4618+SQRT(1-Rho^2)*H4619),"")</f>
        <v/>
      </c>
      <c r="J4619">
        <f>IF(B4619,IF(Dist="Normal",DistA+DistB*I4619,DistA+(DistB-DistA)*NORMSDIST(I4619)),"")</f>
        <v/>
      </c>
      <c r="K4619">
        <f>IF(B4619,INDEX(MineScale,C4619),"")</f>
        <v/>
      </c>
      <c r="L4619">
        <f>IF(B4619,INDEX(Dow,1,WEEKDAY(E4619,2)),"")</f>
        <v/>
      </c>
      <c r="M4619">
        <f>IF(B4619,(1+Trend)^D4619,"")</f>
        <v/>
      </c>
      <c r="N4619">
        <f>IF(B4619,EXP(SUMPRODUCT(LN(1+(EvEff-1)*INDEX(Affected,0,C4619)*EXP(-((E4619-EvCenter)^2)/(2*EvSigma^2))))),"")</f>
        <v/>
      </c>
      <c r="O4619">
        <f>IF(B4619,ROUND(MAX(0,J4619*K4619*L4619*M4619*N4619),2),"")</f>
        <v/>
      </c>
    </row>
    <row r="4620">
      <c r="A4620" t="n">
        <v>4619</v>
      </c>
      <c r="B4620">
        <f>A4620&lt;=MineCount*Days</f>
        <v/>
      </c>
      <c r="C4620">
        <f>IF(B4620,INT((A4620-1)/Days)+1,"")</f>
        <v/>
      </c>
      <c r="D4620">
        <f>IF(B4620,MOD(A4620-1,Days),"")</f>
        <v/>
      </c>
      <c r="E4620" s="16">
        <f>IF(B4620,StartDate+D4620,"")</f>
        <v/>
      </c>
      <c r="F4620">
        <f>IF(B4620,MAX(MOD(SIN(Seed*0.1373+C4620*12.9898+D4620*78.233)*43758.5453,1),1E-9),"")</f>
        <v/>
      </c>
      <c r="G4620">
        <f>IF(B4620,MOD(SIN(Seed*0.5917+C4620*39.3468+D4620*11.135)*24634.6345,1),"")</f>
        <v/>
      </c>
      <c r="H4620">
        <f>IF(B4620,SQRT(-2*LN(F4620))*COS(2*PI()*G4620),"")</f>
        <v/>
      </c>
      <c r="I4620">
        <f>IF(B4620,IF(D4620=0,H4620,Rho*I4619+SQRT(1-Rho^2)*H4620),"")</f>
        <v/>
      </c>
      <c r="J4620">
        <f>IF(B4620,IF(Dist="Normal",DistA+DistB*I4620,DistA+(DistB-DistA)*NORMSDIST(I4620)),"")</f>
        <v/>
      </c>
      <c r="K4620">
        <f>IF(B4620,INDEX(MineScale,C4620),"")</f>
        <v/>
      </c>
      <c r="L4620">
        <f>IF(B4620,INDEX(Dow,1,WEEKDAY(E4620,2)),"")</f>
        <v/>
      </c>
      <c r="M4620">
        <f>IF(B4620,(1+Trend)^D4620,"")</f>
        <v/>
      </c>
      <c r="N4620">
        <f>IF(B4620,EXP(SUMPRODUCT(LN(1+(EvEff-1)*INDEX(Affected,0,C4620)*EXP(-((E4620-EvCenter)^2)/(2*EvSigma^2))))),"")</f>
        <v/>
      </c>
      <c r="O4620">
        <f>IF(B4620,ROUND(MAX(0,J4620*K4620*L4620*M4620*N4620),2),"")</f>
        <v/>
      </c>
    </row>
    <row r="4621">
      <c r="A4621" t="n">
        <v>4620</v>
      </c>
      <c r="B4621">
        <f>A4621&lt;=MineCount*Days</f>
        <v/>
      </c>
      <c r="C4621">
        <f>IF(B4621,INT((A4621-1)/Days)+1,"")</f>
        <v/>
      </c>
      <c r="D4621">
        <f>IF(B4621,MOD(A4621-1,Days),"")</f>
        <v/>
      </c>
      <c r="E4621" s="16">
        <f>IF(B4621,StartDate+D4621,"")</f>
        <v/>
      </c>
      <c r="F4621">
        <f>IF(B4621,MAX(MOD(SIN(Seed*0.1373+C4621*12.9898+D4621*78.233)*43758.5453,1),1E-9),"")</f>
        <v/>
      </c>
      <c r="G4621">
        <f>IF(B4621,MOD(SIN(Seed*0.5917+C4621*39.3468+D4621*11.135)*24634.6345,1),"")</f>
        <v/>
      </c>
      <c r="H4621">
        <f>IF(B4621,SQRT(-2*LN(F4621))*COS(2*PI()*G4621),"")</f>
        <v/>
      </c>
      <c r="I4621">
        <f>IF(B4621,IF(D4621=0,H4621,Rho*I4620+SQRT(1-Rho^2)*H4621),"")</f>
        <v/>
      </c>
      <c r="J4621">
        <f>IF(B4621,IF(Dist="Normal",DistA+DistB*I4621,DistA+(DistB-DistA)*NORMSDIST(I4621)),"")</f>
        <v/>
      </c>
      <c r="K4621">
        <f>IF(B4621,INDEX(MineScale,C4621),"")</f>
        <v/>
      </c>
      <c r="L4621">
        <f>IF(B4621,INDEX(Dow,1,WEEKDAY(E4621,2)),"")</f>
        <v/>
      </c>
      <c r="M4621">
        <f>IF(B4621,(1+Trend)^D4621,"")</f>
        <v/>
      </c>
      <c r="N4621">
        <f>IF(B4621,EXP(SUMPRODUCT(LN(1+(EvEff-1)*INDEX(Affected,0,C4621)*EXP(-((E4621-EvCenter)^2)/(2*EvSigma^2))))),"")</f>
        <v/>
      </c>
      <c r="O4621">
        <f>IF(B4621,ROUND(MAX(0,J4621*K4621*L4621*M4621*N4621),2),"")</f>
        <v/>
      </c>
    </row>
    <row r="4622">
      <c r="A4622" t="n">
        <v>4621</v>
      </c>
      <c r="B4622">
        <f>A4622&lt;=MineCount*Days</f>
        <v/>
      </c>
      <c r="C4622">
        <f>IF(B4622,INT((A4622-1)/Days)+1,"")</f>
        <v/>
      </c>
      <c r="D4622">
        <f>IF(B4622,MOD(A4622-1,Days),"")</f>
        <v/>
      </c>
      <c r="E4622" s="16">
        <f>IF(B4622,StartDate+D4622,"")</f>
        <v/>
      </c>
      <c r="F4622">
        <f>IF(B4622,MAX(MOD(SIN(Seed*0.1373+C4622*12.9898+D4622*78.233)*43758.5453,1),1E-9),"")</f>
        <v/>
      </c>
      <c r="G4622">
        <f>IF(B4622,MOD(SIN(Seed*0.5917+C4622*39.3468+D4622*11.135)*24634.6345,1),"")</f>
        <v/>
      </c>
      <c r="H4622">
        <f>IF(B4622,SQRT(-2*LN(F4622))*COS(2*PI()*G4622),"")</f>
        <v/>
      </c>
      <c r="I4622">
        <f>IF(B4622,IF(D4622=0,H4622,Rho*I4621+SQRT(1-Rho^2)*H4622),"")</f>
        <v/>
      </c>
      <c r="J4622">
        <f>IF(B4622,IF(Dist="Normal",DistA+DistB*I4622,DistA+(DistB-DistA)*NORMSDIST(I4622)),"")</f>
        <v/>
      </c>
      <c r="K4622">
        <f>IF(B4622,INDEX(MineScale,C4622),"")</f>
        <v/>
      </c>
      <c r="L4622">
        <f>IF(B4622,INDEX(Dow,1,WEEKDAY(E4622,2)),"")</f>
        <v/>
      </c>
      <c r="M4622">
        <f>IF(B4622,(1+Trend)^D4622,"")</f>
        <v/>
      </c>
      <c r="N4622">
        <f>IF(B4622,EXP(SUMPRODUCT(LN(1+(EvEff-1)*INDEX(Affected,0,C4622)*EXP(-((E4622-EvCenter)^2)/(2*EvSigma^2))))),"")</f>
        <v/>
      </c>
      <c r="O4622">
        <f>IF(B4622,ROUND(MAX(0,J4622*K4622*L4622*M4622*N4622),2),"")</f>
        <v/>
      </c>
    </row>
    <row r="4623">
      <c r="A4623" t="n">
        <v>4622</v>
      </c>
      <c r="B4623">
        <f>A4623&lt;=MineCount*Days</f>
        <v/>
      </c>
      <c r="C4623">
        <f>IF(B4623,INT((A4623-1)/Days)+1,"")</f>
        <v/>
      </c>
      <c r="D4623">
        <f>IF(B4623,MOD(A4623-1,Days),"")</f>
        <v/>
      </c>
      <c r="E4623" s="16">
        <f>IF(B4623,StartDate+D4623,"")</f>
        <v/>
      </c>
      <c r="F4623">
        <f>IF(B4623,MAX(MOD(SIN(Seed*0.1373+C4623*12.9898+D4623*78.233)*43758.5453,1),1E-9),"")</f>
        <v/>
      </c>
      <c r="G4623">
        <f>IF(B4623,MOD(SIN(Seed*0.5917+C4623*39.3468+D4623*11.135)*24634.6345,1),"")</f>
        <v/>
      </c>
      <c r="H4623">
        <f>IF(B4623,SQRT(-2*LN(F4623))*COS(2*PI()*G4623),"")</f>
        <v/>
      </c>
      <c r="I4623">
        <f>IF(B4623,IF(D4623=0,H4623,Rho*I4622+SQRT(1-Rho^2)*H4623),"")</f>
        <v/>
      </c>
      <c r="J4623">
        <f>IF(B4623,IF(Dist="Normal",DistA+DistB*I4623,DistA+(DistB-DistA)*NORMSDIST(I4623)),"")</f>
        <v/>
      </c>
      <c r="K4623">
        <f>IF(B4623,INDEX(MineScale,C4623),"")</f>
        <v/>
      </c>
      <c r="L4623">
        <f>IF(B4623,INDEX(Dow,1,WEEKDAY(E4623,2)),"")</f>
        <v/>
      </c>
      <c r="M4623">
        <f>IF(B4623,(1+Trend)^D4623,"")</f>
        <v/>
      </c>
      <c r="N4623">
        <f>IF(B4623,EXP(SUMPRODUCT(LN(1+(EvEff-1)*INDEX(Affected,0,C4623)*EXP(-((E4623-EvCenter)^2)/(2*EvSigma^2))))),"")</f>
        <v/>
      </c>
      <c r="O4623">
        <f>IF(B4623,ROUND(MAX(0,J4623*K4623*L4623*M4623*N4623),2),"")</f>
        <v/>
      </c>
    </row>
    <row r="4624">
      <c r="A4624" t="n">
        <v>4623</v>
      </c>
      <c r="B4624">
        <f>A4624&lt;=MineCount*Days</f>
        <v/>
      </c>
      <c r="C4624">
        <f>IF(B4624,INT((A4624-1)/Days)+1,"")</f>
        <v/>
      </c>
      <c r="D4624">
        <f>IF(B4624,MOD(A4624-1,Days),"")</f>
        <v/>
      </c>
      <c r="E4624" s="16">
        <f>IF(B4624,StartDate+D4624,"")</f>
        <v/>
      </c>
      <c r="F4624">
        <f>IF(B4624,MAX(MOD(SIN(Seed*0.1373+C4624*12.9898+D4624*78.233)*43758.5453,1),1E-9),"")</f>
        <v/>
      </c>
      <c r="G4624">
        <f>IF(B4624,MOD(SIN(Seed*0.5917+C4624*39.3468+D4624*11.135)*24634.6345,1),"")</f>
        <v/>
      </c>
      <c r="H4624">
        <f>IF(B4624,SQRT(-2*LN(F4624))*COS(2*PI()*G4624),"")</f>
        <v/>
      </c>
      <c r="I4624">
        <f>IF(B4624,IF(D4624=0,H4624,Rho*I4623+SQRT(1-Rho^2)*H4624),"")</f>
        <v/>
      </c>
      <c r="J4624">
        <f>IF(B4624,IF(Dist="Normal",DistA+DistB*I4624,DistA+(DistB-DistA)*NORMSDIST(I4624)),"")</f>
        <v/>
      </c>
      <c r="K4624">
        <f>IF(B4624,INDEX(MineScale,C4624),"")</f>
        <v/>
      </c>
      <c r="L4624">
        <f>IF(B4624,INDEX(Dow,1,WEEKDAY(E4624,2)),"")</f>
        <v/>
      </c>
      <c r="M4624">
        <f>IF(B4624,(1+Trend)^D4624,"")</f>
        <v/>
      </c>
      <c r="N4624">
        <f>IF(B4624,EXP(SUMPRODUCT(LN(1+(EvEff-1)*INDEX(Affected,0,C4624)*EXP(-((E4624-EvCenter)^2)/(2*EvSigma^2))))),"")</f>
        <v/>
      </c>
      <c r="O4624">
        <f>IF(B4624,ROUND(MAX(0,J4624*K4624*L4624*M4624*N4624),2),"")</f>
        <v/>
      </c>
    </row>
    <row r="4625">
      <c r="A4625" t="n">
        <v>4624</v>
      </c>
      <c r="B4625">
        <f>A4625&lt;=MineCount*Days</f>
        <v/>
      </c>
      <c r="C4625">
        <f>IF(B4625,INT((A4625-1)/Days)+1,"")</f>
        <v/>
      </c>
      <c r="D4625">
        <f>IF(B4625,MOD(A4625-1,Days),"")</f>
        <v/>
      </c>
      <c r="E4625" s="16">
        <f>IF(B4625,StartDate+D4625,"")</f>
        <v/>
      </c>
      <c r="F4625">
        <f>IF(B4625,MAX(MOD(SIN(Seed*0.1373+C4625*12.9898+D4625*78.233)*43758.5453,1),1E-9),"")</f>
        <v/>
      </c>
      <c r="G4625">
        <f>IF(B4625,MOD(SIN(Seed*0.5917+C4625*39.3468+D4625*11.135)*24634.6345,1),"")</f>
        <v/>
      </c>
      <c r="H4625">
        <f>IF(B4625,SQRT(-2*LN(F4625))*COS(2*PI()*G4625),"")</f>
        <v/>
      </c>
      <c r="I4625">
        <f>IF(B4625,IF(D4625=0,H4625,Rho*I4624+SQRT(1-Rho^2)*H4625),"")</f>
        <v/>
      </c>
      <c r="J4625">
        <f>IF(B4625,IF(Dist="Normal",DistA+DistB*I4625,DistA+(DistB-DistA)*NORMSDIST(I4625)),"")</f>
        <v/>
      </c>
      <c r="K4625">
        <f>IF(B4625,INDEX(MineScale,C4625),"")</f>
        <v/>
      </c>
      <c r="L4625">
        <f>IF(B4625,INDEX(Dow,1,WEEKDAY(E4625,2)),"")</f>
        <v/>
      </c>
      <c r="M4625">
        <f>IF(B4625,(1+Trend)^D4625,"")</f>
        <v/>
      </c>
      <c r="N4625">
        <f>IF(B4625,EXP(SUMPRODUCT(LN(1+(EvEff-1)*INDEX(Affected,0,C4625)*EXP(-((E4625-EvCenter)^2)/(2*EvSigma^2))))),"")</f>
        <v/>
      </c>
      <c r="O4625">
        <f>IF(B4625,ROUND(MAX(0,J4625*K4625*L4625*M4625*N4625),2),"")</f>
        <v/>
      </c>
    </row>
    <row r="4626">
      <c r="A4626" t="n">
        <v>4625</v>
      </c>
      <c r="B4626">
        <f>A4626&lt;=MineCount*Days</f>
        <v/>
      </c>
      <c r="C4626">
        <f>IF(B4626,INT((A4626-1)/Days)+1,"")</f>
        <v/>
      </c>
      <c r="D4626">
        <f>IF(B4626,MOD(A4626-1,Days),"")</f>
        <v/>
      </c>
      <c r="E4626" s="16">
        <f>IF(B4626,StartDate+D4626,"")</f>
        <v/>
      </c>
      <c r="F4626">
        <f>IF(B4626,MAX(MOD(SIN(Seed*0.1373+C4626*12.9898+D4626*78.233)*43758.5453,1),1E-9),"")</f>
        <v/>
      </c>
      <c r="G4626">
        <f>IF(B4626,MOD(SIN(Seed*0.5917+C4626*39.3468+D4626*11.135)*24634.6345,1),"")</f>
        <v/>
      </c>
      <c r="H4626">
        <f>IF(B4626,SQRT(-2*LN(F4626))*COS(2*PI()*G4626),"")</f>
        <v/>
      </c>
      <c r="I4626">
        <f>IF(B4626,IF(D4626=0,H4626,Rho*I4625+SQRT(1-Rho^2)*H4626),"")</f>
        <v/>
      </c>
      <c r="J4626">
        <f>IF(B4626,IF(Dist="Normal",DistA+DistB*I4626,DistA+(DistB-DistA)*NORMSDIST(I4626)),"")</f>
        <v/>
      </c>
      <c r="K4626">
        <f>IF(B4626,INDEX(MineScale,C4626),"")</f>
        <v/>
      </c>
      <c r="L4626">
        <f>IF(B4626,INDEX(Dow,1,WEEKDAY(E4626,2)),"")</f>
        <v/>
      </c>
      <c r="M4626">
        <f>IF(B4626,(1+Trend)^D4626,"")</f>
        <v/>
      </c>
      <c r="N4626">
        <f>IF(B4626,EXP(SUMPRODUCT(LN(1+(EvEff-1)*INDEX(Affected,0,C4626)*EXP(-((E4626-EvCenter)^2)/(2*EvSigma^2))))),"")</f>
        <v/>
      </c>
      <c r="O4626">
        <f>IF(B4626,ROUND(MAX(0,J4626*K4626*L4626*M4626*N4626),2),"")</f>
        <v/>
      </c>
    </row>
    <row r="4627">
      <c r="A4627" t="n">
        <v>4626</v>
      </c>
      <c r="B4627">
        <f>A4627&lt;=MineCount*Days</f>
        <v/>
      </c>
      <c r="C4627">
        <f>IF(B4627,INT((A4627-1)/Days)+1,"")</f>
        <v/>
      </c>
      <c r="D4627">
        <f>IF(B4627,MOD(A4627-1,Days),"")</f>
        <v/>
      </c>
      <c r="E4627" s="16">
        <f>IF(B4627,StartDate+D4627,"")</f>
        <v/>
      </c>
      <c r="F4627">
        <f>IF(B4627,MAX(MOD(SIN(Seed*0.1373+C4627*12.9898+D4627*78.233)*43758.5453,1),1E-9),"")</f>
        <v/>
      </c>
      <c r="G4627">
        <f>IF(B4627,MOD(SIN(Seed*0.5917+C4627*39.3468+D4627*11.135)*24634.6345,1),"")</f>
        <v/>
      </c>
      <c r="H4627">
        <f>IF(B4627,SQRT(-2*LN(F4627))*COS(2*PI()*G4627),"")</f>
        <v/>
      </c>
      <c r="I4627">
        <f>IF(B4627,IF(D4627=0,H4627,Rho*I4626+SQRT(1-Rho^2)*H4627),"")</f>
        <v/>
      </c>
      <c r="J4627">
        <f>IF(B4627,IF(Dist="Normal",DistA+DistB*I4627,DistA+(DistB-DistA)*NORMSDIST(I4627)),"")</f>
        <v/>
      </c>
      <c r="K4627">
        <f>IF(B4627,INDEX(MineScale,C4627),"")</f>
        <v/>
      </c>
      <c r="L4627">
        <f>IF(B4627,INDEX(Dow,1,WEEKDAY(E4627,2)),"")</f>
        <v/>
      </c>
      <c r="M4627">
        <f>IF(B4627,(1+Trend)^D4627,"")</f>
        <v/>
      </c>
      <c r="N4627">
        <f>IF(B4627,EXP(SUMPRODUCT(LN(1+(EvEff-1)*INDEX(Affected,0,C4627)*EXP(-((E4627-EvCenter)^2)/(2*EvSigma^2))))),"")</f>
        <v/>
      </c>
      <c r="O4627">
        <f>IF(B4627,ROUND(MAX(0,J4627*K4627*L4627*M4627*N4627),2),"")</f>
        <v/>
      </c>
    </row>
    <row r="4628">
      <c r="A4628" t="n">
        <v>4627</v>
      </c>
      <c r="B4628">
        <f>A4628&lt;=MineCount*Days</f>
        <v/>
      </c>
      <c r="C4628">
        <f>IF(B4628,INT((A4628-1)/Days)+1,"")</f>
        <v/>
      </c>
      <c r="D4628">
        <f>IF(B4628,MOD(A4628-1,Days),"")</f>
        <v/>
      </c>
      <c r="E4628" s="16">
        <f>IF(B4628,StartDate+D4628,"")</f>
        <v/>
      </c>
      <c r="F4628">
        <f>IF(B4628,MAX(MOD(SIN(Seed*0.1373+C4628*12.9898+D4628*78.233)*43758.5453,1),1E-9),"")</f>
        <v/>
      </c>
      <c r="G4628">
        <f>IF(B4628,MOD(SIN(Seed*0.5917+C4628*39.3468+D4628*11.135)*24634.6345,1),"")</f>
        <v/>
      </c>
      <c r="H4628">
        <f>IF(B4628,SQRT(-2*LN(F4628))*COS(2*PI()*G4628),"")</f>
        <v/>
      </c>
      <c r="I4628">
        <f>IF(B4628,IF(D4628=0,H4628,Rho*I4627+SQRT(1-Rho^2)*H4628),"")</f>
        <v/>
      </c>
      <c r="J4628">
        <f>IF(B4628,IF(Dist="Normal",DistA+DistB*I4628,DistA+(DistB-DistA)*NORMSDIST(I4628)),"")</f>
        <v/>
      </c>
      <c r="K4628">
        <f>IF(B4628,INDEX(MineScale,C4628),"")</f>
        <v/>
      </c>
      <c r="L4628">
        <f>IF(B4628,INDEX(Dow,1,WEEKDAY(E4628,2)),"")</f>
        <v/>
      </c>
      <c r="M4628">
        <f>IF(B4628,(1+Trend)^D4628,"")</f>
        <v/>
      </c>
      <c r="N4628">
        <f>IF(B4628,EXP(SUMPRODUCT(LN(1+(EvEff-1)*INDEX(Affected,0,C4628)*EXP(-((E4628-EvCenter)^2)/(2*EvSigma^2))))),"")</f>
        <v/>
      </c>
      <c r="O4628">
        <f>IF(B4628,ROUND(MAX(0,J4628*K4628*L4628*M4628*N4628),2),"")</f>
        <v/>
      </c>
    </row>
    <row r="4629">
      <c r="A4629" t="n">
        <v>4628</v>
      </c>
      <c r="B4629">
        <f>A4629&lt;=MineCount*Days</f>
        <v/>
      </c>
      <c r="C4629">
        <f>IF(B4629,INT((A4629-1)/Days)+1,"")</f>
        <v/>
      </c>
      <c r="D4629">
        <f>IF(B4629,MOD(A4629-1,Days),"")</f>
        <v/>
      </c>
      <c r="E4629" s="16">
        <f>IF(B4629,StartDate+D4629,"")</f>
        <v/>
      </c>
      <c r="F4629">
        <f>IF(B4629,MAX(MOD(SIN(Seed*0.1373+C4629*12.9898+D4629*78.233)*43758.5453,1),1E-9),"")</f>
        <v/>
      </c>
      <c r="G4629">
        <f>IF(B4629,MOD(SIN(Seed*0.5917+C4629*39.3468+D4629*11.135)*24634.6345,1),"")</f>
        <v/>
      </c>
      <c r="H4629">
        <f>IF(B4629,SQRT(-2*LN(F4629))*COS(2*PI()*G4629),"")</f>
        <v/>
      </c>
      <c r="I4629">
        <f>IF(B4629,IF(D4629=0,H4629,Rho*I4628+SQRT(1-Rho^2)*H4629),"")</f>
        <v/>
      </c>
      <c r="J4629">
        <f>IF(B4629,IF(Dist="Normal",DistA+DistB*I4629,DistA+(DistB-DistA)*NORMSDIST(I4629)),"")</f>
        <v/>
      </c>
      <c r="K4629">
        <f>IF(B4629,INDEX(MineScale,C4629),"")</f>
        <v/>
      </c>
      <c r="L4629">
        <f>IF(B4629,INDEX(Dow,1,WEEKDAY(E4629,2)),"")</f>
        <v/>
      </c>
      <c r="M4629">
        <f>IF(B4629,(1+Trend)^D4629,"")</f>
        <v/>
      </c>
      <c r="N4629">
        <f>IF(B4629,EXP(SUMPRODUCT(LN(1+(EvEff-1)*INDEX(Affected,0,C4629)*EXP(-((E4629-EvCenter)^2)/(2*EvSigma^2))))),"")</f>
        <v/>
      </c>
      <c r="O4629">
        <f>IF(B4629,ROUND(MAX(0,J4629*K4629*L4629*M4629*N4629),2),"")</f>
        <v/>
      </c>
    </row>
    <row r="4630">
      <c r="A4630" t="n">
        <v>4629</v>
      </c>
      <c r="B4630">
        <f>A4630&lt;=MineCount*Days</f>
        <v/>
      </c>
      <c r="C4630">
        <f>IF(B4630,INT((A4630-1)/Days)+1,"")</f>
        <v/>
      </c>
      <c r="D4630">
        <f>IF(B4630,MOD(A4630-1,Days),"")</f>
        <v/>
      </c>
      <c r="E4630" s="16">
        <f>IF(B4630,StartDate+D4630,"")</f>
        <v/>
      </c>
      <c r="F4630">
        <f>IF(B4630,MAX(MOD(SIN(Seed*0.1373+C4630*12.9898+D4630*78.233)*43758.5453,1),1E-9),"")</f>
        <v/>
      </c>
      <c r="G4630">
        <f>IF(B4630,MOD(SIN(Seed*0.5917+C4630*39.3468+D4630*11.135)*24634.6345,1),"")</f>
        <v/>
      </c>
      <c r="H4630">
        <f>IF(B4630,SQRT(-2*LN(F4630))*COS(2*PI()*G4630),"")</f>
        <v/>
      </c>
      <c r="I4630">
        <f>IF(B4630,IF(D4630=0,H4630,Rho*I4629+SQRT(1-Rho^2)*H4630),"")</f>
        <v/>
      </c>
      <c r="J4630">
        <f>IF(B4630,IF(Dist="Normal",DistA+DistB*I4630,DistA+(DistB-DistA)*NORMSDIST(I4630)),"")</f>
        <v/>
      </c>
      <c r="K4630">
        <f>IF(B4630,INDEX(MineScale,C4630),"")</f>
        <v/>
      </c>
      <c r="L4630">
        <f>IF(B4630,INDEX(Dow,1,WEEKDAY(E4630,2)),"")</f>
        <v/>
      </c>
      <c r="M4630">
        <f>IF(B4630,(1+Trend)^D4630,"")</f>
        <v/>
      </c>
      <c r="N4630">
        <f>IF(B4630,EXP(SUMPRODUCT(LN(1+(EvEff-1)*INDEX(Affected,0,C4630)*EXP(-((E4630-EvCenter)^2)/(2*EvSigma^2))))),"")</f>
        <v/>
      </c>
      <c r="O4630">
        <f>IF(B4630,ROUND(MAX(0,J4630*K4630*L4630*M4630*N4630),2),"")</f>
        <v/>
      </c>
    </row>
    <row r="4631">
      <c r="A4631" t="n">
        <v>4630</v>
      </c>
      <c r="B4631">
        <f>A4631&lt;=MineCount*Days</f>
        <v/>
      </c>
      <c r="C4631">
        <f>IF(B4631,INT((A4631-1)/Days)+1,"")</f>
        <v/>
      </c>
      <c r="D4631">
        <f>IF(B4631,MOD(A4631-1,Days),"")</f>
        <v/>
      </c>
      <c r="E4631" s="16">
        <f>IF(B4631,StartDate+D4631,"")</f>
        <v/>
      </c>
      <c r="F4631">
        <f>IF(B4631,MAX(MOD(SIN(Seed*0.1373+C4631*12.9898+D4631*78.233)*43758.5453,1),1E-9),"")</f>
        <v/>
      </c>
      <c r="G4631">
        <f>IF(B4631,MOD(SIN(Seed*0.5917+C4631*39.3468+D4631*11.135)*24634.6345,1),"")</f>
        <v/>
      </c>
      <c r="H4631">
        <f>IF(B4631,SQRT(-2*LN(F4631))*COS(2*PI()*G4631),"")</f>
        <v/>
      </c>
      <c r="I4631">
        <f>IF(B4631,IF(D4631=0,H4631,Rho*I4630+SQRT(1-Rho^2)*H4631),"")</f>
        <v/>
      </c>
      <c r="J4631">
        <f>IF(B4631,IF(Dist="Normal",DistA+DistB*I4631,DistA+(DistB-DistA)*NORMSDIST(I4631)),"")</f>
        <v/>
      </c>
      <c r="K4631">
        <f>IF(B4631,INDEX(MineScale,C4631),"")</f>
        <v/>
      </c>
      <c r="L4631">
        <f>IF(B4631,INDEX(Dow,1,WEEKDAY(E4631,2)),"")</f>
        <v/>
      </c>
      <c r="M4631">
        <f>IF(B4631,(1+Trend)^D4631,"")</f>
        <v/>
      </c>
      <c r="N4631">
        <f>IF(B4631,EXP(SUMPRODUCT(LN(1+(EvEff-1)*INDEX(Affected,0,C4631)*EXP(-((E4631-EvCenter)^2)/(2*EvSigma^2))))),"")</f>
        <v/>
      </c>
      <c r="O4631">
        <f>IF(B4631,ROUND(MAX(0,J4631*K4631*L4631*M4631*N4631),2),"")</f>
        <v/>
      </c>
    </row>
    <row r="4632">
      <c r="A4632" t="n">
        <v>4631</v>
      </c>
      <c r="B4632">
        <f>A4632&lt;=MineCount*Days</f>
        <v/>
      </c>
      <c r="C4632">
        <f>IF(B4632,INT((A4632-1)/Days)+1,"")</f>
        <v/>
      </c>
      <c r="D4632">
        <f>IF(B4632,MOD(A4632-1,Days),"")</f>
        <v/>
      </c>
      <c r="E4632" s="16">
        <f>IF(B4632,StartDate+D4632,"")</f>
        <v/>
      </c>
      <c r="F4632">
        <f>IF(B4632,MAX(MOD(SIN(Seed*0.1373+C4632*12.9898+D4632*78.233)*43758.5453,1),1E-9),"")</f>
        <v/>
      </c>
      <c r="G4632">
        <f>IF(B4632,MOD(SIN(Seed*0.5917+C4632*39.3468+D4632*11.135)*24634.6345,1),"")</f>
        <v/>
      </c>
      <c r="H4632">
        <f>IF(B4632,SQRT(-2*LN(F4632))*COS(2*PI()*G4632),"")</f>
        <v/>
      </c>
      <c r="I4632">
        <f>IF(B4632,IF(D4632=0,H4632,Rho*I4631+SQRT(1-Rho^2)*H4632),"")</f>
        <v/>
      </c>
      <c r="J4632">
        <f>IF(B4632,IF(Dist="Normal",DistA+DistB*I4632,DistA+(DistB-DistA)*NORMSDIST(I4632)),"")</f>
        <v/>
      </c>
      <c r="K4632">
        <f>IF(B4632,INDEX(MineScale,C4632),"")</f>
        <v/>
      </c>
      <c r="L4632">
        <f>IF(B4632,INDEX(Dow,1,WEEKDAY(E4632,2)),"")</f>
        <v/>
      </c>
      <c r="M4632">
        <f>IF(B4632,(1+Trend)^D4632,"")</f>
        <v/>
      </c>
      <c r="N4632">
        <f>IF(B4632,EXP(SUMPRODUCT(LN(1+(EvEff-1)*INDEX(Affected,0,C4632)*EXP(-((E4632-EvCenter)^2)/(2*EvSigma^2))))),"")</f>
        <v/>
      </c>
      <c r="O4632">
        <f>IF(B4632,ROUND(MAX(0,J4632*K4632*L4632*M4632*N4632),2),"")</f>
        <v/>
      </c>
    </row>
    <row r="4633">
      <c r="A4633" t="n">
        <v>4632</v>
      </c>
      <c r="B4633">
        <f>A4633&lt;=MineCount*Days</f>
        <v/>
      </c>
      <c r="C4633">
        <f>IF(B4633,INT((A4633-1)/Days)+1,"")</f>
        <v/>
      </c>
      <c r="D4633">
        <f>IF(B4633,MOD(A4633-1,Days),"")</f>
        <v/>
      </c>
      <c r="E4633" s="16">
        <f>IF(B4633,StartDate+D4633,"")</f>
        <v/>
      </c>
      <c r="F4633">
        <f>IF(B4633,MAX(MOD(SIN(Seed*0.1373+C4633*12.9898+D4633*78.233)*43758.5453,1),1E-9),"")</f>
        <v/>
      </c>
      <c r="G4633">
        <f>IF(B4633,MOD(SIN(Seed*0.5917+C4633*39.3468+D4633*11.135)*24634.6345,1),"")</f>
        <v/>
      </c>
      <c r="H4633">
        <f>IF(B4633,SQRT(-2*LN(F4633))*COS(2*PI()*G4633),"")</f>
        <v/>
      </c>
      <c r="I4633">
        <f>IF(B4633,IF(D4633=0,H4633,Rho*I4632+SQRT(1-Rho^2)*H4633),"")</f>
        <v/>
      </c>
      <c r="J4633">
        <f>IF(B4633,IF(Dist="Normal",DistA+DistB*I4633,DistA+(DistB-DistA)*NORMSDIST(I4633)),"")</f>
        <v/>
      </c>
      <c r="K4633">
        <f>IF(B4633,INDEX(MineScale,C4633),"")</f>
        <v/>
      </c>
      <c r="L4633">
        <f>IF(B4633,INDEX(Dow,1,WEEKDAY(E4633,2)),"")</f>
        <v/>
      </c>
      <c r="M4633">
        <f>IF(B4633,(1+Trend)^D4633,"")</f>
        <v/>
      </c>
      <c r="N4633">
        <f>IF(B4633,EXP(SUMPRODUCT(LN(1+(EvEff-1)*INDEX(Affected,0,C4633)*EXP(-((E4633-EvCenter)^2)/(2*EvSigma^2))))),"")</f>
        <v/>
      </c>
      <c r="O4633">
        <f>IF(B4633,ROUND(MAX(0,J4633*K4633*L4633*M4633*N4633),2),"")</f>
        <v/>
      </c>
    </row>
    <row r="4634">
      <c r="A4634" t="n">
        <v>4633</v>
      </c>
      <c r="B4634">
        <f>A4634&lt;=MineCount*Days</f>
        <v/>
      </c>
      <c r="C4634">
        <f>IF(B4634,INT((A4634-1)/Days)+1,"")</f>
        <v/>
      </c>
      <c r="D4634">
        <f>IF(B4634,MOD(A4634-1,Days),"")</f>
        <v/>
      </c>
      <c r="E4634" s="16">
        <f>IF(B4634,StartDate+D4634,"")</f>
        <v/>
      </c>
      <c r="F4634">
        <f>IF(B4634,MAX(MOD(SIN(Seed*0.1373+C4634*12.9898+D4634*78.233)*43758.5453,1),1E-9),"")</f>
        <v/>
      </c>
      <c r="G4634">
        <f>IF(B4634,MOD(SIN(Seed*0.5917+C4634*39.3468+D4634*11.135)*24634.6345,1),"")</f>
        <v/>
      </c>
      <c r="H4634">
        <f>IF(B4634,SQRT(-2*LN(F4634))*COS(2*PI()*G4634),"")</f>
        <v/>
      </c>
      <c r="I4634">
        <f>IF(B4634,IF(D4634=0,H4634,Rho*I4633+SQRT(1-Rho^2)*H4634),"")</f>
        <v/>
      </c>
      <c r="J4634">
        <f>IF(B4634,IF(Dist="Normal",DistA+DistB*I4634,DistA+(DistB-DistA)*NORMSDIST(I4634)),"")</f>
        <v/>
      </c>
      <c r="K4634">
        <f>IF(B4634,INDEX(MineScale,C4634),"")</f>
        <v/>
      </c>
      <c r="L4634">
        <f>IF(B4634,INDEX(Dow,1,WEEKDAY(E4634,2)),"")</f>
        <v/>
      </c>
      <c r="M4634">
        <f>IF(B4634,(1+Trend)^D4634,"")</f>
        <v/>
      </c>
      <c r="N4634">
        <f>IF(B4634,EXP(SUMPRODUCT(LN(1+(EvEff-1)*INDEX(Affected,0,C4634)*EXP(-((E4634-EvCenter)^2)/(2*EvSigma^2))))),"")</f>
        <v/>
      </c>
      <c r="O4634">
        <f>IF(B4634,ROUND(MAX(0,J4634*K4634*L4634*M4634*N4634),2),"")</f>
        <v/>
      </c>
    </row>
    <row r="4635">
      <c r="A4635" t="n">
        <v>4634</v>
      </c>
      <c r="B4635">
        <f>A4635&lt;=MineCount*Days</f>
        <v/>
      </c>
      <c r="C4635">
        <f>IF(B4635,INT((A4635-1)/Days)+1,"")</f>
        <v/>
      </c>
      <c r="D4635">
        <f>IF(B4635,MOD(A4635-1,Days),"")</f>
        <v/>
      </c>
      <c r="E4635" s="16">
        <f>IF(B4635,StartDate+D4635,"")</f>
        <v/>
      </c>
      <c r="F4635">
        <f>IF(B4635,MAX(MOD(SIN(Seed*0.1373+C4635*12.9898+D4635*78.233)*43758.5453,1),1E-9),"")</f>
        <v/>
      </c>
      <c r="G4635">
        <f>IF(B4635,MOD(SIN(Seed*0.5917+C4635*39.3468+D4635*11.135)*24634.6345,1),"")</f>
        <v/>
      </c>
      <c r="H4635">
        <f>IF(B4635,SQRT(-2*LN(F4635))*COS(2*PI()*G4635),"")</f>
        <v/>
      </c>
      <c r="I4635">
        <f>IF(B4635,IF(D4635=0,H4635,Rho*I4634+SQRT(1-Rho^2)*H4635),"")</f>
        <v/>
      </c>
      <c r="J4635">
        <f>IF(B4635,IF(Dist="Normal",DistA+DistB*I4635,DistA+(DistB-DistA)*NORMSDIST(I4635)),"")</f>
        <v/>
      </c>
      <c r="K4635">
        <f>IF(B4635,INDEX(MineScale,C4635),"")</f>
        <v/>
      </c>
      <c r="L4635">
        <f>IF(B4635,INDEX(Dow,1,WEEKDAY(E4635,2)),"")</f>
        <v/>
      </c>
      <c r="M4635">
        <f>IF(B4635,(1+Trend)^D4635,"")</f>
        <v/>
      </c>
      <c r="N4635">
        <f>IF(B4635,EXP(SUMPRODUCT(LN(1+(EvEff-1)*INDEX(Affected,0,C4635)*EXP(-((E4635-EvCenter)^2)/(2*EvSigma^2))))),"")</f>
        <v/>
      </c>
      <c r="O4635">
        <f>IF(B4635,ROUND(MAX(0,J4635*K4635*L4635*M4635*N4635),2),"")</f>
        <v/>
      </c>
    </row>
    <row r="4636">
      <c r="A4636" t="n">
        <v>4635</v>
      </c>
      <c r="B4636">
        <f>A4636&lt;=MineCount*Days</f>
        <v/>
      </c>
      <c r="C4636">
        <f>IF(B4636,INT((A4636-1)/Days)+1,"")</f>
        <v/>
      </c>
      <c r="D4636">
        <f>IF(B4636,MOD(A4636-1,Days),"")</f>
        <v/>
      </c>
      <c r="E4636" s="16">
        <f>IF(B4636,StartDate+D4636,"")</f>
        <v/>
      </c>
      <c r="F4636">
        <f>IF(B4636,MAX(MOD(SIN(Seed*0.1373+C4636*12.9898+D4636*78.233)*43758.5453,1),1E-9),"")</f>
        <v/>
      </c>
      <c r="G4636">
        <f>IF(B4636,MOD(SIN(Seed*0.5917+C4636*39.3468+D4636*11.135)*24634.6345,1),"")</f>
        <v/>
      </c>
      <c r="H4636">
        <f>IF(B4636,SQRT(-2*LN(F4636))*COS(2*PI()*G4636),"")</f>
        <v/>
      </c>
      <c r="I4636">
        <f>IF(B4636,IF(D4636=0,H4636,Rho*I4635+SQRT(1-Rho^2)*H4636),"")</f>
        <v/>
      </c>
      <c r="J4636">
        <f>IF(B4636,IF(Dist="Normal",DistA+DistB*I4636,DistA+(DistB-DistA)*NORMSDIST(I4636)),"")</f>
        <v/>
      </c>
      <c r="K4636">
        <f>IF(B4636,INDEX(MineScale,C4636),"")</f>
        <v/>
      </c>
      <c r="L4636">
        <f>IF(B4636,INDEX(Dow,1,WEEKDAY(E4636,2)),"")</f>
        <v/>
      </c>
      <c r="M4636">
        <f>IF(B4636,(1+Trend)^D4636,"")</f>
        <v/>
      </c>
      <c r="N4636">
        <f>IF(B4636,EXP(SUMPRODUCT(LN(1+(EvEff-1)*INDEX(Affected,0,C4636)*EXP(-((E4636-EvCenter)^2)/(2*EvSigma^2))))),"")</f>
        <v/>
      </c>
      <c r="O4636">
        <f>IF(B4636,ROUND(MAX(0,J4636*K4636*L4636*M4636*N4636),2),"")</f>
        <v/>
      </c>
    </row>
    <row r="4637">
      <c r="A4637" t="n">
        <v>4636</v>
      </c>
      <c r="B4637">
        <f>A4637&lt;=MineCount*Days</f>
        <v/>
      </c>
      <c r="C4637">
        <f>IF(B4637,INT((A4637-1)/Days)+1,"")</f>
        <v/>
      </c>
      <c r="D4637">
        <f>IF(B4637,MOD(A4637-1,Days),"")</f>
        <v/>
      </c>
      <c r="E4637" s="16">
        <f>IF(B4637,StartDate+D4637,"")</f>
        <v/>
      </c>
      <c r="F4637">
        <f>IF(B4637,MAX(MOD(SIN(Seed*0.1373+C4637*12.9898+D4637*78.233)*43758.5453,1),1E-9),"")</f>
        <v/>
      </c>
      <c r="G4637">
        <f>IF(B4637,MOD(SIN(Seed*0.5917+C4637*39.3468+D4637*11.135)*24634.6345,1),"")</f>
        <v/>
      </c>
      <c r="H4637">
        <f>IF(B4637,SQRT(-2*LN(F4637))*COS(2*PI()*G4637),"")</f>
        <v/>
      </c>
      <c r="I4637">
        <f>IF(B4637,IF(D4637=0,H4637,Rho*I4636+SQRT(1-Rho^2)*H4637),"")</f>
        <v/>
      </c>
      <c r="J4637">
        <f>IF(B4637,IF(Dist="Normal",DistA+DistB*I4637,DistA+(DistB-DistA)*NORMSDIST(I4637)),"")</f>
        <v/>
      </c>
      <c r="K4637">
        <f>IF(B4637,INDEX(MineScale,C4637),"")</f>
        <v/>
      </c>
      <c r="L4637">
        <f>IF(B4637,INDEX(Dow,1,WEEKDAY(E4637,2)),"")</f>
        <v/>
      </c>
      <c r="M4637">
        <f>IF(B4637,(1+Trend)^D4637,"")</f>
        <v/>
      </c>
      <c r="N4637">
        <f>IF(B4637,EXP(SUMPRODUCT(LN(1+(EvEff-1)*INDEX(Affected,0,C4637)*EXP(-((E4637-EvCenter)^2)/(2*EvSigma^2))))),"")</f>
        <v/>
      </c>
      <c r="O4637">
        <f>IF(B4637,ROUND(MAX(0,J4637*K4637*L4637*M4637*N4637),2),"")</f>
        <v/>
      </c>
    </row>
    <row r="4638">
      <c r="A4638" t="n">
        <v>4637</v>
      </c>
      <c r="B4638">
        <f>A4638&lt;=MineCount*Days</f>
        <v/>
      </c>
      <c r="C4638">
        <f>IF(B4638,INT((A4638-1)/Days)+1,"")</f>
        <v/>
      </c>
      <c r="D4638">
        <f>IF(B4638,MOD(A4638-1,Days),"")</f>
        <v/>
      </c>
      <c r="E4638" s="16">
        <f>IF(B4638,StartDate+D4638,"")</f>
        <v/>
      </c>
      <c r="F4638">
        <f>IF(B4638,MAX(MOD(SIN(Seed*0.1373+C4638*12.9898+D4638*78.233)*43758.5453,1),1E-9),"")</f>
        <v/>
      </c>
      <c r="G4638">
        <f>IF(B4638,MOD(SIN(Seed*0.5917+C4638*39.3468+D4638*11.135)*24634.6345,1),"")</f>
        <v/>
      </c>
      <c r="H4638">
        <f>IF(B4638,SQRT(-2*LN(F4638))*COS(2*PI()*G4638),"")</f>
        <v/>
      </c>
      <c r="I4638">
        <f>IF(B4638,IF(D4638=0,H4638,Rho*I4637+SQRT(1-Rho^2)*H4638),"")</f>
        <v/>
      </c>
      <c r="J4638">
        <f>IF(B4638,IF(Dist="Normal",DistA+DistB*I4638,DistA+(DistB-DistA)*NORMSDIST(I4638)),"")</f>
        <v/>
      </c>
      <c r="K4638">
        <f>IF(B4638,INDEX(MineScale,C4638),"")</f>
        <v/>
      </c>
      <c r="L4638">
        <f>IF(B4638,INDEX(Dow,1,WEEKDAY(E4638,2)),"")</f>
        <v/>
      </c>
      <c r="M4638">
        <f>IF(B4638,(1+Trend)^D4638,"")</f>
        <v/>
      </c>
      <c r="N4638">
        <f>IF(B4638,EXP(SUMPRODUCT(LN(1+(EvEff-1)*INDEX(Affected,0,C4638)*EXP(-((E4638-EvCenter)^2)/(2*EvSigma^2))))),"")</f>
        <v/>
      </c>
      <c r="O4638">
        <f>IF(B4638,ROUND(MAX(0,J4638*K4638*L4638*M4638*N4638),2),"")</f>
        <v/>
      </c>
    </row>
    <row r="4639">
      <c r="A4639" t="n">
        <v>4638</v>
      </c>
      <c r="B4639">
        <f>A4639&lt;=MineCount*Days</f>
        <v/>
      </c>
      <c r="C4639">
        <f>IF(B4639,INT((A4639-1)/Days)+1,"")</f>
        <v/>
      </c>
      <c r="D4639">
        <f>IF(B4639,MOD(A4639-1,Days),"")</f>
        <v/>
      </c>
      <c r="E4639" s="16">
        <f>IF(B4639,StartDate+D4639,"")</f>
        <v/>
      </c>
      <c r="F4639">
        <f>IF(B4639,MAX(MOD(SIN(Seed*0.1373+C4639*12.9898+D4639*78.233)*43758.5453,1),1E-9),"")</f>
        <v/>
      </c>
      <c r="G4639">
        <f>IF(B4639,MOD(SIN(Seed*0.5917+C4639*39.3468+D4639*11.135)*24634.6345,1),"")</f>
        <v/>
      </c>
      <c r="H4639">
        <f>IF(B4639,SQRT(-2*LN(F4639))*COS(2*PI()*G4639),"")</f>
        <v/>
      </c>
      <c r="I4639">
        <f>IF(B4639,IF(D4639=0,H4639,Rho*I4638+SQRT(1-Rho^2)*H4639),"")</f>
        <v/>
      </c>
      <c r="J4639">
        <f>IF(B4639,IF(Dist="Normal",DistA+DistB*I4639,DistA+(DistB-DistA)*NORMSDIST(I4639)),"")</f>
        <v/>
      </c>
      <c r="K4639">
        <f>IF(B4639,INDEX(MineScale,C4639),"")</f>
        <v/>
      </c>
      <c r="L4639">
        <f>IF(B4639,INDEX(Dow,1,WEEKDAY(E4639,2)),"")</f>
        <v/>
      </c>
      <c r="M4639">
        <f>IF(B4639,(1+Trend)^D4639,"")</f>
        <v/>
      </c>
      <c r="N4639">
        <f>IF(B4639,EXP(SUMPRODUCT(LN(1+(EvEff-1)*INDEX(Affected,0,C4639)*EXP(-((E4639-EvCenter)^2)/(2*EvSigma^2))))),"")</f>
        <v/>
      </c>
      <c r="O4639">
        <f>IF(B4639,ROUND(MAX(0,J4639*K4639*L4639*M4639*N4639),2),"")</f>
        <v/>
      </c>
    </row>
    <row r="4640">
      <c r="A4640" t="n">
        <v>4639</v>
      </c>
      <c r="B4640">
        <f>A4640&lt;=MineCount*Days</f>
        <v/>
      </c>
      <c r="C4640">
        <f>IF(B4640,INT((A4640-1)/Days)+1,"")</f>
        <v/>
      </c>
      <c r="D4640">
        <f>IF(B4640,MOD(A4640-1,Days),"")</f>
        <v/>
      </c>
      <c r="E4640" s="16">
        <f>IF(B4640,StartDate+D4640,"")</f>
        <v/>
      </c>
      <c r="F4640">
        <f>IF(B4640,MAX(MOD(SIN(Seed*0.1373+C4640*12.9898+D4640*78.233)*43758.5453,1),1E-9),"")</f>
        <v/>
      </c>
      <c r="G4640">
        <f>IF(B4640,MOD(SIN(Seed*0.5917+C4640*39.3468+D4640*11.135)*24634.6345,1),"")</f>
        <v/>
      </c>
      <c r="H4640">
        <f>IF(B4640,SQRT(-2*LN(F4640))*COS(2*PI()*G4640),"")</f>
        <v/>
      </c>
      <c r="I4640">
        <f>IF(B4640,IF(D4640=0,H4640,Rho*I4639+SQRT(1-Rho^2)*H4640),"")</f>
        <v/>
      </c>
      <c r="J4640">
        <f>IF(B4640,IF(Dist="Normal",DistA+DistB*I4640,DistA+(DistB-DistA)*NORMSDIST(I4640)),"")</f>
        <v/>
      </c>
      <c r="K4640">
        <f>IF(B4640,INDEX(MineScale,C4640),"")</f>
        <v/>
      </c>
      <c r="L4640">
        <f>IF(B4640,INDEX(Dow,1,WEEKDAY(E4640,2)),"")</f>
        <v/>
      </c>
      <c r="M4640">
        <f>IF(B4640,(1+Trend)^D4640,"")</f>
        <v/>
      </c>
      <c r="N4640">
        <f>IF(B4640,EXP(SUMPRODUCT(LN(1+(EvEff-1)*INDEX(Affected,0,C4640)*EXP(-((E4640-EvCenter)^2)/(2*EvSigma^2))))),"")</f>
        <v/>
      </c>
      <c r="O4640">
        <f>IF(B4640,ROUND(MAX(0,J4640*K4640*L4640*M4640*N4640),2),"")</f>
        <v/>
      </c>
    </row>
    <row r="4641">
      <c r="A4641" t="n">
        <v>4640</v>
      </c>
      <c r="B4641">
        <f>A4641&lt;=MineCount*Days</f>
        <v/>
      </c>
      <c r="C4641">
        <f>IF(B4641,INT((A4641-1)/Days)+1,"")</f>
        <v/>
      </c>
      <c r="D4641">
        <f>IF(B4641,MOD(A4641-1,Days),"")</f>
        <v/>
      </c>
      <c r="E4641" s="16">
        <f>IF(B4641,StartDate+D4641,"")</f>
        <v/>
      </c>
      <c r="F4641">
        <f>IF(B4641,MAX(MOD(SIN(Seed*0.1373+C4641*12.9898+D4641*78.233)*43758.5453,1),1E-9),"")</f>
        <v/>
      </c>
      <c r="G4641">
        <f>IF(B4641,MOD(SIN(Seed*0.5917+C4641*39.3468+D4641*11.135)*24634.6345,1),"")</f>
        <v/>
      </c>
      <c r="H4641">
        <f>IF(B4641,SQRT(-2*LN(F4641))*COS(2*PI()*G4641),"")</f>
        <v/>
      </c>
      <c r="I4641">
        <f>IF(B4641,IF(D4641=0,H4641,Rho*I4640+SQRT(1-Rho^2)*H4641),"")</f>
        <v/>
      </c>
      <c r="J4641">
        <f>IF(B4641,IF(Dist="Normal",DistA+DistB*I4641,DistA+(DistB-DistA)*NORMSDIST(I4641)),"")</f>
        <v/>
      </c>
      <c r="K4641">
        <f>IF(B4641,INDEX(MineScale,C4641),"")</f>
        <v/>
      </c>
      <c r="L4641">
        <f>IF(B4641,INDEX(Dow,1,WEEKDAY(E4641,2)),"")</f>
        <v/>
      </c>
      <c r="M4641">
        <f>IF(B4641,(1+Trend)^D4641,"")</f>
        <v/>
      </c>
      <c r="N4641">
        <f>IF(B4641,EXP(SUMPRODUCT(LN(1+(EvEff-1)*INDEX(Affected,0,C4641)*EXP(-((E4641-EvCenter)^2)/(2*EvSigma^2))))),"")</f>
        <v/>
      </c>
      <c r="O4641">
        <f>IF(B4641,ROUND(MAX(0,J4641*K4641*L4641*M4641*N4641),2),"")</f>
        <v/>
      </c>
    </row>
    <row r="4642">
      <c r="A4642" t="n">
        <v>4641</v>
      </c>
      <c r="B4642">
        <f>A4642&lt;=MineCount*Days</f>
        <v/>
      </c>
      <c r="C4642">
        <f>IF(B4642,INT((A4642-1)/Days)+1,"")</f>
        <v/>
      </c>
      <c r="D4642">
        <f>IF(B4642,MOD(A4642-1,Days),"")</f>
        <v/>
      </c>
      <c r="E4642" s="16">
        <f>IF(B4642,StartDate+D4642,"")</f>
        <v/>
      </c>
      <c r="F4642">
        <f>IF(B4642,MAX(MOD(SIN(Seed*0.1373+C4642*12.9898+D4642*78.233)*43758.5453,1),1E-9),"")</f>
        <v/>
      </c>
      <c r="G4642">
        <f>IF(B4642,MOD(SIN(Seed*0.5917+C4642*39.3468+D4642*11.135)*24634.6345,1),"")</f>
        <v/>
      </c>
      <c r="H4642">
        <f>IF(B4642,SQRT(-2*LN(F4642))*COS(2*PI()*G4642),"")</f>
        <v/>
      </c>
      <c r="I4642">
        <f>IF(B4642,IF(D4642=0,H4642,Rho*I4641+SQRT(1-Rho^2)*H4642),"")</f>
        <v/>
      </c>
      <c r="J4642">
        <f>IF(B4642,IF(Dist="Normal",DistA+DistB*I4642,DistA+(DistB-DistA)*NORMSDIST(I4642)),"")</f>
        <v/>
      </c>
      <c r="K4642">
        <f>IF(B4642,INDEX(MineScale,C4642),"")</f>
        <v/>
      </c>
      <c r="L4642">
        <f>IF(B4642,INDEX(Dow,1,WEEKDAY(E4642,2)),"")</f>
        <v/>
      </c>
      <c r="M4642">
        <f>IF(B4642,(1+Trend)^D4642,"")</f>
        <v/>
      </c>
      <c r="N4642">
        <f>IF(B4642,EXP(SUMPRODUCT(LN(1+(EvEff-1)*INDEX(Affected,0,C4642)*EXP(-((E4642-EvCenter)^2)/(2*EvSigma^2))))),"")</f>
        <v/>
      </c>
      <c r="O4642">
        <f>IF(B4642,ROUND(MAX(0,J4642*K4642*L4642*M4642*N4642),2),"")</f>
        <v/>
      </c>
    </row>
    <row r="4643">
      <c r="A4643" t="n">
        <v>4642</v>
      </c>
      <c r="B4643">
        <f>A4643&lt;=MineCount*Days</f>
        <v/>
      </c>
      <c r="C4643">
        <f>IF(B4643,INT((A4643-1)/Days)+1,"")</f>
        <v/>
      </c>
      <c r="D4643">
        <f>IF(B4643,MOD(A4643-1,Days),"")</f>
        <v/>
      </c>
      <c r="E4643" s="16">
        <f>IF(B4643,StartDate+D4643,"")</f>
        <v/>
      </c>
      <c r="F4643">
        <f>IF(B4643,MAX(MOD(SIN(Seed*0.1373+C4643*12.9898+D4643*78.233)*43758.5453,1),1E-9),"")</f>
        <v/>
      </c>
      <c r="G4643">
        <f>IF(B4643,MOD(SIN(Seed*0.5917+C4643*39.3468+D4643*11.135)*24634.6345,1),"")</f>
        <v/>
      </c>
      <c r="H4643">
        <f>IF(B4643,SQRT(-2*LN(F4643))*COS(2*PI()*G4643),"")</f>
        <v/>
      </c>
      <c r="I4643">
        <f>IF(B4643,IF(D4643=0,H4643,Rho*I4642+SQRT(1-Rho^2)*H4643),"")</f>
        <v/>
      </c>
      <c r="J4643">
        <f>IF(B4643,IF(Dist="Normal",DistA+DistB*I4643,DistA+(DistB-DistA)*NORMSDIST(I4643)),"")</f>
        <v/>
      </c>
      <c r="K4643">
        <f>IF(B4643,INDEX(MineScale,C4643),"")</f>
        <v/>
      </c>
      <c r="L4643">
        <f>IF(B4643,INDEX(Dow,1,WEEKDAY(E4643,2)),"")</f>
        <v/>
      </c>
      <c r="M4643">
        <f>IF(B4643,(1+Trend)^D4643,"")</f>
        <v/>
      </c>
      <c r="N4643">
        <f>IF(B4643,EXP(SUMPRODUCT(LN(1+(EvEff-1)*INDEX(Affected,0,C4643)*EXP(-((E4643-EvCenter)^2)/(2*EvSigma^2))))),"")</f>
        <v/>
      </c>
      <c r="O4643">
        <f>IF(B4643,ROUND(MAX(0,J4643*K4643*L4643*M4643*N4643),2),"")</f>
        <v/>
      </c>
    </row>
    <row r="4644">
      <c r="A4644" t="n">
        <v>4643</v>
      </c>
      <c r="B4644">
        <f>A4644&lt;=MineCount*Days</f>
        <v/>
      </c>
      <c r="C4644">
        <f>IF(B4644,INT((A4644-1)/Days)+1,"")</f>
        <v/>
      </c>
      <c r="D4644">
        <f>IF(B4644,MOD(A4644-1,Days),"")</f>
        <v/>
      </c>
      <c r="E4644" s="16">
        <f>IF(B4644,StartDate+D4644,"")</f>
        <v/>
      </c>
      <c r="F4644">
        <f>IF(B4644,MAX(MOD(SIN(Seed*0.1373+C4644*12.9898+D4644*78.233)*43758.5453,1),1E-9),"")</f>
        <v/>
      </c>
      <c r="G4644">
        <f>IF(B4644,MOD(SIN(Seed*0.5917+C4644*39.3468+D4644*11.135)*24634.6345,1),"")</f>
        <v/>
      </c>
      <c r="H4644">
        <f>IF(B4644,SQRT(-2*LN(F4644))*COS(2*PI()*G4644),"")</f>
        <v/>
      </c>
      <c r="I4644">
        <f>IF(B4644,IF(D4644=0,H4644,Rho*I4643+SQRT(1-Rho^2)*H4644),"")</f>
        <v/>
      </c>
      <c r="J4644">
        <f>IF(B4644,IF(Dist="Normal",DistA+DistB*I4644,DistA+(DistB-DistA)*NORMSDIST(I4644)),"")</f>
        <v/>
      </c>
      <c r="K4644">
        <f>IF(B4644,INDEX(MineScale,C4644),"")</f>
        <v/>
      </c>
      <c r="L4644">
        <f>IF(B4644,INDEX(Dow,1,WEEKDAY(E4644,2)),"")</f>
        <v/>
      </c>
      <c r="M4644">
        <f>IF(B4644,(1+Trend)^D4644,"")</f>
        <v/>
      </c>
      <c r="N4644">
        <f>IF(B4644,EXP(SUMPRODUCT(LN(1+(EvEff-1)*INDEX(Affected,0,C4644)*EXP(-((E4644-EvCenter)^2)/(2*EvSigma^2))))),"")</f>
        <v/>
      </c>
      <c r="O4644">
        <f>IF(B4644,ROUND(MAX(0,J4644*K4644*L4644*M4644*N4644),2),"")</f>
        <v/>
      </c>
    </row>
    <row r="4645">
      <c r="A4645" t="n">
        <v>4644</v>
      </c>
      <c r="B4645">
        <f>A4645&lt;=MineCount*Days</f>
        <v/>
      </c>
      <c r="C4645">
        <f>IF(B4645,INT((A4645-1)/Days)+1,"")</f>
        <v/>
      </c>
      <c r="D4645">
        <f>IF(B4645,MOD(A4645-1,Days),"")</f>
        <v/>
      </c>
      <c r="E4645" s="16">
        <f>IF(B4645,StartDate+D4645,"")</f>
        <v/>
      </c>
      <c r="F4645">
        <f>IF(B4645,MAX(MOD(SIN(Seed*0.1373+C4645*12.9898+D4645*78.233)*43758.5453,1),1E-9),"")</f>
        <v/>
      </c>
      <c r="G4645">
        <f>IF(B4645,MOD(SIN(Seed*0.5917+C4645*39.3468+D4645*11.135)*24634.6345,1),"")</f>
        <v/>
      </c>
      <c r="H4645">
        <f>IF(B4645,SQRT(-2*LN(F4645))*COS(2*PI()*G4645),"")</f>
        <v/>
      </c>
      <c r="I4645">
        <f>IF(B4645,IF(D4645=0,H4645,Rho*I4644+SQRT(1-Rho^2)*H4645),"")</f>
        <v/>
      </c>
      <c r="J4645">
        <f>IF(B4645,IF(Dist="Normal",DistA+DistB*I4645,DistA+(DistB-DistA)*NORMSDIST(I4645)),"")</f>
        <v/>
      </c>
      <c r="K4645">
        <f>IF(B4645,INDEX(MineScale,C4645),"")</f>
        <v/>
      </c>
      <c r="L4645">
        <f>IF(B4645,INDEX(Dow,1,WEEKDAY(E4645,2)),"")</f>
        <v/>
      </c>
      <c r="M4645">
        <f>IF(B4645,(1+Trend)^D4645,"")</f>
        <v/>
      </c>
      <c r="N4645">
        <f>IF(B4645,EXP(SUMPRODUCT(LN(1+(EvEff-1)*INDEX(Affected,0,C4645)*EXP(-((E4645-EvCenter)^2)/(2*EvSigma^2))))),"")</f>
        <v/>
      </c>
      <c r="O4645">
        <f>IF(B4645,ROUND(MAX(0,J4645*K4645*L4645*M4645*N4645),2),"")</f>
        <v/>
      </c>
    </row>
    <row r="4646">
      <c r="A4646" t="n">
        <v>4645</v>
      </c>
      <c r="B4646">
        <f>A4646&lt;=MineCount*Days</f>
        <v/>
      </c>
      <c r="C4646">
        <f>IF(B4646,INT((A4646-1)/Days)+1,"")</f>
        <v/>
      </c>
      <c r="D4646">
        <f>IF(B4646,MOD(A4646-1,Days),"")</f>
        <v/>
      </c>
      <c r="E4646" s="16">
        <f>IF(B4646,StartDate+D4646,"")</f>
        <v/>
      </c>
      <c r="F4646">
        <f>IF(B4646,MAX(MOD(SIN(Seed*0.1373+C4646*12.9898+D4646*78.233)*43758.5453,1),1E-9),"")</f>
        <v/>
      </c>
      <c r="G4646">
        <f>IF(B4646,MOD(SIN(Seed*0.5917+C4646*39.3468+D4646*11.135)*24634.6345,1),"")</f>
        <v/>
      </c>
      <c r="H4646">
        <f>IF(B4646,SQRT(-2*LN(F4646))*COS(2*PI()*G4646),"")</f>
        <v/>
      </c>
      <c r="I4646">
        <f>IF(B4646,IF(D4646=0,H4646,Rho*I4645+SQRT(1-Rho^2)*H4646),"")</f>
        <v/>
      </c>
      <c r="J4646">
        <f>IF(B4646,IF(Dist="Normal",DistA+DistB*I4646,DistA+(DistB-DistA)*NORMSDIST(I4646)),"")</f>
        <v/>
      </c>
      <c r="K4646">
        <f>IF(B4646,INDEX(MineScale,C4646),"")</f>
        <v/>
      </c>
      <c r="L4646">
        <f>IF(B4646,INDEX(Dow,1,WEEKDAY(E4646,2)),"")</f>
        <v/>
      </c>
      <c r="M4646">
        <f>IF(B4646,(1+Trend)^D4646,"")</f>
        <v/>
      </c>
      <c r="N4646">
        <f>IF(B4646,EXP(SUMPRODUCT(LN(1+(EvEff-1)*INDEX(Affected,0,C4646)*EXP(-((E4646-EvCenter)^2)/(2*EvSigma^2))))),"")</f>
        <v/>
      </c>
      <c r="O4646">
        <f>IF(B4646,ROUND(MAX(0,J4646*K4646*L4646*M4646*N4646),2),"")</f>
        <v/>
      </c>
    </row>
    <row r="4647">
      <c r="A4647" t="n">
        <v>4646</v>
      </c>
      <c r="B4647">
        <f>A4647&lt;=MineCount*Days</f>
        <v/>
      </c>
      <c r="C4647">
        <f>IF(B4647,INT((A4647-1)/Days)+1,"")</f>
        <v/>
      </c>
      <c r="D4647">
        <f>IF(B4647,MOD(A4647-1,Days),"")</f>
        <v/>
      </c>
      <c r="E4647" s="16">
        <f>IF(B4647,StartDate+D4647,"")</f>
        <v/>
      </c>
      <c r="F4647">
        <f>IF(B4647,MAX(MOD(SIN(Seed*0.1373+C4647*12.9898+D4647*78.233)*43758.5453,1),1E-9),"")</f>
        <v/>
      </c>
      <c r="G4647">
        <f>IF(B4647,MOD(SIN(Seed*0.5917+C4647*39.3468+D4647*11.135)*24634.6345,1),"")</f>
        <v/>
      </c>
      <c r="H4647">
        <f>IF(B4647,SQRT(-2*LN(F4647))*COS(2*PI()*G4647),"")</f>
        <v/>
      </c>
      <c r="I4647">
        <f>IF(B4647,IF(D4647=0,H4647,Rho*I4646+SQRT(1-Rho^2)*H4647),"")</f>
        <v/>
      </c>
      <c r="J4647">
        <f>IF(B4647,IF(Dist="Normal",DistA+DistB*I4647,DistA+(DistB-DistA)*NORMSDIST(I4647)),"")</f>
        <v/>
      </c>
      <c r="K4647">
        <f>IF(B4647,INDEX(MineScale,C4647),"")</f>
        <v/>
      </c>
      <c r="L4647">
        <f>IF(B4647,INDEX(Dow,1,WEEKDAY(E4647,2)),"")</f>
        <v/>
      </c>
      <c r="M4647">
        <f>IF(B4647,(1+Trend)^D4647,"")</f>
        <v/>
      </c>
      <c r="N4647">
        <f>IF(B4647,EXP(SUMPRODUCT(LN(1+(EvEff-1)*INDEX(Affected,0,C4647)*EXP(-((E4647-EvCenter)^2)/(2*EvSigma^2))))),"")</f>
        <v/>
      </c>
      <c r="O4647">
        <f>IF(B4647,ROUND(MAX(0,J4647*K4647*L4647*M4647*N4647),2),"")</f>
        <v/>
      </c>
    </row>
    <row r="4648">
      <c r="A4648" t="n">
        <v>4647</v>
      </c>
      <c r="B4648">
        <f>A4648&lt;=MineCount*Days</f>
        <v/>
      </c>
      <c r="C4648">
        <f>IF(B4648,INT((A4648-1)/Days)+1,"")</f>
        <v/>
      </c>
      <c r="D4648">
        <f>IF(B4648,MOD(A4648-1,Days),"")</f>
        <v/>
      </c>
      <c r="E4648" s="16">
        <f>IF(B4648,StartDate+D4648,"")</f>
        <v/>
      </c>
      <c r="F4648">
        <f>IF(B4648,MAX(MOD(SIN(Seed*0.1373+C4648*12.9898+D4648*78.233)*43758.5453,1),1E-9),"")</f>
        <v/>
      </c>
      <c r="G4648">
        <f>IF(B4648,MOD(SIN(Seed*0.5917+C4648*39.3468+D4648*11.135)*24634.6345,1),"")</f>
        <v/>
      </c>
      <c r="H4648">
        <f>IF(B4648,SQRT(-2*LN(F4648))*COS(2*PI()*G4648),"")</f>
        <v/>
      </c>
      <c r="I4648">
        <f>IF(B4648,IF(D4648=0,H4648,Rho*I4647+SQRT(1-Rho^2)*H4648),"")</f>
        <v/>
      </c>
      <c r="J4648">
        <f>IF(B4648,IF(Dist="Normal",DistA+DistB*I4648,DistA+(DistB-DistA)*NORMSDIST(I4648)),"")</f>
        <v/>
      </c>
      <c r="K4648">
        <f>IF(B4648,INDEX(MineScale,C4648),"")</f>
        <v/>
      </c>
      <c r="L4648">
        <f>IF(B4648,INDEX(Dow,1,WEEKDAY(E4648,2)),"")</f>
        <v/>
      </c>
      <c r="M4648">
        <f>IF(B4648,(1+Trend)^D4648,"")</f>
        <v/>
      </c>
      <c r="N4648">
        <f>IF(B4648,EXP(SUMPRODUCT(LN(1+(EvEff-1)*INDEX(Affected,0,C4648)*EXP(-((E4648-EvCenter)^2)/(2*EvSigma^2))))),"")</f>
        <v/>
      </c>
      <c r="O4648">
        <f>IF(B4648,ROUND(MAX(0,J4648*K4648*L4648*M4648*N4648),2),"")</f>
        <v/>
      </c>
    </row>
    <row r="4649">
      <c r="A4649" t="n">
        <v>4648</v>
      </c>
      <c r="B4649">
        <f>A4649&lt;=MineCount*Days</f>
        <v/>
      </c>
      <c r="C4649">
        <f>IF(B4649,INT((A4649-1)/Days)+1,"")</f>
        <v/>
      </c>
      <c r="D4649">
        <f>IF(B4649,MOD(A4649-1,Days),"")</f>
        <v/>
      </c>
      <c r="E4649" s="16">
        <f>IF(B4649,StartDate+D4649,"")</f>
        <v/>
      </c>
      <c r="F4649">
        <f>IF(B4649,MAX(MOD(SIN(Seed*0.1373+C4649*12.9898+D4649*78.233)*43758.5453,1),1E-9),"")</f>
        <v/>
      </c>
      <c r="G4649">
        <f>IF(B4649,MOD(SIN(Seed*0.5917+C4649*39.3468+D4649*11.135)*24634.6345,1),"")</f>
        <v/>
      </c>
      <c r="H4649">
        <f>IF(B4649,SQRT(-2*LN(F4649))*COS(2*PI()*G4649),"")</f>
        <v/>
      </c>
      <c r="I4649">
        <f>IF(B4649,IF(D4649=0,H4649,Rho*I4648+SQRT(1-Rho^2)*H4649),"")</f>
        <v/>
      </c>
      <c r="J4649">
        <f>IF(B4649,IF(Dist="Normal",DistA+DistB*I4649,DistA+(DistB-DistA)*NORMSDIST(I4649)),"")</f>
        <v/>
      </c>
      <c r="K4649">
        <f>IF(B4649,INDEX(MineScale,C4649),"")</f>
        <v/>
      </c>
      <c r="L4649">
        <f>IF(B4649,INDEX(Dow,1,WEEKDAY(E4649,2)),"")</f>
        <v/>
      </c>
      <c r="M4649">
        <f>IF(B4649,(1+Trend)^D4649,"")</f>
        <v/>
      </c>
      <c r="N4649">
        <f>IF(B4649,EXP(SUMPRODUCT(LN(1+(EvEff-1)*INDEX(Affected,0,C4649)*EXP(-((E4649-EvCenter)^2)/(2*EvSigma^2))))),"")</f>
        <v/>
      </c>
      <c r="O4649">
        <f>IF(B4649,ROUND(MAX(0,J4649*K4649*L4649*M4649*N4649),2),"")</f>
        <v/>
      </c>
    </row>
    <row r="4650">
      <c r="A4650" t="n">
        <v>4649</v>
      </c>
      <c r="B4650">
        <f>A4650&lt;=MineCount*Days</f>
        <v/>
      </c>
      <c r="C4650">
        <f>IF(B4650,INT((A4650-1)/Days)+1,"")</f>
        <v/>
      </c>
      <c r="D4650">
        <f>IF(B4650,MOD(A4650-1,Days),"")</f>
        <v/>
      </c>
      <c r="E4650" s="16">
        <f>IF(B4650,StartDate+D4650,"")</f>
        <v/>
      </c>
      <c r="F4650">
        <f>IF(B4650,MAX(MOD(SIN(Seed*0.1373+C4650*12.9898+D4650*78.233)*43758.5453,1),1E-9),"")</f>
        <v/>
      </c>
      <c r="G4650">
        <f>IF(B4650,MOD(SIN(Seed*0.5917+C4650*39.3468+D4650*11.135)*24634.6345,1),"")</f>
        <v/>
      </c>
      <c r="H4650">
        <f>IF(B4650,SQRT(-2*LN(F4650))*COS(2*PI()*G4650),"")</f>
        <v/>
      </c>
      <c r="I4650">
        <f>IF(B4650,IF(D4650=0,H4650,Rho*I4649+SQRT(1-Rho^2)*H4650),"")</f>
        <v/>
      </c>
      <c r="J4650">
        <f>IF(B4650,IF(Dist="Normal",DistA+DistB*I4650,DistA+(DistB-DistA)*NORMSDIST(I4650)),"")</f>
        <v/>
      </c>
      <c r="K4650">
        <f>IF(B4650,INDEX(MineScale,C4650),"")</f>
        <v/>
      </c>
      <c r="L4650">
        <f>IF(B4650,INDEX(Dow,1,WEEKDAY(E4650,2)),"")</f>
        <v/>
      </c>
      <c r="M4650">
        <f>IF(B4650,(1+Trend)^D4650,"")</f>
        <v/>
      </c>
      <c r="N4650">
        <f>IF(B4650,EXP(SUMPRODUCT(LN(1+(EvEff-1)*INDEX(Affected,0,C4650)*EXP(-((E4650-EvCenter)^2)/(2*EvSigma^2))))),"")</f>
        <v/>
      </c>
      <c r="O4650">
        <f>IF(B4650,ROUND(MAX(0,J4650*K4650*L4650*M4650*N4650),2),"")</f>
        <v/>
      </c>
    </row>
    <row r="4651">
      <c r="A4651" t="n">
        <v>4650</v>
      </c>
      <c r="B4651">
        <f>A4651&lt;=MineCount*Days</f>
        <v/>
      </c>
      <c r="C4651">
        <f>IF(B4651,INT((A4651-1)/Days)+1,"")</f>
        <v/>
      </c>
      <c r="D4651">
        <f>IF(B4651,MOD(A4651-1,Days),"")</f>
        <v/>
      </c>
      <c r="E4651" s="16">
        <f>IF(B4651,StartDate+D4651,"")</f>
        <v/>
      </c>
      <c r="F4651">
        <f>IF(B4651,MAX(MOD(SIN(Seed*0.1373+C4651*12.9898+D4651*78.233)*43758.5453,1),1E-9),"")</f>
        <v/>
      </c>
      <c r="G4651">
        <f>IF(B4651,MOD(SIN(Seed*0.5917+C4651*39.3468+D4651*11.135)*24634.6345,1),"")</f>
        <v/>
      </c>
      <c r="H4651">
        <f>IF(B4651,SQRT(-2*LN(F4651))*COS(2*PI()*G4651),"")</f>
        <v/>
      </c>
      <c r="I4651">
        <f>IF(B4651,IF(D4651=0,H4651,Rho*I4650+SQRT(1-Rho^2)*H4651),"")</f>
        <v/>
      </c>
      <c r="J4651">
        <f>IF(B4651,IF(Dist="Normal",DistA+DistB*I4651,DistA+(DistB-DistA)*NORMSDIST(I4651)),"")</f>
        <v/>
      </c>
      <c r="K4651">
        <f>IF(B4651,INDEX(MineScale,C4651),"")</f>
        <v/>
      </c>
      <c r="L4651">
        <f>IF(B4651,INDEX(Dow,1,WEEKDAY(E4651,2)),"")</f>
        <v/>
      </c>
      <c r="M4651">
        <f>IF(B4651,(1+Trend)^D4651,"")</f>
        <v/>
      </c>
      <c r="N4651">
        <f>IF(B4651,EXP(SUMPRODUCT(LN(1+(EvEff-1)*INDEX(Affected,0,C4651)*EXP(-((E4651-EvCenter)^2)/(2*EvSigma^2))))),"")</f>
        <v/>
      </c>
      <c r="O4651">
        <f>IF(B4651,ROUND(MAX(0,J4651*K4651*L4651*M4651*N4651),2),"")</f>
        <v/>
      </c>
    </row>
    <row r="4652">
      <c r="A4652" t="n">
        <v>4651</v>
      </c>
      <c r="B4652">
        <f>A4652&lt;=MineCount*Days</f>
        <v/>
      </c>
      <c r="C4652">
        <f>IF(B4652,INT((A4652-1)/Days)+1,"")</f>
        <v/>
      </c>
      <c r="D4652">
        <f>IF(B4652,MOD(A4652-1,Days),"")</f>
        <v/>
      </c>
      <c r="E4652" s="16">
        <f>IF(B4652,StartDate+D4652,"")</f>
        <v/>
      </c>
      <c r="F4652">
        <f>IF(B4652,MAX(MOD(SIN(Seed*0.1373+C4652*12.9898+D4652*78.233)*43758.5453,1),1E-9),"")</f>
        <v/>
      </c>
      <c r="G4652">
        <f>IF(B4652,MOD(SIN(Seed*0.5917+C4652*39.3468+D4652*11.135)*24634.6345,1),"")</f>
        <v/>
      </c>
      <c r="H4652">
        <f>IF(B4652,SQRT(-2*LN(F4652))*COS(2*PI()*G4652),"")</f>
        <v/>
      </c>
      <c r="I4652">
        <f>IF(B4652,IF(D4652=0,H4652,Rho*I4651+SQRT(1-Rho^2)*H4652),"")</f>
        <v/>
      </c>
      <c r="J4652">
        <f>IF(B4652,IF(Dist="Normal",DistA+DistB*I4652,DistA+(DistB-DistA)*NORMSDIST(I4652)),"")</f>
        <v/>
      </c>
      <c r="K4652">
        <f>IF(B4652,INDEX(MineScale,C4652),"")</f>
        <v/>
      </c>
      <c r="L4652">
        <f>IF(B4652,INDEX(Dow,1,WEEKDAY(E4652,2)),"")</f>
        <v/>
      </c>
      <c r="M4652">
        <f>IF(B4652,(1+Trend)^D4652,"")</f>
        <v/>
      </c>
      <c r="N4652">
        <f>IF(B4652,EXP(SUMPRODUCT(LN(1+(EvEff-1)*INDEX(Affected,0,C4652)*EXP(-((E4652-EvCenter)^2)/(2*EvSigma^2))))),"")</f>
        <v/>
      </c>
      <c r="O4652">
        <f>IF(B4652,ROUND(MAX(0,J4652*K4652*L4652*M4652*N4652),2),"")</f>
        <v/>
      </c>
    </row>
    <row r="4653">
      <c r="A4653" t="n">
        <v>4652</v>
      </c>
      <c r="B4653">
        <f>A4653&lt;=MineCount*Days</f>
        <v/>
      </c>
      <c r="C4653">
        <f>IF(B4653,INT((A4653-1)/Days)+1,"")</f>
        <v/>
      </c>
      <c r="D4653">
        <f>IF(B4653,MOD(A4653-1,Days),"")</f>
        <v/>
      </c>
      <c r="E4653" s="16">
        <f>IF(B4653,StartDate+D4653,"")</f>
        <v/>
      </c>
      <c r="F4653">
        <f>IF(B4653,MAX(MOD(SIN(Seed*0.1373+C4653*12.9898+D4653*78.233)*43758.5453,1),1E-9),"")</f>
        <v/>
      </c>
      <c r="G4653">
        <f>IF(B4653,MOD(SIN(Seed*0.5917+C4653*39.3468+D4653*11.135)*24634.6345,1),"")</f>
        <v/>
      </c>
      <c r="H4653">
        <f>IF(B4653,SQRT(-2*LN(F4653))*COS(2*PI()*G4653),"")</f>
        <v/>
      </c>
      <c r="I4653">
        <f>IF(B4653,IF(D4653=0,H4653,Rho*I4652+SQRT(1-Rho^2)*H4653),"")</f>
        <v/>
      </c>
      <c r="J4653">
        <f>IF(B4653,IF(Dist="Normal",DistA+DistB*I4653,DistA+(DistB-DistA)*NORMSDIST(I4653)),"")</f>
        <v/>
      </c>
      <c r="K4653">
        <f>IF(B4653,INDEX(MineScale,C4653),"")</f>
        <v/>
      </c>
      <c r="L4653">
        <f>IF(B4653,INDEX(Dow,1,WEEKDAY(E4653,2)),"")</f>
        <v/>
      </c>
      <c r="M4653">
        <f>IF(B4653,(1+Trend)^D4653,"")</f>
        <v/>
      </c>
      <c r="N4653">
        <f>IF(B4653,EXP(SUMPRODUCT(LN(1+(EvEff-1)*INDEX(Affected,0,C4653)*EXP(-((E4653-EvCenter)^2)/(2*EvSigma^2))))),"")</f>
        <v/>
      </c>
      <c r="O4653">
        <f>IF(B4653,ROUND(MAX(0,J4653*K4653*L4653*M4653*N4653),2),"")</f>
        <v/>
      </c>
    </row>
    <row r="4654">
      <c r="A4654" t="n">
        <v>4653</v>
      </c>
      <c r="B4654">
        <f>A4654&lt;=MineCount*Days</f>
        <v/>
      </c>
      <c r="C4654">
        <f>IF(B4654,INT((A4654-1)/Days)+1,"")</f>
        <v/>
      </c>
      <c r="D4654">
        <f>IF(B4654,MOD(A4654-1,Days),"")</f>
        <v/>
      </c>
      <c r="E4654" s="16">
        <f>IF(B4654,StartDate+D4654,"")</f>
        <v/>
      </c>
      <c r="F4654">
        <f>IF(B4654,MAX(MOD(SIN(Seed*0.1373+C4654*12.9898+D4654*78.233)*43758.5453,1),1E-9),"")</f>
        <v/>
      </c>
      <c r="G4654">
        <f>IF(B4654,MOD(SIN(Seed*0.5917+C4654*39.3468+D4654*11.135)*24634.6345,1),"")</f>
        <v/>
      </c>
      <c r="H4654">
        <f>IF(B4654,SQRT(-2*LN(F4654))*COS(2*PI()*G4654),"")</f>
        <v/>
      </c>
      <c r="I4654">
        <f>IF(B4654,IF(D4654=0,H4654,Rho*I4653+SQRT(1-Rho^2)*H4654),"")</f>
        <v/>
      </c>
      <c r="J4654">
        <f>IF(B4654,IF(Dist="Normal",DistA+DistB*I4654,DistA+(DistB-DistA)*NORMSDIST(I4654)),"")</f>
        <v/>
      </c>
      <c r="K4654">
        <f>IF(B4654,INDEX(MineScale,C4654),"")</f>
        <v/>
      </c>
      <c r="L4654">
        <f>IF(B4654,INDEX(Dow,1,WEEKDAY(E4654,2)),"")</f>
        <v/>
      </c>
      <c r="M4654">
        <f>IF(B4654,(1+Trend)^D4654,"")</f>
        <v/>
      </c>
      <c r="N4654">
        <f>IF(B4654,EXP(SUMPRODUCT(LN(1+(EvEff-1)*INDEX(Affected,0,C4654)*EXP(-((E4654-EvCenter)^2)/(2*EvSigma^2))))),"")</f>
        <v/>
      </c>
      <c r="O4654">
        <f>IF(B4654,ROUND(MAX(0,J4654*K4654*L4654*M4654*N4654),2),"")</f>
        <v/>
      </c>
    </row>
    <row r="4655">
      <c r="A4655" t="n">
        <v>4654</v>
      </c>
      <c r="B4655">
        <f>A4655&lt;=MineCount*Days</f>
        <v/>
      </c>
      <c r="C4655">
        <f>IF(B4655,INT((A4655-1)/Days)+1,"")</f>
        <v/>
      </c>
      <c r="D4655">
        <f>IF(B4655,MOD(A4655-1,Days),"")</f>
        <v/>
      </c>
      <c r="E4655" s="16">
        <f>IF(B4655,StartDate+D4655,"")</f>
        <v/>
      </c>
      <c r="F4655">
        <f>IF(B4655,MAX(MOD(SIN(Seed*0.1373+C4655*12.9898+D4655*78.233)*43758.5453,1),1E-9),"")</f>
        <v/>
      </c>
      <c r="G4655">
        <f>IF(B4655,MOD(SIN(Seed*0.5917+C4655*39.3468+D4655*11.135)*24634.6345,1),"")</f>
        <v/>
      </c>
      <c r="H4655">
        <f>IF(B4655,SQRT(-2*LN(F4655))*COS(2*PI()*G4655),"")</f>
        <v/>
      </c>
      <c r="I4655">
        <f>IF(B4655,IF(D4655=0,H4655,Rho*I4654+SQRT(1-Rho^2)*H4655),"")</f>
        <v/>
      </c>
      <c r="J4655">
        <f>IF(B4655,IF(Dist="Normal",DistA+DistB*I4655,DistA+(DistB-DistA)*NORMSDIST(I4655)),"")</f>
        <v/>
      </c>
      <c r="K4655">
        <f>IF(B4655,INDEX(MineScale,C4655),"")</f>
        <v/>
      </c>
      <c r="L4655">
        <f>IF(B4655,INDEX(Dow,1,WEEKDAY(E4655,2)),"")</f>
        <v/>
      </c>
      <c r="M4655">
        <f>IF(B4655,(1+Trend)^D4655,"")</f>
        <v/>
      </c>
      <c r="N4655">
        <f>IF(B4655,EXP(SUMPRODUCT(LN(1+(EvEff-1)*INDEX(Affected,0,C4655)*EXP(-((E4655-EvCenter)^2)/(2*EvSigma^2))))),"")</f>
        <v/>
      </c>
      <c r="O4655">
        <f>IF(B4655,ROUND(MAX(0,J4655*K4655*L4655*M4655*N4655),2),"")</f>
        <v/>
      </c>
    </row>
    <row r="4656">
      <c r="A4656" t="n">
        <v>4655</v>
      </c>
      <c r="B4656">
        <f>A4656&lt;=MineCount*Days</f>
        <v/>
      </c>
      <c r="C4656">
        <f>IF(B4656,INT((A4656-1)/Days)+1,"")</f>
        <v/>
      </c>
      <c r="D4656">
        <f>IF(B4656,MOD(A4656-1,Days),"")</f>
        <v/>
      </c>
      <c r="E4656" s="16">
        <f>IF(B4656,StartDate+D4656,"")</f>
        <v/>
      </c>
      <c r="F4656">
        <f>IF(B4656,MAX(MOD(SIN(Seed*0.1373+C4656*12.9898+D4656*78.233)*43758.5453,1),1E-9),"")</f>
        <v/>
      </c>
      <c r="G4656">
        <f>IF(B4656,MOD(SIN(Seed*0.5917+C4656*39.3468+D4656*11.135)*24634.6345,1),"")</f>
        <v/>
      </c>
      <c r="H4656">
        <f>IF(B4656,SQRT(-2*LN(F4656))*COS(2*PI()*G4656),"")</f>
        <v/>
      </c>
      <c r="I4656">
        <f>IF(B4656,IF(D4656=0,H4656,Rho*I4655+SQRT(1-Rho^2)*H4656),"")</f>
        <v/>
      </c>
      <c r="J4656">
        <f>IF(B4656,IF(Dist="Normal",DistA+DistB*I4656,DistA+(DistB-DistA)*NORMSDIST(I4656)),"")</f>
        <v/>
      </c>
      <c r="K4656">
        <f>IF(B4656,INDEX(MineScale,C4656),"")</f>
        <v/>
      </c>
      <c r="L4656">
        <f>IF(B4656,INDEX(Dow,1,WEEKDAY(E4656,2)),"")</f>
        <v/>
      </c>
      <c r="M4656">
        <f>IF(B4656,(1+Trend)^D4656,"")</f>
        <v/>
      </c>
      <c r="N4656">
        <f>IF(B4656,EXP(SUMPRODUCT(LN(1+(EvEff-1)*INDEX(Affected,0,C4656)*EXP(-((E4656-EvCenter)^2)/(2*EvSigma^2))))),"")</f>
        <v/>
      </c>
      <c r="O4656">
        <f>IF(B4656,ROUND(MAX(0,J4656*K4656*L4656*M4656*N4656),2),"")</f>
        <v/>
      </c>
    </row>
    <row r="4657">
      <c r="A4657" t="n">
        <v>4656</v>
      </c>
      <c r="B4657">
        <f>A4657&lt;=MineCount*Days</f>
        <v/>
      </c>
      <c r="C4657">
        <f>IF(B4657,INT((A4657-1)/Days)+1,"")</f>
        <v/>
      </c>
      <c r="D4657">
        <f>IF(B4657,MOD(A4657-1,Days),"")</f>
        <v/>
      </c>
      <c r="E4657" s="16">
        <f>IF(B4657,StartDate+D4657,"")</f>
        <v/>
      </c>
      <c r="F4657">
        <f>IF(B4657,MAX(MOD(SIN(Seed*0.1373+C4657*12.9898+D4657*78.233)*43758.5453,1),1E-9),"")</f>
        <v/>
      </c>
      <c r="G4657">
        <f>IF(B4657,MOD(SIN(Seed*0.5917+C4657*39.3468+D4657*11.135)*24634.6345,1),"")</f>
        <v/>
      </c>
      <c r="H4657">
        <f>IF(B4657,SQRT(-2*LN(F4657))*COS(2*PI()*G4657),"")</f>
        <v/>
      </c>
      <c r="I4657">
        <f>IF(B4657,IF(D4657=0,H4657,Rho*I4656+SQRT(1-Rho^2)*H4657),"")</f>
        <v/>
      </c>
      <c r="J4657">
        <f>IF(B4657,IF(Dist="Normal",DistA+DistB*I4657,DistA+(DistB-DistA)*NORMSDIST(I4657)),"")</f>
        <v/>
      </c>
      <c r="K4657">
        <f>IF(B4657,INDEX(MineScale,C4657),"")</f>
        <v/>
      </c>
      <c r="L4657">
        <f>IF(B4657,INDEX(Dow,1,WEEKDAY(E4657,2)),"")</f>
        <v/>
      </c>
      <c r="M4657">
        <f>IF(B4657,(1+Trend)^D4657,"")</f>
        <v/>
      </c>
      <c r="N4657">
        <f>IF(B4657,EXP(SUMPRODUCT(LN(1+(EvEff-1)*INDEX(Affected,0,C4657)*EXP(-((E4657-EvCenter)^2)/(2*EvSigma^2))))),"")</f>
        <v/>
      </c>
      <c r="O4657">
        <f>IF(B4657,ROUND(MAX(0,J4657*K4657*L4657*M4657*N4657),2),"")</f>
        <v/>
      </c>
    </row>
    <row r="4658">
      <c r="A4658" t="n">
        <v>4657</v>
      </c>
      <c r="B4658">
        <f>A4658&lt;=MineCount*Days</f>
        <v/>
      </c>
      <c r="C4658">
        <f>IF(B4658,INT((A4658-1)/Days)+1,"")</f>
        <v/>
      </c>
      <c r="D4658">
        <f>IF(B4658,MOD(A4658-1,Days),"")</f>
        <v/>
      </c>
      <c r="E4658" s="16">
        <f>IF(B4658,StartDate+D4658,"")</f>
        <v/>
      </c>
      <c r="F4658">
        <f>IF(B4658,MAX(MOD(SIN(Seed*0.1373+C4658*12.9898+D4658*78.233)*43758.5453,1),1E-9),"")</f>
        <v/>
      </c>
      <c r="G4658">
        <f>IF(B4658,MOD(SIN(Seed*0.5917+C4658*39.3468+D4658*11.135)*24634.6345,1),"")</f>
        <v/>
      </c>
      <c r="H4658">
        <f>IF(B4658,SQRT(-2*LN(F4658))*COS(2*PI()*G4658),"")</f>
        <v/>
      </c>
      <c r="I4658">
        <f>IF(B4658,IF(D4658=0,H4658,Rho*I4657+SQRT(1-Rho^2)*H4658),"")</f>
        <v/>
      </c>
      <c r="J4658">
        <f>IF(B4658,IF(Dist="Normal",DistA+DistB*I4658,DistA+(DistB-DistA)*NORMSDIST(I4658)),"")</f>
        <v/>
      </c>
      <c r="K4658">
        <f>IF(B4658,INDEX(MineScale,C4658),"")</f>
        <v/>
      </c>
      <c r="L4658">
        <f>IF(B4658,INDEX(Dow,1,WEEKDAY(E4658,2)),"")</f>
        <v/>
      </c>
      <c r="M4658">
        <f>IF(B4658,(1+Trend)^D4658,"")</f>
        <v/>
      </c>
      <c r="N4658">
        <f>IF(B4658,EXP(SUMPRODUCT(LN(1+(EvEff-1)*INDEX(Affected,0,C4658)*EXP(-((E4658-EvCenter)^2)/(2*EvSigma^2))))),"")</f>
        <v/>
      </c>
      <c r="O4658">
        <f>IF(B4658,ROUND(MAX(0,J4658*K4658*L4658*M4658*N4658),2),"")</f>
        <v/>
      </c>
    </row>
    <row r="4659">
      <c r="A4659" t="n">
        <v>4658</v>
      </c>
      <c r="B4659">
        <f>A4659&lt;=MineCount*Days</f>
        <v/>
      </c>
      <c r="C4659">
        <f>IF(B4659,INT((A4659-1)/Days)+1,"")</f>
        <v/>
      </c>
      <c r="D4659">
        <f>IF(B4659,MOD(A4659-1,Days),"")</f>
        <v/>
      </c>
      <c r="E4659" s="16">
        <f>IF(B4659,StartDate+D4659,"")</f>
        <v/>
      </c>
      <c r="F4659">
        <f>IF(B4659,MAX(MOD(SIN(Seed*0.1373+C4659*12.9898+D4659*78.233)*43758.5453,1),1E-9),"")</f>
        <v/>
      </c>
      <c r="G4659">
        <f>IF(B4659,MOD(SIN(Seed*0.5917+C4659*39.3468+D4659*11.135)*24634.6345,1),"")</f>
        <v/>
      </c>
      <c r="H4659">
        <f>IF(B4659,SQRT(-2*LN(F4659))*COS(2*PI()*G4659),"")</f>
        <v/>
      </c>
      <c r="I4659">
        <f>IF(B4659,IF(D4659=0,H4659,Rho*I4658+SQRT(1-Rho^2)*H4659),"")</f>
        <v/>
      </c>
      <c r="J4659">
        <f>IF(B4659,IF(Dist="Normal",DistA+DistB*I4659,DistA+(DistB-DistA)*NORMSDIST(I4659)),"")</f>
        <v/>
      </c>
      <c r="K4659">
        <f>IF(B4659,INDEX(MineScale,C4659),"")</f>
        <v/>
      </c>
      <c r="L4659">
        <f>IF(B4659,INDEX(Dow,1,WEEKDAY(E4659,2)),"")</f>
        <v/>
      </c>
      <c r="M4659">
        <f>IF(B4659,(1+Trend)^D4659,"")</f>
        <v/>
      </c>
      <c r="N4659">
        <f>IF(B4659,EXP(SUMPRODUCT(LN(1+(EvEff-1)*INDEX(Affected,0,C4659)*EXP(-((E4659-EvCenter)^2)/(2*EvSigma^2))))),"")</f>
        <v/>
      </c>
      <c r="O4659">
        <f>IF(B4659,ROUND(MAX(0,J4659*K4659*L4659*M4659*N4659),2),"")</f>
        <v/>
      </c>
    </row>
    <row r="4660">
      <c r="A4660" t="n">
        <v>4659</v>
      </c>
      <c r="B4660">
        <f>A4660&lt;=MineCount*Days</f>
        <v/>
      </c>
      <c r="C4660">
        <f>IF(B4660,INT((A4660-1)/Days)+1,"")</f>
        <v/>
      </c>
      <c r="D4660">
        <f>IF(B4660,MOD(A4660-1,Days),"")</f>
        <v/>
      </c>
      <c r="E4660" s="16">
        <f>IF(B4660,StartDate+D4660,"")</f>
        <v/>
      </c>
      <c r="F4660">
        <f>IF(B4660,MAX(MOD(SIN(Seed*0.1373+C4660*12.9898+D4660*78.233)*43758.5453,1),1E-9),"")</f>
        <v/>
      </c>
      <c r="G4660">
        <f>IF(B4660,MOD(SIN(Seed*0.5917+C4660*39.3468+D4660*11.135)*24634.6345,1),"")</f>
        <v/>
      </c>
      <c r="H4660">
        <f>IF(B4660,SQRT(-2*LN(F4660))*COS(2*PI()*G4660),"")</f>
        <v/>
      </c>
      <c r="I4660">
        <f>IF(B4660,IF(D4660=0,H4660,Rho*I4659+SQRT(1-Rho^2)*H4660),"")</f>
        <v/>
      </c>
      <c r="J4660">
        <f>IF(B4660,IF(Dist="Normal",DistA+DistB*I4660,DistA+(DistB-DistA)*NORMSDIST(I4660)),"")</f>
        <v/>
      </c>
      <c r="K4660">
        <f>IF(B4660,INDEX(MineScale,C4660),"")</f>
        <v/>
      </c>
      <c r="L4660">
        <f>IF(B4660,INDEX(Dow,1,WEEKDAY(E4660,2)),"")</f>
        <v/>
      </c>
      <c r="M4660">
        <f>IF(B4660,(1+Trend)^D4660,"")</f>
        <v/>
      </c>
      <c r="N4660">
        <f>IF(B4660,EXP(SUMPRODUCT(LN(1+(EvEff-1)*INDEX(Affected,0,C4660)*EXP(-((E4660-EvCenter)^2)/(2*EvSigma^2))))),"")</f>
        <v/>
      </c>
      <c r="O4660">
        <f>IF(B4660,ROUND(MAX(0,J4660*K4660*L4660*M4660*N4660),2),"")</f>
        <v/>
      </c>
    </row>
    <row r="4661">
      <c r="A4661" t="n">
        <v>4660</v>
      </c>
      <c r="B4661">
        <f>A4661&lt;=MineCount*Days</f>
        <v/>
      </c>
      <c r="C4661">
        <f>IF(B4661,INT((A4661-1)/Days)+1,"")</f>
        <v/>
      </c>
      <c r="D4661">
        <f>IF(B4661,MOD(A4661-1,Days),"")</f>
        <v/>
      </c>
      <c r="E4661" s="16">
        <f>IF(B4661,StartDate+D4661,"")</f>
        <v/>
      </c>
      <c r="F4661">
        <f>IF(B4661,MAX(MOD(SIN(Seed*0.1373+C4661*12.9898+D4661*78.233)*43758.5453,1),1E-9),"")</f>
        <v/>
      </c>
      <c r="G4661">
        <f>IF(B4661,MOD(SIN(Seed*0.5917+C4661*39.3468+D4661*11.135)*24634.6345,1),"")</f>
        <v/>
      </c>
      <c r="H4661">
        <f>IF(B4661,SQRT(-2*LN(F4661))*COS(2*PI()*G4661),"")</f>
        <v/>
      </c>
      <c r="I4661">
        <f>IF(B4661,IF(D4661=0,H4661,Rho*I4660+SQRT(1-Rho^2)*H4661),"")</f>
        <v/>
      </c>
      <c r="J4661">
        <f>IF(B4661,IF(Dist="Normal",DistA+DistB*I4661,DistA+(DistB-DistA)*NORMSDIST(I4661)),"")</f>
        <v/>
      </c>
      <c r="K4661">
        <f>IF(B4661,INDEX(MineScale,C4661),"")</f>
        <v/>
      </c>
      <c r="L4661">
        <f>IF(B4661,INDEX(Dow,1,WEEKDAY(E4661,2)),"")</f>
        <v/>
      </c>
      <c r="M4661">
        <f>IF(B4661,(1+Trend)^D4661,"")</f>
        <v/>
      </c>
      <c r="N4661">
        <f>IF(B4661,EXP(SUMPRODUCT(LN(1+(EvEff-1)*INDEX(Affected,0,C4661)*EXP(-((E4661-EvCenter)^2)/(2*EvSigma^2))))),"")</f>
        <v/>
      </c>
      <c r="O4661">
        <f>IF(B4661,ROUND(MAX(0,J4661*K4661*L4661*M4661*N4661),2),"")</f>
        <v/>
      </c>
    </row>
    <row r="4662">
      <c r="A4662" t="n">
        <v>4661</v>
      </c>
      <c r="B4662">
        <f>A4662&lt;=MineCount*Days</f>
        <v/>
      </c>
      <c r="C4662">
        <f>IF(B4662,INT((A4662-1)/Days)+1,"")</f>
        <v/>
      </c>
      <c r="D4662">
        <f>IF(B4662,MOD(A4662-1,Days),"")</f>
        <v/>
      </c>
      <c r="E4662" s="16">
        <f>IF(B4662,StartDate+D4662,"")</f>
        <v/>
      </c>
      <c r="F4662">
        <f>IF(B4662,MAX(MOD(SIN(Seed*0.1373+C4662*12.9898+D4662*78.233)*43758.5453,1),1E-9),"")</f>
        <v/>
      </c>
      <c r="G4662">
        <f>IF(B4662,MOD(SIN(Seed*0.5917+C4662*39.3468+D4662*11.135)*24634.6345,1),"")</f>
        <v/>
      </c>
      <c r="H4662">
        <f>IF(B4662,SQRT(-2*LN(F4662))*COS(2*PI()*G4662),"")</f>
        <v/>
      </c>
      <c r="I4662">
        <f>IF(B4662,IF(D4662=0,H4662,Rho*I4661+SQRT(1-Rho^2)*H4662),"")</f>
        <v/>
      </c>
      <c r="J4662">
        <f>IF(B4662,IF(Dist="Normal",DistA+DistB*I4662,DistA+(DistB-DistA)*NORMSDIST(I4662)),"")</f>
        <v/>
      </c>
      <c r="K4662">
        <f>IF(B4662,INDEX(MineScale,C4662),"")</f>
        <v/>
      </c>
      <c r="L4662">
        <f>IF(B4662,INDEX(Dow,1,WEEKDAY(E4662,2)),"")</f>
        <v/>
      </c>
      <c r="M4662">
        <f>IF(B4662,(1+Trend)^D4662,"")</f>
        <v/>
      </c>
      <c r="N4662">
        <f>IF(B4662,EXP(SUMPRODUCT(LN(1+(EvEff-1)*INDEX(Affected,0,C4662)*EXP(-((E4662-EvCenter)^2)/(2*EvSigma^2))))),"")</f>
        <v/>
      </c>
      <c r="O4662">
        <f>IF(B4662,ROUND(MAX(0,J4662*K4662*L4662*M4662*N4662),2),"")</f>
        <v/>
      </c>
    </row>
    <row r="4663">
      <c r="A4663" t="n">
        <v>4662</v>
      </c>
      <c r="B4663">
        <f>A4663&lt;=MineCount*Days</f>
        <v/>
      </c>
      <c r="C4663">
        <f>IF(B4663,INT((A4663-1)/Days)+1,"")</f>
        <v/>
      </c>
      <c r="D4663">
        <f>IF(B4663,MOD(A4663-1,Days),"")</f>
        <v/>
      </c>
      <c r="E4663" s="16">
        <f>IF(B4663,StartDate+D4663,"")</f>
        <v/>
      </c>
      <c r="F4663">
        <f>IF(B4663,MAX(MOD(SIN(Seed*0.1373+C4663*12.9898+D4663*78.233)*43758.5453,1),1E-9),"")</f>
        <v/>
      </c>
      <c r="G4663">
        <f>IF(B4663,MOD(SIN(Seed*0.5917+C4663*39.3468+D4663*11.135)*24634.6345,1),"")</f>
        <v/>
      </c>
      <c r="H4663">
        <f>IF(B4663,SQRT(-2*LN(F4663))*COS(2*PI()*G4663),"")</f>
        <v/>
      </c>
      <c r="I4663">
        <f>IF(B4663,IF(D4663=0,H4663,Rho*I4662+SQRT(1-Rho^2)*H4663),"")</f>
        <v/>
      </c>
      <c r="J4663">
        <f>IF(B4663,IF(Dist="Normal",DistA+DistB*I4663,DistA+(DistB-DistA)*NORMSDIST(I4663)),"")</f>
        <v/>
      </c>
      <c r="K4663">
        <f>IF(B4663,INDEX(MineScale,C4663),"")</f>
        <v/>
      </c>
      <c r="L4663">
        <f>IF(B4663,INDEX(Dow,1,WEEKDAY(E4663,2)),"")</f>
        <v/>
      </c>
      <c r="M4663">
        <f>IF(B4663,(1+Trend)^D4663,"")</f>
        <v/>
      </c>
      <c r="N4663">
        <f>IF(B4663,EXP(SUMPRODUCT(LN(1+(EvEff-1)*INDEX(Affected,0,C4663)*EXP(-((E4663-EvCenter)^2)/(2*EvSigma^2))))),"")</f>
        <v/>
      </c>
      <c r="O4663">
        <f>IF(B4663,ROUND(MAX(0,J4663*K4663*L4663*M4663*N4663),2),"")</f>
        <v/>
      </c>
    </row>
    <row r="4664">
      <c r="A4664" t="n">
        <v>4663</v>
      </c>
      <c r="B4664">
        <f>A4664&lt;=MineCount*Days</f>
        <v/>
      </c>
      <c r="C4664">
        <f>IF(B4664,INT((A4664-1)/Days)+1,"")</f>
        <v/>
      </c>
      <c r="D4664">
        <f>IF(B4664,MOD(A4664-1,Days),"")</f>
        <v/>
      </c>
      <c r="E4664" s="16">
        <f>IF(B4664,StartDate+D4664,"")</f>
        <v/>
      </c>
      <c r="F4664">
        <f>IF(B4664,MAX(MOD(SIN(Seed*0.1373+C4664*12.9898+D4664*78.233)*43758.5453,1),1E-9),"")</f>
        <v/>
      </c>
      <c r="G4664">
        <f>IF(B4664,MOD(SIN(Seed*0.5917+C4664*39.3468+D4664*11.135)*24634.6345,1),"")</f>
        <v/>
      </c>
      <c r="H4664">
        <f>IF(B4664,SQRT(-2*LN(F4664))*COS(2*PI()*G4664),"")</f>
        <v/>
      </c>
      <c r="I4664">
        <f>IF(B4664,IF(D4664=0,H4664,Rho*I4663+SQRT(1-Rho^2)*H4664),"")</f>
        <v/>
      </c>
      <c r="J4664">
        <f>IF(B4664,IF(Dist="Normal",DistA+DistB*I4664,DistA+(DistB-DistA)*NORMSDIST(I4664)),"")</f>
        <v/>
      </c>
      <c r="K4664">
        <f>IF(B4664,INDEX(MineScale,C4664),"")</f>
        <v/>
      </c>
      <c r="L4664">
        <f>IF(B4664,INDEX(Dow,1,WEEKDAY(E4664,2)),"")</f>
        <v/>
      </c>
      <c r="M4664">
        <f>IF(B4664,(1+Trend)^D4664,"")</f>
        <v/>
      </c>
      <c r="N4664">
        <f>IF(B4664,EXP(SUMPRODUCT(LN(1+(EvEff-1)*INDEX(Affected,0,C4664)*EXP(-((E4664-EvCenter)^2)/(2*EvSigma^2))))),"")</f>
        <v/>
      </c>
      <c r="O4664">
        <f>IF(B4664,ROUND(MAX(0,J4664*K4664*L4664*M4664*N4664),2),"")</f>
        <v/>
      </c>
    </row>
    <row r="4665">
      <c r="A4665" t="n">
        <v>4664</v>
      </c>
      <c r="B4665">
        <f>A4665&lt;=MineCount*Days</f>
        <v/>
      </c>
      <c r="C4665">
        <f>IF(B4665,INT((A4665-1)/Days)+1,"")</f>
        <v/>
      </c>
      <c r="D4665">
        <f>IF(B4665,MOD(A4665-1,Days),"")</f>
        <v/>
      </c>
      <c r="E4665" s="16">
        <f>IF(B4665,StartDate+D4665,"")</f>
        <v/>
      </c>
      <c r="F4665">
        <f>IF(B4665,MAX(MOD(SIN(Seed*0.1373+C4665*12.9898+D4665*78.233)*43758.5453,1),1E-9),"")</f>
        <v/>
      </c>
      <c r="G4665">
        <f>IF(B4665,MOD(SIN(Seed*0.5917+C4665*39.3468+D4665*11.135)*24634.6345,1),"")</f>
        <v/>
      </c>
      <c r="H4665">
        <f>IF(B4665,SQRT(-2*LN(F4665))*COS(2*PI()*G4665),"")</f>
        <v/>
      </c>
      <c r="I4665">
        <f>IF(B4665,IF(D4665=0,H4665,Rho*I4664+SQRT(1-Rho^2)*H4665),"")</f>
        <v/>
      </c>
      <c r="J4665">
        <f>IF(B4665,IF(Dist="Normal",DistA+DistB*I4665,DistA+(DistB-DistA)*NORMSDIST(I4665)),"")</f>
        <v/>
      </c>
      <c r="K4665">
        <f>IF(B4665,INDEX(MineScale,C4665),"")</f>
        <v/>
      </c>
      <c r="L4665">
        <f>IF(B4665,INDEX(Dow,1,WEEKDAY(E4665,2)),"")</f>
        <v/>
      </c>
      <c r="M4665">
        <f>IF(B4665,(1+Trend)^D4665,"")</f>
        <v/>
      </c>
      <c r="N4665">
        <f>IF(B4665,EXP(SUMPRODUCT(LN(1+(EvEff-1)*INDEX(Affected,0,C4665)*EXP(-((E4665-EvCenter)^2)/(2*EvSigma^2))))),"")</f>
        <v/>
      </c>
      <c r="O4665">
        <f>IF(B4665,ROUND(MAX(0,J4665*K4665*L4665*M4665*N4665),2),"")</f>
        <v/>
      </c>
    </row>
    <row r="4666">
      <c r="A4666" t="n">
        <v>4665</v>
      </c>
      <c r="B4666">
        <f>A4666&lt;=MineCount*Days</f>
        <v/>
      </c>
      <c r="C4666">
        <f>IF(B4666,INT((A4666-1)/Days)+1,"")</f>
        <v/>
      </c>
      <c r="D4666">
        <f>IF(B4666,MOD(A4666-1,Days),"")</f>
        <v/>
      </c>
      <c r="E4666" s="16">
        <f>IF(B4666,StartDate+D4666,"")</f>
        <v/>
      </c>
      <c r="F4666">
        <f>IF(B4666,MAX(MOD(SIN(Seed*0.1373+C4666*12.9898+D4666*78.233)*43758.5453,1),1E-9),"")</f>
        <v/>
      </c>
      <c r="G4666">
        <f>IF(B4666,MOD(SIN(Seed*0.5917+C4666*39.3468+D4666*11.135)*24634.6345,1),"")</f>
        <v/>
      </c>
      <c r="H4666">
        <f>IF(B4666,SQRT(-2*LN(F4666))*COS(2*PI()*G4666),"")</f>
        <v/>
      </c>
      <c r="I4666">
        <f>IF(B4666,IF(D4666=0,H4666,Rho*I4665+SQRT(1-Rho^2)*H4666),"")</f>
        <v/>
      </c>
      <c r="J4666">
        <f>IF(B4666,IF(Dist="Normal",DistA+DistB*I4666,DistA+(DistB-DistA)*NORMSDIST(I4666)),"")</f>
        <v/>
      </c>
      <c r="K4666">
        <f>IF(B4666,INDEX(MineScale,C4666),"")</f>
        <v/>
      </c>
      <c r="L4666">
        <f>IF(B4666,INDEX(Dow,1,WEEKDAY(E4666,2)),"")</f>
        <v/>
      </c>
      <c r="M4666">
        <f>IF(B4666,(1+Trend)^D4666,"")</f>
        <v/>
      </c>
      <c r="N4666">
        <f>IF(B4666,EXP(SUMPRODUCT(LN(1+(EvEff-1)*INDEX(Affected,0,C4666)*EXP(-((E4666-EvCenter)^2)/(2*EvSigma^2))))),"")</f>
        <v/>
      </c>
      <c r="O4666">
        <f>IF(B4666,ROUND(MAX(0,J4666*K4666*L4666*M4666*N4666),2),"")</f>
        <v/>
      </c>
    </row>
    <row r="4667">
      <c r="A4667" t="n">
        <v>4666</v>
      </c>
      <c r="B4667">
        <f>A4667&lt;=MineCount*Days</f>
        <v/>
      </c>
      <c r="C4667">
        <f>IF(B4667,INT((A4667-1)/Days)+1,"")</f>
        <v/>
      </c>
      <c r="D4667">
        <f>IF(B4667,MOD(A4667-1,Days),"")</f>
        <v/>
      </c>
      <c r="E4667" s="16">
        <f>IF(B4667,StartDate+D4667,"")</f>
        <v/>
      </c>
      <c r="F4667">
        <f>IF(B4667,MAX(MOD(SIN(Seed*0.1373+C4667*12.9898+D4667*78.233)*43758.5453,1),1E-9),"")</f>
        <v/>
      </c>
      <c r="G4667">
        <f>IF(B4667,MOD(SIN(Seed*0.5917+C4667*39.3468+D4667*11.135)*24634.6345,1),"")</f>
        <v/>
      </c>
      <c r="H4667">
        <f>IF(B4667,SQRT(-2*LN(F4667))*COS(2*PI()*G4667),"")</f>
        <v/>
      </c>
      <c r="I4667">
        <f>IF(B4667,IF(D4667=0,H4667,Rho*I4666+SQRT(1-Rho^2)*H4667),"")</f>
        <v/>
      </c>
      <c r="J4667">
        <f>IF(B4667,IF(Dist="Normal",DistA+DistB*I4667,DistA+(DistB-DistA)*NORMSDIST(I4667)),"")</f>
        <v/>
      </c>
      <c r="K4667">
        <f>IF(B4667,INDEX(MineScale,C4667),"")</f>
        <v/>
      </c>
      <c r="L4667">
        <f>IF(B4667,INDEX(Dow,1,WEEKDAY(E4667,2)),"")</f>
        <v/>
      </c>
      <c r="M4667">
        <f>IF(B4667,(1+Trend)^D4667,"")</f>
        <v/>
      </c>
      <c r="N4667">
        <f>IF(B4667,EXP(SUMPRODUCT(LN(1+(EvEff-1)*INDEX(Affected,0,C4667)*EXP(-((E4667-EvCenter)^2)/(2*EvSigma^2))))),"")</f>
        <v/>
      </c>
      <c r="O4667">
        <f>IF(B4667,ROUND(MAX(0,J4667*K4667*L4667*M4667*N4667),2),"")</f>
        <v/>
      </c>
    </row>
    <row r="4668">
      <c r="A4668" t="n">
        <v>4667</v>
      </c>
      <c r="B4668">
        <f>A4668&lt;=MineCount*Days</f>
        <v/>
      </c>
      <c r="C4668">
        <f>IF(B4668,INT((A4668-1)/Days)+1,"")</f>
        <v/>
      </c>
      <c r="D4668">
        <f>IF(B4668,MOD(A4668-1,Days),"")</f>
        <v/>
      </c>
      <c r="E4668" s="16">
        <f>IF(B4668,StartDate+D4668,"")</f>
        <v/>
      </c>
      <c r="F4668">
        <f>IF(B4668,MAX(MOD(SIN(Seed*0.1373+C4668*12.9898+D4668*78.233)*43758.5453,1),1E-9),"")</f>
        <v/>
      </c>
      <c r="G4668">
        <f>IF(B4668,MOD(SIN(Seed*0.5917+C4668*39.3468+D4668*11.135)*24634.6345,1),"")</f>
        <v/>
      </c>
      <c r="H4668">
        <f>IF(B4668,SQRT(-2*LN(F4668))*COS(2*PI()*G4668),"")</f>
        <v/>
      </c>
      <c r="I4668">
        <f>IF(B4668,IF(D4668=0,H4668,Rho*I4667+SQRT(1-Rho^2)*H4668),"")</f>
        <v/>
      </c>
      <c r="J4668">
        <f>IF(B4668,IF(Dist="Normal",DistA+DistB*I4668,DistA+(DistB-DistA)*NORMSDIST(I4668)),"")</f>
        <v/>
      </c>
      <c r="K4668">
        <f>IF(B4668,INDEX(MineScale,C4668),"")</f>
        <v/>
      </c>
      <c r="L4668">
        <f>IF(B4668,INDEX(Dow,1,WEEKDAY(E4668,2)),"")</f>
        <v/>
      </c>
      <c r="M4668">
        <f>IF(B4668,(1+Trend)^D4668,"")</f>
        <v/>
      </c>
      <c r="N4668">
        <f>IF(B4668,EXP(SUMPRODUCT(LN(1+(EvEff-1)*INDEX(Affected,0,C4668)*EXP(-((E4668-EvCenter)^2)/(2*EvSigma^2))))),"")</f>
        <v/>
      </c>
      <c r="O4668">
        <f>IF(B4668,ROUND(MAX(0,J4668*K4668*L4668*M4668*N4668),2),"")</f>
        <v/>
      </c>
    </row>
    <row r="4669">
      <c r="A4669" t="n">
        <v>4668</v>
      </c>
      <c r="B4669">
        <f>A4669&lt;=MineCount*Days</f>
        <v/>
      </c>
      <c r="C4669">
        <f>IF(B4669,INT((A4669-1)/Days)+1,"")</f>
        <v/>
      </c>
      <c r="D4669">
        <f>IF(B4669,MOD(A4669-1,Days),"")</f>
        <v/>
      </c>
      <c r="E4669" s="16">
        <f>IF(B4669,StartDate+D4669,"")</f>
        <v/>
      </c>
      <c r="F4669">
        <f>IF(B4669,MAX(MOD(SIN(Seed*0.1373+C4669*12.9898+D4669*78.233)*43758.5453,1),1E-9),"")</f>
        <v/>
      </c>
      <c r="G4669">
        <f>IF(B4669,MOD(SIN(Seed*0.5917+C4669*39.3468+D4669*11.135)*24634.6345,1),"")</f>
        <v/>
      </c>
      <c r="H4669">
        <f>IF(B4669,SQRT(-2*LN(F4669))*COS(2*PI()*G4669),"")</f>
        <v/>
      </c>
      <c r="I4669">
        <f>IF(B4669,IF(D4669=0,H4669,Rho*I4668+SQRT(1-Rho^2)*H4669),"")</f>
        <v/>
      </c>
      <c r="J4669">
        <f>IF(B4669,IF(Dist="Normal",DistA+DistB*I4669,DistA+(DistB-DistA)*NORMSDIST(I4669)),"")</f>
        <v/>
      </c>
      <c r="K4669">
        <f>IF(B4669,INDEX(MineScale,C4669),"")</f>
        <v/>
      </c>
      <c r="L4669">
        <f>IF(B4669,INDEX(Dow,1,WEEKDAY(E4669,2)),"")</f>
        <v/>
      </c>
      <c r="M4669">
        <f>IF(B4669,(1+Trend)^D4669,"")</f>
        <v/>
      </c>
      <c r="N4669">
        <f>IF(B4669,EXP(SUMPRODUCT(LN(1+(EvEff-1)*INDEX(Affected,0,C4669)*EXP(-((E4669-EvCenter)^2)/(2*EvSigma^2))))),"")</f>
        <v/>
      </c>
      <c r="O4669">
        <f>IF(B4669,ROUND(MAX(0,J4669*K4669*L4669*M4669*N4669),2),"")</f>
        <v/>
      </c>
    </row>
    <row r="4670">
      <c r="A4670" t="n">
        <v>4669</v>
      </c>
      <c r="B4670">
        <f>A4670&lt;=MineCount*Days</f>
        <v/>
      </c>
      <c r="C4670">
        <f>IF(B4670,INT((A4670-1)/Days)+1,"")</f>
        <v/>
      </c>
      <c r="D4670">
        <f>IF(B4670,MOD(A4670-1,Days),"")</f>
        <v/>
      </c>
      <c r="E4670" s="16">
        <f>IF(B4670,StartDate+D4670,"")</f>
        <v/>
      </c>
      <c r="F4670">
        <f>IF(B4670,MAX(MOD(SIN(Seed*0.1373+C4670*12.9898+D4670*78.233)*43758.5453,1),1E-9),"")</f>
        <v/>
      </c>
      <c r="G4670">
        <f>IF(B4670,MOD(SIN(Seed*0.5917+C4670*39.3468+D4670*11.135)*24634.6345,1),"")</f>
        <v/>
      </c>
      <c r="H4670">
        <f>IF(B4670,SQRT(-2*LN(F4670))*COS(2*PI()*G4670),"")</f>
        <v/>
      </c>
      <c r="I4670">
        <f>IF(B4670,IF(D4670=0,H4670,Rho*I4669+SQRT(1-Rho^2)*H4670),"")</f>
        <v/>
      </c>
      <c r="J4670">
        <f>IF(B4670,IF(Dist="Normal",DistA+DistB*I4670,DistA+(DistB-DistA)*NORMSDIST(I4670)),"")</f>
        <v/>
      </c>
      <c r="K4670">
        <f>IF(B4670,INDEX(MineScale,C4670),"")</f>
        <v/>
      </c>
      <c r="L4670">
        <f>IF(B4670,INDEX(Dow,1,WEEKDAY(E4670,2)),"")</f>
        <v/>
      </c>
      <c r="M4670">
        <f>IF(B4670,(1+Trend)^D4670,"")</f>
        <v/>
      </c>
      <c r="N4670">
        <f>IF(B4670,EXP(SUMPRODUCT(LN(1+(EvEff-1)*INDEX(Affected,0,C4670)*EXP(-((E4670-EvCenter)^2)/(2*EvSigma^2))))),"")</f>
        <v/>
      </c>
      <c r="O4670">
        <f>IF(B4670,ROUND(MAX(0,J4670*K4670*L4670*M4670*N4670),2),"")</f>
        <v/>
      </c>
    </row>
    <row r="4671">
      <c r="A4671" t="n">
        <v>4670</v>
      </c>
      <c r="B4671">
        <f>A4671&lt;=MineCount*Days</f>
        <v/>
      </c>
      <c r="C4671">
        <f>IF(B4671,INT((A4671-1)/Days)+1,"")</f>
        <v/>
      </c>
      <c r="D4671">
        <f>IF(B4671,MOD(A4671-1,Days),"")</f>
        <v/>
      </c>
      <c r="E4671" s="16">
        <f>IF(B4671,StartDate+D4671,"")</f>
        <v/>
      </c>
      <c r="F4671">
        <f>IF(B4671,MAX(MOD(SIN(Seed*0.1373+C4671*12.9898+D4671*78.233)*43758.5453,1),1E-9),"")</f>
        <v/>
      </c>
      <c r="G4671">
        <f>IF(B4671,MOD(SIN(Seed*0.5917+C4671*39.3468+D4671*11.135)*24634.6345,1),"")</f>
        <v/>
      </c>
      <c r="H4671">
        <f>IF(B4671,SQRT(-2*LN(F4671))*COS(2*PI()*G4671),"")</f>
        <v/>
      </c>
      <c r="I4671">
        <f>IF(B4671,IF(D4671=0,H4671,Rho*I4670+SQRT(1-Rho^2)*H4671),"")</f>
        <v/>
      </c>
      <c r="J4671">
        <f>IF(B4671,IF(Dist="Normal",DistA+DistB*I4671,DistA+(DistB-DistA)*NORMSDIST(I4671)),"")</f>
        <v/>
      </c>
      <c r="K4671">
        <f>IF(B4671,INDEX(MineScale,C4671),"")</f>
        <v/>
      </c>
      <c r="L4671">
        <f>IF(B4671,INDEX(Dow,1,WEEKDAY(E4671,2)),"")</f>
        <v/>
      </c>
      <c r="M4671">
        <f>IF(B4671,(1+Trend)^D4671,"")</f>
        <v/>
      </c>
      <c r="N4671">
        <f>IF(B4671,EXP(SUMPRODUCT(LN(1+(EvEff-1)*INDEX(Affected,0,C4671)*EXP(-((E4671-EvCenter)^2)/(2*EvSigma^2))))),"")</f>
        <v/>
      </c>
      <c r="O4671">
        <f>IF(B4671,ROUND(MAX(0,J4671*K4671*L4671*M4671*N4671),2),"")</f>
        <v/>
      </c>
    </row>
    <row r="4672">
      <c r="A4672" t="n">
        <v>4671</v>
      </c>
      <c r="B4672">
        <f>A4672&lt;=MineCount*Days</f>
        <v/>
      </c>
      <c r="C4672">
        <f>IF(B4672,INT((A4672-1)/Days)+1,"")</f>
        <v/>
      </c>
      <c r="D4672">
        <f>IF(B4672,MOD(A4672-1,Days),"")</f>
        <v/>
      </c>
      <c r="E4672" s="16">
        <f>IF(B4672,StartDate+D4672,"")</f>
        <v/>
      </c>
      <c r="F4672">
        <f>IF(B4672,MAX(MOD(SIN(Seed*0.1373+C4672*12.9898+D4672*78.233)*43758.5453,1),1E-9),"")</f>
        <v/>
      </c>
      <c r="G4672">
        <f>IF(B4672,MOD(SIN(Seed*0.5917+C4672*39.3468+D4672*11.135)*24634.6345,1),"")</f>
        <v/>
      </c>
      <c r="H4672">
        <f>IF(B4672,SQRT(-2*LN(F4672))*COS(2*PI()*G4672),"")</f>
        <v/>
      </c>
      <c r="I4672">
        <f>IF(B4672,IF(D4672=0,H4672,Rho*I4671+SQRT(1-Rho^2)*H4672),"")</f>
        <v/>
      </c>
      <c r="J4672">
        <f>IF(B4672,IF(Dist="Normal",DistA+DistB*I4672,DistA+(DistB-DistA)*NORMSDIST(I4672)),"")</f>
        <v/>
      </c>
      <c r="K4672">
        <f>IF(B4672,INDEX(MineScale,C4672),"")</f>
        <v/>
      </c>
      <c r="L4672">
        <f>IF(B4672,INDEX(Dow,1,WEEKDAY(E4672,2)),"")</f>
        <v/>
      </c>
      <c r="M4672">
        <f>IF(B4672,(1+Trend)^D4672,"")</f>
        <v/>
      </c>
      <c r="N4672">
        <f>IF(B4672,EXP(SUMPRODUCT(LN(1+(EvEff-1)*INDEX(Affected,0,C4672)*EXP(-((E4672-EvCenter)^2)/(2*EvSigma^2))))),"")</f>
        <v/>
      </c>
      <c r="O4672">
        <f>IF(B4672,ROUND(MAX(0,J4672*K4672*L4672*M4672*N4672),2),"")</f>
        <v/>
      </c>
    </row>
    <row r="4673">
      <c r="A4673" t="n">
        <v>4672</v>
      </c>
      <c r="B4673">
        <f>A4673&lt;=MineCount*Days</f>
        <v/>
      </c>
      <c r="C4673">
        <f>IF(B4673,INT((A4673-1)/Days)+1,"")</f>
        <v/>
      </c>
      <c r="D4673">
        <f>IF(B4673,MOD(A4673-1,Days),"")</f>
        <v/>
      </c>
      <c r="E4673" s="16">
        <f>IF(B4673,StartDate+D4673,"")</f>
        <v/>
      </c>
      <c r="F4673">
        <f>IF(B4673,MAX(MOD(SIN(Seed*0.1373+C4673*12.9898+D4673*78.233)*43758.5453,1),1E-9),"")</f>
        <v/>
      </c>
      <c r="G4673">
        <f>IF(B4673,MOD(SIN(Seed*0.5917+C4673*39.3468+D4673*11.135)*24634.6345,1),"")</f>
        <v/>
      </c>
      <c r="H4673">
        <f>IF(B4673,SQRT(-2*LN(F4673))*COS(2*PI()*G4673),"")</f>
        <v/>
      </c>
      <c r="I4673">
        <f>IF(B4673,IF(D4673=0,H4673,Rho*I4672+SQRT(1-Rho^2)*H4673),"")</f>
        <v/>
      </c>
      <c r="J4673">
        <f>IF(B4673,IF(Dist="Normal",DistA+DistB*I4673,DistA+(DistB-DistA)*NORMSDIST(I4673)),"")</f>
        <v/>
      </c>
      <c r="K4673">
        <f>IF(B4673,INDEX(MineScale,C4673),"")</f>
        <v/>
      </c>
      <c r="L4673">
        <f>IF(B4673,INDEX(Dow,1,WEEKDAY(E4673,2)),"")</f>
        <v/>
      </c>
      <c r="M4673">
        <f>IF(B4673,(1+Trend)^D4673,"")</f>
        <v/>
      </c>
      <c r="N4673">
        <f>IF(B4673,EXP(SUMPRODUCT(LN(1+(EvEff-1)*INDEX(Affected,0,C4673)*EXP(-((E4673-EvCenter)^2)/(2*EvSigma^2))))),"")</f>
        <v/>
      </c>
      <c r="O4673">
        <f>IF(B4673,ROUND(MAX(0,J4673*K4673*L4673*M4673*N4673),2),"")</f>
        <v/>
      </c>
    </row>
    <row r="4674">
      <c r="A4674" t="n">
        <v>4673</v>
      </c>
      <c r="B4674">
        <f>A4674&lt;=MineCount*Days</f>
        <v/>
      </c>
      <c r="C4674">
        <f>IF(B4674,INT((A4674-1)/Days)+1,"")</f>
        <v/>
      </c>
      <c r="D4674">
        <f>IF(B4674,MOD(A4674-1,Days),"")</f>
        <v/>
      </c>
      <c r="E4674" s="16">
        <f>IF(B4674,StartDate+D4674,"")</f>
        <v/>
      </c>
      <c r="F4674">
        <f>IF(B4674,MAX(MOD(SIN(Seed*0.1373+C4674*12.9898+D4674*78.233)*43758.5453,1),1E-9),"")</f>
        <v/>
      </c>
      <c r="G4674">
        <f>IF(B4674,MOD(SIN(Seed*0.5917+C4674*39.3468+D4674*11.135)*24634.6345,1),"")</f>
        <v/>
      </c>
      <c r="H4674">
        <f>IF(B4674,SQRT(-2*LN(F4674))*COS(2*PI()*G4674),"")</f>
        <v/>
      </c>
      <c r="I4674">
        <f>IF(B4674,IF(D4674=0,H4674,Rho*I4673+SQRT(1-Rho^2)*H4674),"")</f>
        <v/>
      </c>
      <c r="J4674">
        <f>IF(B4674,IF(Dist="Normal",DistA+DistB*I4674,DistA+(DistB-DistA)*NORMSDIST(I4674)),"")</f>
        <v/>
      </c>
      <c r="K4674">
        <f>IF(B4674,INDEX(MineScale,C4674),"")</f>
        <v/>
      </c>
      <c r="L4674">
        <f>IF(B4674,INDEX(Dow,1,WEEKDAY(E4674,2)),"")</f>
        <v/>
      </c>
      <c r="M4674">
        <f>IF(B4674,(1+Trend)^D4674,"")</f>
        <v/>
      </c>
      <c r="N4674">
        <f>IF(B4674,EXP(SUMPRODUCT(LN(1+(EvEff-1)*INDEX(Affected,0,C4674)*EXP(-((E4674-EvCenter)^2)/(2*EvSigma^2))))),"")</f>
        <v/>
      </c>
      <c r="O4674">
        <f>IF(B4674,ROUND(MAX(0,J4674*K4674*L4674*M4674*N4674),2),"")</f>
        <v/>
      </c>
    </row>
    <row r="4675">
      <c r="A4675" t="n">
        <v>4674</v>
      </c>
      <c r="B4675">
        <f>A4675&lt;=MineCount*Days</f>
        <v/>
      </c>
      <c r="C4675">
        <f>IF(B4675,INT((A4675-1)/Days)+1,"")</f>
        <v/>
      </c>
      <c r="D4675">
        <f>IF(B4675,MOD(A4675-1,Days),"")</f>
        <v/>
      </c>
      <c r="E4675" s="16">
        <f>IF(B4675,StartDate+D4675,"")</f>
        <v/>
      </c>
      <c r="F4675">
        <f>IF(B4675,MAX(MOD(SIN(Seed*0.1373+C4675*12.9898+D4675*78.233)*43758.5453,1),1E-9),"")</f>
        <v/>
      </c>
      <c r="G4675">
        <f>IF(B4675,MOD(SIN(Seed*0.5917+C4675*39.3468+D4675*11.135)*24634.6345,1),"")</f>
        <v/>
      </c>
      <c r="H4675">
        <f>IF(B4675,SQRT(-2*LN(F4675))*COS(2*PI()*G4675),"")</f>
        <v/>
      </c>
      <c r="I4675">
        <f>IF(B4675,IF(D4675=0,H4675,Rho*I4674+SQRT(1-Rho^2)*H4675),"")</f>
        <v/>
      </c>
      <c r="J4675">
        <f>IF(B4675,IF(Dist="Normal",DistA+DistB*I4675,DistA+(DistB-DistA)*NORMSDIST(I4675)),"")</f>
        <v/>
      </c>
      <c r="K4675">
        <f>IF(B4675,INDEX(MineScale,C4675),"")</f>
        <v/>
      </c>
      <c r="L4675">
        <f>IF(B4675,INDEX(Dow,1,WEEKDAY(E4675,2)),"")</f>
        <v/>
      </c>
      <c r="M4675">
        <f>IF(B4675,(1+Trend)^D4675,"")</f>
        <v/>
      </c>
      <c r="N4675">
        <f>IF(B4675,EXP(SUMPRODUCT(LN(1+(EvEff-1)*INDEX(Affected,0,C4675)*EXP(-((E4675-EvCenter)^2)/(2*EvSigma^2))))),"")</f>
        <v/>
      </c>
      <c r="O4675">
        <f>IF(B4675,ROUND(MAX(0,J4675*K4675*L4675*M4675*N4675),2),"")</f>
        <v/>
      </c>
    </row>
    <row r="4676">
      <c r="A4676" t="n">
        <v>4675</v>
      </c>
      <c r="B4676">
        <f>A4676&lt;=MineCount*Days</f>
        <v/>
      </c>
      <c r="C4676">
        <f>IF(B4676,INT((A4676-1)/Days)+1,"")</f>
        <v/>
      </c>
      <c r="D4676">
        <f>IF(B4676,MOD(A4676-1,Days),"")</f>
        <v/>
      </c>
      <c r="E4676" s="16">
        <f>IF(B4676,StartDate+D4676,"")</f>
        <v/>
      </c>
      <c r="F4676">
        <f>IF(B4676,MAX(MOD(SIN(Seed*0.1373+C4676*12.9898+D4676*78.233)*43758.5453,1),1E-9),"")</f>
        <v/>
      </c>
      <c r="G4676">
        <f>IF(B4676,MOD(SIN(Seed*0.5917+C4676*39.3468+D4676*11.135)*24634.6345,1),"")</f>
        <v/>
      </c>
      <c r="H4676">
        <f>IF(B4676,SQRT(-2*LN(F4676))*COS(2*PI()*G4676),"")</f>
        <v/>
      </c>
      <c r="I4676">
        <f>IF(B4676,IF(D4676=0,H4676,Rho*I4675+SQRT(1-Rho^2)*H4676),"")</f>
        <v/>
      </c>
      <c r="J4676">
        <f>IF(B4676,IF(Dist="Normal",DistA+DistB*I4676,DistA+(DistB-DistA)*NORMSDIST(I4676)),"")</f>
        <v/>
      </c>
      <c r="K4676">
        <f>IF(B4676,INDEX(MineScale,C4676),"")</f>
        <v/>
      </c>
      <c r="L4676">
        <f>IF(B4676,INDEX(Dow,1,WEEKDAY(E4676,2)),"")</f>
        <v/>
      </c>
      <c r="M4676">
        <f>IF(B4676,(1+Trend)^D4676,"")</f>
        <v/>
      </c>
      <c r="N4676">
        <f>IF(B4676,EXP(SUMPRODUCT(LN(1+(EvEff-1)*INDEX(Affected,0,C4676)*EXP(-((E4676-EvCenter)^2)/(2*EvSigma^2))))),"")</f>
        <v/>
      </c>
      <c r="O4676">
        <f>IF(B4676,ROUND(MAX(0,J4676*K4676*L4676*M4676*N4676),2),"")</f>
        <v/>
      </c>
    </row>
    <row r="4677">
      <c r="A4677" t="n">
        <v>4676</v>
      </c>
      <c r="B4677">
        <f>A4677&lt;=MineCount*Days</f>
        <v/>
      </c>
      <c r="C4677">
        <f>IF(B4677,INT((A4677-1)/Days)+1,"")</f>
        <v/>
      </c>
      <c r="D4677">
        <f>IF(B4677,MOD(A4677-1,Days),"")</f>
        <v/>
      </c>
      <c r="E4677" s="16">
        <f>IF(B4677,StartDate+D4677,"")</f>
        <v/>
      </c>
      <c r="F4677">
        <f>IF(B4677,MAX(MOD(SIN(Seed*0.1373+C4677*12.9898+D4677*78.233)*43758.5453,1),1E-9),"")</f>
        <v/>
      </c>
      <c r="G4677">
        <f>IF(B4677,MOD(SIN(Seed*0.5917+C4677*39.3468+D4677*11.135)*24634.6345,1),"")</f>
        <v/>
      </c>
      <c r="H4677">
        <f>IF(B4677,SQRT(-2*LN(F4677))*COS(2*PI()*G4677),"")</f>
        <v/>
      </c>
      <c r="I4677">
        <f>IF(B4677,IF(D4677=0,H4677,Rho*I4676+SQRT(1-Rho^2)*H4677),"")</f>
        <v/>
      </c>
      <c r="J4677">
        <f>IF(B4677,IF(Dist="Normal",DistA+DistB*I4677,DistA+(DistB-DistA)*NORMSDIST(I4677)),"")</f>
        <v/>
      </c>
      <c r="K4677">
        <f>IF(B4677,INDEX(MineScale,C4677),"")</f>
        <v/>
      </c>
      <c r="L4677">
        <f>IF(B4677,INDEX(Dow,1,WEEKDAY(E4677,2)),"")</f>
        <v/>
      </c>
      <c r="M4677">
        <f>IF(B4677,(1+Trend)^D4677,"")</f>
        <v/>
      </c>
      <c r="N4677">
        <f>IF(B4677,EXP(SUMPRODUCT(LN(1+(EvEff-1)*INDEX(Affected,0,C4677)*EXP(-((E4677-EvCenter)^2)/(2*EvSigma^2))))),"")</f>
        <v/>
      </c>
      <c r="O4677">
        <f>IF(B4677,ROUND(MAX(0,J4677*K4677*L4677*M4677*N4677),2),"")</f>
        <v/>
      </c>
    </row>
    <row r="4678">
      <c r="A4678" t="n">
        <v>4677</v>
      </c>
      <c r="B4678">
        <f>A4678&lt;=MineCount*Days</f>
        <v/>
      </c>
      <c r="C4678">
        <f>IF(B4678,INT((A4678-1)/Days)+1,"")</f>
        <v/>
      </c>
      <c r="D4678">
        <f>IF(B4678,MOD(A4678-1,Days),"")</f>
        <v/>
      </c>
      <c r="E4678" s="16">
        <f>IF(B4678,StartDate+D4678,"")</f>
        <v/>
      </c>
      <c r="F4678">
        <f>IF(B4678,MAX(MOD(SIN(Seed*0.1373+C4678*12.9898+D4678*78.233)*43758.5453,1),1E-9),"")</f>
        <v/>
      </c>
      <c r="G4678">
        <f>IF(B4678,MOD(SIN(Seed*0.5917+C4678*39.3468+D4678*11.135)*24634.6345,1),"")</f>
        <v/>
      </c>
      <c r="H4678">
        <f>IF(B4678,SQRT(-2*LN(F4678))*COS(2*PI()*G4678),"")</f>
        <v/>
      </c>
      <c r="I4678">
        <f>IF(B4678,IF(D4678=0,H4678,Rho*I4677+SQRT(1-Rho^2)*H4678),"")</f>
        <v/>
      </c>
      <c r="J4678">
        <f>IF(B4678,IF(Dist="Normal",DistA+DistB*I4678,DistA+(DistB-DistA)*NORMSDIST(I4678)),"")</f>
        <v/>
      </c>
      <c r="K4678">
        <f>IF(B4678,INDEX(MineScale,C4678),"")</f>
        <v/>
      </c>
      <c r="L4678">
        <f>IF(B4678,INDEX(Dow,1,WEEKDAY(E4678,2)),"")</f>
        <v/>
      </c>
      <c r="M4678">
        <f>IF(B4678,(1+Trend)^D4678,"")</f>
        <v/>
      </c>
      <c r="N4678">
        <f>IF(B4678,EXP(SUMPRODUCT(LN(1+(EvEff-1)*INDEX(Affected,0,C4678)*EXP(-((E4678-EvCenter)^2)/(2*EvSigma^2))))),"")</f>
        <v/>
      </c>
      <c r="O4678">
        <f>IF(B4678,ROUND(MAX(0,J4678*K4678*L4678*M4678*N4678),2),"")</f>
        <v/>
      </c>
    </row>
    <row r="4679">
      <c r="A4679" t="n">
        <v>4678</v>
      </c>
      <c r="B4679">
        <f>A4679&lt;=MineCount*Days</f>
        <v/>
      </c>
      <c r="C4679">
        <f>IF(B4679,INT((A4679-1)/Days)+1,"")</f>
        <v/>
      </c>
      <c r="D4679">
        <f>IF(B4679,MOD(A4679-1,Days),"")</f>
        <v/>
      </c>
      <c r="E4679" s="16">
        <f>IF(B4679,StartDate+D4679,"")</f>
        <v/>
      </c>
      <c r="F4679">
        <f>IF(B4679,MAX(MOD(SIN(Seed*0.1373+C4679*12.9898+D4679*78.233)*43758.5453,1),1E-9),"")</f>
        <v/>
      </c>
      <c r="G4679">
        <f>IF(B4679,MOD(SIN(Seed*0.5917+C4679*39.3468+D4679*11.135)*24634.6345,1),"")</f>
        <v/>
      </c>
      <c r="H4679">
        <f>IF(B4679,SQRT(-2*LN(F4679))*COS(2*PI()*G4679),"")</f>
        <v/>
      </c>
      <c r="I4679">
        <f>IF(B4679,IF(D4679=0,H4679,Rho*I4678+SQRT(1-Rho^2)*H4679),"")</f>
        <v/>
      </c>
      <c r="J4679">
        <f>IF(B4679,IF(Dist="Normal",DistA+DistB*I4679,DistA+(DistB-DistA)*NORMSDIST(I4679)),"")</f>
        <v/>
      </c>
      <c r="K4679">
        <f>IF(B4679,INDEX(MineScale,C4679),"")</f>
        <v/>
      </c>
      <c r="L4679">
        <f>IF(B4679,INDEX(Dow,1,WEEKDAY(E4679,2)),"")</f>
        <v/>
      </c>
      <c r="M4679">
        <f>IF(B4679,(1+Trend)^D4679,"")</f>
        <v/>
      </c>
      <c r="N4679">
        <f>IF(B4679,EXP(SUMPRODUCT(LN(1+(EvEff-1)*INDEX(Affected,0,C4679)*EXP(-((E4679-EvCenter)^2)/(2*EvSigma^2))))),"")</f>
        <v/>
      </c>
      <c r="O4679">
        <f>IF(B4679,ROUND(MAX(0,J4679*K4679*L4679*M4679*N4679),2),"")</f>
        <v/>
      </c>
    </row>
    <row r="4680">
      <c r="A4680" t="n">
        <v>4679</v>
      </c>
      <c r="B4680">
        <f>A4680&lt;=MineCount*Days</f>
        <v/>
      </c>
      <c r="C4680">
        <f>IF(B4680,INT((A4680-1)/Days)+1,"")</f>
        <v/>
      </c>
      <c r="D4680">
        <f>IF(B4680,MOD(A4680-1,Days),"")</f>
        <v/>
      </c>
      <c r="E4680" s="16">
        <f>IF(B4680,StartDate+D4680,"")</f>
        <v/>
      </c>
      <c r="F4680">
        <f>IF(B4680,MAX(MOD(SIN(Seed*0.1373+C4680*12.9898+D4680*78.233)*43758.5453,1),1E-9),"")</f>
        <v/>
      </c>
      <c r="G4680">
        <f>IF(B4680,MOD(SIN(Seed*0.5917+C4680*39.3468+D4680*11.135)*24634.6345,1),"")</f>
        <v/>
      </c>
      <c r="H4680">
        <f>IF(B4680,SQRT(-2*LN(F4680))*COS(2*PI()*G4680),"")</f>
        <v/>
      </c>
      <c r="I4680">
        <f>IF(B4680,IF(D4680=0,H4680,Rho*I4679+SQRT(1-Rho^2)*H4680),"")</f>
        <v/>
      </c>
      <c r="J4680">
        <f>IF(B4680,IF(Dist="Normal",DistA+DistB*I4680,DistA+(DistB-DistA)*NORMSDIST(I4680)),"")</f>
        <v/>
      </c>
      <c r="K4680">
        <f>IF(B4680,INDEX(MineScale,C4680),"")</f>
        <v/>
      </c>
      <c r="L4680">
        <f>IF(B4680,INDEX(Dow,1,WEEKDAY(E4680,2)),"")</f>
        <v/>
      </c>
      <c r="M4680">
        <f>IF(B4680,(1+Trend)^D4680,"")</f>
        <v/>
      </c>
      <c r="N4680">
        <f>IF(B4680,EXP(SUMPRODUCT(LN(1+(EvEff-1)*INDEX(Affected,0,C4680)*EXP(-((E4680-EvCenter)^2)/(2*EvSigma^2))))),"")</f>
        <v/>
      </c>
      <c r="O4680">
        <f>IF(B4680,ROUND(MAX(0,J4680*K4680*L4680*M4680*N4680),2),"")</f>
        <v/>
      </c>
    </row>
    <row r="4681">
      <c r="A4681" t="n">
        <v>4680</v>
      </c>
      <c r="B4681">
        <f>A4681&lt;=MineCount*Days</f>
        <v/>
      </c>
      <c r="C4681">
        <f>IF(B4681,INT((A4681-1)/Days)+1,"")</f>
        <v/>
      </c>
      <c r="D4681">
        <f>IF(B4681,MOD(A4681-1,Days),"")</f>
        <v/>
      </c>
      <c r="E4681" s="16">
        <f>IF(B4681,StartDate+D4681,"")</f>
        <v/>
      </c>
      <c r="F4681">
        <f>IF(B4681,MAX(MOD(SIN(Seed*0.1373+C4681*12.9898+D4681*78.233)*43758.5453,1),1E-9),"")</f>
        <v/>
      </c>
      <c r="G4681">
        <f>IF(B4681,MOD(SIN(Seed*0.5917+C4681*39.3468+D4681*11.135)*24634.6345,1),"")</f>
        <v/>
      </c>
      <c r="H4681">
        <f>IF(B4681,SQRT(-2*LN(F4681))*COS(2*PI()*G4681),"")</f>
        <v/>
      </c>
      <c r="I4681">
        <f>IF(B4681,IF(D4681=0,H4681,Rho*I4680+SQRT(1-Rho^2)*H4681),"")</f>
        <v/>
      </c>
      <c r="J4681">
        <f>IF(B4681,IF(Dist="Normal",DistA+DistB*I4681,DistA+(DistB-DistA)*NORMSDIST(I4681)),"")</f>
        <v/>
      </c>
      <c r="K4681">
        <f>IF(B4681,INDEX(MineScale,C4681),"")</f>
        <v/>
      </c>
      <c r="L4681">
        <f>IF(B4681,INDEX(Dow,1,WEEKDAY(E4681,2)),"")</f>
        <v/>
      </c>
      <c r="M4681">
        <f>IF(B4681,(1+Trend)^D4681,"")</f>
        <v/>
      </c>
      <c r="N4681">
        <f>IF(B4681,EXP(SUMPRODUCT(LN(1+(EvEff-1)*INDEX(Affected,0,C4681)*EXP(-((E4681-EvCenter)^2)/(2*EvSigma^2))))),"")</f>
        <v/>
      </c>
      <c r="O4681">
        <f>IF(B4681,ROUND(MAX(0,J4681*K4681*L4681*M4681*N4681),2),"")</f>
        <v/>
      </c>
    </row>
    <row r="4682">
      <c r="A4682" t="n">
        <v>4681</v>
      </c>
      <c r="B4682">
        <f>A4682&lt;=MineCount*Days</f>
        <v/>
      </c>
      <c r="C4682">
        <f>IF(B4682,INT((A4682-1)/Days)+1,"")</f>
        <v/>
      </c>
      <c r="D4682">
        <f>IF(B4682,MOD(A4682-1,Days),"")</f>
        <v/>
      </c>
      <c r="E4682" s="16">
        <f>IF(B4682,StartDate+D4682,"")</f>
        <v/>
      </c>
      <c r="F4682">
        <f>IF(B4682,MAX(MOD(SIN(Seed*0.1373+C4682*12.9898+D4682*78.233)*43758.5453,1),1E-9),"")</f>
        <v/>
      </c>
      <c r="G4682">
        <f>IF(B4682,MOD(SIN(Seed*0.5917+C4682*39.3468+D4682*11.135)*24634.6345,1),"")</f>
        <v/>
      </c>
      <c r="H4682">
        <f>IF(B4682,SQRT(-2*LN(F4682))*COS(2*PI()*G4682),"")</f>
        <v/>
      </c>
      <c r="I4682">
        <f>IF(B4682,IF(D4682=0,H4682,Rho*I4681+SQRT(1-Rho^2)*H4682),"")</f>
        <v/>
      </c>
      <c r="J4682">
        <f>IF(B4682,IF(Dist="Normal",DistA+DistB*I4682,DistA+(DistB-DistA)*NORMSDIST(I4682)),"")</f>
        <v/>
      </c>
      <c r="K4682">
        <f>IF(B4682,INDEX(MineScale,C4682),"")</f>
        <v/>
      </c>
      <c r="L4682">
        <f>IF(B4682,INDEX(Dow,1,WEEKDAY(E4682,2)),"")</f>
        <v/>
      </c>
      <c r="M4682">
        <f>IF(B4682,(1+Trend)^D4682,"")</f>
        <v/>
      </c>
      <c r="N4682">
        <f>IF(B4682,EXP(SUMPRODUCT(LN(1+(EvEff-1)*INDEX(Affected,0,C4682)*EXP(-((E4682-EvCenter)^2)/(2*EvSigma^2))))),"")</f>
        <v/>
      </c>
      <c r="O4682">
        <f>IF(B4682,ROUND(MAX(0,J4682*K4682*L4682*M4682*N4682),2),"")</f>
        <v/>
      </c>
    </row>
    <row r="4683">
      <c r="A4683" t="n">
        <v>4682</v>
      </c>
      <c r="B4683">
        <f>A4683&lt;=MineCount*Days</f>
        <v/>
      </c>
      <c r="C4683">
        <f>IF(B4683,INT((A4683-1)/Days)+1,"")</f>
        <v/>
      </c>
      <c r="D4683">
        <f>IF(B4683,MOD(A4683-1,Days),"")</f>
        <v/>
      </c>
      <c r="E4683" s="16">
        <f>IF(B4683,StartDate+D4683,"")</f>
        <v/>
      </c>
      <c r="F4683">
        <f>IF(B4683,MAX(MOD(SIN(Seed*0.1373+C4683*12.9898+D4683*78.233)*43758.5453,1),1E-9),"")</f>
        <v/>
      </c>
      <c r="G4683">
        <f>IF(B4683,MOD(SIN(Seed*0.5917+C4683*39.3468+D4683*11.135)*24634.6345,1),"")</f>
        <v/>
      </c>
      <c r="H4683">
        <f>IF(B4683,SQRT(-2*LN(F4683))*COS(2*PI()*G4683),"")</f>
        <v/>
      </c>
      <c r="I4683">
        <f>IF(B4683,IF(D4683=0,H4683,Rho*I4682+SQRT(1-Rho^2)*H4683),"")</f>
        <v/>
      </c>
      <c r="J4683">
        <f>IF(B4683,IF(Dist="Normal",DistA+DistB*I4683,DistA+(DistB-DistA)*NORMSDIST(I4683)),"")</f>
        <v/>
      </c>
      <c r="K4683">
        <f>IF(B4683,INDEX(MineScale,C4683),"")</f>
        <v/>
      </c>
      <c r="L4683">
        <f>IF(B4683,INDEX(Dow,1,WEEKDAY(E4683,2)),"")</f>
        <v/>
      </c>
      <c r="M4683">
        <f>IF(B4683,(1+Trend)^D4683,"")</f>
        <v/>
      </c>
      <c r="N4683">
        <f>IF(B4683,EXP(SUMPRODUCT(LN(1+(EvEff-1)*INDEX(Affected,0,C4683)*EXP(-((E4683-EvCenter)^2)/(2*EvSigma^2))))),"")</f>
        <v/>
      </c>
      <c r="O4683">
        <f>IF(B4683,ROUND(MAX(0,J4683*K4683*L4683*M4683*N4683),2),"")</f>
        <v/>
      </c>
    </row>
    <row r="4684">
      <c r="A4684" t="n">
        <v>4683</v>
      </c>
      <c r="B4684">
        <f>A4684&lt;=MineCount*Days</f>
        <v/>
      </c>
      <c r="C4684">
        <f>IF(B4684,INT((A4684-1)/Days)+1,"")</f>
        <v/>
      </c>
      <c r="D4684">
        <f>IF(B4684,MOD(A4684-1,Days),"")</f>
        <v/>
      </c>
      <c r="E4684" s="16">
        <f>IF(B4684,StartDate+D4684,"")</f>
        <v/>
      </c>
      <c r="F4684">
        <f>IF(B4684,MAX(MOD(SIN(Seed*0.1373+C4684*12.9898+D4684*78.233)*43758.5453,1),1E-9),"")</f>
        <v/>
      </c>
      <c r="G4684">
        <f>IF(B4684,MOD(SIN(Seed*0.5917+C4684*39.3468+D4684*11.135)*24634.6345,1),"")</f>
        <v/>
      </c>
      <c r="H4684">
        <f>IF(B4684,SQRT(-2*LN(F4684))*COS(2*PI()*G4684),"")</f>
        <v/>
      </c>
      <c r="I4684">
        <f>IF(B4684,IF(D4684=0,H4684,Rho*I4683+SQRT(1-Rho^2)*H4684),"")</f>
        <v/>
      </c>
      <c r="J4684">
        <f>IF(B4684,IF(Dist="Normal",DistA+DistB*I4684,DistA+(DistB-DistA)*NORMSDIST(I4684)),"")</f>
        <v/>
      </c>
      <c r="K4684">
        <f>IF(B4684,INDEX(MineScale,C4684),"")</f>
        <v/>
      </c>
      <c r="L4684">
        <f>IF(B4684,INDEX(Dow,1,WEEKDAY(E4684,2)),"")</f>
        <v/>
      </c>
      <c r="M4684">
        <f>IF(B4684,(1+Trend)^D4684,"")</f>
        <v/>
      </c>
      <c r="N4684">
        <f>IF(B4684,EXP(SUMPRODUCT(LN(1+(EvEff-1)*INDEX(Affected,0,C4684)*EXP(-((E4684-EvCenter)^2)/(2*EvSigma^2))))),"")</f>
        <v/>
      </c>
      <c r="O4684">
        <f>IF(B4684,ROUND(MAX(0,J4684*K4684*L4684*M4684*N4684),2),"")</f>
        <v/>
      </c>
    </row>
    <row r="4685">
      <c r="A4685" t="n">
        <v>4684</v>
      </c>
      <c r="B4685">
        <f>A4685&lt;=MineCount*Days</f>
        <v/>
      </c>
      <c r="C4685">
        <f>IF(B4685,INT((A4685-1)/Days)+1,"")</f>
        <v/>
      </c>
      <c r="D4685">
        <f>IF(B4685,MOD(A4685-1,Days),"")</f>
        <v/>
      </c>
      <c r="E4685" s="16">
        <f>IF(B4685,StartDate+D4685,"")</f>
        <v/>
      </c>
      <c r="F4685">
        <f>IF(B4685,MAX(MOD(SIN(Seed*0.1373+C4685*12.9898+D4685*78.233)*43758.5453,1),1E-9),"")</f>
        <v/>
      </c>
      <c r="G4685">
        <f>IF(B4685,MOD(SIN(Seed*0.5917+C4685*39.3468+D4685*11.135)*24634.6345,1),"")</f>
        <v/>
      </c>
      <c r="H4685">
        <f>IF(B4685,SQRT(-2*LN(F4685))*COS(2*PI()*G4685),"")</f>
        <v/>
      </c>
      <c r="I4685">
        <f>IF(B4685,IF(D4685=0,H4685,Rho*I4684+SQRT(1-Rho^2)*H4685),"")</f>
        <v/>
      </c>
      <c r="J4685">
        <f>IF(B4685,IF(Dist="Normal",DistA+DistB*I4685,DistA+(DistB-DistA)*NORMSDIST(I4685)),"")</f>
        <v/>
      </c>
      <c r="K4685">
        <f>IF(B4685,INDEX(MineScale,C4685),"")</f>
        <v/>
      </c>
      <c r="L4685">
        <f>IF(B4685,INDEX(Dow,1,WEEKDAY(E4685,2)),"")</f>
        <v/>
      </c>
      <c r="M4685">
        <f>IF(B4685,(1+Trend)^D4685,"")</f>
        <v/>
      </c>
      <c r="N4685">
        <f>IF(B4685,EXP(SUMPRODUCT(LN(1+(EvEff-1)*INDEX(Affected,0,C4685)*EXP(-((E4685-EvCenter)^2)/(2*EvSigma^2))))),"")</f>
        <v/>
      </c>
      <c r="O4685">
        <f>IF(B4685,ROUND(MAX(0,J4685*K4685*L4685*M4685*N4685),2),"")</f>
        <v/>
      </c>
    </row>
    <row r="4686">
      <c r="A4686" t="n">
        <v>4685</v>
      </c>
      <c r="B4686">
        <f>A4686&lt;=MineCount*Days</f>
        <v/>
      </c>
      <c r="C4686">
        <f>IF(B4686,INT((A4686-1)/Days)+1,"")</f>
        <v/>
      </c>
      <c r="D4686">
        <f>IF(B4686,MOD(A4686-1,Days),"")</f>
        <v/>
      </c>
      <c r="E4686" s="16">
        <f>IF(B4686,StartDate+D4686,"")</f>
        <v/>
      </c>
      <c r="F4686">
        <f>IF(B4686,MAX(MOD(SIN(Seed*0.1373+C4686*12.9898+D4686*78.233)*43758.5453,1),1E-9),"")</f>
        <v/>
      </c>
      <c r="G4686">
        <f>IF(B4686,MOD(SIN(Seed*0.5917+C4686*39.3468+D4686*11.135)*24634.6345,1),"")</f>
        <v/>
      </c>
      <c r="H4686">
        <f>IF(B4686,SQRT(-2*LN(F4686))*COS(2*PI()*G4686),"")</f>
        <v/>
      </c>
      <c r="I4686">
        <f>IF(B4686,IF(D4686=0,H4686,Rho*I4685+SQRT(1-Rho^2)*H4686),"")</f>
        <v/>
      </c>
      <c r="J4686">
        <f>IF(B4686,IF(Dist="Normal",DistA+DistB*I4686,DistA+(DistB-DistA)*NORMSDIST(I4686)),"")</f>
        <v/>
      </c>
      <c r="K4686">
        <f>IF(B4686,INDEX(MineScale,C4686),"")</f>
        <v/>
      </c>
      <c r="L4686">
        <f>IF(B4686,INDEX(Dow,1,WEEKDAY(E4686,2)),"")</f>
        <v/>
      </c>
      <c r="M4686">
        <f>IF(B4686,(1+Trend)^D4686,"")</f>
        <v/>
      </c>
      <c r="N4686">
        <f>IF(B4686,EXP(SUMPRODUCT(LN(1+(EvEff-1)*INDEX(Affected,0,C4686)*EXP(-((E4686-EvCenter)^2)/(2*EvSigma^2))))),"")</f>
        <v/>
      </c>
      <c r="O4686">
        <f>IF(B4686,ROUND(MAX(0,J4686*K4686*L4686*M4686*N4686),2),"")</f>
        <v/>
      </c>
    </row>
    <row r="4687">
      <c r="A4687" t="n">
        <v>4686</v>
      </c>
      <c r="B4687">
        <f>A4687&lt;=MineCount*Days</f>
        <v/>
      </c>
      <c r="C4687">
        <f>IF(B4687,INT((A4687-1)/Days)+1,"")</f>
        <v/>
      </c>
      <c r="D4687">
        <f>IF(B4687,MOD(A4687-1,Days),"")</f>
        <v/>
      </c>
      <c r="E4687" s="16">
        <f>IF(B4687,StartDate+D4687,"")</f>
        <v/>
      </c>
      <c r="F4687">
        <f>IF(B4687,MAX(MOD(SIN(Seed*0.1373+C4687*12.9898+D4687*78.233)*43758.5453,1),1E-9),"")</f>
        <v/>
      </c>
      <c r="G4687">
        <f>IF(B4687,MOD(SIN(Seed*0.5917+C4687*39.3468+D4687*11.135)*24634.6345,1),"")</f>
        <v/>
      </c>
      <c r="H4687">
        <f>IF(B4687,SQRT(-2*LN(F4687))*COS(2*PI()*G4687),"")</f>
        <v/>
      </c>
      <c r="I4687">
        <f>IF(B4687,IF(D4687=0,H4687,Rho*I4686+SQRT(1-Rho^2)*H4687),"")</f>
        <v/>
      </c>
      <c r="J4687">
        <f>IF(B4687,IF(Dist="Normal",DistA+DistB*I4687,DistA+(DistB-DistA)*NORMSDIST(I4687)),"")</f>
        <v/>
      </c>
      <c r="K4687">
        <f>IF(B4687,INDEX(MineScale,C4687),"")</f>
        <v/>
      </c>
      <c r="L4687">
        <f>IF(B4687,INDEX(Dow,1,WEEKDAY(E4687,2)),"")</f>
        <v/>
      </c>
      <c r="M4687">
        <f>IF(B4687,(1+Trend)^D4687,"")</f>
        <v/>
      </c>
      <c r="N4687">
        <f>IF(B4687,EXP(SUMPRODUCT(LN(1+(EvEff-1)*INDEX(Affected,0,C4687)*EXP(-((E4687-EvCenter)^2)/(2*EvSigma^2))))),"")</f>
        <v/>
      </c>
      <c r="O4687">
        <f>IF(B4687,ROUND(MAX(0,J4687*K4687*L4687*M4687*N4687),2),"")</f>
        <v/>
      </c>
    </row>
    <row r="4688">
      <c r="A4688" t="n">
        <v>4687</v>
      </c>
      <c r="B4688">
        <f>A4688&lt;=MineCount*Days</f>
        <v/>
      </c>
      <c r="C4688">
        <f>IF(B4688,INT((A4688-1)/Days)+1,"")</f>
        <v/>
      </c>
      <c r="D4688">
        <f>IF(B4688,MOD(A4688-1,Days),"")</f>
        <v/>
      </c>
      <c r="E4688" s="16">
        <f>IF(B4688,StartDate+D4688,"")</f>
        <v/>
      </c>
      <c r="F4688">
        <f>IF(B4688,MAX(MOD(SIN(Seed*0.1373+C4688*12.9898+D4688*78.233)*43758.5453,1),1E-9),"")</f>
        <v/>
      </c>
      <c r="G4688">
        <f>IF(B4688,MOD(SIN(Seed*0.5917+C4688*39.3468+D4688*11.135)*24634.6345,1),"")</f>
        <v/>
      </c>
      <c r="H4688">
        <f>IF(B4688,SQRT(-2*LN(F4688))*COS(2*PI()*G4688),"")</f>
        <v/>
      </c>
      <c r="I4688">
        <f>IF(B4688,IF(D4688=0,H4688,Rho*I4687+SQRT(1-Rho^2)*H4688),"")</f>
        <v/>
      </c>
      <c r="J4688">
        <f>IF(B4688,IF(Dist="Normal",DistA+DistB*I4688,DistA+(DistB-DistA)*NORMSDIST(I4688)),"")</f>
        <v/>
      </c>
      <c r="K4688">
        <f>IF(B4688,INDEX(MineScale,C4688),"")</f>
        <v/>
      </c>
      <c r="L4688">
        <f>IF(B4688,INDEX(Dow,1,WEEKDAY(E4688,2)),"")</f>
        <v/>
      </c>
      <c r="M4688">
        <f>IF(B4688,(1+Trend)^D4688,"")</f>
        <v/>
      </c>
      <c r="N4688">
        <f>IF(B4688,EXP(SUMPRODUCT(LN(1+(EvEff-1)*INDEX(Affected,0,C4688)*EXP(-((E4688-EvCenter)^2)/(2*EvSigma^2))))),"")</f>
        <v/>
      </c>
      <c r="O4688">
        <f>IF(B4688,ROUND(MAX(0,J4688*K4688*L4688*M4688*N4688),2),"")</f>
        <v/>
      </c>
    </row>
    <row r="4689">
      <c r="A4689" t="n">
        <v>4688</v>
      </c>
      <c r="B4689">
        <f>A4689&lt;=MineCount*Days</f>
        <v/>
      </c>
      <c r="C4689">
        <f>IF(B4689,INT((A4689-1)/Days)+1,"")</f>
        <v/>
      </c>
      <c r="D4689">
        <f>IF(B4689,MOD(A4689-1,Days),"")</f>
        <v/>
      </c>
      <c r="E4689" s="16">
        <f>IF(B4689,StartDate+D4689,"")</f>
        <v/>
      </c>
      <c r="F4689">
        <f>IF(B4689,MAX(MOD(SIN(Seed*0.1373+C4689*12.9898+D4689*78.233)*43758.5453,1),1E-9),"")</f>
        <v/>
      </c>
      <c r="G4689">
        <f>IF(B4689,MOD(SIN(Seed*0.5917+C4689*39.3468+D4689*11.135)*24634.6345,1),"")</f>
        <v/>
      </c>
      <c r="H4689">
        <f>IF(B4689,SQRT(-2*LN(F4689))*COS(2*PI()*G4689),"")</f>
        <v/>
      </c>
      <c r="I4689">
        <f>IF(B4689,IF(D4689=0,H4689,Rho*I4688+SQRT(1-Rho^2)*H4689),"")</f>
        <v/>
      </c>
      <c r="J4689">
        <f>IF(B4689,IF(Dist="Normal",DistA+DistB*I4689,DistA+(DistB-DistA)*NORMSDIST(I4689)),"")</f>
        <v/>
      </c>
      <c r="K4689">
        <f>IF(B4689,INDEX(MineScale,C4689),"")</f>
        <v/>
      </c>
      <c r="L4689">
        <f>IF(B4689,INDEX(Dow,1,WEEKDAY(E4689,2)),"")</f>
        <v/>
      </c>
      <c r="M4689">
        <f>IF(B4689,(1+Trend)^D4689,"")</f>
        <v/>
      </c>
      <c r="N4689">
        <f>IF(B4689,EXP(SUMPRODUCT(LN(1+(EvEff-1)*INDEX(Affected,0,C4689)*EXP(-((E4689-EvCenter)^2)/(2*EvSigma^2))))),"")</f>
        <v/>
      </c>
      <c r="O4689">
        <f>IF(B4689,ROUND(MAX(0,J4689*K4689*L4689*M4689*N4689),2),"")</f>
        <v/>
      </c>
    </row>
    <row r="4690">
      <c r="A4690" t="n">
        <v>4689</v>
      </c>
      <c r="B4690">
        <f>A4690&lt;=MineCount*Days</f>
        <v/>
      </c>
      <c r="C4690">
        <f>IF(B4690,INT((A4690-1)/Days)+1,"")</f>
        <v/>
      </c>
      <c r="D4690">
        <f>IF(B4690,MOD(A4690-1,Days),"")</f>
        <v/>
      </c>
      <c r="E4690" s="16">
        <f>IF(B4690,StartDate+D4690,"")</f>
        <v/>
      </c>
      <c r="F4690">
        <f>IF(B4690,MAX(MOD(SIN(Seed*0.1373+C4690*12.9898+D4690*78.233)*43758.5453,1),1E-9),"")</f>
        <v/>
      </c>
      <c r="G4690">
        <f>IF(B4690,MOD(SIN(Seed*0.5917+C4690*39.3468+D4690*11.135)*24634.6345,1),"")</f>
        <v/>
      </c>
      <c r="H4690">
        <f>IF(B4690,SQRT(-2*LN(F4690))*COS(2*PI()*G4690),"")</f>
        <v/>
      </c>
      <c r="I4690">
        <f>IF(B4690,IF(D4690=0,H4690,Rho*I4689+SQRT(1-Rho^2)*H4690),"")</f>
        <v/>
      </c>
      <c r="J4690">
        <f>IF(B4690,IF(Dist="Normal",DistA+DistB*I4690,DistA+(DistB-DistA)*NORMSDIST(I4690)),"")</f>
        <v/>
      </c>
      <c r="K4690">
        <f>IF(B4690,INDEX(MineScale,C4690),"")</f>
        <v/>
      </c>
      <c r="L4690">
        <f>IF(B4690,INDEX(Dow,1,WEEKDAY(E4690,2)),"")</f>
        <v/>
      </c>
      <c r="M4690">
        <f>IF(B4690,(1+Trend)^D4690,"")</f>
        <v/>
      </c>
      <c r="N4690">
        <f>IF(B4690,EXP(SUMPRODUCT(LN(1+(EvEff-1)*INDEX(Affected,0,C4690)*EXP(-((E4690-EvCenter)^2)/(2*EvSigma^2))))),"")</f>
        <v/>
      </c>
      <c r="O4690">
        <f>IF(B4690,ROUND(MAX(0,J4690*K4690*L4690*M4690*N4690),2),"")</f>
        <v/>
      </c>
    </row>
    <row r="4691">
      <c r="A4691" t="n">
        <v>4690</v>
      </c>
      <c r="B4691">
        <f>A4691&lt;=MineCount*Days</f>
        <v/>
      </c>
      <c r="C4691">
        <f>IF(B4691,INT((A4691-1)/Days)+1,"")</f>
        <v/>
      </c>
      <c r="D4691">
        <f>IF(B4691,MOD(A4691-1,Days),"")</f>
        <v/>
      </c>
      <c r="E4691" s="16">
        <f>IF(B4691,StartDate+D4691,"")</f>
        <v/>
      </c>
      <c r="F4691">
        <f>IF(B4691,MAX(MOD(SIN(Seed*0.1373+C4691*12.9898+D4691*78.233)*43758.5453,1),1E-9),"")</f>
        <v/>
      </c>
      <c r="G4691">
        <f>IF(B4691,MOD(SIN(Seed*0.5917+C4691*39.3468+D4691*11.135)*24634.6345,1),"")</f>
        <v/>
      </c>
      <c r="H4691">
        <f>IF(B4691,SQRT(-2*LN(F4691))*COS(2*PI()*G4691),"")</f>
        <v/>
      </c>
      <c r="I4691">
        <f>IF(B4691,IF(D4691=0,H4691,Rho*I4690+SQRT(1-Rho^2)*H4691),"")</f>
        <v/>
      </c>
      <c r="J4691">
        <f>IF(B4691,IF(Dist="Normal",DistA+DistB*I4691,DistA+(DistB-DistA)*NORMSDIST(I4691)),"")</f>
        <v/>
      </c>
      <c r="K4691">
        <f>IF(B4691,INDEX(MineScale,C4691),"")</f>
        <v/>
      </c>
      <c r="L4691">
        <f>IF(B4691,INDEX(Dow,1,WEEKDAY(E4691,2)),"")</f>
        <v/>
      </c>
      <c r="M4691">
        <f>IF(B4691,(1+Trend)^D4691,"")</f>
        <v/>
      </c>
      <c r="N4691">
        <f>IF(B4691,EXP(SUMPRODUCT(LN(1+(EvEff-1)*INDEX(Affected,0,C4691)*EXP(-((E4691-EvCenter)^2)/(2*EvSigma^2))))),"")</f>
        <v/>
      </c>
      <c r="O4691">
        <f>IF(B4691,ROUND(MAX(0,J4691*K4691*L4691*M4691*N4691),2),"")</f>
        <v/>
      </c>
    </row>
    <row r="4692">
      <c r="A4692" t="n">
        <v>4691</v>
      </c>
      <c r="B4692">
        <f>A4692&lt;=MineCount*Days</f>
        <v/>
      </c>
      <c r="C4692">
        <f>IF(B4692,INT((A4692-1)/Days)+1,"")</f>
        <v/>
      </c>
      <c r="D4692">
        <f>IF(B4692,MOD(A4692-1,Days),"")</f>
        <v/>
      </c>
      <c r="E4692" s="16">
        <f>IF(B4692,StartDate+D4692,"")</f>
        <v/>
      </c>
      <c r="F4692">
        <f>IF(B4692,MAX(MOD(SIN(Seed*0.1373+C4692*12.9898+D4692*78.233)*43758.5453,1),1E-9),"")</f>
        <v/>
      </c>
      <c r="G4692">
        <f>IF(B4692,MOD(SIN(Seed*0.5917+C4692*39.3468+D4692*11.135)*24634.6345,1),"")</f>
        <v/>
      </c>
      <c r="H4692">
        <f>IF(B4692,SQRT(-2*LN(F4692))*COS(2*PI()*G4692),"")</f>
        <v/>
      </c>
      <c r="I4692">
        <f>IF(B4692,IF(D4692=0,H4692,Rho*I4691+SQRT(1-Rho^2)*H4692),"")</f>
        <v/>
      </c>
      <c r="J4692">
        <f>IF(B4692,IF(Dist="Normal",DistA+DistB*I4692,DistA+(DistB-DistA)*NORMSDIST(I4692)),"")</f>
        <v/>
      </c>
      <c r="K4692">
        <f>IF(B4692,INDEX(MineScale,C4692),"")</f>
        <v/>
      </c>
      <c r="L4692">
        <f>IF(B4692,INDEX(Dow,1,WEEKDAY(E4692,2)),"")</f>
        <v/>
      </c>
      <c r="M4692">
        <f>IF(B4692,(1+Trend)^D4692,"")</f>
        <v/>
      </c>
      <c r="N4692">
        <f>IF(B4692,EXP(SUMPRODUCT(LN(1+(EvEff-1)*INDEX(Affected,0,C4692)*EXP(-((E4692-EvCenter)^2)/(2*EvSigma^2))))),"")</f>
        <v/>
      </c>
      <c r="O4692">
        <f>IF(B4692,ROUND(MAX(0,J4692*K4692*L4692*M4692*N4692),2),"")</f>
        <v/>
      </c>
    </row>
    <row r="4693">
      <c r="A4693" t="n">
        <v>4692</v>
      </c>
      <c r="B4693">
        <f>A4693&lt;=MineCount*Days</f>
        <v/>
      </c>
      <c r="C4693">
        <f>IF(B4693,INT((A4693-1)/Days)+1,"")</f>
        <v/>
      </c>
      <c r="D4693">
        <f>IF(B4693,MOD(A4693-1,Days),"")</f>
        <v/>
      </c>
      <c r="E4693" s="16">
        <f>IF(B4693,StartDate+D4693,"")</f>
        <v/>
      </c>
      <c r="F4693">
        <f>IF(B4693,MAX(MOD(SIN(Seed*0.1373+C4693*12.9898+D4693*78.233)*43758.5453,1),1E-9),"")</f>
        <v/>
      </c>
      <c r="G4693">
        <f>IF(B4693,MOD(SIN(Seed*0.5917+C4693*39.3468+D4693*11.135)*24634.6345,1),"")</f>
        <v/>
      </c>
      <c r="H4693">
        <f>IF(B4693,SQRT(-2*LN(F4693))*COS(2*PI()*G4693),"")</f>
        <v/>
      </c>
      <c r="I4693">
        <f>IF(B4693,IF(D4693=0,H4693,Rho*I4692+SQRT(1-Rho^2)*H4693),"")</f>
        <v/>
      </c>
      <c r="J4693">
        <f>IF(B4693,IF(Dist="Normal",DistA+DistB*I4693,DistA+(DistB-DistA)*NORMSDIST(I4693)),"")</f>
        <v/>
      </c>
      <c r="K4693">
        <f>IF(B4693,INDEX(MineScale,C4693),"")</f>
        <v/>
      </c>
      <c r="L4693">
        <f>IF(B4693,INDEX(Dow,1,WEEKDAY(E4693,2)),"")</f>
        <v/>
      </c>
      <c r="M4693">
        <f>IF(B4693,(1+Trend)^D4693,"")</f>
        <v/>
      </c>
      <c r="N4693">
        <f>IF(B4693,EXP(SUMPRODUCT(LN(1+(EvEff-1)*INDEX(Affected,0,C4693)*EXP(-((E4693-EvCenter)^2)/(2*EvSigma^2))))),"")</f>
        <v/>
      </c>
      <c r="O4693">
        <f>IF(B4693,ROUND(MAX(0,J4693*K4693*L4693*M4693*N4693),2),"")</f>
        <v/>
      </c>
    </row>
    <row r="4694">
      <c r="A4694" t="n">
        <v>4693</v>
      </c>
      <c r="B4694">
        <f>A4694&lt;=MineCount*Days</f>
        <v/>
      </c>
      <c r="C4694">
        <f>IF(B4694,INT((A4694-1)/Days)+1,"")</f>
        <v/>
      </c>
      <c r="D4694">
        <f>IF(B4694,MOD(A4694-1,Days),"")</f>
        <v/>
      </c>
      <c r="E4694" s="16">
        <f>IF(B4694,StartDate+D4694,"")</f>
        <v/>
      </c>
      <c r="F4694">
        <f>IF(B4694,MAX(MOD(SIN(Seed*0.1373+C4694*12.9898+D4694*78.233)*43758.5453,1),1E-9),"")</f>
        <v/>
      </c>
      <c r="G4694">
        <f>IF(B4694,MOD(SIN(Seed*0.5917+C4694*39.3468+D4694*11.135)*24634.6345,1),"")</f>
        <v/>
      </c>
      <c r="H4694">
        <f>IF(B4694,SQRT(-2*LN(F4694))*COS(2*PI()*G4694),"")</f>
        <v/>
      </c>
      <c r="I4694">
        <f>IF(B4694,IF(D4694=0,H4694,Rho*I4693+SQRT(1-Rho^2)*H4694),"")</f>
        <v/>
      </c>
      <c r="J4694">
        <f>IF(B4694,IF(Dist="Normal",DistA+DistB*I4694,DistA+(DistB-DistA)*NORMSDIST(I4694)),"")</f>
        <v/>
      </c>
      <c r="K4694">
        <f>IF(B4694,INDEX(MineScale,C4694),"")</f>
        <v/>
      </c>
      <c r="L4694">
        <f>IF(B4694,INDEX(Dow,1,WEEKDAY(E4694,2)),"")</f>
        <v/>
      </c>
      <c r="M4694">
        <f>IF(B4694,(1+Trend)^D4694,"")</f>
        <v/>
      </c>
      <c r="N4694">
        <f>IF(B4694,EXP(SUMPRODUCT(LN(1+(EvEff-1)*INDEX(Affected,0,C4694)*EXP(-((E4694-EvCenter)^2)/(2*EvSigma^2))))),"")</f>
        <v/>
      </c>
      <c r="O4694">
        <f>IF(B4694,ROUND(MAX(0,J4694*K4694*L4694*M4694*N4694),2),"")</f>
        <v/>
      </c>
    </row>
    <row r="4695">
      <c r="A4695" t="n">
        <v>4694</v>
      </c>
      <c r="B4695">
        <f>A4695&lt;=MineCount*Days</f>
        <v/>
      </c>
      <c r="C4695">
        <f>IF(B4695,INT((A4695-1)/Days)+1,"")</f>
        <v/>
      </c>
      <c r="D4695">
        <f>IF(B4695,MOD(A4695-1,Days),"")</f>
        <v/>
      </c>
      <c r="E4695" s="16">
        <f>IF(B4695,StartDate+D4695,"")</f>
        <v/>
      </c>
      <c r="F4695">
        <f>IF(B4695,MAX(MOD(SIN(Seed*0.1373+C4695*12.9898+D4695*78.233)*43758.5453,1),1E-9),"")</f>
        <v/>
      </c>
      <c r="G4695">
        <f>IF(B4695,MOD(SIN(Seed*0.5917+C4695*39.3468+D4695*11.135)*24634.6345,1),"")</f>
        <v/>
      </c>
      <c r="H4695">
        <f>IF(B4695,SQRT(-2*LN(F4695))*COS(2*PI()*G4695),"")</f>
        <v/>
      </c>
      <c r="I4695">
        <f>IF(B4695,IF(D4695=0,H4695,Rho*I4694+SQRT(1-Rho^2)*H4695),"")</f>
        <v/>
      </c>
      <c r="J4695">
        <f>IF(B4695,IF(Dist="Normal",DistA+DistB*I4695,DistA+(DistB-DistA)*NORMSDIST(I4695)),"")</f>
        <v/>
      </c>
      <c r="K4695">
        <f>IF(B4695,INDEX(MineScale,C4695),"")</f>
        <v/>
      </c>
      <c r="L4695">
        <f>IF(B4695,INDEX(Dow,1,WEEKDAY(E4695,2)),"")</f>
        <v/>
      </c>
      <c r="M4695">
        <f>IF(B4695,(1+Trend)^D4695,"")</f>
        <v/>
      </c>
      <c r="N4695">
        <f>IF(B4695,EXP(SUMPRODUCT(LN(1+(EvEff-1)*INDEX(Affected,0,C4695)*EXP(-((E4695-EvCenter)^2)/(2*EvSigma^2))))),"")</f>
        <v/>
      </c>
      <c r="O4695">
        <f>IF(B4695,ROUND(MAX(0,J4695*K4695*L4695*M4695*N4695),2),"")</f>
        <v/>
      </c>
    </row>
    <row r="4696">
      <c r="A4696" t="n">
        <v>4695</v>
      </c>
      <c r="B4696">
        <f>A4696&lt;=MineCount*Days</f>
        <v/>
      </c>
      <c r="C4696">
        <f>IF(B4696,INT((A4696-1)/Days)+1,"")</f>
        <v/>
      </c>
      <c r="D4696">
        <f>IF(B4696,MOD(A4696-1,Days),"")</f>
        <v/>
      </c>
      <c r="E4696" s="16">
        <f>IF(B4696,StartDate+D4696,"")</f>
        <v/>
      </c>
      <c r="F4696">
        <f>IF(B4696,MAX(MOD(SIN(Seed*0.1373+C4696*12.9898+D4696*78.233)*43758.5453,1),1E-9),"")</f>
        <v/>
      </c>
      <c r="G4696">
        <f>IF(B4696,MOD(SIN(Seed*0.5917+C4696*39.3468+D4696*11.135)*24634.6345,1),"")</f>
        <v/>
      </c>
      <c r="H4696">
        <f>IF(B4696,SQRT(-2*LN(F4696))*COS(2*PI()*G4696),"")</f>
        <v/>
      </c>
      <c r="I4696">
        <f>IF(B4696,IF(D4696=0,H4696,Rho*I4695+SQRT(1-Rho^2)*H4696),"")</f>
        <v/>
      </c>
      <c r="J4696">
        <f>IF(B4696,IF(Dist="Normal",DistA+DistB*I4696,DistA+(DistB-DistA)*NORMSDIST(I4696)),"")</f>
        <v/>
      </c>
      <c r="K4696">
        <f>IF(B4696,INDEX(MineScale,C4696),"")</f>
        <v/>
      </c>
      <c r="L4696">
        <f>IF(B4696,INDEX(Dow,1,WEEKDAY(E4696,2)),"")</f>
        <v/>
      </c>
      <c r="M4696">
        <f>IF(B4696,(1+Trend)^D4696,"")</f>
        <v/>
      </c>
      <c r="N4696">
        <f>IF(B4696,EXP(SUMPRODUCT(LN(1+(EvEff-1)*INDEX(Affected,0,C4696)*EXP(-((E4696-EvCenter)^2)/(2*EvSigma^2))))),"")</f>
        <v/>
      </c>
      <c r="O4696">
        <f>IF(B4696,ROUND(MAX(0,J4696*K4696*L4696*M4696*N4696),2),"")</f>
        <v/>
      </c>
    </row>
    <row r="4697">
      <c r="A4697" t="n">
        <v>4696</v>
      </c>
      <c r="B4697">
        <f>A4697&lt;=MineCount*Days</f>
        <v/>
      </c>
      <c r="C4697">
        <f>IF(B4697,INT((A4697-1)/Days)+1,"")</f>
        <v/>
      </c>
      <c r="D4697">
        <f>IF(B4697,MOD(A4697-1,Days),"")</f>
        <v/>
      </c>
      <c r="E4697" s="16">
        <f>IF(B4697,StartDate+D4697,"")</f>
        <v/>
      </c>
      <c r="F4697">
        <f>IF(B4697,MAX(MOD(SIN(Seed*0.1373+C4697*12.9898+D4697*78.233)*43758.5453,1),1E-9),"")</f>
        <v/>
      </c>
      <c r="G4697">
        <f>IF(B4697,MOD(SIN(Seed*0.5917+C4697*39.3468+D4697*11.135)*24634.6345,1),"")</f>
        <v/>
      </c>
      <c r="H4697">
        <f>IF(B4697,SQRT(-2*LN(F4697))*COS(2*PI()*G4697),"")</f>
        <v/>
      </c>
      <c r="I4697">
        <f>IF(B4697,IF(D4697=0,H4697,Rho*I4696+SQRT(1-Rho^2)*H4697),"")</f>
        <v/>
      </c>
      <c r="J4697">
        <f>IF(B4697,IF(Dist="Normal",DistA+DistB*I4697,DistA+(DistB-DistA)*NORMSDIST(I4697)),"")</f>
        <v/>
      </c>
      <c r="K4697">
        <f>IF(B4697,INDEX(MineScale,C4697),"")</f>
        <v/>
      </c>
      <c r="L4697">
        <f>IF(B4697,INDEX(Dow,1,WEEKDAY(E4697,2)),"")</f>
        <v/>
      </c>
      <c r="M4697">
        <f>IF(B4697,(1+Trend)^D4697,"")</f>
        <v/>
      </c>
      <c r="N4697">
        <f>IF(B4697,EXP(SUMPRODUCT(LN(1+(EvEff-1)*INDEX(Affected,0,C4697)*EXP(-((E4697-EvCenter)^2)/(2*EvSigma^2))))),"")</f>
        <v/>
      </c>
      <c r="O4697">
        <f>IF(B4697,ROUND(MAX(0,J4697*K4697*L4697*M4697*N4697),2),"")</f>
        <v/>
      </c>
    </row>
    <row r="4698">
      <c r="A4698" t="n">
        <v>4697</v>
      </c>
      <c r="B4698">
        <f>A4698&lt;=MineCount*Days</f>
        <v/>
      </c>
      <c r="C4698">
        <f>IF(B4698,INT((A4698-1)/Days)+1,"")</f>
        <v/>
      </c>
      <c r="D4698">
        <f>IF(B4698,MOD(A4698-1,Days),"")</f>
        <v/>
      </c>
      <c r="E4698" s="16">
        <f>IF(B4698,StartDate+D4698,"")</f>
        <v/>
      </c>
      <c r="F4698">
        <f>IF(B4698,MAX(MOD(SIN(Seed*0.1373+C4698*12.9898+D4698*78.233)*43758.5453,1),1E-9),"")</f>
        <v/>
      </c>
      <c r="G4698">
        <f>IF(B4698,MOD(SIN(Seed*0.5917+C4698*39.3468+D4698*11.135)*24634.6345,1),"")</f>
        <v/>
      </c>
      <c r="H4698">
        <f>IF(B4698,SQRT(-2*LN(F4698))*COS(2*PI()*G4698),"")</f>
        <v/>
      </c>
      <c r="I4698">
        <f>IF(B4698,IF(D4698=0,H4698,Rho*I4697+SQRT(1-Rho^2)*H4698),"")</f>
        <v/>
      </c>
      <c r="J4698">
        <f>IF(B4698,IF(Dist="Normal",DistA+DistB*I4698,DistA+(DistB-DistA)*NORMSDIST(I4698)),"")</f>
        <v/>
      </c>
      <c r="K4698">
        <f>IF(B4698,INDEX(MineScale,C4698),"")</f>
        <v/>
      </c>
      <c r="L4698">
        <f>IF(B4698,INDEX(Dow,1,WEEKDAY(E4698,2)),"")</f>
        <v/>
      </c>
      <c r="M4698">
        <f>IF(B4698,(1+Trend)^D4698,"")</f>
        <v/>
      </c>
      <c r="N4698">
        <f>IF(B4698,EXP(SUMPRODUCT(LN(1+(EvEff-1)*INDEX(Affected,0,C4698)*EXP(-((E4698-EvCenter)^2)/(2*EvSigma^2))))),"")</f>
        <v/>
      </c>
      <c r="O4698">
        <f>IF(B4698,ROUND(MAX(0,J4698*K4698*L4698*M4698*N4698),2),"")</f>
        <v/>
      </c>
    </row>
    <row r="4699">
      <c r="A4699" t="n">
        <v>4698</v>
      </c>
      <c r="B4699">
        <f>A4699&lt;=MineCount*Days</f>
        <v/>
      </c>
      <c r="C4699">
        <f>IF(B4699,INT((A4699-1)/Days)+1,"")</f>
        <v/>
      </c>
      <c r="D4699">
        <f>IF(B4699,MOD(A4699-1,Days),"")</f>
        <v/>
      </c>
      <c r="E4699" s="16">
        <f>IF(B4699,StartDate+D4699,"")</f>
        <v/>
      </c>
      <c r="F4699">
        <f>IF(B4699,MAX(MOD(SIN(Seed*0.1373+C4699*12.9898+D4699*78.233)*43758.5453,1),1E-9),"")</f>
        <v/>
      </c>
      <c r="G4699">
        <f>IF(B4699,MOD(SIN(Seed*0.5917+C4699*39.3468+D4699*11.135)*24634.6345,1),"")</f>
        <v/>
      </c>
      <c r="H4699">
        <f>IF(B4699,SQRT(-2*LN(F4699))*COS(2*PI()*G4699),"")</f>
        <v/>
      </c>
      <c r="I4699">
        <f>IF(B4699,IF(D4699=0,H4699,Rho*I4698+SQRT(1-Rho^2)*H4699),"")</f>
        <v/>
      </c>
      <c r="J4699">
        <f>IF(B4699,IF(Dist="Normal",DistA+DistB*I4699,DistA+(DistB-DistA)*NORMSDIST(I4699)),"")</f>
        <v/>
      </c>
      <c r="K4699">
        <f>IF(B4699,INDEX(MineScale,C4699),"")</f>
        <v/>
      </c>
      <c r="L4699">
        <f>IF(B4699,INDEX(Dow,1,WEEKDAY(E4699,2)),"")</f>
        <v/>
      </c>
      <c r="M4699">
        <f>IF(B4699,(1+Trend)^D4699,"")</f>
        <v/>
      </c>
      <c r="N4699">
        <f>IF(B4699,EXP(SUMPRODUCT(LN(1+(EvEff-1)*INDEX(Affected,0,C4699)*EXP(-((E4699-EvCenter)^2)/(2*EvSigma^2))))),"")</f>
        <v/>
      </c>
      <c r="O4699">
        <f>IF(B4699,ROUND(MAX(0,J4699*K4699*L4699*M4699*N4699),2),"")</f>
        <v/>
      </c>
    </row>
    <row r="4700">
      <c r="A4700" t="n">
        <v>4699</v>
      </c>
      <c r="B4700">
        <f>A4700&lt;=MineCount*Days</f>
        <v/>
      </c>
      <c r="C4700">
        <f>IF(B4700,INT((A4700-1)/Days)+1,"")</f>
        <v/>
      </c>
      <c r="D4700">
        <f>IF(B4700,MOD(A4700-1,Days),"")</f>
        <v/>
      </c>
      <c r="E4700" s="16">
        <f>IF(B4700,StartDate+D4700,"")</f>
        <v/>
      </c>
      <c r="F4700">
        <f>IF(B4700,MAX(MOD(SIN(Seed*0.1373+C4700*12.9898+D4700*78.233)*43758.5453,1),1E-9),"")</f>
        <v/>
      </c>
      <c r="G4700">
        <f>IF(B4700,MOD(SIN(Seed*0.5917+C4700*39.3468+D4700*11.135)*24634.6345,1),"")</f>
        <v/>
      </c>
      <c r="H4700">
        <f>IF(B4700,SQRT(-2*LN(F4700))*COS(2*PI()*G4700),"")</f>
        <v/>
      </c>
      <c r="I4700">
        <f>IF(B4700,IF(D4700=0,H4700,Rho*I4699+SQRT(1-Rho^2)*H4700),"")</f>
        <v/>
      </c>
      <c r="J4700">
        <f>IF(B4700,IF(Dist="Normal",DistA+DistB*I4700,DistA+(DistB-DistA)*NORMSDIST(I4700)),"")</f>
        <v/>
      </c>
      <c r="K4700">
        <f>IF(B4700,INDEX(MineScale,C4700),"")</f>
        <v/>
      </c>
      <c r="L4700">
        <f>IF(B4700,INDEX(Dow,1,WEEKDAY(E4700,2)),"")</f>
        <v/>
      </c>
      <c r="M4700">
        <f>IF(B4700,(1+Trend)^D4700,"")</f>
        <v/>
      </c>
      <c r="N4700">
        <f>IF(B4700,EXP(SUMPRODUCT(LN(1+(EvEff-1)*INDEX(Affected,0,C4700)*EXP(-((E4700-EvCenter)^2)/(2*EvSigma^2))))),"")</f>
        <v/>
      </c>
      <c r="O4700">
        <f>IF(B4700,ROUND(MAX(0,J4700*K4700*L4700*M4700*N4700),2),"")</f>
        <v/>
      </c>
    </row>
    <row r="4701">
      <c r="A4701" t="n">
        <v>4700</v>
      </c>
      <c r="B4701">
        <f>A4701&lt;=MineCount*Days</f>
        <v/>
      </c>
      <c r="C4701">
        <f>IF(B4701,INT((A4701-1)/Days)+1,"")</f>
        <v/>
      </c>
      <c r="D4701">
        <f>IF(B4701,MOD(A4701-1,Days),"")</f>
        <v/>
      </c>
      <c r="E4701" s="16">
        <f>IF(B4701,StartDate+D4701,"")</f>
        <v/>
      </c>
      <c r="F4701">
        <f>IF(B4701,MAX(MOD(SIN(Seed*0.1373+C4701*12.9898+D4701*78.233)*43758.5453,1),1E-9),"")</f>
        <v/>
      </c>
      <c r="G4701">
        <f>IF(B4701,MOD(SIN(Seed*0.5917+C4701*39.3468+D4701*11.135)*24634.6345,1),"")</f>
        <v/>
      </c>
      <c r="H4701">
        <f>IF(B4701,SQRT(-2*LN(F4701))*COS(2*PI()*G4701),"")</f>
        <v/>
      </c>
      <c r="I4701">
        <f>IF(B4701,IF(D4701=0,H4701,Rho*I4700+SQRT(1-Rho^2)*H4701),"")</f>
        <v/>
      </c>
      <c r="J4701">
        <f>IF(B4701,IF(Dist="Normal",DistA+DistB*I4701,DistA+(DistB-DistA)*NORMSDIST(I4701)),"")</f>
        <v/>
      </c>
      <c r="K4701">
        <f>IF(B4701,INDEX(MineScale,C4701),"")</f>
        <v/>
      </c>
      <c r="L4701">
        <f>IF(B4701,INDEX(Dow,1,WEEKDAY(E4701,2)),"")</f>
        <v/>
      </c>
      <c r="M4701">
        <f>IF(B4701,(1+Trend)^D4701,"")</f>
        <v/>
      </c>
      <c r="N4701">
        <f>IF(B4701,EXP(SUMPRODUCT(LN(1+(EvEff-1)*INDEX(Affected,0,C4701)*EXP(-((E4701-EvCenter)^2)/(2*EvSigma^2))))),"")</f>
        <v/>
      </c>
      <c r="O4701">
        <f>IF(B4701,ROUND(MAX(0,J4701*K4701*L4701*M4701*N4701),2),"")</f>
        <v/>
      </c>
    </row>
    <row r="4702">
      <c r="A4702" t="n">
        <v>4701</v>
      </c>
      <c r="B4702">
        <f>A4702&lt;=MineCount*Days</f>
        <v/>
      </c>
      <c r="C4702">
        <f>IF(B4702,INT((A4702-1)/Days)+1,"")</f>
        <v/>
      </c>
      <c r="D4702">
        <f>IF(B4702,MOD(A4702-1,Days),"")</f>
        <v/>
      </c>
      <c r="E4702" s="16">
        <f>IF(B4702,StartDate+D4702,"")</f>
        <v/>
      </c>
      <c r="F4702">
        <f>IF(B4702,MAX(MOD(SIN(Seed*0.1373+C4702*12.9898+D4702*78.233)*43758.5453,1),1E-9),"")</f>
        <v/>
      </c>
      <c r="G4702">
        <f>IF(B4702,MOD(SIN(Seed*0.5917+C4702*39.3468+D4702*11.135)*24634.6345,1),"")</f>
        <v/>
      </c>
      <c r="H4702">
        <f>IF(B4702,SQRT(-2*LN(F4702))*COS(2*PI()*G4702),"")</f>
        <v/>
      </c>
      <c r="I4702">
        <f>IF(B4702,IF(D4702=0,H4702,Rho*I4701+SQRT(1-Rho^2)*H4702),"")</f>
        <v/>
      </c>
      <c r="J4702">
        <f>IF(B4702,IF(Dist="Normal",DistA+DistB*I4702,DistA+(DistB-DistA)*NORMSDIST(I4702)),"")</f>
        <v/>
      </c>
      <c r="K4702">
        <f>IF(B4702,INDEX(MineScale,C4702),"")</f>
        <v/>
      </c>
      <c r="L4702">
        <f>IF(B4702,INDEX(Dow,1,WEEKDAY(E4702,2)),"")</f>
        <v/>
      </c>
      <c r="M4702">
        <f>IF(B4702,(1+Trend)^D4702,"")</f>
        <v/>
      </c>
      <c r="N4702">
        <f>IF(B4702,EXP(SUMPRODUCT(LN(1+(EvEff-1)*INDEX(Affected,0,C4702)*EXP(-((E4702-EvCenter)^2)/(2*EvSigma^2))))),"")</f>
        <v/>
      </c>
      <c r="O4702">
        <f>IF(B4702,ROUND(MAX(0,J4702*K4702*L4702*M4702*N4702),2),"")</f>
        <v/>
      </c>
    </row>
    <row r="4703">
      <c r="A4703" t="n">
        <v>4702</v>
      </c>
      <c r="B4703">
        <f>A4703&lt;=MineCount*Days</f>
        <v/>
      </c>
      <c r="C4703">
        <f>IF(B4703,INT((A4703-1)/Days)+1,"")</f>
        <v/>
      </c>
      <c r="D4703">
        <f>IF(B4703,MOD(A4703-1,Days),"")</f>
        <v/>
      </c>
      <c r="E4703" s="16">
        <f>IF(B4703,StartDate+D4703,"")</f>
        <v/>
      </c>
      <c r="F4703">
        <f>IF(B4703,MAX(MOD(SIN(Seed*0.1373+C4703*12.9898+D4703*78.233)*43758.5453,1),1E-9),"")</f>
        <v/>
      </c>
      <c r="G4703">
        <f>IF(B4703,MOD(SIN(Seed*0.5917+C4703*39.3468+D4703*11.135)*24634.6345,1),"")</f>
        <v/>
      </c>
      <c r="H4703">
        <f>IF(B4703,SQRT(-2*LN(F4703))*COS(2*PI()*G4703),"")</f>
        <v/>
      </c>
      <c r="I4703">
        <f>IF(B4703,IF(D4703=0,H4703,Rho*I4702+SQRT(1-Rho^2)*H4703),"")</f>
        <v/>
      </c>
      <c r="J4703">
        <f>IF(B4703,IF(Dist="Normal",DistA+DistB*I4703,DistA+(DistB-DistA)*NORMSDIST(I4703)),"")</f>
        <v/>
      </c>
      <c r="K4703">
        <f>IF(B4703,INDEX(MineScale,C4703),"")</f>
        <v/>
      </c>
      <c r="L4703">
        <f>IF(B4703,INDEX(Dow,1,WEEKDAY(E4703,2)),"")</f>
        <v/>
      </c>
      <c r="M4703">
        <f>IF(B4703,(1+Trend)^D4703,"")</f>
        <v/>
      </c>
      <c r="N4703">
        <f>IF(B4703,EXP(SUMPRODUCT(LN(1+(EvEff-1)*INDEX(Affected,0,C4703)*EXP(-((E4703-EvCenter)^2)/(2*EvSigma^2))))),"")</f>
        <v/>
      </c>
      <c r="O4703">
        <f>IF(B4703,ROUND(MAX(0,J4703*K4703*L4703*M4703*N4703),2),"")</f>
        <v/>
      </c>
    </row>
    <row r="4704">
      <c r="A4704" t="n">
        <v>4703</v>
      </c>
      <c r="B4704">
        <f>A4704&lt;=MineCount*Days</f>
        <v/>
      </c>
      <c r="C4704">
        <f>IF(B4704,INT((A4704-1)/Days)+1,"")</f>
        <v/>
      </c>
      <c r="D4704">
        <f>IF(B4704,MOD(A4704-1,Days),"")</f>
        <v/>
      </c>
      <c r="E4704" s="16">
        <f>IF(B4704,StartDate+D4704,"")</f>
        <v/>
      </c>
      <c r="F4704">
        <f>IF(B4704,MAX(MOD(SIN(Seed*0.1373+C4704*12.9898+D4704*78.233)*43758.5453,1),1E-9),"")</f>
        <v/>
      </c>
      <c r="G4704">
        <f>IF(B4704,MOD(SIN(Seed*0.5917+C4704*39.3468+D4704*11.135)*24634.6345,1),"")</f>
        <v/>
      </c>
      <c r="H4704">
        <f>IF(B4704,SQRT(-2*LN(F4704))*COS(2*PI()*G4704),"")</f>
        <v/>
      </c>
      <c r="I4704">
        <f>IF(B4704,IF(D4704=0,H4704,Rho*I4703+SQRT(1-Rho^2)*H4704),"")</f>
        <v/>
      </c>
      <c r="J4704">
        <f>IF(B4704,IF(Dist="Normal",DistA+DistB*I4704,DistA+(DistB-DistA)*NORMSDIST(I4704)),"")</f>
        <v/>
      </c>
      <c r="K4704">
        <f>IF(B4704,INDEX(MineScale,C4704),"")</f>
        <v/>
      </c>
      <c r="L4704">
        <f>IF(B4704,INDEX(Dow,1,WEEKDAY(E4704,2)),"")</f>
        <v/>
      </c>
      <c r="M4704">
        <f>IF(B4704,(1+Trend)^D4704,"")</f>
        <v/>
      </c>
      <c r="N4704">
        <f>IF(B4704,EXP(SUMPRODUCT(LN(1+(EvEff-1)*INDEX(Affected,0,C4704)*EXP(-((E4704-EvCenter)^2)/(2*EvSigma^2))))),"")</f>
        <v/>
      </c>
      <c r="O4704">
        <f>IF(B4704,ROUND(MAX(0,J4704*K4704*L4704*M4704*N4704),2),"")</f>
        <v/>
      </c>
    </row>
    <row r="4705">
      <c r="A4705" t="n">
        <v>4704</v>
      </c>
      <c r="B4705">
        <f>A4705&lt;=MineCount*Days</f>
        <v/>
      </c>
      <c r="C4705">
        <f>IF(B4705,INT((A4705-1)/Days)+1,"")</f>
        <v/>
      </c>
      <c r="D4705">
        <f>IF(B4705,MOD(A4705-1,Days),"")</f>
        <v/>
      </c>
      <c r="E4705" s="16">
        <f>IF(B4705,StartDate+D4705,"")</f>
        <v/>
      </c>
      <c r="F4705">
        <f>IF(B4705,MAX(MOD(SIN(Seed*0.1373+C4705*12.9898+D4705*78.233)*43758.5453,1),1E-9),"")</f>
        <v/>
      </c>
      <c r="G4705">
        <f>IF(B4705,MOD(SIN(Seed*0.5917+C4705*39.3468+D4705*11.135)*24634.6345,1),"")</f>
        <v/>
      </c>
      <c r="H4705">
        <f>IF(B4705,SQRT(-2*LN(F4705))*COS(2*PI()*G4705),"")</f>
        <v/>
      </c>
      <c r="I4705">
        <f>IF(B4705,IF(D4705=0,H4705,Rho*I4704+SQRT(1-Rho^2)*H4705),"")</f>
        <v/>
      </c>
      <c r="J4705">
        <f>IF(B4705,IF(Dist="Normal",DistA+DistB*I4705,DistA+(DistB-DistA)*NORMSDIST(I4705)),"")</f>
        <v/>
      </c>
      <c r="K4705">
        <f>IF(B4705,INDEX(MineScale,C4705),"")</f>
        <v/>
      </c>
      <c r="L4705">
        <f>IF(B4705,INDEX(Dow,1,WEEKDAY(E4705,2)),"")</f>
        <v/>
      </c>
      <c r="M4705">
        <f>IF(B4705,(1+Trend)^D4705,"")</f>
        <v/>
      </c>
      <c r="N4705">
        <f>IF(B4705,EXP(SUMPRODUCT(LN(1+(EvEff-1)*INDEX(Affected,0,C4705)*EXP(-((E4705-EvCenter)^2)/(2*EvSigma^2))))),"")</f>
        <v/>
      </c>
      <c r="O4705">
        <f>IF(B4705,ROUND(MAX(0,J4705*K4705*L4705*M4705*N4705),2),"")</f>
        <v/>
      </c>
    </row>
    <row r="4706">
      <c r="A4706" t="n">
        <v>4705</v>
      </c>
      <c r="B4706">
        <f>A4706&lt;=MineCount*Days</f>
        <v/>
      </c>
      <c r="C4706">
        <f>IF(B4706,INT((A4706-1)/Days)+1,"")</f>
        <v/>
      </c>
      <c r="D4706">
        <f>IF(B4706,MOD(A4706-1,Days),"")</f>
        <v/>
      </c>
      <c r="E4706" s="16">
        <f>IF(B4706,StartDate+D4706,"")</f>
        <v/>
      </c>
      <c r="F4706">
        <f>IF(B4706,MAX(MOD(SIN(Seed*0.1373+C4706*12.9898+D4706*78.233)*43758.5453,1),1E-9),"")</f>
        <v/>
      </c>
      <c r="G4706">
        <f>IF(B4706,MOD(SIN(Seed*0.5917+C4706*39.3468+D4706*11.135)*24634.6345,1),"")</f>
        <v/>
      </c>
      <c r="H4706">
        <f>IF(B4706,SQRT(-2*LN(F4706))*COS(2*PI()*G4706),"")</f>
        <v/>
      </c>
      <c r="I4706">
        <f>IF(B4706,IF(D4706=0,H4706,Rho*I4705+SQRT(1-Rho^2)*H4706),"")</f>
        <v/>
      </c>
      <c r="J4706">
        <f>IF(B4706,IF(Dist="Normal",DistA+DistB*I4706,DistA+(DistB-DistA)*NORMSDIST(I4706)),"")</f>
        <v/>
      </c>
      <c r="K4706">
        <f>IF(B4706,INDEX(MineScale,C4706),"")</f>
        <v/>
      </c>
      <c r="L4706">
        <f>IF(B4706,INDEX(Dow,1,WEEKDAY(E4706,2)),"")</f>
        <v/>
      </c>
      <c r="M4706">
        <f>IF(B4706,(1+Trend)^D4706,"")</f>
        <v/>
      </c>
      <c r="N4706">
        <f>IF(B4706,EXP(SUMPRODUCT(LN(1+(EvEff-1)*INDEX(Affected,0,C4706)*EXP(-((E4706-EvCenter)^2)/(2*EvSigma^2))))),"")</f>
        <v/>
      </c>
      <c r="O4706">
        <f>IF(B4706,ROUND(MAX(0,J4706*K4706*L4706*M4706*N4706),2),"")</f>
        <v/>
      </c>
    </row>
    <row r="4707">
      <c r="A4707" t="n">
        <v>4706</v>
      </c>
      <c r="B4707">
        <f>A4707&lt;=MineCount*Days</f>
        <v/>
      </c>
      <c r="C4707">
        <f>IF(B4707,INT((A4707-1)/Days)+1,"")</f>
        <v/>
      </c>
      <c r="D4707">
        <f>IF(B4707,MOD(A4707-1,Days),"")</f>
        <v/>
      </c>
      <c r="E4707" s="16">
        <f>IF(B4707,StartDate+D4707,"")</f>
        <v/>
      </c>
      <c r="F4707">
        <f>IF(B4707,MAX(MOD(SIN(Seed*0.1373+C4707*12.9898+D4707*78.233)*43758.5453,1),1E-9),"")</f>
        <v/>
      </c>
      <c r="G4707">
        <f>IF(B4707,MOD(SIN(Seed*0.5917+C4707*39.3468+D4707*11.135)*24634.6345,1),"")</f>
        <v/>
      </c>
      <c r="H4707">
        <f>IF(B4707,SQRT(-2*LN(F4707))*COS(2*PI()*G4707),"")</f>
        <v/>
      </c>
      <c r="I4707">
        <f>IF(B4707,IF(D4707=0,H4707,Rho*I4706+SQRT(1-Rho^2)*H4707),"")</f>
        <v/>
      </c>
      <c r="J4707">
        <f>IF(B4707,IF(Dist="Normal",DistA+DistB*I4707,DistA+(DistB-DistA)*NORMSDIST(I4707)),"")</f>
        <v/>
      </c>
      <c r="K4707">
        <f>IF(B4707,INDEX(MineScale,C4707),"")</f>
        <v/>
      </c>
      <c r="L4707">
        <f>IF(B4707,INDEX(Dow,1,WEEKDAY(E4707,2)),"")</f>
        <v/>
      </c>
      <c r="M4707">
        <f>IF(B4707,(1+Trend)^D4707,"")</f>
        <v/>
      </c>
      <c r="N4707">
        <f>IF(B4707,EXP(SUMPRODUCT(LN(1+(EvEff-1)*INDEX(Affected,0,C4707)*EXP(-((E4707-EvCenter)^2)/(2*EvSigma^2))))),"")</f>
        <v/>
      </c>
      <c r="O4707">
        <f>IF(B4707,ROUND(MAX(0,J4707*K4707*L4707*M4707*N4707),2),"")</f>
        <v/>
      </c>
    </row>
    <row r="4708">
      <c r="A4708" t="n">
        <v>4707</v>
      </c>
      <c r="B4708">
        <f>A4708&lt;=MineCount*Days</f>
        <v/>
      </c>
      <c r="C4708">
        <f>IF(B4708,INT((A4708-1)/Days)+1,"")</f>
        <v/>
      </c>
      <c r="D4708">
        <f>IF(B4708,MOD(A4708-1,Days),"")</f>
        <v/>
      </c>
      <c r="E4708" s="16">
        <f>IF(B4708,StartDate+D4708,"")</f>
        <v/>
      </c>
      <c r="F4708">
        <f>IF(B4708,MAX(MOD(SIN(Seed*0.1373+C4708*12.9898+D4708*78.233)*43758.5453,1),1E-9),"")</f>
        <v/>
      </c>
      <c r="G4708">
        <f>IF(B4708,MOD(SIN(Seed*0.5917+C4708*39.3468+D4708*11.135)*24634.6345,1),"")</f>
        <v/>
      </c>
      <c r="H4708">
        <f>IF(B4708,SQRT(-2*LN(F4708))*COS(2*PI()*G4708),"")</f>
        <v/>
      </c>
      <c r="I4708">
        <f>IF(B4708,IF(D4708=0,H4708,Rho*I4707+SQRT(1-Rho^2)*H4708),"")</f>
        <v/>
      </c>
      <c r="J4708">
        <f>IF(B4708,IF(Dist="Normal",DistA+DistB*I4708,DistA+(DistB-DistA)*NORMSDIST(I4708)),"")</f>
        <v/>
      </c>
      <c r="K4708">
        <f>IF(B4708,INDEX(MineScale,C4708),"")</f>
        <v/>
      </c>
      <c r="L4708">
        <f>IF(B4708,INDEX(Dow,1,WEEKDAY(E4708,2)),"")</f>
        <v/>
      </c>
      <c r="M4708">
        <f>IF(B4708,(1+Trend)^D4708,"")</f>
        <v/>
      </c>
      <c r="N4708">
        <f>IF(B4708,EXP(SUMPRODUCT(LN(1+(EvEff-1)*INDEX(Affected,0,C4708)*EXP(-((E4708-EvCenter)^2)/(2*EvSigma^2))))),"")</f>
        <v/>
      </c>
      <c r="O4708">
        <f>IF(B4708,ROUND(MAX(0,J4708*K4708*L4708*M4708*N4708),2),"")</f>
        <v/>
      </c>
    </row>
    <row r="4709">
      <c r="A4709" t="n">
        <v>4708</v>
      </c>
      <c r="B4709">
        <f>A4709&lt;=MineCount*Days</f>
        <v/>
      </c>
      <c r="C4709">
        <f>IF(B4709,INT((A4709-1)/Days)+1,"")</f>
        <v/>
      </c>
      <c r="D4709">
        <f>IF(B4709,MOD(A4709-1,Days),"")</f>
        <v/>
      </c>
      <c r="E4709" s="16">
        <f>IF(B4709,StartDate+D4709,"")</f>
        <v/>
      </c>
      <c r="F4709">
        <f>IF(B4709,MAX(MOD(SIN(Seed*0.1373+C4709*12.9898+D4709*78.233)*43758.5453,1),1E-9),"")</f>
        <v/>
      </c>
      <c r="G4709">
        <f>IF(B4709,MOD(SIN(Seed*0.5917+C4709*39.3468+D4709*11.135)*24634.6345,1),"")</f>
        <v/>
      </c>
      <c r="H4709">
        <f>IF(B4709,SQRT(-2*LN(F4709))*COS(2*PI()*G4709),"")</f>
        <v/>
      </c>
      <c r="I4709">
        <f>IF(B4709,IF(D4709=0,H4709,Rho*I4708+SQRT(1-Rho^2)*H4709),"")</f>
        <v/>
      </c>
      <c r="J4709">
        <f>IF(B4709,IF(Dist="Normal",DistA+DistB*I4709,DistA+(DistB-DistA)*NORMSDIST(I4709)),"")</f>
        <v/>
      </c>
      <c r="K4709">
        <f>IF(B4709,INDEX(MineScale,C4709),"")</f>
        <v/>
      </c>
      <c r="L4709">
        <f>IF(B4709,INDEX(Dow,1,WEEKDAY(E4709,2)),"")</f>
        <v/>
      </c>
      <c r="M4709">
        <f>IF(B4709,(1+Trend)^D4709,"")</f>
        <v/>
      </c>
      <c r="N4709">
        <f>IF(B4709,EXP(SUMPRODUCT(LN(1+(EvEff-1)*INDEX(Affected,0,C4709)*EXP(-((E4709-EvCenter)^2)/(2*EvSigma^2))))),"")</f>
        <v/>
      </c>
      <c r="O4709">
        <f>IF(B4709,ROUND(MAX(0,J4709*K4709*L4709*M4709*N4709),2),"")</f>
        <v/>
      </c>
    </row>
    <row r="4710">
      <c r="A4710" t="n">
        <v>4709</v>
      </c>
      <c r="B4710">
        <f>A4710&lt;=MineCount*Days</f>
        <v/>
      </c>
      <c r="C4710">
        <f>IF(B4710,INT((A4710-1)/Days)+1,"")</f>
        <v/>
      </c>
      <c r="D4710">
        <f>IF(B4710,MOD(A4710-1,Days),"")</f>
        <v/>
      </c>
      <c r="E4710" s="16">
        <f>IF(B4710,StartDate+D4710,"")</f>
        <v/>
      </c>
      <c r="F4710">
        <f>IF(B4710,MAX(MOD(SIN(Seed*0.1373+C4710*12.9898+D4710*78.233)*43758.5453,1),1E-9),"")</f>
        <v/>
      </c>
      <c r="G4710">
        <f>IF(B4710,MOD(SIN(Seed*0.5917+C4710*39.3468+D4710*11.135)*24634.6345,1),"")</f>
        <v/>
      </c>
      <c r="H4710">
        <f>IF(B4710,SQRT(-2*LN(F4710))*COS(2*PI()*G4710),"")</f>
        <v/>
      </c>
      <c r="I4710">
        <f>IF(B4710,IF(D4710=0,H4710,Rho*I4709+SQRT(1-Rho^2)*H4710),"")</f>
        <v/>
      </c>
      <c r="J4710">
        <f>IF(B4710,IF(Dist="Normal",DistA+DistB*I4710,DistA+(DistB-DistA)*NORMSDIST(I4710)),"")</f>
        <v/>
      </c>
      <c r="K4710">
        <f>IF(B4710,INDEX(MineScale,C4710),"")</f>
        <v/>
      </c>
      <c r="L4710">
        <f>IF(B4710,INDEX(Dow,1,WEEKDAY(E4710,2)),"")</f>
        <v/>
      </c>
      <c r="M4710">
        <f>IF(B4710,(1+Trend)^D4710,"")</f>
        <v/>
      </c>
      <c r="N4710">
        <f>IF(B4710,EXP(SUMPRODUCT(LN(1+(EvEff-1)*INDEX(Affected,0,C4710)*EXP(-((E4710-EvCenter)^2)/(2*EvSigma^2))))),"")</f>
        <v/>
      </c>
      <c r="O4710">
        <f>IF(B4710,ROUND(MAX(0,J4710*K4710*L4710*M4710*N4710),2),"")</f>
        <v/>
      </c>
    </row>
    <row r="4711">
      <c r="A4711" t="n">
        <v>4710</v>
      </c>
      <c r="B4711">
        <f>A4711&lt;=MineCount*Days</f>
        <v/>
      </c>
      <c r="C4711">
        <f>IF(B4711,INT((A4711-1)/Days)+1,"")</f>
        <v/>
      </c>
      <c r="D4711">
        <f>IF(B4711,MOD(A4711-1,Days),"")</f>
        <v/>
      </c>
      <c r="E4711" s="16">
        <f>IF(B4711,StartDate+D4711,"")</f>
        <v/>
      </c>
      <c r="F4711">
        <f>IF(B4711,MAX(MOD(SIN(Seed*0.1373+C4711*12.9898+D4711*78.233)*43758.5453,1),1E-9),"")</f>
        <v/>
      </c>
      <c r="G4711">
        <f>IF(B4711,MOD(SIN(Seed*0.5917+C4711*39.3468+D4711*11.135)*24634.6345,1),"")</f>
        <v/>
      </c>
      <c r="H4711">
        <f>IF(B4711,SQRT(-2*LN(F4711))*COS(2*PI()*G4711),"")</f>
        <v/>
      </c>
      <c r="I4711">
        <f>IF(B4711,IF(D4711=0,H4711,Rho*I4710+SQRT(1-Rho^2)*H4711),"")</f>
        <v/>
      </c>
      <c r="J4711">
        <f>IF(B4711,IF(Dist="Normal",DistA+DistB*I4711,DistA+(DistB-DistA)*NORMSDIST(I4711)),"")</f>
        <v/>
      </c>
      <c r="K4711">
        <f>IF(B4711,INDEX(MineScale,C4711),"")</f>
        <v/>
      </c>
      <c r="L4711">
        <f>IF(B4711,INDEX(Dow,1,WEEKDAY(E4711,2)),"")</f>
        <v/>
      </c>
      <c r="M4711">
        <f>IF(B4711,(1+Trend)^D4711,"")</f>
        <v/>
      </c>
      <c r="N4711">
        <f>IF(B4711,EXP(SUMPRODUCT(LN(1+(EvEff-1)*INDEX(Affected,0,C4711)*EXP(-((E4711-EvCenter)^2)/(2*EvSigma^2))))),"")</f>
        <v/>
      </c>
      <c r="O4711">
        <f>IF(B4711,ROUND(MAX(0,J4711*K4711*L4711*M4711*N4711),2),"")</f>
        <v/>
      </c>
    </row>
    <row r="4712">
      <c r="A4712" t="n">
        <v>4711</v>
      </c>
      <c r="B4712">
        <f>A4712&lt;=MineCount*Days</f>
        <v/>
      </c>
      <c r="C4712">
        <f>IF(B4712,INT((A4712-1)/Days)+1,"")</f>
        <v/>
      </c>
      <c r="D4712">
        <f>IF(B4712,MOD(A4712-1,Days),"")</f>
        <v/>
      </c>
      <c r="E4712" s="16">
        <f>IF(B4712,StartDate+D4712,"")</f>
        <v/>
      </c>
      <c r="F4712">
        <f>IF(B4712,MAX(MOD(SIN(Seed*0.1373+C4712*12.9898+D4712*78.233)*43758.5453,1),1E-9),"")</f>
        <v/>
      </c>
      <c r="G4712">
        <f>IF(B4712,MOD(SIN(Seed*0.5917+C4712*39.3468+D4712*11.135)*24634.6345,1),"")</f>
        <v/>
      </c>
      <c r="H4712">
        <f>IF(B4712,SQRT(-2*LN(F4712))*COS(2*PI()*G4712),"")</f>
        <v/>
      </c>
      <c r="I4712">
        <f>IF(B4712,IF(D4712=0,H4712,Rho*I4711+SQRT(1-Rho^2)*H4712),"")</f>
        <v/>
      </c>
      <c r="J4712">
        <f>IF(B4712,IF(Dist="Normal",DistA+DistB*I4712,DistA+(DistB-DistA)*NORMSDIST(I4712)),"")</f>
        <v/>
      </c>
      <c r="K4712">
        <f>IF(B4712,INDEX(MineScale,C4712),"")</f>
        <v/>
      </c>
      <c r="L4712">
        <f>IF(B4712,INDEX(Dow,1,WEEKDAY(E4712,2)),"")</f>
        <v/>
      </c>
      <c r="M4712">
        <f>IF(B4712,(1+Trend)^D4712,"")</f>
        <v/>
      </c>
      <c r="N4712">
        <f>IF(B4712,EXP(SUMPRODUCT(LN(1+(EvEff-1)*INDEX(Affected,0,C4712)*EXP(-((E4712-EvCenter)^2)/(2*EvSigma^2))))),"")</f>
        <v/>
      </c>
      <c r="O4712">
        <f>IF(B4712,ROUND(MAX(0,J4712*K4712*L4712*M4712*N4712),2),"")</f>
        <v/>
      </c>
    </row>
    <row r="4713">
      <c r="A4713" t="n">
        <v>4712</v>
      </c>
      <c r="B4713">
        <f>A4713&lt;=MineCount*Days</f>
        <v/>
      </c>
      <c r="C4713">
        <f>IF(B4713,INT((A4713-1)/Days)+1,"")</f>
        <v/>
      </c>
      <c r="D4713">
        <f>IF(B4713,MOD(A4713-1,Days),"")</f>
        <v/>
      </c>
      <c r="E4713" s="16">
        <f>IF(B4713,StartDate+D4713,"")</f>
        <v/>
      </c>
      <c r="F4713">
        <f>IF(B4713,MAX(MOD(SIN(Seed*0.1373+C4713*12.9898+D4713*78.233)*43758.5453,1),1E-9),"")</f>
        <v/>
      </c>
      <c r="G4713">
        <f>IF(B4713,MOD(SIN(Seed*0.5917+C4713*39.3468+D4713*11.135)*24634.6345,1),"")</f>
        <v/>
      </c>
      <c r="H4713">
        <f>IF(B4713,SQRT(-2*LN(F4713))*COS(2*PI()*G4713),"")</f>
        <v/>
      </c>
      <c r="I4713">
        <f>IF(B4713,IF(D4713=0,H4713,Rho*I4712+SQRT(1-Rho^2)*H4713),"")</f>
        <v/>
      </c>
      <c r="J4713">
        <f>IF(B4713,IF(Dist="Normal",DistA+DistB*I4713,DistA+(DistB-DistA)*NORMSDIST(I4713)),"")</f>
        <v/>
      </c>
      <c r="K4713">
        <f>IF(B4713,INDEX(MineScale,C4713),"")</f>
        <v/>
      </c>
      <c r="L4713">
        <f>IF(B4713,INDEX(Dow,1,WEEKDAY(E4713,2)),"")</f>
        <v/>
      </c>
      <c r="M4713">
        <f>IF(B4713,(1+Trend)^D4713,"")</f>
        <v/>
      </c>
      <c r="N4713">
        <f>IF(B4713,EXP(SUMPRODUCT(LN(1+(EvEff-1)*INDEX(Affected,0,C4713)*EXP(-((E4713-EvCenter)^2)/(2*EvSigma^2))))),"")</f>
        <v/>
      </c>
      <c r="O4713">
        <f>IF(B4713,ROUND(MAX(0,J4713*K4713*L4713*M4713*N4713),2),"")</f>
        <v/>
      </c>
    </row>
    <row r="4714">
      <c r="A4714" t="n">
        <v>4713</v>
      </c>
      <c r="B4714">
        <f>A4714&lt;=MineCount*Days</f>
        <v/>
      </c>
      <c r="C4714">
        <f>IF(B4714,INT((A4714-1)/Days)+1,"")</f>
        <v/>
      </c>
      <c r="D4714">
        <f>IF(B4714,MOD(A4714-1,Days),"")</f>
        <v/>
      </c>
      <c r="E4714" s="16">
        <f>IF(B4714,StartDate+D4714,"")</f>
        <v/>
      </c>
      <c r="F4714">
        <f>IF(B4714,MAX(MOD(SIN(Seed*0.1373+C4714*12.9898+D4714*78.233)*43758.5453,1),1E-9),"")</f>
        <v/>
      </c>
      <c r="G4714">
        <f>IF(B4714,MOD(SIN(Seed*0.5917+C4714*39.3468+D4714*11.135)*24634.6345,1),"")</f>
        <v/>
      </c>
      <c r="H4714">
        <f>IF(B4714,SQRT(-2*LN(F4714))*COS(2*PI()*G4714),"")</f>
        <v/>
      </c>
      <c r="I4714">
        <f>IF(B4714,IF(D4714=0,H4714,Rho*I4713+SQRT(1-Rho^2)*H4714),"")</f>
        <v/>
      </c>
      <c r="J4714">
        <f>IF(B4714,IF(Dist="Normal",DistA+DistB*I4714,DistA+(DistB-DistA)*NORMSDIST(I4714)),"")</f>
        <v/>
      </c>
      <c r="K4714">
        <f>IF(B4714,INDEX(MineScale,C4714),"")</f>
        <v/>
      </c>
      <c r="L4714">
        <f>IF(B4714,INDEX(Dow,1,WEEKDAY(E4714,2)),"")</f>
        <v/>
      </c>
      <c r="M4714">
        <f>IF(B4714,(1+Trend)^D4714,"")</f>
        <v/>
      </c>
      <c r="N4714">
        <f>IF(B4714,EXP(SUMPRODUCT(LN(1+(EvEff-1)*INDEX(Affected,0,C4714)*EXP(-((E4714-EvCenter)^2)/(2*EvSigma^2))))),"")</f>
        <v/>
      </c>
      <c r="O4714">
        <f>IF(B4714,ROUND(MAX(0,J4714*K4714*L4714*M4714*N4714),2),"")</f>
        <v/>
      </c>
    </row>
    <row r="4715">
      <c r="A4715" t="n">
        <v>4714</v>
      </c>
      <c r="B4715">
        <f>A4715&lt;=MineCount*Days</f>
        <v/>
      </c>
      <c r="C4715">
        <f>IF(B4715,INT((A4715-1)/Days)+1,"")</f>
        <v/>
      </c>
      <c r="D4715">
        <f>IF(B4715,MOD(A4715-1,Days),"")</f>
        <v/>
      </c>
      <c r="E4715" s="16">
        <f>IF(B4715,StartDate+D4715,"")</f>
        <v/>
      </c>
      <c r="F4715">
        <f>IF(B4715,MAX(MOD(SIN(Seed*0.1373+C4715*12.9898+D4715*78.233)*43758.5453,1),1E-9),"")</f>
        <v/>
      </c>
      <c r="G4715">
        <f>IF(B4715,MOD(SIN(Seed*0.5917+C4715*39.3468+D4715*11.135)*24634.6345,1),"")</f>
        <v/>
      </c>
      <c r="H4715">
        <f>IF(B4715,SQRT(-2*LN(F4715))*COS(2*PI()*G4715),"")</f>
        <v/>
      </c>
      <c r="I4715">
        <f>IF(B4715,IF(D4715=0,H4715,Rho*I4714+SQRT(1-Rho^2)*H4715),"")</f>
        <v/>
      </c>
      <c r="J4715">
        <f>IF(B4715,IF(Dist="Normal",DistA+DistB*I4715,DistA+(DistB-DistA)*NORMSDIST(I4715)),"")</f>
        <v/>
      </c>
      <c r="K4715">
        <f>IF(B4715,INDEX(MineScale,C4715),"")</f>
        <v/>
      </c>
      <c r="L4715">
        <f>IF(B4715,INDEX(Dow,1,WEEKDAY(E4715,2)),"")</f>
        <v/>
      </c>
      <c r="M4715">
        <f>IF(B4715,(1+Trend)^D4715,"")</f>
        <v/>
      </c>
      <c r="N4715">
        <f>IF(B4715,EXP(SUMPRODUCT(LN(1+(EvEff-1)*INDEX(Affected,0,C4715)*EXP(-((E4715-EvCenter)^2)/(2*EvSigma^2))))),"")</f>
        <v/>
      </c>
      <c r="O4715">
        <f>IF(B4715,ROUND(MAX(0,J4715*K4715*L4715*M4715*N4715),2),"")</f>
        <v/>
      </c>
    </row>
    <row r="4716">
      <c r="A4716" t="n">
        <v>4715</v>
      </c>
      <c r="B4716">
        <f>A4716&lt;=MineCount*Days</f>
        <v/>
      </c>
      <c r="C4716">
        <f>IF(B4716,INT((A4716-1)/Days)+1,"")</f>
        <v/>
      </c>
      <c r="D4716">
        <f>IF(B4716,MOD(A4716-1,Days),"")</f>
        <v/>
      </c>
      <c r="E4716" s="16">
        <f>IF(B4716,StartDate+D4716,"")</f>
        <v/>
      </c>
      <c r="F4716">
        <f>IF(B4716,MAX(MOD(SIN(Seed*0.1373+C4716*12.9898+D4716*78.233)*43758.5453,1),1E-9),"")</f>
        <v/>
      </c>
      <c r="G4716">
        <f>IF(B4716,MOD(SIN(Seed*0.5917+C4716*39.3468+D4716*11.135)*24634.6345,1),"")</f>
        <v/>
      </c>
      <c r="H4716">
        <f>IF(B4716,SQRT(-2*LN(F4716))*COS(2*PI()*G4716),"")</f>
        <v/>
      </c>
      <c r="I4716">
        <f>IF(B4716,IF(D4716=0,H4716,Rho*I4715+SQRT(1-Rho^2)*H4716),"")</f>
        <v/>
      </c>
      <c r="J4716">
        <f>IF(B4716,IF(Dist="Normal",DistA+DistB*I4716,DistA+(DistB-DistA)*NORMSDIST(I4716)),"")</f>
        <v/>
      </c>
      <c r="K4716">
        <f>IF(B4716,INDEX(MineScale,C4716),"")</f>
        <v/>
      </c>
      <c r="L4716">
        <f>IF(B4716,INDEX(Dow,1,WEEKDAY(E4716,2)),"")</f>
        <v/>
      </c>
      <c r="M4716">
        <f>IF(B4716,(1+Trend)^D4716,"")</f>
        <v/>
      </c>
      <c r="N4716">
        <f>IF(B4716,EXP(SUMPRODUCT(LN(1+(EvEff-1)*INDEX(Affected,0,C4716)*EXP(-((E4716-EvCenter)^2)/(2*EvSigma^2))))),"")</f>
        <v/>
      </c>
      <c r="O4716">
        <f>IF(B4716,ROUND(MAX(0,J4716*K4716*L4716*M4716*N4716),2),"")</f>
        <v/>
      </c>
    </row>
    <row r="4717">
      <c r="A4717" t="n">
        <v>4716</v>
      </c>
      <c r="B4717">
        <f>A4717&lt;=MineCount*Days</f>
        <v/>
      </c>
      <c r="C4717">
        <f>IF(B4717,INT((A4717-1)/Days)+1,"")</f>
        <v/>
      </c>
      <c r="D4717">
        <f>IF(B4717,MOD(A4717-1,Days),"")</f>
        <v/>
      </c>
      <c r="E4717" s="16">
        <f>IF(B4717,StartDate+D4717,"")</f>
        <v/>
      </c>
      <c r="F4717">
        <f>IF(B4717,MAX(MOD(SIN(Seed*0.1373+C4717*12.9898+D4717*78.233)*43758.5453,1),1E-9),"")</f>
        <v/>
      </c>
      <c r="G4717">
        <f>IF(B4717,MOD(SIN(Seed*0.5917+C4717*39.3468+D4717*11.135)*24634.6345,1),"")</f>
        <v/>
      </c>
      <c r="H4717">
        <f>IF(B4717,SQRT(-2*LN(F4717))*COS(2*PI()*G4717),"")</f>
        <v/>
      </c>
      <c r="I4717">
        <f>IF(B4717,IF(D4717=0,H4717,Rho*I4716+SQRT(1-Rho^2)*H4717),"")</f>
        <v/>
      </c>
      <c r="J4717">
        <f>IF(B4717,IF(Dist="Normal",DistA+DistB*I4717,DistA+(DistB-DistA)*NORMSDIST(I4717)),"")</f>
        <v/>
      </c>
      <c r="K4717">
        <f>IF(B4717,INDEX(MineScale,C4717),"")</f>
        <v/>
      </c>
      <c r="L4717">
        <f>IF(B4717,INDEX(Dow,1,WEEKDAY(E4717,2)),"")</f>
        <v/>
      </c>
      <c r="M4717">
        <f>IF(B4717,(1+Trend)^D4717,"")</f>
        <v/>
      </c>
      <c r="N4717">
        <f>IF(B4717,EXP(SUMPRODUCT(LN(1+(EvEff-1)*INDEX(Affected,0,C4717)*EXP(-((E4717-EvCenter)^2)/(2*EvSigma^2))))),"")</f>
        <v/>
      </c>
      <c r="O4717">
        <f>IF(B4717,ROUND(MAX(0,J4717*K4717*L4717*M4717*N4717),2),"")</f>
        <v/>
      </c>
    </row>
    <row r="4718">
      <c r="A4718" t="n">
        <v>4717</v>
      </c>
      <c r="B4718">
        <f>A4718&lt;=MineCount*Days</f>
        <v/>
      </c>
      <c r="C4718">
        <f>IF(B4718,INT((A4718-1)/Days)+1,"")</f>
        <v/>
      </c>
      <c r="D4718">
        <f>IF(B4718,MOD(A4718-1,Days),"")</f>
        <v/>
      </c>
      <c r="E4718" s="16">
        <f>IF(B4718,StartDate+D4718,"")</f>
        <v/>
      </c>
      <c r="F4718">
        <f>IF(B4718,MAX(MOD(SIN(Seed*0.1373+C4718*12.9898+D4718*78.233)*43758.5453,1),1E-9),"")</f>
        <v/>
      </c>
      <c r="G4718">
        <f>IF(B4718,MOD(SIN(Seed*0.5917+C4718*39.3468+D4718*11.135)*24634.6345,1),"")</f>
        <v/>
      </c>
      <c r="H4718">
        <f>IF(B4718,SQRT(-2*LN(F4718))*COS(2*PI()*G4718),"")</f>
        <v/>
      </c>
      <c r="I4718">
        <f>IF(B4718,IF(D4718=0,H4718,Rho*I4717+SQRT(1-Rho^2)*H4718),"")</f>
        <v/>
      </c>
      <c r="J4718">
        <f>IF(B4718,IF(Dist="Normal",DistA+DistB*I4718,DistA+(DistB-DistA)*NORMSDIST(I4718)),"")</f>
        <v/>
      </c>
      <c r="K4718">
        <f>IF(B4718,INDEX(MineScale,C4718),"")</f>
        <v/>
      </c>
      <c r="L4718">
        <f>IF(B4718,INDEX(Dow,1,WEEKDAY(E4718,2)),"")</f>
        <v/>
      </c>
      <c r="M4718">
        <f>IF(B4718,(1+Trend)^D4718,"")</f>
        <v/>
      </c>
      <c r="N4718">
        <f>IF(B4718,EXP(SUMPRODUCT(LN(1+(EvEff-1)*INDEX(Affected,0,C4718)*EXP(-((E4718-EvCenter)^2)/(2*EvSigma^2))))),"")</f>
        <v/>
      </c>
      <c r="O4718">
        <f>IF(B4718,ROUND(MAX(0,J4718*K4718*L4718*M4718*N4718),2),"")</f>
        <v/>
      </c>
    </row>
    <row r="4719">
      <c r="A4719" t="n">
        <v>4718</v>
      </c>
      <c r="B4719">
        <f>A4719&lt;=MineCount*Days</f>
        <v/>
      </c>
      <c r="C4719">
        <f>IF(B4719,INT((A4719-1)/Days)+1,"")</f>
        <v/>
      </c>
      <c r="D4719">
        <f>IF(B4719,MOD(A4719-1,Days),"")</f>
        <v/>
      </c>
      <c r="E4719" s="16">
        <f>IF(B4719,StartDate+D4719,"")</f>
        <v/>
      </c>
      <c r="F4719">
        <f>IF(B4719,MAX(MOD(SIN(Seed*0.1373+C4719*12.9898+D4719*78.233)*43758.5453,1),1E-9),"")</f>
        <v/>
      </c>
      <c r="G4719">
        <f>IF(B4719,MOD(SIN(Seed*0.5917+C4719*39.3468+D4719*11.135)*24634.6345,1),"")</f>
        <v/>
      </c>
      <c r="H4719">
        <f>IF(B4719,SQRT(-2*LN(F4719))*COS(2*PI()*G4719),"")</f>
        <v/>
      </c>
      <c r="I4719">
        <f>IF(B4719,IF(D4719=0,H4719,Rho*I4718+SQRT(1-Rho^2)*H4719),"")</f>
        <v/>
      </c>
      <c r="J4719">
        <f>IF(B4719,IF(Dist="Normal",DistA+DistB*I4719,DistA+(DistB-DistA)*NORMSDIST(I4719)),"")</f>
        <v/>
      </c>
      <c r="K4719">
        <f>IF(B4719,INDEX(MineScale,C4719),"")</f>
        <v/>
      </c>
      <c r="L4719">
        <f>IF(B4719,INDEX(Dow,1,WEEKDAY(E4719,2)),"")</f>
        <v/>
      </c>
      <c r="M4719">
        <f>IF(B4719,(1+Trend)^D4719,"")</f>
        <v/>
      </c>
      <c r="N4719">
        <f>IF(B4719,EXP(SUMPRODUCT(LN(1+(EvEff-1)*INDEX(Affected,0,C4719)*EXP(-((E4719-EvCenter)^2)/(2*EvSigma^2))))),"")</f>
        <v/>
      </c>
      <c r="O4719">
        <f>IF(B4719,ROUND(MAX(0,J4719*K4719*L4719*M4719*N4719),2),"")</f>
        <v/>
      </c>
    </row>
    <row r="4720">
      <c r="A4720" t="n">
        <v>4719</v>
      </c>
      <c r="B4720">
        <f>A4720&lt;=MineCount*Days</f>
        <v/>
      </c>
      <c r="C4720">
        <f>IF(B4720,INT((A4720-1)/Days)+1,"")</f>
        <v/>
      </c>
      <c r="D4720">
        <f>IF(B4720,MOD(A4720-1,Days),"")</f>
        <v/>
      </c>
      <c r="E4720" s="16">
        <f>IF(B4720,StartDate+D4720,"")</f>
        <v/>
      </c>
      <c r="F4720">
        <f>IF(B4720,MAX(MOD(SIN(Seed*0.1373+C4720*12.9898+D4720*78.233)*43758.5453,1),1E-9),"")</f>
        <v/>
      </c>
      <c r="G4720">
        <f>IF(B4720,MOD(SIN(Seed*0.5917+C4720*39.3468+D4720*11.135)*24634.6345,1),"")</f>
        <v/>
      </c>
      <c r="H4720">
        <f>IF(B4720,SQRT(-2*LN(F4720))*COS(2*PI()*G4720),"")</f>
        <v/>
      </c>
      <c r="I4720">
        <f>IF(B4720,IF(D4720=0,H4720,Rho*I4719+SQRT(1-Rho^2)*H4720),"")</f>
        <v/>
      </c>
      <c r="J4720">
        <f>IF(B4720,IF(Dist="Normal",DistA+DistB*I4720,DistA+(DistB-DistA)*NORMSDIST(I4720)),"")</f>
        <v/>
      </c>
      <c r="K4720">
        <f>IF(B4720,INDEX(MineScale,C4720),"")</f>
        <v/>
      </c>
      <c r="L4720">
        <f>IF(B4720,INDEX(Dow,1,WEEKDAY(E4720,2)),"")</f>
        <v/>
      </c>
      <c r="M4720">
        <f>IF(B4720,(1+Trend)^D4720,"")</f>
        <v/>
      </c>
      <c r="N4720">
        <f>IF(B4720,EXP(SUMPRODUCT(LN(1+(EvEff-1)*INDEX(Affected,0,C4720)*EXP(-((E4720-EvCenter)^2)/(2*EvSigma^2))))),"")</f>
        <v/>
      </c>
      <c r="O4720">
        <f>IF(B4720,ROUND(MAX(0,J4720*K4720*L4720*M4720*N4720),2),"")</f>
        <v/>
      </c>
    </row>
    <row r="4721">
      <c r="A4721" t="n">
        <v>4720</v>
      </c>
      <c r="B4721">
        <f>A4721&lt;=MineCount*Days</f>
        <v/>
      </c>
      <c r="C4721">
        <f>IF(B4721,INT((A4721-1)/Days)+1,"")</f>
        <v/>
      </c>
      <c r="D4721">
        <f>IF(B4721,MOD(A4721-1,Days),"")</f>
        <v/>
      </c>
      <c r="E4721" s="16">
        <f>IF(B4721,StartDate+D4721,"")</f>
        <v/>
      </c>
      <c r="F4721">
        <f>IF(B4721,MAX(MOD(SIN(Seed*0.1373+C4721*12.9898+D4721*78.233)*43758.5453,1),1E-9),"")</f>
        <v/>
      </c>
      <c r="G4721">
        <f>IF(B4721,MOD(SIN(Seed*0.5917+C4721*39.3468+D4721*11.135)*24634.6345,1),"")</f>
        <v/>
      </c>
      <c r="H4721">
        <f>IF(B4721,SQRT(-2*LN(F4721))*COS(2*PI()*G4721),"")</f>
        <v/>
      </c>
      <c r="I4721">
        <f>IF(B4721,IF(D4721=0,H4721,Rho*I4720+SQRT(1-Rho^2)*H4721),"")</f>
        <v/>
      </c>
      <c r="J4721">
        <f>IF(B4721,IF(Dist="Normal",DistA+DistB*I4721,DistA+(DistB-DistA)*NORMSDIST(I4721)),"")</f>
        <v/>
      </c>
      <c r="K4721">
        <f>IF(B4721,INDEX(MineScale,C4721),"")</f>
        <v/>
      </c>
      <c r="L4721">
        <f>IF(B4721,INDEX(Dow,1,WEEKDAY(E4721,2)),"")</f>
        <v/>
      </c>
      <c r="M4721">
        <f>IF(B4721,(1+Trend)^D4721,"")</f>
        <v/>
      </c>
      <c r="N4721">
        <f>IF(B4721,EXP(SUMPRODUCT(LN(1+(EvEff-1)*INDEX(Affected,0,C4721)*EXP(-((E4721-EvCenter)^2)/(2*EvSigma^2))))),"")</f>
        <v/>
      </c>
      <c r="O4721">
        <f>IF(B4721,ROUND(MAX(0,J4721*K4721*L4721*M4721*N4721),2),"")</f>
        <v/>
      </c>
    </row>
    <row r="4722">
      <c r="A4722" t="n">
        <v>4721</v>
      </c>
      <c r="B4722">
        <f>A4722&lt;=MineCount*Days</f>
        <v/>
      </c>
      <c r="C4722">
        <f>IF(B4722,INT((A4722-1)/Days)+1,"")</f>
        <v/>
      </c>
      <c r="D4722">
        <f>IF(B4722,MOD(A4722-1,Days),"")</f>
        <v/>
      </c>
      <c r="E4722" s="16">
        <f>IF(B4722,StartDate+D4722,"")</f>
        <v/>
      </c>
      <c r="F4722">
        <f>IF(B4722,MAX(MOD(SIN(Seed*0.1373+C4722*12.9898+D4722*78.233)*43758.5453,1),1E-9),"")</f>
        <v/>
      </c>
      <c r="G4722">
        <f>IF(B4722,MOD(SIN(Seed*0.5917+C4722*39.3468+D4722*11.135)*24634.6345,1),"")</f>
        <v/>
      </c>
      <c r="H4722">
        <f>IF(B4722,SQRT(-2*LN(F4722))*COS(2*PI()*G4722),"")</f>
        <v/>
      </c>
      <c r="I4722">
        <f>IF(B4722,IF(D4722=0,H4722,Rho*I4721+SQRT(1-Rho^2)*H4722),"")</f>
        <v/>
      </c>
      <c r="J4722">
        <f>IF(B4722,IF(Dist="Normal",DistA+DistB*I4722,DistA+(DistB-DistA)*NORMSDIST(I4722)),"")</f>
        <v/>
      </c>
      <c r="K4722">
        <f>IF(B4722,INDEX(MineScale,C4722),"")</f>
        <v/>
      </c>
      <c r="L4722">
        <f>IF(B4722,INDEX(Dow,1,WEEKDAY(E4722,2)),"")</f>
        <v/>
      </c>
      <c r="M4722">
        <f>IF(B4722,(1+Trend)^D4722,"")</f>
        <v/>
      </c>
      <c r="N4722">
        <f>IF(B4722,EXP(SUMPRODUCT(LN(1+(EvEff-1)*INDEX(Affected,0,C4722)*EXP(-((E4722-EvCenter)^2)/(2*EvSigma^2))))),"")</f>
        <v/>
      </c>
      <c r="O4722">
        <f>IF(B4722,ROUND(MAX(0,J4722*K4722*L4722*M4722*N4722),2),"")</f>
        <v/>
      </c>
    </row>
    <row r="4723">
      <c r="A4723" t="n">
        <v>4722</v>
      </c>
      <c r="B4723">
        <f>A4723&lt;=MineCount*Days</f>
        <v/>
      </c>
      <c r="C4723">
        <f>IF(B4723,INT((A4723-1)/Days)+1,"")</f>
        <v/>
      </c>
      <c r="D4723">
        <f>IF(B4723,MOD(A4723-1,Days),"")</f>
        <v/>
      </c>
      <c r="E4723" s="16">
        <f>IF(B4723,StartDate+D4723,"")</f>
        <v/>
      </c>
      <c r="F4723">
        <f>IF(B4723,MAX(MOD(SIN(Seed*0.1373+C4723*12.9898+D4723*78.233)*43758.5453,1),1E-9),"")</f>
        <v/>
      </c>
      <c r="G4723">
        <f>IF(B4723,MOD(SIN(Seed*0.5917+C4723*39.3468+D4723*11.135)*24634.6345,1),"")</f>
        <v/>
      </c>
      <c r="H4723">
        <f>IF(B4723,SQRT(-2*LN(F4723))*COS(2*PI()*G4723),"")</f>
        <v/>
      </c>
      <c r="I4723">
        <f>IF(B4723,IF(D4723=0,H4723,Rho*I4722+SQRT(1-Rho^2)*H4723),"")</f>
        <v/>
      </c>
      <c r="J4723">
        <f>IF(B4723,IF(Dist="Normal",DistA+DistB*I4723,DistA+(DistB-DistA)*NORMSDIST(I4723)),"")</f>
        <v/>
      </c>
      <c r="K4723">
        <f>IF(B4723,INDEX(MineScale,C4723),"")</f>
        <v/>
      </c>
      <c r="L4723">
        <f>IF(B4723,INDEX(Dow,1,WEEKDAY(E4723,2)),"")</f>
        <v/>
      </c>
      <c r="M4723">
        <f>IF(B4723,(1+Trend)^D4723,"")</f>
        <v/>
      </c>
      <c r="N4723">
        <f>IF(B4723,EXP(SUMPRODUCT(LN(1+(EvEff-1)*INDEX(Affected,0,C4723)*EXP(-((E4723-EvCenter)^2)/(2*EvSigma^2))))),"")</f>
        <v/>
      </c>
      <c r="O4723">
        <f>IF(B4723,ROUND(MAX(0,J4723*K4723*L4723*M4723*N4723),2),"")</f>
        <v/>
      </c>
    </row>
    <row r="4724">
      <c r="A4724" t="n">
        <v>4723</v>
      </c>
      <c r="B4724">
        <f>A4724&lt;=MineCount*Days</f>
        <v/>
      </c>
      <c r="C4724">
        <f>IF(B4724,INT((A4724-1)/Days)+1,"")</f>
        <v/>
      </c>
      <c r="D4724">
        <f>IF(B4724,MOD(A4724-1,Days),"")</f>
        <v/>
      </c>
      <c r="E4724" s="16">
        <f>IF(B4724,StartDate+D4724,"")</f>
        <v/>
      </c>
      <c r="F4724">
        <f>IF(B4724,MAX(MOD(SIN(Seed*0.1373+C4724*12.9898+D4724*78.233)*43758.5453,1),1E-9),"")</f>
        <v/>
      </c>
      <c r="G4724">
        <f>IF(B4724,MOD(SIN(Seed*0.5917+C4724*39.3468+D4724*11.135)*24634.6345,1),"")</f>
        <v/>
      </c>
      <c r="H4724">
        <f>IF(B4724,SQRT(-2*LN(F4724))*COS(2*PI()*G4724),"")</f>
        <v/>
      </c>
      <c r="I4724">
        <f>IF(B4724,IF(D4724=0,H4724,Rho*I4723+SQRT(1-Rho^2)*H4724),"")</f>
        <v/>
      </c>
      <c r="J4724">
        <f>IF(B4724,IF(Dist="Normal",DistA+DistB*I4724,DistA+(DistB-DistA)*NORMSDIST(I4724)),"")</f>
        <v/>
      </c>
      <c r="K4724">
        <f>IF(B4724,INDEX(MineScale,C4724),"")</f>
        <v/>
      </c>
      <c r="L4724">
        <f>IF(B4724,INDEX(Dow,1,WEEKDAY(E4724,2)),"")</f>
        <v/>
      </c>
      <c r="M4724">
        <f>IF(B4724,(1+Trend)^D4724,"")</f>
        <v/>
      </c>
      <c r="N4724">
        <f>IF(B4724,EXP(SUMPRODUCT(LN(1+(EvEff-1)*INDEX(Affected,0,C4724)*EXP(-((E4724-EvCenter)^2)/(2*EvSigma^2))))),"")</f>
        <v/>
      </c>
      <c r="O4724">
        <f>IF(B4724,ROUND(MAX(0,J4724*K4724*L4724*M4724*N4724),2),"")</f>
        <v/>
      </c>
    </row>
    <row r="4725">
      <c r="A4725" t="n">
        <v>4724</v>
      </c>
      <c r="B4725">
        <f>A4725&lt;=MineCount*Days</f>
        <v/>
      </c>
      <c r="C4725">
        <f>IF(B4725,INT((A4725-1)/Days)+1,"")</f>
        <v/>
      </c>
      <c r="D4725">
        <f>IF(B4725,MOD(A4725-1,Days),"")</f>
        <v/>
      </c>
      <c r="E4725" s="16">
        <f>IF(B4725,StartDate+D4725,"")</f>
        <v/>
      </c>
      <c r="F4725">
        <f>IF(B4725,MAX(MOD(SIN(Seed*0.1373+C4725*12.9898+D4725*78.233)*43758.5453,1),1E-9),"")</f>
        <v/>
      </c>
      <c r="G4725">
        <f>IF(B4725,MOD(SIN(Seed*0.5917+C4725*39.3468+D4725*11.135)*24634.6345,1),"")</f>
        <v/>
      </c>
      <c r="H4725">
        <f>IF(B4725,SQRT(-2*LN(F4725))*COS(2*PI()*G4725),"")</f>
        <v/>
      </c>
      <c r="I4725">
        <f>IF(B4725,IF(D4725=0,H4725,Rho*I4724+SQRT(1-Rho^2)*H4725),"")</f>
        <v/>
      </c>
      <c r="J4725">
        <f>IF(B4725,IF(Dist="Normal",DistA+DistB*I4725,DistA+(DistB-DistA)*NORMSDIST(I4725)),"")</f>
        <v/>
      </c>
      <c r="K4725">
        <f>IF(B4725,INDEX(MineScale,C4725),"")</f>
        <v/>
      </c>
      <c r="L4725">
        <f>IF(B4725,INDEX(Dow,1,WEEKDAY(E4725,2)),"")</f>
        <v/>
      </c>
      <c r="M4725">
        <f>IF(B4725,(1+Trend)^D4725,"")</f>
        <v/>
      </c>
      <c r="N4725">
        <f>IF(B4725,EXP(SUMPRODUCT(LN(1+(EvEff-1)*INDEX(Affected,0,C4725)*EXP(-((E4725-EvCenter)^2)/(2*EvSigma^2))))),"")</f>
        <v/>
      </c>
      <c r="O4725">
        <f>IF(B4725,ROUND(MAX(0,J4725*K4725*L4725*M4725*N4725),2),"")</f>
        <v/>
      </c>
    </row>
    <row r="4726">
      <c r="A4726" t="n">
        <v>4725</v>
      </c>
      <c r="B4726">
        <f>A4726&lt;=MineCount*Days</f>
        <v/>
      </c>
      <c r="C4726">
        <f>IF(B4726,INT((A4726-1)/Days)+1,"")</f>
        <v/>
      </c>
      <c r="D4726">
        <f>IF(B4726,MOD(A4726-1,Days),"")</f>
        <v/>
      </c>
      <c r="E4726" s="16">
        <f>IF(B4726,StartDate+D4726,"")</f>
        <v/>
      </c>
      <c r="F4726">
        <f>IF(B4726,MAX(MOD(SIN(Seed*0.1373+C4726*12.9898+D4726*78.233)*43758.5453,1),1E-9),"")</f>
        <v/>
      </c>
      <c r="G4726">
        <f>IF(B4726,MOD(SIN(Seed*0.5917+C4726*39.3468+D4726*11.135)*24634.6345,1),"")</f>
        <v/>
      </c>
      <c r="H4726">
        <f>IF(B4726,SQRT(-2*LN(F4726))*COS(2*PI()*G4726),"")</f>
        <v/>
      </c>
      <c r="I4726">
        <f>IF(B4726,IF(D4726=0,H4726,Rho*I4725+SQRT(1-Rho^2)*H4726),"")</f>
        <v/>
      </c>
      <c r="J4726">
        <f>IF(B4726,IF(Dist="Normal",DistA+DistB*I4726,DistA+(DistB-DistA)*NORMSDIST(I4726)),"")</f>
        <v/>
      </c>
      <c r="K4726">
        <f>IF(B4726,INDEX(MineScale,C4726),"")</f>
        <v/>
      </c>
      <c r="L4726">
        <f>IF(B4726,INDEX(Dow,1,WEEKDAY(E4726,2)),"")</f>
        <v/>
      </c>
      <c r="M4726">
        <f>IF(B4726,(1+Trend)^D4726,"")</f>
        <v/>
      </c>
      <c r="N4726">
        <f>IF(B4726,EXP(SUMPRODUCT(LN(1+(EvEff-1)*INDEX(Affected,0,C4726)*EXP(-((E4726-EvCenter)^2)/(2*EvSigma^2))))),"")</f>
        <v/>
      </c>
      <c r="O4726">
        <f>IF(B4726,ROUND(MAX(0,J4726*K4726*L4726*M4726*N4726),2),"")</f>
        <v/>
      </c>
    </row>
    <row r="4727">
      <c r="A4727" t="n">
        <v>4726</v>
      </c>
      <c r="B4727">
        <f>A4727&lt;=MineCount*Days</f>
        <v/>
      </c>
      <c r="C4727">
        <f>IF(B4727,INT((A4727-1)/Days)+1,"")</f>
        <v/>
      </c>
      <c r="D4727">
        <f>IF(B4727,MOD(A4727-1,Days),"")</f>
        <v/>
      </c>
      <c r="E4727" s="16">
        <f>IF(B4727,StartDate+D4727,"")</f>
        <v/>
      </c>
      <c r="F4727">
        <f>IF(B4727,MAX(MOD(SIN(Seed*0.1373+C4727*12.9898+D4727*78.233)*43758.5453,1),1E-9),"")</f>
        <v/>
      </c>
      <c r="G4727">
        <f>IF(B4727,MOD(SIN(Seed*0.5917+C4727*39.3468+D4727*11.135)*24634.6345,1),"")</f>
        <v/>
      </c>
      <c r="H4727">
        <f>IF(B4727,SQRT(-2*LN(F4727))*COS(2*PI()*G4727),"")</f>
        <v/>
      </c>
      <c r="I4727">
        <f>IF(B4727,IF(D4727=0,H4727,Rho*I4726+SQRT(1-Rho^2)*H4727),"")</f>
        <v/>
      </c>
      <c r="J4727">
        <f>IF(B4727,IF(Dist="Normal",DistA+DistB*I4727,DistA+(DistB-DistA)*NORMSDIST(I4727)),"")</f>
        <v/>
      </c>
      <c r="K4727">
        <f>IF(B4727,INDEX(MineScale,C4727),"")</f>
        <v/>
      </c>
      <c r="L4727">
        <f>IF(B4727,INDEX(Dow,1,WEEKDAY(E4727,2)),"")</f>
        <v/>
      </c>
      <c r="M4727">
        <f>IF(B4727,(1+Trend)^D4727,"")</f>
        <v/>
      </c>
      <c r="N4727">
        <f>IF(B4727,EXP(SUMPRODUCT(LN(1+(EvEff-1)*INDEX(Affected,0,C4727)*EXP(-((E4727-EvCenter)^2)/(2*EvSigma^2))))),"")</f>
        <v/>
      </c>
      <c r="O4727">
        <f>IF(B4727,ROUND(MAX(0,J4727*K4727*L4727*M4727*N4727),2),"")</f>
        <v/>
      </c>
    </row>
    <row r="4728">
      <c r="A4728" t="n">
        <v>4727</v>
      </c>
      <c r="B4728">
        <f>A4728&lt;=MineCount*Days</f>
        <v/>
      </c>
      <c r="C4728">
        <f>IF(B4728,INT((A4728-1)/Days)+1,"")</f>
        <v/>
      </c>
      <c r="D4728">
        <f>IF(B4728,MOD(A4728-1,Days),"")</f>
        <v/>
      </c>
      <c r="E4728" s="16">
        <f>IF(B4728,StartDate+D4728,"")</f>
        <v/>
      </c>
      <c r="F4728">
        <f>IF(B4728,MAX(MOD(SIN(Seed*0.1373+C4728*12.9898+D4728*78.233)*43758.5453,1),1E-9),"")</f>
        <v/>
      </c>
      <c r="G4728">
        <f>IF(B4728,MOD(SIN(Seed*0.5917+C4728*39.3468+D4728*11.135)*24634.6345,1),"")</f>
        <v/>
      </c>
      <c r="H4728">
        <f>IF(B4728,SQRT(-2*LN(F4728))*COS(2*PI()*G4728),"")</f>
        <v/>
      </c>
      <c r="I4728">
        <f>IF(B4728,IF(D4728=0,H4728,Rho*I4727+SQRT(1-Rho^2)*H4728),"")</f>
        <v/>
      </c>
      <c r="J4728">
        <f>IF(B4728,IF(Dist="Normal",DistA+DistB*I4728,DistA+(DistB-DistA)*NORMSDIST(I4728)),"")</f>
        <v/>
      </c>
      <c r="K4728">
        <f>IF(B4728,INDEX(MineScale,C4728),"")</f>
        <v/>
      </c>
      <c r="L4728">
        <f>IF(B4728,INDEX(Dow,1,WEEKDAY(E4728,2)),"")</f>
        <v/>
      </c>
      <c r="M4728">
        <f>IF(B4728,(1+Trend)^D4728,"")</f>
        <v/>
      </c>
      <c r="N4728">
        <f>IF(B4728,EXP(SUMPRODUCT(LN(1+(EvEff-1)*INDEX(Affected,0,C4728)*EXP(-((E4728-EvCenter)^2)/(2*EvSigma^2))))),"")</f>
        <v/>
      </c>
      <c r="O4728">
        <f>IF(B4728,ROUND(MAX(0,J4728*K4728*L4728*M4728*N4728),2),"")</f>
        <v/>
      </c>
    </row>
    <row r="4729">
      <c r="A4729" t="n">
        <v>4728</v>
      </c>
      <c r="B4729">
        <f>A4729&lt;=MineCount*Days</f>
        <v/>
      </c>
      <c r="C4729">
        <f>IF(B4729,INT((A4729-1)/Days)+1,"")</f>
        <v/>
      </c>
      <c r="D4729">
        <f>IF(B4729,MOD(A4729-1,Days),"")</f>
        <v/>
      </c>
      <c r="E4729" s="16">
        <f>IF(B4729,StartDate+D4729,"")</f>
        <v/>
      </c>
      <c r="F4729">
        <f>IF(B4729,MAX(MOD(SIN(Seed*0.1373+C4729*12.9898+D4729*78.233)*43758.5453,1),1E-9),"")</f>
        <v/>
      </c>
      <c r="G4729">
        <f>IF(B4729,MOD(SIN(Seed*0.5917+C4729*39.3468+D4729*11.135)*24634.6345,1),"")</f>
        <v/>
      </c>
      <c r="H4729">
        <f>IF(B4729,SQRT(-2*LN(F4729))*COS(2*PI()*G4729),"")</f>
        <v/>
      </c>
      <c r="I4729">
        <f>IF(B4729,IF(D4729=0,H4729,Rho*I4728+SQRT(1-Rho^2)*H4729),"")</f>
        <v/>
      </c>
      <c r="J4729">
        <f>IF(B4729,IF(Dist="Normal",DistA+DistB*I4729,DistA+(DistB-DistA)*NORMSDIST(I4729)),"")</f>
        <v/>
      </c>
      <c r="K4729">
        <f>IF(B4729,INDEX(MineScale,C4729),"")</f>
        <v/>
      </c>
      <c r="L4729">
        <f>IF(B4729,INDEX(Dow,1,WEEKDAY(E4729,2)),"")</f>
        <v/>
      </c>
      <c r="M4729">
        <f>IF(B4729,(1+Trend)^D4729,"")</f>
        <v/>
      </c>
      <c r="N4729">
        <f>IF(B4729,EXP(SUMPRODUCT(LN(1+(EvEff-1)*INDEX(Affected,0,C4729)*EXP(-((E4729-EvCenter)^2)/(2*EvSigma^2))))),"")</f>
        <v/>
      </c>
      <c r="O4729">
        <f>IF(B4729,ROUND(MAX(0,J4729*K4729*L4729*M4729*N4729),2),"")</f>
        <v/>
      </c>
    </row>
    <row r="4730">
      <c r="A4730" t="n">
        <v>4729</v>
      </c>
      <c r="B4730">
        <f>A4730&lt;=MineCount*Days</f>
        <v/>
      </c>
      <c r="C4730">
        <f>IF(B4730,INT((A4730-1)/Days)+1,"")</f>
        <v/>
      </c>
      <c r="D4730">
        <f>IF(B4730,MOD(A4730-1,Days),"")</f>
        <v/>
      </c>
      <c r="E4730" s="16">
        <f>IF(B4730,StartDate+D4730,"")</f>
        <v/>
      </c>
      <c r="F4730">
        <f>IF(B4730,MAX(MOD(SIN(Seed*0.1373+C4730*12.9898+D4730*78.233)*43758.5453,1),1E-9),"")</f>
        <v/>
      </c>
      <c r="G4730">
        <f>IF(B4730,MOD(SIN(Seed*0.5917+C4730*39.3468+D4730*11.135)*24634.6345,1),"")</f>
        <v/>
      </c>
      <c r="H4730">
        <f>IF(B4730,SQRT(-2*LN(F4730))*COS(2*PI()*G4730),"")</f>
        <v/>
      </c>
      <c r="I4730">
        <f>IF(B4730,IF(D4730=0,H4730,Rho*I4729+SQRT(1-Rho^2)*H4730),"")</f>
        <v/>
      </c>
      <c r="J4730">
        <f>IF(B4730,IF(Dist="Normal",DistA+DistB*I4730,DistA+(DistB-DistA)*NORMSDIST(I4730)),"")</f>
        <v/>
      </c>
      <c r="K4730">
        <f>IF(B4730,INDEX(MineScale,C4730),"")</f>
        <v/>
      </c>
      <c r="L4730">
        <f>IF(B4730,INDEX(Dow,1,WEEKDAY(E4730,2)),"")</f>
        <v/>
      </c>
      <c r="M4730">
        <f>IF(B4730,(1+Trend)^D4730,"")</f>
        <v/>
      </c>
      <c r="N4730">
        <f>IF(B4730,EXP(SUMPRODUCT(LN(1+(EvEff-1)*INDEX(Affected,0,C4730)*EXP(-((E4730-EvCenter)^2)/(2*EvSigma^2))))),"")</f>
        <v/>
      </c>
      <c r="O4730">
        <f>IF(B4730,ROUND(MAX(0,J4730*K4730*L4730*M4730*N4730),2),"")</f>
        <v/>
      </c>
    </row>
    <row r="4731">
      <c r="A4731" t="n">
        <v>4730</v>
      </c>
      <c r="B4731">
        <f>A4731&lt;=MineCount*Days</f>
        <v/>
      </c>
      <c r="C4731">
        <f>IF(B4731,INT((A4731-1)/Days)+1,"")</f>
        <v/>
      </c>
      <c r="D4731">
        <f>IF(B4731,MOD(A4731-1,Days),"")</f>
        <v/>
      </c>
      <c r="E4731" s="16">
        <f>IF(B4731,StartDate+D4731,"")</f>
        <v/>
      </c>
      <c r="F4731">
        <f>IF(B4731,MAX(MOD(SIN(Seed*0.1373+C4731*12.9898+D4731*78.233)*43758.5453,1),1E-9),"")</f>
        <v/>
      </c>
      <c r="G4731">
        <f>IF(B4731,MOD(SIN(Seed*0.5917+C4731*39.3468+D4731*11.135)*24634.6345,1),"")</f>
        <v/>
      </c>
      <c r="H4731">
        <f>IF(B4731,SQRT(-2*LN(F4731))*COS(2*PI()*G4731),"")</f>
        <v/>
      </c>
      <c r="I4731">
        <f>IF(B4731,IF(D4731=0,H4731,Rho*I4730+SQRT(1-Rho^2)*H4731),"")</f>
        <v/>
      </c>
      <c r="J4731">
        <f>IF(B4731,IF(Dist="Normal",DistA+DistB*I4731,DistA+(DistB-DistA)*NORMSDIST(I4731)),"")</f>
        <v/>
      </c>
      <c r="K4731">
        <f>IF(B4731,INDEX(MineScale,C4731),"")</f>
        <v/>
      </c>
      <c r="L4731">
        <f>IF(B4731,INDEX(Dow,1,WEEKDAY(E4731,2)),"")</f>
        <v/>
      </c>
      <c r="M4731">
        <f>IF(B4731,(1+Trend)^D4731,"")</f>
        <v/>
      </c>
      <c r="N4731">
        <f>IF(B4731,EXP(SUMPRODUCT(LN(1+(EvEff-1)*INDEX(Affected,0,C4731)*EXP(-((E4731-EvCenter)^2)/(2*EvSigma^2))))),"")</f>
        <v/>
      </c>
      <c r="O4731">
        <f>IF(B4731,ROUND(MAX(0,J4731*K4731*L4731*M4731*N4731),2),"")</f>
        <v/>
      </c>
    </row>
    <row r="4732">
      <c r="A4732" t="n">
        <v>4731</v>
      </c>
      <c r="B4732">
        <f>A4732&lt;=MineCount*Days</f>
        <v/>
      </c>
      <c r="C4732">
        <f>IF(B4732,INT((A4732-1)/Days)+1,"")</f>
        <v/>
      </c>
      <c r="D4732">
        <f>IF(B4732,MOD(A4732-1,Days),"")</f>
        <v/>
      </c>
      <c r="E4732" s="16">
        <f>IF(B4732,StartDate+D4732,"")</f>
        <v/>
      </c>
      <c r="F4732">
        <f>IF(B4732,MAX(MOD(SIN(Seed*0.1373+C4732*12.9898+D4732*78.233)*43758.5453,1),1E-9),"")</f>
        <v/>
      </c>
      <c r="G4732">
        <f>IF(B4732,MOD(SIN(Seed*0.5917+C4732*39.3468+D4732*11.135)*24634.6345,1),"")</f>
        <v/>
      </c>
      <c r="H4732">
        <f>IF(B4732,SQRT(-2*LN(F4732))*COS(2*PI()*G4732),"")</f>
        <v/>
      </c>
      <c r="I4732">
        <f>IF(B4732,IF(D4732=0,H4732,Rho*I4731+SQRT(1-Rho^2)*H4732),"")</f>
        <v/>
      </c>
      <c r="J4732">
        <f>IF(B4732,IF(Dist="Normal",DistA+DistB*I4732,DistA+(DistB-DistA)*NORMSDIST(I4732)),"")</f>
        <v/>
      </c>
      <c r="K4732">
        <f>IF(B4732,INDEX(MineScale,C4732),"")</f>
        <v/>
      </c>
      <c r="L4732">
        <f>IF(B4732,INDEX(Dow,1,WEEKDAY(E4732,2)),"")</f>
        <v/>
      </c>
      <c r="M4732">
        <f>IF(B4732,(1+Trend)^D4732,"")</f>
        <v/>
      </c>
      <c r="N4732">
        <f>IF(B4732,EXP(SUMPRODUCT(LN(1+(EvEff-1)*INDEX(Affected,0,C4732)*EXP(-((E4732-EvCenter)^2)/(2*EvSigma^2))))),"")</f>
        <v/>
      </c>
      <c r="O4732">
        <f>IF(B4732,ROUND(MAX(0,J4732*K4732*L4732*M4732*N4732),2),"")</f>
        <v/>
      </c>
    </row>
    <row r="4733">
      <c r="A4733" t="n">
        <v>4732</v>
      </c>
      <c r="B4733">
        <f>A4733&lt;=MineCount*Days</f>
        <v/>
      </c>
      <c r="C4733">
        <f>IF(B4733,INT((A4733-1)/Days)+1,"")</f>
        <v/>
      </c>
      <c r="D4733">
        <f>IF(B4733,MOD(A4733-1,Days),"")</f>
        <v/>
      </c>
      <c r="E4733" s="16">
        <f>IF(B4733,StartDate+D4733,"")</f>
        <v/>
      </c>
      <c r="F4733">
        <f>IF(B4733,MAX(MOD(SIN(Seed*0.1373+C4733*12.9898+D4733*78.233)*43758.5453,1),1E-9),"")</f>
        <v/>
      </c>
      <c r="G4733">
        <f>IF(B4733,MOD(SIN(Seed*0.5917+C4733*39.3468+D4733*11.135)*24634.6345,1),"")</f>
        <v/>
      </c>
      <c r="H4733">
        <f>IF(B4733,SQRT(-2*LN(F4733))*COS(2*PI()*G4733),"")</f>
        <v/>
      </c>
      <c r="I4733">
        <f>IF(B4733,IF(D4733=0,H4733,Rho*I4732+SQRT(1-Rho^2)*H4733),"")</f>
        <v/>
      </c>
      <c r="J4733">
        <f>IF(B4733,IF(Dist="Normal",DistA+DistB*I4733,DistA+(DistB-DistA)*NORMSDIST(I4733)),"")</f>
        <v/>
      </c>
      <c r="K4733">
        <f>IF(B4733,INDEX(MineScale,C4733),"")</f>
        <v/>
      </c>
      <c r="L4733">
        <f>IF(B4733,INDEX(Dow,1,WEEKDAY(E4733,2)),"")</f>
        <v/>
      </c>
      <c r="M4733">
        <f>IF(B4733,(1+Trend)^D4733,"")</f>
        <v/>
      </c>
      <c r="N4733">
        <f>IF(B4733,EXP(SUMPRODUCT(LN(1+(EvEff-1)*INDEX(Affected,0,C4733)*EXP(-((E4733-EvCenter)^2)/(2*EvSigma^2))))),"")</f>
        <v/>
      </c>
      <c r="O4733">
        <f>IF(B4733,ROUND(MAX(0,J4733*K4733*L4733*M4733*N4733),2),"")</f>
        <v/>
      </c>
    </row>
    <row r="4734">
      <c r="A4734" t="n">
        <v>4733</v>
      </c>
      <c r="B4734">
        <f>A4734&lt;=MineCount*Days</f>
        <v/>
      </c>
      <c r="C4734">
        <f>IF(B4734,INT((A4734-1)/Days)+1,"")</f>
        <v/>
      </c>
      <c r="D4734">
        <f>IF(B4734,MOD(A4734-1,Days),"")</f>
        <v/>
      </c>
      <c r="E4734" s="16">
        <f>IF(B4734,StartDate+D4734,"")</f>
        <v/>
      </c>
      <c r="F4734">
        <f>IF(B4734,MAX(MOD(SIN(Seed*0.1373+C4734*12.9898+D4734*78.233)*43758.5453,1),1E-9),"")</f>
        <v/>
      </c>
      <c r="G4734">
        <f>IF(B4734,MOD(SIN(Seed*0.5917+C4734*39.3468+D4734*11.135)*24634.6345,1),"")</f>
        <v/>
      </c>
      <c r="H4734">
        <f>IF(B4734,SQRT(-2*LN(F4734))*COS(2*PI()*G4734),"")</f>
        <v/>
      </c>
      <c r="I4734">
        <f>IF(B4734,IF(D4734=0,H4734,Rho*I4733+SQRT(1-Rho^2)*H4734),"")</f>
        <v/>
      </c>
      <c r="J4734">
        <f>IF(B4734,IF(Dist="Normal",DistA+DistB*I4734,DistA+(DistB-DistA)*NORMSDIST(I4734)),"")</f>
        <v/>
      </c>
      <c r="K4734">
        <f>IF(B4734,INDEX(MineScale,C4734),"")</f>
        <v/>
      </c>
      <c r="L4734">
        <f>IF(B4734,INDEX(Dow,1,WEEKDAY(E4734,2)),"")</f>
        <v/>
      </c>
      <c r="M4734">
        <f>IF(B4734,(1+Trend)^D4734,"")</f>
        <v/>
      </c>
      <c r="N4734">
        <f>IF(B4734,EXP(SUMPRODUCT(LN(1+(EvEff-1)*INDEX(Affected,0,C4734)*EXP(-((E4734-EvCenter)^2)/(2*EvSigma^2))))),"")</f>
        <v/>
      </c>
      <c r="O4734">
        <f>IF(B4734,ROUND(MAX(0,J4734*K4734*L4734*M4734*N4734),2),"")</f>
        <v/>
      </c>
    </row>
    <row r="4735">
      <c r="A4735" t="n">
        <v>4734</v>
      </c>
      <c r="B4735">
        <f>A4735&lt;=MineCount*Days</f>
        <v/>
      </c>
      <c r="C4735">
        <f>IF(B4735,INT((A4735-1)/Days)+1,"")</f>
        <v/>
      </c>
      <c r="D4735">
        <f>IF(B4735,MOD(A4735-1,Days),"")</f>
        <v/>
      </c>
      <c r="E4735" s="16">
        <f>IF(B4735,StartDate+D4735,"")</f>
        <v/>
      </c>
      <c r="F4735">
        <f>IF(B4735,MAX(MOD(SIN(Seed*0.1373+C4735*12.9898+D4735*78.233)*43758.5453,1),1E-9),"")</f>
        <v/>
      </c>
      <c r="G4735">
        <f>IF(B4735,MOD(SIN(Seed*0.5917+C4735*39.3468+D4735*11.135)*24634.6345,1),"")</f>
        <v/>
      </c>
      <c r="H4735">
        <f>IF(B4735,SQRT(-2*LN(F4735))*COS(2*PI()*G4735),"")</f>
        <v/>
      </c>
      <c r="I4735">
        <f>IF(B4735,IF(D4735=0,H4735,Rho*I4734+SQRT(1-Rho^2)*H4735),"")</f>
        <v/>
      </c>
      <c r="J4735">
        <f>IF(B4735,IF(Dist="Normal",DistA+DistB*I4735,DistA+(DistB-DistA)*NORMSDIST(I4735)),"")</f>
        <v/>
      </c>
      <c r="K4735">
        <f>IF(B4735,INDEX(MineScale,C4735),"")</f>
        <v/>
      </c>
      <c r="L4735">
        <f>IF(B4735,INDEX(Dow,1,WEEKDAY(E4735,2)),"")</f>
        <v/>
      </c>
      <c r="M4735">
        <f>IF(B4735,(1+Trend)^D4735,"")</f>
        <v/>
      </c>
      <c r="N4735">
        <f>IF(B4735,EXP(SUMPRODUCT(LN(1+(EvEff-1)*INDEX(Affected,0,C4735)*EXP(-((E4735-EvCenter)^2)/(2*EvSigma^2))))),"")</f>
        <v/>
      </c>
      <c r="O4735">
        <f>IF(B4735,ROUND(MAX(0,J4735*K4735*L4735*M4735*N4735),2),"")</f>
        <v/>
      </c>
    </row>
    <row r="4736">
      <c r="A4736" t="n">
        <v>4735</v>
      </c>
      <c r="B4736">
        <f>A4736&lt;=MineCount*Days</f>
        <v/>
      </c>
      <c r="C4736">
        <f>IF(B4736,INT((A4736-1)/Days)+1,"")</f>
        <v/>
      </c>
      <c r="D4736">
        <f>IF(B4736,MOD(A4736-1,Days),"")</f>
        <v/>
      </c>
      <c r="E4736" s="16">
        <f>IF(B4736,StartDate+D4736,"")</f>
        <v/>
      </c>
      <c r="F4736">
        <f>IF(B4736,MAX(MOD(SIN(Seed*0.1373+C4736*12.9898+D4736*78.233)*43758.5453,1),1E-9),"")</f>
        <v/>
      </c>
      <c r="G4736">
        <f>IF(B4736,MOD(SIN(Seed*0.5917+C4736*39.3468+D4736*11.135)*24634.6345,1),"")</f>
        <v/>
      </c>
      <c r="H4736">
        <f>IF(B4736,SQRT(-2*LN(F4736))*COS(2*PI()*G4736),"")</f>
        <v/>
      </c>
      <c r="I4736">
        <f>IF(B4736,IF(D4736=0,H4736,Rho*I4735+SQRT(1-Rho^2)*H4736),"")</f>
        <v/>
      </c>
      <c r="J4736">
        <f>IF(B4736,IF(Dist="Normal",DistA+DistB*I4736,DistA+(DistB-DistA)*NORMSDIST(I4736)),"")</f>
        <v/>
      </c>
      <c r="K4736">
        <f>IF(B4736,INDEX(MineScale,C4736),"")</f>
        <v/>
      </c>
      <c r="L4736">
        <f>IF(B4736,INDEX(Dow,1,WEEKDAY(E4736,2)),"")</f>
        <v/>
      </c>
      <c r="M4736">
        <f>IF(B4736,(1+Trend)^D4736,"")</f>
        <v/>
      </c>
      <c r="N4736">
        <f>IF(B4736,EXP(SUMPRODUCT(LN(1+(EvEff-1)*INDEX(Affected,0,C4736)*EXP(-((E4736-EvCenter)^2)/(2*EvSigma^2))))),"")</f>
        <v/>
      </c>
      <c r="O4736">
        <f>IF(B4736,ROUND(MAX(0,J4736*K4736*L4736*M4736*N4736),2),"")</f>
        <v/>
      </c>
    </row>
    <row r="4737">
      <c r="A4737" t="n">
        <v>4736</v>
      </c>
      <c r="B4737">
        <f>A4737&lt;=MineCount*Days</f>
        <v/>
      </c>
      <c r="C4737">
        <f>IF(B4737,INT((A4737-1)/Days)+1,"")</f>
        <v/>
      </c>
      <c r="D4737">
        <f>IF(B4737,MOD(A4737-1,Days),"")</f>
        <v/>
      </c>
      <c r="E4737" s="16">
        <f>IF(B4737,StartDate+D4737,"")</f>
        <v/>
      </c>
      <c r="F4737">
        <f>IF(B4737,MAX(MOD(SIN(Seed*0.1373+C4737*12.9898+D4737*78.233)*43758.5453,1),1E-9),"")</f>
        <v/>
      </c>
      <c r="G4737">
        <f>IF(B4737,MOD(SIN(Seed*0.5917+C4737*39.3468+D4737*11.135)*24634.6345,1),"")</f>
        <v/>
      </c>
      <c r="H4737">
        <f>IF(B4737,SQRT(-2*LN(F4737))*COS(2*PI()*G4737),"")</f>
        <v/>
      </c>
      <c r="I4737">
        <f>IF(B4737,IF(D4737=0,H4737,Rho*I4736+SQRT(1-Rho^2)*H4737),"")</f>
        <v/>
      </c>
      <c r="J4737">
        <f>IF(B4737,IF(Dist="Normal",DistA+DistB*I4737,DistA+(DistB-DistA)*NORMSDIST(I4737)),"")</f>
        <v/>
      </c>
      <c r="K4737">
        <f>IF(B4737,INDEX(MineScale,C4737),"")</f>
        <v/>
      </c>
      <c r="L4737">
        <f>IF(B4737,INDEX(Dow,1,WEEKDAY(E4737,2)),"")</f>
        <v/>
      </c>
      <c r="M4737">
        <f>IF(B4737,(1+Trend)^D4737,"")</f>
        <v/>
      </c>
      <c r="N4737">
        <f>IF(B4737,EXP(SUMPRODUCT(LN(1+(EvEff-1)*INDEX(Affected,0,C4737)*EXP(-((E4737-EvCenter)^2)/(2*EvSigma^2))))),"")</f>
        <v/>
      </c>
      <c r="O4737">
        <f>IF(B4737,ROUND(MAX(0,J4737*K4737*L4737*M4737*N4737),2),"")</f>
        <v/>
      </c>
    </row>
    <row r="4738">
      <c r="A4738" t="n">
        <v>4737</v>
      </c>
      <c r="B4738">
        <f>A4738&lt;=MineCount*Days</f>
        <v/>
      </c>
      <c r="C4738">
        <f>IF(B4738,INT((A4738-1)/Days)+1,"")</f>
        <v/>
      </c>
      <c r="D4738">
        <f>IF(B4738,MOD(A4738-1,Days),"")</f>
        <v/>
      </c>
      <c r="E4738" s="16">
        <f>IF(B4738,StartDate+D4738,"")</f>
        <v/>
      </c>
      <c r="F4738">
        <f>IF(B4738,MAX(MOD(SIN(Seed*0.1373+C4738*12.9898+D4738*78.233)*43758.5453,1),1E-9),"")</f>
        <v/>
      </c>
      <c r="G4738">
        <f>IF(B4738,MOD(SIN(Seed*0.5917+C4738*39.3468+D4738*11.135)*24634.6345,1),"")</f>
        <v/>
      </c>
      <c r="H4738">
        <f>IF(B4738,SQRT(-2*LN(F4738))*COS(2*PI()*G4738),"")</f>
        <v/>
      </c>
      <c r="I4738">
        <f>IF(B4738,IF(D4738=0,H4738,Rho*I4737+SQRT(1-Rho^2)*H4738),"")</f>
        <v/>
      </c>
      <c r="J4738">
        <f>IF(B4738,IF(Dist="Normal",DistA+DistB*I4738,DistA+(DistB-DistA)*NORMSDIST(I4738)),"")</f>
        <v/>
      </c>
      <c r="K4738">
        <f>IF(B4738,INDEX(MineScale,C4738),"")</f>
        <v/>
      </c>
      <c r="L4738">
        <f>IF(B4738,INDEX(Dow,1,WEEKDAY(E4738,2)),"")</f>
        <v/>
      </c>
      <c r="M4738">
        <f>IF(B4738,(1+Trend)^D4738,"")</f>
        <v/>
      </c>
      <c r="N4738">
        <f>IF(B4738,EXP(SUMPRODUCT(LN(1+(EvEff-1)*INDEX(Affected,0,C4738)*EXP(-((E4738-EvCenter)^2)/(2*EvSigma^2))))),"")</f>
        <v/>
      </c>
      <c r="O4738">
        <f>IF(B4738,ROUND(MAX(0,J4738*K4738*L4738*M4738*N4738),2),"")</f>
        <v/>
      </c>
    </row>
    <row r="4739">
      <c r="A4739" t="n">
        <v>4738</v>
      </c>
      <c r="B4739">
        <f>A4739&lt;=MineCount*Days</f>
        <v/>
      </c>
      <c r="C4739">
        <f>IF(B4739,INT((A4739-1)/Days)+1,"")</f>
        <v/>
      </c>
      <c r="D4739">
        <f>IF(B4739,MOD(A4739-1,Days),"")</f>
        <v/>
      </c>
      <c r="E4739" s="16">
        <f>IF(B4739,StartDate+D4739,"")</f>
        <v/>
      </c>
      <c r="F4739">
        <f>IF(B4739,MAX(MOD(SIN(Seed*0.1373+C4739*12.9898+D4739*78.233)*43758.5453,1),1E-9),"")</f>
        <v/>
      </c>
      <c r="G4739">
        <f>IF(B4739,MOD(SIN(Seed*0.5917+C4739*39.3468+D4739*11.135)*24634.6345,1),"")</f>
        <v/>
      </c>
      <c r="H4739">
        <f>IF(B4739,SQRT(-2*LN(F4739))*COS(2*PI()*G4739),"")</f>
        <v/>
      </c>
      <c r="I4739">
        <f>IF(B4739,IF(D4739=0,H4739,Rho*I4738+SQRT(1-Rho^2)*H4739),"")</f>
        <v/>
      </c>
      <c r="J4739">
        <f>IF(B4739,IF(Dist="Normal",DistA+DistB*I4739,DistA+(DistB-DistA)*NORMSDIST(I4739)),"")</f>
        <v/>
      </c>
      <c r="K4739">
        <f>IF(B4739,INDEX(MineScale,C4739),"")</f>
        <v/>
      </c>
      <c r="L4739">
        <f>IF(B4739,INDEX(Dow,1,WEEKDAY(E4739,2)),"")</f>
        <v/>
      </c>
      <c r="M4739">
        <f>IF(B4739,(1+Trend)^D4739,"")</f>
        <v/>
      </c>
      <c r="N4739">
        <f>IF(B4739,EXP(SUMPRODUCT(LN(1+(EvEff-1)*INDEX(Affected,0,C4739)*EXP(-((E4739-EvCenter)^2)/(2*EvSigma^2))))),"")</f>
        <v/>
      </c>
      <c r="O4739">
        <f>IF(B4739,ROUND(MAX(0,J4739*K4739*L4739*M4739*N4739),2),"")</f>
        <v/>
      </c>
    </row>
    <row r="4740">
      <c r="A4740" t="n">
        <v>4739</v>
      </c>
      <c r="B4740">
        <f>A4740&lt;=MineCount*Days</f>
        <v/>
      </c>
      <c r="C4740">
        <f>IF(B4740,INT((A4740-1)/Days)+1,"")</f>
        <v/>
      </c>
      <c r="D4740">
        <f>IF(B4740,MOD(A4740-1,Days),"")</f>
        <v/>
      </c>
      <c r="E4740" s="16">
        <f>IF(B4740,StartDate+D4740,"")</f>
        <v/>
      </c>
      <c r="F4740">
        <f>IF(B4740,MAX(MOD(SIN(Seed*0.1373+C4740*12.9898+D4740*78.233)*43758.5453,1),1E-9),"")</f>
        <v/>
      </c>
      <c r="G4740">
        <f>IF(B4740,MOD(SIN(Seed*0.5917+C4740*39.3468+D4740*11.135)*24634.6345,1),"")</f>
        <v/>
      </c>
      <c r="H4740">
        <f>IF(B4740,SQRT(-2*LN(F4740))*COS(2*PI()*G4740),"")</f>
        <v/>
      </c>
      <c r="I4740">
        <f>IF(B4740,IF(D4740=0,H4740,Rho*I4739+SQRT(1-Rho^2)*H4740),"")</f>
        <v/>
      </c>
      <c r="J4740">
        <f>IF(B4740,IF(Dist="Normal",DistA+DistB*I4740,DistA+(DistB-DistA)*NORMSDIST(I4740)),"")</f>
        <v/>
      </c>
      <c r="K4740">
        <f>IF(B4740,INDEX(MineScale,C4740),"")</f>
        <v/>
      </c>
      <c r="L4740">
        <f>IF(B4740,INDEX(Dow,1,WEEKDAY(E4740,2)),"")</f>
        <v/>
      </c>
      <c r="M4740">
        <f>IF(B4740,(1+Trend)^D4740,"")</f>
        <v/>
      </c>
      <c r="N4740">
        <f>IF(B4740,EXP(SUMPRODUCT(LN(1+(EvEff-1)*INDEX(Affected,0,C4740)*EXP(-((E4740-EvCenter)^2)/(2*EvSigma^2))))),"")</f>
        <v/>
      </c>
      <c r="O4740">
        <f>IF(B4740,ROUND(MAX(0,J4740*K4740*L4740*M4740*N4740),2),"")</f>
        <v/>
      </c>
    </row>
    <row r="4741">
      <c r="A4741" t="n">
        <v>4740</v>
      </c>
      <c r="B4741">
        <f>A4741&lt;=MineCount*Days</f>
        <v/>
      </c>
      <c r="C4741">
        <f>IF(B4741,INT((A4741-1)/Days)+1,"")</f>
        <v/>
      </c>
      <c r="D4741">
        <f>IF(B4741,MOD(A4741-1,Days),"")</f>
        <v/>
      </c>
      <c r="E4741" s="16">
        <f>IF(B4741,StartDate+D4741,"")</f>
        <v/>
      </c>
      <c r="F4741">
        <f>IF(B4741,MAX(MOD(SIN(Seed*0.1373+C4741*12.9898+D4741*78.233)*43758.5453,1),1E-9),"")</f>
        <v/>
      </c>
      <c r="G4741">
        <f>IF(B4741,MOD(SIN(Seed*0.5917+C4741*39.3468+D4741*11.135)*24634.6345,1),"")</f>
        <v/>
      </c>
      <c r="H4741">
        <f>IF(B4741,SQRT(-2*LN(F4741))*COS(2*PI()*G4741),"")</f>
        <v/>
      </c>
      <c r="I4741">
        <f>IF(B4741,IF(D4741=0,H4741,Rho*I4740+SQRT(1-Rho^2)*H4741),"")</f>
        <v/>
      </c>
      <c r="J4741">
        <f>IF(B4741,IF(Dist="Normal",DistA+DistB*I4741,DistA+(DistB-DistA)*NORMSDIST(I4741)),"")</f>
        <v/>
      </c>
      <c r="K4741">
        <f>IF(B4741,INDEX(MineScale,C4741),"")</f>
        <v/>
      </c>
      <c r="L4741">
        <f>IF(B4741,INDEX(Dow,1,WEEKDAY(E4741,2)),"")</f>
        <v/>
      </c>
      <c r="M4741">
        <f>IF(B4741,(1+Trend)^D4741,"")</f>
        <v/>
      </c>
      <c r="N4741">
        <f>IF(B4741,EXP(SUMPRODUCT(LN(1+(EvEff-1)*INDEX(Affected,0,C4741)*EXP(-((E4741-EvCenter)^2)/(2*EvSigma^2))))),"")</f>
        <v/>
      </c>
      <c r="O4741">
        <f>IF(B4741,ROUND(MAX(0,J4741*K4741*L4741*M4741*N4741),2),"")</f>
        <v/>
      </c>
    </row>
    <row r="4742">
      <c r="A4742" t="n">
        <v>4741</v>
      </c>
      <c r="B4742">
        <f>A4742&lt;=MineCount*Days</f>
        <v/>
      </c>
      <c r="C4742">
        <f>IF(B4742,INT((A4742-1)/Days)+1,"")</f>
        <v/>
      </c>
      <c r="D4742">
        <f>IF(B4742,MOD(A4742-1,Days),"")</f>
        <v/>
      </c>
      <c r="E4742" s="16">
        <f>IF(B4742,StartDate+D4742,"")</f>
        <v/>
      </c>
      <c r="F4742">
        <f>IF(B4742,MAX(MOD(SIN(Seed*0.1373+C4742*12.9898+D4742*78.233)*43758.5453,1),1E-9),"")</f>
        <v/>
      </c>
      <c r="G4742">
        <f>IF(B4742,MOD(SIN(Seed*0.5917+C4742*39.3468+D4742*11.135)*24634.6345,1),"")</f>
        <v/>
      </c>
      <c r="H4742">
        <f>IF(B4742,SQRT(-2*LN(F4742))*COS(2*PI()*G4742),"")</f>
        <v/>
      </c>
      <c r="I4742">
        <f>IF(B4742,IF(D4742=0,H4742,Rho*I4741+SQRT(1-Rho^2)*H4742),"")</f>
        <v/>
      </c>
      <c r="J4742">
        <f>IF(B4742,IF(Dist="Normal",DistA+DistB*I4742,DistA+(DistB-DistA)*NORMSDIST(I4742)),"")</f>
        <v/>
      </c>
      <c r="K4742">
        <f>IF(B4742,INDEX(MineScale,C4742),"")</f>
        <v/>
      </c>
      <c r="L4742">
        <f>IF(B4742,INDEX(Dow,1,WEEKDAY(E4742,2)),"")</f>
        <v/>
      </c>
      <c r="M4742">
        <f>IF(B4742,(1+Trend)^D4742,"")</f>
        <v/>
      </c>
      <c r="N4742">
        <f>IF(B4742,EXP(SUMPRODUCT(LN(1+(EvEff-1)*INDEX(Affected,0,C4742)*EXP(-((E4742-EvCenter)^2)/(2*EvSigma^2))))),"")</f>
        <v/>
      </c>
      <c r="O4742">
        <f>IF(B4742,ROUND(MAX(0,J4742*K4742*L4742*M4742*N4742),2),"")</f>
        <v/>
      </c>
    </row>
    <row r="4743">
      <c r="A4743" t="n">
        <v>4742</v>
      </c>
      <c r="B4743">
        <f>A4743&lt;=MineCount*Days</f>
        <v/>
      </c>
      <c r="C4743">
        <f>IF(B4743,INT((A4743-1)/Days)+1,"")</f>
        <v/>
      </c>
      <c r="D4743">
        <f>IF(B4743,MOD(A4743-1,Days),"")</f>
        <v/>
      </c>
      <c r="E4743" s="16">
        <f>IF(B4743,StartDate+D4743,"")</f>
        <v/>
      </c>
      <c r="F4743">
        <f>IF(B4743,MAX(MOD(SIN(Seed*0.1373+C4743*12.9898+D4743*78.233)*43758.5453,1),1E-9),"")</f>
        <v/>
      </c>
      <c r="G4743">
        <f>IF(B4743,MOD(SIN(Seed*0.5917+C4743*39.3468+D4743*11.135)*24634.6345,1),"")</f>
        <v/>
      </c>
      <c r="H4743">
        <f>IF(B4743,SQRT(-2*LN(F4743))*COS(2*PI()*G4743),"")</f>
        <v/>
      </c>
      <c r="I4743">
        <f>IF(B4743,IF(D4743=0,H4743,Rho*I4742+SQRT(1-Rho^2)*H4743),"")</f>
        <v/>
      </c>
      <c r="J4743">
        <f>IF(B4743,IF(Dist="Normal",DistA+DistB*I4743,DistA+(DistB-DistA)*NORMSDIST(I4743)),"")</f>
        <v/>
      </c>
      <c r="K4743">
        <f>IF(B4743,INDEX(MineScale,C4743),"")</f>
        <v/>
      </c>
      <c r="L4743">
        <f>IF(B4743,INDEX(Dow,1,WEEKDAY(E4743,2)),"")</f>
        <v/>
      </c>
      <c r="M4743">
        <f>IF(B4743,(1+Trend)^D4743,"")</f>
        <v/>
      </c>
      <c r="N4743">
        <f>IF(B4743,EXP(SUMPRODUCT(LN(1+(EvEff-1)*INDEX(Affected,0,C4743)*EXP(-((E4743-EvCenter)^2)/(2*EvSigma^2))))),"")</f>
        <v/>
      </c>
      <c r="O4743">
        <f>IF(B4743,ROUND(MAX(0,J4743*K4743*L4743*M4743*N4743),2),"")</f>
        <v/>
      </c>
    </row>
    <row r="4744">
      <c r="A4744" t="n">
        <v>4743</v>
      </c>
      <c r="B4744">
        <f>A4744&lt;=MineCount*Days</f>
        <v/>
      </c>
      <c r="C4744">
        <f>IF(B4744,INT((A4744-1)/Days)+1,"")</f>
        <v/>
      </c>
      <c r="D4744">
        <f>IF(B4744,MOD(A4744-1,Days),"")</f>
        <v/>
      </c>
      <c r="E4744" s="16">
        <f>IF(B4744,StartDate+D4744,"")</f>
        <v/>
      </c>
      <c r="F4744">
        <f>IF(B4744,MAX(MOD(SIN(Seed*0.1373+C4744*12.9898+D4744*78.233)*43758.5453,1),1E-9),"")</f>
        <v/>
      </c>
      <c r="G4744">
        <f>IF(B4744,MOD(SIN(Seed*0.5917+C4744*39.3468+D4744*11.135)*24634.6345,1),"")</f>
        <v/>
      </c>
      <c r="H4744">
        <f>IF(B4744,SQRT(-2*LN(F4744))*COS(2*PI()*G4744),"")</f>
        <v/>
      </c>
      <c r="I4744">
        <f>IF(B4744,IF(D4744=0,H4744,Rho*I4743+SQRT(1-Rho^2)*H4744),"")</f>
        <v/>
      </c>
      <c r="J4744">
        <f>IF(B4744,IF(Dist="Normal",DistA+DistB*I4744,DistA+(DistB-DistA)*NORMSDIST(I4744)),"")</f>
        <v/>
      </c>
      <c r="K4744">
        <f>IF(B4744,INDEX(MineScale,C4744),"")</f>
        <v/>
      </c>
      <c r="L4744">
        <f>IF(B4744,INDEX(Dow,1,WEEKDAY(E4744,2)),"")</f>
        <v/>
      </c>
      <c r="M4744">
        <f>IF(B4744,(1+Trend)^D4744,"")</f>
        <v/>
      </c>
      <c r="N4744">
        <f>IF(B4744,EXP(SUMPRODUCT(LN(1+(EvEff-1)*INDEX(Affected,0,C4744)*EXP(-((E4744-EvCenter)^2)/(2*EvSigma^2))))),"")</f>
        <v/>
      </c>
      <c r="O4744">
        <f>IF(B4744,ROUND(MAX(0,J4744*K4744*L4744*M4744*N4744),2),"")</f>
        <v/>
      </c>
    </row>
    <row r="4745">
      <c r="A4745" t="n">
        <v>4744</v>
      </c>
      <c r="B4745">
        <f>A4745&lt;=MineCount*Days</f>
        <v/>
      </c>
      <c r="C4745">
        <f>IF(B4745,INT((A4745-1)/Days)+1,"")</f>
        <v/>
      </c>
      <c r="D4745">
        <f>IF(B4745,MOD(A4745-1,Days),"")</f>
        <v/>
      </c>
      <c r="E4745" s="16">
        <f>IF(B4745,StartDate+D4745,"")</f>
        <v/>
      </c>
      <c r="F4745">
        <f>IF(B4745,MAX(MOD(SIN(Seed*0.1373+C4745*12.9898+D4745*78.233)*43758.5453,1),1E-9),"")</f>
        <v/>
      </c>
      <c r="G4745">
        <f>IF(B4745,MOD(SIN(Seed*0.5917+C4745*39.3468+D4745*11.135)*24634.6345,1),"")</f>
        <v/>
      </c>
      <c r="H4745">
        <f>IF(B4745,SQRT(-2*LN(F4745))*COS(2*PI()*G4745),"")</f>
        <v/>
      </c>
      <c r="I4745">
        <f>IF(B4745,IF(D4745=0,H4745,Rho*I4744+SQRT(1-Rho^2)*H4745),"")</f>
        <v/>
      </c>
      <c r="J4745">
        <f>IF(B4745,IF(Dist="Normal",DistA+DistB*I4745,DistA+(DistB-DistA)*NORMSDIST(I4745)),"")</f>
        <v/>
      </c>
      <c r="K4745">
        <f>IF(B4745,INDEX(MineScale,C4745),"")</f>
        <v/>
      </c>
      <c r="L4745">
        <f>IF(B4745,INDEX(Dow,1,WEEKDAY(E4745,2)),"")</f>
        <v/>
      </c>
      <c r="M4745">
        <f>IF(B4745,(1+Trend)^D4745,"")</f>
        <v/>
      </c>
      <c r="N4745">
        <f>IF(B4745,EXP(SUMPRODUCT(LN(1+(EvEff-1)*INDEX(Affected,0,C4745)*EXP(-((E4745-EvCenter)^2)/(2*EvSigma^2))))),"")</f>
        <v/>
      </c>
      <c r="O4745">
        <f>IF(B4745,ROUND(MAX(0,J4745*K4745*L4745*M4745*N4745),2),"")</f>
        <v/>
      </c>
    </row>
    <row r="4746">
      <c r="A4746" t="n">
        <v>4745</v>
      </c>
      <c r="B4746">
        <f>A4746&lt;=MineCount*Days</f>
        <v/>
      </c>
      <c r="C4746">
        <f>IF(B4746,INT((A4746-1)/Days)+1,"")</f>
        <v/>
      </c>
      <c r="D4746">
        <f>IF(B4746,MOD(A4746-1,Days),"")</f>
        <v/>
      </c>
      <c r="E4746" s="16">
        <f>IF(B4746,StartDate+D4746,"")</f>
        <v/>
      </c>
      <c r="F4746">
        <f>IF(B4746,MAX(MOD(SIN(Seed*0.1373+C4746*12.9898+D4746*78.233)*43758.5453,1),1E-9),"")</f>
        <v/>
      </c>
      <c r="G4746">
        <f>IF(B4746,MOD(SIN(Seed*0.5917+C4746*39.3468+D4746*11.135)*24634.6345,1),"")</f>
        <v/>
      </c>
      <c r="H4746">
        <f>IF(B4746,SQRT(-2*LN(F4746))*COS(2*PI()*G4746),"")</f>
        <v/>
      </c>
      <c r="I4746">
        <f>IF(B4746,IF(D4746=0,H4746,Rho*I4745+SQRT(1-Rho^2)*H4746),"")</f>
        <v/>
      </c>
      <c r="J4746">
        <f>IF(B4746,IF(Dist="Normal",DistA+DistB*I4746,DistA+(DistB-DistA)*NORMSDIST(I4746)),"")</f>
        <v/>
      </c>
      <c r="K4746">
        <f>IF(B4746,INDEX(MineScale,C4746),"")</f>
        <v/>
      </c>
      <c r="L4746">
        <f>IF(B4746,INDEX(Dow,1,WEEKDAY(E4746,2)),"")</f>
        <v/>
      </c>
      <c r="M4746">
        <f>IF(B4746,(1+Trend)^D4746,"")</f>
        <v/>
      </c>
      <c r="N4746">
        <f>IF(B4746,EXP(SUMPRODUCT(LN(1+(EvEff-1)*INDEX(Affected,0,C4746)*EXP(-((E4746-EvCenter)^2)/(2*EvSigma^2))))),"")</f>
        <v/>
      </c>
      <c r="O4746">
        <f>IF(B4746,ROUND(MAX(0,J4746*K4746*L4746*M4746*N4746),2),"")</f>
        <v/>
      </c>
    </row>
    <row r="4747">
      <c r="A4747" t="n">
        <v>4746</v>
      </c>
      <c r="B4747">
        <f>A4747&lt;=MineCount*Days</f>
        <v/>
      </c>
      <c r="C4747">
        <f>IF(B4747,INT((A4747-1)/Days)+1,"")</f>
        <v/>
      </c>
      <c r="D4747">
        <f>IF(B4747,MOD(A4747-1,Days),"")</f>
        <v/>
      </c>
      <c r="E4747" s="16">
        <f>IF(B4747,StartDate+D4747,"")</f>
        <v/>
      </c>
      <c r="F4747">
        <f>IF(B4747,MAX(MOD(SIN(Seed*0.1373+C4747*12.9898+D4747*78.233)*43758.5453,1),1E-9),"")</f>
        <v/>
      </c>
      <c r="G4747">
        <f>IF(B4747,MOD(SIN(Seed*0.5917+C4747*39.3468+D4747*11.135)*24634.6345,1),"")</f>
        <v/>
      </c>
      <c r="H4747">
        <f>IF(B4747,SQRT(-2*LN(F4747))*COS(2*PI()*G4747),"")</f>
        <v/>
      </c>
      <c r="I4747">
        <f>IF(B4747,IF(D4747=0,H4747,Rho*I4746+SQRT(1-Rho^2)*H4747),"")</f>
        <v/>
      </c>
      <c r="J4747">
        <f>IF(B4747,IF(Dist="Normal",DistA+DistB*I4747,DistA+(DistB-DistA)*NORMSDIST(I4747)),"")</f>
        <v/>
      </c>
      <c r="K4747">
        <f>IF(B4747,INDEX(MineScale,C4747),"")</f>
        <v/>
      </c>
      <c r="L4747">
        <f>IF(B4747,INDEX(Dow,1,WEEKDAY(E4747,2)),"")</f>
        <v/>
      </c>
      <c r="M4747">
        <f>IF(B4747,(1+Trend)^D4747,"")</f>
        <v/>
      </c>
      <c r="N4747">
        <f>IF(B4747,EXP(SUMPRODUCT(LN(1+(EvEff-1)*INDEX(Affected,0,C4747)*EXP(-((E4747-EvCenter)^2)/(2*EvSigma^2))))),"")</f>
        <v/>
      </c>
      <c r="O4747">
        <f>IF(B4747,ROUND(MAX(0,J4747*K4747*L4747*M4747*N4747),2),"")</f>
        <v/>
      </c>
    </row>
    <row r="4748">
      <c r="A4748" t="n">
        <v>4747</v>
      </c>
      <c r="B4748">
        <f>A4748&lt;=MineCount*Days</f>
        <v/>
      </c>
      <c r="C4748">
        <f>IF(B4748,INT((A4748-1)/Days)+1,"")</f>
        <v/>
      </c>
      <c r="D4748">
        <f>IF(B4748,MOD(A4748-1,Days),"")</f>
        <v/>
      </c>
      <c r="E4748" s="16">
        <f>IF(B4748,StartDate+D4748,"")</f>
        <v/>
      </c>
      <c r="F4748">
        <f>IF(B4748,MAX(MOD(SIN(Seed*0.1373+C4748*12.9898+D4748*78.233)*43758.5453,1),1E-9),"")</f>
        <v/>
      </c>
      <c r="G4748">
        <f>IF(B4748,MOD(SIN(Seed*0.5917+C4748*39.3468+D4748*11.135)*24634.6345,1),"")</f>
        <v/>
      </c>
      <c r="H4748">
        <f>IF(B4748,SQRT(-2*LN(F4748))*COS(2*PI()*G4748),"")</f>
        <v/>
      </c>
      <c r="I4748">
        <f>IF(B4748,IF(D4748=0,H4748,Rho*I4747+SQRT(1-Rho^2)*H4748),"")</f>
        <v/>
      </c>
      <c r="J4748">
        <f>IF(B4748,IF(Dist="Normal",DistA+DistB*I4748,DistA+(DistB-DistA)*NORMSDIST(I4748)),"")</f>
        <v/>
      </c>
      <c r="K4748">
        <f>IF(B4748,INDEX(MineScale,C4748),"")</f>
        <v/>
      </c>
      <c r="L4748">
        <f>IF(B4748,INDEX(Dow,1,WEEKDAY(E4748,2)),"")</f>
        <v/>
      </c>
      <c r="M4748">
        <f>IF(B4748,(1+Trend)^D4748,"")</f>
        <v/>
      </c>
      <c r="N4748">
        <f>IF(B4748,EXP(SUMPRODUCT(LN(1+(EvEff-1)*INDEX(Affected,0,C4748)*EXP(-((E4748-EvCenter)^2)/(2*EvSigma^2))))),"")</f>
        <v/>
      </c>
      <c r="O4748">
        <f>IF(B4748,ROUND(MAX(0,J4748*K4748*L4748*M4748*N4748),2),"")</f>
        <v/>
      </c>
    </row>
    <row r="4749">
      <c r="A4749" t="n">
        <v>4748</v>
      </c>
      <c r="B4749">
        <f>A4749&lt;=MineCount*Days</f>
        <v/>
      </c>
      <c r="C4749">
        <f>IF(B4749,INT((A4749-1)/Days)+1,"")</f>
        <v/>
      </c>
      <c r="D4749">
        <f>IF(B4749,MOD(A4749-1,Days),"")</f>
        <v/>
      </c>
      <c r="E4749" s="16">
        <f>IF(B4749,StartDate+D4749,"")</f>
        <v/>
      </c>
      <c r="F4749">
        <f>IF(B4749,MAX(MOD(SIN(Seed*0.1373+C4749*12.9898+D4749*78.233)*43758.5453,1),1E-9),"")</f>
        <v/>
      </c>
      <c r="G4749">
        <f>IF(B4749,MOD(SIN(Seed*0.5917+C4749*39.3468+D4749*11.135)*24634.6345,1),"")</f>
        <v/>
      </c>
      <c r="H4749">
        <f>IF(B4749,SQRT(-2*LN(F4749))*COS(2*PI()*G4749),"")</f>
        <v/>
      </c>
      <c r="I4749">
        <f>IF(B4749,IF(D4749=0,H4749,Rho*I4748+SQRT(1-Rho^2)*H4749),"")</f>
        <v/>
      </c>
      <c r="J4749">
        <f>IF(B4749,IF(Dist="Normal",DistA+DistB*I4749,DistA+(DistB-DistA)*NORMSDIST(I4749)),"")</f>
        <v/>
      </c>
      <c r="K4749">
        <f>IF(B4749,INDEX(MineScale,C4749),"")</f>
        <v/>
      </c>
      <c r="L4749">
        <f>IF(B4749,INDEX(Dow,1,WEEKDAY(E4749,2)),"")</f>
        <v/>
      </c>
      <c r="M4749">
        <f>IF(B4749,(1+Trend)^D4749,"")</f>
        <v/>
      </c>
      <c r="N4749">
        <f>IF(B4749,EXP(SUMPRODUCT(LN(1+(EvEff-1)*INDEX(Affected,0,C4749)*EXP(-((E4749-EvCenter)^2)/(2*EvSigma^2))))),"")</f>
        <v/>
      </c>
      <c r="O4749">
        <f>IF(B4749,ROUND(MAX(0,J4749*K4749*L4749*M4749*N4749),2),"")</f>
        <v/>
      </c>
    </row>
    <row r="4750">
      <c r="A4750" t="n">
        <v>4749</v>
      </c>
      <c r="B4750">
        <f>A4750&lt;=MineCount*Days</f>
        <v/>
      </c>
      <c r="C4750">
        <f>IF(B4750,INT((A4750-1)/Days)+1,"")</f>
        <v/>
      </c>
      <c r="D4750">
        <f>IF(B4750,MOD(A4750-1,Days),"")</f>
        <v/>
      </c>
      <c r="E4750" s="16">
        <f>IF(B4750,StartDate+D4750,"")</f>
        <v/>
      </c>
      <c r="F4750">
        <f>IF(B4750,MAX(MOD(SIN(Seed*0.1373+C4750*12.9898+D4750*78.233)*43758.5453,1),1E-9),"")</f>
        <v/>
      </c>
      <c r="G4750">
        <f>IF(B4750,MOD(SIN(Seed*0.5917+C4750*39.3468+D4750*11.135)*24634.6345,1),"")</f>
        <v/>
      </c>
      <c r="H4750">
        <f>IF(B4750,SQRT(-2*LN(F4750))*COS(2*PI()*G4750),"")</f>
        <v/>
      </c>
      <c r="I4750">
        <f>IF(B4750,IF(D4750=0,H4750,Rho*I4749+SQRT(1-Rho^2)*H4750),"")</f>
        <v/>
      </c>
      <c r="J4750">
        <f>IF(B4750,IF(Dist="Normal",DistA+DistB*I4750,DistA+(DistB-DistA)*NORMSDIST(I4750)),"")</f>
        <v/>
      </c>
      <c r="K4750">
        <f>IF(B4750,INDEX(MineScale,C4750),"")</f>
        <v/>
      </c>
      <c r="L4750">
        <f>IF(B4750,INDEX(Dow,1,WEEKDAY(E4750,2)),"")</f>
        <v/>
      </c>
      <c r="M4750">
        <f>IF(B4750,(1+Trend)^D4750,"")</f>
        <v/>
      </c>
      <c r="N4750">
        <f>IF(B4750,EXP(SUMPRODUCT(LN(1+(EvEff-1)*INDEX(Affected,0,C4750)*EXP(-((E4750-EvCenter)^2)/(2*EvSigma^2))))),"")</f>
        <v/>
      </c>
      <c r="O4750">
        <f>IF(B4750,ROUND(MAX(0,J4750*K4750*L4750*M4750*N4750),2),"")</f>
        <v/>
      </c>
    </row>
    <row r="4751">
      <c r="A4751" t="n">
        <v>4750</v>
      </c>
      <c r="B4751">
        <f>A4751&lt;=MineCount*Days</f>
        <v/>
      </c>
      <c r="C4751">
        <f>IF(B4751,INT((A4751-1)/Days)+1,"")</f>
        <v/>
      </c>
      <c r="D4751">
        <f>IF(B4751,MOD(A4751-1,Days),"")</f>
        <v/>
      </c>
      <c r="E4751" s="16">
        <f>IF(B4751,StartDate+D4751,"")</f>
        <v/>
      </c>
      <c r="F4751">
        <f>IF(B4751,MAX(MOD(SIN(Seed*0.1373+C4751*12.9898+D4751*78.233)*43758.5453,1),1E-9),"")</f>
        <v/>
      </c>
      <c r="G4751">
        <f>IF(B4751,MOD(SIN(Seed*0.5917+C4751*39.3468+D4751*11.135)*24634.6345,1),"")</f>
        <v/>
      </c>
      <c r="H4751">
        <f>IF(B4751,SQRT(-2*LN(F4751))*COS(2*PI()*G4751),"")</f>
        <v/>
      </c>
      <c r="I4751">
        <f>IF(B4751,IF(D4751=0,H4751,Rho*I4750+SQRT(1-Rho^2)*H4751),"")</f>
        <v/>
      </c>
      <c r="J4751">
        <f>IF(B4751,IF(Dist="Normal",DistA+DistB*I4751,DistA+(DistB-DistA)*NORMSDIST(I4751)),"")</f>
        <v/>
      </c>
      <c r="K4751">
        <f>IF(B4751,INDEX(MineScale,C4751),"")</f>
        <v/>
      </c>
      <c r="L4751">
        <f>IF(B4751,INDEX(Dow,1,WEEKDAY(E4751,2)),"")</f>
        <v/>
      </c>
      <c r="M4751">
        <f>IF(B4751,(1+Trend)^D4751,"")</f>
        <v/>
      </c>
      <c r="N4751">
        <f>IF(B4751,EXP(SUMPRODUCT(LN(1+(EvEff-1)*INDEX(Affected,0,C4751)*EXP(-((E4751-EvCenter)^2)/(2*EvSigma^2))))),"")</f>
        <v/>
      </c>
      <c r="O4751">
        <f>IF(B4751,ROUND(MAX(0,J4751*K4751*L4751*M4751*N4751),2),"")</f>
        <v/>
      </c>
    </row>
    <row r="4752">
      <c r="A4752" t="n">
        <v>4751</v>
      </c>
      <c r="B4752">
        <f>A4752&lt;=MineCount*Days</f>
        <v/>
      </c>
      <c r="C4752">
        <f>IF(B4752,INT((A4752-1)/Days)+1,"")</f>
        <v/>
      </c>
      <c r="D4752">
        <f>IF(B4752,MOD(A4752-1,Days),"")</f>
        <v/>
      </c>
      <c r="E4752" s="16">
        <f>IF(B4752,StartDate+D4752,"")</f>
        <v/>
      </c>
      <c r="F4752">
        <f>IF(B4752,MAX(MOD(SIN(Seed*0.1373+C4752*12.9898+D4752*78.233)*43758.5453,1),1E-9),"")</f>
        <v/>
      </c>
      <c r="G4752">
        <f>IF(B4752,MOD(SIN(Seed*0.5917+C4752*39.3468+D4752*11.135)*24634.6345,1),"")</f>
        <v/>
      </c>
      <c r="H4752">
        <f>IF(B4752,SQRT(-2*LN(F4752))*COS(2*PI()*G4752),"")</f>
        <v/>
      </c>
      <c r="I4752">
        <f>IF(B4752,IF(D4752=0,H4752,Rho*I4751+SQRT(1-Rho^2)*H4752),"")</f>
        <v/>
      </c>
      <c r="J4752">
        <f>IF(B4752,IF(Dist="Normal",DistA+DistB*I4752,DistA+(DistB-DistA)*NORMSDIST(I4752)),"")</f>
        <v/>
      </c>
      <c r="K4752">
        <f>IF(B4752,INDEX(MineScale,C4752),"")</f>
        <v/>
      </c>
      <c r="L4752">
        <f>IF(B4752,INDEX(Dow,1,WEEKDAY(E4752,2)),"")</f>
        <v/>
      </c>
      <c r="M4752">
        <f>IF(B4752,(1+Trend)^D4752,"")</f>
        <v/>
      </c>
      <c r="N4752">
        <f>IF(B4752,EXP(SUMPRODUCT(LN(1+(EvEff-1)*INDEX(Affected,0,C4752)*EXP(-((E4752-EvCenter)^2)/(2*EvSigma^2))))),"")</f>
        <v/>
      </c>
      <c r="O4752">
        <f>IF(B4752,ROUND(MAX(0,J4752*K4752*L4752*M4752*N4752),2),"")</f>
        <v/>
      </c>
    </row>
    <row r="4753">
      <c r="A4753" t="n">
        <v>4752</v>
      </c>
      <c r="B4753">
        <f>A4753&lt;=MineCount*Days</f>
        <v/>
      </c>
      <c r="C4753">
        <f>IF(B4753,INT((A4753-1)/Days)+1,"")</f>
        <v/>
      </c>
      <c r="D4753">
        <f>IF(B4753,MOD(A4753-1,Days),"")</f>
        <v/>
      </c>
      <c r="E4753" s="16">
        <f>IF(B4753,StartDate+D4753,"")</f>
        <v/>
      </c>
      <c r="F4753">
        <f>IF(B4753,MAX(MOD(SIN(Seed*0.1373+C4753*12.9898+D4753*78.233)*43758.5453,1),1E-9),"")</f>
        <v/>
      </c>
      <c r="G4753">
        <f>IF(B4753,MOD(SIN(Seed*0.5917+C4753*39.3468+D4753*11.135)*24634.6345,1),"")</f>
        <v/>
      </c>
      <c r="H4753">
        <f>IF(B4753,SQRT(-2*LN(F4753))*COS(2*PI()*G4753),"")</f>
        <v/>
      </c>
      <c r="I4753">
        <f>IF(B4753,IF(D4753=0,H4753,Rho*I4752+SQRT(1-Rho^2)*H4753),"")</f>
        <v/>
      </c>
      <c r="J4753">
        <f>IF(B4753,IF(Dist="Normal",DistA+DistB*I4753,DistA+(DistB-DistA)*NORMSDIST(I4753)),"")</f>
        <v/>
      </c>
      <c r="K4753">
        <f>IF(B4753,INDEX(MineScale,C4753),"")</f>
        <v/>
      </c>
      <c r="L4753">
        <f>IF(B4753,INDEX(Dow,1,WEEKDAY(E4753,2)),"")</f>
        <v/>
      </c>
      <c r="M4753">
        <f>IF(B4753,(1+Trend)^D4753,"")</f>
        <v/>
      </c>
      <c r="N4753">
        <f>IF(B4753,EXP(SUMPRODUCT(LN(1+(EvEff-1)*INDEX(Affected,0,C4753)*EXP(-((E4753-EvCenter)^2)/(2*EvSigma^2))))),"")</f>
        <v/>
      </c>
      <c r="O4753">
        <f>IF(B4753,ROUND(MAX(0,J4753*K4753*L4753*M4753*N4753),2),"")</f>
        <v/>
      </c>
    </row>
    <row r="4754">
      <c r="A4754" t="n">
        <v>4753</v>
      </c>
      <c r="B4754">
        <f>A4754&lt;=MineCount*Days</f>
        <v/>
      </c>
      <c r="C4754">
        <f>IF(B4754,INT((A4754-1)/Days)+1,"")</f>
        <v/>
      </c>
      <c r="D4754">
        <f>IF(B4754,MOD(A4754-1,Days),"")</f>
        <v/>
      </c>
      <c r="E4754" s="16">
        <f>IF(B4754,StartDate+D4754,"")</f>
        <v/>
      </c>
      <c r="F4754">
        <f>IF(B4754,MAX(MOD(SIN(Seed*0.1373+C4754*12.9898+D4754*78.233)*43758.5453,1),1E-9),"")</f>
        <v/>
      </c>
      <c r="G4754">
        <f>IF(B4754,MOD(SIN(Seed*0.5917+C4754*39.3468+D4754*11.135)*24634.6345,1),"")</f>
        <v/>
      </c>
      <c r="H4754">
        <f>IF(B4754,SQRT(-2*LN(F4754))*COS(2*PI()*G4754),"")</f>
        <v/>
      </c>
      <c r="I4754">
        <f>IF(B4754,IF(D4754=0,H4754,Rho*I4753+SQRT(1-Rho^2)*H4754),"")</f>
        <v/>
      </c>
      <c r="J4754">
        <f>IF(B4754,IF(Dist="Normal",DistA+DistB*I4754,DistA+(DistB-DistA)*NORMSDIST(I4754)),"")</f>
        <v/>
      </c>
      <c r="K4754">
        <f>IF(B4754,INDEX(MineScale,C4754),"")</f>
        <v/>
      </c>
      <c r="L4754">
        <f>IF(B4754,INDEX(Dow,1,WEEKDAY(E4754,2)),"")</f>
        <v/>
      </c>
      <c r="M4754">
        <f>IF(B4754,(1+Trend)^D4754,"")</f>
        <v/>
      </c>
      <c r="N4754">
        <f>IF(B4754,EXP(SUMPRODUCT(LN(1+(EvEff-1)*INDEX(Affected,0,C4754)*EXP(-((E4754-EvCenter)^2)/(2*EvSigma^2))))),"")</f>
        <v/>
      </c>
      <c r="O4754">
        <f>IF(B4754,ROUND(MAX(0,J4754*K4754*L4754*M4754*N4754),2),"")</f>
        <v/>
      </c>
    </row>
    <row r="4755">
      <c r="A4755" t="n">
        <v>4754</v>
      </c>
      <c r="B4755">
        <f>A4755&lt;=MineCount*Days</f>
        <v/>
      </c>
      <c r="C4755">
        <f>IF(B4755,INT((A4755-1)/Days)+1,"")</f>
        <v/>
      </c>
      <c r="D4755">
        <f>IF(B4755,MOD(A4755-1,Days),"")</f>
        <v/>
      </c>
      <c r="E4755" s="16">
        <f>IF(B4755,StartDate+D4755,"")</f>
        <v/>
      </c>
      <c r="F4755">
        <f>IF(B4755,MAX(MOD(SIN(Seed*0.1373+C4755*12.9898+D4755*78.233)*43758.5453,1),1E-9),"")</f>
        <v/>
      </c>
      <c r="G4755">
        <f>IF(B4755,MOD(SIN(Seed*0.5917+C4755*39.3468+D4755*11.135)*24634.6345,1),"")</f>
        <v/>
      </c>
      <c r="H4755">
        <f>IF(B4755,SQRT(-2*LN(F4755))*COS(2*PI()*G4755),"")</f>
        <v/>
      </c>
      <c r="I4755">
        <f>IF(B4755,IF(D4755=0,H4755,Rho*I4754+SQRT(1-Rho^2)*H4755),"")</f>
        <v/>
      </c>
      <c r="J4755">
        <f>IF(B4755,IF(Dist="Normal",DistA+DistB*I4755,DistA+(DistB-DistA)*NORMSDIST(I4755)),"")</f>
        <v/>
      </c>
      <c r="K4755">
        <f>IF(B4755,INDEX(MineScale,C4755),"")</f>
        <v/>
      </c>
      <c r="L4755">
        <f>IF(B4755,INDEX(Dow,1,WEEKDAY(E4755,2)),"")</f>
        <v/>
      </c>
      <c r="M4755">
        <f>IF(B4755,(1+Trend)^D4755,"")</f>
        <v/>
      </c>
      <c r="N4755">
        <f>IF(B4755,EXP(SUMPRODUCT(LN(1+(EvEff-1)*INDEX(Affected,0,C4755)*EXP(-((E4755-EvCenter)^2)/(2*EvSigma^2))))),"")</f>
        <v/>
      </c>
      <c r="O4755">
        <f>IF(B4755,ROUND(MAX(0,J4755*K4755*L4755*M4755*N4755),2),"")</f>
        <v/>
      </c>
    </row>
    <row r="4756">
      <c r="A4756" t="n">
        <v>4755</v>
      </c>
      <c r="B4756">
        <f>A4756&lt;=MineCount*Days</f>
        <v/>
      </c>
      <c r="C4756">
        <f>IF(B4756,INT((A4756-1)/Days)+1,"")</f>
        <v/>
      </c>
      <c r="D4756">
        <f>IF(B4756,MOD(A4756-1,Days),"")</f>
        <v/>
      </c>
      <c r="E4756" s="16">
        <f>IF(B4756,StartDate+D4756,"")</f>
        <v/>
      </c>
      <c r="F4756">
        <f>IF(B4756,MAX(MOD(SIN(Seed*0.1373+C4756*12.9898+D4756*78.233)*43758.5453,1),1E-9),"")</f>
        <v/>
      </c>
      <c r="G4756">
        <f>IF(B4756,MOD(SIN(Seed*0.5917+C4756*39.3468+D4756*11.135)*24634.6345,1),"")</f>
        <v/>
      </c>
      <c r="H4756">
        <f>IF(B4756,SQRT(-2*LN(F4756))*COS(2*PI()*G4756),"")</f>
        <v/>
      </c>
      <c r="I4756">
        <f>IF(B4756,IF(D4756=0,H4756,Rho*I4755+SQRT(1-Rho^2)*H4756),"")</f>
        <v/>
      </c>
      <c r="J4756">
        <f>IF(B4756,IF(Dist="Normal",DistA+DistB*I4756,DistA+(DistB-DistA)*NORMSDIST(I4756)),"")</f>
        <v/>
      </c>
      <c r="K4756">
        <f>IF(B4756,INDEX(MineScale,C4756),"")</f>
        <v/>
      </c>
      <c r="L4756">
        <f>IF(B4756,INDEX(Dow,1,WEEKDAY(E4756,2)),"")</f>
        <v/>
      </c>
      <c r="M4756">
        <f>IF(B4756,(1+Trend)^D4756,"")</f>
        <v/>
      </c>
      <c r="N4756">
        <f>IF(B4756,EXP(SUMPRODUCT(LN(1+(EvEff-1)*INDEX(Affected,0,C4756)*EXP(-((E4756-EvCenter)^2)/(2*EvSigma^2))))),"")</f>
        <v/>
      </c>
      <c r="O4756">
        <f>IF(B4756,ROUND(MAX(0,J4756*K4756*L4756*M4756*N4756),2),"")</f>
        <v/>
      </c>
    </row>
    <row r="4757">
      <c r="A4757" t="n">
        <v>4756</v>
      </c>
      <c r="B4757">
        <f>A4757&lt;=MineCount*Days</f>
        <v/>
      </c>
      <c r="C4757">
        <f>IF(B4757,INT((A4757-1)/Days)+1,"")</f>
        <v/>
      </c>
      <c r="D4757">
        <f>IF(B4757,MOD(A4757-1,Days),"")</f>
        <v/>
      </c>
      <c r="E4757" s="16">
        <f>IF(B4757,StartDate+D4757,"")</f>
        <v/>
      </c>
      <c r="F4757">
        <f>IF(B4757,MAX(MOD(SIN(Seed*0.1373+C4757*12.9898+D4757*78.233)*43758.5453,1),1E-9),"")</f>
        <v/>
      </c>
      <c r="G4757">
        <f>IF(B4757,MOD(SIN(Seed*0.5917+C4757*39.3468+D4757*11.135)*24634.6345,1),"")</f>
        <v/>
      </c>
      <c r="H4757">
        <f>IF(B4757,SQRT(-2*LN(F4757))*COS(2*PI()*G4757),"")</f>
        <v/>
      </c>
      <c r="I4757">
        <f>IF(B4757,IF(D4757=0,H4757,Rho*I4756+SQRT(1-Rho^2)*H4757),"")</f>
        <v/>
      </c>
      <c r="J4757">
        <f>IF(B4757,IF(Dist="Normal",DistA+DistB*I4757,DistA+(DistB-DistA)*NORMSDIST(I4757)),"")</f>
        <v/>
      </c>
      <c r="K4757">
        <f>IF(B4757,INDEX(MineScale,C4757),"")</f>
        <v/>
      </c>
      <c r="L4757">
        <f>IF(B4757,INDEX(Dow,1,WEEKDAY(E4757,2)),"")</f>
        <v/>
      </c>
      <c r="M4757">
        <f>IF(B4757,(1+Trend)^D4757,"")</f>
        <v/>
      </c>
      <c r="N4757">
        <f>IF(B4757,EXP(SUMPRODUCT(LN(1+(EvEff-1)*INDEX(Affected,0,C4757)*EXP(-((E4757-EvCenter)^2)/(2*EvSigma^2))))),"")</f>
        <v/>
      </c>
      <c r="O4757">
        <f>IF(B4757,ROUND(MAX(0,J4757*K4757*L4757*M4757*N4757),2),"")</f>
        <v/>
      </c>
    </row>
    <row r="4758">
      <c r="A4758" t="n">
        <v>4757</v>
      </c>
      <c r="B4758">
        <f>A4758&lt;=MineCount*Days</f>
        <v/>
      </c>
      <c r="C4758">
        <f>IF(B4758,INT((A4758-1)/Days)+1,"")</f>
        <v/>
      </c>
      <c r="D4758">
        <f>IF(B4758,MOD(A4758-1,Days),"")</f>
        <v/>
      </c>
      <c r="E4758" s="16">
        <f>IF(B4758,StartDate+D4758,"")</f>
        <v/>
      </c>
      <c r="F4758">
        <f>IF(B4758,MAX(MOD(SIN(Seed*0.1373+C4758*12.9898+D4758*78.233)*43758.5453,1),1E-9),"")</f>
        <v/>
      </c>
      <c r="G4758">
        <f>IF(B4758,MOD(SIN(Seed*0.5917+C4758*39.3468+D4758*11.135)*24634.6345,1),"")</f>
        <v/>
      </c>
      <c r="H4758">
        <f>IF(B4758,SQRT(-2*LN(F4758))*COS(2*PI()*G4758),"")</f>
        <v/>
      </c>
      <c r="I4758">
        <f>IF(B4758,IF(D4758=0,H4758,Rho*I4757+SQRT(1-Rho^2)*H4758),"")</f>
        <v/>
      </c>
      <c r="J4758">
        <f>IF(B4758,IF(Dist="Normal",DistA+DistB*I4758,DistA+(DistB-DistA)*NORMSDIST(I4758)),"")</f>
        <v/>
      </c>
      <c r="K4758">
        <f>IF(B4758,INDEX(MineScale,C4758),"")</f>
        <v/>
      </c>
      <c r="L4758">
        <f>IF(B4758,INDEX(Dow,1,WEEKDAY(E4758,2)),"")</f>
        <v/>
      </c>
      <c r="M4758">
        <f>IF(B4758,(1+Trend)^D4758,"")</f>
        <v/>
      </c>
      <c r="N4758">
        <f>IF(B4758,EXP(SUMPRODUCT(LN(1+(EvEff-1)*INDEX(Affected,0,C4758)*EXP(-((E4758-EvCenter)^2)/(2*EvSigma^2))))),"")</f>
        <v/>
      </c>
      <c r="O4758">
        <f>IF(B4758,ROUND(MAX(0,J4758*K4758*L4758*M4758*N4758),2),"")</f>
        <v/>
      </c>
    </row>
    <row r="4759">
      <c r="A4759" t="n">
        <v>4758</v>
      </c>
      <c r="B4759">
        <f>A4759&lt;=MineCount*Days</f>
        <v/>
      </c>
      <c r="C4759">
        <f>IF(B4759,INT((A4759-1)/Days)+1,"")</f>
        <v/>
      </c>
      <c r="D4759">
        <f>IF(B4759,MOD(A4759-1,Days),"")</f>
        <v/>
      </c>
      <c r="E4759" s="16">
        <f>IF(B4759,StartDate+D4759,"")</f>
        <v/>
      </c>
      <c r="F4759">
        <f>IF(B4759,MAX(MOD(SIN(Seed*0.1373+C4759*12.9898+D4759*78.233)*43758.5453,1),1E-9),"")</f>
        <v/>
      </c>
      <c r="G4759">
        <f>IF(B4759,MOD(SIN(Seed*0.5917+C4759*39.3468+D4759*11.135)*24634.6345,1),"")</f>
        <v/>
      </c>
      <c r="H4759">
        <f>IF(B4759,SQRT(-2*LN(F4759))*COS(2*PI()*G4759),"")</f>
        <v/>
      </c>
      <c r="I4759">
        <f>IF(B4759,IF(D4759=0,H4759,Rho*I4758+SQRT(1-Rho^2)*H4759),"")</f>
        <v/>
      </c>
      <c r="J4759">
        <f>IF(B4759,IF(Dist="Normal",DistA+DistB*I4759,DistA+(DistB-DistA)*NORMSDIST(I4759)),"")</f>
        <v/>
      </c>
      <c r="K4759">
        <f>IF(B4759,INDEX(MineScale,C4759),"")</f>
        <v/>
      </c>
      <c r="L4759">
        <f>IF(B4759,INDEX(Dow,1,WEEKDAY(E4759,2)),"")</f>
        <v/>
      </c>
      <c r="M4759">
        <f>IF(B4759,(1+Trend)^D4759,"")</f>
        <v/>
      </c>
      <c r="N4759">
        <f>IF(B4759,EXP(SUMPRODUCT(LN(1+(EvEff-1)*INDEX(Affected,0,C4759)*EXP(-((E4759-EvCenter)^2)/(2*EvSigma^2))))),"")</f>
        <v/>
      </c>
      <c r="O4759">
        <f>IF(B4759,ROUND(MAX(0,J4759*K4759*L4759*M4759*N4759),2),"")</f>
        <v/>
      </c>
    </row>
    <row r="4760">
      <c r="A4760" t="n">
        <v>4759</v>
      </c>
      <c r="B4760">
        <f>A4760&lt;=MineCount*Days</f>
        <v/>
      </c>
      <c r="C4760">
        <f>IF(B4760,INT((A4760-1)/Days)+1,"")</f>
        <v/>
      </c>
      <c r="D4760">
        <f>IF(B4760,MOD(A4760-1,Days),"")</f>
        <v/>
      </c>
      <c r="E4760" s="16">
        <f>IF(B4760,StartDate+D4760,"")</f>
        <v/>
      </c>
      <c r="F4760">
        <f>IF(B4760,MAX(MOD(SIN(Seed*0.1373+C4760*12.9898+D4760*78.233)*43758.5453,1),1E-9),"")</f>
        <v/>
      </c>
      <c r="G4760">
        <f>IF(B4760,MOD(SIN(Seed*0.5917+C4760*39.3468+D4760*11.135)*24634.6345,1),"")</f>
        <v/>
      </c>
      <c r="H4760">
        <f>IF(B4760,SQRT(-2*LN(F4760))*COS(2*PI()*G4760),"")</f>
        <v/>
      </c>
      <c r="I4760">
        <f>IF(B4760,IF(D4760=0,H4760,Rho*I4759+SQRT(1-Rho^2)*H4760),"")</f>
        <v/>
      </c>
      <c r="J4760">
        <f>IF(B4760,IF(Dist="Normal",DistA+DistB*I4760,DistA+(DistB-DistA)*NORMSDIST(I4760)),"")</f>
        <v/>
      </c>
      <c r="K4760">
        <f>IF(B4760,INDEX(MineScale,C4760),"")</f>
        <v/>
      </c>
      <c r="L4760">
        <f>IF(B4760,INDEX(Dow,1,WEEKDAY(E4760,2)),"")</f>
        <v/>
      </c>
      <c r="M4760">
        <f>IF(B4760,(1+Trend)^D4760,"")</f>
        <v/>
      </c>
      <c r="N4760">
        <f>IF(B4760,EXP(SUMPRODUCT(LN(1+(EvEff-1)*INDEX(Affected,0,C4760)*EXP(-((E4760-EvCenter)^2)/(2*EvSigma^2))))),"")</f>
        <v/>
      </c>
      <c r="O4760">
        <f>IF(B4760,ROUND(MAX(0,J4760*K4760*L4760*M4760*N4760),2),"")</f>
        <v/>
      </c>
    </row>
    <row r="4761">
      <c r="A4761" t="n">
        <v>4760</v>
      </c>
      <c r="B4761">
        <f>A4761&lt;=MineCount*Days</f>
        <v/>
      </c>
      <c r="C4761">
        <f>IF(B4761,INT((A4761-1)/Days)+1,"")</f>
        <v/>
      </c>
      <c r="D4761">
        <f>IF(B4761,MOD(A4761-1,Days),"")</f>
        <v/>
      </c>
      <c r="E4761" s="16">
        <f>IF(B4761,StartDate+D4761,"")</f>
        <v/>
      </c>
      <c r="F4761">
        <f>IF(B4761,MAX(MOD(SIN(Seed*0.1373+C4761*12.9898+D4761*78.233)*43758.5453,1),1E-9),"")</f>
        <v/>
      </c>
      <c r="G4761">
        <f>IF(B4761,MOD(SIN(Seed*0.5917+C4761*39.3468+D4761*11.135)*24634.6345,1),"")</f>
        <v/>
      </c>
      <c r="H4761">
        <f>IF(B4761,SQRT(-2*LN(F4761))*COS(2*PI()*G4761),"")</f>
        <v/>
      </c>
      <c r="I4761">
        <f>IF(B4761,IF(D4761=0,H4761,Rho*I4760+SQRT(1-Rho^2)*H4761),"")</f>
        <v/>
      </c>
      <c r="J4761">
        <f>IF(B4761,IF(Dist="Normal",DistA+DistB*I4761,DistA+(DistB-DistA)*NORMSDIST(I4761)),"")</f>
        <v/>
      </c>
      <c r="K4761">
        <f>IF(B4761,INDEX(MineScale,C4761),"")</f>
        <v/>
      </c>
      <c r="L4761">
        <f>IF(B4761,INDEX(Dow,1,WEEKDAY(E4761,2)),"")</f>
        <v/>
      </c>
      <c r="M4761">
        <f>IF(B4761,(1+Trend)^D4761,"")</f>
        <v/>
      </c>
      <c r="N4761">
        <f>IF(B4761,EXP(SUMPRODUCT(LN(1+(EvEff-1)*INDEX(Affected,0,C4761)*EXP(-((E4761-EvCenter)^2)/(2*EvSigma^2))))),"")</f>
        <v/>
      </c>
      <c r="O4761">
        <f>IF(B4761,ROUND(MAX(0,J4761*K4761*L4761*M4761*N4761),2),"")</f>
        <v/>
      </c>
    </row>
    <row r="4762">
      <c r="A4762" t="n">
        <v>4761</v>
      </c>
      <c r="B4762">
        <f>A4762&lt;=MineCount*Days</f>
        <v/>
      </c>
      <c r="C4762">
        <f>IF(B4762,INT((A4762-1)/Days)+1,"")</f>
        <v/>
      </c>
      <c r="D4762">
        <f>IF(B4762,MOD(A4762-1,Days),"")</f>
        <v/>
      </c>
      <c r="E4762" s="16">
        <f>IF(B4762,StartDate+D4762,"")</f>
        <v/>
      </c>
      <c r="F4762">
        <f>IF(B4762,MAX(MOD(SIN(Seed*0.1373+C4762*12.9898+D4762*78.233)*43758.5453,1),1E-9),"")</f>
        <v/>
      </c>
      <c r="G4762">
        <f>IF(B4762,MOD(SIN(Seed*0.5917+C4762*39.3468+D4762*11.135)*24634.6345,1),"")</f>
        <v/>
      </c>
      <c r="H4762">
        <f>IF(B4762,SQRT(-2*LN(F4762))*COS(2*PI()*G4762),"")</f>
        <v/>
      </c>
      <c r="I4762">
        <f>IF(B4762,IF(D4762=0,H4762,Rho*I4761+SQRT(1-Rho^2)*H4762),"")</f>
        <v/>
      </c>
      <c r="J4762">
        <f>IF(B4762,IF(Dist="Normal",DistA+DistB*I4762,DistA+(DistB-DistA)*NORMSDIST(I4762)),"")</f>
        <v/>
      </c>
      <c r="K4762">
        <f>IF(B4762,INDEX(MineScale,C4762),"")</f>
        <v/>
      </c>
      <c r="L4762">
        <f>IF(B4762,INDEX(Dow,1,WEEKDAY(E4762,2)),"")</f>
        <v/>
      </c>
      <c r="M4762">
        <f>IF(B4762,(1+Trend)^D4762,"")</f>
        <v/>
      </c>
      <c r="N4762">
        <f>IF(B4762,EXP(SUMPRODUCT(LN(1+(EvEff-1)*INDEX(Affected,0,C4762)*EXP(-((E4762-EvCenter)^2)/(2*EvSigma^2))))),"")</f>
        <v/>
      </c>
      <c r="O4762">
        <f>IF(B4762,ROUND(MAX(0,J4762*K4762*L4762*M4762*N4762),2),"")</f>
        <v/>
      </c>
    </row>
    <row r="4763">
      <c r="A4763" t="n">
        <v>4762</v>
      </c>
      <c r="B4763">
        <f>A4763&lt;=MineCount*Days</f>
        <v/>
      </c>
      <c r="C4763">
        <f>IF(B4763,INT((A4763-1)/Days)+1,"")</f>
        <v/>
      </c>
      <c r="D4763">
        <f>IF(B4763,MOD(A4763-1,Days),"")</f>
        <v/>
      </c>
      <c r="E4763" s="16">
        <f>IF(B4763,StartDate+D4763,"")</f>
        <v/>
      </c>
      <c r="F4763">
        <f>IF(B4763,MAX(MOD(SIN(Seed*0.1373+C4763*12.9898+D4763*78.233)*43758.5453,1),1E-9),"")</f>
        <v/>
      </c>
      <c r="G4763">
        <f>IF(B4763,MOD(SIN(Seed*0.5917+C4763*39.3468+D4763*11.135)*24634.6345,1),"")</f>
        <v/>
      </c>
      <c r="H4763">
        <f>IF(B4763,SQRT(-2*LN(F4763))*COS(2*PI()*G4763),"")</f>
        <v/>
      </c>
      <c r="I4763">
        <f>IF(B4763,IF(D4763=0,H4763,Rho*I4762+SQRT(1-Rho^2)*H4763),"")</f>
        <v/>
      </c>
      <c r="J4763">
        <f>IF(B4763,IF(Dist="Normal",DistA+DistB*I4763,DistA+(DistB-DistA)*NORMSDIST(I4763)),"")</f>
        <v/>
      </c>
      <c r="K4763">
        <f>IF(B4763,INDEX(MineScale,C4763),"")</f>
        <v/>
      </c>
      <c r="L4763">
        <f>IF(B4763,INDEX(Dow,1,WEEKDAY(E4763,2)),"")</f>
        <v/>
      </c>
      <c r="M4763">
        <f>IF(B4763,(1+Trend)^D4763,"")</f>
        <v/>
      </c>
      <c r="N4763">
        <f>IF(B4763,EXP(SUMPRODUCT(LN(1+(EvEff-1)*INDEX(Affected,0,C4763)*EXP(-((E4763-EvCenter)^2)/(2*EvSigma^2))))),"")</f>
        <v/>
      </c>
      <c r="O4763">
        <f>IF(B4763,ROUND(MAX(0,J4763*K4763*L4763*M4763*N4763),2),"")</f>
        <v/>
      </c>
    </row>
    <row r="4764">
      <c r="A4764" t="n">
        <v>4763</v>
      </c>
      <c r="B4764">
        <f>A4764&lt;=MineCount*Days</f>
        <v/>
      </c>
      <c r="C4764">
        <f>IF(B4764,INT((A4764-1)/Days)+1,"")</f>
        <v/>
      </c>
      <c r="D4764">
        <f>IF(B4764,MOD(A4764-1,Days),"")</f>
        <v/>
      </c>
      <c r="E4764" s="16">
        <f>IF(B4764,StartDate+D4764,"")</f>
        <v/>
      </c>
      <c r="F4764">
        <f>IF(B4764,MAX(MOD(SIN(Seed*0.1373+C4764*12.9898+D4764*78.233)*43758.5453,1),1E-9),"")</f>
        <v/>
      </c>
      <c r="G4764">
        <f>IF(B4764,MOD(SIN(Seed*0.5917+C4764*39.3468+D4764*11.135)*24634.6345,1),"")</f>
        <v/>
      </c>
      <c r="H4764">
        <f>IF(B4764,SQRT(-2*LN(F4764))*COS(2*PI()*G4764),"")</f>
        <v/>
      </c>
      <c r="I4764">
        <f>IF(B4764,IF(D4764=0,H4764,Rho*I4763+SQRT(1-Rho^2)*H4764),"")</f>
        <v/>
      </c>
      <c r="J4764">
        <f>IF(B4764,IF(Dist="Normal",DistA+DistB*I4764,DistA+(DistB-DistA)*NORMSDIST(I4764)),"")</f>
        <v/>
      </c>
      <c r="K4764">
        <f>IF(B4764,INDEX(MineScale,C4764),"")</f>
        <v/>
      </c>
      <c r="L4764">
        <f>IF(B4764,INDEX(Dow,1,WEEKDAY(E4764,2)),"")</f>
        <v/>
      </c>
      <c r="M4764">
        <f>IF(B4764,(1+Trend)^D4764,"")</f>
        <v/>
      </c>
      <c r="N4764">
        <f>IF(B4764,EXP(SUMPRODUCT(LN(1+(EvEff-1)*INDEX(Affected,0,C4764)*EXP(-((E4764-EvCenter)^2)/(2*EvSigma^2))))),"")</f>
        <v/>
      </c>
      <c r="O4764">
        <f>IF(B4764,ROUND(MAX(0,J4764*K4764*L4764*M4764*N4764),2),"")</f>
        <v/>
      </c>
    </row>
    <row r="4765">
      <c r="A4765" t="n">
        <v>4764</v>
      </c>
      <c r="B4765">
        <f>A4765&lt;=MineCount*Days</f>
        <v/>
      </c>
      <c r="C4765">
        <f>IF(B4765,INT((A4765-1)/Days)+1,"")</f>
        <v/>
      </c>
      <c r="D4765">
        <f>IF(B4765,MOD(A4765-1,Days),"")</f>
        <v/>
      </c>
      <c r="E4765" s="16">
        <f>IF(B4765,StartDate+D4765,"")</f>
        <v/>
      </c>
      <c r="F4765">
        <f>IF(B4765,MAX(MOD(SIN(Seed*0.1373+C4765*12.9898+D4765*78.233)*43758.5453,1),1E-9),"")</f>
        <v/>
      </c>
      <c r="G4765">
        <f>IF(B4765,MOD(SIN(Seed*0.5917+C4765*39.3468+D4765*11.135)*24634.6345,1),"")</f>
        <v/>
      </c>
      <c r="H4765">
        <f>IF(B4765,SQRT(-2*LN(F4765))*COS(2*PI()*G4765),"")</f>
        <v/>
      </c>
      <c r="I4765">
        <f>IF(B4765,IF(D4765=0,H4765,Rho*I4764+SQRT(1-Rho^2)*H4765),"")</f>
        <v/>
      </c>
      <c r="J4765">
        <f>IF(B4765,IF(Dist="Normal",DistA+DistB*I4765,DistA+(DistB-DistA)*NORMSDIST(I4765)),"")</f>
        <v/>
      </c>
      <c r="K4765">
        <f>IF(B4765,INDEX(MineScale,C4765),"")</f>
        <v/>
      </c>
      <c r="L4765">
        <f>IF(B4765,INDEX(Dow,1,WEEKDAY(E4765,2)),"")</f>
        <v/>
      </c>
      <c r="M4765">
        <f>IF(B4765,(1+Trend)^D4765,"")</f>
        <v/>
      </c>
      <c r="N4765">
        <f>IF(B4765,EXP(SUMPRODUCT(LN(1+(EvEff-1)*INDEX(Affected,0,C4765)*EXP(-((E4765-EvCenter)^2)/(2*EvSigma^2))))),"")</f>
        <v/>
      </c>
      <c r="O4765">
        <f>IF(B4765,ROUND(MAX(0,J4765*K4765*L4765*M4765*N4765),2),"")</f>
        <v/>
      </c>
    </row>
    <row r="4766">
      <c r="A4766" t="n">
        <v>4765</v>
      </c>
      <c r="B4766">
        <f>A4766&lt;=MineCount*Days</f>
        <v/>
      </c>
      <c r="C4766">
        <f>IF(B4766,INT((A4766-1)/Days)+1,"")</f>
        <v/>
      </c>
      <c r="D4766">
        <f>IF(B4766,MOD(A4766-1,Days),"")</f>
        <v/>
      </c>
      <c r="E4766" s="16">
        <f>IF(B4766,StartDate+D4766,"")</f>
        <v/>
      </c>
      <c r="F4766">
        <f>IF(B4766,MAX(MOD(SIN(Seed*0.1373+C4766*12.9898+D4766*78.233)*43758.5453,1),1E-9),"")</f>
        <v/>
      </c>
      <c r="G4766">
        <f>IF(B4766,MOD(SIN(Seed*0.5917+C4766*39.3468+D4766*11.135)*24634.6345,1),"")</f>
        <v/>
      </c>
      <c r="H4766">
        <f>IF(B4766,SQRT(-2*LN(F4766))*COS(2*PI()*G4766),"")</f>
        <v/>
      </c>
      <c r="I4766">
        <f>IF(B4766,IF(D4766=0,H4766,Rho*I4765+SQRT(1-Rho^2)*H4766),"")</f>
        <v/>
      </c>
      <c r="J4766">
        <f>IF(B4766,IF(Dist="Normal",DistA+DistB*I4766,DistA+(DistB-DistA)*NORMSDIST(I4766)),"")</f>
        <v/>
      </c>
      <c r="K4766">
        <f>IF(B4766,INDEX(MineScale,C4766),"")</f>
        <v/>
      </c>
      <c r="L4766">
        <f>IF(B4766,INDEX(Dow,1,WEEKDAY(E4766,2)),"")</f>
        <v/>
      </c>
      <c r="M4766">
        <f>IF(B4766,(1+Trend)^D4766,"")</f>
        <v/>
      </c>
      <c r="N4766">
        <f>IF(B4766,EXP(SUMPRODUCT(LN(1+(EvEff-1)*INDEX(Affected,0,C4766)*EXP(-((E4766-EvCenter)^2)/(2*EvSigma^2))))),"")</f>
        <v/>
      </c>
      <c r="O4766">
        <f>IF(B4766,ROUND(MAX(0,J4766*K4766*L4766*M4766*N4766),2),"")</f>
        <v/>
      </c>
    </row>
    <row r="4767">
      <c r="A4767" t="n">
        <v>4766</v>
      </c>
      <c r="B4767">
        <f>A4767&lt;=MineCount*Days</f>
        <v/>
      </c>
      <c r="C4767">
        <f>IF(B4767,INT((A4767-1)/Days)+1,"")</f>
        <v/>
      </c>
      <c r="D4767">
        <f>IF(B4767,MOD(A4767-1,Days),"")</f>
        <v/>
      </c>
      <c r="E4767" s="16">
        <f>IF(B4767,StartDate+D4767,"")</f>
        <v/>
      </c>
      <c r="F4767">
        <f>IF(B4767,MAX(MOD(SIN(Seed*0.1373+C4767*12.9898+D4767*78.233)*43758.5453,1),1E-9),"")</f>
        <v/>
      </c>
      <c r="G4767">
        <f>IF(B4767,MOD(SIN(Seed*0.5917+C4767*39.3468+D4767*11.135)*24634.6345,1),"")</f>
        <v/>
      </c>
      <c r="H4767">
        <f>IF(B4767,SQRT(-2*LN(F4767))*COS(2*PI()*G4767),"")</f>
        <v/>
      </c>
      <c r="I4767">
        <f>IF(B4767,IF(D4767=0,H4767,Rho*I4766+SQRT(1-Rho^2)*H4767),"")</f>
        <v/>
      </c>
      <c r="J4767">
        <f>IF(B4767,IF(Dist="Normal",DistA+DistB*I4767,DistA+(DistB-DistA)*NORMSDIST(I4767)),"")</f>
        <v/>
      </c>
      <c r="K4767">
        <f>IF(B4767,INDEX(MineScale,C4767),"")</f>
        <v/>
      </c>
      <c r="L4767">
        <f>IF(B4767,INDEX(Dow,1,WEEKDAY(E4767,2)),"")</f>
        <v/>
      </c>
      <c r="M4767">
        <f>IF(B4767,(1+Trend)^D4767,"")</f>
        <v/>
      </c>
      <c r="N4767">
        <f>IF(B4767,EXP(SUMPRODUCT(LN(1+(EvEff-1)*INDEX(Affected,0,C4767)*EXP(-((E4767-EvCenter)^2)/(2*EvSigma^2))))),"")</f>
        <v/>
      </c>
      <c r="O4767">
        <f>IF(B4767,ROUND(MAX(0,J4767*K4767*L4767*M4767*N4767),2),"")</f>
        <v/>
      </c>
    </row>
    <row r="4768">
      <c r="A4768" t="n">
        <v>4767</v>
      </c>
      <c r="B4768">
        <f>A4768&lt;=MineCount*Days</f>
        <v/>
      </c>
      <c r="C4768">
        <f>IF(B4768,INT((A4768-1)/Days)+1,"")</f>
        <v/>
      </c>
      <c r="D4768">
        <f>IF(B4768,MOD(A4768-1,Days),"")</f>
        <v/>
      </c>
      <c r="E4768" s="16">
        <f>IF(B4768,StartDate+D4768,"")</f>
        <v/>
      </c>
      <c r="F4768">
        <f>IF(B4768,MAX(MOD(SIN(Seed*0.1373+C4768*12.9898+D4768*78.233)*43758.5453,1),1E-9),"")</f>
        <v/>
      </c>
      <c r="G4768">
        <f>IF(B4768,MOD(SIN(Seed*0.5917+C4768*39.3468+D4768*11.135)*24634.6345,1),"")</f>
        <v/>
      </c>
      <c r="H4768">
        <f>IF(B4768,SQRT(-2*LN(F4768))*COS(2*PI()*G4768),"")</f>
        <v/>
      </c>
      <c r="I4768">
        <f>IF(B4768,IF(D4768=0,H4768,Rho*I4767+SQRT(1-Rho^2)*H4768),"")</f>
        <v/>
      </c>
      <c r="J4768">
        <f>IF(B4768,IF(Dist="Normal",DistA+DistB*I4768,DistA+(DistB-DistA)*NORMSDIST(I4768)),"")</f>
        <v/>
      </c>
      <c r="K4768">
        <f>IF(B4768,INDEX(MineScale,C4768),"")</f>
        <v/>
      </c>
      <c r="L4768">
        <f>IF(B4768,INDEX(Dow,1,WEEKDAY(E4768,2)),"")</f>
        <v/>
      </c>
      <c r="M4768">
        <f>IF(B4768,(1+Trend)^D4768,"")</f>
        <v/>
      </c>
      <c r="N4768">
        <f>IF(B4768,EXP(SUMPRODUCT(LN(1+(EvEff-1)*INDEX(Affected,0,C4768)*EXP(-((E4768-EvCenter)^2)/(2*EvSigma^2))))),"")</f>
        <v/>
      </c>
      <c r="O4768">
        <f>IF(B4768,ROUND(MAX(0,J4768*K4768*L4768*M4768*N4768),2),"")</f>
        <v/>
      </c>
    </row>
    <row r="4769">
      <c r="A4769" t="n">
        <v>4768</v>
      </c>
      <c r="B4769">
        <f>A4769&lt;=MineCount*Days</f>
        <v/>
      </c>
      <c r="C4769">
        <f>IF(B4769,INT((A4769-1)/Days)+1,"")</f>
        <v/>
      </c>
      <c r="D4769">
        <f>IF(B4769,MOD(A4769-1,Days),"")</f>
        <v/>
      </c>
      <c r="E4769" s="16">
        <f>IF(B4769,StartDate+D4769,"")</f>
        <v/>
      </c>
      <c r="F4769">
        <f>IF(B4769,MAX(MOD(SIN(Seed*0.1373+C4769*12.9898+D4769*78.233)*43758.5453,1),1E-9),"")</f>
        <v/>
      </c>
      <c r="G4769">
        <f>IF(B4769,MOD(SIN(Seed*0.5917+C4769*39.3468+D4769*11.135)*24634.6345,1),"")</f>
        <v/>
      </c>
      <c r="H4769">
        <f>IF(B4769,SQRT(-2*LN(F4769))*COS(2*PI()*G4769),"")</f>
        <v/>
      </c>
      <c r="I4769">
        <f>IF(B4769,IF(D4769=0,H4769,Rho*I4768+SQRT(1-Rho^2)*H4769),"")</f>
        <v/>
      </c>
      <c r="J4769">
        <f>IF(B4769,IF(Dist="Normal",DistA+DistB*I4769,DistA+(DistB-DistA)*NORMSDIST(I4769)),"")</f>
        <v/>
      </c>
      <c r="K4769">
        <f>IF(B4769,INDEX(MineScale,C4769),"")</f>
        <v/>
      </c>
      <c r="L4769">
        <f>IF(B4769,INDEX(Dow,1,WEEKDAY(E4769,2)),"")</f>
        <v/>
      </c>
      <c r="M4769">
        <f>IF(B4769,(1+Trend)^D4769,"")</f>
        <v/>
      </c>
      <c r="N4769">
        <f>IF(B4769,EXP(SUMPRODUCT(LN(1+(EvEff-1)*INDEX(Affected,0,C4769)*EXP(-((E4769-EvCenter)^2)/(2*EvSigma^2))))),"")</f>
        <v/>
      </c>
      <c r="O4769">
        <f>IF(B4769,ROUND(MAX(0,J4769*K4769*L4769*M4769*N4769),2),"")</f>
        <v/>
      </c>
    </row>
    <row r="4770">
      <c r="A4770" t="n">
        <v>4769</v>
      </c>
      <c r="B4770">
        <f>A4770&lt;=MineCount*Days</f>
        <v/>
      </c>
      <c r="C4770">
        <f>IF(B4770,INT((A4770-1)/Days)+1,"")</f>
        <v/>
      </c>
      <c r="D4770">
        <f>IF(B4770,MOD(A4770-1,Days),"")</f>
        <v/>
      </c>
      <c r="E4770" s="16">
        <f>IF(B4770,StartDate+D4770,"")</f>
        <v/>
      </c>
      <c r="F4770">
        <f>IF(B4770,MAX(MOD(SIN(Seed*0.1373+C4770*12.9898+D4770*78.233)*43758.5453,1),1E-9),"")</f>
        <v/>
      </c>
      <c r="G4770">
        <f>IF(B4770,MOD(SIN(Seed*0.5917+C4770*39.3468+D4770*11.135)*24634.6345,1),"")</f>
        <v/>
      </c>
      <c r="H4770">
        <f>IF(B4770,SQRT(-2*LN(F4770))*COS(2*PI()*G4770),"")</f>
        <v/>
      </c>
      <c r="I4770">
        <f>IF(B4770,IF(D4770=0,H4770,Rho*I4769+SQRT(1-Rho^2)*H4770),"")</f>
        <v/>
      </c>
      <c r="J4770">
        <f>IF(B4770,IF(Dist="Normal",DistA+DistB*I4770,DistA+(DistB-DistA)*NORMSDIST(I4770)),"")</f>
        <v/>
      </c>
      <c r="K4770">
        <f>IF(B4770,INDEX(MineScale,C4770),"")</f>
        <v/>
      </c>
      <c r="L4770">
        <f>IF(B4770,INDEX(Dow,1,WEEKDAY(E4770,2)),"")</f>
        <v/>
      </c>
      <c r="M4770">
        <f>IF(B4770,(1+Trend)^D4770,"")</f>
        <v/>
      </c>
      <c r="N4770">
        <f>IF(B4770,EXP(SUMPRODUCT(LN(1+(EvEff-1)*INDEX(Affected,0,C4770)*EXP(-((E4770-EvCenter)^2)/(2*EvSigma^2))))),"")</f>
        <v/>
      </c>
      <c r="O4770">
        <f>IF(B4770,ROUND(MAX(0,J4770*K4770*L4770*M4770*N4770),2),"")</f>
        <v/>
      </c>
    </row>
    <row r="4771">
      <c r="A4771" t="n">
        <v>4770</v>
      </c>
      <c r="B4771">
        <f>A4771&lt;=MineCount*Days</f>
        <v/>
      </c>
      <c r="C4771">
        <f>IF(B4771,INT((A4771-1)/Days)+1,"")</f>
        <v/>
      </c>
      <c r="D4771">
        <f>IF(B4771,MOD(A4771-1,Days),"")</f>
        <v/>
      </c>
      <c r="E4771" s="16">
        <f>IF(B4771,StartDate+D4771,"")</f>
        <v/>
      </c>
      <c r="F4771">
        <f>IF(B4771,MAX(MOD(SIN(Seed*0.1373+C4771*12.9898+D4771*78.233)*43758.5453,1),1E-9),"")</f>
        <v/>
      </c>
      <c r="G4771">
        <f>IF(B4771,MOD(SIN(Seed*0.5917+C4771*39.3468+D4771*11.135)*24634.6345,1),"")</f>
        <v/>
      </c>
      <c r="H4771">
        <f>IF(B4771,SQRT(-2*LN(F4771))*COS(2*PI()*G4771),"")</f>
        <v/>
      </c>
      <c r="I4771">
        <f>IF(B4771,IF(D4771=0,H4771,Rho*I4770+SQRT(1-Rho^2)*H4771),"")</f>
        <v/>
      </c>
      <c r="J4771">
        <f>IF(B4771,IF(Dist="Normal",DistA+DistB*I4771,DistA+(DistB-DistA)*NORMSDIST(I4771)),"")</f>
        <v/>
      </c>
      <c r="K4771">
        <f>IF(B4771,INDEX(MineScale,C4771),"")</f>
        <v/>
      </c>
      <c r="L4771">
        <f>IF(B4771,INDEX(Dow,1,WEEKDAY(E4771,2)),"")</f>
        <v/>
      </c>
      <c r="M4771">
        <f>IF(B4771,(1+Trend)^D4771,"")</f>
        <v/>
      </c>
      <c r="N4771">
        <f>IF(B4771,EXP(SUMPRODUCT(LN(1+(EvEff-1)*INDEX(Affected,0,C4771)*EXP(-((E4771-EvCenter)^2)/(2*EvSigma^2))))),"")</f>
        <v/>
      </c>
      <c r="O4771">
        <f>IF(B4771,ROUND(MAX(0,J4771*K4771*L4771*M4771*N4771),2),"")</f>
        <v/>
      </c>
    </row>
    <row r="4772">
      <c r="A4772" t="n">
        <v>4771</v>
      </c>
      <c r="B4772">
        <f>A4772&lt;=MineCount*Days</f>
        <v/>
      </c>
      <c r="C4772">
        <f>IF(B4772,INT((A4772-1)/Days)+1,"")</f>
        <v/>
      </c>
      <c r="D4772">
        <f>IF(B4772,MOD(A4772-1,Days),"")</f>
        <v/>
      </c>
      <c r="E4772" s="16">
        <f>IF(B4772,StartDate+D4772,"")</f>
        <v/>
      </c>
      <c r="F4772">
        <f>IF(B4772,MAX(MOD(SIN(Seed*0.1373+C4772*12.9898+D4772*78.233)*43758.5453,1),1E-9),"")</f>
        <v/>
      </c>
      <c r="G4772">
        <f>IF(B4772,MOD(SIN(Seed*0.5917+C4772*39.3468+D4772*11.135)*24634.6345,1),"")</f>
        <v/>
      </c>
      <c r="H4772">
        <f>IF(B4772,SQRT(-2*LN(F4772))*COS(2*PI()*G4772),"")</f>
        <v/>
      </c>
      <c r="I4772">
        <f>IF(B4772,IF(D4772=0,H4772,Rho*I4771+SQRT(1-Rho^2)*H4772),"")</f>
        <v/>
      </c>
      <c r="J4772">
        <f>IF(B4772,IF(Dist="Normal",DistA+DistB*I4772,DistA+(DistB-DistA)*NORMSDIST(I4772)),"")</f>
        <v/>
      </c>
      <c r="K4772">
        <f>IF(B4772,INDEX(MineScale,C4772),"")</f>
        <v/>
      </c>
      <c r="L4772">
        <f>IF(B4772,INDEX(Dow,1,WEEKDAY(E4772,2)),"")</f>
        <v/>
      </c>
      <c r="M4772">
        <f>IF(B4772,(1+Trend)^D4772,"")</f>
        <v/>
      </c>
      <c r="N4772">
        <f>IF(B4772,EXP(SUMPRODUCT(LN(1+(EvEff-1)*INDEX(Affected,0,C4772)*EXP(-((E4772-EvCenter)^2)/(2*EvSigma^2))))),"")</f>
        <v/>
      </c>
      <c r="O4772">
        <f>IF(B4772,ROUND(MAX(0,J4772*K4772*L4772*M4772*N4772),2),"")</f>
        <v/>
      </c>
    </row>
    <row r="4773">
      <c r="A4773" t="n">
        <v>4772</v>
      </c>
      <c r="B4773">
        <f>A4773&lt;=MineCount*Days</f>
        <v/>
      </c>
      <c r="C4773">
        <f>IF(B4773,INT((A4773-1)/Days)+1,"")</f>
        <v/>
      </c>
      <c r="D4773">
        <f>IF(B4773,MOD(A4773-1,Days),"")</f>
        <v/>
      </c>
      <c r="E4773" s="16">
        <f>IF(B4773,StartDate+D4773,"")</f>
        <v/>
      </c>
      <c r="F4773">
        <f>IF(B4773,MAX(MOD(SIN(Seed*0.1373+C4773*12.9898+D4773*78.233)*43758.5453,1),1E-9),"")</f>
        <v/>
      </c>
      <c r="G4773">
        <f>IF(B4773,MOD(SIN(Seed*0.5917+C4773*39.3468+D4773*11.135)*24634.6345,1),"")</f>
        <v/>
      </c>
      <c r="H4773">
        <f>IF(B4773,SQRT(-2*LN(F4773))*COS(2*PI()*G4773),"")</f>
        <v/>
      </c>
      <c r="I4773">
        <f>IF(B4773,IF(D4773=0,H4773,Rho*I4772+SQRT(1-Rho^2)*H4773),"")</f>
        <v/>
      </c>
      <c r="J4773">
        <f>IF(B4773,IF(Dist="Normal",DistA+DistB*I4773,DistA+(DistB-DistA)*NORMSDIST(I4773)),"")</f>
        <v/>
      </c>
      <c r="K4773">
        <f>IF(B4773,INDEX(MineScale,C4773),"")</f>
        <v/>
      </c>
      <c r="L4773">
        <f>IF(B4773,INDEX(Dow,1,WEEKDAY(E4773,2)),"")</f>
        <v/>
      </c>
      <c r="M4773">
        <f>IF(B4773,(1+Trend)^D4773,"")</f>
        <v/>
      </c>
      <c r="N4773">
        <f>IF(B4773,EXP(SUMPRODUCT(LN(1+(EvEff-1)*INDEX(Affected,0,C4773)*EXP(-((E4773-EvCenter)^2)/(2*EvSigma^2))))),"")</f>
        <v/>
      </c>
      <c r="O4773">
        <f>IF(B4773,ROUND(MAX(0,J4773*K4773*L4773*M4773*N4773),2),"")</f>
        <v/>
      </c>
    </row>
    <row r="4774">
      <c r="A4774" t="n">
        <v>4773</v>
      </c>
      <c r="B4774">
        <f>A4774&lt;=MineCount*Days</f>
        <v/>
      </c>
      <c r="C4774">
        <f>IF(B4774,INT((A4774-1)/Days)+1,"")</f>
        <v/>
      </c>
      <c r="D4774">
        <f>IF(B4774,MOD(A4774-1,Days),"")</f>
        <v/>
      </c>
      <c r="E4774" s="16">
        <f>IF(B4774,StartDate+D4774,"")</f>
        <v/>
      </c>
      <c r="F4774">
        <f>IF(B4774,MAX(MOD(SIN(Seed*0.1373+C4774*12.9898+D4774*78.233)*43758.5453,1),1E-9),"")</f>
        <v/>
      </c>
      <c r="G4774">
        <f>IF(B4774,MOD(SIN(Seed*0.5917+C4774*39.3468+D4774*11.135)*24634.6345,1),"")</f>
        <v/>
      </c>
      <c r="H4774">
        <f>IF(B4774,SQRT(-2*LN(F4774))*COS(2*PI()*G4774),"")</f>
        <v/>
      </c>
      <c r="I4774">
        <f>IF(B4774,IF(D4774=0,H4774,Rho*I4773+SQRT(1-Rho^2)*H4774),"")</f>
        <v/>
      </c>
      <c r="J4774">
        <f>IF(B4774,IF(Dist="Normal",DistA+DistB*I4774,DistA+(DistB-DistA)*NORMSDIST(I4774)),"")</f>
        <v/>
      </c>
      <c r="K4774">
        <f>IF(B4774,INDEX(MineScale,C4774),"")</f>
        <v/>
      </c>
      <c r="L4774">
        <f>IF(B4774,INDEX(Dow,1,WEEKDAY(E4774,2)),"")</f>
        <v/>
      </c>
      <c r="M4774">
        <f>IF(B4774,(1+Trend)^D4774,"")</f>
        <v/>
      </c>
      <c r="N4774">
        <f>IF(B4774,EXP(SUMPRODUCT(LN(1+(EvEff-1)*INDEX(Affected,0,C4774)*EXP(-((E4774-EvCenter)^2)/(2*EvSigma^2))))),"")</f>
        <v/>
      </c>
      <c r="O4774">
        <f>IF(B4774,ROUND(MAX(0,J4774*K4774*L4774*M4774*N4774),2),"")</f>
        <v/>
      </c>
    </row>
    <row r="4775">
      <c r="A4775" t="n">
        <v>4774</v>
      </c>
      <c r="B4775">
        <f>A4775&lt;=MineCount*Days</f>
        <v/>
      </c>
      <c r="C4775">
        <f>IF(B4775,INT((A4775-1)/Days)+1,"")</f>
        <v/>
      </c>
      <c r="D4775">
        <f>IF(B4775,MOD(A4775-1,Days),"")</f>
        <v/>
      </c>
      <c r="E4775" s="16">
        <f>IF(B4775,StartDate+D4775,"")</f>
        <v/>
      </c>
      <c r="F4775">
        <f>IF(B4775,MAX(MOD(SIN(Seed*0.1373+C4775*12.9898+D4775*78.233)*43758.5453,1),1E-9),"")</f>
        <v/>
      </c>
      <c r="G4775">
        <f>IF(B4775,MOD(SIN(Seed*0.5917+C4775*39.3468+D4775*11.135)*24634.6345,1),"")</f>
        <v/>
      </c>
      <c r="H4775">
        <f>IF(B4775,SQRT(-2*LN(F4775))*COS(2*PI()*G4775),"")</f>
        <v/>
      </c>
      <c r="I4775">
        <f>IF(B4775,IF(D4775=0,H4775,Rho*I4774+SQRT(1-Rho^2)*H4775),"")</f>
        <v/>
      </c>
      <c r="J4775">
        <f>IF(B4775,IF(Dist="Normal",DistA+DistB*I4775,DistA+(DistB-DistA)*NORMSDIST(I4775)),"")</f>
        <v/>
      </c>
      <c r="K4775">
        <f>IF(B4775,INDEX(MineScale,C4775),"")</f>
        <v/>
      </c>
      <c r="L4775">
        <f>IF(B4775,INDEX(Dow,1,WEEKDAY(E4775,2)),"")</f>
        <v/>
      </c>
      <c r="M4775">
        <f>IF(B4775,(1+Trend)^D4775,"")</f>
        <v/>
      </c>
      <c r="N4775">
        <f>IF(B4775,EXP(SUMPRODUCT(LN(1+(EvEff-1)*INDEX(Affected,0,C4775)*EXP(-((E4775-EvCenter)^2)/(2*EvSigma^2))))),"")</f>
        <v/>
      </c>
      <c r="O4775">
        <f>IF(B4775,ROUND(MAX(0,J4775*K4775*L4775*M4775*N4775),2),"")</f>
        <v/>
      </c>
    </row>
    <row r="4776">
      <c r="A4776" t="n">
        <v>4775</v>
      </c>
      <c r="B4776">
        <f>A4776&lt;=MineCount*Days</f>
        <v/>
      </c>
      <c r="C4776">
        <f>IF(B4776,INT((A4776-1)/Days)+1,"")</f>
        <v/>
      </c>
      <c r="D4776">
        <f>IF(B4776,MOD(A4776-1,Days),"")</f>
        <v/>
      </c>
      <c r="E4776" s="16">
        <f>IF(B4776,StartDate+D4776,"")</f>
        <v/>
      </c>
      <c r="F4776">
        <f>IF(B4776,MAX(MOD(SIN(Seed*0.1373+C4776*12.9898+D4776*78.233)*43758.5453,1),1E-9),"")</f>
        <v/>
      </c>
      <c r="G4776">
        <f>IF(B4776,MOD(SIN(Seed*0.5917+C4776*39.3468+D4776*11.135)*24634.6345,1),"")</f>
        <v/>
      </c>
      <c r="H4776">
        <f>IF(B4776,SQRT(-2*LN(F4776))*COS(2*PI()*G4776),"")</f>
        <v/>
      </c>
      <c r="I4776">
        <f>IF(B4776,IF(D4776=0,H4776,Rho*I4775+SQRT(1-Rho^2)*H4776),"")</f>
        <v/>
      </c>
      <c r="J4776">
        <f>IF(B4776,IF(Dist="Normal",DistA+DistB*I4776,DistA+(DistB-DistA)*NORMSDIST(I4776)),"")</f>
        <v/>
      </c>
      <c r="K4776">
        <f>IF(B4776,INDEX(MineScale,C4776),"")</f>
        <v/>
      </c>
      <c r="L4776">
        <f>IF(B4776,INDEX(Dow,1,WEEKDAY(E4776,2)),"")</f>
        <v/>
      </c>
      <c r="M4776">
        <f>IF(B4776,(1+Trend)^D4776,"")</f>
        <v/>
      </c>
      <c r="N4776">
        <f>IF(B4776,EXP(SUMPRODUCT(LN(1+(EvEff-1)*INDEX(Affected,0,C4776)*EXP(-((E4776-EvCenter)^2)/(2*EvSigma^2))))),"")</f>
        <v/>
      </c>
      <c r="O4776">
        <f>IF(B4776,ROUND(MAX(0,J4776*K4776*L4776*M4776*N4776),2),"")</f>
        <v/>
      </c>
    </row>
    <row r="4777">
      <c r="A4777" t="n">
        <v>4776</v>
      </c>
      <c r="B4777">
        <f>A4777&lt;=MineCount*Days</f>
        <v/>
      </c>
      <c r="C4777">
        <f>IF(B4777,INT((A4777-1)/Days)+1,"")</f>
        <v/>
      </c>
      <c r="D4777">
        <f>IF(B4777,MOD(A4777-1,Days),"")</f>
        <v/>
      </c>
      <c r="E4777" s="16">
        <f>IF(B4777,StartDate+D4777,"")</f>
        <v/>
      </c>
      <c r="F4777">
        <f>IF(B4777,MAX(MOD(SIN(Seed*0.1373+C4777*12.9898+D4777*78.233)*43758.5453,1),1E-9),"")</f>
        <v/>
      </c>
      <c r="G4777">
        <f>IF(B4777,MOD(SIN(Seed*0.5917+C4777*39.3468+D4777*11.135)*24634.6345,1),"")</f>
        <v/>
      </c>
      <c r="H4777">
        <f>IF(B4777,SQRT(-2*LN(F4777))*COS(2*PI()*G4777),"")</f>
        <v/>
      </c>
      <c r="I4777">
        <f>IF(B4777,IF(D4777=0,H4777,Rho*I4776+SQRT(1-Rho^2)*H4777),"")</f>
        <v/>
      </c>
      <c r="J4777">
        <f>IF(B4777,IF(Dist="Normal",DistA+DistB*I4777,DistA+(DistB-DistA)*NORMSDIST(I4777)),"")</f>
        <v/>
      </c>
      <c r="K4777">
        <f>IF(B4777,INDEX(MineScale,C4777),"")</f>
        <v/>
      </c>
      <c r="L4777">
        <f>IF(B4777,INDEX(Dow,1,WEEKDAY(E4777,2)),"")</f>
        <v/>
      </c>
      <c r="M4777">
        <f>IF(B4777,(1+Trend)^D4777,"")</f>
        <v/>
      </c>
      <c r="N4777">
        <f>IF(B4777,EXP(SUMPRODUCT(LN(1+(EvEff-1)*INDEX(Affected,0,C4777)*EXP(-((E4777-EvCenter)^2)/(2*EvSigma^2))))),"")</f>
        <v/>
      </c>
      <c r="O4777">
        <f>IF(B4777,ROUND(MAX(0,J4777*K4777*L4777*M4777*N4777),2),"")</f>
        <v/>
      </c>
    </row>
    <row r="4778">
      <c r="A4778" t="n">
        <v>4777</v>
      </c>
      <c r="B4778">
        <f>A4778&lt;=MineCount*Days</f>
        <v/>
      </c>
      <c r="C4778">
        <f>IF(B4778,INT((A4778-1)/Days)+1,"")</f>
        <v/>
      </c>
      <c r="D4778">
        <f>IF(B4778,MOD(A4778-1,Days),"")</f>
        <v/>
      </c>
      <c r="E4778" s="16">
        <f>IF(B4778,StartDate+D4778,"")</f>
        <v/>
      </c>
      <c r="F4778">
        <f>IF(B4778,MAX(MOD(SIN(Seed*0.1373+C4778*12.9898+D4778*78.233)*43758.5453,1),1E-9),"")</f>
        <v/>
      </c>
      <c r="G4778">
        <f>IF(B4778,MOD(SIN(Seed*0.5917+C4778*39.3468+D4778*11.135)*24634.6345,1),"")</f>
        <v/>
      </c>
      <c r="H4778">
        <f>IF(B4778,SQRT(-2*LN(F4778))*COS(2*PI()*G4778),"")</f>
        <v/>
      </c>
      <c r="I4778">
        <f>IF(B4778,IF(D4778=0,H4778,Rho*I4777+SQRT(1-Rho^2)*H4778),"")</f>
        <v/>
      </c>
      <c r="J4778">
        <f>IF(B4778,IF(Dist="Normal",DistA+DistB*I4778,DistA+(DistB-DistA)*NORMSDIST(I4778)),"")</f>
        <v/>
      </c>
      <c r="K4778">
        <f>IF(B4778,INDEX(MineScale,C4778),"")</f>
        <v/>
      </c>
      <c r="L4778">
        <f>IF(B4778,INDEX(Dow,1,WEEKDAY(E4778,2)),"")</f>
        <v/>
      </c>
      <c r="M4778">
        <f>IF(B4778,(1+Trend)^D4778,"")</f>
        <v/>
      </c>
      <c r="N4778">
        <f>IF(B4778,EXP(SUMPRODUCT(LN(1+(EvEff-1)*INDEX(Affected,0,C4778)*EXP(-((E4778-EvCenter)^2)/(2*EvSigma^2))))),"")</f>
        <v/>
      </c>
      <c r="O4778">
        <f>IF(B4778,ROUND(MAX(0,J4778*K4778*L4778*M4778*N4778),2),"")</f>
        <v/>
      </c>
    </row>
    <row r="4779">
      <c r="A4779" t="n">
        <v>4778</v>
      </c>
      <c r="B4779">
        <f>A4779&lt;=MineCount*Days</f>
        <v/>
      </c>
      <c r="C4779">
        <f>IF(B4779,INT((A4779-1)/Days)+1,"")</f>
        <v/>
      </c>
      <c r="D4779">
        <f>IF(B4779,MOD(A4779-1,Days),"")</f>
        <v/>
      </c>
      <c r="E4779" s="16">
        <f>IF(B4779,StartDate+D4779,"")</f>
        <v/>
      </c>
      <c r="F4779">
        <f>IF(B4779,MAX(MOD(SIN(Seed*0.1373+C4779*12.9898+D4779*78.233)*43758.5453,1),1E-9),"")</f>
        <v/>
      </c>
      <c r="G4779">
        <f>IF(B4779,MOD(SIN(Seed*0.5917+C4779*39.3468+D4779*11.135)*24634.6345,1),"")</f>
        <v/>
      </c>
      <c r="H4779">
        <f>IF(B4779,SQRT(-2*LN(F4779))*COS(2*PI()*G4779),"")</f>
        <v/>
      </c>
      <c r="I4779">
        <f>IF(B4779,IF(D4779=0,H4779,Rho*I4778+SQRT(1-Rho^2)*H4779),"")</f>
        <v/>
      </c>
      <c r="J4779">
        <f>IF(B4779,IF(Dist="Normal",DistA+DistB*I4779,DistA+(DistB-DistA)*NORMSDIST(I4779)),"")</f>
        <v/>
      </c>
      <c r="K4779">
        <f>IF(B4779,INDEX(MineScale,C4779),"")</f>
        <v/>
      </c>
      <c r="L4779">
        <f>IF(B4779,INDEX(Dow,1,WEEKDAY(E4779,2)),"")</f>
        <v/>
      </c>
      <c r="M4779">
        <f>IF(B4779,(1+Trend)^D4779,"")</f>
        <v/>
      </c>
      <c r="N4779">
        <f>IF(B4779,EXP(SUMPRODUCT(LN(1+(EvEff-1)*INDEX(Affected,0,C4779)*EXP(-((E4779-EvCenter)^2)/(2*EvSigma^2))))),"")</f>
        <v/>
      </c>
      <c r="O4779">
        <f>IF(B4779,ROUND(MAX(0,J4779*K4779*L4779*M4779*N4779),2),"")</f>
        <v/>
      </c>
    </row>
    <row r="4780">
      <c r="A4780" t="n">
        <v>4779</v>
      </c>
      <c r="B4780">
        <f>A4780&lt;=MineCount*Days</f>
        <v/>
      </c>
      <c r="C4780">
        <f>IF(B4780,INT((A4780-1)/Days)+1,"")</f>
        <v/>
      </c>
      <c r="D4780">
        <f>IF(B4780,MOD(A4780-1,Days),"")</f>
        <v/>
      </c>
      <c r="E4780" s="16">
        <f>IF(B4780,StartDate+D4780,"")</f>
        <v/>
      </c>
      <c r="F4780">
        <f>IF(B4780,MAX(MOD(SIN(Seed*0.1373+C4780*12.9898+D4780*78.233)*43758.5453,1),1E-9),"")</f>
        <v/>
      </c>
      <c r="G4780">
        <f>IF(B4780,MOD(SIN(Seed*0.5917+C4780*39.3468+D4780*11.135)*24634.6345,1),"")</f>
        <v/>
      </c>
      <c r="H4780">
        <f>IF(B4780,SQRT(-2*LN(F4780))*COS(2*PI()*G4780),"")</f>
        <v/>
      </c>
      <c r="I4780">
        <f>IF(B4780,IF(D4780=0,H4780,Rho*I4779+SQRT(1-Rho^2)*H4780),"")</f>
        <v/>
      </c>
      <c r="J4780">
        <f>IF(B4780,IF(Dist="Normal",DistA+DistB*I4780,DistA+(DistB-DistA)*NORMSDIST(I4780)),"")</f>
        <v/>
      </c>
      <c r="K4780">
        <f>IF(B4780,INDEX(MineScale,C4780),"")</f>
        <v/>
      </c>
      <c r="L4780">
        <f>IF(B4780,INDEX(Dow,1,WEEKDAY(E4780,2)),"")</f>
        <v/>
      </c>
      <c r="M4780">
        <f>IF(B4780,(1+Trend)^D4780,"")</f>
        <v/>
      </c>
      <c r="N4780">
        <f>IF(B4780,EXP(SUMPRODUCT(LN(1+(EvEff-1)*INDEX(Affected,0,C4780)*EXP(-((E4780-EvCenter)^2)/(2*EvSigma^2))))),"")</f>
        <v/>
      </c>
      <c r="O4780">
        <f>IF(B4780,ROUND(MAX(0,J4780*K4780*L4780*M4780*N4780),2),"")</f>
        <v/>
      </c>
    </row>
    <row r="4781">
      <c r="A4781" t="n">
        <v>4780</v>
      </c>
      <c r="B4781">
        <f>A4781&lt;=MineCount*Days</f>
        <v/>
      </c>
      <c r="C4781">
        <f>IF(B4781,INT((A4781-1)/Days)+1,"")</f>
        <v/>
      </c>
      <c r="D4781">
        <f>IF(B4781,MOD(A4781-1,Days),"")</f>
        <v/>
      </c>
      <c r="E4781" s="16">
        <f>IF(B4781,StartDate+D4781,"")</f>
        <v/>
      </c>
      <c r="F4781">
        <f>IF(B4781,MAX(MOD(SIN(Seed*0.1373+C4781*12.9898+D4781*78.233)*43758.5453,1),1E-9),"")</f>
        <v/>
      </c>
      <c r="G4781">
        <f>IF(B4781,MOD(SIN(Seed*0.5917+C4781*39.3468+D4781*11.135)*24634.6345,1),"")</f>
        <v/>
      </c>
      <c r="H4781">
        <f>IF(B4781,SQRT(-2*LN(F4781))*COS(2*PI()*G4781),"")</f>
        <v/>
      </c>
      <c r="I4781">
        <f>IF(B4781,IF(D4781=0,H4781,Rho*I4780+SQRT(1-Rho^2)*H4781),"")</f>
        <v/>
      </c>
      <c r="J4781">
        <f>IF(B4781,IF(Dist="Normal",DistA+DistB*I4781,DistA+(DistB-DistA)*NORMSDIST(I4781)),"")</f>
        <v/>
      </c>
      <c r="K4781">
        <f>IF(B4781,INDEX(MineScale,C4781),"")</f>
        <v/>
      </c>
      <c r="L4781">
        <f>IF(B4781,INDEX(Dow,1,WEEKDAY(E4781,2)),"")</f>
        <v/>
      </c>
      <c r="M4781">
        <f>IF(B4781,(1+Trend)^D4781,"")</f>
        <v/>
      </c>
      <c r="N4781">
        <f>IF(B4781,EXP(SUMPRODUCT(LN(1+(EvEff-1)*INDEX(Affected,0,C4781)*EXP(-((E4781-EvCenter)^2)/(2*EvSigma^2))))),"")</f>
        <v/>
      </c>
      <c r="O4781">
        <f>IF(B4781,ROUND(MAX(0,J4781*K4781*L4781*M4781*N4781),2),"")</f>
        <v/>
      </c>
    </row>
    <row r="4782">
      <c r="A4782" t="n">
        <v>4781</v>
      </c>
      <c r="B4782">
        <f>A4782&lt;=MineCount*Days</f>
        <v/>
      </c>
      <c r="C4782">
        <f>IF(B4782,INT((A4782-1)/Days)+1,"")</f>
        <v/>
      </c>
      <c r="D4782">
        <f>IF(B4782,MOD(A4782-1,Days),"")</f>
        <v/>
      </c>
      <c r="E4782" s="16">
        <f>IF(B4782,StartDate+D4782,"")</f>
        <v/>
      </c>
      <c r="F4782">
        <f>IF(B4782,MAX(MOD(SIN(Seed*0.1373+C4782*12.9898+D4782*78.233)*43758.5453,1),1E-9),"")</f>
        <v/>
      </c>
      <c r="G4782">
        <f>IF(B4782,MOD(SIN(Seed*0.5917+C4782*39.3468+D4782*11.135)*24634.6345,1),"")</f>
        <v/>
      </c>
      <c r="H4782">
        <f>IF(B4782,SQRT(-2*LN(F4782))*COS(2*PI()*G4782),"")</f>
        <v/>
      </c>
      <c r="I4782">
        <f>IF(B4782,IF(D4782=0,H4782,Rho*I4781+SQRT(1-Rho^2)*H4782),"")</f>
        <v/>
      </c>
      <c r="J4782">
        <f>IF(B4782,IF(Dist="Normal",DistA+DistB*I4782,DistA+(DistB-DistA)*NORMSDIST(I4782)),"")</f>
        <v/>
      </c>
      <c r="K4782">
        <f>IF(B4782,INDEX(MineScale,C4782),"")</f>
        <v/>
      </c>
      <c r="L4782">
        <f>IF(B4782,INDEX(Dow,1,WEEKDAY(E4782,2)),"")</f>
        <v/>
      </c>
      <c r="M4782">
        <f>IF(B4782,(1+Trend)^D4782,"")</f>
        <v/>
      </c>
      <c r="N4782">
        <f>IF(B4782,EXP(SUMPRODUCT(LN(1+(EvEff-1)*INDEX(Affected,0,C4782)*EXP(-((E4782-EvCenter)^2)/(2*EvSigma^2))))),"")</f>
        <v/>
      </c>
      <c r="O4782">
        <f>IF(B4782,ROUND(MAX(0,J4782*K4782*L4782*M4782*N4782),2),"")</f>
        <v/>
      </c>
    </row>
    <row r="4783">
      <c r="A4783" t="n">
        <v>4782</v>
      </c>
      <c r="B4783">
        <f>A4783&lt;=MineCount*Days</f>
        <v/>
      </c>
      <c r="C4783">
        <f>IF(B4783,INT((A4783-1)/Days)+1,"")</f>
        <v/>
      </c>
      <c r="D4783">
        <f>IF(B4783,MOD(A4783-1,Days),"")</f>
        <v/>
      </c>
      <c r="E4783" s="16">
        <f>IF(B4783,StartDate+D4783,"")</f>
        <v/>
      </c>
      <c r="F4783">
        <f>IF(B4783,MAX(MOD(SIN(Seed*0.1373+C4783*12.9898+D4783*78.233)*43758.5453,1),1E-9),"")</f>
        <v/>
      </c>
      <c r="G4783">
        <f>IF(B4783,MOD(SIN(Seed*0.5917+C4783*39.3468+D4783*11.135)*24634.6345,1),"")</f>
        <v/>
      </c>
      <c r="H4783">
        <f>IF(B4783,SQRT(-2*LN(F4783))*COS(2*PI()*G4783),"")</f>
        <v/>
      </c>
      <c r="I4783">
        <f>IF(B4783,IF(D4783=0,H4783,Rho*I4782+SQRT(1-Rho^2)*H4783),"")</f>
        <v/>
      </c>
      <c r="J4783">
        <f>IF(B4783,IF(Dist="Normal",DistA+DistB*I4783,DistA+(DistB-DistA)*NORMSDIST(I4783)),"")</f>
        <v/>
      </c>
      <c r="K4783">
        <f>IF(B4783,INDEX(MineScale,C4783),"")</f>
        <v/>
      </c>
      <c r="L4783">
        <f>IF(B4783,INDEX(Dow,1,WEEKDAY(E4783,2)),"")</f>
        <v/>
      </c>
      <c r="M4783">
        <f>IF(B4783,(1+Trend)^D4783,"")</f>
        <v/>
      </c>
      <c r="N4783">
        <f>IF(B4783,EXP(SUMPRODUCT(LN(1+(EvEff-1)*INDEX(Affected,0,C4783)*EXP(-((E4783-EvCenter)^2)/(2*EvSigma^2))))),"")</f>
        <v/>
      </c>
      <c r="O4783">
        <f>IF(B4783,ROUND(MAX(0,J4783*K4783*L4783*M4783*N4783),2),"")</f>
        <v/>
      </c>
    </row>
    <row r="4784">
      <c r="A4784" t="n">
        <v>4783</v>
      </c>
      <c r="B4784">
        <f>A4784&lt;=MineCount*Days</f>
        <v/>
      </c>
      <c r="C4784">
        <f>IF(B4784,INT((A4784-1)/Days)+1,"")</f>
        <v/>
      </c>
      <c r="D4784">
        <f>IF(B4784,MOD(A4784-1,Days),"")</f>
        <v/>
      </c>
      <c r="E4784" s="16">
        <f>IF(B4784,StartDate+D4784,"")</f>
        <v/>
      </c>
      <c r="F4784">
        <f>IF(B4784,MAX(MOD(SIN(Seed*0.1373+C4784*12.9898+D4784*78.233)*43758.5453,1),1E-9),"")</f>
        <v/>
      </c>
      <c r="G4784">
        <f>IF(B4784,MOD(SIN(Seed*0.5917+C4784*39.3468+D4784*11.135)*24634.6345,1),"")</f>
        <v/>
      </c>
      <c r="H4784">
        <f>IF(B4784,SQRT(-2*LN(F4784))*COS(2*PI()*G4784),"")</f>
        <v/>
      </c>
      <c r="I4784">
        <f>IF(B4784,IF(D4784=0,H4784,Rho*I4783+SQRT(1-Rho^2)*H4784),"")</f>
        <v/>
      </c>
      <c r="J4784">
        <f>IF(B4784,IF(Dist="Normal",DistA+DistB*I4784,DistA+(DistB-DistA)*NORMSDIST(I4784)),"")</f>
        <v/>
      </c>
      <c r="K4784">
        <f>IF(B4784,INDEX(MineScale,C4784),"")</f>
        <v/>
      </c>
      <c r="L4784">
        <f>IF(B4784,INDEX(Dow,1,WEEKDAY(E4784,2)),"")</f>
        <v/>
      </c>
      <c r="M4784">
        <f>IF(B4784,(1+Trend)^D4784,"")</f>
        <v/>
      </c>
      <c r="N4784">
        <f>IF(B4784,EXP(SUMPRODUCT(LN(1+(EvEff-1)*INDEX(Affected,0,C4784)*EXP(-((E4784-EvCenter)^2)/(2*EvSigma^2))))),"")</f>
        <v/>
      </c>
      <c r="O4784">
        <f>IF(B4784,ROUND(MAX(0,J4784*K4784*L4784*M4784*N4784),2),"")</f>
        <v/>
      </c>
    </row>
    <row r="4785">
      <c r="A4785" t="n">
        <v>4784</v>
      </c>
      <c r="B4785">
        <f>A4785&lt;=MineCount*Days</f>
        <v/>
      </c>
      <c r="C4785">
        <f>IF(B4785,INT((A4785-1)/Days)+1,"")</f>
        <v/>
      </c>
      <c r="D4785">
        <f>IF(B4785,MOD(A4785-1,Days),"")</f>
        <v/>
      </c>
      <c r="E4785" s="16">
        <f>IF(B4785,StartDate+D4785,"")</f>
        <v/>
      </c>
      <c r="F4785">
        <f>IF(B4785,MAX(MOD(SIN(Seed*0.1373+C4785*12.9898+D4785*78.233)*43758.5453,1),1E-9),"")</f>
        <v/>
      </c>
      <c r="G4785">
        <f>IF(B4785,MOD(SIN(Seed*0.5917+C4785*39.3468+D4785*11.135)*24634.6345,1),"")</f>
        <v/>
      </c>
      <c r="H4785">
        <f>IF(B4785,SQRT(-2*LN(F4785))*COS(2*PI()*G4785),"")</f>
        <v/>
      </c>
      <c r="I4785">
        <f>IF(B4785,IF(D4785=0,H4785,Rho*I4784+SQRT(1-Rho^2)*H4785),"")</f>
        <v/>
      </c>
      <c r="J4785">
        <f>IF(B4785,IF(Dist="Normal",DistA+DistB*I4785,DistA+(DistB-DistA)*NORMSDIST(I4785)),"")</f>
        <v/>
      </c>
      <c r="K4785">
        <f>IF(B4785,INDEX(MineScale,C4785),"")</f>
        <v/>
      </c>
      <c r="L4785">
        <f>IF(B4785,INDEX(Dow,1,WEEKDAY(E4785,2)),"")</f>
        <v/>
      </c>
      <c r="M4785">
        <f>IF(B4785,(1+Trend)^D4785,"")</f>
        <v/>
      </c>
      <c r="N4785">
        <f>IF(B4785,EXP(SUMPRODUCT(LN(1+(EvEff-1)*INDEX(Affected,0,C4785)*EXP(-((E4785-EvCenter)^2)/(2*EvSigma^2))))),"")</f>
        <v/>
      </c>
      <c r="O4785">
        <f>IF(B4785,ROUND(MAX(0,J4785*K4785*L4785*M4785*N4785),2),"")</f>
        <v/>
      </c>
    </row>
    <row r="4786">
      <c r="A4786" t="n">
        <v>4785</v>
      </c>
      <c r="B4786">
        <f>A4786&lt;=MineCount*Days</f>
        <v/>
      </c>
      <c r="C4786">
        <f>IF(B4786,INT((A4786-1)/Days)+1,"")</f>
        <v/>
      </c>
      <c r="D4786">
        <f>IF(B4786,MOD(A4786-1,Days),"")</f>
        <v/>
      </c>
      <c r="E4786" s="16">
        <f>IF(B4786,StartDate+D4786,"")</f>
        <v/>
      </c>
      <c r="F4786">
        <f>IF(B4786,MAX(MOD(SIN(Seed*0.1373+C4786*12.9898+D4786*78.233)*43758.5453,1),1E-9),"")</f>
        <v/>
      </c>
      <c r="G4786">
        <f>IF(B4786,MOD(SIN(Seed*0.5917+C4786*39.3468+D4786*11.135)*24634.6345,1),"")</f>
        <v/>
      </c>
      <c r="H4786">
        <f>IF(B4786,SQRT(-2*LN(F4786))*COS(2*PI()*G4786),"")</f>
        <v/>
      </c>
      <c r="I4786">
        <f>IF(B4786,IF(D4786=0,H4786,Rho*I4785+SQRT(1-Rho^2)*H4786),"")</f>
        <v/>
      </c>
      <c r="J4786">
        <f>IF(B4786,IF(Dist="Normal",DistA+DistB*I4786,DistA+(DistB-DistA)*NORMSDIST(I4786)),"")</f>
        <v/>
      </c>
      <c r="K4786">
        <f>IF(B4786,INDEX(MineScale,C4786),"")</f>
        <v/>
      </c>
      <c r="L4786">
        <f>IF(B4786,INDEX(Dow,1,WEEKDAY(E4786,2)),"")</f>
        <v/>
      </c>
      <c r="M4786">
        <f>IF(B4786,(1+Trend)^D4786,"")</f>
        <v/>
      </c>
      <c r="N4786">
        <f>IF(B4786,EXP(SUMPRODUCT(LN(1+(EvEff-1)*INDEX(Affected,0,C4786)*EXP(-((E4786-EvCenter)^2)/(2*EvSigma^2))))),"")</f>
        <v/>
      </c>
      <c r="O4786">
        <f>IF(B4786,ROUND(MAX(0,J4786*K4786*L4786*M4786*N4786),2),"")</f>
        <v/>
      </c>
    </row>
    <row r="4787">
      <c r="A4787" t="n">
        <v>4786</v>
      </c>
      <c r="B4787">
        <f>A4787&lt;=MineCount*Days</f>
        <v/>
      </c>
      <c r="C4787">
        <f>IF(B4787,INT((A4787-1)/Days)+1,"")</f>
        <v/>
      </c>
      <c r="D4787">
        <f>IF(B4787,MOD(A4787-1,Days),"")</f>
        <v/>
      </c>
      <c r="E4787" s="16">
        <f>IF(B4787,StartDate+D4787,"")</f>
        <v/>
      </c>
      <c r="F4787">
        <f>IF(B4787,MAX(MOD(SIN(Seed*0.1373+C4787*12.9898+D4787*78.233)*43758.5453,1),1E-9),"")</f>
        <v/>
      </c>
      <c r="G4787">
        <f>IF(B4787,MOD(SIN(Seed*0.5917+C4787*39.3468+D4787*11.135)*24634.6345,1),"")</f>
        <v/>
      </c>
      <c r="H4787">
        <f>IF(B4787,SQRT(-2*LN(F4787))*COS(2*PI()*G4787),"")</f>
        <v/>
      </c>
      <c r="I4787">
        <f>IF(B4787,IF(D4787=0,H4787,Rho*I4786+SQRT(1-Rho^2)*H4787),"")</f>
        <v/>
      </c>
      <c r="J4787">
        <f>IF(B4787,IF(Dist="Normal",DistA+DistB*I4787,DistA+(DistB-DistA)*NORMSDIST(I4787)),"")</f>
        <v/>
      </c>
      <c r="K4787">
        <f>IF(B4787,INDEX(MineScale,C4787),"")</f>
        <v/>
      </c>
      <c r="L4787">
        <f>IF(B4787,INDEX(Dow,1,WEEKDAY(E4787,2)),"")</f>
        <v/>
      </c>
      <c r="M4787">
        <f>IF(B4787,(1+Trend)^D4787,"")</f>
        <v/>
      </c>
      <c r="N4787">
        <f>IF(B4787,EXP(SUMPRODUCT(LN(1+(EvEff-1)*INDEX(Affected,0,C4787)*EXP(-((E4787-EvCenter)^2)/(2*EvSigma^2))))),"")</f>
        <v/>
      </c>
      <c r="O4787">
        <f>IF(B4787,ROUND(MAX(0,J4787*K4787*L4787*M4787*N4787),2),"")</f>
        <v/>
      </c>
    </row>
    <row r="4788">
      <c r="A4788" t="n">
        <v>4787</v>
      </c>
      <c r="B4788">
        <f>A4788&lt;=MineCount*Days</f>
        <v/>
      </c>
      <c r="C4788">
        <f>IF(B4788,INT((A4788-1)/Days)+1,"")</f>
        <v/>
      </c>
      <c r="D4788">
        <f>IF(B4788,MOD(A4788-1,Days),"")</f>
        <v/>
      </c>
      <c r="E4788" s="16">
        <f>IF(B4788,StartDate+D4788,"")</f>
        <v/>
      </c>
      <c r="F4788">
        <f>IF(B4788,MAX(MOD(SIN(Seed*0.1373+C4788*12.9898+D4788*78.233)*43758.5453,1),1E-9),"")</f>
        <v/>
      </c>
      <c r="G4788">
        <f>IF(B4788,MOD(SIN(Seed*0.5917+C4788*39.3468+D4788*11.135)*24634.6345,1),"")</f>
        <v/>
      </c>
      <c r="H4788">
        <f>IF(B4788,SQRT(-2*LN(F4788))*COS(2*PI()*G4788),"")</f>
        <v/>
      </c>
      <c r="I4788">
        <f>IF(B4788,IF(D4788=0,H4788,Rho*I4787+SQRT(1-Rho^2)*H4788),"")</f>
        <v/>
      </c>
      <c r="J4788">
        <f>IF(B4788,IF(Dist="Normal",DistA+DistB*I4788,DistA+(DistB-DistA)*NORMSDIST(I4788)),"")</f>
        <v/>
      </c>
      <c r="K4788">
        <f>IF(B4788,INDEX(MineScale,C4788),"")</f>
        <v/>
      </c>
      <c r="L4788">
        <f>IF(B4788,INDEX(Dow,1,WEEKDAY(E4788,2)),"")</f>
        <v/>
      </c>
      <c r="M4788">
        <f>IF(B4788,(1+Trend)^D4788,"")</f>
        <v/>
      </c>
      <c r="N4788">
        <f>IF(B4788,EXP(SUMPRODUCT(LN(1+(EvEff-1)*INDEX(Affected,0,C4788)*EXP(-((E4788-EvCenter)^2)/(2*EvSigma^2))))),"")</f>
        <v/>
      </c>
      <c r="O4788">
        <f>IF(B4788,ROUND(MAX(0,J4788*K4788*L4788*M4788*N4788),2),"")</f>
        <v/>
      </c>
    </row>
    <row r="4789">
      <c r="A4789" t="n">
        <v>4788</v>
      </c>
      <c r="B4789">
        <f>A4789&lt;=MineCount*Days</f>
        <v/>
      </c>
      <c r="C4789">
        <f>IF(B4789,INT((A4789-1)/Days)+1,"")</f>
        <v/>
      </c>
      <c r="D4789">
        <f>IF(B4789,MOD(A4789-1,Days),"")</f>
        <v/>
      </c>
      <c r="E4789" s="16">
        <f>IF(B4789,StartDate+D4789,"")</f>
        <v/>
      </c>
      <c r="F4789">
        <f>IF(B4789,MAX(MOD(SIN(Seed*0.1373+C4789*12.9898+D4789*78.233)*43758.5453,1),1E-9),"")</f>
        <v/>
      </c>
      <c r="G4789">
        <f>IF(B4789,MOD(SIN(Seed*0.5917+C4789*39.3468+D4789*11.135)*24634.6345,1),"")</f>
        <v/>
      </c>
      <c r="H4789">
        <f>IF(B4789,SQRT(-2*LN(F4789))*COS(2*PI()*G4789),"")</f>
        <v/>
      </c>
      <c r="I4789">
        <f>IF(B4789,IF(D4789=0,H4789,Rho*I4788+SQRT(1-Rho^2)*H4789),"")</f>
        <v/>
      </c>
      <c r="J4789">
        <f>IF(B4789,IF(Dist="Normal",DistA+DistB*I4789,DistA+(DistB-DistA)*NORMSDIST(I4789)),"")</f>
        <v/>
      </c>
      <c r="K4789">
        <f>IF(B4789,INDEX(MineScale,C4789),"")</f>
        <v/>
      </c>
      <c r="L4789">
        <f>IF(B4789,INDEX(Dow,1,WEEKDAY(E4789,2)),"")</f>
        <v/>
      </c>
      <c r="M4789">
        <f>IF(B4789,(1+Trend)^D4789,"")</f>
        <v/>
      </c>
      <c r="N4789">
        <f>IF(B4789,EXP(SUMPRODUCT(LN(1+(EvEff-1)*INDEX(Affected,0,C4789)*EXP(-((E4789-EvCenter)^2)/(2*EvSigma^2))))),"")</f>
        <v/>
      </c>
      <c r="O4789">
        <f>IF(B4789,ROUND(MAX(0,J4789*K4789*L4789*M4789*N4789),2),"")</f>
        <v/>
      </c>
    </row>
    <row r="4790">
      <c r="A4790" t="n">
        <v>4789</v>
      </c>
      <c r="B4790">
        <f>A4790&lt;=MineCount*Days</f>
        <v/>
      </c>
      <c r="C4790">
        <f>IF(B4790,INT((A4790-1)/Days)+1,"")</f>
        <v/>
      </c>
      <c r="D4790">
        <f>IF(B4790,MOD(A4790-1,Days),"")</f>
        <v/>
      </c>
      <c r="E4790" s="16">
        <f>IF(B4790,StartDate+D4790,"")</f>
        <v/>
      </c>
      <c r="F4790">
        <f>IF(B4790,MAX(MOD(SIN(Seed*0.1373+C4790*12.9898+D4790*78.233)*43758.5453,1),1E-9),"")</f>
        <v/>
      </c>
      <c r="G4790">
        <f>IF(B4790,MOD(SIN(Seed*0.5917+C4790*39.3468+D4790*11.135)*24634.6345,1),"")</f>
        <v/>
      </c>
      <c r="H4790">
        <f>IF(B4790,SQRT(-2*LN(F4790))*COS(2*PI()*G4790),"")</f>
        <v/>
      </c>
      <c r="I4790">
        <f>IF(B4790,IF(D4790=0,H4790,Rho*I4789+SQRT(1-Rho^2)*H4790),"")</f>
        <v/>
      </c>
      <c r="J4790">
        <f>IF(B4790,IF(Dist="Normal",DistA+DistB*I4790,DistA+(DistB-DistA)*NORMSDIST(I4790)),"")</f>
        <v/>
      </c>
      <c r="K4790">
        <f>IF(B4790,INDEX(MineScale,C4790),"")</f>
        <v/>
      </c>
      <c r="L4790">
        <f>IF(B4790,INDEX(Dow,1,WEEKDAY(E4790,2)),"")</f>
        <v/>
      </c>
      <c r="M4790">
        <f>IF(B4790,(1+Trend)^D4790,"")</f>
        <v/>
      </c>
      <c r="N4790">
        <f>IF(B4790,EXP(SUMPRODUCT(LN(1+(EvEff-1)*INDEX(Affected,0,C4790)*EXP(-((E4790-EvCenter)^2)/(2*EvSigma^2))))),"")</f>
        <v/>
      </c>
      <c r="O4790">
        <f>IF(B4790,ROUND(MAX(0,J4790*K4790*L4790*M4790*N4790),2),"")</f>
        <v/>
      </c>
    </row>
    <row r="4791">
      <c r="A4791" t="n">
        <v>4790</v>
      </c>
      <c r="B4791">
        <f>A4791&lt;=MineCount*Days</f>
        <v/>
      </c>
      <c r="C4791">
        <f>IF(B4791,INT((A4791-1)/Days)+1,"")</f>
        <v/>
      </c>
      <c r="D4791">
        <f>IF(B4791,MOD(A4791-1,Days),"")</f>
        <v/>
      </c>
      <c r="E4791" s="16">
        <f>IF(B4791,StartDate+D4791,"")</f>
        <v/>
      </c>
      <c r="F4791">
        <f>IF(B4791,MAX(MOD(SIN(Seed*0.1373+C4791*12.9898+D4791*78.233)*43758.5453,1),1E-9),"")</f>
        <v/>
      </c>
      <c r="G4791">
        <f>IF(B4791,MOD(SIN(Seed*0.5917+C4791*39.3468+D4791*11.135)*24634.6345,1),"")</f>
        <v/>
      </c>
      <c r="H4791">
        <f>IF(B4791,SQRT(-2*LN(F4791))*COS(2*PI()*G4791),"")</f>
        <v/>
      </c>
      <c r="I4791">
        <f>IF(B4791,IF(D4791=0,H4791,Rho*I4790+SQRT(1-Rho^2)*H4791),"")</f>
        <v/>
      </c>
      <c r="J4791">
        <f>IF(B4791,IF(Dist="Normal",DistA+DistB*I4791,DistA+(DistB-DistA)*NORMSDIST(I4791)),"")</f>
        <v/>
      </c>
      <c r="K4791">
        <f>IF(B4791,INDEX(MineScale,C4791),"")</f>
        <v/>
      </c>
      <c r="L4791">
        <f>IF(B4791,INDEX(Dow,1,WEEKDAY(E4791,2)),"")</f>
        <v/>
      </c>
      <c r="M4791">
        <f>IF(B4791,(1+Trend)^D4791,"")</f>
        <v/>
      </c>
      <c r="N4791">
        <f>IF(B4791,EXP(SUMPRODUCT(LN(1+(EvEff-1)*INDEX(Affected,0,C4791)*EXP(-((E4791-EvCenter)^2)/(2*EvSigma^2))))),"")</f>
        <v/>
      </c>
      <c r="O4791">
        <f>IF(B4791,ROUND(MAX(0,J4791*K4791*L4791*M4791*N4791),2),"")</f>
        <v/>
      </c>
    </row>
    <row r="4792">
      <c r="A4792" t="n">
        <v>4791</v>
      </c>
      <c r="B4792">
        <f>A4792&lt;=MineCount*Days</f>
        <v/>
      </c>
      <c r="C4792">
        <f>IF(B4792,INT((A4792-1)/Days)+1,"")</f>
        <v/>
      </c>
      <c r="D4792">
        <f>IF(B4792,MOD(A4792-1,Days),"")</f>
        <v/>
      </c>
      <c r="E4792" s="16">
        <f>IF(B4792,StartDate+D4792,"")</f>
        <v/>
      </c>
      <c r="F4792">
        <f>IF(B4792,MAX(MOD(SIN(Seed*0.1373+C4792*12.9898+D4792*78.233)*43758.5453,1),1E-9),"")</f>
        <v/>
      </c>
      <c r="G4792">
        <f>IF(B4792,MOD(SIN(Seed*0.5917+C4792*39.3468+D4792*11.135)*24634.6345,1),"")</f>
        <v/>
      </c>
      <c r="H4792">
        <f>IF(B4792,SQRT(-2*LN(F4792))*COS(2*PI()*G4792),"")</f>
        <v/>
      </c>
      <c r="I4792">
        <f>IF(B4792,IF(D4792=0,H4792,Rho*I4791+SQRT(1-Rho^2)*H4792),"")</f>
        <v/>
      </c>
      <c r="J4792">
        <f>IF(B4792,IF(Dist="Normal",DistA+DistB*I4792,DistA+(DistB-DistA)*NORMSDIST(I4792)),"")</f>
        <v/>
      </c>
      <c r="K4792">
        <f>IF(B4792,INDEX(MineScale,C4792),"")</f>
        <v/>
      </c>
      <c r="L4792">
        <f>IF(B4792,INDEX(Dow,1,WEEKDAY(E4792,2)),"")</f>
        <v/>
      </c>
      <c r="M4792">
        <f>IF(B4792,(1+Trend)^D4792,"")</f>
        <v/>
      </c>
      <c r="N4792">
        <f>IF(B4792,EXP(SUMPRODUCT(LN(1+(EvEff-1)*INDEX(Affected,0,C4792)*EXP(-((E4792-EvCenter)^2)/(2*EvSigma^2))))),"")</f>
        <v/>
      </c>
      <c r="O4792">
        <f>IF(B4792,ROUND(MAX(0,J4792*K4792*L4792*M4792*N4792),2),"")</f>
        <v/>
      </c>
    </row>
    <row r="4793">
      <c r="A4793" t="n">
        <v>4792</v>
      </c>
      <c r="B4793">
        <f>A4793&lt;=MineCount*Days</f>
        <v/>
      </c>
      <c r="C4793">
        <f>IF(B4793,INT((A4793-1)/Days)+1,"")</f>
        <v/>
      </c>
      <c r="D4793">
        <f>IF(B4793,MOD(A4793-1,Days),"")</f>
        <v/>
      </c>
      <c r="E4793" s="16">
        <f>IF(B4793,StartDate+D4793,"")</f>
        <v/>
      </c>
      <c r="F4793">
        <f>IF(B4793,MAX(MOD(SIN(Seed*0.1373+C4793*12.9898+D4793*78.233)*43758.5453,1),1E-9),"")</f>
        <v/>
      </c>
      <c r="G4793">
        <f>IF(B4793,MOD(SIN(Seed*0.5917+C4793*39.3468+D4793*11.135)*24634.6345,1),"")</f>
        <v/>
      </c>
      <c r="H4793">
        <f>IF(B4793,SQRT(-2*LN(F4793))*COS(2*PI()*G4793),"")</f>
        <v/>
      </c>
      <c r="I4793">
        <f>IF(B4793,IF(D4793=0,H4793,Rho*I4792+SQRT(1-Rho^2)*H4793),"")</f>
        <v/>
      </c>
      <c r="J4793">
        <f>IF(B4793,IF(Dist="Normal",DistA+DistB*I4793,DistA+(DistB-DistA)*NORMSDIST(I4793)),"")</f>
        <v/>
      </c>
      <c r="K4793">
        <f>IF(B4793,INDEX(MineScale,C4793),"")</f>
        <v/>
      </c>
      <c r="L4793">
        <f>IF(B4793,INDEX(Dow,1,WEEKDAY(E4793,2)),"")</f>
        <v/>
      </c>
      <c r="M4793">
        <f>IF(B4793,(1+Trend)^D4793,"")</f>
        <v/>
      </c>
      <c r="N4793">
        <f>IF(B4793,EXP(SUMPRODUCT(LN(1+(EvEff-1)*INDEX(Affected,0,C4793)*EXP(-((E4793-EvCenter)^2)/(2*EvSigma^2))))),"")</f>
        <v/>
      </c>
      <c r="O4793">
        <f>IF(B4793,ROUND(MAX(0,J4793*K4793*L4793*M4793*N4793),2),"")</f>
        <v/>
      </c>
    </row>
    <row r="4794">
      <c r="A4794" t="n">
        <v>4793</v>
      </c>
      <c r="B4794">
        <f>A4794&lt;=MineCount*Days</f>
        <v/>
      </c>
      <c r="C4794">
        <f>IF(B4794,INT((A4794-1)/Days)+1,"")</f>
        <v/>
      </c>
      <c r="D4794">
        <f>IF(B4794,MOD(A4794-1,Days),"")</f>
        <v/>
      </c>
      <c r="E4794" s="16">
        <f>IF(B4794,StartDate+D4794,"")</f>
        <v/>
      </c>
      <c r="F4794">
        <f>IF(B4794,MAX(MOD(SIN(Seed*0.1373+C4794*12.9898+D4794*78.233)*43758.5453,1),1E-9),"")</f>
        <v/>
      </c>
      <c r="G4794">
        <f>IF(B4794,MOD(SIN(Seed*0.5917+C4794*39.3468+D4794*11.135)*24634.6345,1),"")</f>
        <v/>
      </c>
      <c r="H4794">
        <f>IF(B4794,SQRT(-2*LN(F4794))*COS(2*PI()*G4794),"")</f>
        <v/>
      </c>
      <c r="I4794">
        <f>IF(B4794,IF(D4794=0,H4794,Rho*I4793+SQRT(1-Rho^2)*H4794),"")</f>
        <v/>
      </c>
      <c r="J4794">
        <f>IF(B4794,IF(Dist="Normal",DistA+DistB*I4794,DistA+(DistB-DistA)*NORMSDIST(I4794)),"")</f>
        <v/>
      </c>
      <c r="K4794">
        <f>IF(B4794,INDEX(MineScale,C4794),"")</f>
        <v/>
      </c>
      <c r="L4794">
        <f>IF(B4794,INDEX(Dow,1,WEEKDAY(E4794,2)),"")</f>
        <v/>
      </c>
      <c r="M4794">
        <f>IF(B4794,(1+Trend)^D4794,"")</f>
        <v/>
      </c>
      <c r="N4794">
        <f>IF(B4794,EXP(SUMPRODUCT(LN(1+(EvEff-1)*INDEX(Affected,0,C4794)*EXP(-((E4794-EvCenter)^2)/(2*EvSigma^2))))),"")</f>
        <v/>
      </c>
      <c r="O4794">
        <f>IF(B4794,ROUND(MAX(0,J4794*K4794*L4794*M4794*N4794),2),"")</f>
        <v/>
      </c>
    </row>
    <row r="4795">
      <c r="A4795" t="n">
        <v>4794</v>
      </c>
      <c r="B4795">
        <f>A4795&lt;=MineCount*Days</f>
        <v/>
      </c>
      <c r="C4795">
        <f>IF(B4795,INT((A4795-1)/Days)+1,"")</f>
        <v/>
      </c>
      <c r="D4795">
        <f>IF(B4795,MOD(A4795-1,Days),"")</f>
        <v/>
      </c>
      <c r="E4795" s="16">
        <f>IF(B4795,StartDate+D4795,"")</f>
        <v/>
      </c>
      <c r="F4795">
        <f>IF(B4795,MAX(MOD(SIN(Seed*0.1373+C4795*12.9898+D4795*78.233)*43758.5453,1),1E-9),"")</f>
        <v/>
      </c>
      <c r="G4795">
        <f>IF(B4795,MOD(SIN(Seed*0.5917+C4795*39.3468+D4795*11.135)*24634.6345,1),"")</f>
        <v/>
      </c>
      <c r="H4795">
        <f>IF(B4795,SQRT(-2*LN(F4795))*COS(2*PI()*G4795),"")</f>
        <v/>
      </c>
      <c r="I4795">
        <f>IF(B4795,IF(D4795=0,H4795,Rho*I4794+SQRT(1-Rho^2)*H4795),"")</f>
        <v/>
      </c>
      <c r="J4795">
        <f>IF(B4795,IF(Dist="Normal",DistA+DistB*I4795,DistA+(DistB-DistA)*NORMSDIST(I4795)),"")</f>
        <v/>
      </c>
      <c r="K4795">
        <f>IF(B4795,INDEX(MineScale,C4795),"")</f>
        <v/>
      </c>
      <c r="L4795">
        <f>IF(B4795,INDEX(Dow,1,WEEKDAY(E4795,2)),"")</f>
        <v/>
      </c>
      <c r="M4795">
        <f>IF(B4795,(1+Trend)^D4795,"")</f>
        <v/>
      </c>
      <c r="N4795">
        <f>IF(B4795,EXP(SUMPRODUCT(LN(1+(EvEff-1)*INDEX(Affected,0,C4795)*EXP(-((E4795-EvCenter)^2)/(2*EvSigma^2))))),"")</f>
        <v/>
      </c>
      <c r="O4795">
        <f>IF(B4795,ROUND(MAX(0,J4795*K4795*L4795*M4795*N4795),2),"")</f>
        <v/>
      </c>
    </row>
    <row r="4796">
      <c r="A4796" t="n">
        <v>4795</v>
      </c>
      <c r="B4796">
        <f>A4796&lt;=MineCount*Days</f>
        <v/>
      </c>
      <c r="C4796">
        <f>IF(B4796,INT((A4796-1)/Days)+1,"")</f>
        <v/>
      </c>
      <c r="D4796">
        <f>IF(B4796,MOD(A4796-1,Days),"")</f>
        <v/>
      </c>
      <c r="E4796" s="16">
        <f>IF(B4796,StartDate+D4796,"")</f>
        <v/>
      </c>
      <c r="F4796">
        <f>IF(B4796,MAX(MOD(SIN(Seed*0.1373+C4796*12.9898+D4796*78.233)*43758.5453,1),1E-9),"")</f>
        <v/>
      </c>
      <c r="G4796">
        <f>IF(B4796,MOD(SIN(Seed*0.5917+C4796*39.3468+D4796*11.135)*24634.6345,1),"")</f>
        <v/>
      </c>
      <c r="H4796">
        <f>IF(B4796,SQRT(-2*LN(F4796))*COS(2*PI()*G4796),"")</f>
        <v/>
      </c>
      <c r="I4796">
        <f>IF(B4796,IF(D4796=0,H4796,Rho*I4795+SQRT(1-Rho^2)*H4796),"")</f>
        <v/>
      </c>
      <c r="J4796">
        <f>IF(B4796,IF(Dist="Normal",DistA+DistB*I4796,DistA+(DistB-DistA)*NORMSDIST(I4796)),"")</f>
        <v/>
      </c>
      <c r="K4796">
        <f>IF(B4796,INDEX(MineScale,C4796),"")</f>
        <v/>
      </c>
      <c r="L4796">
        <f>IF(B4796,INDEX(Dow,1,WEEKDAY(E4796,2)),"")</f>
        <v/>
      </c>
      <c r="M4796">
        <f>IF(B4796,(1+Trend)^D4796,"")</f>
        <v/>
      </c>
      <c r="N4796">
        <f>IF(B4796,EXP(SUMPRODUCT(LN(1+(EvEff-1)*INDEX(Affected,0,C4796)*EXP(-((E4796-EvCenter)^2)/(2*EvSigma^2))))),"")</f>
        <v/>
      </c>
      <c r="O4796">
        <f>IF(B4796,ROUND(MAX(0,J4796*K4796*L4796*M4796*N4796),2),"")</f>
        <v/>
      </c>
    </row>
    <row r="4797">
      <c r="A4797" t="n">
        <v>4796</v>
      </c>
      <c r="B4797">
        <f>A4797&lt;=MineCount*Days</f>
        <v/>
      </c>
      <c r="C4797">
        <f>IF(B4797,INT((A4797-1)/Days)+1,"")</f>
        <v/>
      </c>
      <c r="D4797">
        <f>IF(B4797,MOD(A4797-1,Days),"")</f>
        <v/>
      </c>
      <c r="E4797" s="16">
        <f>IF(B4797,StartDate+D4797,"")</f>
        <v/>
      </c>
      <c r="F4797">
        <f>IF(B4797,MAX(MOD(SIN(Seed*0.1373+C4797*12.9898+D4797*78.233)*43758.5453,1),1E-9),"")</f>
        <v/>
      </c>
      <c r="G4797">
        <f>IF(B4797,MOD(SIN(Seed*0.5917+C4797*39.3468+D4797*11.135)*24634.6345,1),"")</f>
        <v/>
      </c>
      <c r="H4797">
        <f>IF(B4797,SQRT(-2*LN(F4797))*COS(2*PI()*G4797),"")</f>
        <v/>
      </c>
      <c r="I4797">
        <f>IF(B4797,IF(D4797=0,H4797,Rho*I4796+SQRT(1-Rho^2)*H4797),"")</f>
        <v/>
      </c>
      <c r="J4797">
        <f>IF(B4797,IF(Dist="Normal",DistA+DistB*I4797,DistA+(DistB-DistA)*NORMSDIST(I4797)),"")</f>
        <v/>
      </c>
      <c r="K4797">
        <f>IF(B4797,INDEX(MineScale,C4797),"")</f>
        <v/>
      </c>
      <c r="L4797">
        <f>IF(B4797,INDEX(Dow,1,WEEKDAY(E4797,2)),"")</f>
        <v/>
      </c>
      <c r="M4797">
        <f>IF(B4797,(1+Trend)^D4797,"")</f>
        <v/>
      </c>
      <c r="N4797">
        <f>IF(B4797,EXP(SUMPRODUCT(LN(1+(EvEff-1)*INDEX(Affected,0,C4797)*EXP(-((E4797-EvCenter)^2)/(2*EvSigma^2))))),"")</f>
        <v/>
      </c>
      <c r="O4797">
        <f>IF(B4797,ROUND(MAX(0,J4797*K4797*L4797*M4797*N4797),2),"")</f>
        <v/>
      </c>
    </row>
    <row r="4798">
      <c r="A4798" t="n">
        <v>4797</v>
      </c>
      <c r="B4798">
        <f>A4798&lt;=MineCount*Days</f>
        <v/>
      </c>
      <c r="C4798">
        <f>IF(B4798,INT((A4798-1)/Days)+1,"")</f>
        <v/>
      </c>
      <c r="D4798">
        <f>IF(B4798,MOD(A4798-1,Days),"")</f>
        <v/>
      </c>
      <c r="E4798" s="16">
        <f>IF(B4798,StartDate+D4798,"")</f>
        <v/>
      </c>
      <c r="F4798">
        <f>IF(B4798,MAX(MOD(SIN(Seed*0.1373+C4798*12.9898+D4798*78.233)*43758.5453,1),1E-9),"")</f>
        <v/>
      </c>
      <c r="G4798">
        <f>IF(B4798,MOD(SIN(Seed*0.5917+C4798*39.3468+D4798*11.135)*24634.6345,1),"")</f>
        <v/>
      </c>
      <c r="H4798">
        <f>IF(B4798,SQRT(-2*LN(F4798))*COS(2*PI()*G4798),"")</f>
        <v/>
      </c>
      <c r="I4798">
        <f>IF(B4798,IF(D4798=0,H4798,Rho*I4797+SQRT(1-Rho^2)*H4798),"")</f>
        <v/>
      </c>
      <c r="J4798">
        <f>IF(B4798,IF(Dist="Normal",DistA+DistB*I4798,DistA+(DistB-DistA)*NORMSDIST(I4798)),"")</f>
        <v/>
      </c>
      <c r="K4798">
        <f>IF(B4798,INDEX(MineScale,C4798),"")</f>
        <v/>
      </c>
      <c r="L4798">
        <f>IF(B4798,INDEX(Dow,1,WEEKDAY(E4798,2)),"")</f>
        <v/>
      </c>
      <c r="M4798">
        <f>IF(B4798,(1+Trend)^D4798,"")</f>
        <v/>
      </c>
      <c r="N4798">
        <f>IF(B4798,EXP(SUMPRODUCT(LN(1+(EvEff-1)*INDEX(Affected,0,C4798)*EXP(-((E4798-EvCenter)^2)/(2*EvSigma^2))))),"")</f>
        <v/>
      </c>
      <c r="O4798">
        <f>IF(B4798,ROUND(MAX(0,J4798*K4798*L4798*M4798*N4798),2),"")</f>
        <v/>
      </c>
    </row>
    <row r="4799">
      <c r="A4799" t="n">
        <v>4798</v>
      </c>
      <c r="B4799">
        <f>A4799&lt;=MineCount*Days</f>
        <v/>
      </c>
      <c r="C4799">
        <f>IF(B4799,INT((A4799-1)/Days)+1,"")</f>
        <v/>
      </c>
      <c r="D4799">
        <f>IF(B4799,MOD(A4799-1,Days),"")</f>
        <v/>
      </c>
      <c r="E4799" s="16">
        <f>IF(B4799,StartDate+D4799,"")</f>
        <v/>
      </c>
      <c r="F4799">
        <f>IF(B4799,MAX(MOD(SIN(Seed*0.1373+C4799*12.9898+D4799*78.233)*43758.5453,1),1E-9),"")</f>
        <v/>
      </c>
      <c r="G4799">
        <f>IF(B4799,MOD(SIN(Seed*0.5917+C4799*39.3468+D4799*11.135)*24634.6345,1),"")</f>
        <v/>
      </c>
      <c r="H4799">
        <f>IF(B4799,SQRT(-2*LN(F4799))*COS(2*PI()*G4799),"")</f>
        <v/>
      </c>
      <c r="I4799">
        <f>IF(B4799,IF(D4799=0,H4799,Rho*I4798+SQRT(1-Rho^2)*H4799),"")</f>
        <v/>
      </c>
      <c r="J4799">
        <f>IF(B4799,IF(Dist="Normal",DistA+DistB*I4799,DistA+(DistB-DistA)*NORMSDIST(I4799)),"")</f>
        <v/>
      </c>
      <c r="K4799">
        <f>IF(B4799,INDEX(MineScale,C4799),"")</f>
        <v/>
      </c>
      <c r="L4799">
        <f>IF(B4799,INDEX(Dow,1,WEEKDAY(E4799,2)),"")</f>
        <v/>
      </c>
      <c r="M4799">
        <f>IF(B4799,(1+Trend)^D4799,"")</f>
        <v/>
      </c>
      <c r="N4799">
        <f>IF(B4799,EXP(SUMPRODUCT(LN(1+(EvEff-1)*INDEX(Affected,0,C4799)*EXP(-((E4799-EvCenter)^2)/(2*EvSigma^2))))),"")</f>
        <v/>
      </c>
      <c r="O4799">
        <f>IF(B4799,ROUND(MAX(0,J4799*K4799*L4799*M4799*N4799),2),"")</f>
        <v/>
      </c>
    </row>
    <row r="4800">
      <c r="A4800" t="n">
        <v>4799</v>
      </c>
      <c r="B4800">
        <f>A4800&lt;=MineCount*Days</f>
        <v/>
      </c>
      <c r="C4800">
        <f>IF(B4800,INT((A4800-1)/Days)+1,"")</f>
        <v/>
      </c>
      <c r="D4800">
        <f>IF(B4800,MOD(A4800-1,Days),"")</f>
        <v/>
      </c>
      <c r="E4800" s="16">
        <f>IF(B4800,StartDate+D4800,"")</f>
        <v/>
      </c>
      <c r="F4800">
        <f>IF(B4800,MAX(MOD(SIN(Seed*0.1373+C4800*12.9898+D4800*78.233)*43758.5453,1),1E-9),"")</f>
        <v/>
      </c>
      <c r="G4800">
        <f>IF(B4800,MOD(SIN(Seed*0.5917+C4800*39.3468+D4800*11.135)*24634.6345,1),"")</f>
        <v/>
      </c>
      <c r="H4800">
        <f>IF(B4800,SQRT(-2*LN(F4800))*COS(2*PI()*G4800),"")</f>
        <v/>
      </c>
      <c r="I4800">
        <f>IF(B4800,IF(D4800=0,H4800,Rho*I4799+SQRT(1-Rho^2)*H4800),"")</f>
        <v/>
      </c>
      <c r="J4800">
        <f>IF(B4800,IF(Dist="Normal",DistA+DistB*I4800,DistA+(DistB-DistA)*NORMSDIST(I4800)),"")</f>
        <v/>
      </c>
      <c r="K4800">
        <f>IF(B4800,INDEX(MineScale,C4800),"")</f>
        <v/>
      </c>
      <c r="L4800">
        <f>IF(B4800,INDEX(Dow,1,WEEKDAY(E4800,2)),"")</f>
        <v/>
      </c>
      <c r="M4800">
        <f>IF(B4800,(1+Trend)^D4800,"")</f>
        <v/>
      </c>
      <c r="N4800">
        <f>IF(B4800,EXP(SUMPRODUCT(LN(1+(EvEff-1)*INDEX(Affected,0,C4800)*EXP(-((E4800-EvCenter)^2)/(2*EvSigma^2))))),"")</f>
        <v/>
      </c>
      <c r="O4800">
        <f>IF(B4800,ROUND(MAX(0,J4800*K4800*L4800*M4800*N4800),2),"")</f>
        <v/>
      </c>
    </row>
    <row r="4801">
      <c r="A4801" t="n">
        <v>4800</v>
      </c>
      <c r="B4801">
        <f>A4801&lt;=MineCount*Days</f>
        <v/>
      </c>
      <c r="C4801">
        <f>IF(B4801,INT((A4801-1)/Days)+1,"")</f>
        <v/>
      </c>
      <c r="D4801">
        <f>IF(B4801,MOD(A4801-1,Days),"")</f>
        <v/>
      </c>
      <c r="E4801" s="16">
        <f>IF(B4801,StartDate+D4801,"")</f>
        <v/>
      </c>
      <c r="F4801">
        <f>IF(B4801,MAX(MOD(SIN(Seed*0.1373+C4801*12.9898+D4801*78.233)*43758.5453,1),1E-9),"")</f>
        <v/>
      </c>
      <c r="G4801">
        <f>IF(B4801,MOD(SIN(Seed*0.5917+C4801*39.3468+D4801*11.135)*24634.6345,1),"")</f>
        <v/>
      </c>
      <c r="H4801">
        <f>IF(B4801,SQRT(-2*LN(F4801))*COS(2*PI()*G4801),"")</f>
        <v/>
      </c>
      <c r="I4801">
        <f>IF(B4801,IF(D4801=0,H4801,Rho*I4800+SQRT(1-Rho^2)*H4801),"")</f>
        <v/>
      </c>
      <c r="J4801">
        <f>IF(B4801,IF(Dist="Normal",DistA+DistB*I4801,DistA+(DistB-DistA)*NORMSDIST(I4801)),"")</f>
        <v/>
      </c>
      <c r="K4801">
        <f>IF(B4801,INDEX(MineScale,C4801),"")</f>
        <v/>
      </c>
      <c r="L4801">
        <f>IF(B4801,INDEX(Dow,1,WEEKDAY(E4801,2)),"")</f>
        <v/>
      </c>
      <c r="M4801">
        <f>IF(B4801,(1+Trend)^D4801,"")</f>
        <v/>
      </c>
      <c r="N4801">
        <f>IF(B4801,EXP(SUMPRODUCT(LN(1+(EvEff-1)*INDEX(Affected,0,C4801)*EXP(-((E4801-EvCenter)^2)/(2*EvSigma^2))))),"")</f>
        <v/>
      </c>
      <c r="O4801">
        <f>IF(B4801,ROUND(MAX(0,J4801*K4801*L4801*M4801*N4801),2),"")</f>
        <v/>
      </c>
    </row>
    <row r="4802">
      <c r="A4802" t="n">
        <v>4801</v>
      </c>
      <c r="B4802">
        <f>A4802&lt;=MineCount*Days</f>
        <v/>
      </c>
      <c r="C4802">
        <f>IF(B4802,INT((A4802-1)/Days)+1,"")</f>
        <v/>
      </c>
      <c r="D4802">
        <f>IF(B4802,MOD(A4802-1,Days),"")</f>
        <v/>
      </c>
      <c r="E4802" s="16">
        <f>IF(B4802,StartDate+D4802,"")</f>
        <v/>
      </c>
      <c r="F4802">
        <f>IF(B4802,MAX(MOD(SIN(Seed*0.1373+C4802*12.9898+D4802*78.233)*43758.5453,1),1E-9),"")</f>
        <v/>
      </c>
      <c r="G4802">
        <f>IF(B4802,MOD(SIN(Seed*0.5917+C4802*39.3468+D4802*11.135)*24634.6345,1),"")</f>
        <v/>
      </c>
      <c r="H4802">
        <f>IF(B4802,SQRT(-2*LN(F4802))*COS(2*PI()*G4802),"")</f>
        <v/>
      </c>
      <c r="I4802">
        <f>IF(B4802,IF(D4802=0,H4802,Rho*I4801+SQRT(1-Rho^2)*H4802),"")</f>
        <v/>
      </c>
      <c r="J4802">
        <f>IF(B4802,IF(Dist="Normal",DistA+DistB*I4802,DistA+(DistB-DistA)*NORMSDIST(I4802)),"")</f>
        <v/>
      </c>
      <c r="K4802">
        <f>IF(B4802,INDEX(MineScale,C4802),"")</f>
        <v/>
      </c>
      <c r="L4802">
        <f>IF(B4802,INDEX(Dow,1,WEEKDAY(E4802,2)),"")</f>
        <v/>
      </c>
      <c r="M4802">
        <f>IF(B4802,(1+Trend)^D4802,"")</f>
        <v/>
      </c>
      <c r="N4802">
        <f>IF(B4802,EXP(SUMPRODUCT(LN(1+(EvEff-1)*INDEX(Affected,0,C4802)*EXP(-((E4802-EvCenter)^2)/(2*EvSigma^2))))),"")</f>
        <v/>
      </c>
      <c r="O4802">
        <f>IF(B4802,ROUND(MAX(0,J4802*K4802*L4802*M4802*N4802),2),"")</f>
        <v/>
      </c>
    </row>
    <row r="4803">
      <c r="A4803" t="n">
        <v>4802</v>
      </c>
      <c r="B4803">
        <f>A4803&lt;=MineCount*Days</f>
        <v/>
      </c>
      <c r="C4803">
        <f>IF(B4803,INT((A4803-1)/Days)+1,"")</f>
        <v/>
      </c>
      <c r="D4803">
        <f>IF(B4803,MOD(A4803-1,Days),"")</f>
        <v/>
      </c>
      <c r="E4803" s="16">
        <f>IF(B4803,StartDate+D4803,"")</f>
        <v/>
      </c>
      <c r="F4803">
        <f>IF(B4803,MAX(MOD(SIN(Seed*0.1373+C4803*12.9898+D4803*78.233)*43758.5453,1),1E-9),"")</f>
        <v/>
      </c>
      <c r="G4803">
        <f>IF(B4803,MOD(SIN(Seed*0.5917+C4803*39.3468+D4803*11.135)*24634.6345,1),"")</f>
        <v/>
      </c>
      <c r="H4803">
        <f>IF(B4803,SQRT(-2*LN(F4803))*COS(2*PI()*G4803),"")</f>
        <v/>
      </c>
      <c r="I4803">
        <f>IF(B4803,IF(D4803=0,H4803,Rho*I4802+SQRT(1-Rho^2)*H4803),"")</f>
        <v/>
      </c>
      <c r="J4803">
        <f>IF(B4803,IF(Dist="Normal",DistA+DistB*I4803,DistA+(DistB-DistA)*NORMSDIST(I4803)),"")</f>
        <v/>
      </c>
      <c r="K4803">
        <f>IF(B4803,INDEX(MineScale,C4803),"")</f>
        <v/>
      </c>
      <c r="L4803">
        <f>IF(B4803,INDEX(Dow,1,WEEKDAY(E4803,2)),"")</f>
        <v/>
      </c>
      <c r="M4803">
        <f>IF(B4803,(1+Trend)^D4803,"")</f>
        <v/>
      </c>
      <c r="N4803">
        <f>IF(B4803,EXP(SUMPRODUCT(LN(1+(EvEff-1)*INDEX(Affected,0,C4803)*EXP(-((E4803-EvCenter)^2)/(2*EvSigma^2))))),"")</f>
        <v/>
      </c>
      <c r="O4803">
        <f>IF(B4803,ROUND(MAX(0,J4803*K4803*L4803*M4803*N4803),2),"")</f>
        <v/>
      </c>
    </row>
    <row r="4804">
      <c r="A4804" t="n">
        <v>4803</v>
      </c>
      <c r="B4804">
        <f>A4804&lt;=MineCount*Days</f>
        <v/>
      </c>
      <c r="C4804">
        <f>IF(B4804,INT((A4804-1)/Days)+1,"")</f>
        <v/>
      </c>
      <c r="D4804">
        <f>IF(B4804,MOD(A4804-1,Days),"")</f>
        <v/>
      </c>
      <c r="E4804" s="16">
        <f>IF(B4804,StartDate+D4804,"")</f>
        <v/>
      </c>
      <c r="F4804">
        <f>IF(B4804,MAX(MOD(SIN(Seed*0.1373+C4804*12.9898+D4804*78.233)*43758.5453,1),1E-9),"")</f>
        <v/>
      </c>
      <c r="G4804">
        <f>IF(B4804,MOD(SIN(Seed*0.5917+C4804*39.3468+D4804*11.135)*24634.6345,1),"")</f>
        <v/>
      </c>
      <c r="H4804">
        <f>IF(B4804,SQRT(-2*LN(F4804))*COS(2*PI()*G4804),"")</f>
        <v/>
      </c>
      <c r="I4804">
        <f>IF(B4804,IF(D4804=0,H4804,Rho*I4803+SQRT(1-Rho^2)*H4804),"")</f>
        <v/>
      </c>
      <c r="J4804">
        <f>IF(B4804,IF(Dist="Normal",DistA+DistB*I4804,DistA+(DistB-DistA)*NORMSDIST(I4804)),"")</f>
        <v/>
      </c>
      <c r="K4804">
        <f>IF(B4804,INDEX(MineScale,C4804),"")</f>
        <v/>
      </c>
      <c r="L4804">
        <f>IF(B4804,INDEX(Dow,1,WEEKDAY(E4804,2)),"")</f>
        <v/>
      </c>
      <c r="M4804">
        <f>IF(B4804,(1+Trend)^D4804,"")</f>
        <v/>
      </c>
      <c r="N4804">
        <f>IF(B4804,EXP(SUMPRODUCT(LN(1+(EvEff-1)*INDEX(Affected,0,C4804)*EXP(-((E4804-EvCenter)^2)/(2*EvSigma^2))))),"")</f>
        <v/>
      </c>
      <c r="O4804">
        <f>IF(B4804,ROUND(MAX(0,J4804*K4804*L4804*M4804*N4804),2),"")</f>
        <v/>
      </c>
    </row>
    <row r="4805">
      <c r="A4805" t="n">
        <v>4804</v>
      </c>
      <c r="B4805">
        <f>A4805&lt;=MineCount*Days</f>
        <v/>
      </c>
      <c r="C4805">
        <f>IF(B4805,INT((A4805-1)/Days)+1,"")</f>
        <v/>
      </c>
      <c r="D4805">
        <f>IF(B4805,MOD(A4805-1,Days),"")</f>
        <v/>
      </c>
      <c r="E4805" s="16">
        <f>IF(B4805,StartDate+D4805,"")</f>
        <v/>
      </c>
      <c r="F4805">
        <f>IF(B4805,MAX(MOD(SIN(Seed*0.1373+C4805*12.9898+D4805*78.233)*43758.5453,1),1E-9),"")</f>
        <v/>
      </c>
      <c r="G4805">
        <f>IF(B4805,MOD(SIN(Seed*0.5917+C4805*39.3468+D4805*11.135)*24634.6345,1),"")</f>
        <v/>
      </c>
      <c r="H4805">
        <f>IF(B4805,SQRT(-2*LN(F4805))*COS(2*PI()*G4805),"")</f>
        <v/>
      </c>
      <c r="I4805">
        <f>IF(B4805,IF(D4805=0,H4805,Rho*I4804+SQRT(1-Rho^2)*H4805),"")</f>
        <v/>
      </c>
      <c r="J4805">
        <f>IF(B4805,IF(Dist="Normal",DistA+DistB*I4805,DistA+(DistB-DistA)*NORMSDIST(I4805)),"")</f>
        <v/>
      </c>
      <c r="K4805">
        <f>IF(B4805,INDEX(MineScale,C4805),"")</f>
        <v/>
      </c>
      <c r="L4805">
        <f>IF(B4805,INDEX(Dow,1,WEEKDAY(E4805,2)),"")</f>
        <v/>
      </c>
      <c r="M4805">
        <f>IF(B4805,(1+Trend)^D4805,"")</f>
        <v/>
      </c>
      <c r="N4805">
        <f>IF(B4805,EXP(SUMPRODUCT(LN(1+(EvEff-1)*INDEX(Affected,0,C4805)*EXP(-((E4805-EvCenter)^2)/(2*EvSigma^2))))),"")</f>
        <v/>
      </c>
      <c r="O4805">
        <f>IF(B4805,ROUND(MAX(0,J4805*K4805*L4805*M4805*N4805),2),"")</f>
        <v/>
      </c>
    </row>
    <row r="4806">
      <c r="A4806" t="n">
        <v>4805</v>
      </c>
      <c r="B4806">
        <f>A4806&lt;=MineCount*Days</f>
        <v/>
      </c>
      <c r="C4806">
        <f>IF(B4806,INT((A4806-1)/Days)+1,"")</f>
        <v/>
      </c>
      <c r="D4806">
        <f>IF(B4806,MOD(A4806-1,Days),"")</f>
        <v/>
      </c>
      <c r="E4806" s="16">
        <f>IF(B4806,StartDate+D4806,"")</f>
        <v/>
      </c>
      <c r="F4806">
        <f>IF(B4806,MAX(MOD(SIN(Seed*0.1373+C4806*12.9898+D4806*78.233)*43758.5453,1),1E-9),"")</f>
        <v/>
      </c>
      <c r="G4806">
        <f>IF(B4806,MOD(SIN(Seed*0.5917+C4806*39.3468+D4806*11.135)*24634.6345,1),"")</f>
        <v/>
      </c>
      <c r="H4806">
        <f>IF(B4806,SQRT(-2*LN(F4806))*COS(2*PI()*G4806),"")</f>
        <v/>
      </c>
      <c r="I4806">
        <f>IF(B4806,IF(D4806=0,H4806,Rho*I4805+SQRT(1-Rho^2)*H4806),"")</f>
        <v/>
      </c>
      <c r="J4806">
        <f>IF(B4806,IF(Dist="Normal",DistA+DistB*I4806,DistA+(DistB-DistA)*NORMSDIST(I4806)),"")</f>
        <v/>
      </c>
      <c r="K4806">
        <f>IF(B4806,INDEX(MineScale,C4806),"")</f>
        <v/>
      </c>
      <c r="L4806">
        <f>IF(B4806,INDEX(Dow,1,WEEKDAY(E4806,2)),"")</f>
        <v/>
      </c>
      <c r="M4806">
        <f>IF(B4806,(1+Trend)^D4806,"")</f>
        <v/>
      </c>
      <c r="N4806">
        <f>IF(B4806,EXP(SUMPRODUCT(LN(1+(EvEff-1)*INDEX(Affected,0,C4806)*EXP(-((E4806-EvCenter)^2)/(2*EvSigma^2))))),"")</f>
        <v/>
      </c>
      <c r="O4806">
        <f>IF(B4806,ROUND(MAX(0,J4806*K4806*L4806*M4806*N4806),2),"")</f>
        <v/>
      </c>
    </row>
    <row r="4807">
      <c r="A4807" t="n">
        <v>4806</v>
      </c>
      <c r="B4807">
        <f>A4807&lt;=MineCount*Days</f>
        <v/>
      </c>
      <c r="C4807">
        <f>IF(B4807,INT((A4807-1)/Days)+1,"")</f>
        <v/>
      </c>
      <c r="D4807">
        <f>IF(B4807,MOD(A4807-1,Days),"")</f>
        <v/>
      </c>
      <c r="E4807" s="16">
        <f>IF(B4807,StartDate+D4807,"")</f>
        <v/>
      </c>
      <c r="F4807">
        <f>IF(B4807,MAX(MOD(SIN(Seed*0.1373+C4807*12.9898+D4807*78.233)*43758.5453,1),1E-9),"")</f>
        <v/>
      </c>
      <c r="G4807">
        <f>IF(B4807,MOD(SIN(Seed*0.5917+C4807*39.3468+D4807*11.135)*24634.6345,1),"")</f>
        <v/>
      </c>
      <c r="H4807">
        <f>IF(B4807,SQRT(-2*LN(F4807))*COS(2*PI()*G4807),"")</f>
        <v/>
      </c>
      <c r="I4807">
        <f>IF(B4807,IF(D4807=0,H4807,Rho*I4806+SQRT(1-Rho^2)*H4807),"")</f>
        <v/>
      </c>
      <c r="J4807">
        <f>IF(B4807,IF(Dist="Normal",DistA+DistB*I4807,DistA+(DistB-DistA)*NORMSDIST(I4807)),"")</f>
        <v/>
      </c>
      <c r="K4807">
        <f>IF(B4807,INDEX(MineScale,C4807),"")</f>
        <v/>
      </c>
      <c r="L4807">
        <f>IF(B4807,INDEX(Dow,1,WEEKDAY(E4807,2)),"")</f>
        <v/>
      </c>
      <c r="M4807">
        <f>IF(B4807,(1+Trend)^D4807,"")</f>
        <v/>
      </c>
      <c r="N4807">
        <f>IF(B4807,EXP(SUMPRODUCT(LN(1+(EvEff-1)*INDEX(Affected,0,C4807)*EXP(-((E4807-EvCenter)^2)/(2*EvSigma^2))))),"")</f>
        <v/>
      </c>
      <c r="O4807">
        <f>IF(B4807,ROUND(MAX(0,J4807*K4807*L4807*M4807*N4807),2),"")</f>
        <v/>
      </c>
    </row>
    <row r="4808">
      <c r="A4808" t="n">
        <v>4807</v>
      </c>
      <c r="B4808">
        <f>A4808&lt;=MineCount*Days</f>
        <v/>
      </c>
      <c r="C4808">
        <f>IF(B4808,INT((A4808-1)/Days)+1,"")</f>
        <v/>
      </c>
      <c r="D4808">
        <f>IF(B4808,MOD(A4808-1,Days),"")</f>
        <v/>
      </c>
      <c r="E4808" s="16">
        <f>IF(B4808,StartDate+D4808,"")</f>
        <v/>
      </c>
      <c r="F4808">
        <f>IF(B4808,MAX(MOD(SIN(Seed*0.1373+C4808*12.9898+D4808*78.233)*43758.5453,1),1E-9),"")</f>
        <v/>
      </c>
      <c r="G4808">
        <f>IF(B4808,MOD(SIN(Seed*0.5917+C4808*39.3468+D4808*11.135)*24634.6345,1),"")</f>
        <v/>
      </c>
      <c r="H4808">
        <f>IF(B4808,SQRT(-2*LN(F4808))*COS(2*PI()*G4808),"")</f>
        <v/>
      </c>
      <c r="I4808">
        <f>IF(B4808,IF(D4808=0,H4808,Rho*I4807+SQRT(1-Rho^2)*H4808),"")</f>
        <v/>
      </c>
      <c r="J4808">
        <f>IF(B4808,IF(Dist="Normal",DistA+DistB*I4808,DistA+(DistB-DistA)*NORMSDIST(I4808)),"")</f>
        <v/>
      </c>
      <c r="K4808">
        <f>IF(B4808,INDEX(MineScale,C4808),"")</f>
        <v/>
      </c>
      <c r="L4808">
        <f>IF(B4808,INDEX(Dow,1,WEEKDAY(E4808,2)),"")</f>
        <v/>
      </c>
      <c r="M4808">
        <f>IF(B4808,(1+Trend)^D4808,"")</f>
        <v/>
      </c>
      <c r="N4808">
        <f>IF(B4808,EXP(SUMPRODUCT(LN(1+(EvEff-1)*INDEX(Affected,0,C4808)*EXP(-((E4808-EvCenter)^2)/(2*EvSigma^2))))),"")</f>
        <v/>
      </c>
      <c r="O4808">
        <f>IF(B4808,ROUND(MAX(0,J4808*K4808*L4808*M4808*N4808),2),"")</f>
        <v/>
      </c>
    </row>
    <row r="4809">
      <c r="A4809" t="n">
        <v>4808</v>
      </c>
      <c r="B4809">
        <f>A4809&lt;=MineCount*Days</f>
        <v/>
      </c>
      <c r="C4809">
        <f>IF(B4809,INT((A4809-1)/Days)+1,"")</f>
        <v/>
      </c>
      <c r="D4809">
        <f>IF(B4809,MOD(A4809-1,Days),"")</f>
        <v/>
      </c>
      <c r="E4809" s="16">
        <f>IF(B4809,StartDate+D4809,"")</f>
        <v/>
      </c>
      <c r="F4809">
        <f>IF(B4809,MAX(MOD(SIN(Seed*0.1373+C4809*12.9898+D4809*78.233)*43758.5453,1),1E-9),"")</f>
        <v/>
      </c>
      <c r="G4809">
        <f>IF(B4809,MOD(SIN(Seed*0.5917+C4809*39.3468+D4809*11.135)*24634.6345,1),"")</f>
        <v/>
      </c>
      <c r="H4809">
        <f>IF(B4809,SQRT(-2*LN(F4809))*COS(2*PI()*G4809),"")</f>
        <v/>
      </c>
      <c r="I4809">
        <f>IF(B4809,IF(D4809=0,H4809,Rho*I4808+SQRT(1-Rho^2)*H4809),"")</f>
        <v/>
      </c>
      <c r="J4809">
        <f>IF(B4809,IF(Dist="Normal",DistA+DistB*I4809,DistA+(DistB-DistA)*NORMSDIST(I4809)),"")</f>
        <v/>
      </c>
      <c r="K4809">
        <f>IF(B4809,INDEX(MineScale,C4809),"")</f>
        <v/>
      </c>
      <c r="L4809">
        <f>IF(B4809,INDEX(Dow,1,WEEKDAY(E4809,2)),"")</f>
        <v/>
      </c>
      <c r="M4809">
        <f>IF(B4809,(1+Trend)^D4809,"")</f>
        <v/>
      </c>
      <c r="N4809">
        <f>IF(B4809,EXP(SUMPRODUCT(LN(1+(EvEff-1)*INDEX(Affected,0,C4809)*EXP(-((E4809-EvCenter)^2)/(2*EvSigma^2))))),"")</f>
        <v/>
      </c>
      <c r="O4809">
        <f>IF(B4809,ROUND(MAX(0,J4809*K4809*L4809*M4809*N4809),2),"")</f>
        <v/>
      </c>
    </row>
    <row r="4810">
      <c r="A4810" t="n">
        <v>4809</v>
      </c>
      <c r="B4810">
        <f>A4810&lt;=MineCount*Days</f>
        <v/>
      </c>
      <c r="C4810">
        <f>IF(B4810,INT((A4810-1)/Days)+1,"")</f>
        <v/>
      </c>
      <c r="D4810">
        <f>IF(B4810,MOD(A4810-1,Days),"")</f>
        <v/>
      </c>
      <c r="E4810" s="16">
        <f>IF(B4810,StartDate+D4810,"")</f>
        <v/>
      </c>
      <c r="F4810">
        <f>IF(B4810,MAX(MOD(SIN(Seed*0.1373+C4810*12.9898+D4810*78.233)*43758.5453,1),1E-9),"")</f>
        <v/>
      </c>
      <c r="G4810">
        <f>IF(B4810,MOD(SIN(Seed*0.5917+C4810*39.3468+D4810*11.135)*24634.6345,1),"")</f>
        <v/>
      </c>
      <c r="H4810">
        <f>IF(B4810,SQRT(-2*LN(F4810))*COS(2*PI()*G4810),"")</f>
        <v/>
      </c>
      <c r="I4810">
        <f>IF(B4810,IF(D4810=0,H4810,Rho*I4809+SQRT(1-Rho^2)*H4810),"")</f>
        <v/>
      </c>
      <c r="J4810">
        <f>IF(B4810,IF(Dist="Normal",DistA+DistB*I4810,DistA+(DistB-DistA)*NORMSDIST(I4810)),"")</f>
        <v/>
      </c>
      <c r="K4810">
        <f>IF(B4810,INDEX(MineScale,C4810),"")</f>
        <v/>
      </c>
      <c r="L4810">
        <f>IF(B4810,INDEX(Dow,1,WEEKDAY(E4810,2)),"")</f>
        <v/>
      </c>
      <c r="M4810">
        <f>IF(B4810,(1+Trend)^D4810,"")</f>
        <v/>
      </c>
      <c r="N4810">
        <f>IF(B4810,EXP(SUMPRODUCT(LN(1+(EvEff-1)*INDEX(Affected,0,C4810)*EXP(-((E4810-EvCenter)^2)/(2*EvSigma^2))))),"")</f>
        <v/>
      </c>
      <c r="O4810">
        <f>IF(B4810,ROUND(MAX(0,J4810*K4810*L4810*M4810*N4810),2),"")</f>
        <v/>
      </c>
    </row>
    <row r="4811">
      <c r="A4811" t="n">
        <v>4810</v>
      </c>
      <c r="B4811">
        <f>A4811&lt;=MineCount*Days</f>
        <v/>
      </c>
      <c r="C4811">
        <f>IF(B4811,INT((A4811-1)/Days)+1,"")</f>
        <v/>
      </c>
      <c r="D4811">
        <f>IF(B4811,MOD(A4811-1,Days),"")</f>
        <v/>
      </c>
      <c r="E4811" s="16">
        <f>IF(B4811,StartDate+D4811,"")</f>
        <v/>
      </c>
      <c r="F4811">
        <f>IF(B4811,MAX(MOD(SIN(Seed*0.1373+C4811*12.9898+D4811*78.233)*43758.5453,1),1E-9),"")</f>
        <v/>
      </c>
      <c r="G4811">
        <f>IF(B4811,MOD(SIN(Seed*0.5917+C4811*39.3468+D4811*11.135)*24634.6345,1),"")</f>
        <v/>
      </c>
      <c r="H4811">
        <f>IF(B4811,SQRT(-2*LN(F4811))*COS(2*PI()*G4811),"")</f>
        <v/>
      </c>
      <c r="I4811">
        <f>IF(B4811,IF(D4811=0,H4811,Rho*I4810+SQRT(1-Rho^2)*H4811),"")</f>
        <v/>
      </c>
      <c r="J4811">
        <f>IF(B4811,IF(Dist="Normal",DistA+DistB*I4811,DistA+(DistB-DistA)*NORMSDIST(I4811)),"")</f>
        <v/>
      </c>
      <c r="K4811">
        <f>IF(B4811,INDEX(MineScale,C4811),"")</f>
        <v/>
      </c>
      <c r="L4811">
        <f>IF(B4811,INDEX(Dow,1,WEEKDAY(E4811,2)),"")</f>
        <v/>
      </c>
      <c r="M4811">
        <f>IF(B4811,(1+Trend)^D4811,"")</f>
        <v/>
      </c>
      <c r="N4811">
        <f>IF(B4811,EXP(SUMPRODUCT(LN(1+(EvEff-1)*INDEX(Affected,0,C4811)*EXP(-((E4811-EvCenter)^2)/(2*EvSigma^2))))),"")</f>
        <v/>
      </c>
      <c r="O4811">
        <f>IF(B4811,ROUND(MAX(0,J4811*K4811*L4811*M4811*N4811),2),"")</f>
        <v/>
      </c>
    </row>
    <row r="4812">
      <c r="A4812" t="n">
        <v>4811</v>
      </c>
      <c r="B4812">
        <f>A4812&lt;=MineCount*Days</f>
        <v/>
      </c>
      <c r="C4812">
        <f>IF(B4812,INT((A4812-1)/Days)+1,"")</f>
        <v/>
      </c>
      <c r="D4812">
        <f>IF(B4812,MOD(A4812-1,Days),"")</f>
        <v/>
      </c>
      <c r="E4812" s="16">
        <f>IF(B4812,StartDate+D4812,"")</f>
        <v/>
      </c>
      <c r="F4812">
        <f>IF(B4812,MAX(MOD(SIN(Seed*0.1373+C4812*12.9898+D4812*78.233)*43758.5453,1),1E-9),"")</f>
        <v/>
      </c>
      <c r="G4812">
        <f>IF(B4812,MOD(SIN(Seed*0.5917+C4812*39.3468+D4812*11.135)*24634.6345,1),"")</f>
        <v/>
      </c>
      <c r="H4812">
        <f>IF(B4812,SQRT(-2*LN(F4812))*COS(2*PI()*G4812),"")</f>
        <v/>
      </c>
      <c r="I4812">
        <f>IF(B4812,IF(D4812=0,H4812,Rho*I4811+SQRT(1-Rho^2)*H4812),"")</f>
        <v/>
      </c>
      <c r="J4812">
        <f>IF(B4812,IF(Dist="Normal",DistA+DistB*I4812,DistA+(DistB-DistA)*NORMSDIST(I4812)),"")</f>
        <v/>
      </c>
      <c r="K4812">
        <f>IF(B4812,INDEX(MineScale,C4812),"")</f>
        <v/>
      </c>
      <c r="L4812">
        <f>IF(B4812,INDEX(Dow,1,WEEKDAY(E4812,2)),"")</f>
        <v/>
      </c>
      <c r="M4812">
        <f>IF(B4812,(1+Trend)^D4812,"")</f>
        <v/>
      </c>
      <c r="N4812">
        <f>IF(B4812,EXP(SUMPRODUCT(LN(1+(EvEff-1)*INDEX(Affected,0,C4812)*EXP(-((E4812-EvCenter)^2)/(2*EvSigma^2))))),"")</f>
        <v/>
      </c>
      <c r="O4812">
        <f>IF(B4812,ROUND(MAX(0,J4812*K4812*L4812*M4812*N4812),2),"")</f>
        <v/>
      </c>
    </row>
    <row r="4813">
      <c r="A4813" t="n">
        <v>4812</v>
      </c>
      <c r="B4813">
        <f>A4813&lt;=MineCount*Days</f>
        <v/>
      </c>
      <c r="C4813">
        <f>IF(B4813,INT((A4813-1)/Days)+1,"")</f>
        <v/>
      </c>
      <c r="D4813">
        <f>IF(B4813,MOD(A4813-1,Days),"")</f>
        <v/>
      </c>
      <c r="E4813" s="16">
        <f>IF(B4813,StartDate+D4813,"")</f>
        <v/>
      </c>
      <c r="F4813">
        <f>IF(B4813,MAX(MOD(SIN(Seed*0.1373+C4813*12.9898+D4813*78.233)*43758.5453,1),1E-9),"")</f>
        <v/>
      </c>
      <c r="G4813">
        <f>IF(B4813,MOD(SIN(Seed*0.5917+C4813*39.3468+D4813*11.135)*24634.6345,1),"")</f>
        <v/>
      </c>
      <c r="H4813">
        <f>IF(B4813,SQRT(-2*LN(F4813))*COS(2*PI()*G4813),"")</f>
        <v/>
      </c>
      <c r="I4813">
        <f>IF(B4813,IF(D4813=0,H4813,Rho*I4812+SQRT(1-Rho^2)*H4813),"")</f>
        <v/>
      </c>
      <c r="J4813">
        <f>IF(B4813,IF(Dist="Normal",DistA+DistB*I4813,DistA+(DistB-DistA)*NORMSDIST(I4813)),"")</f>
        <v/>
      </c>
      <c r="K4813">
        <f>IF(B4813,INDEX(MineScale,C4813),"")</f>
        <v/>
      </c>
      <c r="L4813">
        <f>IF(B4813,INDEX(Dow,1,WEEKDAY(E4813,2)),"")</f>
        <v/>
      </c>
      <c r="M4813">
        <f>IF(B4813,(1+Trend)^D4813,"")</f>
        <v/>
      </c>
      <c r="N4813">
        <f>IF(B4813,EXP(SUMPRODUCT(LN(1+(EvEff-1)*INDEX(Affected,0,C4813)*EXP(-((E4813-EvCenter)^2)/(2*EvSigma^2))))),"")</f>
        <v/>
      </c>
      <c r="O4813">
        <f>IF(B4813,ROUND(MAX(0,J4813*K4813*L4813*M4813*N4813),2),"")</f>
        <v/>
      </c>
    </row>
    <row r="4814">
      <c r="A4814" t="n">
        <v>4813</v>
      </c>
      <c r="B4814">
        <f>A4814&lt;=MineCount*Days</f>
        <v/>
      </c>
      <c r="C4814">
        <f>IF(B4814,INT((A4814-1)/Days)+1,"")</f>
        <v/>
      </c>
      <c r="D4814">
        <f>IF(B4814,MOD(A4814-1,Days),"")</f>
        <v/>
      </c>
      <c r="E4814" s="16">
        <f>IF(B4814,StartDate+D4814,"")</f>
        <v/>
      </c>
      <c r="F4814">
        <f>IF(B4814,MAX(MOD(SIN(Seed*0.1373+C4814*12.9898+D4814*78.233)*43758.5453,1),1E-9),"")</f>
        <v/>
      </c>
      <c r="G4814">
        <f>IF(B4814,MOD(SIN(Seed*0.5917+C4814*39.3468+D4814*11.135)*24634.6345,1),"")</f>
        <v/>
      </c>
      <c r="H4814">
        <f>IF(B4814,SQRT(-2*LN(F4814))*COS(2*PI()*G4814),"")</f>
        <v/>
      </c>
      <c r="I4814">
        <f>IF(B4814,IF(D4814=0,H4814,Rho*I4813+SQRT(1-Rho^2)*H4814),"")</f>
        <v/>
      </c>
      <c r="J4814">
        <f>IF(B4814,IF(Dist="Normal",DistA+DistB*I4814,DistA+(DistB-DistA)*NORMSDIST(I4814)),"")</f>
        <v/>
      </c>
      <c r="K4814">
        <f>IF(B4814,INDEX(MineScale,C4814),"")</f>
        <v/>
      </c>
      <c r="L4814">
        <f>IF(B4814,INDEX(Dow,1,WEEKDAY(E4814,2)),"")</f>
        <v/>
      </c>
      <c r="M4814">
        <f>IF(B4814,(1+Trend)^D4814,"")</f>
        <v/>
      </c>
      <c r="N4814">
        <f>IF(B4814,EXP(SUMPRODUCT(LN(1+(EvEff-1)*INDEX(Affected,0,C4814)*EXP(-((E4814-EvCenter)^2)/(2*EvSigma^2))))),"")</f>
        <v/>
      </c>
      <c r="O4814">
        <f>IF(B4814,ROUND(MAX(0,J4814*K4814*L4814*M4814*N4814),2),"")</f>
        <v/>
      </c>
    </row>
    <row r="4815">
      <c r="A4815" t="n">
        <v>4814</v>
      </c>
      <c r="B4815">
        <f>A4815&lt;=MineCount*Days</f>
        <v/>
      </c>
      <c r="C4815">
        <f>IF(B4815,INT((A4815-1)/Days)+1,"")</f>
        <v/>
      </c>
      <c r="D4815">
        <f>IF(B4815,MOD(A4815-1,Days),"")</f>
        <v/>
      </c>
      <c r="E4815" s="16">
        <f>IF(B4815,StartDate+D4815,"")</f>
        <v/>
      </c>
      <c r="F4815">
        <f>IF(B4815,MAX(MOD(SIN(Seed*0.1373+C4815*12.9898+D4815*78.233)*43758.5453,1),1E-9),"")</f>
        <v/>
      </c>
      <c r="G4815">
        <f>IF(B4815,MOD(SIN(Seed*0.5917+C4815*39.3468+D4815*11.135)*24634.6345,1),"")</f>
        <v/>
      </c>
      <c r="H4815">
        <f>IF(B4815,SQRT(-2*LN(F4815))*COS(2*PI()*G4815),"")</f>
        <v/>
      </c>
      <c r="I4815">
        <f>IF(B4815,IF(D4815=0,H4815,Rho*I4814+SQRT(1-Rho^2)*H4815),"")</f>
        <v/>
      </c>
      <c r="J4815">
        <f>IF(B4815,IF(Dist="Normal",DistA+DistB*I4815,DistA+(DistB-DistA)*NORMSDIST(I4815)),"")</f>
        <v/>
      </c>
      <c r="K4815">
        <f>IF(B4815,INDEX(MineScale,C4815),"")</f>
        <v/>
      </c>
      <c r="L4815">
        <f>IF(B4815,INDEX(Dow,1,WEEKDAY(E4815,2)),"")</f>
        <v/>
      </c>
      <c r="M4815">
        <f>IF(B4815,(1+Trend)^D4815,"")</f>
        <v/>
      </c>
      <c r="N4815">
        <f>IF(B4815,EXP(SUMPRODUCT(LN(1+(EvEff-1)*INDEX(Affected,0,C4815)*EXP(-((E4815-EvCenter)^2)/(2*EvSigma^2))))),"")</f>
        <v/>
      </c>
      <c r="O4815">
        <f>IF(B4815,ROUND(MAX(0,J4815*K4815*L4815*M4815*N4815),2),"")</f>
        <v/>
      </c>
    </row>
    <row r="4816">
      <c r="A4816" t="n">
        <v>4815</v>
      </c>
      <c r="B4816">
        <f>A4816&lt;=MineCount*Days</f>
        <v/>
      </c>
      <c r="C4816">
        <f>IF(B4816,INT((A4816-1)/Days)+1,"")</f>
        <v/>
      </c>
      <c r="D4816">
        <f>IF(B4816,MOD(A4816-1,Days),"")</f>
        <v/>
      </c>
      <c r="E4816" s="16">
        <f>IF(B4816,StartDate+D4816,"")</f>
        <v/>
      </c>
      <c r="F4816">
        <f>IF(B4816,MAX(MOD(SIN(Seed*0.1373+C4816*12.9898+D4816*78.233)*43758.5453,1),1E-9),"")</f>
        <v/>
      </c>
      <c r="G4816">
        <f>IF(B4816,MOD(SIN(Seed*0.5917+C4816*39.3468+D4816*11.135)*24634.6345,1),"")</f>
        <v/>
      </c>
      <c r="H4816">
        <f>IF(B4816,SQRT(-2*LN(F4816))*COS(2*PI()*G4816),"")</f>
        <v/>
      </c>
      <c r="I4816">
        <f>IF(B4816,IF(D4816=0,H4816,Rho*I4815+SQRT(1-Rho^2)*H4816),"")</f>
        <v/>
      </c>
      <c r="J4816">
        <f>IF(B4816,IF(Dist="Normal",DistA+DistB*I4816,DistA+(DistB-DistA)*NORMSDIST(I4816)),"")</f>
        <v/>
      </c>
      <c r="K4816">
        <f>IF(B4816,INDEX(MineScale,C4816),"")</f>
        <v/>
      </c>
      <c r="L4816">
        <f>IF(B4816,INDEX(Dow,1,WEEKDAY(E4816,2)),"")</f>
        <v/>
      </c>
      <c r="M4816">
        <f>IF(B4816,(1+Trend)^D4816,"")</f>
        <v/>
      </c>
      <c r="N4816">
        <f>IF(B4816,EXP(SUMPRODUCT(LN(1+(EvEff-1)*INDEX(Affected,0,C4816)*EXP(-((E4816-EvCenter)^2)/(2*EvSigma^2))))),"")</f>
        <v/>
      </c>
      <c r="O4816">
        <f>IF(B4816,ROUND(MAX(0,J4816*K4816*L4816*M4816*N4816),2),"")</f>
        <v/>
      </c>
    </row>
    <row r="4817">
      <c r="A4817" t="n">
        <v>4816</v>
      </c>
      <c r="B4817">
        <f>A4817&lt;=MineCount*Days</f>
        <v/>
      </c>
      <c r="C4817">
        <f>IF(B4817,INT((A4817-1)/Days)+1,"")</f>
        <v/>
      </c>
      <c r="D4817">
        <f>IF(B4817,MOD(A4817-1,Days),"")</f>
        <v/>
      </c>
      <c r="E4817" s="16">
        <f>IF(B4817,StartDate+D4817,"")</f>
        <v/>
      </c>
      <c r="F4817">
        <f>IF(B4817,MAX(MOD(SIN(Seed*0.1373+C4817*12.9898+D4817*78.233)*43758.5453,1),1E-9),"")</f>
        <v/>
      </c>
      <c r="G4817">
        <f>IF(B4817,MOD(SIN(Seed*0.5917+C4817*39.3468+D4817*11.135)*24634.6345,1),"")</f>
        <v/>
      </c>
      <c r="H4817">
        <f>IF(B4817,SQRT(-2*LN(F4817))*COS(2*PI()*G4817),"")</f>
        <v/>
      </c>
      <c r="I4817">
        <f>IF(B4817,IF(D4817=0,H4817,Rho*I4816+SQRT(1-Rho^2)*H4817),"")</f>
        <v/>
      </c>
      <c r="J4817">
        <f>IF(B4817,IF(Dist="Normal",DistA+DistB*I4817,DistA+(DistB-DistA)*NORMSDIST(I4817)),"")</f>
        <v/>
      </c>
      <c r="K4817">
        <f>IF(B4817,INDEX(MineScale,C4817),"")</f>
        <v/>
      </c>
      <c r="L4817">
        <f>IF(B4817,INDEX(Dow,1,WEEKDAY(E4817,2)),"")</f>
        <v/>
      </c>
      <c r="M4817">
        <f>IF(B4817,(1+Trend)^D4817,"")</f>
        <v/>
      </c>
      <c r="N4817">
        <f>IF(B4817,EXP(SUMPRODUCT(LN(1+(EvEff-1)*INDEX(Affected,0,C4817)*EXP(-((E4817-EvCenter)^2)/(2*EvSigma^2))))),"")</f>
        <v/>
      </c>
      <c r="O4817">
        <f>IF(B4817,ROUND(MAX(0,J4817*K4817*L4817*M4817*N4817),2),"")</f>
        <v/>
      </c>
    </row>
    <row r="4818">
      <c r="A4818" t="n">
        <v>4817</v>
      </c>
      <c r="B4818">
        <f>A4818&lt;=MineCount*Days</f>
        <v/>
      </c>
      <c r="C4818">
        <f>IF(B4818,INT((A4818-1)/Days)+1,"")</f>
        <v/>
      </c>
      <c r="D4818">
        <f>IF(B4818,MOD(A4818-1,Days),"")</f>
        <v/>
      </c>
      <c r="E4818" s="16">
        <f>IF(B4818,StartDate+D4818,"")</f>
        <v/>
      </c>
      <c r="F4818">
        <f>IF(B4818,MAX(MOD(SIN(Seed*0.1373+C4818*12.9898+D4818*78.233)*43758.5453,1),1E-9),"")</f>
        <v/>
      </c>
      <c r="G4818">
        <f>IF(B4818,MOD(SIN(Seed*0.5917+C4818*39.3468+D4818*11.135)*24634.6345,1),"")</f>
        <v/>
      </c>
      <c r="H4818">
        <f>IF(B4818,SQRT(-2*LN(F4818))*COS(2*PI()*G4818),"")</f>
        <v/>
      </c>
      <c r="I4818">
        <f>IF(B4818,IF(D4818=0,H4818,Rho*I4817+SQRT(1-Rho^2)*H4818),"")</f>
        <v/>
      </c>
      <c r="J4818">
        <f>IF(B4818,IF(Dist="Normal",DistA+DistB*I4818,DistA+(DistB-DistA)*NORMSDIST(I4818)),"")</f>
        <v/>
      </c>
      <c r="K4818">
        <f>IF(B4818,INDEX(MineScale,C4818),"")</f>
        <v/>
      </c>
      <c r="L4818">
        <f>IF(B4818,INDEX(Dow,1,WEEKDAY(E4818,2)),"")</f>
        <v/>
      </c>
      <c r="M4818">
        <f>IF(B4818,(1+Trend)^D4818,"")</f>
        <v/>
      </c>
      <c r="N4818">
        <f>IF(B4818,EXP(SUMPRODUCT(LN(1+(EvEff-1)*INDEX(Affected,0,C4818)*EXP(-((E4818-EvCenter)^2)/(2*EvSigma^2))))),"")</f>
        <v/>
      </c>
      <c r="O4818">
        <f>IF(B4818,ROUND(MAX(0,J4818*K4818*L4818*M4818*N4818),2),"")</f>
        <v/>
      </c>
    </row>
    <row r="4819">
      <c r="A4819" t="n">
        <v>4818</v>
      </c>
      <c r="B4819">
        <f>A4819&lt;=MineCount*Days</f>
        <v/>
      </c>
      <c r="C4819">
        <f>IF(B4819,INT((A4819-1)/Days)+1,"")</f>
        <v/>
      </c>
      <c r="D4819">
        <f>IF(B4819,MOD(A4819-1,Days),"")</f>
        <v/>
      </c>
      <c r="E4819" s="16">
        <f>IF(B4819,StartDate+D4819,"")</f>
        <v/>
      </c>
      <c r="F4819">
        <f>IF(B4819,MAX(MOD(SIN(Seed*0.1373+C4819*12.9898+D4819*78.233)*43758.5453,1),1E-9),"")</f>
        <v/>
      </c>
      <c r="G4819">
        <f>IF(B4819,MOD(SIN(Seed*0.5917+C4819*39.3468+D4819*11.135)*24634.6345,1),"")</f>
        <v/>
      </c>
      <c r="H4819">
        <f>IF(B4819,SQRT(-2*LN(F4819))*COS(2*PI()*G4819),"")</f>
        <v/>
      </c>
      <c r="I4819">
        <f>IF(B4819,IF(D4819=0,H4819,Rho*I4818+SQRT(1-Rho^2)*H4819),"")</f>
        <v/>
      </c>
      <c r="J4819">
        <f>IF(B4819,IF(Dist="Normal",DistA+DistB*I4819,DistA+(DistB-DistA)*NORMSDIST(I4819)),"")</f>
        <v/>
      </c>
      <c r="K4819">
        <f>IF(B4819,INDEX(MineScale,C4819),"")</f>
        <v/>
      </c>
      <c r="L4819">
        <f>IF(B4819,INDEX(Dow,1,WEEKDAY(E4819,2)),"")</f>
        <v/>
      </c>
      <c r="M4819">
        <f>IF(B4819,(1+Trend)^D4819,"")</f>
        <v/>
      </c>
      <c r="N4819">
        <f>IF(B4819,EXP(SUMPRODUCT(LN(1+(EvEff-1)*INDEX(Affected,0,C4819)*EXP(-((E4819-EvCenter)^2)/(2*EvSigma^2))))),"")</f>
        <v/>
      </c>
      <c r="O4819">
        <f>IF(B4819,ROUND(MAX(0,J4819*K4819*L4819*M4819*N4819),2),"")</f>
        <v/>
      </c>
    </row>
    <row r="4820">
      <c r="A4820" t="n">
        <v>4819</v>
      </c>
      <c r="B4820">
        <f>A4820&lt;=MineCount*Days</f>
        <v/>
      </c>
      <c r="C4820">
        <f>IF(B4820,INT((A4820-1)/Days)+1,"")</f>
        <v/>
      </c>
      <c r="D4820">
        <f>IF(B4820,MOD(A4820-1,Days),"")</f>
        <v/>
      </c>
      <c r="E4820" s="16">
        <f>IF(B4820,StartDate+D4820,"")</f>
        <v/>
      </c>
      <c r="F4820">
        <f>IF(B4820,MAX(MOD(SIN(Seed*0.1373+C4820*12.9898+D4820*78.233)*43758.5453,1),1E-9),"")</f>
        <v/>
      </c>
      <c r="G4820">
        <f>IF(B4820,MOD(SIN(Seed*0.5917+C4820*39.3468+D4820*11.135)*24634.6345,1),"")</f>
        <v/>
      </c>
      <c r="H4820">
        <f>IF(B4820,SQRT(-2*LN(F4820))*COS(2*PI()*G4820),"")</f>
        <v/>
      </c>
      <c r="I4820">
        <f>IF(B4820,IF(D4820=0,H4820,Rho*I4819+SQRT(1-Rho^2)*H4820),"")</f>
        <v/>
      </c>
      <c r="J4820">
        <f>IF(B4820,IF(Dist="Normal",DistA+DistB*I4820,DistA+(DistB-DistA)*NORMSDIST(I4820)),"")</f>
        <v/>
      </c>
      <c r="K4820">
        <f>IF(B4820,INDEX(MineScale,C4820),"")</f>
        <v/>
      </c>
      <c r="L4820">
        <f>IF(B4820,INDEX(Dow,1,WEEKDAY(E4820,2)),"")</f>
        <v/>
      </c>
      <c r="M4820">
        <f>IF(B4820,(1+Trend)^D4820,"")</f>
        <v/>
      </c>
      <c r="N4820">
        <f>IF(B4820,EXP(SUMPRODUCT(LN(1+(EvEff-1)*INDEX(Affected,0,C4820)*EXP(-((E4820-EvCenter)^2)/(2*EvSigma^2))))),"")</f>
        <v/>
      </c>
      <c r="O4820">
        <f>IF(B4820,ROUND(MAX(0,J4820*K4820*L4820*M4820*N4820),2),"")</f>
        <v/>
      </c>
    </row>
    <row r="4821">
      <c r="A4821" t="n">
        <v>4820</v>
      </c>
      <c r="B4821">
        <f>A4821&lt;=MineCount*Days</f>
        <v/>
      </c>
      <c r="C4821">
        <f>IF(B4821,INT((A4821-1)/Days)+1,"")</f>
        <v/>
      </c>
      <c r="D4821">
        <f>IF(B4821,MOD(A4821-1,Days),"")</f>
        <v/>
      </c>
      <c r="E4821" s="16">
        <f>IF(B4821,StartDate+D4821,"")</f>
        <v/>
      </c>
      <c r="F4821">
        <f>IF(B4821,MAX(MOD(SIN(Seed*0.1373+C4821*12.9898+D4821*78.233)*43758.5453,1),1E-9),"")</f>
        <v/>
      </c>
      <c r="G4821">
        <f>IF(B4821,MOD(SIN(Seed*0.5917+C4821*39.3468+D4821*11.135)*24634.6345,1),"")</f>
        <v/>
      </c>
      <c r="H4821">
        <f>IF(B4821,SQRT(-2*LN(F4821))*COS(2*PI()*G4821),"")</f>
        <v/>
      </c>
      <c r="I4821">
        <f>IF(B4821,IF(D4821=0,H4821,Rho*I4820+SQRT(1-Rho^2)*H4821),"")</f>
        <v/>
      </c>
      <c r="J4821">
        <f>IF(B4821,IF(Dist="Normal",DistA+DistB*I4821,DistA+(DistB-DistA)*NORMSDIST(I4821)),"")</f>
        <v/>
      </c>
      <c r="K4821">
        <f>IF(B4821,INDEX(MineScale,C4821),"")</f>
        <v/>
      </c>
      <c r="L4821">
        <f>IF(B4821,INDEX(Dow,1,WEEKDAY(E4821,2)),"")</f>
        <v/>
      </c>
      <c r="M4821">
        <f>IF(B4821,(1+Trend)^D4821,"")</f>
        <v/>
      </c>
      <c r="N4821">
        <f>IF(B4821,EXP(SUMPRODUCT(LN(1+(EvEff-1)*INDEX(Affected,0,C4821)*EXP(-((E4821-EvCenter)^2)/(2*EvSigma^2))))),"")</f>
        <v/>
      </c>
      <c r="O4821">
        <f>IF(B4821,ROUND(MAX(0,J4821*K4821*L4821*M4821*N4821),2),"")</f>
        <v/>
      </c>
    </row>
    <row r="4822">
      <c r="A4822" t="n">
        <v>4821</v>
      </c>
      <c r="B4822">
        <f>A4822&lt;=MineCount*Days</f>
        <v/>
      </c>
      <c r="C4822">
        <f>IF(B4822,INT((A4822-1)/Days)+1,"")</f>
        <v/>
      </c>
      <c r="D4822">
        <f>IF(B4822,MOD(A4822-1,Days),"")</f>
        <v/>
      </c>
      <c r="E4822" s="16">
        <f>IF(B4822,StartDate+D4822,"")</f>
        <v/>
      </c>
      <c r="F4822">
        <f>IF(B4822,MAX(MOD(SIN(Seed*0.1373+C4822*12.9898+D4822*78.233)*43758.5453,1),1E-9),"")</f>
        <v/>
      </c>
      <c r="G4822">
        <f>IF(B4822,MOD(SIN(Seed*0.5917+C4822*39.3468+D4822*11.135)*24634.6345,1),"")</f>
        <v/>
      </c>
      <c r="H4822">
        <f>IF(B4822,SQRT(-2*LN(F4822))*COS(2*PI()*G4822),"")</f>
        <v/>
      </c>
      <c r="I4822">
        <f>IF(B4822,IF(D4822=0,H4822,Rho*I4821+SQRT(1-Rho^2)*H4822),"")</f>
        <v/>
      </c>
      <c r="J4822">
        <f>IF(B4822,IF(Dist="Normal",DistA+DistB*I4822,DistA+(DistB-DistA)*NORMSDIST(I4822)),"")</f>
        <v/>
      </c>
      <c r="K4822">
        <f>IF(B4822,INDEX(MineScale,C4822),"")</f>
        <v/>
      </c>
      <c r="L4822">
        <f>IF(B4822,INDEX(Dow,1,WEEKDAY(E4822,2)),"")</f>
        <v/>
      </c>
      <c r="M4822">
        <f>IF(B4822,(1+Trend)^D4822,"")</f>
        <v/>
      </c>
      <c r="N4822">
        <f>IF(B4822,EXP(SUMPRODUCT(LN(1+(EvEff-1)*INDEX(Affected,0,C4822)*EXP(-((E4822-EvCenter)^2)/(2*EvSigma^2))))),"")</f>
        <v/>
      </c>
      <c r="O4822">
        <f>IF(B4822,ROUND(MAX(0,J4822*K4822*L4822*M4822*N4822),2),"")</f>
        <v/>
      </c>
    </row>
    <row r="4823">
      <c r="A4823" t="n">
        <v>4822</v>
      </c>
      <c r="B4823">
        <f>A4823&lt;=MineCount*Days</f>
        <v/>
      </c>
      <c r="C4823">
        <f>IF(B4823,INT((A4823-1)/Days)+1,"")</f>
        <v/>
      </c>
      <c r="D4823">
        <f>IF(B4823,MOD(A4823-1,Days),"")</f>
        <v/>
      </c>
      <c r="E4823" s="16">
        <f>IF(B4823,StartDate+D4823,"")</f>
        <v/>
      </c>
      <c r="F4823">
        <f>IF(B4823,MAX(MOD(SIN(Seed*0.1373+C4823*12.9898+D4823*78.233)*43758.5453,1),1E-9),"")</f>
        <v/>
      </c>
      <c r="G4823">
        <f>IF(B4823,MOD(SIN(Seed*0.5917+C4823*39.3468+D4823*11.135)*24634.6345,1),"")</f>
        <v/>
      </c>
      <c r="H4823">
        <f>IF(B4823,SQRT(-2*LN(F4823))*COS(2*PI()*G4823),"")</f>
        <v/>
      </c>
      <c r="I4823">
        <f>IF(B4823,IF(D4823=0,H4823,Rho*I4822+SQRT(1-Rho^2)*H4823),"")</f>
        <v/>
      </c>
      <c r="J4823">
        <f>IF(B4823,IF(Dist="Normal",DistA+DistB*I4823,DistA+(DistB-DistA)*NORMSDIST(I4823)),"")</f>
        <v/>
      </c>
      <c r="K4823">
        <f>IF(B4823,INDEX(MineScale,C4823),"")</f>
        <v/>
      </c>
      <c r="L4823">
        <f>IF(B4823,INDEX(Dow,1,WEEKDAY(E4823,2)),"")</f>
        <v/>
      </c>
      <c r="M4823">
        <f>IF(B4823,(1+Trend)^D4823,"")</f>
        <v/>
      </c>
      <c r="N4823">
        <f>IF(B4823,EXP(SUMPRODUCT(LN(1+(EvEff-1)*INDEX(Affected,0,C4823)*EXP(-((E4823-EvCenter)^2)/(2*EvSigma^2))))),"")</f>
        <v/>
      </c>
      <c r="O4823">
        <f>IF(B4823,ROUND(MAX(0,J4823*K4823*L4823*M4823*N4823),2),"")</f>
        <v/>
      </c>
    </row>
    <row r="4824">
      <c r="A4824" t="n">
        <v>4823</v>
      </c>
      <c r="B4824">
        <f>A4824&lt;=MineCount*Days</f>
        <v/>
      </c>
      <c r="C4824">
        <f>IF(B4824,INT((A4824-1)/Days)+1,"")</f>
        <v/>
      </c>
      <c r="D4824">
        <f>IF(B4824,MOD(A4824-1,Days),"")</f>
        <v/>
      </c>
      <c r="E4824" s="16">
        <f>IF(B4824,StartDate+D4824,"")</f>
        <v/>
      </c>
      <c r="F4824">
        <f>IF(B4824,MAX(MOD(SIN(Seed*0.1373+C4824*12.9898+D4824*78.233)*43758.5453,1),1E-9),"")</f>
        <v/>
      </c>
      <c r="G4824">
        <f>IF(B4824,MOD(SIN(Seed*0.5917+C4824*39.3468+D4824*11.135)*24634.6345,1),"")</f>
        <v/>
      </c>
      <c r="H4824">
        <f>IF(B4824,SQRT(-2*LN(F4824))*COS(2*PI()*G4824),"")</f>
        <v/>
      </c>
      <c r="I4824">
        <f>IF(B4824,IF(D4824=0,H4824,Rho*I4823+SQRT(1-Rho^2)*H4824),"")</f>
        <v/>
      </c>
      <c r="J4824">
        <f>IF(B4824,IF(Dist="Normal",DistA+DistB*I4824,DistA+(DistB-DistA)*NORMSDIST(I4824)),"")</f>
        <v/>
      </c>
      <c r="K4824">
        <f>IF(B4824,INDEX(MineScale,C4824),"")</f>
        <v/>
      </c>
      <c r="L4824">
        <f>IF(B4824,INDEX(Dow,1,WEEKDAY(E4824,2)),"")</f>
        <v/>
      </c>
      <c r="M4824">
        <f>IF(B4824,(1+Trend)^D4824,"")</f>
        <v/>
      </c>
      <c r="N4824">
        <f>IF(B4824,EXP(SUMPRODUCT(LN(1+(EvEff-1)*INDEX(Affected,0,C4824)*EXP(-((E4824-EvCenter)^2)/(2*EvSigma^2))))),"")</f>
        <v/>
      </c>
      <c r="O4824">
        <f>IF(B4824,ROUND(MAX(0,J4824*K4824*L4824*M4824*N4824),2),"")</f>
        <v/>
      </c>
    </row>
    <row r="4825">
      <c r="A4825" t="n">
        <v>4824</v>
      </c>
      <c r="B4825">
        <f>A4825&lt;=MineCount*Days</f>
        <v/>
      </c>
      <c r="C4825">
        <f>IF(B4825,INT((A4825-1)/Days)+1,"")</f>
        <v/>
      </c>
      <c r="D4825">
        <f>IF(B4825,MOD(A4825-1,Days),"")</f>
        <v/>
      </c>
      <c r="E4825" s="16">
        <f>IF(B4825,StartDate+D4825,"")</f>
        <v/>
      </c>
      <c r="F4825">
        <f>IF(B4825,MAX(MOD(SIN(Seed*0.1373+C4825*12.9898+D4825*78.233)*43758.5453,1),1E-9),"")</f>
        <v/>
      </c>
      <c r="G4825">
        <f>IF(B4825,MOD(SIN(Seed*0.5917+C4825*39.3468+D4825*11.135)*24634.6345,1),"")</f>
        <v/>
      </c>
      <c r="H4825">
        <f>IF(B4825,SQRT(-2*LN(F4825))*COS(2*PI()*G4825),"")</f>
        <v/>
      </c>
      <c r="I4825">
        <f>IF(B4825,IF(D4825=0,H4825,Rho*I4824+SQRT(1-Rho^2)*H4825),"")</f>
        <v/>
      </c>
      <c r="J4825">
        <f>IF(B4825,IF(Dist="Normal",DistA+DistB*I4825,DistA+(DistB-DistA)*NORMSDIST(I4825)),"")</f>
        <v/>
      </c>
      <c r="K4825">
        <f>IF(B4825,INDEX(MineScale,C4825),"")</f>
        <v/>
      </c>
      <c r="L4825">
        <f>IF(B4825,INDEX(Dow,1,WEEKDAY(E4825,2)),"")</f>
        <v/>
      </c>
      <c r="M4825">
        <f>IF(B4825,(1+Trend)^D4825,"")</f>
        <v/>
      </c>
      <c r="N4825">
        <f>IF(B4825,EXP(SUMPRODUCT(LN(1+(EvEff-1)*INDEX(Affected,0,C4825)*EXP(-((E4825-EvCenter)^2)/(2*EvSigma^2))))),"")</f>
        <v/>
      </c>
      <c r="O4825">
        <f>IF(B4825,ROUND(MAX(0,J4825*K4825*L4825*M4825*N4825),2),"")</f>
        <v/>
      </c>
    </row>
    <row r="4826">
      <c r="A4826" t="n">
        <v>4825</v>
      </c>
      <c r="B4826">
        <f>A4826&lt;=MineCount*Days</f>
        <v/>
      </c>
      <c r="C4826">
        <f>IF(B4826,INT((A4826-1)/Days)+1,"")</f>
        <v/>
      </c>
      <c r="D4826">
        <f>IF(B4826,MOD(A4826-1,Days),"")</f>
        <v/>
      </c>
      <c r="E4826" s="16">
        <f>IF(B4826,StartDate+D4826,"")</f>
        <v/>
      </c>
      <c r="F4826">
        <f>IF(B4826,MAX(MOD(SIN(Seed*0.1373+C4826*12.9898+D4826*78.233)*43758.5453,1),1E-9),"")</f>
        <v/>
      </c>
      <c r="G4826">
        <f>IF(B4826,MOD(SIN(Seed*0.5917+C4826*39.3468+D4826*11.135)*24634.6345,1),"")</f>
        <v/>
      </c>
      <c r="H4826">
        <f>IF(B4826,SQRT(-2*LN(F4826))*COS(2*PI()*G4826),"")</f>
        <v/>
      </c>
      <c r="I4826">
        <f>IF(B4826,IF(D4826=0,H4826,Rho*I4825+SQRT(1-Rho^2)*H4826),"")</f>
        <v/>
      </c>
      <c r="J4826">
        <f>IF(B4826,IF(Dist="Normal",DistA+DistB*I4826,DistA+(DistB-DistA)*NORMSDIST(I4826)),"")</f>
        <v/>
      </c>
      <c r="K4826">
        <f>IF(B4826,INDEX(MineScale,C4826),"")</f>
        <v/>
      </c>
      <c r="L4826">
        <f>IF(B4826,INDEX(Dow,1,WEEKDAY(E4826,2)),"")</f>
        <v/>
      </c>
      <c r="M4826">
        <f>IF(B4826,(1+Trend)^D4826,"")</f>
        <v/>
      </c>
      <c r="N4826">
        <f>IF(B4826,EXP(SUMPRODUCT(LN(1+(EvEff-1)*INDEX(Affected,0,C4826)*EXP(-((E4826-EvCenter)^2)/(2*EvSigma^2))))),"")</f>
        <v/>
      </c>
      <c r="O4826">
        <f>IF(B4826,ROUND(MAX(0,J4826*K4826*L4826*M4826*N4826),2),"")</f>
        <v/>
      </c>
    </row>
    <row r="4827">
      <c r="A4827" t="n">
        <v>4826</v>
      </c>
      <c r="B4827">
        <f>A4827&lt;=MineCount*Days</f>
        <v/>
      </c>
      <c r="C4827">
        <f>IF(B4827,INT((A4827-1)/Days)+1,"")</f>
        <v/>
      </c>
      <c r="D4827">
        <f>IF(B4827,MOD(A4827-1,Days),"")</f>
        <v/>
      </c>
      <c r="E4827" s="16">
        <f>IF(B4827,StartDate+D4827,"")</f>
        <v/>
      </c>
      <c r="F4827">
        <f>IF(B4827,MAX(MOD(SIN(Seed*0.1373+C4827*12.9898+D4827*78.233)*43758.5453,1),1E-9),"")</f>
        <v/>
      </c>
      <c r="G4827">
        <f>IF(B4827,MOD(SIN(Seed*0.5917+C4827*39.3468+D4827*11.135)*24634.6345,1),"")</f>
        <v/>
      </c>
      <c r="H4827">
        <f>IF(B4827,SQRT(-2*LN(F4827))*COS(2*PI()*G4827),"")</f>
        <v/>
      </c>
      <c r="I4827">
        <f>IF(B4827,IF(D4827=0,H4827,Rho*I4826+SQRT(1-Rho^2)*H4827),"")</f>
        <v/>
      </c>
      <c r="J4827">
        <f>IF(B4827,IF(Dist="Normal",DistA+DistB*I4827,DistA+(DistB-DistA)*NORMSDIST(I4827)),"")</f>
        <v/>
      </c>
      <c r="K4827">
        <f>IF(B4827,INDEX(MineScale,C4827),"")</f>
        <v/>
      </c>
      <c r="L4827">
        <f>IF(B4827,INDEX(Dow,1,WEEKDAY(E4827,2)),"")</f>
        <v/>
      </c>
      <c r="M4827">
        <f>IF(B4827,(1+Trend)^D4827,"")</f>
        <v/>
      </c>
      <c r="N4827">
        <f>IF(B4827,EXP(SUMPRODUCT(LN(1+(EvEff-1)*INDEX(Affected,0,C4827)*EXP(-((E4827-EvCenter)^2)/(2*EvSigma^2))))),"")</f>
        <v/>
      </c>
      <c r="O4827">
        <f>IF(B4827,ROUND(MAX(0,J4827*K4827*L4827*M4827*N4827),2),"")</f>
        <v/>
      </c>
    </row>
    <row r="4828">
      <c r="A4828" t="n">
        <v>4827</v>
      </c>
      <c r="B4828">
        <f>A4828&lt;=MineCount*Days</f>
        <v/>
      </c>
      <c r="C4828">
        <f>IF(B4828,INT((A4828-1)/Days)+1,"")</f>
        <v/>
      </c>
      <c r="D4828">
        <f>IF(B4828,MOD(A4828-1,Days),"")</f>
        <v/>
      </c>
      <c r="E4828" s="16">
        <f>IF(B4828,StartDate+D4828,"")</f>
        <v/>
      </c>
      <c r="F4828">
        <f>IF(B4828,MAX(MOD(SIN(Seed*0.1373+C4828*12.9898+D4828*78.233)*43758.5453,1),1E-9),"")</f>
        <v/>
      </c>
      <c r="G4828">
        <f>IF(B4828,MOD(SIN(Seed*0.5917+C4828*39.3468+D4828*11.135)*24634.6345,1),"")</f>
        <v/>
      </c>
      <c r="H4828">
        <f>IF(B4828,SQRT(-2*LN(F4828))*COS(2*PI()*G4828),"")</f>
        <v/>
      </c>
      <c r="I4828">
        <f>IF(B4828,IF(D4828=0,H4828,Rho*I4827+SQRT(1-Rho^2)*H4828),"")</f>
        <v/>
      </c>
      <c r="J4828">
        <f>IF(B4828,IF(Dist="Normal",DistA+DistB*I4828,DistA+(DistB-DistA)*NORMSDIST(I4828)),"")</f>
        <v/>
      </c>
      <c r="K4828">
        <f>IF(B4828,INDEX(MineScale,C4828),"")</f>
        <v/>
      </c>
      <c r="L4828">
        <f>IF(B4828,INDEX(Dow,1,WEEKDAY(E4828,2)),"")</f>
        <v/>
      </c>
      <c r="M4828">
        <f>IF(B4828,(1+Trend)^D4828,"")</f>
        <v/>
      </c>
      <c r="N4828">
        <f>IF(B4828,EXP(SUMPRODUCT(LN(1+(EvEff-1)*INDEX(Affected,0,C4828)*EXP(-((E4828-EvCenter)^2)/(2*EvSigma^2))))),"")</f>
        <v/>
      </c>
      <c r="O4828">
        <f>IF(B4828,ROUND(MAX(0,J4828*K4828*L4828*M4828*N4828),2),"")</f>
        <v/>
      </c>
    </row>
    <row r="4829">
      <c r="A4829" t="n">
        <v>4828</v>
      </c>
      <c r="B4829">
        <f>A4829&lt;=MineCount*Days</f>
        <v/>
      </c>
      <c r="C4829">
        <f>IF(B4829,INT((A4829-1)/Days)+1,"")</f>
        <v/>
      </c>
      <c r="D4829">
        <f>IF(B4829,MOD(A4829-1,Days),"")</f>
        <v/>
      </c>
      <c r="E4829" s="16">
        <f>IF(B4829,StartDate+D4829,"")</f>
        <v/>
      </c>
      <c r="F4829">
        <f>IF(B4829,MAX(MOD(SIN(Seed*0.1373+C4829*12.9898+D4829*78.233)*43758.5453,1),1E-9),"")</f>
        <v/>
      </c>
      <c r="G4829">
        <f>IF(B4829,MOD(SIN(Seed*0.5917+C4829*39.3468+D4829*11.135)*24634.6345,1),"")</f>
        <v/>
      </c>
      <c r="H4829">
        <f>IF(B4829,SQRT(-2*LN(F4829))*COS(2*PI()*G4829),"")</f>
        <v/>
      </c>
      <c r="I4829">
        <f>IF(B4829,IF(D4829=0,H4829,Rho*I4828+SQRT(1-Rho^2)*H4829),"")</f>
        <v/>
      </c>
      <c r="J4829">
        <f>IF(B4829,IF(Dist="Normal",DistA+DistB*I4829,DistA+(DistB-DistA)*NORMSDIST(I4829)),"")</f>
        <v/>
      </c>
      <c r="K4829">
        <f>IF(B4829,INDEX(MineScale,C4829),"")</f>
        <v/>
      </c>
      <c r="L4829">
        <f>IF(B4829,INDEX(Dow,1,WEEKDAY(E4829,2)),"")</f>
        <v/>
      </c>
      <c r="M4829">
        <f>IF(B4829,(1+Trend)^D4829,"")</f>
        <v/>
      </c>
      <c r="N4829">
        <f>IF(B4829,EXP(SUMPRODUCT(LN(1+(EvEff-1)*INDEX(Affected,0,C4829)*EXP(-((E4829-EvCenter)^2)/(2*EvSigma^2))))),"")</f>
        <v/>
      </c>
      <c r="O4829">
        <f>IF(B4829,ROUND(MAX(0,J4829*K4829*L4829*M4829*N4829),2),"")</f>
        <v/>
      </c>
    </row>
    <row r="4830">
      <c r="A4830" t="n">
        <v>4829</v>
      </c>
      <c r="B4830">
        <f>A4830&lt;=MineCount*Days</f>
        <v/>
      </c>
      <c r="C4830">
        <f>IF(B4830,INT((A4830-1)/Days)+1,"")</f>
        <v/>
      </c>
      <c r="D4830">
        <f>IF(B4830,MOD(A4830-1,Days),"")</f>
        <v/>
      </c>
      <c r="E4830" s="16">
        <f>IF(B4830,StartDate+D4830,"")</f>
        <v/>
      </c>
      <c r="F4830">
        <f>IF(B4830,MAX(MOD(SIN(Seed*0.1373+C4830*12.9898+D4830*78.233)*43758.5453,1),1E-9),"")</f>
        <v/>
      </c>
      <c r="G4830">
        <f>IF(B4830,MOD(SIN(Seed*0.5917+C4830*39.3468+D4830*11.135)*24634.6345,1),"")</f>
        <v/>
      </c>
      <c r="H4830">
        <f>IF(B4830,SQRT(-2*LN(F4830))*COS(2*PI()*G4830),"")</f>
        <v/>
      </c>
      <c r="I4830">
        <f>IF(B4830,IF(D4830=0,H4830,Rho*I4829+SQRT(1-Rho^2)*H4830),"")</f>
        <v/>
      </c>
      <c r="J4830">
        <f>IF(B4830,IF(Dist="Normal",DistA+DistB*I4830,DistA+(DistB-DistA)*NORMSDIST(I4830)),"")</f>
        <v/>
      </c>
      <c r="K4830">
        <f>IF(B4830,INDEX(MineScale,C4830),"")</f>
        <v/>
      </c>
      <c r="L4830">
        <f>IF(B4830,INDEX(Dow,1,WEEKDAY(E4830,2)),"")</f>
        <v/>
      </c>
      <c r="M4830">
        <f>IF(B4830,(1+Trend)^D4830,"")</f>
        <v/>
      </c>
      <c r="N4830">
        <f>IF(B4830,EXP(SUMPRODUCT(LN(1+(EvEff-1)*INDEX(Affected,0,C4830)*EXP(-((E4830-EvCenter)^2)/(2*EvSigma^2))))),"")</f>
        <v/>
      </c>
      <c r="O4830">
        <f>IF(B4830,ROUND(MAX(0,J4830*K4830*L4830*M4830*N4830),2),"")</f>
        <v/>
      </c>
    </row>
    <row r="4831">
      <c r="A4831" t="n">
        <v>4830</v>
      </c>
      <c r="B4831">
        <f>A4831&lt;=MineCount*Days</f>
        <v/>
      </c>
      <c r="C4831">
        <f>IF(B4831,INT((A4831-1)/Days)+1,"")</f>
        <v/>
      </c>
      <c r="D4831">
        <f>IF(B4831,MOD(A4831-1,Days),"")</f>
        <v/>
      </c>
      <c r="E4831" s="16">
        <f>IF(B4831,StartDate+D4831,"")</f>
        <v/>
      </c>
      <c r="F4831">
        <f>IF(B4831,MAX(MOD(SIN(Seed*0.1373+C4831*12.9898+D4831*78.233)*43758.5453,1),1E-9),"")</f>
        <v/>
      </c>
      <c r="G4831">
        <f>IF(B4831,MOD(SIN(Seed*0.5917+C4831*39.3468+D4831*11.135)*24634.6345,1),"")</f>
        <v/>
      </c>
      <c r="H4831">
        <f>IF(B4831,SQRT(-2*LN(F4831))*COS(2*PI()*G4831),"")</f>
        <v/>
      </c>
      <c r="I4831">
        <f>IF(B4831,IF(D4831=0,H4831,Rho*I4830+SQRT(1-Rho^2)*H4831),"")</f>
        <v/>
      </c>
      <c r="J4831">
        <f>IF(B4831,IF(Dist="Normal",DistA+DistB*I4831,DistA+(DistB-DistA)*NORMSDIST(I4831)),"")</f>
        <v/>
      </c>
      <c r="K4831">
        <f>IF(B4831,INDEX(MineScale,C4831),"")</f>
        <v/>
      </c>
      <c r="L4831">
        <f>IF(B4831,INDEX(Dow,1,WEEKDAY(E4831,2)),"")</f>
        <v/>
      </c>
      <c r="M4831">
        <f>IF(B4831,(1+Trend)^D4831,"")</f>
        <v/>
      </c>
      <c r="N4831">
        <f>IF(B4831,EXP(SUMPRODUCT(LN(1+(EvEff-1)*INDEX(Affected,0,C4831)*EXP(-((E4831-EvCenter)^2)/(2*EvSigma^2))))),"")</f>
        <v/>
      </c>
      <c r="O4831">
        <f>IF(B4831,ROUND(MAX(0,J4831*K4831*L4831*M4831*N4831),2),"")</f>
        <v/>
      </c>
    </row>
    <row r="4832">
      <c r="A4832" t="n">
        <v>4831</v>
      </c>
      <c r="B4832">
        <f>A4832&lt;=MineCount*Days</f>
        <v/>
      </c>
      <c r="C4832">
        <f>IF(B4832,INT((A4832-1)/Days)+1,"")</f>
        <v/>
      </c>
      <c r="D4832">
        <f>IF(B4832,MOD(A4832-1,Days),"")</f>
        <v/>
      </c>
      <c r="E4832" s="16">
        <f>IF(B4832,StartDate+D4832,"")</f>
        <v/>
      </c>
      <c r="F4832">
        <f>IF(B4832,MAX(MOD(SIN(Seed*0.1373+C4832*12.9898+D4832*78.233)*43758.5453,1),1E-9),"")</f>
        <v/>
      </c>
      <c r="G4832">
        <f>IF(B4832,MOD(SIN(Seed*0.5917+C4832*39.3468+D4832*11.135)*24634.6345,1),"")</f>
        <v/>
      </c>
      <c r="H4832">
        <f>IF(B4832,SQRT(-2*LN(F4832))*COS(2*PI()*G4832),"")</f>
        <v/>
      </c>
      <c r="I4832">
        <f>IF(B4832,IF(D4832=0,H4832,Rho*I4831+SQRT(1-Rho^2)*H4832),"")</f>
        <v/>
      </c>
      <c r="J4832">
        <f>IF(B4832,IF(Dist="Normal",DistA+DistB*I4832,DistA+(DistB-DistA)*NORMSDIST(I4832)),"")</f>
        <v/>
      </c>
      <c r="K4832">
        <f>IF(B4832,INDEX(MineScale,C4832),"")</f>
        <v/>
      </c>
      <c r="L4832">
        <f>IF(B4832,INDEX(Dow,1,WEEKDAY(E4832,2)),"")</f>
        <v/>
      </c>
      <c r="M4832">
        <f>IF(B4832,(1+Trend)^D4832,"")</f>
        <v/>
      </c>
      <c r="N4832">
        <f>IF(B4832,EXP(SUMPRODUCT(LN(1+(EvEff-1)*INDEX(Affected,0,C4832)*EXP(-((E4832-EvCenter)^2)/(2*EvSigma^2))))),"")</f>
        <v/>
      </c>
      <c r="O4832">
        <f>IF(B4832,ROUND(MAX(0,J4832*K4832*L4832*M4832*N4832),2),"")</f>
        <v/>
      </c>
    </row>
    <row r="4833">
      <c r="A4833" t="n">
        <v>4832</v>
      </c>
      <c r="B4833">
        <f>A4833&lt;=MineCount*Days</f>
        <v/>
      </c>
      <c r="C4833">
        <f>IF(B4833,INT((A4833-1)/Days)+1,"")</f>
        <v/>
      </c>
      <c r="D4833">
        <f>IF(B4833,MOD(A4833-1,Days),"")</f>
        <v/>
      </c>
      <c r="E4833" s="16">
        <f>IF(B4833,StartDate+D4833,"")</f>
        <v/>
      </c>
      <c r="F4833">
        <f>IF(B4833,MAX(MOD(SIN(Seed*0.1373+C4833*12.9898+D4833*78.233)*43758.5453,1),1E-9),"")</f>
        <v/>
      </c>
      <c r="G4833">
        <f>IF(B4833,MOD(SIN(Seed*0.5917+C4833*39.3468+D4833*11.135)*24634.6345,1),"")</f>
        <v/>
      </c>
      <c r="H4833">
        <f>IF(B4833,SQRT(-2*LN(F4833))*COS(2*PI()*G4833),"")</f>
        <v/>
      </c>
      <c r="I4833">
        <f>IF(B4833,IF(D4833=0,H4833,Rho*I4832+SQRT(1-Rho^2)*H4833),"")</f>
        <v/>
      </c>
      <c r="J4833">
        <f>IF(B4833,IF(Dist="Normal",DistA+DistB*I4833,DistA+(DistB-DistA)*NORMSDIST(I4833)),"")</f>
        <v/>
      </c>
      <c r="K4833">
        <f>IF(B4833,INDEX(MineScale,C4833),"")</f>
        <v/>
      </c>
      <c r="L4833">
        <f>IF(B4833,INDEX(Dow,1,WEEKDAY(E4833,2)),"")</f>
        <v/>
      </c>
      <c r="M4833">
        <f>IF(B4833,(1+Trend)^D4833,"")</f>
        <v/>
      </c>
      <c r="N4833">
        <f>IF(B4833,EXP(SUMPRODUCT(LN(1+(EvEff-1)*INDEX(Affected,0,C4833)*EXP(-((E4833-EvCenter)^2)/(2*EvSigma^2))))),"")</f>
        <v/>
      </c>
      <c r="O4833">
        <f>IF(B4833,ROUND(MAX(0,J4833*K4833*L4833*M4833*N4833),2),"")</f>
        <v/>
      </c>
    </row>
    <row r="4834">
      <c r="A4834" t="n">
        <v>4833</v>
      </c>
      <c r="B4834">
        <f>A4834&lt;=MineCount*Days</f>
        <v/>
      </c>
      <c r="C4834">
        <f>IF(B4834,INT((A4834-1)/Days)+1,"")</f>
        <v/>
      </c>
      <c r="D4834">
        <f>IF(B4834,MOD(A4834-1,Days),"")</f>
        <v/>
      </c>
      <c r="E4834" s="16">
        <f>IF(B4834,StartDate+D4834,"")</f>
        <v/>
      </c>
      <c r="F4834">
        <f>IF(B4834,MAX(MOD(SIN(Seed*0.1373+C4834*12.9898+D4834*78.233)*43758.5453,1),1E-9),"")</f>
        <v/>
      </c>
      <c r="G4834">
        <f>IF(B4834,MOD(SIN(Seed*0.5917+C4834*39.3468+D4834*11.135)*24634.6345,1),"")</f>
        <v/>
      </c>
      <c r="H4834">
        <f>IF(B4834,SQRT(-2*LN(F4834))*COS(2*PI()*G4834),"")</f>
        <v/>
      </c>
      <c r="I4834">
        <f>IF(B4834,IF(D4834=0,H4834,Rho*I4833+SQRT(1-Rho^2)*H4834),"")</f>
        <v/>
      </c>
      <c r="J4834">
        <f>IF(B4834,IF(Dist="Normal",DistA+DistB*I4834,DistA+(DistB-DistA)*NORMSDIST(I4834)),"")</f>
        <v/>
      </c>
      <c r="K4834">
        <f>IF(B4834,INDEX(MineScale,C4834),"")</f>
        <v/>
      </c>
      <c r="L4834">
        <f>IF(B4834,INDEX(Dow,1,WEEKDAY(E4834,2)),"")</f>
        <v/>
      </c>
      <c r="M4834">
        <f>IF(B4834,(1+Trend)^D4834,"")</f>
        <v/>
      </c>
      <c r="N4834">
        <f>IF(B4834,EXP(SUMPRODUCT(LN(1+(EvEff-1)*INDEX(Affected,0,C4834)*EXP(-((E4834-EvCenter)^2)/(2*EvSigma^2))))),"")</f>
        <v/>
      </c>
      <c r="O4834">
        <f>IF(B4834,ROUND(MAX(0,J4834*K4834*L4834*M4834*N4834),2),"")</f>
        <v/>
      </c>
    </row>
    <row r="4835">
      <c r="A4835" t="n">
        <v>4834</v>
      </c>
      <c r="B4835">
        <f>A4835&lt;=MineCount*Days</f>
        <v/>
      </c>
      <c r="C4835">
        <f>IF(B4835,INT((A4835-1)/Days)+1,"")</f>
        <v/>
      </c>
      <c r="D4835">
        <f>IF(B4835,MOD(A4835-1,Days),"")</f>
        <v/>
      </c>
      <c r="E4835" s="16">
        <f>IF(B4835,StartDate+D4835,"")</f>
        <v/>
      </c>
      <c r="F4835">
        <f>IF(B4835,MAX(MOD(SIN(Seed*0.1373+C4835*12.9898+D4835*78.233)*43758.5453,1),1E-9),"")</f>
        <v/>
      </c>
      <c r="G4835">
        <f>IF(B4835,MOD(SIN(Seed*0.5917+C4835*39.3468+D4835*11.135)*24634.6345,1),"")</f>
        <v/>
      </c>
      <c r="H4835">
        <f>IF(B4835,SQRT(-2*LN(F4835))*COS(2*PI()*G4835),"")</f>
        <v/>
      </c>
      <c r="I4835">
        <f>IF(B4835,IF(D4835=0,H4835,Rho*I4834+SQRT(1-Rho^2)*H4835),"")</f>
        <v/>
      </c>
      <c r="J4835">
        <f>IF(B4835,IF(Dist="Normal",DistA+DistB*I4835,DistA+(DistB-DistA)*NORMSDIST(I4835)),"")</f>
        <v/>
      </c>
      <c r="K4835">
        <f>IF(B4835,INDEX(MineScale,C4835),"")</f>
        <v/>
      </c>
      <c r="L4835">
        <f>IF(B4835,INDEX(Dow,1,WEEKDAY(E4835,2)),"")</f>
        <v/>
      </c>
      <c r="M4835">
        <f>IF(B4835,(1+Trend)^D4835,"")</f>
        <v/>
      </c>
      <c r="N4835">
        <f>IF(B4835,EXP(SUMPRODUCT(LN(1+(EvEff-1)*INDEX(Affected,0,C4835)*EXP(-((E4835-EvCenter)^2)/(2*EvSigma^2))))),"")</f>
        <v/>
      </c>
      <c r="O4835">
        <f>IF(B4835,ROUND(MAX(0,J4835*K4835*L4835*M4835*N4835),2),"")</f>
        <v/>
      </c>
    </row>
    <row r="4836">
      <c r="A4836" t="n">
        <v>4835</v>
      </c>
      <c r="B4836">
        <f>A4836&lt;=MineCount*Days</f>
        <v/>
      </c>
      <c r="C4836">
        <f>IF(B4836,INT((A4836-1)/Days)+1,"")</f>
        <v/>
      </c>
      <c r="D4836">
        <f>IF(B4836,MOD(A4836-1,Days),"")</f>
        <v/>
      </c>
      <c r="E4836" s="16">
        <f>IF(B4836,StartDate+D4836,"")</f>
        <v/>
      </c>
      <c r="F4836">
        <f>IF(B4836,MAX(MOD(SIN(Seed*0.1373+C4836*12.9898+D4836*78.233)*43758.5453,1),1E-9),"")</f>
        <v/>
      </c>
      <c r="G4836">
        <f>IF(B4836,MOD(SIN(Seed*0.5917+C4836*39.3468+D4836*11.135)*24634.6345,1),"")</f>
        <v/>
      </c>
      <c r="H4836">
        <f>IF(B4836,SQRT(-2*LN(F4836))*COS(2*PI()*G4836),"")</f>
        <v/>
      </c>
      <c r="I4836">
        <f>IF(B4836,IF(D4836=0,H4836,Rho*I4835+SQRT(1-Rho^2)*H4836),"")</f>
        <v/>
      </c>
      <c r="J4836">
        <f>IF(B4836,IF(Dist="Normal",DistA+DistB*I4836,DistA+(DistB-DistA)*NORMSDIST(I4836)),"")</f>
        <v/>
      </c>
      <c r="K4836">
        <f>IF(B4836,INDEX(MineScale,C4836),"")</f>
        <v/>
      </c>
      <c r="L4836">
        <f>IF(B4836,INDEX(Dow,1,WEEKDAY(E4836,2)),"")</f>
        <v/>
      </c>
      <c r="M4836">
        <f>IF(B4836,(1+Trend)^D4836,"")</f>
        <v/>
      </c>
      <c r="N4836">
        <f>IF(B4836,EXP(SUMPRODUCT(LN(1+(EvEff-1)*INDEX(Affected,0,C4836)*EXP(-((E4836-EvCenter)^2)/(2*EvSigma^2))))),"")</f>
        <v/>
      </c>
      <c r="O4836">
        <f>IF(B4836,ROUND(MAX(0,J4836*K4836*L4836*M4836*N4836),2),"")</f>
        <v/>
      </c>
    </row>
    <row r="4837">
      <c r="A4837" t="n">
        <v>4836</v>
      </c>
      <c r="B4837">
        <f>A4837&lt;=MineCount*Days</f>
        <v/>
      </c>
      <c r="C4837">
        <f>IF(B4837,INT((A4837-1)/Days)+1,"")</f>
        <v/>
      </c>
      <c r="D4837">
        <f>IF(B4837,MOD(A4837-1,Days),"")</f>
        <v/>
      </c>
      <c r="E4837" s="16">
        <f>IF(B4837,StartDate+D4837,"")</f>
        <v/>
      </c>
      <c r="F4837">
        <f>IF(B4837,MAX(MOD(SIN(Seed*0.1373+C4837*12.9898+D4837*78.233)*43758.5453,1),1E-9),"")</f>
        <v/>
      </c>
      <c r="G4837">
        <f>IF(B4837,MOD(SIN(Seed*0.5917+C4837*39.3468+D4837*11.135)*24634.6345,1),"")</f>
        <v/>
      </c>
      <c r="H4837">
        <f>IF(B4837,SQRT(-2*LN(F4837))*COS(2*PI()*G4837),"")</f>
        <v/>
      </c>
      <c r="I4837">
        <f>IF(B4837,IF(D4837=0,H4837,Rho*I4836+SQRT(1-Rho^2)*H4837),"")</f>
        <v/>
      </c>
      <c r="J4837">
        <f>IF(B4837,IF(Dist="Normal",DistA+DistB*I4837,DistA+(DistB-DistA)*NORMSDIST(I4837)),"")</f>
        <v/>
      </c>
      <c r="K4837">
        <f>IF(B4837,INDEX(MineScale,C4837),"")</f>
        <v/>
      </c>
      <c r="L4837">
        <f>IF(B4837,INDEX(Dow,1,WEEKDAY(E4837,2)),"")</f>
        <v/>
      </c>
      <c r="M4837">
        <f>IF(B4837,(1+Trend)^D4837,"")</f>
        <v/>
      </c>
      <c r="N4837">
        <f>IF(B4837,EXP(SUMPRODUCT(LN(1+(EvEff-1)*INDEX(Affected,0,C4837)*EXP(-((E4837-EvCenter)^2)/(2*EvSigma^2))))),"")</f>
        <v/>
      </c>
      <c r="O4837">
        <f>IF(B4837,ROUND(MAX(0,J4837*K4837*L4837*M4837*N4837),2),"")</f>
        <v/>
      </c>
    </row>
    <row r="4838">
      <c r="A4838" t="n">
        <v>4837</v>
      </c>
      <c r="B4838">
        <f>A4838&lt;=MineCount*Days</f>
        <v/>
      </c>
      <c r="C4838">
        <f>IF(B4838,INT((A4838-1)/Days)+1,"")</f>
        <v/>
      </c>
      <c r="D4838">
        <f>IF(B4838,MOD(A4838-1,Days),"")</f>
        <v/>
      </c>
      <c r="E4838" s="16">
        <f>IF(B4838,StartDate+D4838,"")</f>
        <v/>
      </c>
      <c r="F4838">
        <f>IF(B4838,MAX(MOD(SIN(Seed*0.1373+C4838*12.9898+D4838*78.233)*43758.5453,1),1E-9),"")</f>
        <v/>
      </c>
      <c r="G4838">
        <f>IF(B4838,MOD(SIN(Seed*0.5917+C4838*39.3468+D4838*11.135)*24634.6345,1),"")</f>
        <v/>
      </c>
      <c r="H4838">
        <f>IF(B4838,SQRT(-2*LN(F4838))*COS(2*PI()*G4838),"")</f>
        <v/>
      </c>
      <c r="I4838">
        <f>IF(B4838,IF(D4838=0,H4838,Rho*I4837+SQRT(1-Rho^2)*H4838),"")</f>
        <v/>
      </c>
      <c r="J4838">
        <f>IF(B4838,IF(Dist="Normal",DistA+DistB*I4838,DistA+(DistB-DistA)*NORMSDIST(I4838)),"")</f>
        <v/>
      </c>
      <c r="K4838">
        <f>IF(B4838,INDEX(MineScale,C4838),"")</f>
        <v/>
      </c>
      <c r="L4838">
        <f>IF(B4838,INDEX(Dow,1,WEEKDAY(E4838,2)),"")</f>
        <v/>
      </c>
      <c r="M4838">
        <f>IF(B4838,(1+Trend)^D4838,"")</f>
        <v/>
      </c>
      <c r="N4838">
        <f>IF(B4838,EXP(SUMPRODUCT(LN(1+(EvEff-1)*INDEX(Affected,0,C4838)*EXP(-((E4838-EvCenter)^2)/(2*EvSigma^2))))),"")</f>
        <v/>
      </c>
      <c r="O4838">
        <f>IF(B4838,ROUND(MAX(0,J4838*K4838*L4838*M4838*N4838),2),"")</f>
        <v/>
      </c>
    </row>
    <row r="4839">
      <c r="A4839" t="n">
        <v>4838</v>
      </c>
      <c r="B4839">
        <f>A4839&lt;=MineCount*Days</f>
        <v/>
      </c>
      <c r="C4839">
        <f>IF(B4839,INT((A4839-1)/Days)+1,"")</f>
        <v/>
      </c>
      <c r="D4839">
        <f>IF(B4839,MOD(A4839-1,Days),"")</f>
        <v/>
      </c>
      <c r="E4839" s="16">
        <f>IF(B4839,StartDate+D4839,"")</f>
        <v/>
      </c>
      <c r="F4839">
        <f>IF(B4839,MAX(MOD(SIN(Seed*0.1373+C4839*12.9898+D4839*78.233)*43758.5453,1),1E-9),"")</f>
        <v/>
      </c>
      <c r="G4839">
        <f>IF(B4839,MOD(SIN(Seed*0.5917+C4839*39.3468+D4839*11.135)*24634.6345,1),"")</f>
        <v/>
      </c>
      <c r="H4839">
        <f>IF(B4839,SQRT(-2*LN(F4839))*COS(2*PI()*G4839),"")</f>
        <v/>
      </c>
      <c r="I4839">
        <f>IF(B4839,IF(D4839=0,H4839,Rho*I4838+SQRT(1-Rho^2)*H4839),"")</f>
        <v/>
      </c>
      <c r="J4839">
        <f>IF(B4839,IF(Dist="Normal",DistA+DistB*I4839,DistA+(DistB-DistA)*NORMSDIST(I4839)),"")</f>
        <v/>
      </c>
      <c r="K4839">
        <f>IF(B4839,INDEX(MineScale,C4839),"")</f>
        <v/>
      </c>
      <c r="L4839">
        <f>IF(B4839,INDEX(Dow,1,WEEKDAY(E4839,2)),"")</f>
        <v/>
      </c>
      <c r="M4839">
        <f>IF(B4839,(1+Trend)^D4839,"")</f>
        <v/>
      </c>
      <c r="N4839">
        <f>IF(B4839,EXP(SUMPRODUCT(LN(1+(EvEff-1)*INDEX(Affected,0,C4839)*EXP(-((E4839-EvCenter)^2)/(2*EvSigma^2))))),"")</f>
        <v/>
      </c>
      <c r="O4839">
        <f>IF(B4839,ROUND(MAX(0,J4839*K4839*L4839*M4839*N4839),2),"")</f>
        <v/>
      </c>
    </row>
    <row r="4840">
      <c r="A4840" t="n">
        <v>4839</v>
      </c>
      <c r="B4840">
        <f>A4840&lt;=MineCount*Days</f>
        <v/>
      </c>
      <c r="C4840">
        <f>IF(B4840,INT((A4840-1)/Days)+1,"")</f>
        <v/>
      </c>
      <c r="D4840">
        <f>IF(B4840,MOD(A4840-1,Days),"")</f>
        <v/>
      </c>
      <c r="E4840" s="16">
        <f>IF(B4840,StartDate+D4840,"")</f>
        <v/>
      </c>
      <c r="F4840">
        <f>IF(B4840,MAX(MOD(SIN(Seed*0.1373+C4840*12.9898+D4840*78.233)*43758.5453,1),1E-9),"")</f>
        <v/>
      </c>
      <c r="G4840">
        <f>IF(B4840,MOD(SIN(Seed*0.5917+C4840*39.3468+D4840*11.135)*24634.6345,1),"")</f>
        <v/>
      </c>
      <c r="H4840">
        <f>IF(B4840,SQRT(-2*LN(F4840))*COS(2*PI()*G4840),"")</f>
        <v/>
      </c>
      <c r="I4840">
        <f>IF(B4840,IF(D4840=0,H4840,Rho*I4839+SQRT(1-Rho^2)*H4840),"")</f>
        <v/>
      </c>
      <c r="J4840">
        <f>IF(B4840,IF(Dist="Normal",DistA+DistB*I4840,DistA+(DistB-DistA)*NORMSDIST(I4840)),"")</f>
        <v/>
      </c>
      <c r="K4840">
        <f>IF(B4840,INDEX(MineScale,C4840),"")</f>
        <v/>
      </c>
      <c r="L4840">
        <f>IF(B4840,INDEX(Dow,1,WEEKDAY(E4840,2)),"")</f>
        <v/>
      </c>
      <c r="M4840">
        <f>IF(B4840,(1+Trend)^D4840,"")</f>
        <v/>
      </c>
      <c r="N4840">
        <f>IF(B4840,EXP(SUMPRODUCT(LN(1+(EvEff-1)*INDEX(Affected,0,C4840)*EXP(-((E4840-EvCenter)^2)/(2*EvSigma^2))))),"")</f>
        <v/>
      </c>
      <c r="O4840">
        <f>IF(B4840,ROUND(MAX(0,J4840*K4840*L4840*M4840*N4840),2),"")</f>
        <v/>
      </c>
    </row>
    <row r="4841">
      <c r="A4841" t="n">
        <v>4840</v>
      </c>
      <c r="B4841">
        <f>A4841&lt;=MineCount*Days</f>
        <v/>
      </c>
      <c r="C4841">
        <f>IF(B4841,INT((A4841-1)/Days)+1,"")</f>
        <v/>
      </c>
      <c r="D4841">
        <f>IF(B4841,MOD(A4841-1,Days),"")</f>
        <v/>
      </c>
      <c r="E4841" s="16">
        <f>IF(B4841,StartDate+D4841,"")</f>
        <v/>
      </c>
      <c r="F4841">
        <f>IF(B4841,MAX(MOD(SIN(Seed*0.1373+C4841*12.9898+D4841*78.233)*43758.5453,1),1E-9),"")</f>
        <v/>
      </c>
      <c r="G4841">
        <f>IF(B4841,MOD(SIN(Seed*0.5917+C4841*39.3468+D4841*11.135)*24634.6345,1),"")</f>
        <v/>
      </c>
      <c r="H4841">
        <f>IF(B4841,SQRT(-2*LN(F4841))*COS(2*PI()*G4841),"")</f>
        <v/>
      </c>
      <c r="I4841">
        <f>IF(B4841,IF(D4841=0,H4841,Rho*I4840+SQRT(1-Rho^2)*H4841),"")</f>
        <v/>
      </c>
      <c r="J4841">
        <f>IF(B4841,IF(Dist="Normal",DistA+DistB*I4841,DistA+(DistB-DistA)*NORMSDIST(I4841)),"")</f>
        <v/>
      </c>
      <c r="K4841">
        <f>IF(B4841,INDEX(MineScale,C4841),"")</f>
        <v/>
      </c>
      <c r="L4841">
        <f>IF(B4841,INDEX(Dow,1,WEEKDAY(E4841,2)),"")</f>
        <v/>
      </c>
      <c r="M4841">
        <f>IF(B4841,(1+Trend)^D4841,"")</f>
        <v/>
      </c>
      <c r="N4841">
        <f>IF(B4841,EXP(SUMPRODUCT(LN(1+(EvEff-1)*INDEX(Affected,0,C4841)*EXP(-((E4841-EvCenter)^2)/(2*EvSigma^2))))),"")</f>
        <v/>
      </c>
      <c r="O4841">
        <f>IF(B4841,ROUND(MAX(0,J4841*K4841*L4841*M4841*N4841),2),"")</f>
        <v/>
      </c>
    </row>
    <row r="4842">
      <c r="A4842" t="n">
        <v>4841</v>
      </c>
      <c r="B4842">
        <f>A4842&lt;=MineCount*Days</f>
        <v/>
      </c>
      <c r="C4842">
        <f>IF(B4842,INT((A4842-1)/Days)+1,"")</f>
        <v/>
      </c>
      <c r="D4842">
        <f>IF(B4842,MOD(A4842-1,Days),"")</f>
        <v/>
      </c>
      <c r="E4842" s="16">
        <f>IF(B4842,StartDate+D4842,"")</f>
        <v/>
      </c>
      <c r="F4842">
        <f>IF(B4842,MAX(MOD(SIN(Seed*0.1373+C4842*12.9898+D4842*78.233)*43758.5453,1),1E-9),"")</f>
        <v/>
      </c>
      <c r="G4842">
        <f>IF(B4842,MOD(SIN(Seed*0.5917+C4842*39.3468+D4842*11.135)*24634.6345,1),"")</f>
        <v/>
      </c>
      <c r="H4842">
        <f>IF(B4842,SQRT(-2*LN(F4842))*COS(2*PI()*G4842),"")</f>
        <v/>
      </c>
      <c r="I4842">
        <f>IF(B4842,IF(D4842=0,H4842,Rho*I4841+SQRT(1-Rho^2)*H4842),"")</f>
        <v/>
      </c>
      <c r="J4842">
        <f>IF(B4842,IF(Dist="Normal",DistA+DistB*I4842,DistA+(DistB-DistA)*NORMSDIST(I4842)),"")</f>
        <v/>
      </c>
      <c r="K4842">
        <f>IF(B4842,INDEX(MineScale,C4842),"")</f>
        <v/>
      </c>
      <c r="L4842">
        <f>IF(B4842,INDEX(Dow,1,WEEKDAY(E4842,2)),"")</f>
        <v/>
      </c>
      <c r="M4842">
        <f>IF(B4842,(1+Trend)^D4842,"")</f>
        <v/>
      </c>
      <c r="N4842">
        <f>IF(B4842,EXP(SUMPRODUCT(LN(1+(EvEff-1)*INDEX(Affected,0,C4842)*EXP(-((E4842-EvCenter)^2)/(2*EvSigma^2))))),"")</f>
        <v/>
      </c>
      <c r="O4842">
        <f>IF(B4842,ROUND(MAX(0,J4842*K4842*L4842*M4842*N4842),2),"")</f>
        <v/>
      </c>
    </row>
    <row r="4843">
      <c r="A4843" t="n">
        <v>4842</v>
      </c>
      <c r="B4843">
        <f>A4843&lt;=MineCount*Days</f>
        <v/>
      </c>
      <c r="C4843">
        <f>IF(B4843,INT((A4843-1)/Days)+1,"")</f>
        <v/>
      </c>
      <c r="D4843">
        <f>IF(B4843,MOD(A4843-1,Days),"")</f>
        <v/>
      </c>
      <c r="E4843" s="16">
        <f>IF(B4843,StartDate+D4843,"")</f>
        <v/>
      </c>
      <c r="F4843">
        <f>IF(B4843,MAX(MOD(SIN(Seed*0.1373+C4843*12.9898+D4843*78.233)*43758.5453,1),1E-9),"")</f>
        <v/>
      </c>
      <c r="G4843">
        <f>IF(B4843,MOD(SIN(Seed*0.5917+C4843*39.3468+D4843*11.135)*24634.6345,1),"")</f>
        <v/>
      </c>
      <c r="H4843">
        <f>IF(B4843,SQRT(-2*LN(F4843))*COS(2*PI()*G4843),"")</f>
        <v/>
      </c>
      <c r="I4843">
        <f>IF(B4843,IF(D4843=0,H4843,Rho*I4842+SQRT(1-Rho^2)*H4843),"")</f>
        <v/>
      </c>
      <c r="J4843">
        <f>IF(B4843,IF(Dist="Normal",DistA+DistB*I4843,DistA+(DistB-DistA)*NORMSDIST(I4843)),"")</f>
        <v/>
      </c>
      <c r="K4843">
        <f>IF(B4843,INDEX(MineScale,C4843),"")</f>
        <v/>
      </c>
      <c r="L4843">
        <f>IF(B4843,INDEX(Dow,1,WEEKDAY(E4843,2)),"")</f>
        <v/>
      </c>
      <c r="M4843">
        <f>IF(B4843,(1+Trend)^D4843,"")</f>
        <v/>
      </c>
      <c r="N4843">
        <f>IF(B4843,EXP(SUMPRODUCT(LN(1+(EvEff-1)*INDEX(Affected,0,C4843)*EXP(-((E4843-EvCenter)^2)/(2*EvSigma^2))))),"")</f>
        <v/>
      </c>
      <c r="O4843">
        <f>IF(B4843,ROUND(MAX(0,J4843*K4843*L4843*M4843*N4843),2),"")</f>
        <v/>
      </c>
    </row>
    <row r="4844">
      <c r="A4844" t="n">
        <v>4843</v>
      </c>
      <c r="B4844">
        <f>A4844&lt;=MineCount*Days</f>
        <v/>
      </c>
      <c r="C4844">
        <f>IF(B4844,INT((A4844-1)/Days)+1,"")</f>
        <v/>
      </c>
      <c r="D4844">
        <f>IF(B4844,MOD(A4844-1,Days),"")</f>
        <v/>
      </c>
      <c r="E4844" s="16">
        <f>IF(B4844,StartDate+D4844,"")</f>
        <v/>
      </c>
      <c r="F4844">
        <f>IF(B4844,MAX(MOD(SIN(Seed*0.1373+C4844*12.9898+D4844*78.233)*43758.5453,1),1E-9),"")</f>
        <v/>
      </c>
      <c r="G4844">
        <f>IF(B4844,MOD(SIN(Seed*0.5917+C4844*39.3468+D4844*11.135)*24634.6345,1),"")</f>
        <v/>
      </c>
      <c r="H4844">
        <f>IF(B4844,SQRT(-2*LN(F4844))*COS(2*PI()*G4844),"")</f>
        <v/>
      </c>
      <c r="I4844">
        <f>IF(B4844,IF(D4844=0,H4844,Rho*I4843+SQRT(1-Rho^2)*H4844),"")</f>
        <v/>
      </c>
      <c r="J4844">
        <f>IF(B4844,IF(Dist="Normal",DistA+DistB*I4844,DistA+(DistB-DistA)*NORMSDIST(I4844)),"")</f>
        <v/>
      </c>
      <c r="K4844">
        <f>IF(B4844,INDEX(MineScale,C4844),"")</f>
        <v/>
      </c>
      <c r="L4844">
        <f>IF(B4844,INDEX(Dow,1,WEEKDAY(E4844,2)),"")</f>
        <v/>
      </c>
      <c r="M4844">
        <f>IF(B4844,(1+Trend)^D4844,"")</f>
        <v/>
      </c>
      <c r="N4844">
        <f>IF(B4844,EXP(SUMPRODUCT(LN(1+(EvEff-1)*INDEX(Affected,0,C4844)*EXP(-((E4844-EvCenter)^2)/(2*EvSigma^2))))),"")</f>
        <v/>
      </c>
      <c r="O4844">
        <f>IF(B4844,ROUND(MAX(0,J4844*K4844*L4844*M4844*N4844),2),"")</f>
        <v/>
      </c>
    </row>
    <row r="4845">
      <c r="A4845" t="n">
        <v>4844</v>
      </c>
      <c r="B4845">
        <f>A4845&lt;=MineCount*Days</f>
        <v/>
      </c>
      <c r="C4845">
        <f>IF(B4845,INT((A4845-1)/Days)+1,"")</f>
        <v/>
      </c>
      <c r="D4845">
        <f>IF(B4845,MOD(A4845-1,Days),"")</f>
        <v/>
      </c>
      <c r="E4845" s="16">
        <f>IF(B4845,StartDate+D4845,"")</f>
        <v/>
      </c>
      <c r="F4845">
        <f>IF(B4845,MAX(MOD(SIN(Seed*0.1373+C4845*12.9898+D4845*78.233)*43758.5453,1),1E-9),"")</f>
        <v/>
      </c>
      <c r="G4845">
        <f>IF(B4845,MOD(SIN(Seed*0.5917+C4845*39.3468+D4845*11.135)*24634.6345,1),"")</f>
        <v/>
      </c>
      <c r="H4845">
        <f>IF(B4845,SQRT(-2*LN(F4845))*COS(2*PI()*G4845),"")</f>
        <v/>
      </c>
      <c r="I4845">
        <f>IF(B4845,IF(D4845=0,H4845,Rho*I4844+SQRT(1-Rho^2)*H4845),"")</f>
        <v/>
      </c>
      <c r="J4845">
        <f>IF(B4845,IF(Dist="Normal",DistA+DistB*I4845,DistA+(DistB-DistA)*NORMSDIST(I4845)),"")</f>
        <v/>
      </c>
      <c r="K4845">
        <f>IF(B4845,INDEX(MineScale,C4845),"")</f>
        <v/>
      </c>
      <c r="L4845">
        <f>IF(B4845,INDEX(Dow,1,WEEKDAY(E4845,2)),"")</f>
        <v/>
      </c>
      <c r="M4845">
        <f>IF(B4845,(1+Trend)^D4845,"")</f>
        <v/>
      </c>
      <c r="N4845">
        <f>IF(B4845,EXP(SUMPRODUCT(LN(1+(EvEff-1)*INDEX(Affected,0,C4845)*EXP(-((E4845-EvCenter)^2)/(2*EvSigma^2))))),"")</f>
        <v/>
      </c>
      <c r="O4845">
        <f>IF(B4845,ROUND(MAX(0,J4845*K4845*L4845*M4845*N4845),2),"")</f>
        <v/>
      </c>
    </row>
    <row r="4846">
      <c r="A4846" t="n">
        <v>4845</v>
      </c>
      <c r="B4846">
        <f>A4846&lt;=MineCount*Days</f>
        <v/>
      </c>
      <c r="C4846">
        <f>IF(B4846,INT((A4846-1)/Days)+1,"")</f>
        <v/>
      </c>
      <c r="D4846">
        <f>IF(B4846,MOD(A4846-1,Days),"")</f>
        <v/>
      </c>
      <c r="E4846" s="16">
        <f>IF(B4846,StartDate+D4846,"")</f>
        <v/>
      </c>
      <c r="F4846">
        <f>IF(B4846,MAX(MOD(SIN(Seed*0.1373+C4846*12.9898+D4846*78.233)*43758.5453,1),1E-9),"")</f>
        <v/>
      </c>
      <c r="G4846">
        <f>IF(B4846,MOD(SIN(Seed*0.5917+C4846*39.3468+D4846*11.135)*24634.6345,1),"")</f>
        <v/>
      </c>
      <c r="H4846">
        <f>IF(B4846,SQRT(-2*LN(F4846))*COS(2*PI()*G4846),"")</f>
        <v/>
      </c>
      <c r="I4846">
        <f>IF(B4846,IF(D4846=0,H4846,Rho*I4845+SQRT(1-Rho^2)*H4846),"")</f>
        <v/>
      </c>
      <c r="J4846">
        <f>IF(B4846,IF(Dist="Normal",DistA+DistB*I4846,DistA+(DistB-DistA)*NORMSDIST(I4846)),"")</f>
        <v/>
      </c>
      <c r="K4846">
        <f>IF(B4846,INDEX(MineScale,C4846),"")</f>
        <v/>
      </c>
      <c r="L4846">
        <f>IF(B4846,INDEX(Dow,1,WEEKDAY(E4846,2)),"")</f>
        <v/>
      </c>
      <c r="M4846">
        <f>IF(B4846,(1+Trend)^D4846,"")</f>
        <v/>
      </c>
      <c r="N4846">
        <f>IF(B4846,EXP(SUMPRODUCT(LN(1+(EvEff-1)*INDEX(Affected,0,C4846)*EXP(-((E4846-EvCenter)^2)/(2*EvSigma^2))))),"")</f>
        <v/>
      </c>
      <c r="O4846">
        <f>IF(B4846,ROUND(MAX(0,J4846*K4846*L4846*M4846*N4846),2),"")</f>
        <v/>
      </c>
    </row>
    <row r="4847">
      <c r="A4847" t="n">
        <v>4846</v>
      </c>
      <c r="B4847">
        <f>A4847&lt;=MineCount*Days</f>
        <v/>
      </c>
      <c r="C4847">
        <f>IF(B4847,INT((A4847-1)/Days)+1,"")</f>
        <v/>
      </c>
      <c r="D4847">
        <f>IF(B4847,MOD(A4847-1,Days),"")</f>
        <v/>
      </c>
      <c r="E4847" s="16">
        <f>IF(B4847,StartDate+D4847,"")</f>
        <v/>
      </c>
      <c r="F4847">
        <f>IF(B4847,MAX(MOD(SIN(Seed*0.1373+C4847*12.9898+D4847*78.233)*43758.5453,1),1E-9),"")</f>
        <v/>
      </c>
      <c r="G4847">
        <f>IF(B4847,MOD(SIN(Seed*0.5917+C4847*39.3468+D4847*11.135)*24634.6345,1),"")</f>
        <v/>
      </c>
      <c r="H4847">
        <f>IF(B4847,SQRT(-2*LN(F4847))*COS(2*PI()*G4847),"")</f>
        <v/>
      </c>
      <c r="I4847">
        <f>IF(B4847,IF(D4847=0,H4847,Rho*I4846+SQRT(1-Rho^2)*H4847),"")</f>
        <v/>
      </c>
      <c r="J4847">
        <f>IF(B4847,IF(Dist="Normal",DistA+DistB*I4847,DistA+(DistB-DistA)*NORMSDIST(I4847)),"")</f>
        <v/>
      </c>
      <c r="K4847">
        <f>IF(B4847,INDEX(MineScale,C4847),"")</f>
        <v/>
      </c>
      <c r="L4847">
        <f>IF(B4847,INDEX(Dow,1,WEEKDAY(E4847,2)),"")</f>
        <v/>
      </c>
      <c r="M4847">
        <f>IF(B4847,(1+Trend)^D4847,"")</f>
        <v/>
      </c>
      <c r="N4847">
        <f>IF(B4847,EXP(SUMPRODUCT(LN(1+(EvEff-1)*INDEX(Affected,0,C4847)*EXP(-((E4847-EvCenter)^2)/(2*EvSigma^2))))),"")</f>
        <v/>
      </c>
      <c r="O4847">
        <f>IF(B4847,ROUND(MAX(0,J4847*K4847*L4847*M4847*N4847),2),"")</f>
        <v/>
      </c>
    </row>
    <row r="4848">
      <c r="A4848" t="n">
        <v>4847</v>
      </c>
      <c r="B4848">
        <f>A4848&lt;=MineCount*Days</f>
        <v/>
      </c>
      <c r="C4848">
        <f>IF(B4848,INT((A4848-1)/Days)+1,"")</f>
        <v/>
      </c>
      <c r="D4848">
        <f>IF(B4848,MOD(A4848-1,Days),"")</f>
        <v/>
      </c>
      <c r="E4848" s="16">
        <f>IF(B4848,StartDate+D4848,"")</f>
        <v/>
      </c>
      <c r="F4848">
        <f>IF(B4848,MAX(MOD(SIN(Seed*0.1373+C4848*12.9898+D4848*78.233)*43758.5453,1),1E-9),"")</f>
        <v/>
      </c>
      <c r="G4848">
        <f>IF(B4848,MOD(SIN(Seed*0.5917+C4848*39.3468+D4848*11.135)*24634.6345,1),"")</f>
        <v/>
      </c>
      <c r="H4848">
        <f>IF(B4848,SQRT(-2*LN(F4848))*COS(2*PI()*G4848),"")</f>
        <v/>
      </c>
      <c r="I4848">
        <f>IF(B4848,IF(D4848=0,H4848,Rho*I4847+SQRT(1-Rho^2)*H4848),"")</f>
        <v/>
      </c>
      <c r="J4848">
        <f>IF(B4848,IF(Dist="Normal",DistA+DistB*I4848,DistA+(DistB-DistA)*NORMSDIST(I4848)),"")</f>
        <v/>
      </c>
      <c r="K4848">
        <f>IF(B4848,INDEX(MineScale,C4848),"")</f>
        <v/>
      </c>
      <c r="L4848">
        <f>IF(B4848,INDEX(Dow,1,WEEKDAY(E4848,2)),"")</f>
        <v/>
      </c>
      <c r="M4848">
        <f>IF(B4848,(1+Trend)^D4848,"")</f>
        <v/>
      </c>
      <c r="N4848">
        <f>IF(B4848,EXP(SUMPRODUCT(LN(1+(EvEff-1)*INDEX(Affected,0,C4848)*EXP(-((E4848-EvCenter)^2)/(2*EvSigma^2))))),"")</f>
        <v/>
      </c>
      <c r="O4848">
        <f>IF(B4848,ROUND(MAX(0,J4848*K4848*L4848*M4848*N4848),2),"")</f>
        <v/>
      </c>
    </row>
    <row r="4849">
      <c r="A4849" t="n">
        <v>4848</v>
      </c>
      <c r="B4849">
        <f>A4849&lt;=MineCount*Days</f>
        <v/>
      </c>
      <c r="C4849">
        <f>IF(B4849,INT((A4849-1)/Days)+1,"")</f>
        <v/>
      </c>
      <c r="D4849">
        <f>IF(B4849,MOD(A4849-1,Days),"")</f>
        <v/>
      </c>
      <c r="E4849" s="16">
        <f>IF(B4849,StartDate+D4849,"")</f>
        <v/>
      </c>
      <c r="F4849">
        <f>IF(B4849,MAX(MOD(SIN(Seed*0.1373+C4849*12.9898+D4849*78.233)*43758.5453,1),1E-9),"")</f>
        <v/>
      </c>
      <c r="G4849">
        <f>IF(B4849,MOD(SIN(Seed*0.5917+C4849*39.3468+D4849*11.135)*24634.6345,1),"")</f>
        <v/>
      </c>
      <c r="H4849">
        <f>IF(B4849,SQRT(-2*LN(F4849))*COS(2*PI()*G4849),"")</f>
        <v/>
      </c>
      <c r="I4849">
        <f>IF(B4849,IF(D4849=0,H4849,Rho*I4848+SQRT(1-Rho^2)*H4849),"")</f>
        <v/>
      </c>
      <c r="J4849">
        <f>IF(B4849,IF(Dist="Normal",DistA+DistB*I4849,DistA+(DistB-DistA)*NORMSDIST(I4849)),"")</f>
        <v/>
      </c>
      <c r="K4849">
        <f>IF(B4849,INDEX(MineScale,C4849),"")</f>
        <v/>
      </c>
      <c r="L4849">
        <f>IF(B4849,INDEX(Dow,1,WEEKDAY(E4849,2)),"")</f>
        <v/>
      </c>
      <c r="M4849">
        <f>IF(B4849,(1+Trend)^D4849,"")</f>
        <v/>
      </c>
      <c r="N4849">
        <f>IF(B4849,EXP(SUMPRODUCT(LN(1+(EvEff-1)*INDEX(Affected,0,C4849)*EXP(-((E4849-EvCenter)^2)/(2*EvSigma^2))))),"")</f>
        <v/>
      </c>
      <c r="O4849">
        <f>IF(B4849,ROUND(MAX(0,J4849*K4849*L4849*M4849*N4849),2),"")</f>
        <v/>
      </c>
    </row>
    <row r="4850">
      <c r="A4850" t="n">
        <v>4849</v>
      </c>
      <c r="B4850">
        <f>A4850&lt;=MineCount*Days</f>
        <v/>
      </c>
      <c r="C4850">
        <f>IF(B4850,INT((A4850-1)/Days)+1,"")</f>
        <v/>
      </c>
      <c r="D4850">
        <f>IF(B4850,MOD(A4850-1,Days),"")</f>
        <v/>
      </c>
      <c r="E4850" s="16">
        <f>IF(B4850,StartDate+D4850,"")</f>
        <v/>
      </c>
      <c r="F4850">
        <f>IF(B4850,MAX(MOD(SIN(Seed*0.1373+C4850*12.9898+D4850*78.233)*43758.5453,1),1E-9),"")</f>
        <v/>
      </c>
      <c r="G4850">
        <f>IF(B4850,MOD(SIN(Seed*0.5917+C4850*39.3468+D4850*11.135)*24634.6345,1),"")</f>
        <v/>
      </c>
      <c r="H4850">
        <f>IF(B4850,SQRT(-2*LN(F4850))*COS(2*PI()*G4850),"")</f>
        <v/>
      </c>
      <c r="I4850">
        <f>IF(B4850,IF(D4850=0,H4850,Rho*I4849+SQRT(1-Rho^2)*H4850),"")</f>
        <v/>
      </c>
      <c r="J4850">
        <f>IF(B4850,IF(Dist="Normal",DistA+DistB*I4850,DistA+(DistB-DistA)*NORMSDIST(I4850)),"")</f>
        <v/>
      </c>
      <c r="K4850">
        <f>IF(B4850,INDEX(MineScale,C4850),"")</f>
        <v/>
      </c>
      <c r="L4850">
        <f>IF(B4850,INDEX(Dow,1,WEEKDAY(E4850,2)),"")</f>
        <v/>
      </c>
      <c r="M4850">
        <f>IF(B4850,(1+Trend)^D4850,"")</f>
        <v/>
      </c>
      <c r="N4850">
        <f>IF(B4850,EXP(SUMPRODUCT(LN(1+(EvEff-1)*INDEX(Affected,0,C4850)*EXP(-((E4850-EvCenter)^2)/(2*EvSigma^2))))),"")</f>
        <v/>
      </c>
      <c r="O4850">
        <f>IF(B4850,ROUND(MAX(0,J4850*K4850*L4850*M4850*N4850),2),"")</f>
        <v/>
      </c>
    </row>
    <row r="4851">
      <c r="A4851" t="n">
        <v>4850</v>
      </c>
      <c r="B4851">
        <f>A4851&lt;=MineCount*Days</f>
        <v/>
      </c>
      <c r="C4851">
        <f>IF(B4851,INT((A4851-1)/Days)+1,"")</f>
        <v/>
      </c>
      <c r="D4851">
        <f>IF(B4851,MOD(A4851-1,Days),"")</f>
        <v/>
      </c>
      <c r="E4851" s="16">
        <f>IF(B4851,StartDate+D4851,"")</f>
        <v/>
      </c>
      <c r="F4851">
        <f>IF(B4851,MAX(MOD(SIN(Seed*0.1373+C4851*12.9898+D4851*78.233)*43758.5453,1),1E-9),"")</f>
        <v/>
      </c>
      <c r="G4851">
        <f>IF(B4851,MOD(SIN(Seed*0.5917+C4851*39.3468+D4851*11.135)*24634.6345,1),"")</f>
        <v/>
      </c>
      <c r="H4851">
        <f>IF(B4851,SQRT(-2*LN(F4851))*COS(2*PI()*G4851),"")</f>
        <v/>
      </c>
      <c r="I4851">
        <f>IF(B4851,IF(D4851=0,H4851,Rho*I4850+SQRT(1-Rho^2)*H4851),"")</f>
        <v/>
      </c>
      <c r="J4851">
        <f>IF(B4851,IF(Dist="Normal",DistA+DistB*I4851,DistA+(DistB-DistA)*NORMSDIST(I4851)),"")</f>
        <v/>
      </c>
      <c r="K4851">
        <f>IF(B4851,INDEX(MineScale,C4851),"")</f>
        <v/>
      </c>
      <c r="L4851">
        <f>IF(B4851,INDEX(Dow,1,WEEKDAY(E4851,2)),"")</f>
        <v/>
      </c>
      <c r="M4851">
        <f>IF(B4851,(1+Trend)^D4851,"")</f>
        <v/>
      </c>
      <c r="N4851">
        <f>IF(B4851,EXP(SUMPRODUCT(LN(1+(EvEff-1)*INDEX(Affected,0,C4851)*EXP(-((E4851-EvCenter)^2)/(2*EvSigma^2))))),"")</f>
        <v/>
      </c>
      <c r="O4851">
        <f>IF(B4851,ROUND(MAX(0,J4851*K4851*L4851*M4851*N4851),2),"")</f>
        <v/>
      </c>
    </row>
    <row r="4852">
      <c r="A4852" t="n">
        <v>4851</v>
      </c>
      <c r="B4852">
        <f>A4852&lt;=MineCount*Days</f>
        <v/>
      </c>
      <c r="C4852">
        <f>IF(B4852,INT((A4852-1)/Days)+1,"")</f>
        <v/>
      </c>
      <c r="D4852">
        <f>IF(B4852,MOD(A4852-1,Days),"")</f>
        <v/>
      </c>
      <c r="E4852" s="16">
        <f>IF(B4852,StartDate+D4852,"")</f>
        <v/>
      </c>
      <c r="F4852">
        <f>IF(B4852,MAX(MOD(SIN(Seed*0.1373+C4852*12.9898+D4852*78.233)*43758.5453,1),1E-9),"")</f>
        <v/>
      </c>
      <c r="G4852">
        <f>IF(B4852,MOD(SIN(Seed*0.5917+C4852*39.3468+D4852*11.135)*24634.6345,1),"")</f>
        <v/>
      </c>
      <c r="H4852">
        <f>IF(B4852,SQRT(-2*LN(F4852))*COS(2*PI()*G4852),"")</f>
        <v/>
      </c>
      <c r="I4852">
        <f>IF(B4852,IF(D4852=0,H4852,Rho*I4851+SQRT(1-Rho^2)*H4852),"")</f>
        <v/>
      </c>
      <c r="J4852">
        <f>IF(B4852,IF(Dist="Normal",DistA+DistB*I4852,DistA+(DistB-DistA)*NORMSDIST(I4852)),"")</f>
        <v/>
      </c>
      <c r="K4852">
        <f>IF(B4852,INDEX(MineScale,C4852),"")</f>
        <v/>
      </c>
      <c r="L4852">
        <f>IF(B4852,INDEX(Dow,1,WEEKDAY(E4852,2)),"")</f>
        <v/>
      </c>
      <c r="M4852">
        <f>IF(B4852,(1+Trend)^D4852,"")</f>
        <v/>
      </c>
      <c r="N4852">
        <f>IF(B4852,EXP(SUMPRODUCT(LN(1+(EvEff-1)*INDEX(Affected,0,C4852)*EXP(-((E4852-EvCenter)^2)/(2*EvSigma^2))))),"")</f>
        <v/>
      </c>
      <c r="O4852">
        <f>IF(B4852,ROUND(MAX(0,J4852*K4852*L4852*M4852*N4852),2),"")</f>
        <v/>
      </c>
    </row>
    <row r="4853">
      <c r="A4853" t="n">
        <v>4852</v>
      </c>
      <c r="B4853">
        <f>A4853&lt;=MineCount*Days</f>
        <v/>
      </c>
      <c r="C4853">
        <f>IF(B4853,INT((A4853-1)/Days)+1,"")</f>
        <v/>
      </c>
      <c r="D4853">
        <f>IF(B4853,MOD(A4853-1,Days),"")</f>
        <v/>
      </c>
      <c r="E4853" s="16">
        <f>IF(B4853,StartDate+D4853,"")</f>
        <v/>
      </c>
      <c r="F4853">
        <f>IF(B4853,MAX(MOD(SIN(Seed*0.1373+C4853*12.9898+D4853*78.233)*43758.5453,1),1E-9),"")</f>
        <v/>
      </c>
      <c r="G4853">
        <f>IF(B4853,MOD(SIN(Seed*0.5917+C4853*39.3468+D4853*11.135)*24634.6345,1),"")</f>
        <v/>
      </c>
      <c r="H4853">
        <f>IF(B4853,SQRT(-2*LN(F4853))*COS(2*PI()*G4853),"")</f>
        <v/>
      </c>
      <c r="I4853">
        <f>IF(B4853,IF(D4853=0,H4853,Rho*I4852+SQRT(1-Rho^2)*H4853),"")</f>
        <v/>
      </c>
      <c r="J4853">
        <f>IF(B4853,IF(Dist="Normal",DistA+DistB*I4853,DistA+(DistB-DistA)*NORMSDIST(I4853)),"")</f>
        <v/>
      </c>
      <c r="K4853">
        <f>IF(B4853,INDEX(MineScale,C4853),"")</f>
        <v/>
      </c>
      <c r="L4853">
        <f>IF(B4853,INDEX(Dow,1,WEEKDAY(E4853,2)),"")</f>
        <v/>
      </c>
      <c r="M4853">
        <f>IF(B4853,(1+Trend)^D4853,"")</f>
        <v/>
      </c>
      <c r="N4853">
        <f>IF(B4853,EXP(SUMPRODUCT(LN(1+(EvEff-1)*INDEX(Affected,0,C4853)*EXP(-((E4853-EvCenter)^2)/(2*EvSigma^2))))),"")</f>
        <v/>
      </c>
      <c r="O4853">
        <f>IF(B4853,ROUND(MAX(0,J4853*K4853*L4853*M4853*N4853),2),"")</f>
        <v/>
      </c>
    </row>
    <row r="4854">
      <c r="A4854" t="n">
        <v>4853</v>
      </c>
      <c r="B4854">
        <f>A4854&lt;=MineCount*Days</f>
        <v/>
      </c>
      <c r="C4854">
        <f>IF(B4854,INT((A4854-1)/Days)+1,"")</f>
        <v/>
      </c>
      <c r="D4854">
        <f>IF(B4854,MOD(A4854-1,Days),"")</f>
        <v/>
      </c>
      <c r="E4854" s="16">
        <f>IF(B4854,StartDate+D4854,"")</f>
        <v/>
      </c>
      <c r="F4854">
        <f>IF(B4854,MAX(MOD(SIN(Seed*0.1373+C4854*12.9898+D4854*78.233)*43758.5453,1),1E-9),"")</f>
        <v/>
      </c>
      <c r="G4854">
        <f>IF(B4854,MOD(SIN(Seed*0.5917+C4854*39.3468+D4854*11.135)*24634.6345,1),"")</f>
        <v/>
      </c>
      <c r="H4854">
        <f>IF(B4854,SQRT(-2*LN(F4854))*COS(2*PI()*G4854),"")</f>
        <v/>
      </c>
      <c r="I4854">
        <f>IF(B4854,IF(D4854=0,H4854,Rho*I4853+SQRT(1-Rho^2)*H4854),"")</f>
        <v/>
      </c>
      <c r="J4854">
        <f>IF(B4854,IF(Dist="Normal",DistA+DistB*I4854,DistA+(DistB-DistA)*NORMSDIST(I4854)),"")</f>
        <v/>
      </c>
      <c r="K4854">
        <f>IF(B4854,INDEX(MineScale,C4854),"")</f>
        <v/>
      </c>
      <c r="L4854">
        <f>IF(B4854,INDEX(Dow,1,WEEKDAY(E4854,2)),"")</f>
        <v/>
      </c>
      <c r="M4854">
        <f>IF(B4854,(1+Trend)^D4854,"")</f>
        <v/>
      </c>
      <c r="N4854">
        <f>IF(B4854,EXP(SUMPRODUCT(LN(1+(EvEff-1)*INDEX(Affected,0,C4854)*EXP(-((E4854-EvCenter)^2)/(2*EvSigma^2))))),"")</f>
        <v/>
      </c>
      <c r="O4854">
        <f>IF(B4854,ROUND(MAX(0,J4854*K4854*L4854*M4854*N4854),2),"")</f>
        <v/>
      </c>
    </row>
    <row r="4855">
      <c r="A4855" t="n">
        <v>4854</v>
      </c>
      <c r="B4855">
        <f>A4855&lt;=MineCount*Days</f>
        <v/>
      </c>
      <c r="C4855">
        <f>IF(B4855,INT((A4855-1)/Days)+1,"")</f>
        <v/>
      </c>
      <c r="D4855">
        <f>IF(B4855,MOD(A4855-1,Days),"")</f>
        <v/>
      </c>
      <c r="E4855" s="16">
        <f>IF(B4855,StartDate+D4855,"")</f>
        <v/>
      </c>
      <c r="F4855">
        <f>IF(B4855,MAX(MOD(SIN(Seed*0.1373+C4855*12.9898+D4855*78.233)*43758.5453,1),1E-9),"")</f>
        <v/>
      </c>
      <c r="G4855">
        <f>IF(B4855,MOD(SIN(Seed*0.5917+C4855*39.3468+D4855*11.135)*24634.6345,1),"")</f>
        <v/>
      </c>
      <c r="H4855">
        <f>IF(B4855,SQRT(-2*LN(F4855))*COS(2*PI()*G4855),"")</f>
        <v/>
      </c>
      <c r="I4855">
        <f>IF(B4855,IF(D4855=0,H4855,Rho*I4854+SQRT(1-Rho^2)*H4855),"")</f>
        <v/>
      </c>
      <c r="J4855">
        <f>IF(B4855,IF(Dist="Normal",DistA+DistB*I4855,DistA+(DistB-DistA)*NORMSDIST(I4855)),"")</f>
        <v/>
      </c>
      <c r="K4855">
        <f>IF(B4855,INDEX(MineScale,C4855),"")</f>
        <v/>
      </c>
      <c r="L4855">
        <f>IF(B4855,INDEX(Dow,1,WEEKDAY(E4855,2)),"")</f>
        <v/>
      </c>
      <c r="M4855">
        <f>IF(B4855,(1+Trend)^D4855,"")</f>
        <v/>
      </c>
      <c r="N4855">
        <f>IF(B4855,EXP(SUMPRODUCT(LN(1+(EvEff-1)*INDEX(Affected,0,C4855)*EXP(-((E4855-EvCenter)^2)/(2*EvSigma^2))))),"")</f>
        <v/>
      </c>
      <c r="O4855">
        <f>IF(B4855,ROUND(MAX(0,J4855*K4855*L4855*M4855*N4855),2),"")</f>
        <v/>
      </c>
    </row>
    <row r="4856">
      <c r="A4856" t="n">
        <v>4855</v>
      </c>
      <c r="B4856">
        <f>A4856&lt;=MineCount*Days</f>
        <v/>
      </c>
      <c r="C4856">
        <f>IF(B4856,INT((A4856-1)/Days)+1,"")</f>
        <v/>
      </c>
      <c r="D4856">
        <f>IF(B4856,MOD(A4856-1,Days),"")</f>
        <v/>
      </c>
      <c r="E4856" s="16">
        <f>IF(B4856,StartDate+D4856,"")</f>
        <v/>
      </c>
      <c r="F4856">
        <f>IF(B4856,MAX(MOD(SIN(Seed*0.1373+C4856*12.9898+D4856*78.233)*43758.5453,1),1E-9),"")</f>
        <v/>
      </c>
      <c r="G4856">
        <f>IF(B4856,MOD(SIN(Seed*0.5917+C4856*39.3468+D4856*11.135)*24634.6345,1),"")</f>
        <v/>
      </c>
      <c r="H4856">
        <f>IF(B4856,SQRT(-2*LN(F4856))*COS(2*PI()*G4856),"")</f>
        <v/>
      </c>
      <c r="I4856">
        <f>IF(B4856,IF(D4856=0,H4856,Rho*I4855+SQRT(1-Rho^2)*H4856),"")</f>
        <v/>
      </c>
      <c r="J4856">
        <f>IF(B4856,IF(Dist="Normal",DistA+DistB*I4856,DistA+(DistB-DistA)*NORMSDIST(I4856)),"")</f>
        <v/>
      </c>
      <c r="K4856">
        <f>IF(B4856,INDEX(MineScale,C4856),"")</f>
        <v/>
      </c>
      <c r="L4856">
        <f>IF(B4856,INDEX(Dow,1,WEEKDAY(E4856,2)),"")</f>
        <v/>
      </c>
      <c r="M4856">
        <f>IF(B4856,(1+Trend)^D4856,"")</f>
        <v/>
      </c>
      <c r="N4856">
        <f>IF(B4856,EXP(SUMPRODUCT(LN(1+(EvEff-1)*INDEX(Affected,0,C4856)*EXP(-((E4856-EvCenter)^2)/(2*EvSigma^2))))),"")</f>
        <v/>
      </c>
      <c r="O4856">
        <f>IF(B4856,ROUND(MAX(0,J4856*K4856*L4856*M4856*N4856),2),"")</f>
        <v/>
      </c>
    </row>
    <row r="4857">
      <c r="A4857" t="n">
        <v>4856</v>
      </c>
      <c r="B4857">
        <f>A4857&lt;=MineCount*Days</f>
        <v/>
      </c>
      <c r="C4857">
        <f>IF(B4857,INT((A4857-1)/Days)+1,"")</f>
        <v/>
      </c>
      <c r="D4857">
        <f>IF(B4857,MOD(A4857-1,Days),"")</f>
        <v/>
      </c>
      <c r="E4857" s="16">
        <f>IF(B4857,StartDate+D4857,"")</f>
        <v/>
      </c>
      <c r="F4857">
        <f>IF(B4857,MAX(MOD(SIN(Seed*0.1373+C4857*12.9898+D4857*78.233)*43758.5453,1),1E-9),"")</f>
        <v/>
      </c>
      <c r="G4857">
        <f>IF(B4857,MOD(SIN(Seed*0.5917+C4857*39.3468+D4857*11.135)*24634.6345,1),"")</f>
        <v/>
      </c>
      <c r="H4857">
        <f>IF(B4857,SQRT(-2*LN(F4857))*COS(2*PI()*G4857),"")</f>
        <v/>
      </c>
      <c r="I4857">
        <f>IF(B4857,IF(D4857=0,H4857,Rho*I4856+SQRT(1-Rho^2)*H4857),"")</f>
        <v/>
      </c>
      <c r="J4857">
        <f>IF(B4857,IF(Dist="Normal",DistA+DistB*I4857,DistA+(DistB-DistA)*NORMSDIST(I4857)),"")</f>
        <v/>
      </c>
      <c r="K4857">
        <f>IF(B4857,INDEX(MineScale,C4857),"")</f>
        <v/>
      </c>
      <c r="L4857">
        <f>IF(B4857,INDEX(Dow,1,WEEKDAY(E4857,2)),"")</f>
        <v/>
      </c>
      <c r="M4857">
        <f>IF(B4857,(1+Trend)^D4857,"")</f>
        <v/>
      </c>
      <c r="N4857">
        <f>IF(B4857,EXP(SUMPRODUCT(LN(1+(EvEff-1)*INDEX(Affected,0,C4857)*EXP(-((E4857-EvCenter)^2)/(2*EvSigma^2))))),"")</f>
        <v/>
      </c>
      <c r="O4857">
        <f>IF(B4857,ROUND(MAX(0,J4857*K4857*L4857*M4857*N4857),2),"")</f>
        <v/>
      </c>
    </row>
    <row r="4858">
      <c r="A4858" t="n">
        <v>4857</v>
      </c>
      <c r="B4858">
        <f>A4858&lt;=MineCount*Days</f>
        <v/>
      </c>
      <c r="C4858">
        <f>IF(B4858,INT((A4858-1)/Days)+1,"")</f>
        <v/>
      </c>
      <c r="D4858">
        <f>IF(B4858,MOD(A4858-1,Days),"")</f>
        <v/>
      </c>
      <c r="E4858" s="16">
        <f>IF(B4858,StartDate+D4858,"")</f>
        <v/>
      </c>
      <c r="F4858">
        <f>IF(B4858,MAX(MOD(SIN(Seed*0.1373+C4858*12.9898+D4858*78.233)*43758.5453,1),1E-9),"")</f>
        <v/>
      </c>
      <c r="G4858">
        <f>IF(B4858,MOD(SIN(Seed*0.5917+C4858*39.3468+D4858*11.135)*24634.6345,1),"")</f>
        <v/>
      </c>
      <c r="H4858">
        <f>IF(B4858,SQRT(-2*LN(F4858))*COS(2*PI()*G4858),"")</f>
        <v/>
      </c>
      <c r="I4858">
        <f>IF(B4858,IF(D4858=0,H4858,Rho*I4857+SQRT(1-Rho^2)*H4858),"")</f>
        <v/>
      </c>
      <c r="J4858">
        <f>IF(B4858,IF(Dist="Normal",DistA+DistB*I4858,DistA+(DistB-DistA)*NORMSDIST(I4858)),"")</f>
        <v/>
      </c>
      <c r="K4858">
        <f>IF(B4858,INDEX(MineScale,C4858),"")</f>
        <v/>
      </c>
      <c r="L4858">
        <f>IF(B4858,INDEX(Dow,1,WEEKDAY(E4858,2)),"")</f>
        <v/>
      </c>
      <c r="M4858">
        <f>IF(B4858,(1+Trend)^D4858,"")</f>
        <v/>
      </c>
      <c r="N4858">
        <f>IF(B4858,EXP(SUMPRODUCT(LN(1+(EvEff-1)*INDEX(Affected,0,C4858)*EXP(-((E4858-EvCenter)^2)/(2*EvSigma^2))))),"")</f>
        <v/>
      </c>
      <c r="O4858">
        <f>IF(B4858,ROUND(MAX(0,J4858*K4858*L4858*M4858*N4858),2),"")</f>
        <v/>
      </c>
    </row>
    <row r="4859">
      <c r="A4859" t="n">
        <v>4858</v>
      </c>
      <c r="B4859">
        <f>A4859&lt;=MineCount*Days</f>
        <v/>
      </c>
      <c r="C4859">
        <f>IF(B4859,INT((A4859-1)/Days)+1,"")</f>
        <v/>
      </c>
      <c r="D4859">
        <f>IF(B4859,MOD(A4859-1,Days),"")</f>
        <v/>
      </c>
      <c r="E4859" s="16">
        <f>IF(B4859,StartDate+D4859,"")</f>
        <v/>
      </c>
      <c r="F4859">
        <f>IF(B4859,MAX(MOD(SIN(Seed*0.1373+C4859*12.9898+D4859*78.233)*43758.5453,1),1E-9),"")</f>
        <v/>
      </c>
      <c r="G4859">
        <f>IF(B4859,MOD(SIN(Seed*0.5917+C4859*39.3468+D4859*11.135)*24634.6345,1),"")</f>
        <v/>
      </c>
      <c r="H4859">
        <f>IF(B4859,SQRT(-2*LN(F4859))*COS(2*PI()*G4859),"")</f>
        <v/>
      </c>
      <c r="I4859">
        <f>IF(B4859,IF(D4859=0,H4859,Rho*I4858+SQRT(1-Rho^2)*H4859),"")</f>
        <v/>
      </c>
      <c r="J4859">
        <f>IF(B4859,IF(Dist="Normal",DistA+DistB*I4859,DistA+(DistB-DistA)*NORMSDIST(I4859)),"")</f>
        <v/>
      </c>
      <c r="K4859">
        <f>IF(B4859,INDEX(MineScale,C4859),"")</f>
        <v/>
      </c>
      <c r="L4859">
        <f>IF(B4859,INDEX(Dow,1,WEEKDAY(E4859,2)),"")</f>
        <v/>
      </c>
      <c r="M4859">
        <f>IF(B4859,(1+Trend)^D4859,"")</f>
        <v/>
      </c>
      <c r="N4859">
        <f>IF(B4859,EXP(SUMPRODUCT(LN(1+(EvEff-1)*INDEX(Affected,0,C4859)*EXP(-((E4859-EvCenter)^2)/(2*EvSigma^2))))),"")</f>
        <v/>
      </c>
      <c r="O4859">
        <f>IF(B4859,ROUND(MAX(0,J4859*K4859*L4859*M4859*N4859),2),"")</f>
        <v/>
      </c>
    </row>
    <row r="4860">
      <c r="A4860" t="n">
        <v>4859</v>
      </c>
      <c r="B4860">
        <f>A4860&lt;=MineCount*Days</f>
        <v/>
      </c>
      <c r="C4860">
        <f>IF(B4860,INT((A4860-1)/Days)+1,"")</f>
        <v/>
      </c>
      <c r="D4860">
        <f>IF(B4860,MOD(A4860-1,Days),"")</f>
        <v/>
      </c>
      <c r="E4860" s="16">
        <f>IF(B4860,StartDate+D4860,"")</f>
        <v/>
      </c>
      <c r="F4860">
        <f>IF(B4860,MAX(MOD(SIN(Seed*0.1373+C4860*12.9898+D4860*78.233)*43758.5453,1),1E-9),"")</f>
        <v/>
      </c>
      <c r="G4860">
        <f>IF(B4860,MOD(SIN(Seed*0.5917+C4860*39.3468+D4860*11.135)*24634.6345,1),"")</f>
        <v/>
      </c>
      <c r="H4860">
        <f>IF(B4860,SQRT(-2*LN(F4860))*COS(2*PI()*G4860),"")</f>
        <v/>
      </c>
      <c r="I4860">
        <f>IF(B4860,IF(D4860=0,H4860,Rho*I4859+SQRT(1-Rho^2)*H4860),"")</f>
        <v/>
      </c>
      <c r="J4860">
        <f>IF(B4860,IF(Dist="Normal",DistA+DistB*I4860,DistA+(DistB-DistA)*NORMSDIST(I4860)),"")</f>
        <v/>
      </c>
      <c r="K4860">
        <f>IF(B4860,INDEX(MineScale,C4860),"")</f>
        <v/>
      </c>
      <c r="L4860">
        <f>IF(B4860,INDEX(Dow,1,WEEKDAY(E4860,2)),"")</f>
        <v/>
      </c>
      <c r="M4860">
        <f>IF(B4860,(1+Trend)^D4860,"")</f>
        <v/>
      </c>
      <c r="N4860">
        <f>IF(B4860,EXP(SUMPRODUCT(LN(1+(EvEff-1)*INDEX(Affected,0,C4860)*EXP(-((E4860-EvCenter)^2)/(2*EvSigma^2))))),"")</f>
        <v/>
      </c>
      <c r="O4860">
        <f>IF(B4860,ROUND(MAX(0,J4860*K4860*L4860*M4860*N4860),2),"")</f>
        <v/>
      </c>
    </row>
    <row r="4861">
      <c r="A4861" t="n">
        <v>4860</v>
      </c>
      <c r="B4861">
        <f>A4861&lt;=MineCount*Days</f>
        <v/>
      </c>
      <c r="C4861">
        <f>IF(B4861,INT((A4861-1)/Days)+1,"")</f>
        <v/>
      </c>
      <c r="D4861">
        <f>IF(B4861,MOD(A4861-1,Days),"")</f>
        <v/>
      </c>
      <c r="E4861" s="16">
        <f>IF(B4861,StartDate+D4861,"")</f>
        <v/>
      </c>
      <c r="F4861">
        <f>IF(B4861,MAX(MOD(SIN(Seed*0.1373+C4861*12.9898+D4861*78.233)*43758.5453,1),1E-9),"")</f>
        <v/>
      </c>
      <c r="G4861">
        <f>IF(B4861,MOD(SIN(Seed*0.5917+C4861*39.3468+D4861*11.135)*24634.6345,1),"")</f>
        <v/>
      </c>
      <c r="H4861">
        <f>IF(B4861,SQRT(-2*LN(F4861))*COS(2*PI()*G4861),"")</f>
        <v/>
      </c>
      <c r="I4861">
        <f>IF(B4861,IF(D4861=0,H4861,Rho*I4860+SQRT(1-Rho^2)*H4861),"")</f>
        <v/>
      </c>
      <c r="J4861">
        <f>IF(B4861,IF(Dist="Normal",DistA+DistB*I4861,DistA+(DistB-DistA)*NORMSDIST(I4861)),"")</f>
        <v/>
      </c>
      <c r="K4861">
        <f>IF(B4861,INDEX(MineScale,C4861),"")</f>
        <v/>
      </c>
      <c r="L4861">
        <f>IF(B4861,INDEX(Dow,1,WEEKDAY(E4861,2)),"")</f>
        <v/>
      </c>
      <c r="M4861">
        <f>IF(B4861,(1+Trend)^D4861,"")</f>
        <v/>
      </c>
      <c r="N4861">
        <f>IF(B4861,EXP(SUMPRODUCT(LN(1+(EvEff-1)*INDEX(Affected,0,C4861)*EXP(-((E4861-EvCenter)^2)/(2*EvSigma^2))))),"")</f>
        <v/>
      </c>
      <c r="O4861">
        <f>IF(B4861,ROUND(MAX(0,J4861*K4861*L4861*M4861*N4861),2),"")</f>
        <v/>
      </c>
    </row>
    <row r="4862">
      <c r="A4862" t="n">
        <v>4861</v>
      </c>
      <c r="B4862">
        <f>A4862&lt;=MineCount*Days</f>
        <v/>
      </c>
      <c r="C4862">
        <f>IF(B4862,INT((A4862-1)/Days)+1,"")</f>
        <v/>
      </c>
      <c r="D4862">
        <f>IF(B4862,MOD(A4862-1,Days),"")</f>
        <v/>
      </c>
      <c r="E4862" s="16">
        <f>IF(B4862,StartDate+D4862,"")</f>
        <v/>
      </c>
      <c r="F4862">
        <f>IF(B4862,MAX(MOD(SIN(Seed*0.1373+C4862*12.9898+D4862*78.233)*43758.5453,1),1E-9),"")</f>
        <v/>
      </c>
      <c r="G4862">
        <f>IF(B4862,MOD(SIN(Seed*0.5917+C4862*39.3468+D4862*11.135)*24634.6345,1),"")</f>
        <v/>
      </c>
      <c r="H4862">
        <f>IF(B4862,SQRT(-2*LN(F4862))*COS(2*PI()*G4862),"")</f>
        <v/>
      </c>
      <c r="I4862">
        <f>IF(B4862,IF(D4862=0,H4862,Rho*I4861+SQRT(1-Rho^2)*H4862),"")</f>
        <v/>
      </c>
      <c r="J4862">
        <f>IF(B4862,IF(Dist="Normal",DistA+DistB*I4862,DistA+(DistB-DistA)*NORMSDIST(I4862)),"")</f>
        <v/>
      </c>
      <c r="K4862">
        <f>IF(B4862,INDEX(MineScale,C4862),"")</f>
        <v/>
      </c>
      <c r="L4862">
        <f>IF(B4862,INDEX(Dow,1,WEEKDAY(E4862,2)),"")</f>
        <v/>
      </c>
      <c r="M4862">
        <f>IF(B4862,(1+Trend)^D4862,"")</f>
        <v/>
      </c>
      <c r="N4862">
        <f>IF(B4862,EXP(SUMPRODUCT(LN(1+(EvEff-1)*INDEX(Affected,0,C4862)*EXP(-((E4862-EvCenter)^2)/(2*EvSigma^2))))),"")</f>
        <v/>
      </c>
      <c r="O4862">
        <f>IF(B4862,ROUND(MAX(0,J4862*K4862*L4862*M4862*N4862),2),"")</f>
        <v/>
      </c>
    </row>
    <row r="4863">
      <c r="A4863" t="n">
        <v>4862</v>
      </c>
      <c r="B4863">
        <f>A4863&lt;=MineCount*Days</f>
        <v/>
      </c>
      <c r="C4863">
        <f>IF(B4863,INT((A4863-1)/Days)+1,"")</f>
        <v/>
      </c>
      <c r="D4863">
        <f>IF(B4863,MOD(A4863-1,Days),"")</f>
        <v/>
      </c>
      <c r="E4863" s="16">
        <f>IF(B4863,StartDate+D4863,"")</f>
        <v/>
      </c>
      <c r="F4863">
        <f>IF(B4863,MAX(MOD(SIN(Seed*0.1373+C4863*12.9898+D4863*78.233)*43758.5453,1),1E-9),"")</f>
        <v/>
      </c>
      <c r="G4863">
        <f>IF(B4863,MOD(SIN(Seed*0.5917+C4863*39.3468+D4863*11.135)*24634.6345,1),"")</f>
        <v/>
      </c>
      <c r="H4863">
        <f>IF(B4863,SQRT(-2*LN(F4863))*COS(2*PI()*G4863),"")</f>
        <v/>
      </c>
      <c r="I4863">
        <f>IF(B4863,IF(D4863=0,H4863,Rho*I4862+SQRT(1-Rho^2)*H4863),"")</f>
        <v/>
      </c>
      <c r="J4863">
        <f>IF(B4863,IF(Dist="Normal",DistA+DistB*I4863,DistA+(DistB-DistA)*NORMSDIST(I4863)),"")</f>
        <v/>
      </c>
      <c r="K4863">
        <f>IF(B4863,INDEX(MineScale,C4863),"")</f>
        <v/>
      </c>
      <c r="L4863">
        <f>IF(B4863,INDEX(Dow,1,WEEKDAY(E4863,2)),"")</f>
        <v/>
      </c>
      <c r="M4863">
        <f>IF(B4863,(1+Trend)^D4863,"")</f>
        <v/>
      </c>
      <c r="N4863">
        <f>IF(B4863,EXP(SUMPRODUCT(LN(1+(EvEff-1)*INDEX(Affected,0,C4863)*EXP(-((E4863-EvCenter)^2)/(2*EvSigma^2))))),"")</f>
        <v/>
      </c>
      <c r="O4863">
        <f>IF(B4863,ROUND(MAX(0,J4863*K4863*L4863*M4863*N4863),2),"")</f>
        <v/>
      </c>
    </row>
    <row r="4864">
      <c r="A4864" t="n">
        <v>4863</v>
      </c>
      <c r="B4864">
        <f>A4864&lt;=MineCount*Days</f>
        <v/>
      </c>
      <c r="C4864">
        <f>IF(B4864,INT((A4864-1)/Days)+1,"")</f>
        <v/>
      </c>
      <c r="D4864">
        <f>IF(B4864,MOD(A4864-1,Days),"")</f>
        <v/>
      </c>
      <c r="E4864" s="16">
        <f>IF(B4864,StartDate+D4864,"")</f>
        <v/>
      </c>
      <c r="F4864">
        <f>IF(B4864,MAX(MOD(SIN(Seed*0.1373+C4864*12.9898+D4864*78.233)*43758.5453,1),1E-9),"")</f>
        <v/>
      </c>
      <c r="G4864">
        <f>IF(B4864,MOD(SIN(Seed*0.5917+C4864*39.3468+D4864*11.135)*24634.6345,1),"")</f>
        <v/>
      </c>
      <c r="H4864">
        <f>IF(B4864,SQRT(-2*LN(F4864))*COS(2*PI()*G4864),"")</f>
        <v/>
      </c>
      <c r="I4864">
        <f>IF(B4864,IF(D4864=0,H4864,Rho*I4863+SQRT(1-Rho^2)*H4864),"")</f>
        <v/>
      </c>
      <c r="J4864">
        <f>IF(B4864,IF(Dist="Normal",DistA+DistB*I4864,DistA+(DistB-DistA)*NORMSDIST(I4864)),"")</f>
        <v/>
      </c>
      <c r="K4864">
        <f>IF(B4864,INDEX(MineScale,C4864),"")</f>
        <v/>
      </c>
      <c r="L4864">
        <f>IF(B4864,INDEX(Dow,1,WEEKDAY(E4864,2)),"")</f>
        <v/>
      </c>
      <c r="M4864">
        <f>IF(B4864,(1+Trend)^D4864,"")</f>
        <v/>
      </c>
      <c r="N4864">
        <f>IF(B4864,EXP(SUMPRODUCT(LN(1+(EvEff-1)*INDEX(Affected,0,C4864)*EXP(-((E4864-EvCenter)^2)/(2*EvSigma^2))))),"")</f>
        <v/>
      </c>
      <c r="O4864">
        <f>IF(B4864,ROUND(MAX(0,J4864*K4864*L4864*M4864*N4864),2),"")</f>
        <v/>
      </c>
    </row>
    <row r="4865">
      <c r="A4865" t="n">
        <v>4864</v>
      </c>
      <c r="B4865">
        <f>A4865&lt;=MineCount*Days</f>
        <v/>
      </c>
      <c r="C4865">
        <f>IF(B4865,INT((A4865-1)/Days)+1,"")</f>
        <v/>
      </c>
      <c r="D4865">
        <f>IF(B4865,MOD(A4865-1,Days),"")</f>
        <v/>
      </c>
      <c r="E4865" s="16">
        <f>IF(B4865,StartDate+D4865,"")</f>
        <v/>
      </c>
      <c r="F4865">
        <f>IF(B4865,MAX(MOD(SIN(Seed*0.1373+C4865*12.9898+D4865*78.233)*43758.5453,1),1E-9),"")</f>
        <v/>
      </c>
      <c r="G4865">
        <f>IF(B4865,MOD(SIN(Seed*0.5917+C4865*39.3468+D4865*11.135)*24634.6345,1),"")</f>
        <v/>
      </c>
      <c r="H4865">
        <f>IF(B4865,SQRT(-2*LN(F4865))*COS(2*PI()*G4865),"")</f>
        <v/>
      </c>
      <c r="I4865">
        <f>IF(B4865,IF(D4865=0,H4865,Rho*I4864+SQRT(1-Rho^2)*H4865),"")</f>
        <v/>
      </c>
      <c r="J4865">
        <f>IF(B4865,IF(Dist="Normal",DistA+DistB*I4865,DistA+(DistB-DistA)*NORMSDIST(I4865)),"")</f>
        <v/>
      </c>
      <c r="K4865">
        <f>IF(B4865,INDEX(MineScale,C4865),"")</f>
        <v/>
      </c>
      <c r="L4865">
        <f>IF(B4865,INDEX(Dow,1,WEEKDAY(E4865,2)),"")</f>
        <v/>
      </c>
      <c r="M4865">
        <f>IF(B4865,(1+Trend)^D4865,"")</f>
        <v/>
      </c>
      <c r="N4865">
        <f>IF(B4865,EXP(SUMPRODUCT(LN(1+(EvEff-1)*INDEX(Affected,0,C4865)*EXP(-((E4865-EvCenter)^2)/(2*EvSigma^2))))),"")</f>
        <v/>
      </c>
      <c r="O4865">
        <f>IF(B4865,ROUND(MAX(0,J4865*K4865*L4865*M4865*N4865),2),"")</f>
        <v/>
      </c>
    </row>
    <row r="4866">
      <c r="A4866" t="n">
        <v>4865</v>
      </c>
      <c r="B4866">
        <f>A4866&lt;=MineCount*Days</f>
        <v/>
      </c>
      <c r="C4866">
        <f>IF(B4866,INT((A4866-1)/Days)+1,"")</f>
        <v/>
      </c>
      <c r="D4866">
        <f>IF(B4866,MOD(A4866-1,Days),"")</f>
        <v/>
      </c>
      <c r="E4866" s="16">
        <f>IF(B4866,StartDate+D4866,"")</f>
        <v/>
      </c>
      <c r="F4866">
        <f>IF(B4866,MAX(MOD(SIN(Seed*0.1373+C4866*12.9898+D4866*78.233)*43758.5453,1),1E-9),"")</f>
        <v/>
      </c>
      <c r="G4866">
        <f>IF(B4866,MOD(SIN(Seed*0.5917+C4866*39.3468+D4866*11.135)*24634.6345,1),"")</f>
        <v/>
      </c>
      <c r="H4866">
        <f>IF(B4866,SQRT(-2*LN(F4866))*COS(2*PI()*G4866),"")</f>
        <v/>
      </c>
      <c r="I4866">
        <f>IF(B4866,IF(D4866=0,H4866,Rho*I4865+SQRT(1-Rho^2)*H4866),"")</f>
        <v/>
      </c>
      <c r="J4866">
        <f>IF(B4866,IF(Dist="Normal",DistA+DistB*I4866,DistA+(DistB-DistA)*NORMSDIST(I4866)),"")</f>
        <v/>
      </c>
      <c r="K4866">
        <f>IF(B4866,INDEX(MineScale,C4866),"")</f>
        <v/>
      </c>
      <c r="L4866">
        <f>IF(B4866,INDEX(Dow,1,WEEKDAY(E4866,2)),"")</f>
        <v/>
      </c>
      <c r="M4866">
        <f>IF(B4866,(1+Trend)^D4866,"")</f>
        <v/>
      </c>
      <c r="N4866">
        <f>IF(B4866,EXP(SUMPRODUCT(LN(1+(EvEff-1)*INDEX(Affected,0,C4866)*EXP(-((E4866-EvCenter)^2)/(2*EvSigma^2))))),"")</f>
        <v/>
      </c>
      <c r="O4866">
        <f>IF(B4866,ROUND(MAX(0,J4866*K4866*L4866*M4866*N4866),2),"")</f>
        <v/>
      </c>
    </row>
    <row r="4867">
      <c r="A4867" t="n">
        <v>4866</v>
      </c>
      <c r="B4867">
        <f>A4867&lt;=MineCount*Days</f>
        <v/>
      </c>
      <c r="C4867">
        <f>IF(B4867,INT((A4867-1)/Days)+1,"")</f>
        <v/>
      </c>
      <c r="D4867">
        <f>IF(B4867,MOD(A4867-1,Days),"")</f>
        <v/>
      </c>
      <c r="E4867" s="16">
        <f>IF(B4867,StartDate+D4867,"")</f>
        <v/>
      </c>
      <c r="F4867">
        <f>IF(B4867,MAX(MOD(SIN(Seed*0.1373+C4867*12.9898+D4867*78.233)*43758.5453,1),1E-9),"")</f>
        <v/>
      </c>
      <c r="G4867">
        <f>IF(B4867,MOD(SIN(Seed*0.5917+C4867*39.3468+D4867*11.135)*24634.6345,1),"")</f>
        <v/>
      </c>
      <c r="H4867">
        <f>IF(B4867,SQRT(-2*LN(F4867))*COS(2*PI()*G4867),"")</f>
        <v/>
      </c>
      <c r="I4867">
        <f>IF(B4867,IF(D4867=0,H4867,Rho*I4866+SQRT(1-Rho^2)*H4867),"")</f>
        <v/>
      </c>
      <c r="J4867">
        <f>IF(B4867,IF(Dist="Normal",DistA+DistB*I4867,DistA+(DistB-DistA)*NORMSDIST(I4867)),"")</f>
        <v/>
      </c>
      <c r="K4867">
        <f>IF(B4867,INDEX(MineScale,C4867),"")</f>
        <v/>
      </c>
      <c r="L4867">
        <f>IF(B4867,INDEX(Dow,1,WEEKDAY(E4867,2)),"")</f>
        <v/>
      </c>
      <c r="M4867">
        <f>IF(B4867,(1+Trend)^D4867,"")</f>
        <v/>
      </c>
      <c r="N4867">
        <f>IF(B4867,EXP(SUMPRODUCT(LN(1+(EvEff-1)*INDEX(Affected,0,C4867)*EXP(-((E4867-EvCenter)^2)/(2*EvSigma^2))))),"")</f>
        <v/>
      </c>
      <c r="O4867">
        <f>IF(B4867,ROUND(MAX(0,J4867*K4867*L4867*M4867*N4867),2),"")</f>
        <v/>
      </c>
    </row>
    <row r="4868">
      <c r="A4868" t="n">
        <v>4867</v>
      </c>
      <c r="B4868">
        <f>A4868&lt;=MineCount*Days</f>
        <v/>
      </c>
      <c r="C4868">
        <f>IF(B4868,INT((A4868-1)/Days)+1,"")</f>
        <v/>
      </c>
      <c r="D4868">
        <f>IF(B4868,MOD(A4868-1,Days),"")</f>
        <v/>
      </c>
      <c r="E4868" s="16">
        <f>IF(B4868,StartDate+D4868,"")</f>
        <v/>
      </c>
      <c r="F4868">
        <f>IF(B4868,MAX(MOD(SIN(Seed*0.1373+C4868*12.9898+D4868*78.233)*43758.5453,1),1E-9),"")</f>
        <v/>
      </c>
      <c r="G4868">
        <f>IF(B4868,MOD(SIN(Seed*0.5917+C4868*39.3468+D4868*11.135)*24634.6345,1),"")</f>
        <v/>
      </c>
      <c r="H4868">
        <f>IF(B4868,SQRT(-2*LN(F4868))*COS(2*PI()*G4868),"")</f>
        <v/>
      </c>
      <c r="I4868">
        <f>IF(B4868,IF(D4868=0,H4868,Rho*I4867+SQRT(1-Rho^2)*H4868),"")</f>
        <v/>
      </c>
      <c r="J4868">
        <f>IF(B4868,IF(Dist="Normal",DistA+DistB*I4868,DistA+(DistB-DistA)*NORMSDIST(I4868)),"")</f>
        <v/>
      </c>
      <c r="K4868">
        <f>IF(B4868,INDEX(MineScale,C4868),"")</f>
        <v/>
      </c>
      <c r="L4868">
        <f>IF(B4868,INDEX(Dow,1,WEEKDAY(E4868,2)),"")</f>
        <v/>
      </c>
      <c r="M4868">
        <f>IF(B4868,(1+Trend)^D4868,"")</f>
        <v/>
      </c>
      <c r="N4868">
        <f>IF(B4868,EXP(SUMPRODUCT(LN(1+(EvEff-1)*INDEX(Affected,0,C4868)*EXP(-((E4868-EvCenter)^2)/(2*EvSigma^2))))),"")</f>
        <v/>
      </c>
      <c r="O4868">
        <f>IF(B4868,ROUND(MAX(0,J4868*K4868*L4868*M4868*N4868),2),"")</f>
        <v/>
      </c>
    </row>
    <row r="4869">
      <c r="A4869" t="n">
        <v>4868</v>
      </c>
      <c r="B4869">
        <f>A4869&lt;=MineCount*Days</f>
        <v/>
      </c>
      <c r="C4869">
        <f>IF(B4869,INT((A4869-1)/Days)+1,"")</f>
        <v/>
      </c>
      <c r="D4869">
        <f>IF(B4869,MOD(A4869-1,Days),"")</f>
        <v/>
      </c>
      <c r="E4869" s="16">
        <f>IF(B4869,StartDate+D4869,"")</f>
        <v/>
      </c>
      <c r="F4869">
        <f>IF(B4869,MAX(MOD(SIN(Seed*0.1373+C4869*12.9898+D4869*78.233)*43758.5453,1),1E-9),"")</f>
        <v/>
      </c>
      <c r="G4869">
        <f>IF(B4869,MOD(SIN(Seed*0.5917+C4869*39.3468+D4869*11.135)*24634.6345,1),"")</f>
        <v/>
      </c>
      <c r="H4869">
        <f>IF(B4869,SQRT(-2*LN(F4869))*COS(2*PI()*G4869),"")</f>
        <v/>
      </c>
      <c r="I4869">
        <f>IF(B4869,IF(D4869=0,H4869,Rho*I4868+SQRT(1-Rho^2)*H4869),"")</f>
        <v/>
      </c>
      <c r="J4869">
        <f>IF(B4869,IF(Dist="Normal",DistA+DistB*I4869,DistA+(DistB-DistA)*NORMSDIST(I4869)),"")</f>
        <v/>
      </c>
      <c r="K4869">
        <f>IF(B4869,INDEX(MineScale,C4869),"")</f>
        <v/>
      </c>
      <c r="L4869">
        <f>IF(B4869,INDEX(Dow,1,WEEKDAY(E4869,2)),"")</f>
        <v/>
      </c>
      <c r="M4869">
        <f>IF(B4869,(1+Trend)^D4869,"")</f>
        <v/>
      </c>
      <c r="N4869">
        <f>IF(B4869,EXP(SUMPRODUCT(LN(1+(EvEff-1)*INDEX(Affected,0,C4869)*EXP(-((E4869-EvCenter)^2)/(2*EvSigma^2))))),"")</f>
        <v/>
      </c>
      <c r="O4869">
        <f>IF(B4869,ROUND(MAX(0,J4869*K4869*L4869*M4869*N4869),2),"")</f>
        <v/>
      </c>
    </row>
    <row r="4870">
      <c r="A4870" t="n">
        <v>4869</v>
      </c>
      <c r="B4870">
        <f>A4870&lt;=MineCount*Days</f>
        <v/>
      </c>
      <c r="C4870">
        <f>IF(B4870,INT((A4870-1)/Days)+1,"")</f>
        <v/>
      </c>
      <c r="D4870">
        <f>IF(B4870,MOD(A4870-1,Days),"")</f>
        <v/>
      </c>
      <c r="E4870" s="16">
        <f>IF(B4870,StartDate+D4870,"")</f>
        <v/>
      </c>
      <c r="F4870">
        <f>IF(B4870,MAX(MOD(SIN(Seed*0.1373+C4870*12.9898+D4870*78.233)*43758.5453,1),1E-9),"")</f>
        <v/>
      </c>
      <c r="G4870">
        <f>IF(B4870,MOD(SIN(Seed*0.5917+C4870*39.3468+D4870*11.135)*24634.6345,1),"")</f>
        <v/>
      </c>
      <c r="H4870">
        <f>IF(B4870,SQRT(-2*LN(F4870))*COS(2*PI()*G4870),"")</f>
        <v/>
      </c>
      <c r="I4870">
        <f>IF(B4870,IF(D4870=0,H4870,Rho*I4869+SQRT(1-Rho^2)*H4870),"")</f>
        <v/>
      </c>
      <c r="J4870">
        <f>IF(B4870,IF(Dist="Normal",DistA+DistB*I4870,DistA+(DistB-DistA)*NORMSDIST(I4870)),"")</f>
        <v/>
      </c>
      <c r="K4870">
        <f>IF(B4870,INDEX(MineScale,C4870),"")</f>
        <v/>
      </c>
      <c r="L4870">
        <f>IF(B4870,INDEX(Dow,1,WEEKDAY(E4870,2)),"")</f>
        <v/>
      </c>
      <c r="M4870">
        <f>IF(B4870,(1+Trend)^D4870,"")</f>
        <v/>
      </c>
      <c r="N4870">
        <f>IF(B4870,EXP(SUMPRODUCT(LN(1+(EvEff-1)*INDEX(Affected,0,C4870)*EXP(-((E4870-EvCenter)^2)/(2*EvSigma^2))))),"")</f>
        <v/>
      </c>
      <c r="O4870">
        <f>IF(B4870,ROUND(MAX(0,J4870*K4870*L4870*M4870*N4870),2),"")</f>
        <v/>
      </c>
    </row>
    <row r="4871">
      <c r="A4871" t="n">
        <v>4870</v>
      </c>
      <c r="B4871">
        <f>A4871&lt;=MineCount*Days</f>
        <v/>
      </c>
      <c r="C4871">
        <f>IF(B4871,INT((A4871-1)/Days)+1,"")</f>
        <v/>
      </c>
      <c r="D4871">
        <f>IF(B4871,MOD(A4871-1,Days),"")</f>
        <v/>
      </c>
      <c r="E4871" s="16">
        <f>IF(B4871,StartDate+D4871,"")</f>
        <v/>
      </c>
      <c r="F4871">
        <f>IF(B4871,MAX(MOD(SIN(Seed*0.1373+C4871*12.9898+D4871*78.233)*43758.5453,1),1E-9),"")</f>
        <v/>
      </c>
      <c r="G4871">
        <f>IF(B4871,MOD(SIN(Seed*0.5917+C4871*39.3468+D4871*11.135)*24634.6345,1),"")</f>
        <v/>
      </c>
      <c r="H4871">
        <f>IF(B4871,SQRT(-2*LN(F4871))*COS(2*PI()*G4871),"")</f>
        <v/>
      </c>
      <c r="I4871">
        <f>IF(B4871,IF(D4871=0,H4871,Rho*I4870+SQRT(1-Rho^2)*H4871),"")</f>
        <v/>
      </c>
      <c r="J4871">
        <f>IF(B4871,IF(Dist="Normal",DistA+DistB*I4871,DistA+(DistB-DistA)*NORMSDIST(I4871)),"")</f>
        <v/>
      </c>
      <c r="K4871">
        <f>IF(B4871,INDEX(MineScale,C4871),"")</f>
        <v/>
      </c>
      <c r="L4871">
        <f>IF(B4871,INDEX(Dow,1,WEEKDAY(E4871,2)),"")</f>
        <v/>
      </c>
      <c r="M4871">
        <f>IF(B4871,(1+Trend)^D4871,"")</f>
        <v/>
      </c>
      <c r="N4871">
        <f>IF(B4871,EXP(SUMPRODUCT(LN(1+(EvEff-1)*INDEX(Affected,0,C4871)*EXP(-((E4871-EvCenter)^2)/(2*EvSigma^2))))),"")</f>
        <v/>
      </c>
      <c r="O4871">
        <f>IF(B4871,ROUND(MAX(0,J4871*K4871*L4871*M4871*N4871),2),"")</f>
        <v/>
      </c>
    </row>
    <row r="4872">
      <c r="A4872" t="n">
        <v>4871</v>
      </c>
      <c r="B4872">
        <f>A4872&lt;=MineCount*Days</f>
        <v/>
      </c>
      <c r="C4872">
        <f>IF(B4872,INT((A4872-1)/Days)+1,"")</f>
        <v/>
      </c>
      <c r="D4872">
        <f>IF(B4872,MOD(A4872-1,Days),"")</f>
        <v/>
      </c>
      <c r="E4872" s="16">
        <f>IF(B4872,StartDate+D4872,"")</f>
        <v/>
      </c>
      <c r="F4872">
        <f>IF(B4872,MAX(MOD(SIN(Seed*0.1373+C4872*12.9898+D4872*78.233)*43758.5453,1),1E-9),"")</f>
        <v/>
      </c>
      <c r="G4872">
        <f>IF(B4872,MOD(SIN(Seed*0.5917+C4872*39.3468+D4872*11.135)*24634.6345,1),"")</f>
        <v/>
      </c>
      <c r="H4872">
        <f>IF(B4872,SQRT(-2*LN(F4872))*COS(2*PI()*G4872),"")</f>
        <v/>
      </c>
      <c r="I4872">
        <f>IF(B4872,IF(D4872=0,H4872,Rho*I4871+SQRT(1-Rho^2)*H4872),"")</f>
        <v/>
      </c>
      <c r="J4872">
        <f>IF(B4872,IF(Dist="Normal",DistA+DistB*I4872,DistA+(DistB-DistA)*NORMSDIST(I4872)),"")</f>
        <v/>
      </c>
      <c r="K4872">
        <f>IF(B4872,INDEX(MineScale,C4872),"")</f>
        <v/>
      </c>
      <c r="L4872">
        <f>IF(B4872,INDEX(Dow,1,WEEKDAY(E4872,2)),"")</f>
        <v/>
      </c>
      <c r="M4872">
        <f>IF(B4872,(1+Trend)^D4872,"")</f>
        <v/>
      </c>
      <c r="N4872">
        <f>IF(B4872,EXP(SUMPRODUCT(LN(1+(EvEff-1)*INDEX(Affected,0,C4872)*EXP(-((E4872-EvCenter)^2)/(2*EvSigma^2))))),"")</f>
        <v/>
      </c>
      <c r="O4872">
        <f>IF(B4872,ROUND(MAX(0,J4872*K4872*L4872*M4872*N4872),2),"")</f>
        <v/>
      </c>
    </row>
    <row r="4873">
      <c r="A4873" t="n">
        <v>4872</v>
      </c>
      <c r="B4873">
        <f>A4873&lt;=MineCount*Days</f>
        <v/>
      </c>
      <c r="C4873">
        <f>IF(B4873,INT((A4873-1)/Days)+1,"")</f>
        <v/>
      </c>
      <c r="D4873">
        <f>IF(B4873,MOD(A4873-1,Days),"")</f>
        <v/>
      </c>
      <c r="E4873" s="16">
        <f>IF(B4873,StartDate+D4873,"")</f>
        <v/>
      </c>
      <c r="F4873">
        <f>IF(B4873,MAX(MOD(SIN(Seed*0.1373+C4873*12.9898+D4873*78.233)*43758.5453,1),1E-9),"")</f>
        <v/>
      </c>
      <c r="G4873">
        <f>IF(B4873,MOD(SIN(Seed*0.5917+C4873*39.3468+D4873*11.135)*24634.6345,1),"")</f>
        <v/>
      </c>
      <c r="H4873">
        <f>IF(B4873,SQRT(-2*LN(F4873))*COS(2*PI()*G4873),"")</f>
        <v/>
      </c>
      <c r="I4873">
        <f>IF(B4873,IF(D4873=0,H4873,Rho*I4872+SQRT(1-Rho^2)*H4873),"")</f>
        <v/>
      </c>
      <c r="J4873">
        <f>IF(B4873,IF(Dist="Normal",DistA+DistB*I4873,DistA+(DistB-DistA)*NORMSDIST(I4873)),"")</f>
        <v/>
      </c>
      <c r="K4873">
        <f>IF(B4873,INDEX(MineScale,C4873),"")</f>
        <v/>
      </c>
      <c r="L4873">
        <f>IF(B4873,INDEX(Dow,1,WEEKDAY(E4873,2)),"")</f>
        <v/>
      </c>
      <c r="M4873">
        <f>IF(B4873,(1+Trend)^D4873,"")</f>
        <v/>
      </c>
      <c r="N4873">
        <f>IF(B4873,EXP(SUMPRODUCT(LN(1+(EvEff-1)*INDEX(Affected,0,C4873)*EXP(-((E4873-EvCenter)^2)/(2*EvSigma^2))))),"")</f>
        <v/>
      </c>
      <c r="O4873">
        <f>IF(B4873,ROUND(MAX(0,J4873*K4873*L4873*M4873*N4873),2),"")</f>
        <v/>
      </c>
    </row>
    <row r="4874">
      <c r="A4874" t="n">
        <v>4873</v>
      </c>
      <c r="B4874">
        <f>A4874&lt;=MineCount*Days</f>
        <v/>
      </c>
      <c r="C4874">
        <f>IF(B4874,INT((A4874-1)/Days)+1,"")</f>
        <v/>
      </c>
      <c r="D4874">
        <f>IF(B4874,MOD(A4874-1,Days),"")</f>
        <v/>
      </c>
      <c r="E4874" s="16">
        <f>IF(B4874,StartDate+D4874,"")</f>
        <v/>
      </c>
      <c r="F4874">
        <f>IF(B4874,MAX(MOD(SIN(Seed*0.1373+C4874*12.9898+D4874*78.233)*43758.5453,1),1E-9),"")</f>
        <v/>
      </c>
      <c r="G4874">
        <f>IF(B4874,MOD(SIN(Seed*0.5917+C4874*39.3468+D4874*11.135)*24634.6345,1),"")</f>
        <v/>
      </c>
      <c r="H4874">
        <f>IF(B4874,SQRT(-2*LN(F4874))*COS(2*PI()*G4874),"")</f>
        <v/>
      </c>
      <c r="I4874">
        <f>IF(B4874,IF(D4874=0,H4874,Rho*I4873+SQRT(1-Rho^2)*H4874),"")</f>
        <v/>
      </c>
      <c r="J4874">
        <f>IF(B4874,IF(Dist="Normal",DistA+DistB*I4874,DistA+(DistB-DistA)*NORMSDIST(I4874)),"")</f>
        <v/>
      </c>
      <c r="K4874">
        <f>IF(B4874,INDEX(MineScale,C4874),"")</f>
        <v/>
      </c>
      <c r="L4874">
        <f>IF(B4874,INDEX(Dow,1,WEEKDAY(E4874,2)),"")</f>
        <v/>
      </c>
      <c r="M4874">
        <f>IF(B4874,(1+Trend)^D4874,"")</f>
        <v/>
      </c>
      <c r="N4874">
        <f>IF(B4874,EXP(SUMPRODUCT(LN(1+(EvEff-1)*INDEX(Affected,0,C4874)*EXP(-((E4874-EvCenter)^2)/(2*EvSigma^2))))),"")</f>
        <v/>
      </c>
      <c r="O4874">
        <f>IF(B4874,ROUND(MAX(0,J4874*K4874*L4874*M4874*N4874),2),"")</f>
        <v/>
      </c>
    </row>
    <row r="4875">
      <c r="A4875" t="n">
        <v>4874</v>
      </c>
      <c r="B4875">
        <f>A4875&lt;=MineCount*Days</f>
        <v/>
      </c>
      <c r="C4875">
        <f>IF(B4875,INT((A4875-1)/Days)+1,"")</f>
        <v/>
      </c>
      <c r="D4875">
        <f>IF(B4875,MOD(A4875-1,Days),"")</f>
        <v/>
      </c>
      <c r="E4875" s="16">
        <f>IF(B4875,StartDate+D4875,"")</f>
        <v/>
      </c>
      <c r="F4875">
        <f>IF(B4875,MAX(MOD(SIN(Seed*0.1373+C4875*12.9898+D4875*78.233)*43758.5453,1),1E-9),"")</f>
        <v/>
      </c>
      <c r="G4875">
        <f>IF(B4875,MOD(SIN(Seed*0.5917+C4875*39.3468+D4875*11.135)*24634.6345,1),"")</f>
        <v/>
      </c>
      <c r="H4875">
        <f>IF(B4875,SQRT(-2*LN(F4875))*COS(2*PI()*G4875),"")</f>
        <v/>
      </c>
      <c r="I4875">
        <f>IF(B4875,IF(D4875=0,H4875,Rho*I4874+SQRT(1-Rho^2)*H4875),"")</f>
        <v/>
      </c>
      <c r="J4875">
        <f>IF(B4875,IF(Dist="Normal",DistA+DistB*I4875,DistA+(DistB-DistA)*NORMSDIST(I4875)),"")</f>
        <v/>
      </c>
      <c r="K4875">
        <f>IF(B4875,INDEX(MineScale,C4875),"")</f>
        <v/>
      </c>
      <c r="L4875">
        <f>IF(B4875,INDEX(Dow,1,WEEKDAY(E4875,2)),"")</f>
        <v/>
      </c>
      <c r="M4875">
        <f>IF(B4875,(1+Trend)^D4875,"")</f>
        <v/>
      </c>
      <c r="N4875">
        <f>IF(B4875,EXP(SUMPRODUCT(LN(1+(EvEff-1)*INDEX(Affected,0,C4875)*EXP(-((E4875-EvCenter)^2)/(2*EvSigma^2))))),"")</f>
        <v/>
      </c>
      <c r="O4875">
        <f>IF(B4875,ROUND(MAX(0,J4875*K4875*L4875*M4875*N4875),2),"")</f>
        <v/>
      </c>
    </row>
    <row r="4876">
      <c r="A4876" t="n">
        <v>4875</v>
      </c>
      <c r="B4876">
        <f>A4876&lt;=MineCount*Days</f>
        <v/>
      </c>
      <c r="C4876">
        <f>IF(B4876,INT((A4876-1)/Days)+1,"")</f>
        <v/>
      </c>
      <c r="D4876">
        <f>IF(B4876,MOD(A4876-1,Days),"")</f>
        <v/>
      </c>
      <c r="E4876" s="16">
        <f>IF(B4876,StartDate+D4876,"")</f>
        <v/>
      </c>
      <c r="F4876">
        <f>IF(B4876,MAX(MOD(SIN(Seed*0.1373+C4876*12.9898+D4876*78.233)*43758.5453,1),1E-9),"")</f>
        <v/>
      </c>
      <c r="G4876">
        <f>IF(B4876,MOD(SIN(Seed*0.5917+C4876*39.3468+D4876*11.135)*24634.6345,1),"")</f>
        <v/>
      </c>
      <c r="H4876">
        <f>IF(B4876,SQRT(-2*LN(F4876))*COS(2*PI()*G4876),"")</f>
        <v/>
      </c>
      <c r="I4876">
        <f>IF(B4876,IF(D4876=0,H4876,Rho*I4875+SQRT(1-Rho^2)*H4876),"")</f>
        <v/>
      </c>
      <c r="J4876">
        <f>IF(B4876,IF(Dist="Normal",DistA+DistB*I4876,DistA+(DistB-DistA)*NORMSDIST(I4876)),"")</f>
        <v/>
      </c>
      <c r="K4876">
        <f>IF(B4876,INDEX(MineScale,C4876),"")</f>
        <v/>
      </c>
      <c r="L4876">
        <f>IF(B4876,INDEX(Dow,1,WEEKDAY(E4876,2)),"")</f>
        <v/>
      </c>
      <c r="M4876">
        <f>IF(B4876,(1+Trend)^D4876,"")</f>
        <v/>
      </c>
      <c r="N4876">
        <f>IF(B4876,EXP(SUMPRODUCT(LN(1+(EvEff-1)*INDEX(Affected,0,C4876)*EXP(-((E4876-EvCenter)^2)/(2*EvSigma^2))))),"")</f>
        <v/>
      </c>
      <c r="O4876">
        <f>IF(B4876,ROUND(MAX(0,J4876*K4876*L4876*M4876*N4876),2),"")</f>
        <v/>
      </c>
    </row>
    <row r="4877">
      <c r="A4877" t="n">
        <v>4876</v>
      </c>
      <c r="B4877">
        <f>A4877&lt;=MineCount*Days</f>
        <v/>
      </c>
      <c r="C4877">
        <f>IF(B4877,INT((A4877-1)/Days)+1,"")</f>
        <v/>
      </c>
      <c r="D4877">
        <f>IF(B4877,MOD(A4877-1,Days),"")</f>
        <v/>
      </c>
      <c r="E4877" s="16">
        <f>IF(B4877,StartDate+D4877,"")</f>
        <v/>
      </c>
      <c r="F4877">
        <f>IF(B4877,MAX(MOD(SIN(Seed*0.1373+C4877*12.9898+D4877*78.233)*43758.5453,1),1E-9),"")</f>
        <v/>
      </c>
      <c r="G4877">
        <f>IF(B4877,MOD(SIN(Seed*0.5917+C4877*39.3468+D4877*11.135)*24634.6345,1),"")</f>
        <v/>
      </c>
      <c r="H4877">
        <f>IF(B4877,SQRT(-2*LN(F4877))*COS(2*PI()*G4877),"")</f>
        <v/>
      </c>
      <c r="I4877">
        <f>IF(B4877,IF(D4877=0,H4877,Rho*I4876+SQRT(1-Rho^2)*H4877),"")</f>
        <v/>
      </c>
      <c r="J4877">
        <f>IF(B4877,IF(Dist="Normal",DistA+DistB*I4877,DistA+(DistB-DistA)*NORMSDIST(I4877)),"")</f>
        <v/>
      </c>
      <c r="K4877">
        <f>IF(B4877,INDEX(MineScale,C4877),"")</f>
        <v/>
      </c>
      <c r="L4877">
        <f>IF(B4877,INDEX(Dow,1,WEEKDAY(E4877,2)),"")</f>
        <v/>
      </c>
      <c r="M4877">
        <f>IF(B4877,(1+Trend)^D4877,"")</f>
        <v/>
      </c>
      <c r="N4877">
        <f>IF(B4877,EXP(SUMPRODUCT(LN(1+(EvEff-1)*INDEX(Affected,0,C4877)*EXP(-((E4877-EvCenter)^2)/(2*EvSigma^2))))),"")</f>
        <v/>
      </c>
      <c r="O4877">
        <f>IF(B4877,ROUND(MAX(0,J4877*K4877*L4877*M4877*N4877),2),"")</f>
        <v/>
      </c>
    </row>
    <row r="4878">
      <c r="A4878" t="n">
        <v>4877</v>
      </c>
      <c r="B4878">
        <f>A4878&lt;=MineCount*Days</f>
        <v/>
      </c>
      <c r="C4878">
        <f>IF(B4878,INT((A4878-1)/Days)+1,"")</f>
        <v/>
      </c>
      <c r="D4878">
        <f>IF(B4878,MOD(A4878-1,Days),"")</f>
        <v/>
      </c>
      <c r="E4878" s="16">
        <f>IF(B4878,StartDate+D4878,"")</f>
        <v/>
      </c>
      <c r="F4878">
        <f>IF(B4878,MAX(MOD(SIN(Seed*0.1373+C4878*12.9898+D4878*78.233)*43758.5453,1),1E-9),"")</f>
        <v/>
      </c>
      <c r="G4878">
        <f>IF(B4878,MOD(SIN(Seed*0.5917+C4878*39.3468+D4878*11.135)*24634.6345,1),"")</f>
        <v/>
      </c>
      <c r="H4878">
        <f>IF(B4878,SQRT(-2*LN(F4878))*COS(2*PI()*G4878),"")</f>
        <v/>
      </c>
      <c r="I4878">
        <f>IF(B4878,IF(D4878=0,H4878,Rho*I4877+SQRT(1-Rho^2)*H4878),"")</f>
        <v/>
      </c>
      <c r="J4878">
        <f>IF(B4878,IF(Dist="Normal",DistA+DistB*I4878,DistA+(DistB-DistA)*NORMSDIST(I4878)),"")</f>
        <v/>
      </c>
      <c r="K4878">
        <f>IF(B4878,INDEX(MineScale,C4878),"")</f>
        <v/>
      </c>
      <c r="L4878">
        <f>IF(B4878,INDEX(Dow,1,WEEKDAY(E4878,2)),"")</f>
        <v/>
      </c>
      <c r="M4878">
        <f>IF(B4878,(1+Trend)^D4878,"")</f>
        <v/>
      </c>
      <c r="N4878">
        <f>IF(B4878,EXP(SUMPRODUCT(LN(1+(EvEff-1)*INDEX(Affected,0,C4878)*EXP(-((E4878-EvCenter)^2)/(2*EvSigma^2))))),"")</f>
        <v/>
      </c>
      <c r="O4878">
        <f>IF(B4878,ROUND(MAX(0,J4878*K4878*L4878*M4878*N4878),2),"")</f>
        <v/>
      </c>
    </row>
    <row r="4879">
      <c r="A4879" t="n">
        <v>4878</v>
      </c>
      <c r="B4879">
        <f>A4879&lt;=MineCount*Days</f>
        <v/>
      </c>
      <c r="C4879">
        <f>IF(B4879,INT((A4879-1)/Days)+1,"")</f>
        <v/>
      </c>
      <c r="D4879">
        <f>IF(B4879,MOD(A4879-1,Days),"")</f>
        <v/>
      </c>
      <c r="E4879" s="16">
        <f>IF(B4879,StartDate+D4879,"")</f>
        <v/>
      </c>
      <c r="F4879">
        <f>IF(B4879,MAX(MOD(SIN(Seed*0.1373+C4879*12.9898+D4879*78.233)*43758.5453,1),1E-9),"")</f>
        <v/>
      </c>
      <c r="G4879">
        <f>IF(B4879,MOD(SIN(Seed*0.5917+C4879*39.3468+D4879*11.135)*24634.6345,1),"")</f>
        <v/>
      </c>
      <c r="H4879">
        <f>IF(B4879,SQRT(-2*LN(F4879))*COS(2*PI()*G4879),"")</f>
        <v/>
      </c>
      <c r="I4879">
        <f>IF(B4879,IF(D4879=0,H4879,Rho*I4878+SQRT(1-Rho^2)*H4879),"")</f>
        <v/>
      </c>
      <c r="J4879">
        <f>IF(B4879,IF(Dist="Normal",DistA+DistB*I4879,DistA+(DistB-DistA)*NORMSDIST(I4879)),"")</f>
        <v/>
      </c>
      <c r="K4879">
        <f>IF(B4879,INDEX(MineScale,C4879),"")</f>
        <v/>
      </c>
      <c r="L4879">
        <f>IF(B4879,INDEX(Dow,1,WEEKDAY(E4879,2)),"")</f>
        <v/>
      </c>
      <c r="M4879">
        <f>IF(B4879,(1+Trend)^D4879,"")</f>
        <v/>
      </c>
      <c r="N4879">
        <f>IF(B4879,EXP(SUMPRODUCT(LN(1+(EvEff-1)*INDEX(Affected,0,C4879)*EXP(-((E4879-EvCenter)^2)/(2*EvSigma^2))))),"")</f>
        <v/>
      </c>
      <c r="O4879">
        <f>IF(B4879,ROUND(MAX(0,J4879*K4879*L4879*M4879*N4879),2),"")</f>
        <v/>
      </c>
    </row>
    <row r="4880">
      <c r="A4880" t="n">
        <v>4879</v>
      </c>
      <c r="B4880">
        <f>A4880&lt;=MineCount*Days</f>
        <v/>
      </c>
      <c r="C4880">
        <f>IF(B4880,INT((A4880-1)/Days)+1,"")</f>
        <v/>
      </c>
      <c r="D4880">
        <f>IF(B4880,MOD(A4880-1,Days),"")</f>
        <v/>
      </c>
      <c r="E4880" s="16">
        <f>IF(B4880,StartDate+D4880,"")</f>
        <v/>
      </c>
      <c r="F4880">
        <f>IF(B4880,MAX(MOD(SIN(Seed*0.1373+C4880*12.9898+D4880*78.233)*43758.5453,1),1E-9),"")</f>
        <v/>
      </c>
      <c r="G4880">
        <f>IF(B4880,MOD(SIN(Seed*0.5917+C4880*39.3468+D4880*11.135)*24634.6345,1),"")</f>
        <v/>
      </c>
      <c r="H4880">
        <f>IF(B4880,SQRT(-2*LN(F4880))*COS(2*PI()*G4880),"")</f>
        <v/>
      </c>
      <c r="I4880">
        <f>IF(B4880,IF(D4880=0,H4880,Rho*I4879+SQRT(1-Rho^2)*H4880),"")</f>
        <v/>
      </c>
      <c r="J4880">
        <f>IF(B4880,IF(Dist="Normal",DistA+DistB*I4880,DistA+(DistB-DistA)*NORMSDIST(I4880)),"")</f>
        <v/>
      </c>
      <c r="K4880">
        <f>IF(B4880,INDEX(MineScale,C4880),"")</f>
        <v/>
      </c>
      <c r="L4880">
        <f>IF(B4880,INDEX(Dow,1,WEEKDAY(E4880,2)),"")</f>
        <v/>
      </c>
      <c r="M4880">
        <f>IF(B4880,(1+Trend)^D4880,"")</f>
        <v/>
      </c>
      <c r="N4880">
        <f>IF(B4880,EXP(SUMPRODUCT(LN(1+(EvEff-1)*INDEX(Affected,0,C4880)*EXP(-((E4880-EvCenter)^2)/(2*EvSigma^2))))),"")</f>
        <v/>
      </c>
      <c r="O4880">
        <f>IF(B4880,ROUND(MAX(0,J4880*K4880*L4880*M4880*N4880),2),"")</f>
        <v/>
      </c>
    </row>
    <row r="4881">
      <c r="A4881" t="n">
        <v>4880</v>
      </c>
      <c r="B4881">
        <f>A4881&lt;=MineCount*Days</f>
        <v/>
      </c>
      <c r="C4881">
        <f>IF(B4881,INT((A4881-1)/Days)+1,"")</f>
        <v/>
      </c>
      <c r="D4881">
        <f>IF(B4881,MOD(A4881-1,Days),"")</f>
        <v/>
      </c>
      <c r="E4881" s="16">
        <f>IF(B4881,StartDate+D4881,"")</f>
        <v/>
      </c>
      <c r="F4881">
        <f>IF(B4881,MAX(MOD(SIN(Seed*0.1373+C4881*12.9898+D4881*78.233)*43758.5453,1),1E-9),"")</f>
        <v/>
      </c>
      <c r="G4881">
        <f>IF(B4881,MOD(SIN(Seed*0.5917+C4881*39.3468+D4881*11.135)*24634.6345,1),"")</f>
        <v/>
      </c>
      <c r="H4881">
        <f>IF(B4881,SQRT(-2*LN(F4881))*COS(2*PI()*G4881),"")</f>
        <v/>
      </c>
      <c r="I4881">
        <f>IF(B4881,IF(D4881=0,H4881,Rho*I4880+SQRT(1-Rho^2)*H4881),"")</f>
        <v/>
      </c>
      <c r="J4881">
        <f>IF(B4881,IF(Dist="Normal",DistA+DistB*I4881,DistA+(DistB-DistA)*NORMSDIST(I4881)),"")</f>
        <v/>
      </c>
      <c r="K4881">
        <f>IF(B4881,INDEX(MineScale,C4881),"")</f>
        <v/>
      </c>
      <c r="L4881">
        <f>IF(B4881,INDEX(Dow,1,WEEKDAY(E4881,2)),"")</f>
        <v/>
      </c>
      <c r="M4881">
        <f>IF(B4881,(1+Trend)^D4881,"")</f>
        <v/>
      </c>
      <c r="N4881">
        <f>IF(B4881,EXP(SUMPRODUCT(LN(1+(EvEff-1)*INDEX(Affected,0,C4881)*EXP(-((E4881-EvCenter)^2)/(2*EvSigma^2))))),"")</f>
        <v/>
      </c>
      <c r="O4881">
        <f>IF(B4881,ROUND(MAX(0,J4881*K4881*L4881*M4881*N4881),2),"")</f>
        <v/>
      </c>
    </row>
    <row r="4882">
      <c r="A4882" t="n">
        <v>4881</v>
      </c>
      <c r="B4882">
        <f>A4882&lt;=MineCount*Days</f>
        <v/>
      </c>
      <c r="C4882">
        <f>IF(B4882,INT((A4882-1)/Days)+1,"")</f>
        <v/>
      </c>
      <c r="D4882">
        <f>IF(B4882,MOD(A4882-1,Days),"")</f>
        <v/>
      </c>
      <c r="E4882" s="16">
        <f>IF(B4882,StartDate+D4882,"")</f>
        <v/>
      </c>
      <c r="F4882">
        <f>IF(B4882,MAX(MOD(SIN(Seed*0.1373+C4882*12.9898+D4882*78.233)*43758.5453,1),1E-9),"")</f>
        <v/>
      </c>
      <c r="G4882">
        <f>IF(B4882,MOD(SIN(Seed*0.5917+C4882*39.3468+D4882*11.135)*24634.6345,1),"")</f>
        <v/>
      </c>
      <c r="H4882">
        <f>IF(B4882,SQRT(-2*LN(F4882))*COS(2*PI()*G4882),"")</f>
        <v/>
      </c>
      <c r="I4882">
        <f>IF(B4882,IF(D4882=0,H4882,Rho*I4881+SQRT(1-Rho^2)*H4882),"")</f>
        <v/>
      </c>
      <c r="J4882">
        <f>IF(B4882,IF(Dist="Normal",DistA+DistB*I4882,DistA+(DistB-DistA)*NORMSDIST(I4882)),"")</f>
        <v/>
      </c>
      <c r="K4882">
        <f>IF(B4882,INDEX(MineScale,C4882),"")</f>
        <v/>
      </c>
      <c r="L4882">
        <f>IF(B4882,INDEX(Dow,1,WEEKDAY(E4882,2)),"")</f>
        <v/>
      </c>
      <c r="M4882">
        <f>IF(B4882,(1+Trend)^D4882,"")</f>
        <v/>
      </c>
      <c r="N4882">
        <f>IF(B4882,EXP(SUMPRODUCT(LN(1+(EvEff-1)*INDEX(Affected,0,C4882)*EXP(-((E4882-EvCenter)^2)/(2*EvSigma^2))))),"")</f>
        <v/>
      </c>
      <c r="O4882">
        <f>IF(B4882,ROUND(MAX(0,J4882*K4882*L4882*M4882*N4882),2),"")</f>
        <v/>
      </c>
    </row>
    <row r="4883">
      <c r="A4883" t="n">
        <v>4882</v>
      </c>
      <c r="B4883">
        <f>A4883&lt;=MineCount*Days</f>
        <v/>
      </c>
      <c r="C4883">
        <f>IF(B4883,INT((A4883-1)/Days)+1,"")</f>
        <v/>
      </c>
      <c r="D4883">
        <f>IF(B4883,MOD(A4883-1,Days),"")</f>
        <v/>
      </c>
      <c r="E4883" s="16">
        <f>IF(B4883,StartDate+D4883,"")</f>
        <v/>
      </c>
      <c r="F4883">
        <f>IF(B4883,MAX(MOD(SIN(Seed*0.1373+C4883*12.9898+D4883*78.233)*43758.5453,1),1E-9),"")</f>
        <v/>
      </c>
      <c r="G4883">
        <f>IF(B4883,MOD(SIN(Seed*0.5917+C4883*39.3468+D4883*11.135)*24634.6345,1),"")</f>
        <v/>
      </c>
      <c r="H4883">
        <f>IF(B4883,SQRT(-2*LN(F4883))*COS(2*PI()*G4883),"")</f>
        <v/>
      </c>
      <c r="I4883">
        <f>IF(B4883,IF(D4883=0,H4883,Rho*I4882+SQRT(1-Rho^2)*H4883),"")</f>
        <v/>
      </c>
      <c r="J4883">
        <f>IF(B4883,IF(Dist="Normal",DistA+DistB*I4883,DistA+(DistB-DistA)*NORMSDIST(I4883)),"")</f>
        <v/>
      </c>
      <c r="K4883">
        <f>IF(B4883,INDEX(MineScale,C4883),"")</f>
        <v/>
      </c>
      <c r="L4883">
        <f>IF(B4883,INDEX(Dow,1,WEEKDAY(E4883,2)),"")</f>
        <v/>
      </c>
      <c r="M4883">
        <f>IF(B4883,(1+Trend)^D4883,"")</f>
        <v/>
      </c>
      <c r="N4883">
        <f>IF(B4883,EXP(SUMPRODUCT(LN(1+(EvEff-1)*INDEX(Affected,0,C4883)*EXP(-((E4883-EvCenter)^2)/(2*EvSigma^2))))),"")</f>
        <v/>
      </c>
      <c r="O4883">
        <f>IF(B4883,ROUND(MAX(0,J4883*K4883*L4883*M4883*N4883),2),"")</f>
        <v/>
      </c>
    </row>
    <row r="4884">
      <c r="A4884" t="n">
        <v>4883</v>
      </c>
      <c r="B4884">
        <f>A4884&lt;=MineCount*Days</f>
        <v/>
      </c>
      <c r="C4884">
        <f>IF(B4884,INT((A4884-1)/Days)+1,"")</f>
        <v/>
      </c>
      <c r="D4884">
        <f>IF(B4884,MOD(A4884-1,Days),"")</f>
        <v/>
      </c>
      <c r="E4884" s="16">
        <f>IF(B4884,StartDate+D4884,"")</f>
        <v/>
      </c>
      <c r="F4884">
        <f>IF(B4884,MAX(MOD(SIN(Seed*0.1373+C4884*12.9898+D4884*78.233)*43758.5453,1),1E-9),"")</f>
        <v/>
      </c>
      <c r="G4884">
        <f>IF(B4884,MOD(SIN(Seed*0.5917+C4884*39.3468+D4884*11.135)*24634.6345,1),"")</f>
        <v/>
      </c>
      <c r="H4884">
        <f>IF(B4884,SQRT(-2*LN(F4884))*COS(2*PI()*G4884),"")</f>
        <v/>
      </c>
      <c r="I4884">
        <f>IF(B4884,IF(D4884=0,H4884,Rho*I4883+SQRT(1-Rho^2)*H4884),"")</f>
        <v/>
      </c>
      <c r="J4884">
        <f>IF(B4884,IF(Dist="Normal",DistA+DistB*I4884,DistA+(DistB-DistA)*NORMSDIST(I4884)),"")</f>
        <v/>
      </c>
      <c r="K4884">
        <f>IF(B4884,INDEX(MineScale,C4884),"")</f>
        <v/>
      </c>
      <c r="L4884">
        <f>IF(B4884,INDEX(Dow,1,WEEKDAY(E4884,2)),"")</f>
        <v/>
      </c>
      <c r="M4884">
        <f>IF(B4884,(1+Trend)^D4884,"")</f>
        <v/>
      </c>
      <c r="N4884">
        <f>IF(B4884,EXP(SUMPRODUCT(LN(1+(EvEff-1)*INDEX(Affected,0,C4884)*EXP(-((E4884-EvCenter)^2)/(2*EvSigma^2))))),"")</f>
        <v/>
      </c>
      <c r="O4884">
        <f>IF(B4884,ROUND(MAX(0,J4884*K4884*L4884*M4884*N4884),2),"")</f>
        <v/>
      </c>
    </row>
    <row r="4885">
      <c r="A4885" t="n">
        <v>4884</v>
      </c>
      <c r="B4885">
        <f>A4885&lt;=MineCount*Days</f>
        <v/>
      </c>
      <c r="C4885">
        <f>IF(B4885,INT((A4885-1)/Days)+1,"")</f>
        <v/>
      </c>
      <c r="D4885">
        <f>IF(B4885,MOD(A4885-1,Days),"")</f>
        <v/>
      </c>
      <c r="E4885" s="16">
        <f>IF(B4885,StartDate+D4885,"")</f>
        <v/>
      </c>
      <c r="F4885">
        <f>IF(B4885,MAX(MOD(SIN(Seed*0.1373+C4885*12.9898+D4885*78.233)*43758.5453,1),1E-9),"")</f>
        <v/>
      </c>
      <c r="G4885">
        <f>IF(B4885,MOD(SIN(Seed*0.5917+C4885*39.3468+D4885*11.135)*24634.6345,1),"")</f>
        <v/>
      </c>
      <c r="H4885">
        <f>IF(B4885,SQRT(-2*LN(F4885))*COS(2*PI()*G4885),"")</f>
        <v/>
      </c>
      <c r="I4885">
        <f>IF(B4885,IF(D4885=0,H4885,Rho*I4884+SQRT(1-Rho^2)*H4885),"")</f>
        <v/>
      </c>
      <c r="J4885">
        <f>IF(B4885,IF(Dist="Normal",DistA+DistB*I4885,DistA+(DistB-DistA)*NORMSDIST(I4885)),"")</f>
        <v/>
      </c>
      <c r="K4885">
        <f>IF(B4885,INDEX(MineScale,C4885),"")</f>
        <v/>
      </c>
      <c r="L4885">
        <f>IF(B4885,INDEX(Dow,1,WEEKDAY(E4885,2)),"")</f>
        <v/>
      </c>
      <c r="M4885">
        <f>IF(B4885,(1+Trend)^D4885,"")</f>
        <v/>
      </c>
      <c r="N4885">
        <f>IF(B4885,EXP(SUMPRODUCT(LN(1+(EvEff-1)*INDEX(Affected,0,C4885)*EXP(-((E4885-EvCenter)^2)/(2*EvSigma^2))))),"")</f>
        <v/>
      </c>
      <c r="O4885">
        <f>IF(B4885,ROUND(MAX(0,J4885*K4885*L4885*M4885*N4885),2),"")</f>
        <v/>
      </c>
    </row>
    <row r="4886">
      <c r="A4886" t="n">
        <v>4885</v>
      </c>
      <c r="B4886">
        <f>A4886&lt;=MineCount*Days</f>
        <v/>
      </c>
      <c r="C4886">
        <f>IF(B4886,INT((A4886-1)/Days)+1,"")</f>
        <v/>
      </c>
      <c r="D4886">
        <f>IF(B4886,MOD(A4886-1,Days),"")</f>
        <v/>
      </c>
      <c r="E4886" s="16">
        <f>IF(B4886,StartDate+D4886,"")</f>
        <v/>
      </c>
      <c r="F4886">
        <f>IF(B4886,MAX(MOD(SIN(Seed*0.1373+C4886*12.9898+D4886*78.233)*43758.5453,1),1E-9),"")</f>
        <v/>
      </c>
      <c r="G4886">
        <f>IF(B4886,MOD(SIN(Seed*0.5917+C4886*39.3468+D4886*11.135)*24634.6345,1),"")</f>
        <v/>
      </c>
      <c r="H4886">
        <f>IF(B4886,SQRT(-2*LN(F4886))*COS(2*PI()*G4886),"")</f>
        <v/>
      </c>
      <c r="I4886">
        <f>IF(B4886,IF(D4886=0,H4886,Rho*I4885+SQRT(1-Rho^2)*H4886),"")</f>
        <v/>
      </c>
      <c r="J4886">
        <f>IF(B4886,IF(Dist="Normal",DistA+DistB*I4886,DistA+(DistB-DistA)*NORMSDIST(I4886)),"")</f>
        <v/>
      </c>
      <c r="K4886">
        <f>IF(B4886,INDEX(MineScale,C4886),"")</f>
        <v/>
      </c>
      <c r="L4886">
        <f>IF(B4886,INDEX(Dow,1,WEEKDAY(E4886,2)),"")</f>
        <v/>
      </c>
      <c r="M4886">
        <f>IF(B4886,(1+Trend)^D4886,"")</f>
        <v/>
      </c>
      <c r="N4886">
        <f>IF(B4886,EXP(SUMPRODUCT(LN(1+(EvEff-1)*INDEX(Affected,0,C4886)*EXP(-((E4886-EvCenter)^2)/(2*EvSigma^2))))),"")</f>
        <v/>
      </c>
      <c r="O4886">
        <f>IF(B4886,ROUND(MAX(0,J4886*K4886*L4886*M4886*N4886),2),"")</f>
        <v/>
      </c>
    </row>
    <row r="4887">
      <c r="A4887" t="n">
        <v>4886</v>
      </c>
      <c r="B4887">
        <f>A4887&lt;=MineCount*Days</f>
        <v/>
      </c>
      <c r="C4887">
        <f>IF(B4887,INT((A4887-1)/Days)+1,"")</f>
        <v/>
      </c>
      <c r="D4887">
        <f>IF(B4887,MOD(A4887-1,Days),"")</f>
        <v/>
      </c>
      <c r="E4887" s="16">
        <f>IF(B4887,StartDate+D4887,"")</f>
        <v/>
      </c>
      <c r="F4887">
        <f>IF(B4887,MAX(MOD(SIN(Seed*0.1373+C4887*12.9898+D4887*78.233)*43758.5453,1),1E-9),"")</f>
        <v/>
      </c>
      <c r="G4887">
        <f>IF(B4887,MOD(SIN(Seed*0.5917+C4887*39.3468+D4887*11.135)*24634.6345,1),"")</f>
        <v/>
      </c>
      <c r="H4887">
        <f>IF(B4887,SQRT(-2*LN(F4887))*COS(2*PI()*G4887),"")</f>
        <v/>
      </c>
      <c r="I4887">
        <f>IF(B4887,IF(D4887=0,H4887,Rho*I4886+SQRT(1-Rho^2)*H4887),"")</f>
        <v/>
      </c>
      <c r="J4887">
        <f>IF(B4887,IF(Dist="Normal",DistA+DistB*I4887,DistA+(DistB-DistA)*NORMSDIST(I4887)),"")</f>
        <v/>
      </c>
      <c r="K4887">
        <f>IF(B4887,INDEX(MineScale,C4887),"")</f>
        <v/>
      </c>
      <c r="L4887">
        <f>IF(B4887,INDEX(Dow,1,WEEKDAY(E4887,2)),"")</f>
        <v/>
      </c>
      <c r="M4887">
        <f>IF(B4887,(1+Trend)^D4887,"")</f>
        <v/>
      </c>
      <c r="N4887">
        <f>IF(B4887,EXP(SUMPRODUCT(LN(1+(EvEff-1)*INDEX(Affected,0,C4887)*EXP(-((E4887-EvCenter)^2)/(2*EvSigma^2))))),"")</f>
        <v/>
      </c>
      <c r="O4887">
        <f>IF(B4887,ROUND(MAX(0,J4887*K4887*L4887*M4887*N4887),2),"")</f>
        <v/>
      </c>
    </row>
    <row r="4888">
      <c r="A4888" t="n">
        <v>4887</v>
      </c>
      <c r="B4888">
        <f>A4888&lt;=MineCount*Days</f>
        <v/>
      </c>
      <c r="C4888">
        <f>IF(B4888,INT((A4888-1)/Days)+1,"")</f>
        <v/>
      </c>
      <c r="D4888">
        <f>IF(B4888,MOD(A4888-1,Days),"")</f>
        <v/>
      </c>
      <c r="E4888" s="16">
        <f>IF(B4888,StartDate+D4888,"")</f>
        <v/>
      </c>
      <c r="F4888">
        <f>IF(B4888,MAX(MOD(SIN(Seed*0.1373+C4888*12.9898+D4888*78.233)*43758.5453,1),1E-9),"")</f>
        <v/>
      </c>
      <c r="G4888">
        <f>IF(B4888,MOD(SIN(Seed*0.5917+C4888*39.3468+D4888*11.135)*24634.6345,1),"")</f>
        <v/>
      </c>
      <c r="H4888">
        <f>IF(B4888,SQRT(-2*LN(F4888))*COS(2*PI()*G4888),"")</f>
        <v/>
      </c>
      <c r="I4888">
        <f>IF(B4888,IF(D4888=0,H4888,Rho*I4887+SQRT(1-Rho^2)*H4888),"")</f>
        <v/>
      </c>
      <c r="J4888">
        <f>IF(B4888,IF(Dist="Normal",DistA+DistB*I4888,DistA+(DistB-DistA)*NORMSDIST(I4888)),"")</f>
        <v/>
      </c>
      <c r="K4888">
        <f>IF(B4888,INDEX(MineScale,C4888),"")</f>
        <v/>
      </c>
      <c r="L4888">
        <f>IF(B4888,INDEX(Dow,1,WEEKDAY(E4888,2)),"")</f>
        <v/>
      </c>
      <c r="M4888">
        <f>IF(B4888,(1+Trend)^D4888,"")</f>
        <v/>
      </c>
      <c r="N4888">
        <f>IF(B4888,EXP(SUMPRODUCT(LN(1+(EvEff-1)*INDEX(Affected,0,C4888)*EXP(-((E4888-EvCenter)^2)/(2*EvSigma^2))))),"")</f>
        <v/>
      </c>
      <c r="O4888">
        <f>IF(B4888,ROUND(MAX(0,J4888*K4888*L4888*M4888*N4888),2),"")</f>
        <v/>
      </c>
    </row>
    <row r="4889">
      <c r="A4889" t="n">
        <v>4888</v>
      </c>
      <c r="B4889">
        <f>A4889&lt;=MineCount*Days</f>
        <v/>
      </c>
      <c r="C4889">
        <f>IF(B4889,INT((A4889-1)/Days)+1,"")</f>
        <v/>
      </c>
      <c r="D4889">
        <f>IF(B4889,MOD(A4889-1,Days),"")</f>
        <v/>
      </c>
      <c r="E4889" s="16">
        <f>IF(B4889,StartDate+D4889,"")</f>
        <v/>
      </c>
      <c r="F4889">
        <f>IF(B4889,MAX(MOD(SIN(Seed*0.1373+C4889*12.9898+D4889*78.233)*43758.5453,1),1E-9),"")</f>
        <v/>
      </c>
      <c r="G4889">
        <f>IF(B4889,MOD(SIN(Seed*0.5917+C4889*39.3468+D4889*11.135)*24634.6345,1),"")</f>
        <v/>
      </c>
      <c r="H4889">
        <f>IF(B4889,SQRT(-2*LN(F4889))*COS(2*PI()*G4889),"")</f>
        <v/>
      </c>
      <c r="I4889">
        <f>IF(B4889,IF(D4889=0,H4889,Rho*I4888+SQRT(1-Rho^2)*H4889),"")</f>
        <v/>
      </c>
      <c r="J4889">
        <f>IF(B4889,IF(Dist="Normal",DistA+DistB*I4889,DistA+(DistB-DistA)*NORMSDIST(I4889)),"")</f>
        <v/>
      </c>
      <c r="K4889">
        <f>IF(B4889,INDEX(MineScale,C4889),"")</f>
        <v/>
      </c>
      <c r="L4889">
        <f>IF(B4889,INDEX(Dow,1,WEEKDAY(E4889,2)),"")</f>
        <v/>
      </c>
      <c r="M4889">
        <f>IF(B4889,(1+Trend)^D4889,"")</f>
        <v/>
      </c>
      <c r="N4889">
        <f>IF(B4889,EXP(SUMPRODUCT(LN(1+(EvEff-1)*INDEX(Affected,0,C4889)*EXP(-((E4889-EvCenter)^2)/(2*EvSigma^2))))),"")</f>
        <v/>
      </c>
      <c r="O4889">
        <f>IF(B4889,ROUND(MAX(0,J4889*K4889*L4889*M4889*N4889),2),"")</f>
        <v/>
      </c>
    </row>
    <row r="4890">
      <c r="A4890" t="n">
        <v>4889</v>
      </c>
      <c r="B4890">
        <f>A4890&lt;=MineCount*Days</f>
        <v/>
      </c>
      <c r="C4890">
        <f>IF(B4890,INT((A4890-1)/Days)+1,"")</f>
        <v/>
      </c>
      <c r="D4890">
        <f>IF(B4890,MOD(A4890-1,Days),"")</f>
        <v/>
      </c>
      <c r="E4890" s="16">
        <f>IF(B4890,StartDate+D4890,"")</f>
        <v/>
      </c>
      <c r="F4890">
        <f>IF(B4890,MAX(MOD(SIN(Seed*0.1373+C4890*12.9898+D4890*78.233)*43758.5453,1),1E-9),"")</f>
        <v/>
      </c>
      <c r="G4890">
        <f>IF(B4890,MOD(SIN(Seed*0.5917+C4890*39.3468+D4890*11.135)*24634.6345,1),"")</f>
        <v/>
      </c>
      <c r="H4890">
        <f>IF(B4890,SQRT(-2*LN(F4890))*COS(2*PI()*G4890),"")</f>
        <v/>
      </c>
      <c r="I4890">
        <f>IF(B4890,IF(D4890=0,H4890,Rho*I4889+SQRT(1-Rho^2)*H4890),"")</f>
        <v/>
      </c>
      <c r="J4890">
        <f>IF(B4890,IF(Dist="Normal",DistA+DistB*I4890,DistA+(DistB-DistA)*NORMSDIST(I4890)),"")</f>
        <v/>
      </c>
      <c r="K4890">
        <f>IF(B4890,INDEX(MineScale,C4890),"")</f>
        <v/>
      </c>
      <c r="L4890">
        <f>IF(B4890,INDEX(Dow,1,WEEKDAY(E4890,2)),"")</f>
        <v/>
      </c>
      <c r="M4890">
        <f>IF(B4890,(1+Trend)^D4890,"")</f>
        <v/>
      </c>
      <c r="N4890">
        <f>IF(B4890,EXP(SUMPRODUCT(LN(1+(EvEff-1)*INDEX(Affected,0,C4890)*EXP(-((E4890-EvCenter)^2)/(2*EvSigma^2))))),"")</f>
        <v/>
      </c>
      <c r="O4890">
        <f>IF(B4890,ROUND(MAX(0,J4890*K4890*L4890*M4890*N4890),2),"")</f>
        <v/>
      </c>
    </row>
    <row r="4891">
      <c r="A4891" t="n">
        <v>4890</v>
      </c>
      <c r="B4891">
        <f>A4891&lt;=MineCount*Days</f>
        <v/>
      </c>
      <c r="C4891">
        <f>IF(B4891,INT((A4891-1)/Days)+1,"")</f>
        <v/>
      </c>
      <c r="D4891">
        <f>IF(B4891,MOD(A4891-1,Days),"")</f>
        <v/>
      </c>
      <c r="E4891" s="16">
        <f>IF(B4891,StartDate+D4891,"")</f>
        <v/>
      </c>
      <c r="F4891">
        <f>IF(B4891,MAX(MOD(SIN(Seed*0.1373+C4891*12.9898+D4891*78.233)*43758.5453,1),1E-9),"")</f>
        <v/>
      </c>
      <c r="G4891">
        <f>IF(B4891,MOD(SIN(Seed*0.5917+C4891*39.3468+D4891*11.135)*24634.6345,1),"")</f>
        <v/>
      </c>
      <c r="H4891">
        <f>IF(B4891,SQRT(-2*LN(F4891))*COS(2*PI()*G4891),"")</f>
        <v/>
      </c>
      <c r="I4891">
        <f>IF(B4891,IF(D4891=0,H4891,Rho*I4890+SQRT(1-Rho^2)*H4891),"")</f>
        <v/>
      </c>
      <c r="J4891">
        <f>IF(B4891,IF(Dist="Normal",DistA+DistB*I4891,DistA+(DistB-DistA)*NORMSDIST(I4891)),"")</f>
        <v/>
      </c>
      <c r="K4891">
        <f>IF(B4891,INDEX(MineScale,C4891),"")</f>
        <v/>
      </c>
      <c r="L4891">
        <f>IF(B4891,INDEX(Dow,1,WEEKDAY(E4891,2)),"")</f>
        <v/>
      </c>
      <c r="M4891">
        <f>IF(B4891,(1+Trend)^D4891,"")</f>
        <v/>
      </c>
      <c r="N4891">
        <f>IF(B4891,EXP(SUMPRODUCT(LN(1+(EvEff-1)*INDEX(Affected,0,C4891)*EXP(-((E4891-EvCenter)^2)/(2*EvSigma^2))))),"")</f>
        <v/>
      </c>
      <c r="O4891">
        <f>IF(B4891,ROUND(MAX(0,J4891*K4891*L4891*M4891*N4891),2),"")</f>
        <v/>
      </c>
    </row>
    <row r="4892">
      <c r="A4892" t="n">
        <v>4891</v>
      </c>
      <c r="B4892">
        <f>A4892&lt;=MineCount*Days</f>
        <v/>
      </c>
      <c r="C4892">
        <f>IF(B4892,INT((A4892-1)/Days)+1,"")</f>
        <v/>
      </c>
      <c r="D4892">
        <f>IF(B4892,MOD(A4892-1,Days),"")</f>
        <v/>
      </c>
      <c r="E4892" s="16">
        <f>IF(B4892,StartDate+D4892,"")</f>
        <v/>
      </c>
      <c r="F4892">
        <f>IF(B4892,MAX(MOD(SIN(Seed*0.1373+C4892*12.9898+D4892*78.233)*43758.5453,1),1E-9),"")</f>
        <v/>
      </c>
      <c r="G4892">
        <f>IF(B4892,MOD(SIN(Seed*0.5917+C4892*39.3468+D4892*11.135)*24634.6345,1),"")</f>
        <v/>
      </c>
      <c r="H4892">
        <f>IF(B4892,SQRT(-2*LN(F4892))*COS(2*PI()*G4892),"")</f>
        <v/>
      </c>
      <c r="I4892">
        <f>IF(B4892,IF(D4892=0,H4892,Rho*I4891+SQRT(1-Rho^2)*H4892),"")</f>
        <v/>
      </c>
      <c r="J4892">
        <f>IF(B4892,IF(Dist="Normal",DistA+DistB*I4892,DistA+(DistB-DistA)*NORMSDIST(I4892)),"")</f>
        <v/>
      </c>
      <c r="K4892">
        <f>IF(B4892,INDEX(MineScale,C4892),"")</f>
        <v/>
      </c>
      <c r="L4892">
        <f>IF(B4892,INDEX(Dow,1,WEEKDAY(E4892,2)),"")</f>
        <v/>
      </c>
      <c r="M4892">
        <f>IF(B4892,(1+Trend)^D4892,"")</f>
        <v/>
      </c>
      <c r="N4892">
        <f>IF(B4892,EXP(SUMPRODUCT(LN(1+(EvEff-1)*INDEX(Affected,0,C4892)*EXP(-((E4892-EvCenter)^2)/(2*EvSigma^2))))),"")</f>
        <v/>
      </c>
      <c r="O4892">
        <f>IF(B4892,ROUND(MAX(0,J4892*K4892*L4892*M4892*N4892),2),"")</f>
        <v/>
      </c>
    </row>
    <row r="4893">
      <c r="A4893" t="n">
        <v>4892</v>
      </c>
      <c r="B4893">
        <f>A4893&lt;=MineCount*Days</f>
        <v/>
      </c>
      <c r="C4893">
        <f>IF(B4893,INT((A4893-1)/Days)+1,"")</f>
        <v/>
      </c>
      <c r="D4893">
        <f>IF(B4893,MOD(A4893-1,Days),"")</f>
        <v/>
      </c>
      <c r="E4893" s="16">
        <f>IF(B4893,StartDate+D4893,"")</f>
        <v/>
      </c>
      <c r="F4893">
        <f>IF(B4893,MAX(MOD(SIN(Seed*0.1373+C4893*12.9898+D4893*78.233)*43758.5453,1),1E-9),"")</f>
        <v/>
      </c>
      <c r="G4893">
        <f>IF(B4893,MOD(SIN(Seed*0.5917+C4893*39.3468+D4893*11.135)*24634.6345,1),"")</f>
        <v/>
      </c>
      <c r="H4893">
        <f>IF(B4893,SQRT(-2*LN(F4893))*COS(2*PI()*G4893),"")</f>
        <v/>
      </c>
      <c r="I4893">
        <f>IF(B4893,IF(D4893=0,H4893,Rho*I4892+SQRT(1-Rho^2)*H4893),"")</f>
        <v/>
      </c>
      <c r="J4893">
        <f>IF(B4893,IF(Dist="Normal",DistA+DistB*I4893,DistA+(DistB-DistA)*NORMSDIST(I4893)),"")</f>
        <v/>
      </c>
      <c r="K4893">
        <f>IF(B4893,INDEX(MineScale,C4893),"")</f>
        <v/>
      </c>
      <c r="L4893">
        <f>IF(B4893,INDEX(Dow,1,WEEKDAY(E4893,2)),"")</f>
        <v/>
      </c>
      <c r="M4893">
        <f>IF(B4893,(1+Trend)^D4893,"")</f>
        <v/>
      </c>
      <c r="N4893">
        <f>IF(B4893,EXP(SUMPRODUCT(LN(1+(EvEff-1)*INDEX(Affected,0,C4893)*EXP(-((E4893-EvCenter)^2)/(2*EvSigma^2))))),"")</f>
        <v/>
      </c>
      <c r="O4893">
        <f>IF(B4893,ROUND(MAX(0,J4893*K4893*L4893*M4893*N4893),2),"")</f>
        <v/>
      </c>
    </row>
    <row r="4894">
      <c r="A4894" t="n">
        <v>4893</v>
      </c>
      <c r="B4894">
        <f>A4894&lt;=MineCount*Days</f>
        <v/>
      </c>
      <c r="C4894">
        <f>IF(B4894,INT((A4894-1)/Days)+1,"")</f>
        <v/>
      </c>
      <c r="D4894">
        <f>IF(B4894,MOD(A4894-1,Days),"")</f>
        <v/>
      </c>
      <c r="E4894" s="16">
        <f>IF(B4894,StartDate+D4894,"")</f>
        <v/>
      </c>
      <c r="F4894">
        <f>IF(B4894,MAX(MOD(SIN(Seed*0.1373+C4894*12.9898+D4894*78.233)*43758.5453,1),1E-9),"")</f>
        <v/>
      </c>
      <c r="G4894">
        <f>IF(B4894,MOD(SIN(Seed*0.5917+C4894*39.3468+D4894*11.135)*24634.6345,1),"")</f>
        <v/>
      </c>
      <c r="H4894">
        <f>IF(B4894,SQRT(-2*LN(F4894))*COS(2*PI()*G4894),"")</f>
        <v/>
      </c>
      <c r="I4894">
        <f>IF(B4894,IF(D4894=0,H4894,Rho*I4893+SQRT(1-Rho^2)*H4894),"")</f>
        <v/>
      </c>
      <c r="J4894">
        <f>IF(B4894,IF(Dist="Normal",DistA+DistB*I4894,DistA+(DistB-DistA)*NORMSDIST(I4894)),"")</f>
        <v/>
      </c>
      <c r="K4894">
        <f>IF(B4894,INDEX(MineScale,C4894),"")</f>
        <v/>
      </c>
      <c r="L4894">
        <f>IF(B4894,INDEX(Dow,1,WEEKDAY(E4894,2)),"")</f>
        <v/>
      </c>
      <c r="M4894">
        <f>IF(B4894,(1+Trend)^D4894,"")</f>
        <v/>
      </c>
      <c r="N4894">
        <f>IF(B4894,EXP(SUMPRODUCT(LN(1+(EvEff-1)*INDEX(Affected,0,C4894)*EXP(-((E4894-EvCenter)^2)/(2*EvSigma^2))))),"")</f>
        <v/>
      </c>
      <c r="O4894">
        <f>IF(B4894,ROUND(MAX(0,J4894*K4894*L4894*M4894*N4894),2),"")</f>
        <v/>
      </c>
    </row>
    <row r="4895">
      <c r="A4895" t="n">
        <v>4894</v>
      </c>
      <c r="B4895">
        <f>A4895&lt;=MineCount*Days</f>
        <v/>
      </c>
      <c r="C4895">
        <f>IF(B4895,INT((A4895-1)/Days)+1,"")</f>
        <v/>
      </c>
      <c r="D4895">
        <f>IF(B4895,MOD(A4895-1,Days),"")</f>
        <v/>
      </c>
      <c r="E4895" s="16">
        <f>IF(B4895,StartDate+D4895,"")</f>
        <v/>
      </c>
      <c r="F4895">
        <f>IF(B4895,MAX(MOD(SIN(Seed*0.1373+C4895*12.9898+D4895*78.233)*43758.5453,1),1E-9),"")</f>
        <v/>
      </c>
      <c r="G4895">
        <f>IF(B4895,MOD(SIN(Seed*0.5917+C4895*39.3468+D4895*11.135)*24634.6345,1),"")</f>
        <v/>
      </c>
      <c r="H4895">
        <f>IF(B4895,SQRT(-2*LN(F4895))*COS(2*PI()*G4895),"")</f>
        <v/>
      </c>
      <c r="I4895">
        <f>IF(B4895,IF(D4895=0,H4895,Rho*I4894+SQRT(1-Rho^2)*H4895),"")</f>
        <v/>
      </c>
      <c r="J4895">
        <f>IF(B4895,IF(Dist="Normal",DistA+DistB*I4895,DistA+(DistB-DistA)*NORMSDIST(I4895)),"")</f>
        <v/>
      </c>
      <c r="K4895">
        <f>IF(B4895,INDEX(MineScale,C4895),"")</f>
        <v/>
      </c>
      <c r="L4895">
        <f>IF(B4895,INDEX(Dow,1,WEEKDAY(E4895,2)),"")</f>
        <v/>
      </c>
      <c r="M4895">
        <f>IF(B4895,(1+Trend)^D4895,"")</f>
        <v/>
      </c>
      <c r="N4895">
        <f>IF(B4895,EXP(SUMPRODUCT(LN(1+(EvEff-1)*INDEX(Affected,0,C4895)*EXP(-((E4895-EvCenter)^2)/(2*EvSigma^2))))),"")</f>
        <v/>
      </c>
      <c r="O4895">
        <f>IF(B4895,ROUND(MAX(0,J4895*K4895*L4895*M4895*N4895),2),"")</f>
        <v/>
      </c>
    </row>
    <row r="4896">
      <c r="A4896" t="n">
        <v>4895</v>
      </c>
      <c r="B4896">
        <f>A4896&lt;=MineCount*Days</f>
        <v/>
      </c>
      <c r="C4896">
        <f>IF(B4896,INT((A4896-1)/Days)+1,"")</f>
        <v/>
      </c>
      <c r="D4896">
        <f>IF(B4896,MOD(A4896-1,Days),"")</f>
        <v/>
      </c>
      <c r="E4896" s="16">
        <f>IF(B4896,StartDate+D4896,"")</f>
        <v/>
      </c>
      <c r="F4896">
        <f>IF(B4896,MAX(MOD(SIN(Seed*0.1373+C4896*12.9898+D4896*78.233)*43758.5453,1),1E-9),"")</f>
        <v/>
      </c>
      <c r="G4896">
        <f>IF(B4896,MOD(SIN(Seed*0.5917+C4896*39.3468+D4896*11.135)*24634.6345,1),"")</f>
        <v/>
      </c>
      <c r="H4896">
        <f>IF(B4896,SQRT(-2*LN(F4896))*COS(2*PI()*G4896),"")</f>
        <v/>
      </c>
      <c r="I4896">
        <f>IF(B4896,IF(D4896=0,H4896,Rho*I4895+SQRT(1-Rho^2)*H4896),"")</f>
        <v/>
      </c>
      <c r="J4896">
        <f>IF(B4896,IF(Dist="Normal",DistA+DistB*I4896,DistA+(DistB-DistA)*NORMSDIST(I4896)),"")</f>
        <v/>
      </c>
      <c r="K4896">
        <f>IF(B4896,INDEX(MineScale,C4896),"")</f>
        <v/>
      </c>
      <c r="L4896">
        <f>IF(B4896,INDEX(Dow,1,WEEKDAY(E4896,2)),"")</f>
        <v/>
      </c>
      <c r="M4896">
        <f>IF(B4896,(1+Trend)^D4896,"")</f>
        <v/>
      </c>
      <c r="N4896">
        <f>IF(B4896,EXP(SUMPRODUCT(LN(1+(EvEff-1)*INDEX(Affected,0,C4896)*EXP(-((E4896-EvCenter)^2)/(2*EvSigma^2))))),"")</f>
        <v/>
      </c>
      <c r="O4896">
        <f>IF(B4896,ROUND(MAX(0,J4896*K4896*L4896*M4896*N4896),2),"")</f>
        <v/>
      </c>
    </row>
    <row r="4897">
      <c r="A4897" t="n">
        <v>4896</v>
      </c>
      <c r="B4897">
        <f>A4897&lt;=MineCount*Days</f>
        <v/>
      </c>
      <c r="C4897">
        <f>IF(B4897,INT((A4897-1)/Days)+1,"")</f>
        <v/>
      </c>
      <c r="D4897">
        <f>IF(B4897,MOD(A4897-1,Days),"")</f>
        <v/>
      </c>
      <c r="E4897" s="16">
        <f>IF(B4897,StartDate+D4897,"")</f>
        <v/>
      </c>
      <c r="F4897">
        <f>IF(B4897,MAX(MOD(SIN(Seed*0.1373+C4897*12.9898+D4897*78.233)*43758.5453,1),1E-9),"")</f>
        <v/>
      </c>
      <c r="G4897">
        <f>IF(B4897,MOD(SIN(Seed*0.5917+C4897*39.3468+D4897*11.135)*24634.6345,1),"")</f>
        <v/>
      </c>
      <c r="H4897">
        <f>IF(B4897,SQRT(-2*LN(F4897))*COS(2*PI()*G4897),"")</f>
        <v/>
      </c>
      <c r="I4897">
        <f>IF(B4897,IF(D4897=0,H4897,Rho*I4896+SQRT(1-Rho^2)*H4897),"")</f>
        <v/>
      </c>
      <c r="J4897">
        <f>IF(B4897,IF(Dist="Normal",DistA+DistB*I4897,DistA+(DistB-DistA)*NORMSDIST(I4897)),"")</f>
        <v/>
      </c>
      <c r="K4897">
        <f>IF(B4897,INDEX(MineScale,C4897),"")</f>
        <v/>
      </c>
      <c r="L4897">
        <f>IF(B4897,INDEX(Dow,1,WEEKDAY(E4897,2)),"")</f>
        <v/>
      </c>
      <c r="M4897">
        <f>IF(B4897,(1+Trend)^D4897,"")</f>
        <v/>
      </c>
      <c r="N4897">
        <f>IF(B4897,EXP(SUMPRODUCT(LN(1+(EvEff-1)*INDEX(Affected,0,C4897)*EXP(-((E4897-EvCenter)^2)/(2*EvSigma^2))))),"")</f>
        <v/>
      </c>
      <c r="O4897">
        <f>IF(B4897,ROUND(MAX(0,J4897*K4897*L4897*M4897*N4897),2),"")</f>
        <v/>
      </c>
    </row>
    <row r="4898">
      <c r="A4898" t="n">
        <v>4897</v>
      </c>
      <c r="B4898">
        <f>A4898&lt;=MineCount*Days</f>
        <v/>
      </c>
      <c r="C4898">
        <f>IF(B4898,INT((A4898-1)/Days)+1,"")</f>
        <v/>
      </c>
      <c r="D4898">
        <f>IF(B4898,MOD(A4898-1,Days),"")</f>
        <v/>
      </c>
      <c r="E4898" s="16">
        <f>IF(B4898,StartDate+D4898,"")</f>
        <v/>
      </c>
      <c r="F4898">
        <f>IF(B4898,MAX(MOD(SIN(Seed*0.1373+C4898*12.9898+D4898*78.233)*43758.5453,1),1E-9),"")</f>
        <v/>
      </c>
      <c r="G4898">
        <f>IF(B4898,MOD(SIN(Seed*0.5917+C4898*39.3468+D4898*11.135)*24634.6345,1),"")</f>
        <v/>
      </c>
      <c r="H4898">
        <f>IF(B4898,SQRT(-2*LN(F4898))*COS(2*PI()*G4898),"")</f>
        <v/>
      </c>
      <c r="I4898">
        <f>IF(B4898,IF(D4898=0,H4898,Rho*I4897+SQRT(1-Rho^2)*H4898),"")</f>
        <v/>
      </c>
      <c r="J4898">
        <f>IF(B4898,IF(Dist="Normal",DistA+DistB*I4898,DistA+(DistB-DistA)*NORMSDIST(I4898)),"")</f>
        <v/>
      </c>
      <c r="K4898">
        <f>IF(B4898,INDEX(MineScale,C4898),"")</f>
        <v/>
      </c>
      <c r="L4898">
        <f>IF(B4898,INDEX(Dow,1,WEEKDAY(E4898,2)),"")</f>
        <v/>
      </c>
      <c r="M4898">
        <f>IF(B4898,(1+Trend)^D4898,"")</f>
        <v/>
      </c>
      <c r="N4898">
        <f>IF(B4898,EXP(SUMPRODUCT(LN(1+(EvEff-1)*INDEX(Affected,0,C4898)*EXP(-((E4898-EvCenter)^2)/(2*EvSigma^2))))),"")</f>
        <v/>
      </c>
      <c r="O4898">
        <f>IF(B4898,ROUND(MAX(0,J4898*K4898*L4898*M4898*N4898),2),"")</f>
        <v/>
      </c>
    </row>
    <row r="4899">
      <c r="A4899" t="n">
        <v>4898</v>
      </c>
      <c r="B4899">
        <f>A4899&lt;=MineCount*Days</f>
        <v/>
      </c>
      <c r="C4899">
        <f>IF(B4899,INT((A4899-1)/Days)+1,"")</f>
        <v/>
      </c>
      <c r="D4899">
        <f>IF(B4899,MOD(A4899-1,Days),"")</f>
        <v/>
      </c>
      <c r="E4899" s="16">
        <f>IF(B4899,StartDate+D4899,"")</f>
        <v/>
      </c>
      <c r="F4899">
        <f>IF(B4899,MAX(MOD(SIN(Seed*0.1373+C4899*12.9898+D4899*78.233)*43758.5453,1),1E-9),"")</f>
        <v/>
      </c>
      <c r="G4899">
        <f>IF(B4899,MOD(SIN(Seed*0.5917+C4899*39.3468+D4899*11.135)*24634.6345,1),"")</f>
        <v/>
      </c>
      <c r="H4899">
        <f>IF(B4899,SQRT(-2*LN(F4899))*COS(2*PI()*G4899),"")</f>
        <v/>
      </c>
      <c r="I4899">
        <f>IF(B4899,IF(D4899=0,H4899,Rho*I4898+SQRT(1-Rho^2)*H4899),"")</f>
        <v/>
      </c>
      <c r="J4899">
        <f>IF(B4899,IF(Dist="Normal",DistA+DistB*I4899,DistA+(DistB-DistA)*NORMSDIST(I4899)),"")</f>
        <v/>
      </c>
      <c r="K4899">
        <f>IF(B4899,INDEX(MineScale,C4899),"")</f>
        <v/>
      </c>
      <c r="L4899">
        <f>IF(B4899,INDEX(Dow,1,WEEKDAY(E4899,2)),"")</f>
        <v/>
      </c>
      <c r="M4899">
        <f>IF(B4899,(1+Trend)^D4899,"")</f>
        <v/>
      </c>
      <c r="N4899">
        <f>IF(B4899,EXP(SUMPRODUCT(LN(1+(EvEff-1)*INDEX(Affected,0,C4899)*EXP(-((E4899-EvCenter)^2)/(2*EvSigma^2))))),"")</f>
        <v/>
      </c>
      <c r="O4899">
        <f>IF(B4899,ROUND(MAX(0,J4899*K4899*L4899*M4899*N4899),2),"")</f>
        <v/>
      </c>
    </row>
    <row r="4900">
      <c r="A4900" t="n">
        <v>4899</v>
      </c>
      <c r="B4900">
        <f>A4900&lt;=MineCount*Days</f>
        <v/>
      </c>
      <c r="C4900">
        <f>IF(B4900,INT((A4900-1)/Days)+1,"")</f>
        <v/>
      </c>
      <c r="D4900">
        <f>IF(B4900,MOD(A4900-1,Days),"")</f>
        <v/>
      </c>
      <c r="E4900" s="16">
        <f>IF(B4900,StartDate+D4900,"")</f>
        <v/>
      </c>
      <c r="F4900">
        <f>IF(B4900,MAX(MOD(SIN(Seed*0.1373+C4900*12.9898+D4900*78.233)*43758.5453,1),1E-9),"")</f>
        <v/>
      </c>
      <c r="G4900">
        <f>IF(B4900,MOD(SIN(Seed*0.5917+C4900*39.3468+D4900*11.135)*24634.6345,1),"")</f>
        <v/>
      </c>
      <c r="H4900">
        <f>IF(B4900,SQRT(-2*LN(F4900))*COS(2*PI()*G4900),"")</f>
        <v/>
      </c>
      <c r="I4900">
        <f>IF(B4900,IF(D4900=0,H4900,Rho*I4899+SQRT(1-Rho^2)*H4900),"")</f>
        <v/>
      </c>
      <c r="J4900">
        <f>IF(B4900,IF(Dist="Normal",DistA+DistB*I4900,DistA+(DistB-DistA)*NORMSDIST(I4900)),"")</f>
        <v/>
      </c>
      <c r="K4900">
        <f>IF(B4900,INDEX(MineScale,C4900),"")</f>
        <v/>
      </c>
      <c r="L4900">
        <f>IF(B4900,INDEX(Dow,1,WEEKDAY(E4900,2)),"")</f>
        <v/>
      </c>
      <c r="M4900">
        <f>IF(B4900,(1+Trend)^D4900,"")</f>
        <v/>
      </c>
      <c r="N4900">
        <f>IF(B4900,EXP(SUMPRODUCT(LN(1+(EvEff-1)*INDEX(Affected,0,C4900)*EXP(-((E4900-EvCenter)^2)/(2*EvSigma^2))))),"")</f>
        <v/>
      </c>
      <c r="O4900">
        <f>IF(B4900,ROUND(MAX(0,J4900*K4900*L4900*M4900*N4900),2),"")</f>
        <v/>
      </c>
    </row>
    <row r="4901">
      <c r="A4901" t="n">
        <v>4900</v>
      </c>
      <c r="B4901">
        <f>A4901&lt;=MineCount*Days</f>
        <v/>
      </c>
      <c r="C4901">
        <f>IF(B4901,INT((A4901-1)/Days)+1,"")</f>
        <v/>
      </c>
      <c r="D4901">
        <f>IF(B4901,MOD(A4901-1,Days),"")</f>
        <v/>
      </c>
      <c r="E4901" s="16">
        <f>IF(B4901,StartDate+D4901,"")</f>
        <v/>
      </c>
      <c r="F4901">
        <f>IF(B4901,MAX(MOD(SIN(Seed*0.1373+C4901*12.9898+D4901*78.233)*43758.5453,1),1E-9),"")</f>
        <v/>
      </c>
      <c r="G4901">
        <f>IF(B4901,MOD(SIN(Seed*0.5917+C4901*39.3468+D4901*11.135)*24634.6345,1),"")</f>
        <v/>
      </c>
      <c r="H4901">
        <f>IF(B4901,SQRT(-2*LN(F4901))*COS(2*PI()*G4901),"")</f>
        <v/>
      </c>
      <c r="I4901">
        <f>IF(B4901,IF(D4901=0,H4901,Rho*I4900+SQRT(1-Rho^2)*H4901),"")</f>
        <v/>
      </c>
      <c r="J4901">
        <f>IF(B4901,IF(Dist="Normal",DistA+DistB*I4901,DistA+(DistB-DistA)*NORMSDIST(I4901)),"")</f>
        <v/>
      </c>
      <c r="K4901">
        <f>IF(B4901,INDEX(MineScale,C4901),"")</f>
        <v/>
      </c>
      <c r="L4901">
        <f>IF(B4901,INDEX(Dow,1,WEEKDAY(E4901,2)),"")</f>
        <v/>
      </c>
      <c r="M4901">
        <f>IF(B4901,(1+Trend)^D4901,"")</f>
        <v/>
      </c>
      <c r="N4901">
        <f>IF(B4901,EXP(SUMPRODUCT(LN(1+(EvEff-1)*INDEX(Affected,0,C4901)*EXP(-((E4901-EvCenter)^2)/(2*EvSigma^2))))),"")</f>
        <v/>
      </c>
      <c r="O4901">
        <f>IF(B4901,ROUND(MAX(0,J4901*K4901*L4901*M4901*N4901),2),"")</f>
        <v/>
      </c>
    </row>
    <row r="4902">
      <c r="A4902" t="n">
        <v>4901</v>
      </c>
      <c r="B4902">
        <f>A4902&lt;=MineCount*Days</f>
        <v/>
      </c>
      <c r="C4902">
        <f>IF(B4902,INT((A4902-1)/Days)+1,"")</f>
        <v/>
      </c>
      <c r="D4902">
        <f>IF(B4902,MOD(A4902-1,Days),"")</f>
        <v/>
      </c>
      <c r="E4902" s="16">
        <f>IF(B4902,StartDate+D4902,"")</f>
        <v/>
      </c>
      <c r="F4902">
        <f>IF(B4902,MAX(MOD(SIN(Seed*0.1373+C4902*12.9898+D4902*78.233)*43758.5453,1),1E-9),"")</f>
        <v/>
      </c>
      <c r="G4902">
        <f>IF(B4902,MOD(SIN(Seed*0.5917+C4902*39.3468+D4902*11.135)*24634.6345,1),"")</f>
        <v/>
      </c>
      <c r="H4902">
        <f>IF(B4902,SQRT(-2*LN(F4902))*COS(2*PI()*G4902),"")</f>
        <v/>
      </c>
      <c r="I4902">
        <f>IF(B4902,IF(D4902=0,H4902,Rho*I4901+SQRT(1-Rho^2)*H4902),"")</f>
        <v/>
      </c>
      <c r="J4902">
        <f>IF(B4902,IF(Dist="Normal",DistA+DistB*I4902,DistA+(DistB-DistA)*NORMSDIST(I4902)),"")</f>
        <v/>
      </c>
      <c r="K4902">
        <f>IF(B4902,INDEX(MineScale,C4902),"")</f>
        <v/>
      </c>
      <c r="L4902">
        <f>IF(B4902,INDEX(Dow,1,WEEKDAY(E4902,2)),"")</f>
        <v/>
      </c>
      <c r="M4902">
        <f>IF(B4902,(1+Trend)^D4902,"")</f>
        <v/>
      </c>
      <c r="N4902">
        <f>IF(B4902,EXP(SUMPRODUCT(LN(1+(EvEff-1)*INDEX(Affected,0,C4902)*EXP(-((E4902-EvCenter)^2)/(2*EvSigma^2))))),"")</f>
        <v/>
      </c>
      <c r="O4902">
        <f>IF(B4902,ROUND(MAX(0,J4902*K4902*L4902*M4902*N4902),2),"")</f>
        <v/>
      </c>
    </row>
    <row r="4903">
      <c r="A4903" t="n">
        <v>4902</v>
      </c>
      <c r="B4903">
        <f>A4903&lt;=MineCount*Days</f>
        <v/>
      </c>
      <c r="C4903">
        <f>IF(B4903,INT((A4903-1)/Days)+1,"")</f>
        <v/>
      </c>
      <c r="D4903">
        <f>IF(B4903,MOD(A4903-1,Days),"")</f>
        <v/>
      </c>
      <c r="E4903" s="16">
        <f>IF(B4903,StartDate+D4903,"")</f>
        <v/>
      </c>
      <c r="F4903">
        <f>IF(B4903,MAX(MOD(SIN(Seed*0.1373+C4903*12.9898+D4903*78.233)*43758.5453,1),1E-9),"")</f>
        <v/>
      </c>
      <c r="G4903">
        <f>IF(B4903,MOD(SIN(Seed*0.5917+C4903*39.3468+D4903*11.135)*24634.6345,1),"")</f>
        <v/>
      </c>
      <c r="H4903">
        <f>IF(B4903,SQRT(-2*LN(F4903))*COS(2*PI()*G4903),"")</f>
        <v/>
      </c>
      <c r="I4903">
        <f>IF(B4903,IF(D4903=0,H4903,Rho*I4902+SQRT(1-Rho^2)*H4903),"")</f>
        <v/>
      </c>
      <c r="J4903">
        <f>IF(B4903,IF(Dist="Normal",DistA+DistB*I4903,DistA+(DistB-DistA)*NORMSDIST(I4903)),"")</f>
        <v/>
      </c>
      <c r="K4903">
        <f>IF(B4903,INDEX(MineScale,C4903),"")</f>
        <v/>
      </c>
      <c r="L4903">
        <f>IF(B4903,INDEX(Dow,1,WEEKDAY(E4903,2)),"")</f>
        <v/>
      </c>
      <c r="M4903">
        <f>IF(B4903,(1+Trend)^D4903,"")</f>
        <v/>
      </c>
      <c r="N4903">
        <f>IF(B4903,EXP(SUMPRODUCT(LN(1+(EvEff-1)*INDEX(Affected,0,C4903)*EXP(-((E4903-EvCenter)^2)/(2*EvSigma^2))))),"")</f>
        <v/>
      </c>
      <c r="O4903">
        <f>IF(B4903,ROUND(MAX(0,J4903*K4903*L4903*M4903*N4903),2),"")</f>
        <v/>
      </c>
    </row>
    <row r="4904">
      <c r="A4904" t="n">
        <v>4903</v>
      </c>
      <c r="B4904">
        <f>A4904&lt;=MineCount*Days</f>
        <v/>
      </c>
      <c r="C4904">
        <f>IF(B4904,INT((A4904-1)/Days)+1,"")</f>
        <v/>
      </c>
      <c r="D4904">
        <f>IF(B4904,MOD(A4904-1,Days),"")</f>
        <v/>
      </c>
      <c r="E4904" s="16">
        <f>IF(B4904,StartDate+D4904,"")</f>
        <v/>
      </c>
      <c r="F4904">
        <f>IF(B4904,MAX(MOD(SIN(Seed*0.1373+C4904*12.9898+D4904*78.233)*43758.5453,1),1E-9),"")</f>
        <v/>
      </c>
      <c r="G4904">
        <f>IF(B4904,MOD(SIN(Seed*0.5917+C4904*39.3468+D4904*11.135)*24634.6345,1),"")</f>
        <v/>
      </c>
      <c r="H4904">
        <f>IF(B4904,SQRT(-2*LN(F4904))*COS(2*PI()*G4904),"")</f>
        <v/>
      </c>
      <c r="I4904">
        <f>IF(B4904,IF(D4904=0,H4904,Rho*I4903+SQRT(1-Rho^2)*H4904),"")</f>
        <v/>
      </c>
      <c r="J4904">
        <f>IF(B4904,IF(Dist="Normal",DistA+DistB*I4904,DistA+(DistB-DistA)*NORMSDIST(I4904)),"")</f>
        <v/>
      </c>
      <c r="K4904">
        <f>IF(B4904,INDEX(MineScale,C4904),"")</f>
        <v/>
      </c>
      <c r="L4904">
        <f>IF(B4904,INDEX(Dow,1,WEEKDAY(E4904,2)),"")</f>
        <v/>
      </c>
      <c r="M4904">
        <f>IF(B4904,(1+Trend)^D4904,"")</f>
        <v/>
      </c>
      <c r="N4904">
        <f>IF(B4904,EXP(SUMPRODUCT(LN(1+(EvEff-1)*INDEX(Affected,0,C4904)*EXP(-((E4904-EvCenter)^2)/(2*EvSigma^2))))),"")</f>
        <v/>
      </c>
      <c r="O4904">
        <f>IF(B4904,ROUND(MAX(0,J4904*K4904*L4904*M4904*N4904),2),"")</f>
        <v/>
      </c>
    </row>
    <row r="4905">
      <c r="A4905" t="n">
        <v>4904</v>
      </c>
      <c r="B4905">
        <f>A4905&lt;=MineCount*Days</f>
        <v/>
      </c>
      <c r="C4905">
        <f>IF(B4905,INT((A4905-1)/Days)+1,"")</f>
        <v/>
      </c>
      <c r="D4905">
        <f>IF(B4905,MOD(A4905-1,Days),"")</f>
        <v/>
      </c>
      <c r="E4905" s="16">
        <f>IF(B4905,StartDate+D4905,"")</f>
        <v/>
      </c>
      <c r="F4905">
        <f>IF(B4905,MAX(MOD(SIN(Seed*0.1373+C4905*12.9898+D4905*78.233)*43758.5453,1),1E-9),"")</f>
        <v/>
      </c>
      <c r="G4905">
        <f>IF(B4905,MOD(SIN(Seed*0.5917+C4905*39.3468+D4905*11.135)*24634.6345,1),"")</f>
        <v/>
      </c>
      <c r="H4905">
        <f>IF(B4905,SQRT(-2*LN(F4905))*COS(2*PI()*G4905),"")</f>
        <v/>
      </c>
      <c r="I4905">
        <f>IF(B4905,IF(D4905=0,H4905,Rho*I4904+SQRT(1-Rho^2)*H4905),"")</f>
        <v/>
      </c>
      <c r="J4905">
        <f>IF(B4905,IF(Dist="Normal",DistA+DistB*I4905,DistA+(DistB-DistA)*NORMSDIST(I4905)),"")</f>
        <v/>
      </c>
      <c r="K4905">
        <f>IF(B4905,INDEX(MineScale,C4905),"")</f>
        <v/>
      </c>
      <c r="L4905">
        <f>IF(B4905,INDEX(Dow,1,WEEKDAY(E4905,2)),"")</f>
        <v/>
      </c>
      <c r="M4905">
        <f>IF(B4905,(1+Trend)^D4905,"")</f>
        <v/>
      </c>
      <c r="N4905">
        <f>IF(B4905,EXP(SUMPRODUCT(LN(1+(EvEff-1)*INDEX(Affected,0,C4905)*EXP(-((E4905-EvCenter)^2)/(2*EvSigma^2))))),"")</f>
        <v/>
      </c>
      <c r="O4905">
        <f>IF(B4905,ROUND(MAX(0,J4905*K4905*L4905*M4905*N4905),2),"")</f>
        <v/>
      </c>
    </row>
    <row r="4906">
      <c r="A4906" t="n">
        <v>4905</v>
      </c>
      <c r="B4906">
        <f>A4906&lt;=MineCount*Days</f>
        <v/>
      </c>
      <c r="C4906">
        <f>IF(B4906,INT((A4906-1)/Days)+1,"")</f>
        <v/>
      </c>
      <c r="D4906">
        <f>IF(B4906,MOD(A4906-1,Days),"")</f>
        <v/>
      </c>
      <c r="E4906" s="16">
        <f>IF(B4906,StartDate+D4906,"")</f>
        <v/>
      </c>
      <c r="F4906">
        <f>IF(B4906,MAX(MOD(SIN(Seed*0.1373+C4906*12.9898+D4906*78.233)*43758.5453,1),1E-9),"")</f>
        <v/>
      </c>
      <c r="G4906">
        <f>IF(B4906,MOD(SIN(Seed*0.5917+C4906*39.3468+D4906*11.135)*24634.6345,1),"")</f>
        <v/>
      </c>
      <c r="H4906">
        <f>IF(B4906,SQRT(-2*LN(F4906))*COS(2*PI()*G4906),"")</f>
        <v/>
      </c>
      <c r="I4906">
        <f>IF(B4906,IF(D4906=0,H4906,Rho*I4905+SQRT(1-Rho^2)*H4906),"")</f>
        <v/>
      </c>
      <c r="J4906">
        <f>IF(B4906,IF(Dist="Normal",DistA+DistB*I4906,DistA+(DistB-DistA)*NORMSDIST(I4906)),"")</f>
        <v/>
      </c>
      <c r="K4906">
        <f>IF(B4906,INDEX(MineScale,C4906),"")</f>
        <v/>
      </c>
      <c r="L4906">
        <f>IF(B4906,INDEX(Dow,1,WEEKDAY(E4906,2)),"")</f>
        <v/>
      </c>
      <c r="M4906">
        <f>IF(B4906,(1+Trend)^D4906,"")</f>
        <v/>
      </c>
      <c r="N4906">
        <f>IF(B4906,EXP(SUMPRODUCT(LN(1+(EvEff-1)*INDEX(Affected,0,C4906)*EXP(-((E4906-EvCenter)^2)/(2*EvSigma^2))))),"")</f>
        <v/>
      </c>
      <c r="O4906">
        <f>IF(B4906,ROUND(MAX(0,J4906*K4906*L4906*M4906*N4906),2),"")</f>
        <v/>
      </c>
    </row>
    <row r="4907">
      <c r="A4907" t="n">
        <v>4906</v>
      </c>
      <c r="B4907">
        <f>A4907&lt;=MineCount*Days</f>
        <v/>
      </c>
      <c r="C4907">
        <f>IF(B4907,INT((A4907-1)/Days)+1,"")</f>
        <v/>
      </c>
      <c r="D4907">
        <f>IF(B4907,MOD(A4907-1,Days),"")</f>
        <v/>
      </c>
      <c r="E4907" s="16">
        <f>IF(B4907,StartDate+D4907,"")</f>
        <v/>
      </c>
      <c r="F4907">
        <f>IF(B4907,MAX(MOD(SIN(Seed*0.1373+C4907*12.9898+D4907*78.233)*43758.5453,1),1E-9),"")</f>
        <v/>
      </c>
      <c r="G4907">
        <f>IF(B4907,MOD(SIN(Seed*0.5917+C4907*39.3468+D4907*11.135)*24634.6345,1),"")</f>
        <v/>
      </c>
      <c r="H4907">
        <f>IF(B4907,SQRT(-2*LN(F4907))*COS(2*PI()*G4907),"")</f>
        <v/>
      </c>
      <c r="I4907">
        <f>IF(B4907,IF(D4907=0,H4907,Rho*I4906+SQRT(1-Rho^2)*H4907),"")</f>
        <v/>
      </c>
      <c r="J4907">
        <f>IF(B4907,IF(Dist="Normal",DistA+DistB*I4907,DistA+(DistB-DistA)*NORMSDIST(I4907)),"")</f>
        <v/>
      </c>
      <c r="K4907">
        <f>IF(B4907,INDEX(MineScale,C4907),"")</f>
        <v/>
      </c>
      <c r="L4907">
        <f>IF(B4907,INDEX(Dow,1,WEEKDAY(E4907,2)),"")</f>
        <v/>
      </c>
      <c r="M4907">
        <f>IF(B4907,(1+Trend)^D4907,"")</f>
        <v/>
      </c>
      <c r="N4907">
        <f>IF(B4907,EXP(SUMPRODUCT(LN(1+(EvEff-1)*INDEX(Affected,0,C4907)*EXP(-((E4907-EvCenter)^2)/(2*EvSigma^2))))),"")</f>
        <v/>
      </c>
      <c r="O4907">
        <f>IF(B4907,ROUND(MAX(0,J4907*K4907*L4907*M4907*N4907),2),"")</f>
        <v/>
      </c>
    </row>
    <row r="4908">
      <c r="A4908" t="n">
        <v>4907</v>
      </c>
      <c r="B4908">
        <f>A4908&lt;=MineCount*Days</f>
        <v/>
      </c>
      <c r="C4908">
        <f>IF(B4908,INT((A4908-1)/Days)+1,"")</f>
        <v/>
      </c>
      <c r="D4908">
        <f>IF(B4908,MOD(A4908-1,Days),"")</f>
        <v/>
      </c>
      <c r="E4908" s="16">
        <f>IF(B4908,StartDate+D4908,"")</f>
        <v/>
      </c>
      <c r="F4908">
        <f>IF(B4908,MAX(MOD(SIN(Seed*0.1373+C4908*12.9898+D4908*78.233)*43758.5453,1),1E-9),"")</f>
        <v/>
      </c>
      <c r="G4908">
        <f>IF(B4908,MOD(SIN(Seed*0.5917+C4908*39.3468+D4908*11.135)*24634.6345,1),"")</f>
        <v/>
      </c>
      <c r="H4908">
        <f>IF(B4908,SQRT(-2*LN(F4908))*COS(2*PI()*G4908),"")</f>
        <v/>
      </c>
      <c r="I4908">
        <f>IF(B4908,IF(D4908=0,H4908,Rho*I4907+SQRT(1-Rho^2)*H4908),"")</f>
        <v/>
      </c>
      <c r="J4908">
        <f>IF(B4908,IF(Dist="Normal",DistA+DistB*I4908,DistA+(DistB-DistA)*NORMSDIST(I4908)),"")</f>
        <v/>
      </c>
      <c r="K4908">
        <f>IF(B4908,INDEX(MineScale,C4908),"")</f>
        <v/>
      </c>
      <c r="L4908">
        <f>IF(B4908,INDEX(Dow,1,WEEKDAY(E4908,2)),"")</f>
        <v/>
      </c>
      <c r="M4908">
        <f>IF(B4908,(1+Trend)^D4908,"")</f>
        <v/>
      </c>
      <c r="N4908">
        <f>IF(B4908,EXP(SUMPRODUCT(LN(1+(EvEff-1)*INDEX(Affected,0,C4908)*EXP(-((E4908-EvCenter)^2)/(2*EvSigma^2))))),"")</f>
        <v/>
      </c>
      <c r="O4908">
        <f>IF(B4908,ROUND(MAX(0,J4908*K4908*L4908*M4908*N4908),2),"")</f>
        <v/>
      </c>
    </row>
    <row r="4909">
      <c r="A4909" t="n">
        <v>4908</v>
      </c>
      <c r="B4909">
        <f>A4909&lt;=MineCount*Days</f>
        <v/>
      </c>
      <c r="C4909">
        <f>IF(B4909,INT((A4909-1)/Days)+1,"")</f>
        <v/>
      </c>
      <c r="D4909">
        <f>IF(B4909,MOD(A4909-1,Days),"")</f>
        <v/>
      </c>
      <c r="E4909" s="16">
        <f>IF(B4909,StartDate+D4909,"")</f>
        <v/>
      </c>
      <c r="F4909">
        <f>IF(B4909,MAX(MOD(SIN(Seed*0.1373+C4909*12.9898+D4909*78.233)*43758.5453,1),1E-9),"")</f>
        <v/>
      </c>
      <c r="G4909">
        <f>IF(B4909,MOD(SIN(Seed*0.5917+C4909*39.3468+D4909*11.135)*24634.6345,1),"")</f>
        <v/>
      </c>
      <c r="H4909">
        <f>IF(B4909,SQRT(-2*LN(F4909))*COS(2*PI()*G4909),"")</f>
        <v/>
      </c>
      <c r="I4909">
        <f>IF(B4909,IF(D4909=0,H4909,Rho*I4908+SQRT(1-Rho^2)*H4909),"")</f>
        <v/>
      </c>
      <c r="J4909">
        <f>IF(B4909,IF(Dist="Normal",DistA+DistB*I4909,DistA+(DistB-DistA)*NORMSDIST(I4909)),"")</f>
        <v/>
      </c>
      <c r="K4909">
        <f>IF(B4909,INDEX(MineScale,C4909),"")</f>
        <v/>
      </c>
      <c r="L4909">
        <f>IF(B4909,INDEX(Dow,1,WEEKDAY(E4909,2)),"")</f>
        <v/>
      </c>
      <c r="M4909">
        <f>IF(B4909,(1+Trend)^D4909,"")</f>
        <v/>
      </c>
      <c r="N4909">
        <f>IF(B4909,EXP(SUMPRODUCT(LN(1+(EvEff-1)*INDEX(Affected,0,C4909)*EXP(-((E4909-EvCenter)^2)/(2*EvSigma^2))))),"")</f>
        <v/>
      </c>
      <c r="O4909">
        <f>IF(B4909,ROUND(MAX(0,J4909*K4909*L4909*M4909*N4909),2),"")</f>
        <v/>
      </c>
    </row>
    <row r="4910">
      <c r="A4910" t="n">
        <v>4909</v>
      </c>
      <c r="B4910">
        <f>A4910&lt;=MineCount*Days</f>
        <v/>
      </c>
      <c r="C4910">
        <f>IF(B4910,INT((A4910-1)/Days)+1,"")</f>
        <v/>
      </c>
      <c r="D4910">
        <f>IF(B4910,MOD(A4910-1,Days),"")</f>
        <v/>
      </c>
      <c r="E4910" s="16">
        <f>IF(B4910,StartDate+D4910,"")</f>
        <v/>
      </c>
      <c r="F4910">
        <f>IF(B4910,MAX(MOD(SIN(Seed*0.1373+C4910*12.9898+D4910*78.233)*43758.5453,1),1E-9),"")</f>
        <v/>
      </c>
      <c r="G4910">
        <f>IF(B4910,MOD(SIN(Seed*0.5917+C4910*39.3468+D4910*11.135)*24634.6345,1),"")</f>
        <v/>
      </c>
      <c r="H4910">
        <f>IF(B4910,SQRT(-2*LN(F4910))*COS(2*PI()*G4910),"")</f>
        <v/>
      </c>
      <c r="I4910">
        <f>IF(B4910,IF(D4910=0,H4910,Rho*I4909+SQRT(1-Rho^2)*H4910),"")</f>
        <v/>
      </c>
      <c r="J4910">
        <f>IF(B4910,IF(Dist="Normal",DistA+DistB*I4910,DistA+(DistB-DistA)*NORMSDIST(I4910)),"")</f>
        <v/>
      </c>
      <c r="K4910">
        <f>IF(B4910,INDEX(MineScale,C4910),"")</f>
        <v/>
      </c>
      <c r="L4910">
        <f>IF(B4910,INDEX(Dow,1,WEEKDAY(E4910,2)),"")</f>
        <v/>
      </c>
      <c r="M4910">
        <f>IF(B4910,(1+Trend)^D4910,"")</f>
        <v/>
      </c>
      <c r="N4910">
        <f>IF(B4910,EXP(SUMPRODUCT(LN(1+(EvEff-1)*INDEX(Affected,0,C4910)*EXP(-((E4910-EvCenter)^2)/(2*EvSigma^2))))),"")</f>
        <v/>
      </c>
      <c r="O4910">
        <f>IF(B4910,ROUND(MAX(0,J4910*K4910*L4910*M4910*N4910),2),"")</f>
        <v/>
      </c>
    </row>
    <row r="4911">
      <c r="A4911" t="n">
        <v>4910</v>
      </c>
      <c r="B4911">
        <f>A4911&lt;=MineCount*Days</f>
        <v/>
      </c>
      <c r="C4911">
        <f>IF(B4911,INT((A4911-1)/Days)+1,"")</f>
        <v/>
      </c>
      <c r="D4911">
        <f>IF(B4911,MOD(A4911-1,Days),"")</f>
        <v/>
      </c>
      <c r="E4911" s="16">
        <f>IF(B4911,StartDate+D4911,"")</f>
        <v/>
      </c>
      <c r="F4911">
        <f>IF(B4911,MAX(MOD(SIN(Seed*0.1373+C4911*12.9898+D4911*78.233)*43758.5453,1),1E-9),"")</f>
        <v/>
      </c>
      <c r="G4911">
        <f>IF(B4911,MOD(SIN(Seed*0.5917+C4911*39.3468+D4911*11.135)*24634.6345,1),"")</f>
        <v/>
      </c>
      <c r="H4911">
        <f>IF(B4911,SQRT(-2*LN(F4911))*COS(2*PI()*G4911),"")</f>
        <v/>
      </c>
      <c r="I4911">
        <f>IF(B4911,IF(D4911=0,H4911,Rho*I4910+SQRT(1-Rho^2)*H4911),"")</f>
        <v/>
      </c>
      <c r="J4911">
        <f>IF(B4911,IF(Dist="Normal",DistA+DistB*I4911,DistA+(DistB-DistA)*NORMSDIST(I4911)),"")</f>
        <v/>
      </c>
      <c r="K4911">
        <f>IF(B4911,INDEX(MineScale,C4911),"")</f>
        <v/>
      </c>
      <c r="L4911">
        <f>IF(B4911,INDEX(Dow,1,WEEKDAY(E4911,2)),"")</f>
        <v/>
      </c>
      <c r="M4911">
        <f>IF(B4911,(1+Trend)^D4911,"")</f>
        <v/>
      </c>
      <c r="N4911">
        <f>IF(B4911,EXP(SUMPRODUCT(LN(1+(EvEff-1)*INDEX(Affected,0,C4911)*EXP(-((E4911-EvCenter)^2)/(2*EvSigma^2))))),"")</f>
        <v/>
      </c>
      <c r="O4911">
        <f>IF(B4911,ROUND(MAX(0,J4911*K4911*L4911*M4911*N4911),2),"")</f>
        <v/>
      </c>
    </row>
    <row r="4912">
      <c r="A4912" t="n">
        <v>4911</v>
      </c>
      <c r="B4912">
        <f>A4912&lt;=MineCount*Days</f>
        <v/>
      </c>
      <c r="C4912">
        <f>IF(B4912,INT((A4912-1)/Days)+1,"")</f>
        <v/>
      </c>
      <c r="D4912">
        <f>IF(B4912,MOD(A4912-1,Days),"")</f>
        <v/>
      </c>
      <c r="E4912" s="16">
        <f>IF(B4912,StartDate+D4912,"")</f>
        <v/>
      </c>
      <c r="F4912">
        <f>IF(B4912,MAX(MOD(SIN(Seed*0.1373+C4912*12.9898+D4912*78.233)*43758.5453,1),1E-9),"")</f>
        <v/>
      </c>
      <c r="G4912">
        <f>IF(B4912,MOD(SIN(Seed*0.5917+C4912*39.3468+D4912*11.135)*24634.6345,1),"")</f>
        <v/>
      </c>
      <c r="H4912">
        <f>IF(B4912,SQRT(-2*LN(F4912))*COS(2*PI()*G4912),"")</f>
        <v/>
      </c>
      <c r="I4912">
        <f>IF(B4912,IF(D4912=0,H4912,Rho*I4911+SQRT(1-Rho^2)*H4912),"")</f>
        <v/>
      </c>
      <c r="J4912">
        <f>IF(B4912,IF(Dist="Normal",DistA+DistB*I4912,DistA+(DistB-DistA)*NORMSDIST(I4912)),"")</f>
        <v/>
      </c>
      <c r="K4912">
        <f>IF(B4912,INDEX(MineScale,C4912),"")</f>
        <v/>
      </c>
      <c r="L4912">
        <f>IF(B4912,INDEX(Dow,1,WEEKDAY(E4912,2)),"")</f>
        <v/>
      </c>
      <c r="M4912">
        <f>IF(B4912,(1+Trend)^D4912,"")</f>
        <v/>
      </c>
      <c r="N4912">
        <f>IF(B4912,EXP(SUMPRODUCT(LN(1+(EvEff-1)*INDEX(Affected,0,C4912)*EXP(-((E4912-EvCenter)^2)/(2*EvSigma^2))))),"")</f>
        <v/>
      </c>
      <c r="O4912">
        <f>IF(B4912,ROUND(MAX(0,J4912*K4912*L4912*M4912*N4912),2),"")</f>
        <v/>
      </c>
    </row>
    <row r="4913">
      <c r="A4913" t="n">
        <v>4912</v>
      </c>
      <c r="B4913">
        <f>A4913&lt;=MineCount*Days</f>
        <v/>
      </c>
      <c r="C4913">
        <f>IF(B4913,INT((A4913-1)/Days)+1,"")</f>
        <v/>
      </c>
      <c r="D4913">
        <f>IF(B4913,MOD(A4913-1,Days),"")</f>
        <v/>
      </c>
      <c r="E4913" s="16">
        <f>IF(B4913,StartDate+D4913,"")</f>
        <v/>
      </c>
      <c r="F4913">
        <f>IF(B4913,MAX(MOD(SIN(Seed*0.1373+C4913*12.9898+D4913*78.233)*43758.5453,1),1E-9),"")</f>
        <v/>
      </c>
      <c r="G4913">
        <f>IF(B4913,MOD(SIN(Seed*0.5917+C4913*39.3468+D4913*11.135)*24634.6345,1),"")</f>
        <v/>
      </c>
      <c r="H4913">
        <f>IF(B4913,SQRT(-2*LN(F4913))*COS(2*PI()*G4913),"")</f>
        <v/>
      </c>
      <c r="I4913">
        <f>IF(B4913,IF(D4913=0,H4913,Rho*I4912+SQRT(1-Rho^2)*H4913),"")</f>
        <v/>
      </c>
      <c r="J4913">
        <f>IF(B4913,IF(Dist="Normal",DistA+DistB*I4913,DistA+(DistB-DistA)*NORMSDIST(I4913)),"")</f>
        <v/>
      </c>
      <c r="K4913">
        <f>IF(B4913,INDEX(MineScale,C4913),"")</f>
        <v/>
      </c>
      <c r="L4913">
        <f>IF(B4913,INDEX(Dow,1,WEEKDAY(E4913,2)),"")</f>
        <v/>
      </c>
      <c r="M4913">
        <f>IF(B4913,(1+Trend)^D4913,"")</f>
        <v/>
      </c>
      <c r="N4913">
        <f>IF(B4913,EXP(SUMPRODUCT(LN(1+(EvEff-1)*INDEX(Affected,0,C4913)*EXP(-((E4913-EvCenter)^2)/(2*EvSigma^2))))),"")</f>
        <v/>
      </c>
      <c r="O4913">
        <f>IF(B4913,ROUND(MAX(0,J4913*K4913*L4913*M4913*N4913),2),"")</f>
        <v/>
      </c>
    </row>
    <row r="4914">
      <c r="A4914" t="n">
        <v>4913</v>
      </c>
      <c r="B4914">
        <f>A4914&lt;=MineCount*Days</f>
        <v/>
      </c>
      <c r="C4914">
        <f>IF(B4914,INT((A4914-1)/Days)+1,"")</f>
        <v/>
      </c>
      <c r="D4914">
        <f>IF(B4914,MOD(A4914-1,Days),"")</f>
        <v/>
      </c>
      <c r="E4914" s="16">
        <f>IF(B4914,StartDate+D4914,"")</f>
        <v/>
      </c>
      <c r="F4914">
        <f>IF(B4914,MAX(MOD(SIN(Seed*0.1373+C4914*12.9898+D4914*78.233)*43758.5453,1),1E-9),"")</f>
        <v/>
      </c>
      <c r="G4914">
        <f>IF(B4914,MOD(SIN(Seed*0.5917+C4914*39.3468+D4914*11.135)*24634.6345,1),"")</f>
        <v/>
      </c>
      <c r="H4914">
        <f>IF(B4914,SQRT(-2*LN(F4914))*COS(2*PI()*G4914),"")</f>
        <v/>
      </c>
      <c r="I4914">
        <f>IF(B4914,IF(D4914=0,H4914,Rho*I4913+SQRT(1-Rho^2)*H4914),"")</f>
        <v/>
      </c>
      <c r="J4914">
        <f>IF(B4914,IF(Dist="Normal",DistA+DistB*I4914,DistA+(DistB-DistA)*NORMSDIST(I4914)),"")</f>
        <v/>
      </c>
      <c r="K4914">
        <f>IF(B4914,INDEX(MineScale,C4914),"")</f>
        <v/>
      </c>
      <c r="L4914">
        <f>IF(B4914,INDEX(Dow,1,WEEKDAY(E4914,2)),"")</f>
        <v/>
      </c>
      <c r="M4914">
        <f>IF(B4914,(1+Trend)^D4914,"")</f>
        <v/>
      </c>
      <c r="N4914">
        <f>IF(B4914,EXP(SUMPRODUCT(LN(1+(EvEff-1)*INDEX(Affected,0,C4914)*EXP(-((E4914-EvCenter)^2)/(2*EvSigma^2))))),"")</f>
        <v/>
      </c>
      <c r="O4914">
        <f>IF(B4914,ROUND(MAX(0,J4914*K4914*L4914*M4914*N4914),2),"")</f>
        <v/>
      </c>
    </row>
    <row r="4915">
      <c r="A4915" t="n">
        <v>4914</v>
      </c>
      <c r="B4915">
        <f>A4915&lt;=MineCount*Days</f>
        <v/>
      </c>
      <c r="C4915">
        <f>IF(B4915,INT((A4915-1)/Days)+1,"")</f>
        <v/>
      </c>
      <c r="D4915">
        <f>IF(B4915,MOD(A4915-1,Days),"")</f>
        <v/>
      </c>
      <c r="E4915" s="16">
        <f>IF(B4915,StartDate+D4915,"")</f>
        <v/>
      </c>
      <c r="F4915">
        <f>IF(B4915,MAX(MOD(SIN(Seed*0.1373+C4915*12.9898+D4915*78.233)*43758.5453,1),1E-9),"")</f>
        <v/>
      </c>
      <c r="G4915">
        <f>IF(B4915,MOD(SIN(Seed*0.5917+C4915*39.3468+D4915*11.135)*24634.6345,1),"")</f>
        <v/>
      </c>
      <c r="H4915">
        <f>IF(B4915,SQRT(-2*LN(F4915))*COS(2*PI()*G4915),"")</f>
        <v/>
      </c>
      <c r="I4915">
        <f>IF(B4915,IF(D4915=0,H4915,Rho*I4914+SQRT(1-Rho^2)*H4915),"")</f>
        <v/>
      </c>
      <c r="J4915">
        <f>IF(B4915,IF(Dist="Normal",DistA+DistB*I4915,DistA+(DistB-DistA)*NORMSDIST(I4915)),"")</f>
        <v/>
      </c>
      <c r="K4915">
        <f>IF(B4915,INDEX(MineScale,C4915),"")</f>
        <v/>
      </c>
      <c r="L4915">
        <f>IF(B4915,INDEX(Dow,1,WEEKDAY(E4915,2)),"")</f>
        <v/>
      </c>
      <c r="M4915">
        <f>IF(B4915,(1+Trend)^D4915,"")</f>
        <v/>
      </c>
      <c r="N4915">
        <f>IF(B4915,EXP(SUMPRODUCT(LN(1+(EvEff-1)*INDEX(Affected,0,C4915)*EXP(-((E4915-EvCenter)^2)/(2*EvSigma^2))))),"")</f>
        <v/>
      </c>
      <c r="O4915">
        <f>IF(B4915,ROUND(MAX(0,J4915*K4915*L4915*M4915*N4915),2),"")</f>
        <v/>
      </c>
    </row>
    <row r="4916">
      <c r="A4916" t="n">
        <v>4915</v>
      </c>
      <c r="B4916">
        <f>A4916&lt;=MineCount*Days</f>
        <v/>
      </c>
      <c r="C4916">
        <f>IF(B4916,INT((A4916-1)/Days)+1,"")</f>
        <v/>
      </c>
      <c r="D4916">
        <f>IF(B4916,MOD(A4916-1,Days),"")</f>
        <v/>
      </c>
      <c r="E4916" s="16">
        <f>IF(B4916,StartDate+D4916,"")</f>
        <v/>
      </c>
      <c r="F4916">
        <f>IF(B4916,MAX(MOD(SIN(Seed*0.1373+C4916*12.9898+D4916*78.233)*43758.5453,1),1E-9),"")</f>
        <v/>
      </c>
      <c r="G4916">
        <f>IF(B4916,MOD(SIN(Seed*0.5917+C4916*39.3468+D4916*11.135)*24634.6345,1),"")</f>
        <v/>
      </c>
      <c r="H4916">
        <f>IF(B4916,SQRT(-2*LN(F4916))*COS(2*PI()*G4916),"")</f>
        <v/>
      </c>
      <c r="I4916">
        <f>IF(B4916,IF(D4916=0,H4916,Rho*I4915+SQRT(1-Rho^2)*H4916),"")</f>
        <v/>
      </c>
      <c r="J4916">
        <f>IF(B4916,IF(Dist="Normal",DistA+DistB*I4916,DistA+(DistB-DistA)*NORMSDIST(I4916)),"")</f>
        <v/>
      </c>
      <c r="K4916">
        <f>IF(B4916,INDEX(MineScale,C4916),"")</f>
        <v/>
      </c>
      <c r="L4916">
        <f>IF(B4916,INDEX(Dow,1,WEEKDAY(E4916,2)),"")</f>
        <v/>
      </c>
      <c r="M4916">
        <f>IF(B4916,(1+Trend)^D4916,"")</f>
        <v/>
      </c>
      <c r="N4916">
        <f>IF(B4916,EXP(SUMPRODUCT(LN(1+(EvEff-1)*INDEX(Affected,0,C4916)*EXP(-((E4916-EvCenter)^2)/(2*EvSigma^2))))),"")</f>
        <v/>
      </c>
      <c r="O4916">
        <f>IF(B4916,ROUND(MAX(0,J4916*K4916*L4916*M4916*N4916),2),"")</f>
        <v/>
      </c>
    </row>
    <row r="4917">
      <c r="A4917" t="n">
        <v>4916</v>
      </c>
      <c r="B4917">
        <f>A4917&lt;=MineCount*Days</f>
        <v/>
      </c>
      <c r="C4917">
        <f>IF(B4917,INT((A4917-1)/Days)+1,"")</f>
        <v/>
      </c>
      <c r="D4917">
        <f>IF(B4917,MOD(A4917-1,Days),"")</f>
        <v/>
      </c>
      <c r="E4917" s="16">
        <f>IF(B4917,StartDate+D4917,"")</f>
        <v/>
      </c>
      <c r="F4917">
        <f>IF(B4917,MAX(MOD(SIN(Seed*0.1373+C4917*12.9898+D4917*78.233)*43758.5453,1),1E-9),"")</f>
        <v/>
      </c>
      <c r="G4917">
        <f>IF(B4917,MOD(SIN(Seed*0.5917+C4917*39.3468+D4917*11.135)*24634.6345,1),"")</f>
        <v/>
      </c>
      <c r="H4917">
        <f>IF(B4917,SQRT(-2*LN(F4917))*COS(2*PI()*G4917),"")</f>
        <v/>
      </c>
      <c r="I4917">
        <f>IF(B4917,IF(D4917=0,H4917,Rho*I4916+SQRT(1-Rho^2)*H4917),"")</f>
        <v/>
      </c>
      <c r="J4917">
        <f>IF(B4917,IF(Dist="Normal",DistA+DistB*I4917,DistA+(DistB-DistA)*NORMSDIST(I4917)),"")</f>
        <v/>
      </c>
      <c r="K4917">
        <f>IF(B4917,INDEX(MineScale,C4917),"")</f>
        <v/>
      </c>
      <c r="L4917">
        <f>IF(B4917,INDEX(Dow,1,WEEKDAY(E4917,2)),"")</f>
        <v/>
      </c>
      <c r="M4917">
        <f>IF(B4917,(1+Trend)^D4917,"")</f>
        <v/>
      </c>
      <c r="N4917">
        <f>IF(B4917,EXP(SUMPRODUCT(LN(1+(EvEff-1)*INDEX(Affected,0,C4917)*EXP(-((E4917-EvCenter)^2)/(2*EvSigma^2))))),"")</f>
        <v/>
      </c>
      <c r="O4917">
        <f>IF(B4917,ROUND(MAX(0,J4917*K4917*L4917*M4917*N4917),2),"")</f>
        <v/>
      </c>
    </row>
    <row r="4918">
      <c r="A4918" t="n">
        <v>4917</v>
      </c>
      <c r="B4918">
        <f>A4918&lt;=MineCount*Days</f>
        <v/>
      </c>
      <c r="C4918">
        <f>IF(B4918,INT((A4918-1)/Days)+1,"")</f>
        <v/>
      </c>
      <c r="D4918">
        <f>IF(B4918,MOD(A4918-1,Days),"")</f>
        <v/>
      </c>
      <c r="E4918" s="16">
        <f>IF(B4918,StartDate+D4918,"")</f>
        <v/>
      </c>
      <c r="F4918">
        <f>IF(B4918,MAX(MOD(SIN(Seed*0.1373+C4918*12.9898+D4918*78.233)*43758.5453,1),1E-9),"")</f>
        <v/>
      </c>
      <c r="G4918">
        <f>IF(B4918,MOD(SIN(Seed*0.5917+C4918*39.3468+D4918*11.135)*24634.6345,1),"")</f>
        <v/>
      </c>
      <c r="H4918">
        <f>IF(B4918,SQRT(-2*LN(F4918))*COS(2*PI()*G4918),"")</f>
        <v/>
      </c>
      <c r="I4918">
        <f>IF(B4918,IF(D4918=0,H4918,Rho*I4917+SQRT(1-Rho^2)*H4918),"")</f>
        <v/>
      </c>
      <c r="J4918">
        <f>IF(B4918,IF(Dist="Normal",DistA+DistB*I4918,DistA+(DistB-DistA)*NORMSDIST(I4918)),"")</f>
        <v/>
      </c>
      <c r="K4918">
        <f>IF(B4918,INDEX(MineScale,C4918),"")</f>
        <v/>
      </c>
      <c r="L4918">
        <f>IF(B4918,INDEX(Dow,1,WEEKDAY(E4918,2)),"")</f>
        <v/>
      </c>
      <c r="M4918">
        <f>IF(B4918,(1+Trend)^D4918,"")</f>
        <v/>
      </c>
      <c r="N4918">
        <f>IF(B4918,EXP(SUMPRODUCT(LN(1+(EvEff-1)*INDEX(Affected,0,C4918)*EXP(-((E4918-EvCenter)^2)/(2*EvSigma^2))))),"")</f>
        <v/>
      </c>
      <c r="O4918">
        <f>IF(B4918,ROUND(MAX(0,J4918*K4918*L4918*M4918*N4918),2),"")</f>
        <v/>
      </c>
    </row>
    <row r="4919">
      <c r="A4919" t="n">
        <v>4918</v>
      </c>
      <c r="B4919">
        <f>A4919&lt;=MineCount*Days</f>
        <v/>
      </c>
      <c r="C4919">
        <f>IF(B4919,INT((A4919-1)/Days)+1,"")</f>
        <v/>
      </c>
      <c r="D4919">
        <f>IF(B4919,MOD(A4919-1,Days),"")</f>
        <v/>
      </c>
      <c r="E4919" s="16">
        <f>IF(B4919,StartDate+D4919,"")</f>
        <v/>
      </c>
      <c r="F4919">
        <f>IF(B4919,MAX(MOD(SIN(Seed*0.1373+C4919*12.9898+D4919*78.233)*43758.5453,1),1E-9),"")</f>
        <v/>
      </c>
      <c r="G4919">
        <f>IF(B4919,MOD(SIN(Seed*0.5917+C4919*39.3468+D4919*11.135)*24634.6345,1),"")</f>
        <v/>
      </c>
      <c r="H4919">
        <f>IF(B4919,SQRT(-2*LN(F4919))*COS(2*PI()*G4919),"")</f>
        <v/>
      </c>
      <c r="I4919">
        <f>IF(B4919,IF(D4919=0,H4919,Rho*I4918+SQRT(1-Rho^2)*H4919),"")</f>
        <v/>
      </c>
      <c r="J4919">
        <f>IF(B4919,IF(Dist="Normal",DistA+DistB*I4919,DistA+(DistB-DistA)*NORMSDIST(I4919)),"")</f>
        <v/>
      </c>
      <c r="K4919">
        <f>IF(B4919,INDEX(MineScale,C4919),"")</f>
        <v/>
      </c>
      <c r="L4919">
        <f>IF(B4919,INDEX(Dow,1,WEEKDAY(E4919,2)),"")</f>
        <v/>
      </c>
      <c r="M4919">
        <f>IF(B4919,(1+Trend)^D4919,"")</f>
        <v/>
      </c>
      <c r="N4919">
        <f>IF(B4919,EXP(SUMPRODUCT(LN(1+(EvEff-1)*INDEX(Affected,0,C4919)*EXP(-((E4919-EvCenter)^2)/(2*EvSigma^2))))),"")</f>
        <v/>
      </c>
      <c r="O4919">
        <f>IF(B4919,ROUND(MAX(0,J4919*K4919*L4919*M4919*N4919),2),"")</f>
        <v/>
      </c>
    </row>
    <row r="4920">
      <c r="A4920" t="n">
        <v>4919</v>
      </c>
      <c r="B4920">
        <f>A4920&lt;=MineCount*Days</f>
        <v/>
      </c>
      <c r="C4920">
        <f>IF(B4920,INT((A4920-1)/Days)+1,"")</f>
        <v/>
      </c>
      <c r="D4920">
        <f>IF(B4920,MOD(A4920-1,Days),"")</f>
        <v/>
      </c>
      <c r="E4920" s="16">
        <f>IF(B4920,StartDate+D4920,"")</f>
        <v/>
      </c>
      <c r="F4920">
        <f>IF(B4920,MAX(MOD(SIN(Seed*0.1373+C4920*12.9898+D4920*78.233)*43758.5453,1),1E-9),"")</f>
        <v/>
      </c>
      <c r="G4920">
        <f>IF(B4920,MOD(SIN(Seed*0.5917+C4920*39.3468+D4920*11.135)*24634.6345,1),"")</f>
        <v/>
      </c>
      <c r="H4920">
        <f>IF(B4920,SQRT(-2*LN(F4920))*COS(2*PI()*G4920),"")</f>
        <v/>
      </c>
      <c r="I4920">
        <f>IF(B4920,IF(D4920=0,H4920,Rho*I4919+SQRT(1-Rho^2)*H4920),"")</f>
        <v/>
      </c>
      <c r="J4920">
        <f>IF(B4920,IF(Dist="Normal",DistA+DistB*I4920,DistA+(DistB-DistA)*NORMSDIST(I4920)),"")</f>
        <v/>
      </c>
      <c r="K4920">
        <f>IF(B4920,INDEX(MineScale,C4920),"")</f>
        <v/>
      </c>
      <c r="L4920">
        <f>IF(B4920,INDEX(Dow,1,WEEKDAY(E4920,2)),"")</f>
        <v/>
      </c>
      <c r="M4920">
        <f>IF(B4920,(1+Trend)^D4920,"")</f>
        <v/>
      </c>
      <c r="N4920">
        <f>IF(B4920,EXP(SUMPRODUCT(LN(1+(EvEff-1)*INDEX(Affected,0,C4920)*EXP(-((E4920-EvCenter)^2)/(2*EvSigma^2))))),"")</f>
        <v/>
      </c>
      <c r="O4920">
        <f>IF(B4920,ROUND(MAX(0,J4920*K4920*L4920*M4920*N4920),2),"")</f>
        <v/>
      </c>
    </row>
    <row r="4921">
      <c r="A4921" t="n">
        <v>4920</v>
      </c>
      <c r="B4921">
        <f>A4921&lt;=MineCount*Days</f>
        <v/>
      </c>
      <c r="C4921">
        <f>IF(B4921,INT((A4921-1)/Days)+1,"")</f>
        <v/>
      </c>
      <c r="D4921">
        <f>IF(B4921,MOD(A4921-1,Days),"")</f>
        <v/>
      </c>
      <c r="E4921" s="16">
        <f>IF(B4921,StartDate+D4921,"")</f>
        <v/>
      </c>
      <c r="F4921">
        <f>IF(B4921,MAX(MOD(SIN(Seed*0.1373+C4921*12.9898+D4921*78.233)*43758.5453,1),1E-9),"")</f>
        <v/>
      </c>
      <c r="G4921">
        <f>IF(B4921,MOD(SIN(Seed*0.5917+C4921*39.3468+D4921*11.135)*24634.6345,1),"")</f>
        <v/>
      </c>
      <c r="H4921">
        <f>IF(B4921,SQRT(-2*LN(F4921))*COS(2*PI()*G4921),"")</f>
        <v/>
      </c>
      <c r="I4921">
        <f>IF(B4921,IF(D4921=0,H4921,Rho*I4920+SQRT(1-Rho^2)*H4921),"")</f>
        <v/>
      </c>
      <c r="J4921">
        <f>IF(B4921,IF(Dist="Normal",DistA+DistB*I4921,DistA+(DistB-DistA)*NORMSDIST(I4921)),"")</f>
        <v/>
      </c>
      <c r="K4921">
        <f>IF(B4921,INDEX(MineScale,C4921),"")</f>
        <v/>
      </c>
      <c r="L4921">
        <f>IF(B4921,INDEX(Dow,1,WEEKDAY(E4921,2)),"")</f>
        <v/>
      </c>
      <c r="M4921">
        <f>IF(B4921,(1+Trend)^D4921,"")</f>
        <v/>
      </c>
      <c r="N4921">
        <f>IF(B4921,EXP(SUMPRODUCT(LN(1+(EvEff-1)*INDEX(Affected,0,C4921)*EXP(-((E4921-EvCenter)^2)/(2*EvSigma^2))))),"")</f>
        <v/>
      </c>
      <c r="O4921">
        <f>IF(B4921,ROUND(MAX(0,J4921*K4921*L4921*M4921*N4921),2),"")</f>
        <v/>
      </c>
    </row>
    <row r="4922">
      <c r="A4922" t="n">
        <v>4921</v>
      </c>
      <c r="B4922">
        <f>A4922&lt;=MineCount*Days</f>
        <v/>
      </c>
      <c r="C4922">
        <f>IF(B4922,INT((A4922-1)/Days)+1,"")</f>
        <v/>
      </c>
      <c r="D4922">
        <f>IF(B4922,MOD(A4922-1,Days),"")</f>
        <v/>
      </c>
      <c r="E4922" s="16">
        <f>IF(B4922,StartDate+D4922,"")</f>
        <v/>
      </c>
      <c r="F4922">
        <f>IF(B4922,MAX(MOD(SIN(Seed*0.1373+C4922*12.9898+D4922*78.233)*43758.5453,1),1E-9),"")</f>
        <v/>
      </c>
      <c r="G4922">
        <f>IF(B4922,MOD(SIN(Seed*0.5917+C4922*39.3468+D4922*11.135)*24634.6345,1),"")</f>
        <v/>
      </c>
      <c r="H4922">
        <f>IF(B4922,SQRT(-2*LN(F4922))*COS(2*PI()*G4922),"")</f>
        <v/>
      </c>
      <c r="I4922">
        <f>IF(B4922,IF(D4922=0,H4922,Rho*I4921+SQRT(1-Rho^2)*H4922),"")</f>
        <v/>
      </c>
      <c r="J4922">
        <f>IF(B4922,IF(Dist="Normal",DistA+DistB*I4922,DistA+(DistB-DistA)*NORMSDIST(I4922)),"")</f>
        <v/>
      </c>
      <c r="K4922">
        <f>IF(B4922,INDEX(MineScale,C4922),"")</f>
        <v/>
      </c>
      <c r="L4922">
        <f>IF(B4922,INDEX(Dow,1,WEEKDAY(E4922,2)),"")</f>
        <v/>
      </c>
      <c r="M4922">
        <f>IF(B4922,(1+Trend)^D4922,"")</f>
        <v/>
      </c>
      <c r="N4922">
        <f>IF(B4922,EXP(SUMPRODUCT(LN(1+(EvEff-1)*INDEX(Affected,0,C4922)*EXP(-((E4922-EvCenter)^2)/(2*EvSigma^2))))),"")</f>
        <v/>
      </c>
      <c r="O4922">
        <f>IF(B4922,ROUND(MAX(0,J4922*K4922*L4922*M4922*N4922),2),"")</f>
        <v/>
      </c>
    </row>
    <row r="4923">
      <c r="A4923" t="n">
        <v>4922</v>
      </c>
      <c r="B4923">
        <f>A4923&lt;=MineCount*Days</f>
        <v/>
      </c>
      <c r="C4923">
        <f>IF(B4923,INT((A4923-1)/Days)+1,"")</f>
        <v/>
      </c>
      <c r="D4923">
        <f>IF(B4923,MOD(A4923-1,Days),"")</f>
        <v/>
      </c>
      <c r="E4923" s="16">
        <f>IF(B4923,StartDate+D4923,"")</f>
        <v/>
      </c>
      <c r="F4923">
        <f>IF(B4923,MAX(MOD(SIN(Seed*0.1373+C4923*12.9898+D4923*78.233)*43758.5453,1),1E-9),"")</f>
        <v/>
      </c>
      <c r="G4923">
        <f>IF(B4923,MOD(SIN(Seed*0.5917+C4923*39.3468+D4923*11.135)*24634.6345,1),"")</f>
        <v/>
      </c>
      <c r="H4923">
        <f>IF(B4923,SQRT(-2*LN(F4923))*COS(2*PI()*G4923),"")</f>
        <v/>
      </c>
      <c r="I4923">
        <f>IF(B4923,IF(D4923=0,H4923,Rho*I4922+SQRT(1-Rho^2)*H4923),"")</f>
        <v/>
      </c>
      <c r="J4923">
        <f>IF(B4923,IF(Dist="Normal",DistA+DistB*I4923,DistA+(DistB-DistA)*NORMSDIST(I4923)),"")</f>
        <v/>
      </c>
      <c r="K4923">
        <f>IF(B4923,INDEX(MineScale,C4923),"")</f>
        <v/>
      </c>
      <c r="L4923">
        <f>IF(B4923,INDEX(Dow,1,WEEKDAY(E4923,2)),"")</f>
        <v/>
      </c>
      <c r="M4923">
        <f>IF(B4923,(1+Trend)^D4923,"")</f>
        <v/>
      </c>
      <c r="N4923">
        <f>IF(B4923,EXP(SUMPRODUCT(LN(1+(EvEff-1)*INDEX(Affected,0,C4923)*EXP(-((E4923-EvCenter)^2)/(2*EvSigma^2))))),"")</f>
        <v/>
      </c>
      <c r="O4923">
        <f>IF(B4923,ROUND(MAX(0,J4923*K4923*L4923*M4923*N4923),2),"")</f>
        <v/>
      </c>
    </row>
    <row r="4924">
      <c r="A4924" t="n">
        <v>4923</v>
      </c>
      <c r="B4924">
        <f>A4924&lt;=MineCount*Days</f>
        <v/>
      </c>
      <c r="C4924">
        <f>IF(B4924,INT((A4924-1)/Days)+1,"")</f>
        <v/>
      </c>
      <c r="D4924">
        <f>IF(B4924,MOD(A4924-1,Days),"")</f>
        <v/>
      </c>
      <c r="E4924" s="16">
        <f>IF(B4924,StartDate+D4924,"")</f>
        <v/>
      </c>
      <c r="F4924">
        <f>IF(B4924,MAX(MOD(SIN(Seed*0.1373+C4924*12.9898+D4924*78.233)*43758.5453,1),1E-9),"")</f>
        <v/>
      </c>
      <c r="G4924">
        <f>IF(B4924,MOD(SIN(Seed*0.5917+C4924*39.3468+D4924*11.135)*24634.6345,1),"")</f>
        <v/>
      </c>
      <c r="H4924">
        <f>IF(B4924,SQRT(-2*LN(F4924))*COS(2*PI()*G4924),"")</f>
        <v/>
      </c>
      <c r="I4924">
        <f>IF(B4924,IF(D4924=0,H4924,Rho*I4923+SQRT(1-Rho^2)*H4924),"")</f>
        <v/>
      </c>
      <c r="J4924">
        <f>IF(B4924,IF(Dist="Normal",DistA+DistB*I4924,DistA+(DistB-DistA)*NORMSDIST(I4924)),"")</f>
        <v/>
      </c>
      <c r="K4924">
        <f>IF(B4924,INDEX(MineScale,C4924),"")</f>
        <v/>
      </c>
      <c r="L4924">
        <f>IF(B4924,INDEX(Dow,1,WEEKDAY(E4924,2)),"")</f>
        <v/>
      </c>
      <c r="M4924">
        <f>IF(B4924,(1+Trend)^D4924,"")</f>
        <v/>
      </c>
      <c r="N4924">
        <f>IF(B4924,EXP(SUMPRODUCT(LN(1+(EvEff-1)*INDEX(Affected,0,C4924)*EXP(-((E4924-EvCenter)^2)/(2*EvSigma^2))))),"")</f>
        <v/>
      </c>
      <c r="O4924">
        <f>IF(B4924,ROUND(MAX(0,J4924*K4924*L4924*M4924*N4924),2),"")</f>
        <v/>
      </c>
    </row>
    <row r="4925">
      <c r="A4925" t="n">
        <v>4924</v>
      </c>
      <c r="B4925">
        <f>A4925&lt;=MineCount*Days</f>
        <v/>
      </c>
      <c r="C4925">
        <f>IF(B4925,INT((A4925-1)/Days)+1,"")</f>
        <v/>
      </c>
      <c r="D4925">
        <f>IF(B4925,MOD(A4925-1,Days),"")</f>
        <v/>
      </c>
      <c r="E4925" s="16">
        <f>IF(B4925,StartDate+D4925,"")</f>
        <v/>
      </c>
      <c r="F4925">
        <f>IF(B4925,MAX(MOD(SIN(Seed*0.1373+C4925*12.9898+D4925*78.233)*43758.5453,1),1E-9),"")</f>
        <v/>
      </c>
      <c r="G4925">
        <f>IF(B4925,MOD(SIN(Seed*0.5917+C4925*39.3468+D4925*11.135)*24634.6345,1),"")</f>
        <v/>
      </c>
      <c r="H4925">
        <f>IF(B4925,SQRT(-2*LN(F4925))*COS(2*PI()*G4925),"")</f>
        <v/>
      </c>
      <c r="I4925">
        <f>IF(B4925,IF(D4925=0,H4925,Rho*I4924+SQRT(1-Rho^2)*H4925),"")</f>
        <v/>
      </c>
      <c r="J4925">
        <f>IF(B4925,IF(Dist="Normal",DistA+DistB*I4925,DistA+(DistB-DistA)*NORMSDIST(I4925)),"")</f>
        <v/>
      </c>
      <c r="K4925">
        <f>IF(B4925,INDEX(MineScale,C4925),"")</f>
        <v/>
      </c>
      <c r="L4925">
        <f>IF(B4925,INDEX(Dow,1,WEEKDAY(E4925,2)),"")</f>
        <v/>
      </c>
      <c r="M4925">
        <f>IF(B4925,(1+Trend)^D4925,"")</f>
        <v/>
      </c>
      <c r="N4925">
        <f>IF(B4925,EXP(SUMPRODUCT(LN(1+(EvEff-1)*INDEX(Affected,0,C4925)*EXP(-((E4925-EvCenter)^2)/(2*EvSigma^2))))),"")</f>
        <v/>
      </c>
      <c r="O4925">
        <f>IF(B4925,ROUND(MAX(0,J4925*K4925*L4925*M4925*N4925),2),"")</f>
        <v/>
      </c>
    </row>
    <row r="4926">
      <c r="A4926" t="n">
        <v>4925</v>
      </c>
      <c r="B4926">
        <f>A4926&lt;=MineCount*Days</f>
        <v/>
      </c>
      <c r="C4926">
        <f>IF(B4926,INT((A4926-1)/Days)+1,"")</f>
        <v/>
      </c>
      <c r="D4926">
        <f>IF(B4926,MOD(A4926-1,Days),"")</f>
        <v/>
      </c>
      <c r="E4926" s="16">
        <f>IF(B4926,StartDate+D4926,"")</f>
        <v/>
      </c>
      <c r="F4926">
        <f>IF(B4926,MAX(MOD(SIN(Seed*0.1373+C4926*12.9898+D4926*78.233)*43758.5453,1),1E-9),"")</f>
        <v/>
      </c>
      <c r="G4926">
        <f>IF(B4926,MOD(SIN(Seed*0.5917+C4926*39.3468+D4926*11.135)*24634.6345,1),"")</f>
        <v/>
      </c>
      <c r="H4926">
        <f>IF(B4926,SQRT(-2*LN(F4926))*COS(2*PI()*G4926),"")</f>
        <v/>
      </c>
      <c r="I4926">
        <f>IF(B4926,IF(D4926=0,H4926,Rho*I4925+SQRT(1-Rho^2)*H4926),"")</f>
        <v/>
      </c>
      <c r="J4926">
        <f>IF(B4926,IF(Dist="Normal",DistA+DistB*I4926,DistA+(DistB-DistA)*NORMSDIST(I4926)),"")</f>
        <v/>
      </c>
      <c r="K4926">
        <f>IF(B4926,INDEX(MineScale,C4926),"")</f>
        <v/>
      </c>
      <c r="L4926">
        <f>IF(B4926,INDEX(Dow,1,WEEKDAY(E4926,2)),"")</f>
        <v/>
      </c>
      <c r="M4926">
        <f>IF(B4926,(1+Trend)^D4926,"")</f>
        <v/>
      </c>
      <c r="N4926">
        <f>IF(B4926,EXP(SUMPRODUCT(LN(1+(EvEff-1)*INDEX(Affected,0,C4926)*EXP(-((E4926-EvCenter)^2)/(2*EvSigma^2))))),"")</f>
        <v/>
      </c>
      <c r="O4926">
        <f>IF(B4926,ROUND(MAX(0,J4926*K4926*L4926*M4926*N4926),2),"")</f>
        <v/>
      </c>
    </row>
    <row r="4927">
      <c r="A4927" t="n">
        <v>4926</v>
      </c>
      <c r="B4927">
        <f>A4927&lt;=MineCount*Days</f>
        <v/>
      </c>
      <c r="C4927">
        <f>IF(B4927,INT((A4927-1)/Days)+1,"")</f>
        <v/>
      </c>
      <c r="D4927">
        <f>IF(B4927,MOD(A4927-1,Days),"")</f>
        <v/>
      </c>
      <c r="E4927" s="16">
        <f>IF(B4927,StartDate+D4927,"")</f>
        <v/>
      </c>
      <c r="F4927">
        <f>IF(B4927,MAX(MOD(SIN(Seed*0.1373+C4927*12.9898+D4927*78.233)*43758.5453,1),1E-9),"")</f>
        <v/>
      </c>
      <c r="G4927">
        <f>IF(B4927,MOD(SIN(Seed*0.5917+C4927*39.3468+D4927*11.135)*24634.6345,1),"")</f>
        <v/>
      </c>
      <c r="H4927">
        <f>IF(B4927,SQRT(-2*LN(F4927))*COS(2*PI()*G4927),"")</f>
        <v/>
      </c>
      <c r="I4927">
        <f>IF(B4927,IF(D4927=0,H4927,Rho*I4926+SQRT(1-Rho^2)*H4927),"")</f>
        <v/>
      </c>
      <c r="J4927">
        <f>IF(B4927,IF(Dist="Normal",DistA+DistB*I4927,DistA+(DistB-DistA)*NORMSDIST(I4927)),"")</f>
        <v/>
      </c>
      <c r="K4927">
        <f>IF(B4927,INDEX(MineScale,C4927),"")</f>
        <v/>
      </c>
      <c r="L4927">
        <f>IF(B4927,INDEX(Dow,1,WEEKDAY(E4927,2)),"")</f>
        <v/>
      </c>
      <c r="M4927">
        <f>IF(B4927,(1+Trend)^D4927,"")</f>
        <v/>
      </c>
      <c r="N4927">
        <f>IF(B4927,EXP(SUMPRODUCT(LN(1+(EvEff-1)*INDEX(Affected,0,C4927)*EXP(-((E4927-EvCenter)^2)/(2*EvSigma^2))))),"")</f>
        <v/>
      </c>
      <c r="O4927">
        <f>IF(B4927,ROUND(MAX(0,J4927*K4927*L4927*M4927*N4927),2),"")</f>
        <v/>
      </c>
    </row>
    <row r="4928">
      <c r="A4928" t="n">
        <v>4927</v>
      </c>
      <c r="B4928">
        <f>A4928&lt;=MineCount*Days</f>
        <v/>
      </c>
      <c r="C4928">
        <f>IF(B4928,INT((A4928-1)/Days)+1,"")</f>
        <v/>
      </c>
      <c r="D4928">
        <f>IF(B4928,MOD(A4928-1,Days),"")</f>
        <v/>
      </c>
      <c r="E4928" s="16">
        <f>IF(B4928,StartDate+D4928,"")</f>
        <v/>
      </c>
      <c r="F4928">
        <f>IF(B4928,MAX(MOD(SIN(Seed*0.1373+C4928*12.9898+D4928*78.233)*43758.5453,1),1E-9),"")</f>
        <v/>
      </c>
      <c r="G4928">
        <f>IF(B4928,MOD(SIN(Seed*0.5917+C4928*39.3468+D4928*11.135)*24634.6345,1),"")</f>
        <v/>
      </c>
      <c r="H4928">
        <f>IF(B4928,SQRT(-2*LN(F4928))*COS(2*PI()*G4928),"")</f>
        <v/>
      </c>
      <c r="I4928">
        <f>IF(B4928,IF(D4928=0,H4928,Rho*I4927+SQRT(1-Rho^2)*H4928),"")</f>
        <v/>
      </c>
      <c r="J4928">
        <f>IF(B4928,IF(Dist="Normal",DistA+DistB*I4928,DistA+(DistB-DistA)*NORMSDIST(I4928)),"")</f>
        <v/>
      </c>
      <c r="K4928">
        <f>IF(B4928,INDEX(MineScale,C4928),"")</f>
        <v/>
      </c>
      <c r="L4928">
        <f>IF(B4928,INDEX(Dow,1,WEEKDAY(E4928,2)),"")</f>
        <v/>
      </c>
      <c r="M4928">
        <f>IF(B4928,(1+Trend)^D4928,"")</f>
        <v/>
      </c>
      <c r="N4928">
        <f>IF(B4928,EXP(SUMPRODUCT(LN(1+(EvEff-1)*INDEX(Affected,0,C4928)*EXP(-((E4928-EvCenter)^2)/(2*EvSigma^2))))),"")</f>
        <v/>
      </c>
      <c r="O4928">
        <f>IF(B4928,ROUND(MAX(0,J4928*K4928*L4928*M4928*N4928),2),"")</f>
        <v/>
      </c>
    </row>
    <row r="4929">
      <c r="A4929" t="n">
        <v>4928</v>
      </c>
      <c r="B4929">
        <f>A4929&lt;=MineCount*Days</f>
        <v/>
      </c>
      <c r="C4929">
        <f>IF(B4929,INT((A4929-1)/Days)+1,"")</f>
        <v/>
      </c>
      <c r="D4929">
        <f>IF(B4929,MOD(A4929-1,Days),"")</f>
        <v/>
      </c>
      <c r="E4929" s="16">
        <f>IF(B4929,StartDate+D4929,"")</f>
        <v/>
      </c>
      <c r="F4929">
        <f>IF(B4929,MAX(MOD(SIN(Seed*0.1373+C4929*12.9898+D4929*78.233)*43758.5453,1),1E-9),"")</f>
        <v/>
      </c>
      <c r="G4929">
        <f>IF(B4929,MOD(SIN(Seed*0.5917+C4929*39.3468+D4929*11.135)*24634.6345,1),"")</f>
        <v/>
      </c>
      <c r="H4929">
        <f>IF(B4929,SQRT(-2*LN(F4929))*COS(2*PI()*G4929),"")</f>
        <v/>
      </c>
      <c r="I4929">
        <f>IF(B4929,IF(D4929=0,H4929,Rho*I4928+SQRT(1-Rho^2)*H4929),"")</f>
        <v/>
      </c>
      <c r="J4929">
        <f>IF(B4929,IF(Dist="Normal",DistA+DistB*I4929,DistA+(DistB-DistA)*NORMSDIST(I4929)),"")</f>
        <v/>
      </c>
      <c r="K4929">
        <f>IF(B4929,INDEX(MineScale,C4929),"")</f>
        <v/>
      </c>
      <c r="L4929">
        <f>IF(B4929,INDEX(Dow,1,WEEKDAY(E4929,2)),"")</f>
        <v/>
      </c>
      <c r="M4929">
        <f>IF(B4929,(1+Trend)^D4929,"")</f>
        <v/>
      </c>
      <c r="N4929">
        <f>IF(B4929,EXP(SUMPRODUCT(LN(1+(EvEff-1)*INDEX(Affected,0,C4929)*EXP(-((E4929-EvCenter)^2)/(2*EvSigma^2))))),"")</f>
        <v/>
      </c>
      <c r="O4929">
        <f>IF(B4929,ROUND(MAX(0,J4929*K4929*L4929*M4929*N4929),2),"")</f>
        <v/>
      </c>
    </row>
    <row r="4930">
      <c r="A4930" t="n">
        <v>4929</v>
      </c>
      <c r="B4930">
        <f>A4930&lt;=MineCount*Days</f>
        <v/>
      </c>
      <c r="C4930">
        <f>IF(B4930,INT((A4930-1)/Days)+1,"")</f>
        <v/>
      </c>
      <c r="D4930">
        <f>IF(B4930,MOD(A4930-1,Days),"")</f>
        <v/>
      </c>
      <c r="E4930" s="16">
        <f>IF(B4930,StartDate+D4930,"")</f>
        <v/>
      </c>
      <c r="F4930">
        <f>IF(B4930,MAX(MOD(SIN(Seed*0.1373+C4930*12.9898+D4930*78.233)*43758.5453,1),1E-9),"")</f>
        <v/>
      </c>
      <c r="G4930">
        <f>IF(B4930,MOD(SIN(Seed*0.5917+C4930*39.3468+D4930*11.135)*24634.6345,1),"")</f>
        <v/>
      </c>
      <c r="H4930">
        <f>IF(B4930,SQRT(-2*LN(F4930))*COS(2*PI()*G4930),"")</f>
        <v/>
      </c>
      <c r="I4930">
        <f>IF(B4930,IF(D4930=0,H4930,Rho*I4929+SQRT(1-Rho^2)*H4930),"")</f>
        <v/>
      </c>
      <c r="J4930">
        <f>IF(B4930,IF(Dist="Normal",DistA+DistB*I4930,DistA+(DistB-DistA)*NORMSDIST(I4930)),"")</f>
        <v/>
      </c>
      <c r="K4930">
        <f>IF(B4930,INDEX(MineScale,C4930),"")</f>
        <v/>
      </c>
      <c r="L4930">
        <f>IF(B4930,INDEX(Dow,1,WEEKDAY(E4930,2)),"")</f>
        <v/>
      </c>
      <c r="M4930">
        <f>IF(B4930,(1+Trend)^D4930,"")</f>
        <v/>
      </c>
      <c r="N4930">
        <f>IF(B4930,EXP(SUMPRODUCT(LN(1+(EvEff-1)*INDEX(Affected,0,C4930)*EXP(-((E4930-EvCenter)^2)/(2*EvSigma^2))))),"")</f>
        <v/>
      </c>
      <c r="O4930">
        <f>IF(B4930,ROUND(MAX(0,J4930*K4930*L4930*M4930*N4930),2),"")</f>
        <v/>
      </c>
    </row>
    <row r="4931">
      <c r="A4931" t="n">
        <v>4930</v>
      </c>
      <c r="B4931">
        <f>A4931&lt;=MineCount*Days</f>
        <v/>
      </c>
      <c r="C4931">
        <f>IF(B4931,INT((A4931-1)/Days)+1,"")</f>
        <v/>
      </c>
      <c r="D4931">
        <f>IF(B4931,MOD(A4931-1,Days),"")</f>
        <v/>
      </c>
      <c r="E4931" s="16">
        <f>IF(B4931,StartDate+D4931,"")</f>
        <v/>
      </c>
      <c r="F4931">
        <f>IF(B4931,MAX(MOD(SIN(Seed*0.1373+C4931*12.9898+D4931*78.233)*43758.5453,1),1E-9),"")</f>
        <v/>
      </c>
      <c r="G4931">
        <f>IF(B4931,MOD(SIN(Seed*0.5917+C4931*39.3468+D4931*11.135)*24634.6345,1),"")</f>
        <v/>
      </c>
      <c r="H4931">
        <f>IF(B4931,SQRT(-2*LN(F4931))*COS(2*PI()*G4931),"")</f>
        <v/>
      </c>
      <c r="I4931">
        <f>IF(B4931,IF(D4931=0,H4931,Rho*I4930+SQRT(1-Rho^2)*H4931),"")</f>
        <v/>
      </c>
      <c r="J4931">
        <f>IF(B4931,IF(Dist="Normal",DistA+DistB*I4931,DistA+(DistB-DistA)*NORMSDIST(I4931)),"")</f>
        <v/>
      </c>
      <c r="K4931">
        <f>IF(B4931,INDEX(MineScale,C4931),"")</f>
        <v/>
      </c>
      <c r="L4931">
        <f>IF(B4931,INDEX(Dow,1,WEEKDAY(E4931,2)),"")</f>
        <v/>
      </c>
      <c r="M4931">
        <f>IF(B4931,(1+Trend)^D4931,"")</f>
        <v/>
      </c>
      <c r="N4931">
        <f>IF(B4931,EXP(SUMPRODUCT(LN(1+(EvEff-1)*INDEX(Affected,0,C4931)*EXP(-((E4931-EvCenter)^2)/(2*EvSigma^2))))),"")</f>
        <v/>
      </c>
      <c r="O4931">
        <f>IF(B4931,ROUND(MAX(0,J4931*K4931*L4931*M4931*N4931),2),"")</f>
        <v/>
      </c>
    </row>
    <row r="4932">
      <c r="A4932" t="n">
        <v>4931</v>
      </c>
      <c r="B4932">
        <f>A4932&lt;=MineCount*Days</f>
        <v/>
      </c>
      <c r="C4932">
        <f>IF(B4932,INT((A4932-1)/Days)+1,"")</f>
        <v/>
      </c>
      <c r="D4932">
        <f>IF(B4932,MOD(A4932-1,Days),"")</f>
        <v/>
      </c>
      <c r="E4932" s="16">
        <f>IF(B4932,StartDate+D4932,"")</f>
        <v/>
      </c>
      <c r="F4932">
        <f>IF(B4932,MAX(MOD(SIN(Seed*0.1373+C4932*12.9898+D4932*78.233)*43758.5453,1),1E-9),"")</f>
        <v/>
      </c>
      <c r="G4932">
        <f>IF(B4932,MOD(SIN(Seed*0.5917+C4932*39.3468+D4932*11.135)*24634.6345,1),"")</f>
        <v/>
      </c>
      <c r="H4932">
        <f>IF(B4932,SQRT(-2*LN(F4932))*COS(2*PI()*G4932),"")</f>
        <v/>
      </c>
      <c r="I4932">
        <f>IF(B4932,IF(D4932=0,H4932,Rho*I4931+SQRT(1-Rho^2)*H4932),"")</f>
        <v/>
      </c>
      <c r="J4932">
        <f>IF(B4932,IF(Dist="Normal",DistA+DistB*I4932,DistA+(DistB-DistA)*NORMSDIST(I4932)),"")</f>
        <v/>
      </c>
      <c r="K4932">
        <f>IF(B4932,INDEX(MineScale,C4932),"")</f>
        <v/>
      </c>
      <c r="L4932">
        <f>IF(B4932,INDEX(Dow,1,WEEKDAY(E4932,2)),"")</f>
        <v/>
      </c>
      <c r="M4932">
        <f>IF(B4932,(1+Trend)^D4932,"")</f>
        <v/>
      </c>
      <c r="N4932">
        <f>IF(B4932,EXP(SUMPRODUCT(LN(1+(EvEff-1)*INDEX(Affected,0,C4932)*EXP(-((E4932-EvCenter)^2)/(2*EvSigma^2))))),"")</f>
        <v/>
      </c>
      <c r="O4932">
        <f>IF(B4932,ROUND(MAX(0,J4932*K4932*L4932*M4932*N4932),2),"")</f>
        <v/>
      </c>
    </row>
    <row r="4933">
      <c r="A4933" t="n">
        <v>4932</v>
      </c>
      <c r="B4933">
        <f>A4933&lt;=MineCount*Days</f>
        <v/>
      </c>
      <c r="C4933">
        <f>IF(B4933,INT((A4933-1)/Days)+1,"")</f>
        <v/>
      </c>
      <c r="D4933">
        <f>IF(B4933,MOD(A4933-1,Days),"")</f>
        <v/>
      </c>
      <c r="E4933" s="16">
        <f>IF(B4933,StartDate+D4933,"")</f>
        <v/>
      </c>
      <c r="F4933">
        <f>IF(B4933,MAX(MOD(SIN(Seed*0.1373+C4933*12.9898+D4933*78.233)*43758.5453,1),1E-9),"")</f>
        <v/>
      </c>
      <c r="G4933">
        <f>IF(B4933,MOD(SIN(Seed*0.5917+C4933*39.3468+D4933*11.135)*24634.6345,1),"")</f>
        <v/>
      </c>
      <c r="H4933">
        <f>IF(B4933,SQRT(-2*LN(F4933))*COS(2*PI()*G4933),"")</f>
        <v/>
      </c>
      <c r="I4933">
        <f>IF(B4933,IF(D4933=0,H4933,Rho*I4932+SQRT(1-Rho^2)*H4933),"")</f>
        <v/>
      </c>
      <c r="J4933">
        <f>IF(B4933,IF(Dist="Normal",DistA+DistB*I4933,DistA+(DistB-DistA)*NORMSDIST(I4933)),"")</f>
        <v/>
      </c>
      <c r="K4933">
        <f>IF(B4933,INDEX(MineScale,C4933),"")</f>
        <v/>
      </c>
      <c r="L4933">
        <f>IF(B4933,INDEX(Dow,1,WEEKDAY(E4933,2)),"")</f>
        <v/>
      </c>
      <c r="M4933">
        <f>IF(B4933,(1+Trend)^D4933,"")</f>
        <v/>
      </c>
      <c r="N4933">
        <f>IF(B4933,EXP(SUMPRODUCT(LN(1+(EvEff-1)*INDEX(Affected,0,C4933)*EXP(-((E4933-EvCenter)^2)/(2*EvSigma^2))))),"")</f>
        <v/>
      </c>
      <c r="O4933">
        <f>IF(B4933,ROUND(MAX(0,J4933*K4933*L4933*M4933*N4933),2),"")</f>
        <v/>
      </c>
    </row>
    <row r="4934">
      <c r="A4934" t="n">
        <v>4933</v>
      </c>
      <c r="B4934">
        <f>A4934&lt;=MineCount*Days</f>
        <v/>
      </c>
      <c r="C4934">
        <f>IF(B4934,INT((A4934-1)/Days)+1,"")</f>
        <v/>
      </c>
      <c r="D4934">
        <f>IF(B4934,MOD(A4934-1,Days),"")</f>
        <v/>
      </c>
      <c r="E4934" s="16">
        <f>IF(B4934,StartDate+D4934,"")</f>
        <v/>
      </c>
      <c r="F4934">
        <f>IF(B4934,MAX(MOD(SIN(Seed*0.1373+C4934*12.9898+D4934*78.233)*43758.5453,1),1E-9),"")</f>
        <v/>
      </c>
      <c r="G4934">
        <f>IF(B4934,MOD(SIN(Seed*0.5917+C4934*39.3468+D4934*11.135)*24634.6345,1),"")</f>
        <v/>
      </c>
      <c r="H4934">
        <f>IF(B4934,SQRT(-2*LN(F4934))*COS(2*PI()*G4934),"")</f>
        <v/>
      </c>
      <c r="I4934">
        <f>IF(B4934,IF(D4934=0,H4934,Rho*I4933+SQRT(1-Rho^2)*H4934),"")</f>
        <v/>
      </c>
      <c r="J4934">
        <f>IF(B4934,IF(Dist="Normal",DistA+DistB*I4934,DistA+(DistB-DistA)*NORMSDIST(I4934)),"")</f>
        <v/>
      </c>
      <c r="K4934">
        <f>IF(B4934,INDEX(MineScale,C4934),"")</f>
        <v/>
      </c>
      <c r="L4934">
        <f>IF(B4934,INDEX(Dow,1,WEEKDAY(E4934,2)),"")</f>
        <v/>
      </c>
      <c r="M4934">
        <f>IF(B4934,(1+Trend)^D4934,"")</f>
        <v/>
      </c>
      <c r="N4934">
        <f>IF(B4934,EXP(SUMPRODUCT(LN(1+(EvEff-1)*INDEX(Affected,0,C4934)*EXP(-((E4934-EvCenter)^2)/(2*EvSigma^2))))),"")</f>
        <v/>
      </c>
      <c r="O4934">
        <f>IF(B4934,ROUND(MAX(0,J4934*K4934*L4934*M4934*N4934),2),"")</f>
        <v/>
      </c>
    </row>
    <row r="4935">
      <c r="A4935" t="n">
        <v>4934</v>
      </c>
      <c r="B4935">
        <f>A4935&lt;=MineCount*Days</f>
        <v/>
      </c>
      <c r="C4935">
        <f>IF(B4935,INT((A4935-1)/Days)+1,"")</f>
        <v/>
      </c>
      <c r="D4935">
        <f>IF(B4935,MOD(A4935-1,Days),"")</f>
        <v/>
      </c>
      <c r="E4935" s="16">
        <f>IF(B4935,StartDate+D4935,"")</f>
        <v/>
      </c>
      <c r="F4935">
        <f>IF(B4935,MAX(MOD(SIN(Seed*0.1373+C4935*12.9898+D4935*78.233)*43758.5453,1),1E-9),"")</f>
        <v/>
      </c>
      <c r="G4935">
        <f>IF(B4935,MOD(SIN(Seed*0.5917+C4935*39.3468+D4935*11.135)*24634.6345,1),"")</f>
        <v/>
      </c>
      <c r="H4935">
        <f>IF(B4935,SQRT(-2*LN(F4935))*COS(2*PI()*G4935),"")</f>
        <v/>
      </c>
      <c r="I4935">
        <f>IF(B4935,IF(D4935=0,H4935,Rho*I4934+SQRT(1-Rho^2)*H4935),"")</f>
        <v/>
      </c>
      <c r="J4935">
        <f>IF(B4935,IF(Dist="Normal",DistA+DistB*I4935,DistA+(DistB-DistA)*NORMSDIST(I4935)),"")</f>
        <v/>
      </c>
      <c r="K4935">
        <f>IF(B4935,INDEX(MineScale,C4935),"")</f>
        <v/>
      </c>
      <c r="L4935">
        <f>IF(B4935,INDEX(Dow,1,WEEKDAY(E4935,2)),"")</f>
        <v/>
      </c>
      <c r="M4935">
        <f>IF(B4935,(1+Trend)^D4935,"")</f>
        <v/>
      </c>
      <c r="N4935">
        <f>IF(B4935,EXP(SUMPRODUCT(LN(1+(EvEff-1)*INDEX(Affected,0,C4935)*EXP(-((E4935-EvCenter)^2)/(2*EvSigma^2))))),"")</f>
        <v/>
      </c>
      <c r="O4935">
        <f>IF(B4935,ROUND(MAX(0,J4935*K4935*L4935*M4935*N4935),2),"")</f>
        <v/>
      </c>
    </row>
    <row r="4936">
      <c r="A4936" t="n">
        <v>4935</v>
      </c>
      <c r="B4936">
        <f>A4936&lt;=MineCount*Days</f>
        <v/>
      </c>
      <c r="C4936">
        <f>IF(B4936,INT((A4936-1)/Days)+1,"")</f>
        <v/>
      </c>
      <c r="D4936">
        <f>IF(B4936,MOD(A4936-1,Days),"")</f>
        <v/>
      </c>
      <c r="E4936" s="16">
        <f>IF(B4936,StartDate+D4936,"")</f>
        <v/>
      </c>
      <c r="F4936">
        <f>IF(B4936,MAX(MOD(SIN(Seed*0.1373+C4936*12.9898+D4936*78.233)*43758.5453,1),1E-9),"")</f>
        <v/>
      </c>
      <c r="G4936">
        <f>IF(B4936,MOD(SIN(Seed*0.5917+C4936*39.3468+D4936*11.135)*24634.6345,1),"")</f>
        <v/>
      </c>
      <c r="H4936">
        <f>IF(B4936,SQRT(-2*LN(F4936))*COS(2*PI()*G4936),"")</f>
        <v/>
      </c>
      <c r="I4936">
        <f>IF(B4936,IF(D4936=0,H4936,Rho*I4935+SQRT(1-Rho^2)*H4936),"")</f>
        <v/>
      </c>
      <c r="J4936">
        <f>IF(B4936,IF(Dist="Normal",DistA+DistB*I4936,DistA+(DistB-DistA)*NORMSDIST(I4936)),"")</f>
        <v/>
      </c>
      <c r="K4936">
        <f>IF(B4936,INDEX(MineScale,C4936),"")</f>
        <v/>
      </c>
      <c r="L4936">
        <f>IF(B4936,INDEX(Dow,1,WEEKDAY(E4936,2)),"")</f>
        <v/>
      </c>
      <c r="M4936">
        <f>IF(B4936,(1+Trend)^D4936,"")</f>
        <v/>
      </c>
      <c r="N4936">
        <f>IF(B4936,EXP(SUMPRODUCT(LN(1+(EvEff-1)*INDEX(Affected,0,C4936)*EXP(-((E4936-EvCenter)^2)/(2*EvSigma^2))))),"")</f>
        <v/>
      </c>
      <c r="O4936">
        <f>IF(B4936,ROUND(MAX(0,J4936*K4936*L4936*M4936*N4936),2),"")</f>
        <v/>
      </c>
    </row>
    <row r="4937">
      <c r="A4937" t="n">
        <v>4936</v>
      </c>
      <c r="B4937">
        <f>A4937&lt;=MineCount*Days</f>
        <v/>
      </c>
      <c r="C4937">
        <f>IF(B4937,INT((A4937-1)/Days)+1,"")</f>
        <v/>
      </c>
      <c r="D4937">
        <f>IF(B4937,MOD(A4937-1,Days),"")</f>
        <v/>
      </c>
      <c r="E4937" s="16">
        <f>IF(B4937,StartDate+D4937,"")</f>
        <v/>
      </c>
      <c r="F4937">
        <f>IF(B4937,MAX(MOD(SIN(Seed*0.1373+C4937*12.9898+D4937*78.233)*43758.5453,1),1E-9),"")</f>
        <v/>
      </c>
      <c r="G4937">
        <f>IF(B4937,MOD(SIN(Seed*0.5917+C4937*39.3468+D4937*11.135)*24634.6345,1),"")</f>
        <v/>
      </c>
      <c r="H4937">
        <f>IF(B4937,SQRT(-2*LN(F4937))*COS(2*PI()*G4937),"")</f>
        <v/>
      </c>
      <c r="I4937">
        <f>IF(B4937,IF(D4937=0,H4937,Rho*I4936+SQRT(1-Rho^2)*H4937),"")</f>
        <v/>
      </c>
      <c r="J4937">
        <f>IF(B4937,IF(Dist="Normal",DistA+DistB*I4937,DistA+(DistB-DistA)*NORMSDIST(I4937)),"")</f>
        <v/>
      </c>
      <c r="K4937">
        <f>IF(B4937,INDEX(MineScale,C4937),"")</f>
        <v/>
      </c>
      <c r="L4937">
        <f>IF(B4937,INDEX(Dow,1,WEEKDAY(E4937,2)),"")</f>
        <v/>
      </c>
      <c r="M4937">
        <f>IF(B4937,(1+Trend)^D4937,"")</f>
        <v/>
      </c>
      <c r="N4937">
        <f>IF(B4937,EXP(SUMPRODUCT(LN(1+(EvEff-1)*INDEX(Affected,0,C4937)*EXP(-((E4937-EvCenter)^2)/(2*EvSigma^2))))),"")</f>
        <v/>
      </c>
      <c r="O4937">
        <f>IF(B4937,ROUND(MAX(0,J4937*K4937*L4937*M4937*N4937),2),"")</f>
        <v/>
      </c>
    </row>
    <row r="4938">
      <c r="A4938" t="n">
        <v>4937</v>
      </c>
      <c r="B4938">
        <f>A4938&lt;=MineCount*Days</f>
        <v/>
      </c>
      <c r="C4938">
        <f>IF(B4938,INT((A4938-1)/Days)+1,"")</f>
        <v/>
      </c>
      <c r="D4938">
        <f>IF(B4938,MOD(A4938-1,Days),"")</f>
        <v/>
      </c>
      <c r="E4938" s="16">
        <f>IF(B4938,StartDate+D4938,"")</f>
        <v/>
      </c>
      <c r="F4938">
        <f>IF(B4938,MAX(MOD(SIN(Seed*0.1373+C4938*12.9898+D4938*78.233)*43758.5453,1),1E-9),"")</f>
        <v/>
      </c>
      <c r="G4938">
        <f>IF(B4938,MOD(SIN(Seed*0.5917+C4938*39.3468+D4938*11.135)*24634.6345,1),"")</f>
        <v/>
      </c>
      <c r="H4938">
        <f>IF(B4938,SQRT(-2*LN(F4938))*COS(2*PI()*G4938),"")</f>
        <v/>
      </c>
      <c r="I4938">
        <f>IF(B4938,IF(D4938=0,H4938,Rho*I4937+SQRT(1-Rho^2)*H4938),"")</f>
        <v/>
      </c>
      <c r="J4938">
        <f>IF(B4938,IF(Dist="Normal",DistA+DistB*I4938,DistA+(DistB-DistA)*NORMSDIST(I4938)),"")</f>
        <v/>
      </c>
      <c r="K4938">
        <f>IF(B4938,INDEX(MineScale,C4938),"")</f>
        <v/>
      </c>
      <c r="L4938">
        <f>IF(B4938,INDEX(Dow,1,WEEKDAY(E4938,2)),"")</f>
        <v/>
      </c>
      <c r="M4938">
        <f>IF(B4938,(1+Trend)^D4938,"")</f>
        <v/>
      </c>
      <c r="N4938">
        <f>IF(B4938,EXP(SUMPRODUCT(LN(1+(EvEff-1)*INDEX(Affected,0,C4938)*EXP(-((E4938-EvCenter)^2)/(2*EvSigma^2))))),"")</f>
        <v/>
      </c>
      <c r="O4938">
        <f>IF(B4938,ROUND(MAX(0,J4938*K4938*L4938*M4938*N4938),2),"")</f>
        <v/>
      </c>
    </row>
    <row r="4939">
      <c r="A4939" t="n">
        <v>4938</v>
      </c>
      <c r="B4939">
        <f>A4939&lt;=MineCount*Days</f>
        <v/>
      </c>
      <c r="C4939">
        <f>IF(B4939,INT((A4939-1)/Days)+1,"")</f>
        <v/>
      </c>
      <c r="D4939">
        <f>IF(B4939,MOD(A4939-1,Days),"")</f>
        <v/>
      </c>
      <c r="E4939" s="16">
        <f>IF(B4939,StartDate+D4939,"")</f>
        <v/>
      </c>
      <c r="F4939">
        <f>IF(B4939,MAX(MOD(SIN(Seed*0.1373+C4939*12.9898+D4939*78.233)*43758.5453,1),1E-9),"")</f>
        <v/>
      </c>
      <c r="G4939">
        <f>IF(B4939,MOD(SIN(Seed*0.5917+C4939*39.3468+D4939*11.135)*24634.6345,1),"")</f>
        <v/>
      </c>
      <c r="H4939">
        <f>IF(B4939,SQRT(-2*LN(F4939))*COS(2*PI()*G4939),"")</f>
        <v/>
      </c>
      <c r="I4939">
        <f>IF(B4939,IF(D4939=0,H4939,Rho*I4938+SQRT(1-Rho^2)*H4939),"")</f>
        <v/>
      </c>
      <c r="J4939">
        <f>IF(B4939,IF(Dist="Normal",DistA+DistB*I4939,DistA+(DistB-DistA)*NORMSDIST(I4939)),"")</f>
        <v/>
      </c>
      <c r="K4939">
        <f>IF(B4939,INDEX(MineScale,C4939),"")</f>
        <v/>
      </c>
      <c r="L4939">
        <f>IF(B4939,INDEX(Dow,1,WEEKDAY(E4939,2)),"")</f>
        <v/>
      </c>
      <c r="M4939">
        <f>IF(B4939,(1+Trend)^D4939,"")</f>
        <v/>
      </c>
      <c r="N4939">
        <f>IF(B4939,EXP(SUMPRODUCT(LN(1+(EvEff-1)*INDEX(Affected,0,C4939)*EXP(-((E4939-EvCenter)^2)/(2*EvSigma^2))))),"")</f>
        <v/>
      </c>
      <c r="O4939">
        <f>IF(B4939,ROUND(MAX(0,J4939*K4939*L4939*M4939*N4939),2),"")</f>
        <v/>
      </c>
    </row>
    <row r="4940">
      <c r="A4940" t="n">
        <v>4939</v>
      </c>
      <c r="B4940">
        <f>A4940&lt;=MineCount*Days</f>
        <v/>
      </c>
      <c r="C4940">
        <f>IF(B4940,INT((A4940-1)/Days)+1,"")</f>
        <v/>
      </c>
      <c r="D4940">
        <f>IF(B4940,MOD(A4940-1,Days),"")</f>
        <v/>
      </c>
      <c r="E4940" s="16">
        <f>IF(B4940,StartDate+D4940,"")</f>
        <v/>
      </c>
      <c r="F4940">
        <f>IF(B4940,MAX(MOD(SIN(Seed*0.1373+C4940*12.9898+D4940*78.233)*43758.5453,1),1E-9),"")</f>
        <v/>
      </c>
      <c r="G4940">
        <f>IF(B4940,MOD(SIN(Seed*0.5917+C4940*39.3468+D4940*11.135)*24634.6345,1),"")</f>
        <v/>
      </c>
      <c r="H4940">
        <f>IF(B4940,SQRT(-2*LN(F4940))*COS(2*PI()*G4940),"")</f>
        <v/>
      </c>
      <c r="I4940">
        <f>IF(B4940,IF(D4940=0,H4940,Rho*I4939+SQRT(1-Rho^2)*H4940),"")</f>
        <v/>
      </c>
      <c r="J4940">
        <f>IF(B4940,IF(Dist="Normal",DistA+DistB*I4940,DistA+(DistB-DistA)*NORMSDIST(I4940)),"")</f>
        <v/>
      </c>
      <c r="K4940">
        <f>IF(B4940,INDEX(MineScale,C4940),"")</f>
        <v/>
      </c>
      <c r="L4940">
        <f>IF(B4940,INDEX(Dow,1,WEEKDAY(E4940,2)),"")</f>
        <v/>
      </c>
      <c r="M4940">
        <f>IF(B4940,(1+Trend)^D4940,"")</f>
        <v/>
      </c>
      <c r="N4940">
        <f>IF(B4940,EXP(SUMPRODUCT(LN(1+(EvEff-1)*INDEX(Affected,0,C4940)*EXP(-((E4940-EvCenter)^2)/(2*EvSigma^2))))),"")</f>
        <v/>
      </c>
      <c r="O4940">
        <f>IF(B4940,ROUND(MAX(0,J4940*K4940*L4940*M4940*N4940),2),"")</f>
        <v/>
      </c>
    </row>
    <row r="4941">
      <c r="A4941" t="n">
        <v>4940</v>
      </c>
      <c r="B4941">
        <f>A4941&lt;=MineCount*Days</f>
        <v/>
      </c>
      <c r="C4941">
        <f>IF(B4941,INT((A4941-1)/Days)+1,"")</f>
        <v/>
      </c>
      <c r="D4941">
        <f>IF(B4941,MOD(A4941-1,Days),"")</f>
        <v/>
      </c>
      <c r="E4941" s="16">
        <f>IF(B4941,StartDate+D4941,"")</f>
        <v/>
      </c>
      <c r="F4941">
        <f>IF(B4941,MAX(MOD(SIN(Seed*0.1373+C4941*12.9898+D4941*78.233)*43758.5453,1),1E-9),"")</f>
        <v/>
      </c>
      <c r="G4941">
        <f>IF(B4941,MOD(SIN(Seed*0.5917+C4941*39.3468+D4941*11.135)*24634.6345,1),"")</f>
        <v/>
      </c>
      <c r="H4941">
        <f>IF(B4941,SQRT(-2*LN(F4941))*COS(2*PI()*G4941),"")</f>
        <v/>
      </c>
      <c r="I4941">
        <f>IF(B4941,IF(D4941=0,H4941,Rho*I4940+SQRT(1-Rho^2)*H4941),"")</f>
        <v/>
      </c>
      <c r="J4941">
        <f>IF(B4941,IF(Dist="Normal",DistA+DistB*I4941,DistA+(DistB-DistA)*NORMSDIST(I4941)),"")</f>
        <v/>
      </c>
      <c r="K4941">
        <f>IF(B4941,INDEX(MineScale,C4941),"")</f>
        <v/>
      </c>
      <c r="L4941">
        <f>IF(B4941,INDEX(Dow,1,WEEKDAY(E4941,2)),"")</f>
        <v/>
      </c>
      <c r="M4941">
        <f>IF(B4941,(1+Trend)^D4941,"")</f>
        <v/>
      </c>
      <c r="N4941">
        <f>IF(B4941,EXP(SUMPRODUCT(LN(1+(EvEff-1)*INDEX(Affected,0,C4941)*EXP(-((E4941-EvCenter)^2)/(2*EvSigma^2))))),"")</f>
        <v/>
      </c>
      <c r="O4941">
        <f>IF(B4941,ROUND(MAX(0,J4941*K4941*L4941*M4941*N4941),2),"")</f>
        <v/>
      </c>
    </row>
    <row r="4942">
      <c r="A4942" t="n">
        <v>4941</v>
      </c>
      <c r="B4942">
        <f>A4942&lt;=MineCount*Days</f>
        <v/>
      </c>
      <c r="C4942">
        <f>IF(B4942,INT((A4942-1)/Days)+1,"")</f>
        <v/>
      </c>
      <c r="D4942">
        <f>IF(B4942,MOD(A4942-1,Days),"")</f>
        <v/>
      </c>
      <c r="E4942" s="16">
        <f>IF(B4942,StartDate+D4942,"")</f>
        <v/>
      </c>
      <c r="F4942">
        <f>IF(B4942,MAX(MOD(SIN(Seed*0.1373+C4942*12.9898+D4942*78.233)*43758.5453,1),1E-9),"")</f>
        <v/>
      </c>
      <c r="G4942">
        <f>IF(B4942,MOD(SIN(Seed*0.5917+C4942*39.3468+D4942*11.135)*24634.6345,1),"")</f>
        <v/>
      </c>
      <c r="H4942">
        <f>IF(B4942,SQRT(-2*LN(F4942))*COS(2*PI()*G4942),"")</f>
        <v/>
      </c>
      <c r="I4942">
        <f>IF(B4942,IF(D4942=0,H4942,Rho*I4941+SQRT(1-Rho^2)*H4942),"")</f>
        <v/>
      </c>
      <c r="J4942">
        <f>IF(B4942,IF(Dist="Normal",DistA+DistB*I4942,DistA+(DistB-DistA)*NORMSDIST(I4942)),"")</f>
        <v/>
      </c>
      <c r="K4942">
        <f>IF(B4942,INDEX(MineScale,C4942),"")</f>
        <v/>
      </c>
      <c r="L4942">
        <f>IF(B4942,INDEX(Dow,1,WEEKDAY(E4942,2)),"")</f>
        <v/>
      </c>
      <c r="M4942">
        <f>IF(B4942,(1+Trend)^D4942,"")</f>
        <v/>
      </c>
      <c r="N4942">
        <f>IF(B4942,EXP(SUMPRODUCT(LN(1+(EvEff-1)*INDEX(Affected,0,C4942)*EXP(-((E4942-EvCenter)^2)/(2*EvSigma^2))))),"")</f>
        <v/>
      </c>
      <c r="O4942">
        <f>IF(B4942,ROUND(MAX(0,J4942*K4942*L4942*M4942*N4942),2),"")</f>
        <v/>
      </c>
    </row>
    <row r="4943">
      <c r="A4943" t="n">
        <v>4942</v>
      </c>
      <c r="B4943">
        <f>A4943&lt;=MineCount*Days</f>
        <v/>
      </c>
      <c r="C4943">
        <f>IF(B4943,INT((A4943-1)/Days)+1,"")</f>
        <v/>
      </c>
      <c r="D4943">
        <f>IF(B4943,MOD(A4943-1,Days),"")</f>
        <v/>
      </c>
      <c r="E4943" s="16">
        <f>IF(B4943,StartDate+D4943,"")</f>
        <v/>
      </c>
      <c r="F4943">
        <f>IF(B4943,MAX(MOD(SIN(Seed*0.1373+C4943*12.9898+D4943*78.233)*43758.5453,1),1E-9),"")</f>
        <v/>
      </c>
      <c r="G4943">
        <f>IF(B4943,MOD(SIN(Seed*0.5917+C4943*39.3468+D4943*11.135)*24634.6345,1),"")</f>
        <v/>
      </c>
      <c r="H4943">
        <f>IF(B4943,SQRT(-2*LN(F4943))*COS(2*PI()*G4943),"")</f>
        <v/>
      </c>
      <c r="I4943">
        <f>IF(B4943,IF(D4943=0,H4943,Rho*I4942+SQRT(1-Rho^2)*H4943),"")</f>
        <v/>
      </c>
      <c r="J4943">
        <f>IF(B4943,IF(Dist="Normal",DistA+DistB*I4943,DistA+(DistB-DistA)*NORMSDIST(I4943)),"")</f>
        <v/>
      </c>
      <c r="K4943">
        <f>IF(B4943,INDEX(MineScale,C4943),"")</f>
        <v/>
      </c>
      <c r="L4943">
        <f>IF(B4943,INDEX(Dow,1,WEEKDAY(E4943,2)),"")</f>
        <v/>
      </c>
      <c r="M4943">
        <f>IF(B4943,(1+Trend)^D4943,"")</f>
        <v/>
      </c>
      <c r="N4943">
        <f>IF(B4943,EXP(SUMPRODUCT(LN(1+(EvEff-1)*INDEX(Affected,0,C4943)*EXP(-((E4943-EvCenter)^2)/(2*EvSigma^2))))),"")</f>
        <v/>
      </c>
      <c r="O4943">
        <f>IF(B4943,ROUND(MAX(0,J4943*K4943*L4943*M4943*N4943),2),"")</f>
        <v/>
      </c>
    </row>
    <row r="4944">
      <c r="A4944" t="n">
        <v>4943</v>
      </c>
      <c r="B4944">
        <f>A4944&lt;=MineCount*Days</f>
        <v/>
      </c>
      <c r="C4944">
        <f>IF(B4944,INT((A4944-1)/Days)+1,"")</f>
        <v/>
      </c>
      <c r="D4944">
        <f>IF(B4944,MOD(A4944-1,Days),"")</f>
        <v/>
      </c>
      <c r="E4944" s="16">
        <f>IF(B4944,StartDate+D4944,"")</f>
        <v/>
      </c>
      <c r="F4944">
        <f>IF(B4944,MAX(MOD(SIN(Seed*0.1373+C4944*12.9898+D4944*78.233)*43758.5453,1),1E-9),"")</f>
        <v/>
      </c>
      <c r="G4944">
        <f>IF(B4944,MOD(SIN(Seed*0.5917+C4944*39.3468+D4944*11.135)*24634.6345,1),"")</f>
        <v/>
      </c>
      <c r="H4944">
        <f>IF(B4944,SQRT(-2*LN(F4944))*COS(2*PI()*G4944),"")</f>
        <v/>
      </c>
      <c r="I4944">
        <f>IF(B4944,IF(D4944=0,H4944,Rho*I4943+SQRT(1-Rho^2)*H4944),"")</f>
        <v/>
      </c>
      <c r="J4944">
        <f>IF(B4944,IF(Dist="Normal",DistA+DistB*I4944,DistA+(DistB-DistA)*NORMSDIST(I4944)),"")</f>
        <v/>
      </c>
      <c r="K4944">
        <f>IF(B4944,INDEX(MineScale,C4944),"")</f>
        <v/>
      </c>
      <c r="L4944">
        <f>IF(B4944,INDEX(Dow,1,WEEKDAY(E4944,2)),"")</f>
        <v/>
      </c>
      <c r="M4944">
        <f>IF(B4944,(1+Trend)^D4944,"")</f>
        <v/>
      </c>
      <c r="N4944">
        <f>IF(B4944,EXP(SUMPRODUCT(LN(1+(EvEff-1)*INDEX(Affected,0,C4944)*EXP(-((E4944-EvCenter)^2)/(2*EvSigma^2))))),"")</f>
        <v/>
      </c>
      <c r="O4944">
        <f>IF(B4944,ROUND(MAX(0,J4944*K4944*L4944*M4944*N4944),2),"")</f>
        <v/>
      </c>
    </row>
    <row r="4945">
      <c r="A4945" t="n">
        <v>4944</v>
      </c>
      <c r="B4945">
        <f>A4945&lt;=MineCount*Days</f>
        <v/>
      </c>
      <c r="C4945">
        <f>IF(B4945,INT((A4945-1)/Days)+1,"")</f>
        <v/>
      </c>
      <c r="D4945">
        <f>IF(B4945,MOD(A4945-1,Days),"")</f>
        <v/>
      </c>
      <c r="E4945" s="16">
        <f>IF(B4945,StartDate+D4945,"")</f>
        <v/>
      </c>
      <c r="F4945">
        <f>IF(B4945,MAX(MOD(SIN(Seed*0.1373+C4945*12.9898+D4945*78.233)*43758.5453,1),1E-9),"")</f>
        <v/>
      </c>
      <c r="G4945">
        <f>IF(B4945,MOD(SIN(Seed*0.5917+C4945*39.3468+D4945*11.135)*24634.6345,1),"")</f>
        <v/>
      </c>
      <c r="H4945">
        <f>IF(B4945,SQRT(-2*LN(F4945))*COS(2*PI()*G4945),"")</f>
        <v/>
      </c>
      <c r="I4945">
        <f>IF(B4945,IF(D4945=0,H4945,Rho*I4944+SQRT(1-Rho^2)*H4945),"")</f>
        <v/>
      </c>
      <c r="J4945">
        <f>IF(B4945,IF(Dist="Normal",DistA+DistB*I4945,DistA+(DistB-DistA)*NORMSDIST(I4945)),"")</f>
        <v/>
      </c>
      <c r="K4945">
        <f>IF(B4945,INDEX(MineScale,C4945),"")</f>
        <v/>
      </c>
      <c r="L4945">
        <f>IF(B4945,INDEX(Dow,1,WEEKDAY(E4945,2)),"")</f>
        <v/>
      </c>
      <c r="M4945">
        <f>IF(B4945,(1+Trend)^D4945,"")</f>
        <v/>
      </c>
      <c r="N4945">
        <f>IF(B4945,EXP(SUMPRODUCT(LN(1+(EvEff-1)*INDEX(Affected,0,C4945)*EXP(-((E4945-EvCenter)^2)/(2*EvSigma^2))))),"")</f>
        <v/>
      </c>
      <c r="O4945">
        <f>IF(B4945,ROUND(MAX(0,J4945*K4945*L4945*M4945*N4945),2),"")</f>
        <v/>
      </c>
    </row>
    <row r="4946">
      <c r="A4946" t="n">
        <v>4945</v>
      </c>
      <c r="B4946">
        <f>A4946&lt;=MineCount*Days</f>
        <v/>
      </c>
      <c r="C4946">
        <f>IF(B4946,INT((A4946-1)/Days)+1,"")</f>
        <v/>
      </c>
      <c r="D4946">
        <f>IF(B4946,MOD(A4946-1,Days),"")</f>
        <v/>
      </c>
      <c r="E4946" s="16">
        <f>IF(B4946,StartDate+D4946,"")</f>
        <v/>
      </c>
      <c r="F4946">
        <f>IF(B4946,MAX(MOD(SIN(Seed*0.1373+C4946*12.9898+D4946*78.233)*43758.5453,1),1E-9),"")</f>
        <v/>
      </c>
      <c r="G4946">
        <f>IF(B4946,MOD(SIN(Seed*0.5917+C4946*39.3468+D4946*11.135)*24634.6345,1),"")</f>
        <v/>
      </c>
      <c r="H4946">
        <f>IF(B4946,SQRT(-2*LN(F4946))*COS(2*PI()*G4946),"")</f>
        <v/>
      </c>
      <c r="I4946">
        <f>IF(B4946,IF(D4946=0,H4946,Rho*I4945+SQRT(1-Rho^2)*H4946),"")</f>
        <v/>
      </c>
      <c r="J4946">
        <f>IF(B4946,IF(Dist="Normal",DistA+DistB*I4946,DistA+(DistB-DistA)*NORMSDIST(I4946)),"")</f>
        <v/>
      </c>
      <c r="K4946">
        <f>IF(B4946,INDEX(MineScale,C4946),"")</f>
        <v/>
      </c>
      <c r="L4946">
        <f>IF(B4946,INDEX(Dow,1,WEEKDAY(E4946,2)),"")</f>
        <v/>
      </c>
      <c r="M4946">
        <f>IF(B4946,(1+Trend)^D4946,"")</f>
        <v/>
      </c>
      <c r="N4946">
        <f>IF(B4946,EXP(SUMPRODUCT(LN(1+(EvEff-1)*INDEX(Affected,0,C4946)*EXP(-((E4946-EvCenter)^2)/(2*EvSigma^2))))),"")</f>
        <v/>
      </c>
      <c r="O4946">
        <f>IF(B4946,ROUND(MAX(0,J4946*K4946*L4946*M4946*N4946),2),"")</f>
        <v/>
      </c>
    </row>
    <row r="4947">
      <c r="A4947" t="n">
        <v>4946</v>
      </c>
      <c r="B4947">
        <f>A4947&lt;=MineCount*Days</f>
        <v/>
      </c>
      <c r="C4947">
        <f>IF(B4947,INT((A4947-1)/Days)+1,"")</f>
        <v/>
      </c>
      <c r="D4947">
        <f>IF(B4947,MOD(A4947-1,Days),"")</f>
        <v/>
      </c>
      <c r="E4947" s="16">
        <f>IF(B4947,StartDate+D4947,"")</f>
        <v/>
      </c>
      <c r="F4947">
        <f>IF(B4947,MAX(MOD(SIN(Seed*0.1373+C4947*12.9898+D4947*78.233)*43758.5453,1),1E-9),"")</f>
        <v/>
      </c>
      <c r="G4947">
        <f>IF(B4947,MOD(SIN(Seed*0.5917+C4947*39.3468+D4947*11.135)*24634.6345,1),"")</f>
        <v/>
      </c>
      <c r="H4947">
        <f>IF(B4947,SQRT(-2*LN(F4947))*COS(2*PI()*G4947),"")</f>
        <v/>
      </c>
      <c r="I4947">
        <f>IF(B4947,IF(D4947=0,H4947,Rho*I4946+SQRT(1-Rho^2)*H4947),"")</f>
        <v/>
      </c>
      <c r="J4947">
        <f>IF(B4947,IF(Dist="Normal",DistA+DistB*I4947,DistA+(DistB-DistA)*NORMSDIST(I4947)),"")</f>
        <v/>
      </c>
      <c r="K4947">
        <f>IF(B4947,INDEX(MineScale,C4947),"")</f>
        <v/>
      </c>
      <c r="L4947">
        <f>IF(B4947,INDEX(Dow,1,WEEKDAY(E4947,2)),"")</f>
        <v/>
      </c>
      <c r="M4947">
        <f>IF(B4947,(1+Trend)^D4947,"")</f>
        <v/>
      </c>
      <c r="N4947">
        <f>IF(B4947,EXP(SUMPRODUCT(LN(1+(EvEff-1)*INDEX(Affected,0,C4947)*EXP(-((E4947-EvCenter)^2)/(2*EvSigma^2))))),"")</f>
        <v/>
      </c>
      <c r="O4947">
        <f>IF(B4947,ROUND(MAX(0,J4947*K4947*L4947*M4947*N4947),2),"")</f>
        <v/>
      </c>
    </row>
    <row r="4948">
      <c r="A4948" t="n">
        <v>4947</v>
      </c>
      <c r="B4948">
        <f>A4948&lt;=MineCount*Days</f>
        <v/>
      </c>
      <c r="C4948">
        <f>IF(B4948,INT((A4948-1)/Days)+1,"")</f>
        <v/>
      </c>
      <c r="D4948">
        <f>IF(B4948,MOD(A4948-1,Days),"")</f>
        <v/>
      </c>
      <c r="E4948" s="16">
        <f>IF(B4948,StartDate+D4948,"")</f>
        <v/>
      </c>
      <c r="F4948">
        <f>IF(B4948,MAX(MOD(SIN(Seed*0.1373+C4948*12.9898+D4948*78.233)*43758.5453,1),1E-9),"")</f>
        <v/>
      </c>
      <c r="G4948">
        <f>IF(B4948,MOD(SIN(Seed*0.5917+C4948*39.3468+D4948*11.135)*24634.6345,1),"")</f>
        <v/>
      </c>
      <c r="H4948">
        <f>IF(B4948,SQRT(-2*LN(F4948))*COS(2*PI()*G4948),"")</f>
        <v/>
      </c>
      <c r="I4948">
        <f>IF(B4948,IF(D4948=0,H4948,Rho*I4947+SQRT(1-Rho^2)*H4948),"")</f>
        <v/>
      </c>
      <c r="J4948">
        <f>IF(B4948,IF(Dist="Normal",DistA+DistB*I4948,DistA+(DistB-DistA)*NORMSDIST(I4948)),"")</f>
        <v/>
      </c>
      <c r="K4948">
        <f>IF(B4948,INDEX(MineScale,C4948),"")</f>
        <v/>
      </c>
      <c r="L4948">
        <f>IF(B4948,INDEX(Dow,1,WEEKDAY(E4948,2)),"")</f>
        <v/>
      </c>
      <c r="M4948">
        <f>IF(B4948,(1+Trend)^D4948,"")</f>
        <v/>
      </c>
      <c r="N4948">
        <f>IF(B4948,EXP(SUMPRODUCT(LN(1+(EvEff-1)*INDEX(Affected,0,C4948)*EXP(-((E4948-EvCenter)^2)/(2*EvSigma^2))))),"")</f>
        <v/>
      </c>
      <c r="O4948">
        <f>IF(B4948,ROUND(MAX(0,J4948*K4948*L4948*M4948*N4948),2),"")</f>
        <v/>
      </c>
    </row>
    <row r="4949">
      <c r="A4949" t="n">
        <v>4948</v>
      </c>
      <c r="B4949">
        <f>A4949&lt;=MineCount*Days</f>
        <v/>
      </c>
      <c r="C4949">
        <f>IF(B4949,INT((A4949-1)/Days)+1,"")</f>
        <v/>
      </c>
      <c r="D4949">
        <f>IF(B4949,MOD(A4949-1,Days),"")</f>
        <v/>
      </c>
      <c r="E4949" s="16">
        <f>IF(B4949,StartDate+D4949,"")</f>
        <v/>
      </c>
      <c r="F4949">
        <f>IF(B4949,MAX(MOD(SIN(Seed*0.1373+C4949*12.9898+D4949*78.233)*43758.5453,1),1E-9),"")</f>
        <v/>
      </c>
      <c r="G4949">
        <f>IF(B4949,MOD(SIN(Seed*0.5917+C4949*39.3468+D4949*11.135)*24634.6345,1),"")</f>
        <v/>
      </c>
      <c r="H4949">
        <f>IF(B4949,SQRT(-2*LN(F4949))*COS(2*PI()*G4949),"")</f>
        <v/>
      </c>
      <c r="I4949">
        <f>IF(B4949,IF(D4949=0,H4949,Rho*I4948+SQRT(1-Rho^2)*H4949),"")</f>
        <v/>
      </c>
      <c r="J4949">
        <f>IF(B4949,IF(Dist="Normal",DistA+DistB*I4949,DistA+(DistB-DistA)*NORMSDIST(I4949)),"")</f>
        <v/>
      </c>
      <c r="K4949">
        <f>IF(B4949,INDEX(MineScale,C4949),"")</f>
        <v/>
      </c>
      <c r="L4949">
        <f>IF(B4949,INDEX(Dow,1,WEEKDAY(E4949,2)),"")</f>
        <v/>
      </c>
      <c r="M4949">
        <f>IF(B4949,(1+Trend)^D4949,"")</f>
        <v/>
      </c>
      <c r="N4949">
        <f>IF(B4949,EXP(SUMPRODUCT(LN(1+(EvEff-1)*INDEX(Affected,0,C4949)*EXP(-((E4949-EvCenter)^2)/(2*EvSigma^2))))),"")</f>
        <v/>
      </c>
      <c r="O4949">
        <f>IF(B4949,ROUND(MAX(0,J4949*K4949*L4949*M4949*N4949),2),"")</f>
        <v/>
      </c>
    </row>
    <row r="4950">
      <c r="A4950" t="n">
        <v>4949</v>
      </c>
      <c r="B4950">
        <f>A4950&lt;=MineCount*Days</f>
        <v/>
      </c>
      <c r="C4950">
        <f>IF(B4950,INT((A4950-1)/Days)+1,"")</f>
        <v/>
      </c>
      <c r="D4950">
        <f>IF(B4950,MOD(A4950-1,Days),"")</f>
        <v/>
      </c>
      <c r="E4950" s="16">
        <f>IF(B4950,StartDate+D4950,"")</f>
        <v/>
      </c>
      <c r="F4950">
        <f>IF(B4950,MAX(MOD(SIN(Seed*0.1373+C4950*12.9898+D4950*78.233)*43758.5453,1),1E-9),"")</f>
        <v/>
      </c>
      <c r="G4950">
        <f>IF(B4950,MOD(SIN(Seed*0.5917+C4950*39.3468+D4950*11.135)*24634.6345,1),"")</f>
        <v/>
      </c>
      <c r="H4950">
        <f>IF(B4950,SQRT(-2*LN(F4950))*COS(2*PI()*G4950),"")</f>
        <v/>
      </c>
      <c r="I4950">
        <f>IF(B4950,IF(D4950=0,H4950,Rho*I4949+SQRT(1-Rho^2)*H4950),"")</f>
        <v/>
      </c>
      <c r="J4950">
        <f>IF(B4950,IF(Dist="Normal",DistA+DistB*I4950,DistA+(DistB-DistA)*NORMSDIST(I4950)),"")</f>
        <v/>
      </c>
      <c r="K4950">
        <f>IF(B4950,INDEX(MineScale,C4950),"")</f>
        <v/>
      </c>
      <c r="L4950">
        <f>IF(B4950,INDEX(Dow,1,WEEKDAY(E4950,2)),"")</f>
        <v/>
      </c>
      <c r="M4950">
        <f>IF(B4950,(1+Trend)^D4950,"")</f>
        <v/>
      </c>
      <c r="N4950">
        <f>IF(B4950,EXP(SUMPRODUCT(LN(1+(EvEff-1)*INDEX(Affected,0,C4950)*EXP(-((E4950-EvCenter)^2)/(2*EvSigma^2))))),"")</f>
        <v/>
      </c>
      <c r="O4950">
        <f>IF(B4950,ROUND(MAX(0,J4950*K4950*L4950*M4950*N4950),2),"")</f>
        <v/>
      </c>
    </row>
    <row r="4951">
      <c r="A4951" t="n">
        <v>4950</v>
      </c>
      <c r="B4951">
        <f>A4951&lt;=MineCount*Days</f>
        <v/>
      </c>
      <c r="C4951">
        <f>IF(B4951,INT((A4951-1)/Days)+1,"")</f>
        <v/>
      </c>
      <c r="D4951">
        <f>IF(B4951,MOD(A4951-1,Days),"")</f>
        <v/>
      </c>
      <c r="E4951" s="16">
        <f>IF(B4951,StartDate+D4951,"")</f>
        <v/>
      </c>
      <c r="F4951">
        <f>IF(B4951,MAX(MOD(SIN(Seed*0.1373+C4951*12.9898+D4951*78.233)*43758.5453,1),1E-9),"")</f>
        <v/>
      </c>
      <c r="G4951">
        <f>IF(B4951,MOD(SIN(Seed*0.5917+C4951*39.3468+D4951*11.135)*24634.6345,1),"")</f>
        <v/>
      </c>
      <c r="H4951">
        <f>IF(B4951,SQRT(-2*LN(F4951))*COS(2*PI()*G4951),"")</f>
        <v/>
      </c>
      <c r="I4951">
        <f>IF(B4951,IF(D4951=0,H4951,Rho*I4950+SQRT(1-Rho^2)*H4951),"")</f>
        <v/>
      </c>
      <c r="J4951">
        <f>IF(B4951,IF(Dist="Normal",DistA+DistB*I4951,DistA+(DistB-DistA)*NORMSDIST(I4951)),"")</f>
        <v/>
      </c>
      <c r="K4951">
        <f>IF(B4951,INDEX(MineScale,C4951),"")</f>
        <v/>
      </c>
      <c r="L4951">
        <f>IF(B4951,INDEX(Dow,1,WEEKDAY(E4951,2)),"")</f>
        <v/>
      </c>
      <c r="M4951">
        <f>IF(B4951,(1+Trend)^D4951,"")</f>
        <v/>
      </c>
      <c r="N4951">
        <f>IF(B4951,EXP(SUMPRODUCT(LN(1+(EvEff-1)*INDEX(Affected,0,C4951)*EXP(-((E4951-EvCenter)^2)/(2*EvSigma^2))))),"")</f>
        <v/>
      </c>
      <c r="O4951">
        <f>IF(B4951,ROUND(MAX(0,J4951*K4951*L4951*M4951*N4951),2),"")</f>
        <v/>
      </c>
    </row>
    <row r="4952">
      <c r="A4952" t="n">
        <v>4951</v>
      </c>
      <c r="B4952">
        <f>A4952&lt;=MineCount*Days</f>
        <v/>
      </c>
      <c r="C4952">
        <f>IF(B4952,INT((A4952-1)/Days)+1,"")</f>
        <v/>
      </c>
      <c r="D4952">
        <f>IF(B4952,MOD(A4952-1,Days),"")</f>
        <v/>
      </c>
      <c r="E4952" s="16">
        <f>IF(B4952,StartDate+D4952,"")</f>
        <v/>
      </c>
      <c r="F4952">
        <f>IF(B4952,MAX(MOD(SIN(Seed*0.1373+C4952*12.9898+D4952*78.233)*43758.5453,1),1E-9),"")</f>
        <v/>
      </c>
      <c r="G4952">
        <f>IF(B4952,MOD(SIN(Seed*0.5917+C4952*39.3468+D4952*11.135)*24634.6345,1),"")</f>
        <v/>
      </c>
      <c r="H4952">
        <f>IF(B4952,SQRT(-2*LN(F4952))*COS(2*PI()*G4952),"")</f>
        <v/>
      </c>
      <c r="I4952">
        <f>IF(B4952,IF(D4952=0,H4952,Rho*I4951+SQRT(1-Rho^2)*H4952),"")</f>
        <v/>
      </c>
      <c r="J4952">
        <f>IF(B4952,IF(Dist="Normal",DistA+DistB*I4952,DistA+(DistB-DistA)*NORMSDIST(I4952)),"")</f>
        <v/>
      </c>
      <c r="K4952">
        <f>IF(B4952,INDEX(MineScale,C4952),"")</f>
        <v/>
      </c>
      <c r="L4952">
        <f>IF(B4952,INDEX(Dow,1,WEEKDAY(E4952,2)),"")</f>
        <v/>
      </c>
      <c r="M4952">
        <f>IF(B4952,(1+Trend)^D4952,"")</f>
        <v/>
      </c>
      <c r="N4952">
        <f>IF(B4952,EXP(SUMPRODUCT(LN(1+(EvEff-1)*INDEX(Affected,0,C4952)*EXP(-((E4952-EvCenter)^2)/(2*EvSigma^2))))),"")</f>
        <v/>
      </c>
      <c r="O4952">
        <f>IF(B4952,ROUND(MAX(0,J4952*K4952*L4952*M4952*N4952),2),"")</f>
        <v/>
      </c>
    </row>
    <row r="4953">
      <c r="A4953" t="n">
        <v>4952</v>
      </c>
      <c r="B4953">
        <f>A4953&lt;=MineCount*Days</f>
        <v/>
      </c>
      <c r="C4953">
        <f>IF(B4953,INT((A4953-1)/Days)+1,"")</f>
        <v/>
      </c>
      <c r="D4953">
        <f>IF(B4953,MOD(A4953-1,Days),"")</f>
        <v/>
      </c>
      <c r="E4953" s="16">
        <f>IF(B4953,StartDate+D4953,"")</f>
        <v/>
      </c>
      <c r="F4953">
        <f>IF(B4953,MAX(MOD(SIN(Seed*0.1373+C4953*12.9898+D4953*78.233)*43758.5453,1),1E-9),"")</f>
        <v/>
      </c>
      <c r="G4953">
        <f>IF(B4953,MOD(SIN(Seed*0.5917+C4953*39.3468+D4953*11.135)*24634.6345,1),"")</f>
        <v/>
      </c>
      <c r="H4953">
        <f>IF(B4953,SQRT(-2*LN(F4953))*COS(2*PI()*G4953),"")</f>
        <v/>
      </c>
      <c r="I4953">
        <f>IF(B4953,IF(D4953=0,H4953,Rho*I4952+SQRT(1-Rho^2)*H4953),"")</f>
        <v/>
      </c>
      <c r="J4953">
        <f>IF(B4953,IF(Dist="Normal",DistA+DistB*I4953,DistA+(DistB-DistA)*NORMSDIST(I4953)),"")</f>
        <v/>
      </c>
      <c r="K4953">
        <f>IF(B4953,INDEX(MineScale,C4953),"")</f>
        <v/>
      </c>
      <c r="L4953">
        <f>IF(B4953,INDEX(Dow,1,WEEKDAY(E4953,2)),"")</f>
        <v/>
      </c>
      <c r="M4953">
        <f>IF(B4953,(1+Trend)^D4953,"")</f>
        <v/>
      </c>
      <c r="N4953">
        <f>IF(B4953,EXP(SUMPRODUCT(LN(1+(EvEff-1)*INDEX(Affected,0,C4953)*EXP(-((E4953-EvCenter)^2)/(2*EvSigma^2))))),"")</f>
        <v/>
      </c>
      <c r="O4953">
        <f>IF(B4953,ROUND(MAX(0,J4953*K4953*L4953*M4953*N4953),2),"")</f>
        <v/>
      </c>
    </row>
    <row r="4954">
      <c r="A4954" t="n">
        <v>4953</v>
      </c>
      <c r="B4954">
        <f>A4954&lt;=MineCount*Days</f>
        <v/>
      </c>
      <c r="C4954">
        <f>IF(B4954,INT((A4954-1)/Days)+1,"")</f>
        <v/>
      </c>
      <c r="D4954">
        <f>IF(B4954,MOD(A4954-1,Days),"")</f>
        <v/>
      </c>
      <c r="E4954" s="16">
        <f>IF(B4954,StartDate+D4954,"")</f>
        <v/>
      </c>
      <c r="F4954">
        <f>IF(B4954,MAX(MOD(SIN(Seed*0.1373+C4954*12.9898+D4954*78.233)*43758.5453,1),1E-9),"")</f>
        <v/>
      </c>
      <c r="G4954">
        <f>IF(B4954,MOD(SIN(Seed*0.5917+C4954*39.3468+D4954*11.135)*24634.6345,1),"")</f>
        <v/>
      </c>
      <c r="H4954">
        <f>IF(B4954,SQRT(-2*LN(F4954))*COS(2*PI()*G4954),"")</f>
        <v/>
      </c>
      <c r="I4954">
        <f>IF(B4954,IF(D4954=0,H4954,Rho*I4953+SQRT(1-Rho^2)*H4954),"")</f>
        <v/>
      </c>
      <c r="J4954">
        <f>IF(B4954,IF(Dist="Normal",DistA+DistB*I4954,DistA+(DistB-DistA)*NORMSDIST(I4954)),"")</f>
        <v/>
      </c>
      <c r="K4954">
        <f>IF(B4954,INDEX(MineScale,C4954),"")</f>
        <v/>
      </c>
      <c r="L4954">
        <f>IF(B4954,INDEX(Dow,1,WEEKDAY(E4954,2)),"")</f>
        <v/>
      </c>
      <c r="M4954">
        <f>IF(B4954,(1+Trend)^D4954,"")</f>
        <v/>
      </c>
      <c r="N4954">
        <f>IF(B4954,EXP(SUMPRODUCT(LN(1+(EvEff-1)*INDEX(Affected,0,C4954)*EXP(-((E4954-EvCenter)^2)/(2*EvSigma^2))))),"")</f>
        <v/>
      </c>
      <c r="O4954">
        <f>IF(B4954,ROUND(MAX(0,J4954*K4954*L4954*M4954*N4954),2),"")</f>
        <v/>
      </c>
    </row>
    <row r="4955">
      <c r="A4955" t="n">
        <v>4954</v>
      </c>
      <c r="B4955">
        <f>A4955&lt;=MineCount*Days</f>
        <v/>
      </c>
      <c r="C4955">
        <f>IF(B4955,INT((A4955-1)/Days)+1,"")</f>
        <v/>
      </c>
      <c r="D4955">
        <f>IF(B4955,MOD(A4955-1,Days),"")</f>
        <v/>
      </c>
      <c r="E4955" s="16">
        <f>IF(B4955,StartDate+D4955,"")</f>
        <v/>
      </c>
      <c r="F4955">
        <f>IF(B4955,MAX(MOD(SIN(Seed*0.1373+C4955*12.9898+D4955*78.233)*43758.5453,1),1E-9),"")</f>
        <v/>
      </c>
      <c r="G4955">
        <f>IF(B4955,MOD(SIN(Seed*0.5917+C4955*39.3468+D4955*11.135)*24634.6345,1),"")</f>
        <v/>
      </c>
      <c r="H4955">
        <f>IF(B4955,SQRT(-2*LN(F4955))*COS(2*PI()*G4955),"")</f>
        <v/>
      </c>
      <c r="I4955">
        <f>IF(B4955,IF(D4955=0,H4955,Rho*I4954+SQRT(1-Rho^2)*H4955),"")</f>
        <v/>
      </c>
      <c r="J4955">
        <f>IF(B4955,IF(Dist="Normal",DistA+DistB*I4955,DistA+(DistB-DistA)*NORMSDIST(I4955)),"")</f>
        <v/>
      </c>
      <c r="K4955">
        <f>IF(B4955,INDEX(MineScale,C4955),"")</f>
        <v/>
      </c>
      <c r="L4955">
        <f>IF(B4955,INDEX(Dow,1,WEEKDAY(E4955,2)),"")</f>
        <v/>
      </c>
      <c r="M4955">
        <f>IF(B4955,(1+Trend)^D4955,"")</f>
        <v/>
      </c>
      <c r="N4955">
        <f>IF(B4955,EXP(SUMPRODUCT(LN(1+(EvEff-1)*INDEX(Affected,0,C4955)*EXP(-((E4955-EvCenter)^2)/(2*EvSigma^2))))),"")</f>
        <v/>
      </c>
      <c r="O4955">
        <f>IF(B4955,ROUND(MAX(0,J4955*K4955*L4955*M4955*N4955),2),"")</f>
        <v/>
      </c>
    </row>
    <row r="4956">
      <c r="A4956" t="n">
        <v>4955</v>
      </c>
      <c r="B4956">
        <f>A4956&lt;=MineCount*Days</f>
        <v/>
      </c>
      <c r="C4956">
        <f>IF(B4956,INT((A4956-1)/Days)+1,"")</f>
        <v/>
      </c>
      <c r="D4956">
        <f>IF(B4956,MOD(A4956-1,Days),"")</f>
        <v/>
      </c>
      <c r="E4956" s="16">
        <f>IF(B4956,StartDate+D4956,"")</f>
        <v/>
      </c>
      <c r="F4956">
        <f>IF(B4956,MAX(MOD(SIN(Seed*0.1373+C4956*12.9898+D4956*78.233)*43758.5453,1),1E-9),"")</f>
        <v/>
      </c>
      <c r="G4956">
        <f>IF(B4956,MOD(SIN(Seed*0.5917+C4956*39.3468+D4956*11.135)*24634.6345,1),"")</f>
        <v/>
      </c>
      <c r="H4956">
        <f>IF(B4956,SQRT(-2*LN(F4956))*COS(2*PI()*G4956),"")</f>
        <v/>
      </c>
      <c r="I4956">
        <f>IF(B4956,IF(D4956=0,H4956,Rho*I4955+SQRT(1-Rho^2)*H4956),"")</f>
        <v/>
      </c>
      <c r="J4956">
        <f>IF(B4956,IF(Dist="Normal",DistA+DistB*I4956,DistA+(DistB-DistA)*NORMSDIST(I4956)),"")</f>
        <v/>
      </c>
      <c r="K4956">
        <f>IF(B4956,INDEX(MineScale,C4956),"")</f>
        <v/>
      </c>
      <c r="L4956">
        <f>IF(B4956,INDEX(Dow,1,WEEKDAY(E4956,2)),"")</f>
        <v/>
      </c>
      <c r="M4956">
        <f>IF(B4956,(1+Trend)^D4956,"")</f>
        <v/>
      </c>
      <c r="N4956">
        <f>IF(B4956,EXP(SUMPRODUCT(LN(1+(EvEff-1)*INDEX(Affected,0,C4956)*EXP(-((E4956-EvCenter)^2)/(2*EvSigma^2))))),"")</f>
        <v/>
      </c>
      <c r="O4956">
        <f>IF(B4956,ROUND(MAX(0,J4956*K4956*L4956*M4956*N4956),2),"")</f>
        <v/>
      </c>
    </row>
    <row r="4957">
      <c r="A4957" t="n">
        <v>4956</v>
      </c>
      <c r="B4957">
        <f>A4957&lt;=MineCount*Days</f>
        <v/>
      </c>
      <c r="C4957">
        <f>IF(B4957,INT((A4957-1)/Days)+1,"")</f>
        <v/>
      </c>
      <c r="D4957">
        <f>IF(B4957,MOD(A4957-1,Days),"")</f>
        <v/>
      </c>
      <c r="E4957" s="16">
        <f>IF(B4957,StartDate+D4957,"")</f>
        <v/>
      </c>
      <c r="F4957">
        <f>IF(B4957,MAX(MOD(SIN(Seed*0.1373+C4957*12.9898+D4957*78.233)*43758.5453,1),1E-9),"")</f>
        <v/>
      </c>
      <c r="G4957">
        <f>IF(B4957,MOD(SIN(Seed*0.5917+C4957*39.3468+D4957*11.135)*24634.6345,1),"")</f>
        <v/>
      </c>
      <c r="H4957">
        <f>IF(B4957,SQRT(-2*LN(F4957))*COS(2*PI()*G4957),"")</f>
        <v/>
      </c>
      <c r="I4957">
        <f>IF(B4957,IF(D4957=0,H4957,Rho*I4956+SQRT(1-Rho^2)*H4957),"")</f>
        <v/>
      </c>
      <c r="J4957">
        <f>IF(B4957,IF(Dist="Normal",DistA+DistB*I4957,DistA+(DistB-DistA)*NORMSDIST(I4957)),"")</f>
        <v/>
      </c>
      <c r="K4957">
        <f>IF(B4957,INDEX(MineScale,C4957),"")</f>
        <v/>
      </c>
      <c r="L4957">
        <f>IF(B4957,INDEX(Dow,1,WEEKDAY(E4957,2)),"")</f>
        <v/>
      </c>
      <c r="M4957">
        <f>IF(B4957,(1+Trend)^D4957,"")</f>
        <v/>
      </c>
      <c r="N4957">
        <f>IF(B4957,EXP(SUMPRODUCT(LN(1+(EvEff-1)*INDEX(Affected,0,C4957)*EXP(-((E4957-EvCenter)^2)/(2*EvSigma^2))))),"")</f>
        <v/>
      </c>
      <c r="O4957">
        <f>IF(B4957,ROUND(MAX(0,J4957*K4957*L4957*M4957*N4957),2),"")</f>
        <v/>
      </c>
    </row>
    <row r="4958">
      <c r="A4958" t="n">
        <v>4957</v>
      </c>
      <c r="B4958">
        <f>A4958&lt;=MineCount*Days</f>
        <v/>
      </c>
      <c r="C4958">
        <f>IF(B4958,INT((A4958-1)/Days)+1,"")</f>
        <v/>
      </c>
      <c r="D4958">
        <f>IF(B4958,MOD(A4958-1,Days),"")</f>
        <v/>
      </c>
      <c r="E4958" s="16">
        <f>IF(B4958,StartDate+D4958,"")</f>
        <v/>
      </c>
      <c r="F4958">
        <f>IF(B4958,MAX(MOD(SIN(Seed*0.1373+C4958*12.9898+D4958*78.233)*43758.5453,1),1E-9),"")</f>
        <v/>
      </c>
      <c r="G4958">
        <f>IF(B4958,MOD(SIN(Seed*0.5917+C4958*39.3468+D4958*11.135)*24634.6345,1),"")</f>
        <v/>
      </c>
      <c r="H4958">
        <f>IF(B4958,SQRT(-2*LN(F4958))*COS(2*PI()*G4958),"")</f>
        <v/>
      </c>
      <c r="I4958">
        <f>IF(B4958,IF(D4958=0,H4958,Rho*I4957+SQRT(1-Rho^2)*H4958),"")</f>
        <v/>
      </c>
      <c r="J4958">
        <f>IF(B4958,IF(Dist="Normal",DistA+DistB*I4958,DistA+(DistB-DistA)*NORMSDIST(I4958)),"")</f>
        <v/>
      </c>
      <c r="K4958">
        <f>IF(B4958,INDEX(MineScale,C4958),"")</f>
        <v/>
      </c>
      <c r="L4958">
        <f>IF(B4958,INDEX(Dow,1,WEEKDAY(E4958,2)),"")</f>
        <v/>
      </c>
      <c r="M4958">
        <f>IF(B4958,(1+Trend)^D4958,"")</f>
        <v/>
      </c>
      <c r="N4958">
        <f>IF(B4958,EXP(SUMPRODUCT(LN(1+(EvEff-1)*INDEX(Affected,0,C4958)*EXP(-((E4958-EvCenter)^2)/(2*EvSigma^2))))),"")</f>
        <v/>
      </c>
      <c r="O4958">
        <f>IF(B4958,ROUND(MAX(0,J4958*K4958*L4958*M4958*N4958),2),"")</f>
        <v/>
      </c>
    </row>
    <row r="4959">
      <c r="A4959" t="n">
        <v>4958</v>
      </c>
      <c r="B4959">
        <f>A4959&lt;=MineCount*Days</f>
        <v/>
      </c>
      <c r="C4959">
        <f>IF(B4959,INT((A4959-1)/Days)+1,"")</f>
        <v/>
      </c>
      <c r="D4959">
        <f>IF(B4959,MOD(A4959-1,Days),"")</f>
        <v/>
      </c>
      <c r="E4959" s="16">
        <f>IF(B4959,StartDate+D4959,"")</f>
        <v/>
      </c>
      <c r="F4959">
        <f>IF(B4959,MAX(MOD(SIN(Seed*0.1373+C4959*12.9898+D4959*78.233)*43758.5453,1),1E-9),"")</f>
        <v/>
      </c>
      <c r="G4959">
        <f>IF(B4959,MOD(SIN(Seed*0.5917+C4959*39.3468+D4959*11.135)*24634.6345,1),"")</f>
        <v/>
      </c>
      <c r="H4959">
        <f>IF(B4959,SQRT(-2*LN(F4959))*COS(2*PI()*G4959),"")</f>
        <v/>
      </c>
      <c r="I4959">
        <f>IF(B4959,IF(D4959=0,H4959,Rho*I4958+SQRT(1-Rho^2)*H4959),"")</f>
        <v/>
      </c>
      <c r="J4959">
        <f>IF(B4959,IF(Dist="Normal",DistA+DistB*I4959,DistA+(DistB-DistA)*NORMSDIST(I4959)),"")</f>
        <v/>
      </c>
      <c r="K4959">
        <f>IF(B4959,INDEX(MineScale,C4959),"")</f>
        <v/>
      </c>
      <c r="L4959">
        <f>IF(B4959,INDEX(Dow,1,WEEKDAY(E4959,2)),"")</f>
        <v/>
      </c>
      <c r="M4959">
        <f>IF(B4959,(1+Trend)^D4959,"")</f>
        <v/>
      </c>
      <c r="N4959">
        <f>IF(B4959,EXP(SUMPRODUCT(LN(1+(EvEff-1)*INDEX(Affected,0,C4959)*EXP(-((E4959-EvCenter)^2)/(2*EvSigma^2))))),"")</f>
        <v/>
      </c>
      <c r="O4959">
        <f>IF(B4959,ROUND(MAX(0,J4959*K4959*L4959*M4959*N4959),2),"")</f>
        <v/>
      </c>
    </row>
    <row r="4960">
      <c r="A4960" t="n">
        <v>4959</v>
      </c>
      <c r="B4960">
        <f>A4960&lt;=MineCount*Days</f>
        <v/>
      </c>
      <c r="C4960">
        <f>IF(B4960,INT((A4960-1)/Days)+1,"")</f>
        <v/>
      </c>
      <c r="D4960">
        <f>IF(B4960,MOD(A4960-1,Days),"")</f>
        <v/>
      </c>
      <c r="E4960" s="16">
        <f>IF(B4960,StartDate+D4960,"")</f>
        <v/>
      </c>
      <c r="F4960">
        <f>IF(B4960,MAX(MOD(SIN(Seed*0.1373+C4960*12.9898+D4960*78.233)*43758.5453,1),1E-9),"")</f>
        <v/>
      </c>
      <c r="G4960">
        <f>IF(B4960,MOD(SIN(Seed*0.5917+C4960*39.3468+D4960*11.135)*24634.6345,1),"")</f>
        <v/>
      </c>
      <c r="H4960">
        <f>IF(B4960,SQRT(-2*LN(F4960))*COS(2*PI()*G4960),"")</f>
        <v/>
      </c>
      <c r="I4960">
        <f>IF(B4960,IF(D4960=0,H4960,Rho*I4959+SQRT(1-Rho^2)*H4960),"")</f>
        <v/>
      </c>
      <c r="J4960">
        <f>IF(B4960,IF(Dist="Normal",DistA+DistB*I4960,DistA+(DistB-DistA)*NORMSDIST(I4960)),"")</f>
        <v/>
      </c>
      <c r="K4960">
        <f>IF(B4960,INDEX(MineScale,C4960),"")</f>
        <v/>
      </c>
      <c r="L4960">
        <f>IF(B4960,INDEX(Dow,1,WEEKDAY(E4960,2)),"")</f>
        <v/>
      </c>
      <c r="M4960">
        <f>IF(B4960,(1+Trend)^D4960,"")</f>
        <v/>
      </c>
      <c r="N4960">
        <f>IF(B4960,EXP(SUMPRODUCT(LN(1+(EvEff-1)*INDEX(Affected,0,C4960)*EXP(-((E4960-EvCenter)^2)/(2*EvSigma^2))))),"")</f>
        <v/>
      </c>
      <c r="O4960">
        <f>IF(B4960,ROUND(MAX(0,J4960*K4960*L4960*M4960*N4960),2),"")</f>
        <v/>
      </c>
    </row>
    <row r="4961">
      <c r="A4961" t="n">
        <v>4960</v>
      </c>
      <c r="B4961">
        <f>A4961&lt;=MineCount*Days</f>
        <v/>
      </c>
      <c r="C4961">
        <f>IF(B4961,INT((A4961-1)/Days)+1,"")</f>
        <v/>
      </c>
      <c r="D4961">
        <f>IF(B4961,MOD(A4961-1,Days),"")</f>
        <v/>
      </c>
      <c r="E4961" s="16">
        <f>IF(B4961,StartDate+D4961,"")</f>
        <v/>
      </c>
      <c r="F4961">
        <f>IF(B4961,MAX(MOD(SIN(Seed*0.1373+C4961*12.9898+D4961*78.233)*43758.5453,1),1E-9),"")</f>
        <v/>
      </c>
      <c r="G4961">
        <f>IF(B4961,MOD(SIN(Seed*0.5917+C4961*39.3468+D4961*11.135)*24634.6345,1),"")</f>
        <v/>
      </c>
      <c r="H4961">
        <f>IF(B4961,SQRT(-2*LN(F4961))*COS(2*PI()*G4961),"")</f>
        <v/>
      </c>
      <c r="I4961">
        <f>IF(B4961,IF(D4961=0,H4961,Rho*I4960+SQRT(1-Rho^2)*H4961),"")</f>
        <v/>
      </c>
      <c r="J4961">
        <f>IF(B4961,IF(Dist="Normal",DistA+DistB*I4961,DistA+(DistB-DistA)*NORMSDIST(I4961)),"")</f>
        <v/>
      </c>
      <c r="K4961">
        <f>IF(B4961,INDEX(MineScale,C4961),"")</f>
        <v/>
      </c>
      <c r="L4961">
        <f>IF(B4961,INDEX(Dow,1,WEEKDAY(E4961,2)),"")</f>
        <v/>
      </c>
      <c r="M4961">
        <f>IF(B4961,(1+Trend)^D4961,"")</f>
        <v/>
      </c>
      <c r="N4961">
        <f>IF(B4961,EXP(SUMPRODUCT(LN(1+(EvEff-1)*INDEX(Affected,0,C4961)*EXP(-((E4961-EvCenter)^2)/(2*EvSigma^2))))),"")</f>
        <v/>
      </c>
      <c r="O4961">
        <f>IF(B4961,ROUND(MAX(0,J4961*K4961*L4961*M4961*N4961),2),"")</f>
        <v/>
      </c>
    </row>
    <row r="4962">
      <c r="A4962" t="n">
        <v>4961</v>
      </c>
      <c r="B4962">
        <f>A4962&lt;=MineCount*Days</f>
        <v/>
      </c>
      <c r="C4962">
        <f>IF(B4962,INT((A4962-1)/Days)+1,"")</f>
        <v/>
      </c>
      <c r="D4962">
        <f>IF(B4962,MOD(A4962-1,Days),"")</f>
        <v/>
      </c>
      <c r="E4962" s="16">
        <f>IF(B4962,StartDate+D4962,"")</f>
        <v/>
      </c>
      <c r="F4962">
        <f>IF(B4962,MAX(MOD(SIN(Seed*0.1373+C4962*12.9898+D4962*78.233)*43758.5453,1),1E-9),"")</f>
        <v/>
      </c>
      <c r="G4962">
        <f>IF(B4962,MOD(SIN(Seed*0.5917+C4962*39.3468+D4962*11.135)*24634.6345,1),"")</f>
        <v/>
      </c>
      <c r="H4962">
        <f>IF(B4962,SQRT(-2*LN(F4962))*COS(2*PI()*G4962),"")</f>
        <v/>
      </c>
      <c r="I4962">
        <f>IF(B4962,IF(D4962=0,H4962,Rho*I4961+SQRT(1-Rho^2)*H4962),"")</f>
        <v/>
      </c>
      <c r="J4962">
        <f>IF(B4962,IF(Dist="Normal",DistA+DistB*I4962,DistA+(DistB-DistA)*NORMSDIST(I4962)),"")</f>
        <v/>
      </c>
      <c r="K4962">
        <f>IF(B4962,INDEX(MineScale,C4962),"")</f>
        <v/>
      </c>
      <c r="L4962">
        <f>IF(B4962,INDEX(Dow,1,WEEKDAY(E4962,2)),"")</f>
        <v/>
      </c>
      <c r="M4962">
        <f>IF(B4962,(1+Trend)^D4962,"")</f>
        <v/>
      </c>
      <c r="N4962">
        <f>IF(B4962,EXP(SUMPRODUCT(LN(1+(EvEff-1)*INDEX(Affected,0,C4962)*EXP(-((E4962-EvCenter)^2)/(2*EvSigma^2))))),"")</f>
        <v/>
      </c>
      <c r="O4962">
        <f>IF(B4962,ROUND(MAX(0,J4962*K4962*L4962*M4962*N4962),2),"")</f>
        <v/>
      </c>
    </row>
    <row r="4963">
      <c r="A4963" t="n">
        <v>4962</v>
      </c>
      <c r="B4963">
        <f>A4963&lt;=MineCount*Days</f>
        <v/>
      </c>
      <c r="C4963">
        <f>IF(B4963,INT((A4963-1)/Days)+1,"")</f>
        <v/>
      </c>
      <c r="D4963">
        <f>IF(B4963,MOD(A4963-1,Days),"")</f>
        <v/>
      </c>
      <c r="E4963" s="16">
        <f>IF(B4963,StartDate+D4963,"")</f>
        <v/>
      </c>
      <c r="F4963">
        <f>IF(B4963,MAX(MOD(SIN(Seed*0.1373+C4963*12.9898+D4963*78.233)*43758.5453,1),1E-9),"")</f>
        <v/>
      </c>
      <c r="G4963">
        <f>IF(B4963,MOD(SIN(Seed*0.5917+C4963*39.3468+D4963*11.135)*24634.6345,1),"")</f>
        <v/>
      </c>
      <c r="H4963">
        <f>IF(B4963,SQRT(-2*LN(F4963))*COS(2*PI()*G4963),"")</f>
        <v/>
      </c>
      <c r="I4963">
        <f>IF(B4963,IF(D4963=0,H4963,Rho*I4962+SQRT(1-Rho^2)*H4963),"")</f>
        <v/>
      </c>
      <c r="J4963">
        <f>IF(B4963,IF(Dist="Normal",DistA+DistB*I4963,DistA+(DistB-DistA)*NORMSDIST(I4963)),"")</f>
        <v/>
      </c>
      <c r="K4963">
        <f>IF(B4963,INDEX(MineScale,C4963),"")</f>
        <v/>
      </c>
      <c r="L4963">
        <f>IF(B4963,INDEX(Dow,1,WEEKDAY(E4963,2)),"")</f>
        <v/>
      </c>
      <c r="M4963">
        <f>IF(B4963,(1+Trend)^D4963,"")</f>
        <v/>
      </c>
      <c r="N4963">
        <f>IF(B4963,EXP(SUMPRODUCT(LN(1+(EvEff-1)*INDEX(Affected,0,C4963)*EXP(-((E4963-EvCenter)^2)/(2*EvSigma^2))))),"")</f>
        <v/>
      </c>
      <c r="O4963">
        <f>IF(B4963,ROUND(MAX(0,J4963*K4963*L4963*M4963*N4963),2),"")</f>
        <v/>
      </c>
    </row>
    <row r="4964">
      <c r="A4964" t="n">
        <v>4963</v>
      </c>
      <c r="B4964">
        <f>A4964&lt;=MineCount*Days</f>
        <v/>
      </c>
      <c r="C4964">
        <f>IF(B4964,INT((A4964-1)/Days)+1,"")</f>
        <v/>
      </c>
      <c r="D4964">
        <f>IF(B4964,MOD(A4964-1,Days),"")</f>
        <v/>
      </c>
      <c r="E4964" s="16">
        <f>IF(B4964,StartDate+D4964,"")</f>
        <v/>
      </c>
      <c r="F4964">
        <f>IF(B4964,MAX(MOD(SIN(Seed*0.1373+C4964*12.9898+D4964*78.233)*43758.5453,1),1E-9),"")</f>
        <v/>
      </c>
      <c r="G4964">
        <f>IF(B4964,MOD(SIN(Seed*0.5917+C4964*39.3468+D4964*11.135)*24634.6345,1),"")</f>
        <v/>
      </c>
      <c r="H4964">
        <f>IF(B4964,SQRT(-2*LN(F4964))*COS(2*PI()*G4964),"")</f>
        <v/>
      </c>
      <c r="I4964">
        <f>IF(B4964,IF(D4964=0,H4964,Rho*I4963+SQRT(1-Rho^2)*H4964),"")</f>
        <v/>
      </c>
      <c r="J4964">
        <f>IF(B4964,IF(Dist="Normal",DistA+DistB*I4964,DistA+(DistB-DistA)*NORMSDIST(I4964)),"")</f>
        <v/>
      </c>
      <c r="K4964">
        <f>IF(B4964,INDEX(MineScale,C4964),"")</f>
        <v/>
      </c>
      <c r="L4964">
        <f>IF(B4964,INDEX(Dow,1,WEEKDAY(E4964,2)),"")</f>
        <v/>
      </c>
      <c r="M4964">
        <f>IF(B4964,(1+Trend)^D4964,"")</f>
        <v/>
      </c>
      <c r="N4964">
        <f>IF(B4964,EXP(SUMPRODUCT(LN(1+(EvEff-1)*INDEX(Affected,0,C4964)*EXP(-((E4964-EvCenter)^2)/(2*EvSigma^2))))),"")</f>
        <v/>
      </c>
      <c r="O4964">
        <f>IF(B4964,ROUND(MAX(0,J4964*K4964*L4964*M4964*N4964),2),"")</f>
        <v/>
      </c>
    </row>
    <row r="4965">
      <c r="A4965" t="n">
        <v>4964</v>
      </c>
      <c r="B4965">
        <f>A4965&lt;=MineCount*Days</f>
        <v/>
      </c>
      <c r="C4965">
        <f>IF(B4965,INT((A4965-1)/Days)+1,"")</f>
        <v/>
      </c>
      <c r="D4965">
        <f>IF(B4965,MOD(A4965-1,Days),"")</f>
        <v/>
      </c>
      <c r="E4965" s="16">
        <f>IF(B4965,StartDate+D4965,"")</f>
        <v/>
      </c>
      <c r="F4965">
        <f>IF(B4965,MAX(MOD(SIN(Seed*0.1373+C4965*12.9898+D4965*78.233)*43758.5453,1),1E-9),"")</f>
        <v/>
      </c>
      <c r="G4965">
        <f>IF(B4965,MOD(SIN(Seed*0.5917+C4965*39.3468+D4965*11.135)*24634.6345,1),"")</f>
        <v/>
      </c>
      <c r="H4965">
        <f>IF(B4965,SQRT(-2*LN(F4965))*COS(2*PI()*G4965),"")</f>
        <v/>
      </c>
      <c r="I4965">
        <f>IF(B4965,IF(D4965=0,H4965,Rho*I4964+SQRT(1-Rho^2)*H4965),"")</f>
        <v/>
      </c>
      <c r="J4965">
        <f>IF(B4965,IF(Dist="Normal",DistA+DistB*I4965,DistA+(DistB-DistA)*NORMSDIST(I4965)),"")</f>
        <v/>
      </c>
      <c r="K4965">
        <f>IF(B4965,INDEX(MineScale,C4965),"")</f>
        <v/>
      </c>
      <c r="L4965">
        <f>IF(B4965,INDEX(Dow,1,WEEKDAY(E4965,2)),"")</f>
        <v/>
      </c>
      <c r="M4965">
        <f>IF(B4965,(1+Trend)^D4965,"")</f>
        <v/>
      </c>
      <c r="N4965">
        <f>IF(B4965,EXP(SUMPRODUCT(LN(1+(EvEff-1)*INDEX(Affected,0,C4965)*EXP(-((E4965-EvCenter)^2)/(2*EvSigma^2))))),"")</f>
        <v/>
      </c>
      <c r="O4965">
        <f>IF(B4965,ROUND(MAX(0,J4965*K4965*L4965*M4965*N4965),2),"")</f>
        <v/>
      </c>
    </row>
    <row r="4966">
      <c r="A4966" t="n">
        <v>4965</v>
      </c>
      <c r="B4966">
        <f>A4966&lt;=MineCount*Days</f>
        <v/>
      </c>
      <c r="C4966">
        <f>IF(B4966,INT((A4966-1)/Days)+1,"")</f>
        <v/>
      </c>
      <c r="D4966">
        <f>IF(B4966,MOD(A4966-1,Days),"")</f>
        <v/>
      </c>
      <c r="E4966" s="16">
        <f>IF(B4966,StartDate+D4966,"")</f>
        <v/>
      </c>
      <c r="F4966">
        <f>IF(B4966,MAX(MOD(SIN(Seed*0.1373+C4966*12.9898+D4966*78.233)*43758.5453,1),1E-9),"")</f>
        <v/>
      </c>
      <c r="G4966">
        <f>IF(B4966,MOD(SIN(Seed*0.5917+C4966*39.3468+D4966*11.135)*24634.6345,1),"")</f>
        <v/>
      </c>
      <c r="H4966">
        <f>IF(B4966,SQRT(-2*LN(F4966))*COS(2*PI()*G4966),"")</f>
        <v/>
      </c>
      <c r="I4966">
        <f>IF(B4966,IF(D4966=0,H4966,Rho*I4965+SQRT(1-Rho^2)*H4966),"")</f>
        <v/>
      </c>
      <c r="J4966">
        <f>IF(B4966,IF(Dist="Normal",DistA+DistB*I4966,DistA+(DistB-DistA)*NORMSDIST(I4966)),"")</f>
        <v/>
      </c>
      <c r="K4966">
        <f>IF(B4966,INDEX(MineScale,C4966),"")</f>
        <v/>
      </c>
      <c r="L4966">
        <f>IF(B4966,INDEX(Dow,1,WEEKDAY(E4966,2)),"")</f>
        <v/>
      </c>
      <c r="M4966">
        <f>IF(B4966,(1+Trend)^D4966,"")</f>
        <v/>
      </c>
      <c r="N4966">
        <f>IF(B4966,EXP(SUMPRODUCT(LN(1+(EvEff-1)*INDEX(Affected,0,C4966)*EXP(-((E4966-EvCenter)^2)/(2*EvSigma^2))))),"")</f>
        <v/>
      </c>
      <c r="O4966">
        <f>IF(B4966,ROUND(MAX(0,J4966*K4966*L4966*M4966*N4966),2),"")</f>
        <v/>
      </c>
    </row>
    <row r="4967">
      <c r="A4967" t="n">
        <v>4966</v>
      </c>
      <c r="B4967">
        <f>A4967&lt;=MineCount*Days</f>
        <v/>
      </c>
      <c r="C4967">
        <f>IF(B4967,INT((A4967-1)/Days)+1,"")</f>
        <v/>
      </c>
      <c r="D4967">
        <f>IF(B4967,MOD(A4967-1,Days),"")</f>
        <v/>
      </c>
      <c r="E4967" s="16">
        <f>IF(B4967,StartDate+D4967,"")</f>
        <v/>
      </c>
      <c r="F4967">
        <f>IF(B4967,MAX(MOD(SIN(Seed*0.1373+C4967*12.9898+D4967*78.233)*43758.5453,1),1E-9),"")</f>
        <v/>
      </c>
      <c r="G4967">
        <f>IF(B4967,MOD(SIN(Seed*0.5917+C4967*39.3468+D4967*11.135)*24634.6345,1),"")</f>
        <v/>
      </c>
      <c r="H4967">
        <f>IF(B4967,SQRT(-2*LN(F4967))*COS(2*PI()*G4967),"")</f>
        <v/>
      </c>
      <c r="I4967">
        <f>IF(B4967,IF(D4967=0,H4967,Rho*I4966+SQRT(1-Rho^2)*H4967),"")</f>
        <v/>
      </c>
      <c r="J4967">
        <f>IF(B4967,IF(Dist="Normal",DistA+DistB*I4967,DistA+(DistB-DistA)*NORMSDIST(I4967)),"")</f>
        <v/>
      </c>
      <c r="K4967">
        <f>IF(B4967,INDEX(MineScale,C4967),"")</f>
        <v/>
      </c>
      <c r="L4967">
        <f>IF(B4967,INDEX(Dow,1,WEEKDAY(E4967,2)),"")</f>
        <v/>
      </c>
      <c r="M4967">
        <f>IF(B4967,(1+Trend)^D4967,"")</f>
        <v/>
      </c>
      <c r="N4967">
        <f>IF(B4967,EXP(SUMPRODUCT(LN(1+(EvEff-1)*INDEX(Affected,0,C4967)*EXP(-((E4967-EvCenter)^2)/(2*EvSigma^2))))),"")</f>
        <v/>
      </c>
      <c r="O4967">
        <f>IF(B4967,ROUND(MAX(0,J4967*K4967*L4967*M4967*N4967),2),"")</f>
        <v/>
      </c>
    </row>
    <row r="4968">
      <c r="A4968" t="n">
        <v>4967</v>
      </c>
      <c r="B4968">
        <f>A4968&lt;=MineCount*Days</f>
        <v/>
      </c>
      <c r="C4968">
        <f>IF(B4968,INT((A4968-1)/Days)+1,"")</f>
        <v/>
      </c>
      <c r="D4968">
        <f>IF(B4968,MOD(A4968-1,Days),"")</f>
        <v/>
      </c>
      <c r="E4968" s="16">
        <f>IF(B4968,StartDate+D4968,"")</f>
        <v/>
      </c>
      <c r="F4968">
        <f>IF(B4968,MAX(MOD(SIN(Seed*0.1373+C4968*12.9898+D4968*78.233)*43758.5453,1),1E-9),"")</f>
        <v/>
      </c>
      <c r="G4968">
        <f>IF(B4968,MOD(SIN(Seed*0.5917+C4968*39.3468+D4968*11.135)*24634.6345,1),"")</f>
        <v/>
      </c>
      <c r="H4968">
        <f>IF(B4968,SQRT(-2*LN(F4968))*COS(2*PI()*G4968),"")</f>
        <v/>
      </c>
      <c r="I4968">
        <f>IF(B4968,IF(D4968=0,H4968,Rho*I4967+SQRT(1-Rho^2)*H4968),"")</f>
        <v/>
      </c>
      <c r="J4968">
        <f>IF(B4968,IF(Dist="Normal",DistA+DistB*I4968,DistA+(DistB-DistA)*NORMSDIST(I4968)),"")</f>
        <v/>
      </c>
      <c r="K4968">
        <f>IF(B4968,INDEX(MineScale,C4968),"")</f>
        <v/>
      </c>
      <c r="L4968">
        <f>IF(B4968,INDEX(Dow,1,WEEKDAY(E4968,2)),"")</f>
        <v/>
      </c>
      <c r="M4968">
        <f>IF(B4968,(1+Trend)^D4968,"")</f>
        <v/>
      </c>
      <c r="N4968">
        <f>IF(B4968,EXP(SUMPRODUCT(LN(1+(EvEff-1)*INDEX(Affected,0,C4968)*EXP(-((E4968-EvCenter)^2)/(2*EvSigma^2))))),"")</f>
        <v/>
      </c>
      <c r="O4968">
        <f>IF(B4968,ROUND(MAX(0,J4968*K4968*L4968*M4968*N4968),2),"")</f>
        <v/>
      </c>
    </row>
    <row r="4969">
      <c r="A4969" t="n">
        <v>4968</v>
      </c>
      <c r="B4969">
        <f>A4969&lt;=MineCount*Days</f>
        <v/>
      </c>
      <c r="C4969">
        <f>IF(B4969,INT((A4969-1)/Days)+1,"")</f>
        <v/>
      </c>
      <c r="D4969">
        <f>IF(B4969,MOD(A4969-1,Days),"")</f>
        <v/>
      </c>
      <c r="E4969" s="16">
        <f>IF(B4969,StartDate+D4969,"")</f>
        <v/>
      </c>
      <c r="F4969">
        <f>IF(B4969,MAX(MOD(SIN(Seed*0.1373+C4969*12.9898+D4969*78.233)*43758.5453,1),1E-9),"")</f>
        <v/>
      </c>
      <c r="G4969">
        <f>IF(B4969,MOD(SIN(Seed*0.5917+C4969*39.3468+D4969*11.135)*24634.6345,1),"")</f>
        <v/>
      </c>
      <c r="H4969">
        <f>IF(B4969,SQRT(-2*LN(F4969))*COS(2*PI()*G4969),"")</f>
        <v/>
      </c>
      <c r="I4969">
        <f>IF(B4969,IF(D4969=0,H4969,Rho*I4968+SQRT(1-Rho^2)*H4969),"")</f>
        <v/>
      </c>
      <c r="J4969">
        <f>IF(B4969,IF(Dist="Normal",DistA+DistB*I4969,DistA+(DistB-DistA)*NORMSDIST(I4969)),"")</f>
        <v/>
      </c>
      <c r="K4969">
        <f>IF(B4969,INDEX(MineScale,C4969),"")</f>
        <v/>
      </c>
      <c r="L4969">
        <f>IF(B4969,INDEX(Dow,1,WEEKDAY(E4969,2)),"")</f>
        <v/>
      </c>
      <c r="M4969">
        <f>IF(B4969,(1+Trend)^D4969,"")</f>
        <v/>
      </c>
      <c r="N4969">
        <f>IF(B4969,EXP(SUMPRODUCT(LN(1+(EvEff-1)*INDEX(Affected,0,C4969)*EXP(-((E4969-EvCenter)^2)/(2*EvSigma^2))))),"")</f>
        <v/>
      </c>
      <c r="O4969">
        <f>IF(B4969,ROUND(MAX(0,J4969*K4969*L4969*M4969*N4969),2),"")</f>
        <v/>
      </c>
    </row>
    <row r="4970">
      <c r="A4970" t="n">
        <v>4969</v>
      </c>
      <c r="B4970">
        <f>A4970&lt;=MineCount*Days</f>
        <v/>
      </c>
      <c r="C4970">
        <f>IF(B4970,INT((A4970-1)/Days)+1,"")</f>
        <v/>
      </c>
      <c r="D4970">
        <f>IF(B4970,MOD(A4970-1,Days),"")</f>
        <v/>
      </c>
      <c r="E4970" s="16">
        <f>IF(B4970,StartDate+D4970,"")</f>
        <v/>
      </c>
      <c r="F4970">
        <f>IF(B4970,MAX(MOD(SIN(Seed*0.1373+C4970*12.9898+D4970*78.233)*43758.5453,1),1E-9),"")</f>
        <v/>
      </c>
      <c r="G4970">
        <f>IF(B4970,MOD(SIN(Seed*0.5917+C4970*39.3468+D4970*11.135)*24634.6345,1),"")</f>
        <v/>
      </c>
      <c r="H4970">
        <f>IF(B4970,SQRT(-2*LN(F4970))*COS(2*PI()*G4970),"")</f>
        <v/>
      </c>
      <c r="I4970">
        <f>IF(B4970,IF(D4970=0,H4970,Rho*I4969+SQRT(1-Rho^2)*H4970),"")</f>
        <v/>
      </c>
      <c r="J4970">
        <f>IF(B4970,IF(Dist="Normal",DistA+DistB*I4970,DistA+(DistB-DistA)*NORMSDIST(I4970)),"")</f>
        <v/>
      </c>
      <c r="K4970">
        <f>IF(B4970,INDEX(MineScale,C4970),"")</f>
        <v/>
      </c>
      <c r="L4970">
        <f>IF(B4970,INDEX(Dow,1,WEEKDAY(E4970,2)),"")</f>
        <v/>
      </c>
      <c r="M4970">
        <f>IF(B4970,(1+Trend)^D4970,"")</f>
        <v/>
      </c>
      <c r="N4970">
        <f>IF(B4970,EXP(SUMPRODUCT(LN(1+(EvEff-1)*INDEX(Affected,0,C4970)*EXP(-((E4970-EvCenter)^2)/(2*EvSigma^2))))),"")</f>
        <v/>
      </c>
      <c r="O4970">
        <f>IF(B4970,ROUND(MAX(0,J4970*K4970*L4970*M4970*N4970),2),"")</f>
        <v/>
      </c>
    </row>
    <row r="4971">
      <c r="A4971" t="n">
        <v>4970</v>
      </c>
      <c r="B4971">
        <f>A4971&lt;=MineCount*Days</f>
        <v/>
      </c>
      <c r="C4971">
        <f>IF(B4971,INT((A4971-1)/Days)+1,"")</f>
        <v/>
      </c>
      <c r="D4971">
        <f>IF(B4971,MOD(A4971-1,Days),"")</f>
        <v/>
      </c>
      <c r="E4971" s="16">
        <f>IF(B4971,StartDate+D4971,"")</f>
        <v/>
      </c>
      <c r="F4971">
        <f>IF(B4971,MAX(MOD(SIN(Seed*0.1373+C4971*12.9898+D4971*78.233)*43758.5453,1),1E-9),"")</f>
        <v/>
      </c>
      <c r="G4971">
        <f>IF(B4971,MOD(SIN(Seed*0.5917+C4971*39.3468+D4971*11.135)*24634.6345,1),"")</f>
        <v/>
      </c>
      <c r="H4971">
        <f>IF(B4971,SQRT(-2*LN(F4971))*COS(2*PI()*G4971),"")</f>
        <v/>
      </c>
      <c r="I4971">
        <f>IF(B4971,IF(D4971=0,H4971,Rho*I4970+SQRT(1-Rho^2)*H4971),"")</f>
        <v/>
      </c>
      <c r="J4971">
        <f>IF(B4971,IF(Dist="Normal",DistA+DistB*I4971,DistA+(DistB-DistA)*NORMSDIST(I4971)),"")</f>
        <v/>
      </c>
      <c r="K4971">
        <f>IF(B4971,INDEX(MineScale,C4971),"")</f>
        <v/>
      </c>
      <c r="L4971">
        <f>IF(B4971,INDEX(Dow,1,WEEKDAY(E4971,2)),"")</f>
        <v/>
      </c>
      <c r="M4971">
        <f>IF(B4971,(1+Trend)^D4971,"")</f>
        <v/>
      </c>
      <c r="N4971">
        <f>IF(B4971,EXP(SUMPRODUCT(LN(1+(EvEff-1)*INDEX(Affected,0,C4971)*EXP(-((E4971-EvCenter)^2)/(2*EvSigma^2))))),"")</f>
        <v/>
      </c>
      <c r="O4971">
        <f>IF(B4971,ROUND(MAX(0,J4971*K4971*L4971*M4971*N4971),2),"")</f>
        <v/>
      </c>
    </row>
    <row r="4972">
      <c r="A4972" t="n">
        <v>4971</v>
      </c>
      <c r="B4972">
        <f>A4972&lt;=MineCount*Days</f>
        <v/>
      </c>
      <c r="C4972">
        <f>IF(B4972,INT((A4972-1)/Days)+1,"")</f>
        <v/>
      </c>
      <c r="D4972">
        <f>IF(B4972,MOD(A4972-1,Days),"")</f>
        <v/>
      </c>
      <c r="E4972" s="16">
        <f>IF(B4972,StartDate+D4972,"")</f>
        <v/>
      </c>
      <c r="F4972">
        <f>IF(B4972,MAX(MOD(SIN(Seed*0.1373+C4972*12.9898+D4972*78.233)*43758.5453,1),1E-9),"")</f>
        <v/>
      </c>
      <c r="G4972">
        <f>IF(B4972,MOD(SIN(Seed*0.5917+C4972*39.3468+D4972*11.135)*24634.6345,1),"")</f>
        <v/>
      </c>
      <c r="H4972">
        <f>IF(B4972,SQRT(-2*LN(F4972))*COS(2*PI()*G4972),"")</f>
        <v/>
      </c>
      <c r="I4972">
        <f>IF(B4972,IF(D4972=0,H4972,Rho*I4971+SQRT(1-Rho^2)*H4972),"")</f>
        <v/>
      </c>
      <c r="J4972">
        <f>IF(B4972,IF(Dist="Normal",DistA+DistB*I4972,DistA+(DistB-DistA)*NORMSDIST(I4972)),"")</f>
        <v/>
      </c>
      <c r="K4972">
        <f>IF(B4972,INDEX(MineScale,C4972),"")</f>
        <v/>
      </c>
      <c r="L4972">
        <f>IF(B4972,INDEX(Dow,1,WEEKDAY(E4972,2)),"")</f>
        <v/>
      </c>
      <c r="M4972">
        <f>IF(B4972,(1+Trend)^D4972,"")</f>
        <v/>
      </c>
      <c r="N4972">
        <f>IF(B4972,EXP(SUMPRODUCT(LN(1+(EvEff-1)*INDEX(Affected,0,C4972)*EXP(-((E4972-EvCenter)^2)/(2*EvSigma^2))))),"")</f>
        <v/>
      </c>
      <c r="O4972">
        <f>IF(B4972,ROUND(MAX(0,J4972*K4972*L4972*M4972*N4972),2),"")</f>
        <v/>
      </c>
    </row>
    <row r="4973">
      <c r="A4973" t="n">
        <v>4972</v>
      </c>
      <c r="B4973">
        <f>A4973&lt;=MineCount*Days</f>
        <v/>
      </c>
      <c r="C4973">
        <f>IF(B4973,INT((A4973-1)/Days)+1,"")</f>
        <v/>
      </c>
      <c r="D4973">
        <f>IF(B4973,MOD(A4973-1,Days),"")</f>
        <v/>
      </c>
      <c r="E4973" s="16">
        <f>IF(B4973,StartDate+D4973,"")</f>
        <v/>
      </c>
      <c r="F4973">
        <f>IF(B4973,MAX(MOD(SIN(Seed*0.1373+C4973*12.9898+D4973*78.233)*43758.5453,1),1E-9),"")</f>
        <v/>
      </c>
      <c r="G4973">
        <f>IF(B4973,MOD(SIN(Seed*0.5917+C4973*39.3468+D4973*11.135)*24634.6345,1),"")</f>
        <v/>
      </c>
      <c r="H4973">
        <f>IF(B4973,SQRT(-2*LN(F4973))*COS(2*PI()*G4973),"")</f>
        <v/>
      </c>
      <c r="I4973">
        <f>IF(B4973,IF(D4973=0,H4973,Rho*I4972+SQRT(1-Rho^2)*H4973),"")</f>
        <v/>
      </c>
      <c r="J4973">
        <f>IF(B4973,IF(Dist="Normal",DistA+DistB*I4973,DistA+(DistB-DistA)*NORMSDIST(I4973)),"")</f>
        <v/>
      </c>
      <c r="K4973">
        <f>IF(B4973,INDEX(MineScale,C4973),"")</f>
        <v/>
      </c>
      <c r="L4973">
        <f>IF(B4973,INDEX(Dow,1,WEEKDAY(E4973,2)),"")</f>
        <v/>
      </c>
      <c r="M4973">
        <f>IF(B4973,(1+Trend)^D4973,"")</f>
        <v/>
      </c>
      <c r="N4973">
        <f>IF(B4973,EXP(SUMPRODUCT(LN(1+(EvEff-1)*INDEX(Affected,0,C4973)*EXP(-((E4973-EvCenter)^2)/(2*EvSigma^2))))),"")</f>
        <v/>
      </c>
      <c r="O4973">
        <f>IF(B4973,ROUND(MAX(0,J4973*K4973*L4973*M4973*N4973),2),"")</f>
        <v/>
      </c>
    </row>
    <row r="4974">
      <c r="A4974" t="n">
        <v>4973</v>
      </c>
      <c r="B4974">
        <f>A4974&lt;=MineCount*Days</f>
        <v/>
      </c>
      <c r="C4974">
        <f>IF(B4974,INT((A4974-1)/Days)+1,"")</f>
        <v/>
      </c>
      <c r="D4974">
        <f>IF(B4974,MOD(A4974-1,Days),"")</f>
        <v/>
      </c>
      <c r="E4974" s="16">
        <f>IF(B4974,StartDate+D4974,"")</f>
        <v/>
      </c>
      <c r="F4974">
        <f>IF(B4974,MAX(MOD(SIN(Seed*0.1373+C4974*12.9898+D4974*78.233)*43758.5453,1),1E-9),"")</f>
        <v/>
      </c>
      <c r="G4974">
        <f>IF(B4974,MOD(SIN(Seed*0.5917+C4974*39.3468+D4974*11.135)*24634.6345,1),"")</f>
        <v/>
      </c>
      <c r="H4974">
        <f>IF(B4974,SQRT(-2*LN(F4974))*COS(2*PI()*G4974),"")</f>
        <v/>
      </c>
      <c r="I4974">
        <f>IF(B4974,IF(D4974=0,H4974,Rho*I4973+SQRT(1-Rho^2)*H4974),"")</f>
        <v/>
      </c>
      <c r="J4974">
        <f>IF(B4974,IF(Dist="Normal",DistA+DistB*I4974,DistA+(DistB-DistA)*NORMSDIST(I4974)),"")</f>
        <v/>
      </c>
      <c r="K4974">
        <f>IF(B4974,INDEX(MineScale,C4974),"")</f>
        <v/>
      </c>
      <c r="L4974">
        <f>IF(B4974,INDEX(Dow,1,WEEKDAY(E4974,2)),"")</f>
        <v/>
      </c>
      <c r="M4974">
        <f>IF(B4974,(1+Trend)^D4974,"")</f>
        <v/>
      </c>
      <c r="N4974">
        <f>IF(B4974,EXP(SUMPRODUCT(LN(1+(EvEff-1)*INDEX(Affected,0,C4974)*EXP(-((E4974-EvCenter)^2)/(2*EvSigma^2))))),"")</f>
        <v/>
      </c>
      <c r="O4974">
        <f>IF(B4974,ROUND(MAX(0,J4974*K4974*L4974*M4974*N4974),2),"")</f>
        <v/>
      </c>
    </row>
    <row r="4975">
      <c r="A4975" t="n">
        <v>4974</v>
      </c>
      <c r="B4975">
        <f>A4975&lt;=MineCount*Days</f>
        <v/>
      </c>
      <c r="C4975">
        <f>IF(B4975,INT((A4975-1)/Days)+1,"")</f>
        <v/>
      </c>
      <c r="D4975">
        <f>IF(B4975,MOD(A4975-1,Days),"")</f>
        <v/>
      </c>
      <c r="E4975" s="16">
        <f>IF(B4975,StartDate+D4975,"")</f>
        <v/>
      </c>
      <c r="F4975">
        <f>IF(B4975,MAX(MOD(SIN(Seed*0.1373+C4975*12.9898+D4975*78.233)*43758.5453,1),1E-9),"")</f>
        <v/>
      </c>
      <c r="G4975">
        <f>IF(B4975,MOD(SIN(Seed*0.5917+C4975*39.3468+D4975*11.135)*24634.6345,1),"")</f>
        <v/>
      </c>
      <c r="H4975">
        <f>IF(B4975,SQRT(-2*LN(F4975))*COS(2*PI()*G4975),"")</f>
        <v/>
      </c>
      <c r="I4975">
        <f>IF(B4975,IF(D4975=0,H4975,Rho*I4974+SQRT(1-Rho^2)*H4975),"")</f>
        <v/>
      </c>
      <c r="J4975">
        <f>IF(B4975,IF(Dist="Normal",DistA+DistB*I4975,DistA+(DistB-DistA)*NORMSDIST(I4975)),"")</f>
        <v/>
      </c>
      <c r="K4975">
        <f>IF(B4975,INDEX(MineScale,C4975),"")</f>
        <v/>
      </c>
      <c r="L4975">
        <f>IF(B4975,INDEX(Dow,1,WEEKDAY(E4975,2)),"")</f>
        <v/>
      </c>
      <c r="M4975">
        <f>IF(B4975,(1+Trend)^D4975,"")</f>
        <v/>
      </c>
      <c r="N4975">
        <f>IF(B4975,EXP(SUMPRODUCT(LN(1+(EvEff-1)*INDEX(Affected,0,C4975)*EXP(-((E4975-EvCenter)^2)/(2*EvSigma^2))))),"")</f>
        <v/>
      </c>
      <c r="O4975">
        <f>IF(B4975,ROUND(MAX(0,J4975*K4975*L4975*M4975*N4975),2),"")</f>
        <v/>
      </c>
    </row>
    <row r="4976">
      <c r="A4976" t="n">
        <v>4975</v>
      </c>
      <c r="B4976">
        <f>A4976&lt;=MineCount*Days</f>
        <v/>
      </c>
      <c r="C4976">
        <f>IF(B4976,INT((A4976-1)/Days)+1,"")</f>
        <v/>
      </c>
      <c r="D4976">
        <f>IF(B4976,MOD(A4976-1,Days),"")</f>
        <v/>
      </c>
      <c r="E4976" s="16">
        <f>IF(B4976,StartDate+D4976,"")</f>
        <v/>
      </c>
      <c r="F4976">
        <f>IF(B4976,MAX(MOD(SIN(Seed*0.1373+C4976*12.9898+D4976*78.233)*43758.5453,1),1E-9),"")</f>
        <v/>
      </c>
      <c r="G4976">
        <f>IF(B4976,MOD(SIN(Seed*0.5917+C4976*39.3468+D4976*11.135)*24634.6345,1),"")</f>
        <v/>
      </c>
      <c r="H4976">
        <f>IF(B4976,SQRT(-2*LN(F4976))*COS(2*PI()*G4976),"")</f>
        <v/>
      </c>
      <c r="I4976">
        <f>IF(B4976,IF(D4976=0,H4976,Rho*I4975+SQRT(1-Rho^2)*H4976),"")</f>
        <v/>
      </c>
      <c r="J4976">
        <f>IF(B4976,IF(Dist="Normal",DistA+DistB*I4976,DistA+(DistB-DistA)*NORMSDIST(I4976)),"")</f>
        <v/>
      </c>
      <c r="K4976">
        <f>IF(B4976,INDEX(MineScale,C4976),"")</f>
        <v/>
      </c>
      <c r="L4976">
        <f>IF(B4976,INDEX(Dow,1,WEEKDAY(E4976,2)),"")</f>
        <v/>
      </c>
      <c r="M4976">
        <f>IF(B4976,(1+Trend)^D4976,"")</f>
        <v/>
      </c>
      <c r="N4976">
        <f>IF(B4976,EXP(SUMPRODUCT(LN(1+(EvEff-1)*INDEX(Affected,0,C4976)*EXP(-((E4976-EvCenter)^2)/(2*EvSigma^2))))),"")</f>
        <v/>
      </c>
      <c r="O4976">
        <f>IF(B4976,ROUND(MAX(0,J4976*K4976*L4976*M4976*N4976),2),"")</f>
        <v/>
      </c>
    </row>
    <row r="4977">
      <c r="A4977" t="n">
        <v>4976</v>
      </c>
      <c r="B4977">
        <f>A4977&lt;=MineCount*Days</f>
        <v/>
      </c>
      <c r="C4977">
        <f>IF(B4977,INT((A4977-1)/Days)+1,"")</f>
        <v/>
      </c>
      <c r="D4977">
        <f>IF(B4977,MOD(A4977-1,Days),"")</f>
        <v/>
      </c>
      <c r="E4977" s="16">
        <f>IF(B4977,StartDate+D4977,"")</f>
        <v/>
      </c>
      <c r="F4977">
        <f>IF(B4977,MAX(MOD(SIN(Seed*0.1373+C4977*12.9898+D4977*78.233)*43758.5453,1),1E-9),"")</f>
        <v/>
      </c>
      <c r="G4977">
        <f>IF(B4977,MOD(SIN(Seed*0.5917+C4977*39.3468+D4977*11.135)*24634.6345,1),"")</f>
        <v/>
      </c>
      <c r="H4977">
        <f>IF(B4977,SQRT(-2*LN(F4977))*COS(2*PI()*G4977),"")</f>
        <v/>
      </c>
      <c r="I4977">
        <f>IF(B4977,IF(D4977=0,H4977,Rho*I4976+SQRT(1-Rho^2)*H4977),"")</f>
        <v/>
      </c>
      <c r="J4977">
        <f>IF(B4977,IF(Dist="Normal",DistA+DistB*I4977,DistA+(DistB-DistA)*NORMSDIST(I4977)),"")</f>
        <v/>
      </c>
      <c r="K4977">
        <f>IF(B4977,INDEX(MineScale,C4977),"")</f>
        <v/>
      </c>
      <c r="L4977">
        <f>IF(B4977,INDEX(Dow,1,WEEKDAY(E4977,2)),"")</f>
        <v/>
      </c>
      <c r="M4977">
        <f>IF(B4977,(1+Trend)^D4977,"")</f>
        <v/>
      </c>
      <c r="N4977">
        <f>IF(B4977,EXP(SUMPRODUCT(LN(1+(EvEff-1)*INDEX(Affected,0,C4977)*EXP(-((E4977-EvCenter)^2)/(2*EvSigma^2))))),"")</f>
        <v/>
      </c>
      <c r="O4977">
        <f>IF(B4977,ROUND(MAX(0,J4977*K4977*L4977*M4977*N4977),2),"")</f>
        <v/>
      </c>
    </row>
    <row r="4978">
      <c r="A4978" t="n">
        <v>4977</v>
      </c>
      <c r="B4978">
        <f>A4978&lt;=MineCount*Days</f>
        <v/>
      </c>
      <c r="C4978">
        <f>IF(B4978,INT((A4978-1)/Days)+1,"")</f>
        <v/>
      </c>
      <c r="D4978">
        <f>IF(B4978,MOD(A4978-1,Days),"")</f>
        <v/>
      </c>
      <c r="E4978" s="16">
        <f>IF(B4978,StartDate+D4978,"")</f>
        <v/>
      </c>
      <c r="F4978">
        <f>IF(B4978,MAX(MOD(SIN(Seed*0.1373+C4978*12.9898+D4978*78.233)*43758.5453,1),1E-9),"")</f>
        <v/>
      </c>
      <c r="G4978">
        <f>IF(B4978,MOD(SIN(Seed*0.5917+C4978*39.3468+D4978*11.135)*24634.6345,1),"")</f>
        <v/>
      </c>
      <c r="H4978">
        <f>IF(B4978,SQRT(-2*LN(F4978))*COS(2*PI()*G4978),"")</f>
        <v/>
      </c>
      <c r="I4978">
        <f>IF(B4978,IF(D4978=0,H4978,Rho*I4977+SQRT(1-Rho^2)*H4978),"")</f>
        <v/>
      </c>
      <c r="J4978">
        <f>IF(B4978,IF(Dist="Normal",DistA+DistB*I4978,DistA+(DistB-DistA)*NORMSDIST(I4978)),"")</f>
        <v/>
      </c>
      <c r="K4978">
        <f>IF(B4978,INDEX(MineScale,C4978),"")</f>
        <v/>
      </c>
      <c r="L4978">
        <f>IF(B4978,INDEX(Dow,1,WEEKDAY(E4978,2)),"")</f>
        <v/>
      </c>
      <c r="M4978">
        <f>IF(B4978,(1+Trend)^D4978,"")</f>
        <v/>
      </c>
      <c r="N4978">
        <f>IF(B4978,EXP(SUMPRODUCT(LN(1+(EvEff-1)*INDEX(Affected,0,C4978)*EXP(-((E4978-EvCenter)^2)/(2*EvSigma^2))))),"")</f>
        <v/>
      </c>
      <c r="O4978">
        <f>IF(B4978,ROUND(MAX(0,J4978*K4978*L4978*M4978*N4978),2),"")</f>
        <v/>
      </c>
    </row>
    <row r="4979">
      <c r="A4979" t="n">
        <v>4978</v>
      </c>
      <c r="B4979">
        <f>A4979&lt;=MineCount*Days</f>
        <v/>
      </c>
      <c r="C4979">
        <f>IF(B4979,INT((A4979-1)/Days)+1,"")</f>
        <v/>
      </c>
      <c r="D4979">
        <f>IF(B4979,MOD(A4979-1,Days),"")</f>
        <v/>
      </c>
      <c r="E4979" s="16">
        <f>IF(B4979,StartDate+D4979,"")</f>
        <v/>
      </c>
      <c r="F4979">
        <f>IF(B4979,MAX(MOD(SIN(Seed*0.1373+C4979*12.9898+D4979*78.233)*43758.5453,1),1E-9),"")</f>
        <v/>
      </c>
      <c r="G4979">
        <f>IF(B4979,MOD(SIN(Seed*0.5917+C4979*39.3468+D4979*11.135)*24634.6345,1),"")</f>
        <v/>
      </c>
      <c r="H4979">
        <f>IF(B4979,SQRT(-2*LN(F4979))*COS(2*PI()*G4979),"")</f>
        <v/>
      </c>
      <c r="I4979">
        <f>IF(B4979,IF(D4979=0,H4979,Rho*I4978+SQRT(1-Rho^2)*H4979),"")</f>
        <v/>
      </c>
      <c r="J4979">
        <f>IF(B4979,IF(Dist="Normal",DistA+DistB*I4979,DistA+(DistB-DistA)*NORMSDIST(I4979)),"")</f>
        <v/>
      </c>
      <c r="K4979">
        <f>IF(B4979,INDEX(MineScale,C4979),"")</f>
        <v/>
      </c>
      <c r="L4979">
        <f>IF(B4979,INDEX(Dow,1,WEEKDAY(E4979,2)),"")</f>
        <v/>
      </c>
      <c r="M4979">
        <f>IF(B4979,(1+Trend)^D4979,"")</f>
        <v/>
      </c>
      <c r="N4979">
        <f>IF(B4979,EXP(SUMPRODUCT(LN(1+(EvEff-1)*INDEX(Affected,0,C4979)*EXP(-((E4979-EvCenter)^2)/(2*EvSigma^2))))),"")</f>
        <v/>
      </c>
      <c r="O4979">
        <f>IF(B4979,ROUND(MAX(0,J4979*K4979*L4979*M4979*N4979),2),"")</f>
        <v/>
      </c>
    </row>
    <row r="4980">
      <c r="A4980" t="n">
        <v>4979</v>
      </c>
      <c r="B4980">
        <f>A4980&lt;=MineCount*Days</f>
        <v/>
      </c>
      <c r="C4980">
        <f>IF(B4980,INT((A4980-1)/Days)+1,"")</f>
        <v/>
      </c>
      <c r="D4980">
        <f>IF(B4980,MOD(A4980-1,Days),"")</f>
        <v/>
      </c>
      <c r="E4980" s="16">
        <f>IF(B4980,StartDate+D4980,"")</f>
        <v/>
      </c>
      <c r="F4980">
        <f>IF(B4980,MAX(MOD(SIN(Seed*0.1373+C4980*12.9898+D4980*78.233)*43758.5453,1),1E-9),"")</f>
        <v/>
      </c>
      <c r="G4980">
        <f>IF(B4980,MOD(SIN(Seed*0.5917+C4980*39.3468+D4980*11.135)*24634.6345,1),"")</f>
        <v/>
      </c>
      <c r="H4980">
        <f>IF(B4980,SQRT(-2*LN(F4980))*COS(2*PI()*G4980),"")</f>
        <v/>
      </c>
      <c r="I4980">
        <f>IF(B4980,IF(D4980=0,H4980,Rho*I4979+SQRT(1-Rho^2)*H4980),"")</f>
        <v/>
      </c>
      <c r="J4980">
        <f>IF(B4980,IF(Dist="Normal",DistA+DistB*I4980,DistA+(DistB-DistA)*NORMSDIST(I4980)),"")</f>
        <v/>
      </c>
      <c r="K4980">
        <f>IF(B4980,INDEX(MineScale,C4980),"")</f>
        <v/>
      </c>
      <c r="L4980">
        <f>IF(B4980,INDEX(Dow,1,WEEKDAY(E4980,2)),"")</f>
        <v/>
      </c>
      <c r="M4980">
        <f>IF(B4980,(1+Trend)^D4980,"")</f>
        <v/>
      </c>
      <c r="N4980">
        <f>IF(B4980,EXP(SUMPRODUCT(LN(1+(EvEff-1)*INDEX(Affected,0,C4980)*EXP(-((E4980-EvCenter)^2)/(2*EvSigma^2))))),"")</f>
        <v/>
      </c>
      <c r="O4980">
        <f>IF(B4980,ROUND(MAX(0,J4980*K4980*L4980*M4980*N4980),2),"")</f>
        <v/>
      </c>
    </row>
    <row r="4981">
      <c r="A4981" t="n">
        <v>4980</v>
      </c>
      <c r="B4981">
        <f>A4981&lt;=MineCount*Days</f>
        <v/>
      </c>
      <c r="C4981">
        <f>IF(B4981,INT((A4981-1)/Days)+1,"")</f>
        <v/>
      </c>
      <c r="D4981">
        <f>IF(B4981,MOD(A4981-1,Days),"")</f>
        <v/>
      </c>
      <c r="E4981" s="16">
        <f>IF(B4981,StartDate+D4981,"")</f>
        <v/>
      </c>
      <c r="F4981">
        <f>IF(B4981,MAX(MOD(SIN(Seed*0.1373+C4981*12.9898+D4981*78.233)*43758.5453,1),1E-9),"")</f>
        <v/>
      </c>
      <c r="G4981">
        <f>IF(B4981,MOD(SIN(Seed*0.5917+C4981*39.3468+D4981*11.135)*24634.6345,1),"")</f>
        <v/>
      </c>
      <c r="H4981">
        <f>IF(B4981,SQRT(-2*LN(F4981))*COS(2*PI()*G4981),"")</f>
        <v/>
      </c>
      <c r="I4981">
        <f>IF(B4981,IF(D4981=0,H4981,Rho*I4980+SQRT(1-Rho^2)*H4981),"")</f>
        <v/>
      </c>
      <c r="J4981">
        <f>IF(B4981,IF(Dist="Normal",DistA+DistB*I4981,DistA+(DistB-DistA)*NORMSDIST(I4981)),"")</f>
        <v/>
      </c>
      <c r="K4981">
        <f>IF(B4981,INDEX(MineScale,C4981),"")</f>
        <v/>
      </c>
      <c r="L4981">
        <f>IF(B4981,INDEX(Dow,1,WEEKDAY(E4981,2)),"")</f>
        <v/>
      </c>
      <c r="M4981">
        <f>IF(B4981,(1+Trend)^D4981,"")</f>
        <v/>
      </c>
      <c r="N4981">
        <f>IF(B4981,EXP(SUMPRODUCT(LN(1+(EvEff-1)*INDEX(Affected,0,C4981)*EXP(-((E4981-EvCenter)^2)/(2*EvSigma^2))))),"")</f>
        <v/>
      </c>
      <c r="O4981">
        <f>IF(B4981,ROUND(MAX(0,J4981*K4981*L4981*M4981*N4981),2),"")</f>
        <v/>
      </c>
    </row>
    <row r="4982">
      <c r="A4982" t="n">
        <v>4981</v>
      </c>
      <c r="B4982">
        <f>A4982&lt;=MineCount*Days</f>
        <v/>
      </c>
      <c r="C4982">
        <f>IF(B4982,INT((A4982-1)/Days)+1,"")</f>
        <v/>
      </c>
      <c r="D4982">
        <f>IF(B4982,MOD(A4982-1,Days),"")</f>
        <v/>
      </c>
      <c r="E4982" s="16">
        <f>IF(B4982,StartDate+D4982,"")</f>
        <v/>
      </c>
      <c r="F4982">
        <f>IF(B4982,MAX(MOD(SIN(Seed*0.1373+C4982*12.9898+D4982*78.233)*43758.5453,1),1E-9),"")</f>
        <v/>
      </c>
      <c r="G4982">
        <f>IF(B4982,MOD(SIN(Seed*0.5917+C4982*39.3468+D4982*11.135)*24634.6345,1),"")</f>
        <v/>
      </c>
      <c r="H4982">
        <f>IF(B4982,SQRT(-2*LN(F4982))*COS(2*PI()*G4982),"")</f>
        <v/>
      </c>
      <c r="I4982">
        <f>IF(B4982,IF(D4982=0,H4982,Rho*I4981+SQRT(1-Rho^2)*H4982),"")</f>
        <v/>
      </c>
      <c r="J4982">
        <f>IF(B4982,IF(Dist="Normal",DistA+DistB*I4982,DistA+(DistB-DistA)*NORMSDIST(I4982)),"")</f>
        <v/>
      </c>
      <c r="K4982">
        <f>IF(B4982,INDEX(MineScale,C4982),"")</f>
        <v/>
      </c>
      <c r="L4982">
        <f>IF(B4982,INDEX(Dow,1,WEEKDAY(E4982,2)),"")</f>
        <v/>
      </c>
      <c r="M4982">
        <f>IF(B4982,(1+Trend)^D4982,"")</f>
        <v/>
      </c>
      <c r="N4982">
        <f>IF(B4982,EXP(SUMPRODUCT(LN(1+(EvEff-1)*INDEX(Affected,0,C4982)*EXP(-((E4982-EvCenter)^2)/(2*EvSigma^2))))),"")</f>
        <v/>
      </c>
      <c r="O4982">
        <f>IF(B4982,ROUND(MAX(0,J4982*K4982*L4982*M4982*N4982),2),"")</f>
        <v/>
      </c>
    </row>
    <row r="4983">
      <c r="A4983" t="n">
        <v>4982</v>
      </c>
      <c r="B4983">
        <f>A4983&lt;=MineCount*Days</f>
        <v/>
      </c>
      <c r="C4983">
        <f>IF(B4983,INT((A4983-1)/Days)+1,"")</f>
        <v/>
      </c>
      <c r="D4983">
        <f>IF(B4983,MOD(A4983-1,Days),"")</f>
        <v/>
      </c>
      <c r="E4983" s="16">
        <f>IF(B4983,StartDate+D4983,"")</f>
        <v/>
      </c>
      <c r="F4983">
        <f>IF(B4983,MAX(MOD(SIN(Seed*0.1373+C4983*12.9898+D4983*78.233)*43758.5453,1),1E-9),"")</f>
        <v/>
      </c>
      <c r="G4983">
        <f>IF(B4983,MOD(SIN(Seed*0.5917+C4983*39.3468+D4983*11.135)*24634.6345,1),"")</f>
        <v/>
      </c>
      <c r="H4983">
        <f>IF(B4983,SQRT(-2*LN(F4983))*COS(2*PI()*G4983),"")</f>
        <v/>
      </c>
      <c r="I4983">
        <f>IF(B4983,IF(D4983=0,H4983,Rho*I4982+SQRT(1-Rho^2)*H4983),"")</f>
        <v/>
      </c>
      <c r="J4983">
        <f>IF(B4983,IF(Dist="Normal",DistA+DistB*I4983,DistA+(DistB-DistA)*NORMSDIST(I4983)),"")</f>
        <v/>
      </c>
      <c r="K4983">
        <f>IF(B4983,INDEX(MineScale,C4983),"")</f>
        <v/>
      </c>
      <c r="L4983">
        <f>IF(B4983,INDEX(Dow,1,WEEKDAY(E4983,2)),"")</f>
        <v/>
      </c>
      <c r="M4983">
        <f>IF(B4983,(1+Trend)^D4983,"")</f>
        <v/>
      </c>
      <c r="N4983">
        <f>IF(B4983,EXP(SUMPRODUCT(LN(1+(EvEff-1)*INDEX(Affected,0,C4983)*EXP(-((E4983-EvCenter)^2)/(2*EvSigma^2))))),"")</f>
        <v/>
      </c>
      <c r="O4983">
        <f>IF(B4983,ROUND(MAX(0,J4983*K4983*L4983*M4983*N4983),2),"")</f>
        <v/>
      </c>
    </row>
    <row r="4984">
      <c r="A4984" t="n">
        <v>4983</v>
      </c>
      <c r="B4984">
        <f>A4984&lt;=MineCount*Days</f>
        <v/>
      </c>
      <c r="C4984">
        <f>IF(B4984,INT((A4984-1)/Days)+1,"")</f>
        <v/>
      </c>
      <c r="D4984">
        <f>IF(B4984,MOD(A4984-1,Days),"")</f>
        <v/>
      </c>
      <c r="E4984" s="16">
        <f>IF(B4984,StartDate+D4984,"")</f>
        <v/>
      </c>
      <c r="F4984">
        <f>IF(B4984,MAX(MOD(SIN(Seed*0.1373+C4984*12.9898+D4984*78.233)*43758.5453,1),1E-9),"")</f>
        <v/>
      </c>
      <c r="G4984">
        <f>IF(B4984,MOD(SIN(Seed*0.5917+C4984*39.3468+D4984*11.135)*24634.6345,1),"")</f>
        <v/>
      </c>
      <c r="H4984">
        <f>IF(B4984,SQRT(-2*LN(F4984))*COS(2*PI()*G4984),"")</f>
        <v/>
      </c>
      <c r="I4984">
        <f>IF(B4984,IF(D4984=0,H4984,Rho*I4983+SQRT(1-Rho^2)*H4984),"")</f>
        <v/>
      </c>
      <c r="J4984">
        <f>IF(B4984,IF(Dist="Normal",DistA+DistB*I4984,DistA+(DistB-DistA)*NORMSDIST(I4984)),"")</f>
        <v/>
      </c>
      <c r="K4984">
        <f>IF(B4984,INDEX(MineScale,C4984),"")</f>
        <v/>
      </c>
      <c r="L4984">
        <f>IF(B4984,INDEX(Dow,1,WEEKDAY(E4984,2)),"")</f>
        <v/>
      </c>
      <c r="M4984">
        <f>IF(B4984,(1+Trend)^D4984,"")</f>
        <v/>
      </c>
      <c r="N4984">
        <f>IF(B4984,EXP(SUMPRODUCT(LN(1+(EvEff-1)*INDEX(Affected,0,C4984)*EXP(-((E4984-EvCenter)^2)/(2*EvSigma^2))))),"")</f>
        <v/>
      </c>
      <c r="O4984">
        <f>IF(B4984,ROUND(MAX(0,J4984*K4984*L4984*M4984*N4984),2),"")</f>
        <v/>
      </c>
    </row>
    <row r="4985">
      <c r="A4985" t="n">
        <v>4984</v>
      </c>
      <c r="B4985">
        <f>A4985&lt;=MineCount*Days</f>
        <v/>
      </c>
      <c r="C4985">
        <f>IF(B4985,INT((A4985-1)/Days)+1,"")</f>
        <v/>
      </c>
      <c r="D4985">
        <f>IF(B4985,MOD(A4985-1,Days),"")</f>
        <v/>
      </c>
      <c r="E4985" s="16">
        <f>IF(B4985,StartDate+D4985,"")</f>
        <v/>
      </c>
      <c r="F4985">
        <f>IF(B4985,MAX(MOD(SIN(Seed*0.1373+C4985*12.9898+D4985*78.233)*43758.5453,1),1E-9),"")</f>
        <v/>
      </c>
      <c r="G4985">
        <f>IF(B4985,MOD(SIN(Seed*0.5917+C4985*39.3468+D4985*11.135)*24634.6345,1),"")</f>
        <v/>
      </c>
      <c r="H4985">
        <f>IF(B4985,SQRT(-2*LN(F4985))*COS(2*PI()*G4985),"")</f>
        <v/>
      </c>
      <c r="I4985">
        <f>IF(B4985,IF(D4985=0,H4985,Rho*I4984+SQRT(1-Rho^2)*H4985),"")</f>
        <v/>
      </c>
      <c r="J4985">
        <f>IF(B4985,IF(Dist="Normal",DistA+DistB*I4985,DistA+(DistB-DistA)*NORMSDIST(I4985)),"")</f>
        <v/>
      </c>
      <c r="K4985">
        <f>IF(B4985,INDEX(MineScale,C4985),"")</f>
        <v/>
      </c>
      <c r="L4985">
        <f>IF(B4985,INDEX(Dow,1,WEEKDAY(E4985,2)),"")</f>
        <v/>
      </c>
      <c r="M4985">
        <f>IF(B4985,(1+Trend)^D4985,"")</f>
        <v/>
      </c>
      <c r="N4985">
        <f>IF(B4985,EXP(SUMPRODUCT(LN(1+(EvEff-1)*INDEX(Affected,0,C4985)*EXP(-((E4985-EvCenter)^2)/(2*EvSigma^2))))),"")</f>
        <v/>
      </c>
      <c r="O4985">
        <f>IF(B4985,ROUND(MAX(0,J4985*K4985*L4985*M4985*N4985),2),"")</f>
        <v/>
      </c>
    </row>
    <row r="4986">
      <c r="A4986" t="n">
        <v>4985</v>
      </c>
      <c r="B4986">
        <f>A4986&lt;=MineCount*Days</f>
        <v/>
      </c>
      <c r="C4986">
        <f>IF(B4986,INT((A4986-1)/Days)+1,"")</f>
        <v/>
      </c>
      <c r="D4986">
        <f>IF(B4986,MOD(A4986-1,Days),"")</f>
        <v/>
      </c>
      <c r="E4986" s="16">
        <f>IF(B4986,StartDate+D4986,"")</f>
        <v/>
      </c>
      <c r="F4986">
        <f>IF(B4986,MAX(MOD(SIN(Seed*0.1373+C4986*12.9898+D4986*78.233)*43758.5453,1),1E-9),"")</f>
        <v/>
      </c>
      <c r="G4986">
        <f>IF(B4986,MOD(SIN(Seed*0.5917+C4986*39.3468+D4986*11.135)*24634.6345,1),"")</f>
        <v/>
      </c>
      <c r="H4986">
        <f>IF(B4986,SQRT(-2*LN(F4986))*COS(2*PI()*G4986),"")</f>
        <v/>
      </c>
      <c r="I4986">
        <f>IF(B4986,IF(D4986=0,H4986,Rho*I4985+SQRT(1-Rho^2)*H4986),"")</f>
        <v/>
      </c>
      <c r="J4986">
        <f>IF(B4986,IF(Dist="Normal",DistA+DistB*I4986,DistA+(DistB-DistA)*NORMSDIST(I4986)),"")</f>
        <v/>
      </c>
      <c r="K4986">
        <f>IF(B4986,INDEX(MineScale,C4986),"")</f>
        <v/>
      </c>
      <c r="L4986">
        <f>IF(B4986,INDEX(Dow,1,WEEKDAY(E4986,2)),"")</f>
        <v/>
      </c>
      <c r="M4986">
        <f>IF(B4986,(1+Trend)^D4986,"")</f>
        <v/>
      </c>
      <c r="N4986">
        <f>IF(B4986,EXP(SUMPRODUCT(LN(1+(EvEff-1)*INDEX(Affected,0,C4986)*EXP(-((E4986-EvCenter)^2)/(2*EvSigma^2))))),"")</f>
        <v/>
      </c>
      <c r="O4986">
        <f>IF(B4986,ROUND(MAX(0,J4986*K4986*L4986*M4986*N4986),2),"")</f>
        <v/>
      </c>
    </row>
    <row r="4987">
      <c r="A4987" t="n">
        <v>4986</v>
      </c>
      <c r="B4987">
        <f>A4987&lt;=MineCount*Days</f>
        <v/>
      </c>
      <c r="C4987">
        <f>IF(B4987,INT((A4987-1)/Days)+1,"")</f>
        <v/>
      </c>
      <c r="D4987">
        <f>IF(B4987,MOD(A4987-1,Days),"")</f>
        <v/>
      </c>
      <c r="E4987" s="16">
        <f>IF(B4987,StartDate+D4987,"")</f>
        <v/>
      </c>
      <c r="F4987">
        <f>IF(B4987,MAX(MOD(SIN(Seed*0.1373+C4987*12.9898+D4987*78.233)*43758.5453,1),1E-9),"")</f>
        <v/>
      </c>
      <c r="G4987">
        <f>IF(B4987,MOD(SIN(Seed*0.5917+C4987*39.3468+D4987*11.135)*24634.6345,1),"")</f>
        <v/>
      </c>
      <c r="H4987">
        <f>IF(B4987,SQRT(-2*LN(F4987))*COS(2*PI()*G4987),"")</f>
        <v/>
      </c>
      <c r="I4987">
        <f>IF(B4987,IF(D4987=0,H4987,Rho*I4986+SQRT(1-Rho^2)*H4987),"")</f>
        <v/>
      </c>
      <c r="J4987">
        <f>IF(B4987,IF(Dist="Normal",DistA+DistB*I4987,DistA+(DistB-DistA)*NORMSDIST(I4987)),"")</f>
        <v/>
      </c>
      <c r="K4987">
        <f>IF(B4987,INDEX(MineScale,C4987),"")</f>
        <v/>
      </c>
      <c r="L4987">
        <f>IF(B4987,INDEX(Dow,1,WEEKDAY(E4987,2)),"")</f>
        <v/>
      </c>
      <c r="M4987">
        <f>IF(B4987,(1+Trend)^D4987,"")</f>
        <v/>
      </c>
      <c r="N4987">
        <f>IF(B4987,EXP(SUMPRODUCT(LN(1+(EvEff-1)*INDEX(Affected,0,C4987)*EXP(-((E4987-EvCenter)^2)/(2*EvSigma^2))))),"")</f>
        <v/>
      </c>
      <c r="O4987">
        <f>IF(B4987,ROUND(MAX(0,J4987*K4987*L4987*M4987*N4987),2),"")</f>
        <v/>
      </c>
    </row>
    <row r="4988">
      <c r="A4988" t="n">
        <v>4987</v>
      </c>
      <c r="B4988">
        <f>A4988&lt;=MineCount*Days</f>
        <v/>
      </c>
      <c r="C4988">
        <f>IF(B4988,INT((A4988-1)/Days)+1,"")</f>
        <v/>
      </c>
      <c r="D4988">
        <f>IF(B4988,MOD(A4988-1,Days),"")</f>
        <v/>
      </c>
      <c r="E4988" s="16">
        <f>IF(B4988,StartDate+D4988,"")</f>
        <v/>
      </c>
      <c r="F4988">
        <f>IF(B4988,MAX(MOD(SIN(Seed*0.1373+C4988*12.9898+D4988*78.233)*43758.5453,1),1E-9),"")</f>
        <v/>
      </c>
      <c r="G4988">
        <f>IF(B4988,MOD(SIN(Seed*0.5917+C4988*39.3468+D4988*11.135)*24634.6345,1),"")</f>
        <v/>
      </c>
      <c r="H4988">
        <f>IF(B4988,SQRT(-2*LN(F4988))*COS(2*PI()*G4988),"")</f>
        <v/>
      </c>
      <c r="I4988">
        <f>IF(B4988,IF(D4988=0,H4988,Rho*I4987+SQRT(1-Rho^2)*H4988),"")</f>
        <v/>
      </c>
      <c r="J4988">
        <f>IF(B4988,IF(Dist="Normal",DistA+DistB*I4988,DistA+(DistB-DistA)*NORMSDIST(I4988)),"")</f>
        <v/>
      </c>
      <c r="K4988">
        <f>IF(B4988,INDEX(MineScale,C4988),"")</f>
        <v/>
      </c>
      <c r="L4988">
        <f>IF(B4988,INDEX(Dow,1,WEEKDAY(E4988,2)),"")</f>
        <v/>
      </c>
      <c r="M4988">
        <f>IF(B4988,(1+Trend)^D4988,"")</f>
        <v/>
      </c>
      <c r="N4988">
        <f>IF(B4988,EXP(SUMPRODUCT(LN(1+(EvEff-1)*INDEX(Affected,0,C4988)*EXP(-((E4988-EvCenter)^2)/(2*EvSigma^2))))),"")</f>
        <v/>
      </c>
      <c r="O4988">
        <f>IF(B4988,ROUND(MAX(0,J4988*K4988*L4988*M4988*N4988),2),"")</f>
        <v/>
      </c>
    </row>
    <row r="4989">
      <c r="A4989" t="n">
        <v>4988</v>
      </c>
      <c r="B4989">
        <f>A4989&lt;=MineCount*Days</f>
        <v/>
      </c>
      <c r="C4989">
        <f>IF(B4989,INT((A4989-1)/Days)+1,"")</f>
        <v/>
      </c>
      <c r="D4989">
        <f>IF(B4989,MOD(A4989-1,Days),"")</f>
        <v/>
      </c>
      <c r="E4989" s="16">
        <f>IF(B4989,StartDate+D4989,"")</f>
        <v/>
      </c>
      <c r="F4989">
        <f>IF(B4989,MAX(MOD(SIN(Seed*0.1373+C4989*12.9898+D4989*78.233)*43758.5453,1),1E-9),"")</f>
        <v/>
      </c>
      <c r="G4989">
        <f>IF(B4989,MOD(SIN(Seed*0.5917+C4989*39.3468+D4989*11.135)*24634.6345,1),"")</f>
        <v/>
      </c>
      <c r="H4989">
        <f>IF(B4989,SQRT(-2*LN(F4989))*COS(2*PI()*G4989),"")</f>
        <v/>
      </c>
      <c r="I4989">
        <f>IF(B4989,IF(D4989=0,H4989,Rho*I4988+SQRT(1-Rho^2)*H4989),"")</f>
        <v/>
      </c>
      <c r="J4989">
        <f>IF(B4989,IF(Dist="Normal",DistA+DistB*I4989,DistA+(DistB-DistA)*NORMSDIST(I4989)),"")</f>
        <v/>
      </c>
      <c r="K4989">
        <f>IF(B4989,INDEX(MineScale,C4989),"")</f>
        <v/>
      </c>
      <c r="L4989">
        <f>IF(B4989,INDEX(Dow,1,WEEKDAY(E4989,2)),"")</f>
        <v/>
      </c>
      <c r="M4989">
        <f>IF(B4989,(1+Trend)^D4989,"")</f>
        <v/>
      </c>
      <c r="N4989">
        <f>IF(B4989,EXP(SUMPRODUCT(LN(1+(EvEff-1)*INDEX(Affected,0,C4989)*EXP(-((E4989-EvCenter)^2)/(2*EvSigma^2))))),"")</f>
        <v/>
      </c>
      <c r="O4989">
        <f>IF(B4989,ROUND(MAX(0,J4989*K4989*L4989*M4989*N4989),2),"")</f>
        <v/>
      </c>
    </row>
    <row r="4990">
      <c r="A4990" t="n">
        <v>4989</v>
      </c>
      <c r="B4990">
        <f>A4990&lt;=MineCount*Days</f>
        <v/>
      </c>
      <c r="C4990">
        <f>IF(B4990,INT((A4990-1)/Days)+1,"")</f>
        <v/>
      </c>
      <c r="D4990">
        <f>IF(B4990,MOD(A4990-1,Days),"")</f>
        <v/>
      </c>
      <c r="E4990" s="16">
        <f>IF(B4990,StartDate+D4990,"")</f>
        <v/>
      </c>
      <c r="F4990">
        <f>IF(B4990,MAX(MOD(SIN(Seed*0.1373+C4990*12.9898+D4990*78.233)*43758.5453,1),1E-9),"")</f>
        <v/>
      </c>
      <c r="G4990">
        <f>IF(B4990,MOD(SIN(Seed*0.5917+C4990*39.3468+D4990*11.135)*24634.6345,1),"")</f>
        <v/>
      </c>
      <c r="H4990">
        <f>IF(B4990,SQRT(-2*LN(F4990))*COS(2*PI()*G4990),"")</f>
        <v/>
      </c>
      <c r="I4990">
        <f>IF(B4990,IF(D4990=0,H4990,Rho*I4989+SQRT(1-Rho^2)*H4990),"")</f>
        <v/>
      </c>
      <c r="J4990">
        <f>IF(B4990,IF(Dist="Normal",DistA+DistB*I4990,DistA+(DistB-DistA)*NORMSDIST(I4990)),"")</f>
        <v/>
      </c>
      <c r="K4990">
        <f>IF(B4990,INDEX(MineScale,C4990),"")</f>
        <v/>
      </c>
      <c r="L4990">
        <f>IF(B4990,INDEX(Dow,1,WEEKDAY(E4990,2)),"")</f>
        <v/>
      </c>
      <c r="M4990">
        <f>IF(B4990,(1+Trend)^D4990,"")</f>
        <v/>
      </c>
      <c r="N4990">
        <f>IF(B4990,EXP(SUMPRODUCT(LN(1+(EvEff-1)*INDEX(Affected,0,C4990)*EXP(-((E4990-EvCenter)^2)/(2*EvSigma^2))))),"")</f>
        <v/>
      </c>
      <c r="O4990">
        <f>IF(B4990,ROUND(MAX(0,J4990*K4990*L4990*M4990*N4990),2),"")</f>
        <v/>
      </c>
    </row>
    <row r="4991">
      <c r="A4991" t="n">
        <v>4990</v>
      </c>
      <c r="B4991">
        <f>A4991&lt;=MineCount*Days</f>
        <v/>
      </c>
      <c r="C4991">
        <f>IF(B4991,INT((A4991-1)/Days)+1,"")</f>
        <v/>
      </c>
      <c r="D4991">
        <f>IF(B4991,MOD(A4991-1,Days),"")</f>
        <v/>
      </c>
      <c r="E4991" s="16">
        <f>IF(B4991,StartDate+D4991,"")</f>
        <v/>
      </c>
      <c r="F4991">
        <f>IF(B4991,MAX(MOD(SIN(Seed*0.1373+C4991*12.9898+D4991*78.233)*43758.5453,1),1E-9),"")</f>
        <v/>
      </c>
      <c r="G4991">
        <f>IF(B4991,MOD(SIN(Seed*0.5917+C4991*39.3468+D4991*11.135)*24634.6345,1),"")</f>
        <v/>
      </c>
      <c r="H4991">
        <f>IF(B4991,SQRT(-2*LN(F4991))*COS(2*PI()*G4991),"")</f>
        <v/>
      </c>
      <c r="I4991">
        <f>IF(B4991,IF(D4991=0,H4991,Rho*I4990+SQRT(1-Rho^2)*H4991),"")</f>
        <v/>
      </c>
      <c r="J4991">
        <f>IF(B4991,IF(Dist="Normal",DistA+DistB*I4991,DistA+(DistB-DistA)*NORMSDIST(I4991)),"")</f>
        <v/>
      </c>
      <c r="K4991">
        <f>IF(B4991,INDEX(MineScale,C4991),"")</f>
        <v/>
      </c>
      <c r="L4991">
        <f>IF(B4991,INDEX(Dow,1,WEEKDAY(E4991,2)),"")</f>
        <v/>
      </c>
      <c r="M4991">
        <f>IF(B4991,(1+Trend)^D4991,"")</f>
        <v/>
      </c>
      <c r="N4991">
        <f>IF(B4991,EXP(SUMPRODUCT(LN(1+(EvEff-1)*INDEX(Affected,0,C4991)*EXP(-((E4991-EvCenter)^2)/(2*EvSigma^2))))),"")</f>
        <v/>
      </c>
      <c r="O4991">
        <f>IF(B4991,ROUND(MAX(0,J4991*K4991*L4991*M4991*N4991),2),"")</f>
        <v/>
      </c>
    </row>
    <row r="4992">
      <c r="A4992" t="n">
        <v>4991</v>
      </c>
      <c r="B4992">
        <f>A4992&lt;=MineCount*Days</f>
        <v/>
      </c>
      <c r="C4992">
        <f>IF(B4992,INT((A4992-1)/Days)+1,"")</f>
        <v/>
      </c>
      <c r="D4992">
        <f>IF(B4992,MOD(A4992-1,Days),"")</f>
        <v/>
      </c>
      <c r="E4992" s="16">
        <f>IF(B4992,StartDate+D4992,"")</f>
        <v/>
      </c>
      <c r="F4992">
        <f>IF(B4992,MAX(MOD(SIN(Seed*0.1373+C4992*12.9898+D4992*78.233)*43758.5453,1),1E-9),"")</f>
        <v/>
      </c>
      <c r="G4992">
        <f>IF(B4992,MOD(SIN(Seed*0.5917+C4992*39.3468+D4992*11.135)*24634.6345,1),"")</f>
        <v/>
      </c>
      <c r="H4992">
        <f>IF(B4992,SQRT(-2*LN(F4992))*COS(2*PI()*G4992),"")</f>
        <v/>
      </c>
      <c r="I4992">
        <f>IF(B4992,IF(D4992=0,H4992,Rho*I4991+SQRT(1-Rho^2)*H4992),"")</f>
        <v/>
      </c>
      <c r="J4992">
        <f>IF(B4992,IF(Dist="Normal",DistA+DistB*I4992,DistA+(DistB-DistA)*NORMSDIST(I4992)),"")</f>
        <v/>
      </c>
      <c r="K4992">
        <f>IF(B4992,INDEX(MineScale,C4992),"")</f>
        <v/>
      </c>
      <c r="L4992">
        <f>IF(B4992,INDEX(Dow,1,WEEKDAY(E4992,2)),"")</f>
        <v/>
      </c>
      <c r="M4992">
        <f>IF(B4992,(1+Trend)^D4992,"")</f>
        <v/>
      </c>
      <c r="N4992">
        <f>IF(B4992,EXP(SUMPRODUCT(LN(1+(EvEff-1)*INDEX(Affected,0,C4992)*EXP(-((E4992-EvCenter)^2)/(2*EvSigma^2))))),"")</f>
        <v/>
      </c>
      <c r="O4992">
        <f>IF(B4992,ROUND(MAX(0,J4992*K4992*L4992*M4992*N4992),2),"")</f>
        <v/>
      </c>
    </row>
    <row r="4993">
      <c r="A4993" t="n">
        <v>4992</v>
      </c>
      <c r="B4993">
        <f>A4993&lt;=MineCount*Days</f>
        <v/>
      </c>
      <c r="C4993">
        <f>IF(B4993,INT((A4993-1)/Days)+1,"")</f>
        <v/>
      </c>
      <c r="D4993">
        <f>IF(B4993,MOD(A4993-1,Days),"")</f>
        <v/>
      </c>
      <c r="E4993" s="16">
        <f>IF(B4993,StartDate+D4993,"")</f>
        <v/>
      </c>
      <c r="F4993">
        <f>IF(B4993,MAX(MOD(SIN(Seed*0.1373+C4993*12.9898+D4993*78.233)*43758.5453,1),1E-9),"")</f>
        <v/>
      </c>
      <c r="G4993">
        <f>IF(B4993,MOD(SIN(Seed*0.5917+C4993*39.3468+D4993*11.135)*24634.6345,1),"")</f>
        <v/>
      </c>
      <c r="H4993">
        <f>IF(B4993,SQRT(-2*LN(F4993))*COS(2*PI()*G4993),"")</f>
        <v/>
      </c>
      <c r="I4993">
        <f>IF(B4993,IF(D4993=0,H4993,Rho*I4992+SQRT(1-Rho^2)*H4993),"")</f>
        <v/>
      </c>
      <c r="J4993">
        <f>IF(B4993,IF(Dist="Normal",DistA+DistB*I4993,DistA+(DistB-DistA)*NORMSDIST(I4993)),"")</f>
        <v/>
      </c>
      <c r="K4993">
        <f>IF(B4993,INDEX(MineScale,C4993),"")</f>
        <v/>
      </c>
      <c r="L4993">
        <f>IF(B4993,INDEX(Dow,1,WEEKDAY(E4993,2)),"")</f>
        <v/>
      </c>
      <c r="M4993">
        <f>IF(B4993,(1+Trend)^D4993,"")</f>
        <v/>
      </c>
      <c r="N4993">
        <f>IF(B4993,EXP(SUMPRODUCT(LN(1+(EvEff-1)*INDEX(Affected,0,C4993)*EXP(-((E4993-EvCenter)^2)/(2*EvSigma^2))))),"")</f>
        <v/>
      </c>
      <c r="O4993">
        <f>IF(B4993,ROUND(MAX(0,J4993*K4993*L4993*M4993*N4993),2),"")</f>
        <v/>
      </c>
    </row>
    <row r="4994">
      <c r="A4994" t="n">
        <v>4993</v>
      </c>
      <c r="B4994">
        <f>A4994&lt;=MineCount*Days</f>
        <v/>
      </c>
      <c r="C4994">
        <f>IF(B4994,INT((A4994-1)/Days)+1,"")</f>
        <v/>
      </c>
      <c r="D4994">
        <f>IF(B4994,MOD(A4994-1,Days),"")</f>
        <v/>
      </c>
      <c r="E4994" s="16">
        <f>IF(B4994,StartDate+D4994,"")</f>
        <v/>
      </c>
      <c r="F4994">
        <f>IF(B4994,MAX(MOD(SIN(Seed*0.1373+C4994*12.9898+D4994*78.233)*43758.5453,1),1E-9),"")</f>
        <v/>
      </c>
      <c r="G4994">
        <f>IF(B4994,MOD(SIN(Seed*0.5917+C4994*39.3468+D4994*11.135)*24634.6345,1),"")</f>
        <v/>
      </c>
      <c r="H4994">
        <f>IF(B4994,SQRT(-2*LN(F4994))*COS(2*PI()*G4994),"")</f>
        <v/>
      </c>
      <c r="I4994">
        <f>IF(B4994,IF(D4994=0,H4994,Rho*I4993+SQRT(1-Rho^2)*H4994),"")</f>
        <v/>
      </c>
      <c r="J4994">
        <f>IF(B4994,IF(Dist="Normal",DistA+DistB*I4994,DistA+(DistB-DistA)*NORMSDIST(I4994)),"")</f>
        <v/>
      </c>
      <c r="K4994">
        <f>IF(B4994,INDEX(MineScale,C4994),"")</f>
        <v/>
      </c>
      <c r="L4994">
        <f>IF(B4994,INDEX(Dow,1,WEEKDAY(E4994,2)),"")</f>
        <v/>
      </c>
      <c r="M4994">
        <f>IF(B4994,(1+Trend)^D4994,"")</f>
        <v/>
      </c>
      <c r="N4994">
        <f>IF(B4994,EXP(SUMPRODUCT(LN(1+(EvEff-1)*INDEX(Affected,0,C4994)*EXP(-((E4994-EvCenter)^2)/(2*EvSigma^2))))),"")</f>
        <v/>
      </c>
      <c r="O4994">
        <f>IF(B4994,ROUND(MAX(0,J4994*K4994*L4994*M4994*N4994),2),"")</f>
        <v/>
      </c>
    </row>
    <row r="4995">
      <c r="A4995" t="n">
        <v>4994</v>
      </c>
      <c r="B4995">
        <f>A4995&lt;=MineCount*Days</f>
        <v/>
      </c>
      <c r="C4995">
        <f>IF(B4995,INT((A4995-1)/Days)+1,"")</f>
        <v/>
      </c>
      <c r="D4995">
        <f>IF(B4995,MOD(A4995-1,Days),"")</f>
        <v/>
      </c>
      <c r="E4995" s="16">
        <f>IF(B4995,StartDate+D4995,"")</f>
        <v/>
      </c>
      <c r="F4995">
        <f>IF(B4995,MAX(MOD(SIN(Seed*0.1373+C4995*12.9898+D4995*78.233)*43758.5453,1),1E-9),"")</f>
        <v/>
      </c>
      <c r="G4995">
        <f>IF(B4995,MOD(SIN(Seed*0.5917+C4995*39.3468+D4995*11.135)*24634.6345,1),"")</f>
        <v/>
      </c>
      <c r="H4995">
        <f>IF(B4995,SQRT(-2*LN(F4995))*COS(2*PI()*G4995),"")</f>
        <v/>
      </c>
      <c r="I4995">
        <f>IF(B4995,IF(D4995=0,H4995,Rho*I4994+SQRT(1-Rho^2)*H4995),"")</f>
        <v/>
      </c>
      <c r="J4995">
        <f>IF(B4995,IF(Dist="Normal",DistA+DistB*I4995,DistA+(DistB-DistA)*NORMSDIST(I4995)),"")</f>
        <v/>
      </c>
      <c r="K4995">
        <f>IF(B4995,INDEX(MineScale,C4995),"")</f>
        <v/>
      </c>
      <c r="L4995">
        <f>IF(B4995,INDEX(Dow,1,WEEKDAY(E4995,2)),"")</f>
        <v/>
      </c>
      <c r="M4995">
        <f>IF(B4995,(1+Trend)^D4995,"")</f>
        <v/>
      </c>
      <c r="N4995">
        <f>IF(B4995,EXP(SUMPRODUCT(LN(1+(EvEff-1)*INDEX(Affected,0,C4995)*EXP(-((E4995-EvCenter)^2)/(2*EvSigma^2))))),"")</f>
        <v/>
      </c>
      <c r="O4995">
        <f>IF(B4995,ROUND(MAX(0,J4995*K4995*L4995*M4995*N4995),2),"")</f>
        <v/>
      </c>
    </row>
    <row r="4996">
      <c r="A4996" t="n">
        <v>4995</v>
      </c>
      <c r="B4996">
        <f>A4996&lt;=MineCount*Days</f>
        <v/>
      </c>
      <c r="C4996">
        <f>IF(B4996,INT((A4996-1)/Days)+1,"")</f>
        <v/>
      </c>
      <c r="D4996">
        <f>IF(B4996,MOD(A4996-1,Days),"")</f>
        <v/>
      </c>
      <c r="E4996" s="16">
        <f>IF(B4996,StartDate+D4996,"")</f>
        <v/>
      </c>
      <c r="F4996">
        <f>IF(B4996,MAX(MOD(SIN(Seed*0.1373+C4996*12.9898+D4996*78.233)*43758.5453,1),1E-9),"")</f>
        <v/>
      </c>
      <c r="G4996">
        <f>IF(B4996,MOD(SIN(Seed*0.5917+C4996*39.3468+D4996*11.135)*24634.6345,1),"")</f>
        <v/>
      </c>
      <c r="H4996">
        <f>IF(B4996,SQRT(-2*LN(F4996))*COS(2*PI()*G4996),"")</f>
        <v/>
      </c>
      <c r="I4996">
        <f>IF(B4996,IF(D4996=0,H4996,Rho*I4995+SQRT(1-Rho^2)*H4996),"")</f>
        <v/>
      </c>
      <c r="J4996">
        <f>IF(B4996,IF(Dist="Normal",DistA+DistB*I4996,DistA+(DistB-DistA)*NORMSDIST(I4996)),"")</f>
        <v/>
      </c>
      <c r="K4996">
        <f>IF(B4996,INDEX(MineScale,C4996),"")</f>
        <v/>
      </c>
      <c r="L4996">
        <f>IF(B4996,INDEX(Dow,1,WEEKDAY(E4996,2)),"")</f>
        <v/>
      </c>
      <c r="M4996">
        <f>IF(B4996,(1+Trend)^D4996,"")</f>
        <v/>
      </c>
      <c r="N4996">
        <f>IF(B4996,EXP(SUMPRODUCT(LN(1+(EvEff-1)*INDEX(Affected,0,C4996)*EXP(-((E4996-EvCenter)^2)/(2*EvSigma^2))))),"")</f>
        <v/>
      </c>
      <c r="O4996">
        <f>IF(B4996,ROUND(MAX(0,J4996*K4996*L4996*M4996*N4996),2),"")</f>
        <v/>
      </c>
    </row>
    <row r="4997">
      <c r="A4997" t="n">
        <v>4996</v>
      </c>
      <c r="B4997">
        <f>A4997&lt;=MineCount*Days</f>
        <v/>
      </c>
      <c r="C4997">
        <f>IF(B4997,INT((A4997-1)/Days)+1,"")</f>
        <v/>
      </c>
      <c r="D4997">
        <f>IF(B4997,MOD(A4997-1,Days),"")</f>
        <v/>
      </c>
      <c r="E4997" s="16">
        <f>IF(B4997,StartDate+D4997,"")</f>
        <v/>
      </c>
      <c r="F4997">
        <f>IF(B4997,MAX(MOD(SIN(Seed*0.1373+C4997*12.9898+D4997*78.233)*43758.5453,1),1E-9),"")</f>
        <v/>
      </c>
      <c r="G4997">
        <f>IF(B4997,MOD(SIN(Seed*0.5917+C4997*39.3468+D4997*11.135)*24634.6345,1),"")</f>
        <v/>
      </c>
      <c r="H4997">
        <f>IF(B4997,SQRT(-2*LN(F4997))*COS(2*PI()*G4997),"")</f>
        <v/>
      </c>
      <c r="I4997">
        <f>IF(B4997,IF(D4997=0,H4997,Rho*I4996+SQRT(1-Rho^2)*H4997),"")</f>
        <v/>
      </c>
      <c r="J4997">
        <f>IF(B4997,IF(Dist="Normal",DistA+DistB*I4997,DistA+(DistB-DistA)*NORMSDIST(I4997)),"")</f>
        <v/>
      </c>
      <c r="K4997">
        <f>IF(B4997,INDEX(MineScale,C4997),"")</f>
        <v/>
      </c>
      <c r="L4997">
        <f>IF(B4997,INDEX(Dow,1,WEEKDAY(E4997,2)),"")</f>
        <v/>
      </c>
      <c r="M4997">
        <f>IF(B4997,(1+Trend)^D4997,"")</f>
        <v/>
      </c>
      <c r="N4997">
        <f>IF(B4997,EXP(SUMPRODUCT(LN(1+(EvEff-1)*INDEX(Affected,0,C4997)*EXP(-((E4997-EvCenter)^2)/(2*EvSigma^2))))),"")</f>
        <v/>
      </c>
      <c r="O4997">
        <f>IF(B4997,ROUND(MAX(0,J4997*K4997*L4997*M4997*N4997),2),"")</f>
        <v/>
      </c>
    </row>
    <row r="4998">
      <c r="A4998" t="n">
        <v>4997</v>
      </c>
      <c r="B4998">
        <f>A4998&lt;=MineCount*Days</f>
        <v/>
      </c>
      <c r="C4998">
        <f>IF(B4998,INT((A4998-1)/Days)+1,"")</f>
        <v/>
      </c>
      <c r="D4998">
        <f>IF(B4998,MOD(A4998-1,Days),"")</f>
        <v/>
      </c>
      <c r="E4998" s="16">
        <f>IF(B4998,StartDate+D4998,"")</f>
        <v/>
      </c>
      <c r="F4998">
        <f>IF(B4998,MAX(MOD(SIN(Seed*0.1373+C4998*12.9898+D4998*78.233)*43758.5453,1),1E-9),"")</f>
        <v/>
      </c>
      <c r="G4998">
        <f>IF(B4998,MOD(SIN(Seed*0.5917+C4998*39.3468+D4998*11.135)*24634.6345,1),"")</f>
        <v/>
      </c>
      <c r="H4998">
        <f>IF(B4998,SQRT(-2*LN(F4998))*COS(2*PI()*G4998),"")</f>
        <v/>
      </c>
      <c r="I4998">
        <f>IF(B4998,IF(D4998=0,H4998,Rho*I4997+SQRT(1-Rho^2)*H4998),"")</f>
        <v/>
      </c>
      <c r="J4998">
        <f>IF(B4998,IF(Dist="Normal",DistA+DistB*I4998,DistA+(DistB-DistA)*NORMSDIST(I4998)),"")</f>
        <v/>
      </c>
      <c r="K4998">
        <f>IF(B4998,INDEX(MineScale,C4998),"")</f>
        <v/>
      </c>
      <c r="L4998">
        <f>IF(B4998,INDEX(Dow,1,WEEKDAY(E4998,2)),"")</f>
        <v/>
      </c>
      <c r="M4998">
        <f>IF(B4998,(1+Trend)^D4998,"")</f>
        <v/>
      </c>
      <c r="N4998">
        <f>IF(B4998,EXP(SUMPRODUCT(LN(1+(EvEff-1)*INDEX(Affected,0,C4998)*EXP(-((E4998-EvCenter)^2)/(2*EvSigma^2))))),"")</f>
        <v/>
      </c>
      <c r="O4998">
        <f>IF(B4998,ROUND(MAX(0,J4998*K4998*L4998*M4998*N4998),2),"")</f>
        <v/>
      </c>
    </row>
    <row r="4999">
      <c r="A4999" t="n">
        <v>4998</v>
      </c>
      <c r="B4999">
        <f>A4999&lt;=MineCount*Days</f>
        <v/>
      </c>
      <c r="C4999">
        <f>IF(B4999,INT((A4999-1)/Days)+1,"")</f>
        <v/>
      </c>
      <c r="D4999">
        <f>IF(B4999,MOD(A4999-1,Days),"")</f>
        <v/>
      </c>
      <c r="E4999" s="16">
        <f>IF(B4999,StartDate+D4999,"")</f>
        <v/>
      </c>
      <c r="F4999">
        <f>IF(B4999,MAX(MOD(SIN(Seed*0.1373+C4999*12.9898+D4999*78.233)*43758.5453,1),1E-9),"")</f>
        <v/>
      </c>
      <c r="G4999">
        <f>IF(B4999,MOD(SIN(Seed*0.5917+C4999*39.3468+D4999*11.135)*24634.6345,1),"")</f>
        <v/>
      </c>
      <c r="H4999">
        <f>IF(B4999,SQRT(-2*LN(F4999))*COS(2*PI()*G4999),"")</f>
        <v/>
      </c>
      <c r="I4999">
        <f>IF(B4999,IF(D4999=0,H4999,Rho*I4998+SQRT(1-Rho^2)*H4999),"")</f>
        <v/>
      </c>
      <c r="J4999">
        <f>IF(B4999,IF(Dist="Normal",DistA+DistB*I4999,DistA+(DistB-DistA)*NORMSDIST(I4999)),"")</f>
        <v/>
      </c>
      <c r="K4999">
        <f>IF(B4999,INDEX(MineScale,C4999),"")</f>
        <v/>
      </c>
      <c r="L4999">
        <f>IF(B4999,INDEX(Dow,1,WEEKDAY(E4999,2)),"")</f>
        <v/>
      </c>
      <c r="M4999">
        <f>IF(B4999,(1+Trend)^D4999,"")</f>
        <v/>
      </c>
      <c r="N4999">
        <f>IF(B4999,EXP(SUMPRODUCT(LN(1+(EvEff-1)*INDEX(Affected,0,C4999)*EXP(-((E4999-EvCenter)^2)/(2*EvSigma^2))))),"")</f>
        <v/>
      </c>
      <c r="O4999">
        <f>IF(B4999,ROUND(MAX(0,J4999*K4999*L4999*M4999*N4999),2),"")</f>
        <v/>
      </c>
    </row>
    <row r="5000">
      <c r="A5000" t="n">
        <v>4999</v>
      </c>
      <c r="B5000">
        <f>A5000&lt;=MineCount*Days</f>
        <v/>
      </c>
      <c r="C5000">
        <f>IF(B5000,INT((A5000-1)/Days)+1,"")</f>
        <v/>
      </c>
      <c r="D5000">
        <f>IF(B5000,MOD(A5000-1,Days),"")</f>
        <v/>
      </c>
      <c r="E5000" s="16">
        <f>IF(B5000,StartDate+D5000,"")</f>
        <v/>
      </c>
      <c r="F5000">
        <f>IF(B5000,MAX(MOD(SIN(Seed*0.1373+C5000*12.9898+D5000*78.233)*43758.5453,1),1E-9),"")</f>
        <v/>
      </c>
      <c r="G5000">
        <f>IF(B5000,MOD(SIN(Seed*0.5917+C5000*39.3468+D5000*11.135)*24634.6345,1),"")</f>
        <v/>
      </c>
      <c r="H5000">
        <f>IF(B5000,SQRT(-2*LN(F5000))*COS(2*PI()*G5000),"")</f>
        <v/>
      </c>
      <c r="I5000">
        <f>IF(B5000,IF(D5000=0,H5000,Rho*I4999+SQRT(1-Rho^2)*H5000),"")</f>
        <v/>
      </c>
      <c r="J5000">
        <f>IF(B5000,IF(Dist="Normal",DistA+DistB*I5000,DistA+(DistB-DistA)*NORMSDIST(I5000)),"")</f>
        <v/>
      </c>
      <c r="K5000">
        <f>IF(B5000,INDEX(MineScale,C5000),"")</f>
        <v/>
      </c>
      <c r="L5000">
        <f>IF(B5000,INDEX(Dow,1,WEEKDAY(E5000,2)),"")</f>
        <v/>
      </c>
      <c r="M5000">
        <f>IF(B5000,(1+Trend)^D5000,"")</f>
        <v/>
      </c>
      <c r="N5000">
        <f>IF(B5000,EXP(SUMPRODUCT(LN(1+(EvEff-1)*INDEX(Affected,0,C5000)*EXP(-((E5000-EvCenter)^2)/(2*EvSigma^2))))),"")</f>
        <v/>
      </c>
      <c r="O5000">
        <f>IF(B5000,ROUND(MAX(0,J5000*K5000*L5000*M5000*N5000),2),"")</f>
        <v/>
      </c>
    </row>
    <row r="5001">
      <c r="A5001" t="n">
        <v>5000</v>
      </c>
      <c r="B5001">
        <f>A5001&lt;=MineCount*Days</f>
        <v/>
      </c>
      <c r="C5001">
        <f>IF(B5001,INT((A5001-1)/Days)+1,"")</f>
        <v/>
      </c>
      <c r="D5001">
        <f>IF(B5001,MOD(A5001-1,Days),"")</f>
        <v/>
      </c>
      <c r="E5001" s="16">
        <f>IF(B5001,StartDate+D5001,"")</f>
        <v/>
      </c>
      <c r="F5001">
        <f>IF(B5001,MAX(MOD(SIN(Seed*0.1373+C5001*12.9898+D5001*78.233)*43758.5453,1),1E-9),"")</f>
        <v/>
      </c>
      <c r="G5001">
        <f>IF(B5001,MOD(SIN(Seed*0.5917+C5001*39.3468+D5001*11.135)*24634.6345,1),"")</f>
        <v/>
      </c>
      <c r="H5001">
        <f>IF(B5001,SQRT(-2*LN(F5001))*COS(2*PI()*G5001),"")</f>
        <v/>
      </c>
      <c r="I5001">
        <f>IF(B5001,IF(D5001=0,H5001,Rho*I5000+SQRT(1-Rho^2)*H5001),"")</f>
        <v/>
      </c>
      <c r="J5001">
        <f>IF(B5001,IF(Dist="Normal",DistA+DistB*I5001,DistA+(DistB-DistA)*NORMSDIST(I5001)),"")</f>
        <v/>
      </c>
      <c r="K5001">
        <f>IF(B5001,INDEX(MineScale,C5001),"")</f>
        <v/>
      </c>
      <c r="L5001">
        <f>IF(B5001,INDEX(Dow,1,WEEKDAY(E5001,2)),"")</f>
        <v/>
      </c>
      <c r="M5001">
        <f>IF(B5001,(1+Trend)^D5001,"")</f>
        <v/>
      </c>
      <c r="N5001">
        <f>IF(B5001,EXP(SUMPRODUCT(LN(1+(EvEff-1)*INDEX(Affected,0,C5001)*EXP(-((E5001-EvCenter)^2)/(2*EvSigma^2))))),"")</f>
        <v/>
      </c>
      <c r="O5001">
        <f>IF(B5001,ROUND(MAX(0,J5001*K5001*L5001*M5001*N5001),2),"")</f>
        <v/>
      </c>
    </row>
    <row r="5002">
      <c r="A5002" t="n">
        <v>5001</v>
      </c>
      <c r="B5002">
        <f>A5002&lt;=MineCount*Days</f>
        <v/>
      </c>
      <c r="C5002">
        <f>IF(B5002,INT((A5002-1)/Days)+1,"")</f>
        <v/>
      </c>
      <c r="D5002">
        <f>IF(B5002,MOD(A5002-1,Days),"")</f>
        <v/>
      </c>
      <c r="E5002" s="16">
        <f>IF(B5002,StartDate+D5002,"")</f>
        <v/>
      </c>
      <c r="F5002">
        <f>IF(B5002,MAX(MOD(SIN(Seed*0.1373+C5002*12.9898+D5002*78.233)*43758.5453,1),1E-9),"")</f>
        <v/>
      </c>
      <c r="G5002">
        <f>IF(B5002,MOD(SIN(Seed*0.5917+C5002*39.3468+D5002*11.135)*24634.6345,1),"")</f>
        <v/>
      </c>
      <c r="H5002">
        <f>IF(B5002,SQRT(-2*LN(F5002))*COS(2*PI()*G5002),"")</f>
        <v/>
      </c>
      <c r="I5002">
        <f>IF(B5002,IF(D5002=0,H5002,Rho*I5001+SQRT(1-Rho^2)*H5002),"")</f>
        <v/>
      </c>
      <c r="J5002">
        <f>IF(B5002,IF(Dist="Normal",DistA+DistB*I5002,DistA+(DistB-DistA)*NORMSDIST(I5002)),"")</f>
        <v/>
      </c>
      <c r="K5002">
        <f>IF(B5002,INDEX(MineScale,C5002),"")</f>
        <v/>
      </c>
      <c r="L5002">
        <f>IF(B5002,INDEX(Dow,1,WEEKDAY(E5002,2)),"")</f>
        <v/>
      </c>
      <c r="M5002">
        <f>IF(B5002,(1+Trend)^D5002,"")</f>
        <v/>
      </c>
      <c r="N5002">
        <f>IF(B5002,EXP(SUMPRODUCT(LN(1+(EvEff-1)*INDEX(Affected,0,C5002)*EXP(-((E5002-EvCenter)^2)/(2*EvSigma^2))))),"")</f>
        <v/>
      </c>
      <c r="O5002">
        <f>IF(B5002,ROUND(MAX(0,J5002*K5002*L5002*M5002*N5002),2),"")</f>
        <v/>
      </c>
    </row>
    <row r="5003">
      <c r="A5003" t="n">
        <v>5002</v>
      </c>
      <c r="B5003">
        <f>A5003&lt;=MineCount*Days</f>
        <v/>
      </c>
      <c r="C5003">
        <f>IF(B5003,INT((A5003-1)/Days)+1,"")</f>
        <v/>
      </c>
      <c r="D5003">
        <f>IF(B5003,MOD(A5003-1,Days),"")</f>
        <v/>
      </c>
      <c r="E5003" s="16">
        <f>IF(B5003,StartDate+D5003,"")</f>
        <v/>
      </c>
      <c r="F5003">
        <f>IF(B5003,MAX(MOD(SIN(Seed*0.1373+C5003*12.9898+D5003*78.233)*43758.5453,1),1E-9),"")</f>
        <v/>
      </c>
      <c r="G5003">
        <f>IF(B5003,MOD(SIN(Seed*0.5917+C5003*39.3468+D5003*11.135)*24634.6345,1),"")</f>
        <v/>
      </c>
      <c r="H5003">
        <f>IF(B5003,SQRT(-2*LN(F5003))*COS(2*PI()*G5003),"")</f>
        <v/>
      </c>
      <c r="I5003">
        <f>IF(B5003,IF(D5003=0,H5003,Rho*I5002+SQRT(1-Rho^2)*H5003),"")</f>
        <v/>
      </c>
      <c r="J5003">
        <f>IF(B5003,IF(Dist="Normal",DistA+DistB*I5003,DistA+(DistB-DistA)*NORMSDIST(I5003)),"")</f>
        <v/>
      </c>
      <c r="K5003">
        <f>IF(B5003,INDEX(MineScale,C5003),"")</f>
        <v/>
      </c>
      <c r="L5003">
        <f>IF(B5003,INDEX(Dow,1,WEEKDAY(E5003,2)),"")</f>
        <v/>
      </c>
      <c r="M5003">
        <f>IF(B5003,(1+Trend)^D5003,"")</f>
        <v/>
      </c>
      <c r="N5003">
        <f>IF(B5003,EXP(SUMPRODUCT(LN(1+(EvEff-1)*INDEX(Affected,0,C5003)*EXP(-((E5003-EvCenter)^2)/(2*EvSigma^2))))),"")</f>
        <v/>
      </c>
      <c r="O5003">
        <f>IF(B5003,ROUND(MAX(0,J5003*K5003*L5003*M5003*N5003),2),"")</f>
        <v/>
      </c>
    </row>
    <row r="5004">
      <c r="A5004" t="n">
        <v>5003</v>
      </c>
      <c r="B5004">
        <f>A5004&lt;=MineCount*Days</f>
        <v/>
      </c>
      <c r="C5004">
        <f>IF(B5004,INT((A5004-1)/Days)+1,"")</f>
        <v/>
      </c>
      <c r="D5004">
        <f>IF(B5004,MOD(A5004-1,Days),"")</f>
        <v/>
      </c>
      <c r="E5004" s="16">
        <f>IF(B5004,StartDate+D5004,"")</f>
        <v/>
      </c>
      <c r="F5004">
        <f>IF(B5004,MAX(MOD(SIN(Seed*0.1373+C5004*12.9898+D5004*78.233)*43758.5453,1),1E-9),"")</f>
        <v/>
      </c>
      <c r="G5004">
        <f>IF(B5004,MOD(SIN(Seed*0.5917+C5004*39.3468+D5004*11.135)*24634.6345,1),"")</f>
        <v/>
      </c>
      <c r="H5004">
        <f>IF(B5004,SQRT(-2*LN(F5004))*COS(2*PI()*G5004),"")</f>
        <v/>
      </c>
      <c r="I5004">
        <f>IF(B5004,IF(D5004=0,H5004,Rho*I5003+SQRT(1-Rho^2)*H5004),"")</f>
        <v/>
      </c>
      <c r="J5004">
        <f>IF(B5004,IF(Dist="Normal",DistA+DistB*I5004,DistA+(DistB-DistA)*NORMSDIST(I5004)),"")</f>
        <v/>
      </c>
      <c r="K5004">
        <f>IF(B5004,INDEX(MineScale,C5004),"")</f>
        <v/>
      </c>
      <c r="L5004">
        <f>IF(B5004,INDEX(Dow,1,WEEKDAY(E5004,2)),"")</f>
        <v/>
      </c>
      <c r="M5004">
        <f>IF(B5004,(1+Trend)^D5004,"")</f>
        <v/>
      </c>
      <c r="N5004">
        <f>IF(B5004,EXP(SUMPRODUCT(LN(1+(EvEff-1)*INDEX(Affected,0,C5004)*EXP(-((E5004-EvCenter)^2)/(2*EvSigma^2))))),"")</f>
        <v/>
      </c>
      <c r="O5004">
        <f>IF(B5004,ROUND(MAX(0,J5004*K5004*L5004*M5004*N5004),2),"")</f>
        <v/>
      </c>
    </row>
    <row r="5005">
      <c r="A5005" t="n">
        <v>5004</v>
      </c>
      <c r="B5005">
        <f>A5005&lt;=MineCount*Days</f>
        <v/>
      </c>
      <c r="C5005">
        <f>IF(B5005,INT((A5005-1)/Days)+1,"")</f>
        <v/>
      </c>
      <c r="D5005">
        <f>IF(B5005,MOD(A5005-1,Days),"")</f>
        <v/>
      </c>
      <c r="E5005" s="16">
        <f>IF(B5005,StartDate+D5005,"")</f>
        <v/>
      </c>
      <c r="F5005">
        <f>IF(B5005,MAX(MOD(SIN(Seed*0.1373+C5005*12.9898+D5005*78.233)*43758.5453,1),1E-9),"")</f>
        <v/>
      </c>
      <c r="G5005">
        <f>IF(B5005,MOD(SIN(Seed*0.5917+C5005*39.3468+D5005*11.135)*24634.6345,1),"")</f>
        <v/>
      </c>
      <c r="H5005">
        <f>IF(B5005,SQRT(-2*LN(F5005))*COS(2*PI()*G5005),"")</f>
        <v/>
      </c>
      <c r="I5005">
        <f>IF(B5005,IF(D5005=0,H5005,Rho*I5004+SQRT(1-Rho^2)*H5005),"")</f>
        <v/>
      </c>
      <c r="J5005">
        <f>IF(B5005,IF(Dist="Normal",DistA+DistB*I5005,DistA+(DistB-DistA)*NORMSDIST(I5005)),"")</f>
        <v/>
      </c>
      <c r="K5005">
        <f>IF(B5005,INDEX(MineScale,C5005),"")</f>
        <v/>
      </c>
      <c r="L5005">
        <f>IF(B5005,INDEX(Dow,1,WEEKDAY(E5005,2)),"")</f>
        <v/>
      </c>
      <c r="M5005">
        <f>IF(B5005,(1+Trend)^D5005,"")</f>
        <v/>
      </c>
      <c r="N5005">
        <f>IF(B5005,EXP(SUMPRODUCT(LN(1+(EvEff-1)*INDEX(Affected,0,C5005)*EXP(-((E5005-EvCenter)^2)/(2*EvSigma^2))))),"")</f>
        <v/>
      </c>
      <c r="O5005">
        <f>IF(B5005,ROUND(MAX(0,J5005*K5005*L5005*M5005*N5005),2),"")</f>
        <v/>
      </c>
    </row>
    <row r="5006">
      <c r="A5006" t="n">
        <v>5005</v>
      </c>
      <c r="B5006">
        <f>A5006&lt;=MineCount*Days</f>
        <v/>
      </c>
      <c r="C5006">
        <f>IF(B5006,INT((A5006-1)/Days)+1,"")</f>
        <v/>
      </c>
      <c r="D5006">
        <f>IF(B5006,MOD(A5006-1,Days),"")</f>
        <v/>
      </c>
      <c r="E5006" s="16">
        <f>IF(B5006,StartDate+D5006,"")</f>
        <v/>
      </c>
      <c r="F5006">
        <f>IF(B5006,MAX(MOD(SIN(Seed*0.1373+C5006*12.9898+D5006*78.233)*43758.5453,1),1E-9),"")</f>
        <v/>
      </c>
      <c r="G5006">
        <f>IF(B5006,MOD(SIN(Seed*0.5917+C5006*39.3468+D5006*11.135)*24634.6345,1),"")</f>
        <v/>
      </c>
      <c r="H5006">
        <f>IF(B5006,SQRT(-2*LN(F5006))*COS(2*PI()*G5006),"")</f>
        <v/>
      </c>
      <c r="I5006">
        <f>IF(B5006,IF(D5006=0,H5006,Rho*I5005+SQRT(1-Rho^2)*H5006),"")</f>
        <v/>
      </c>
      <c r="J5006">
        <f>IF(B5006,IF(Dist="Normal",DistA+DistB*I5006,DistA+(DistB-DistA)*NORMSDIST(I5006)),"")</f>
        <v/>
      </c>
      <c r="K5006">
        <f>IF(B5006,INDEX(MineScale,C5006),"")</f>
        <v/>
      </c>
      <c r="L5006">
        <f>IF(B5006,INDEX(Dow,1,WEEKDAY(E5006,2)),"")</f>
        <v/>
      </c>
      <c r="M5006">
        <f>IF(B5006,(1+Trend)^D5006,"")</f>
        <v/>
      </c>
      <c r="N5006">
        <f>IF(B5006,EXP(SUMPRODUCT(LN(1+(EvEff-1)*INDEX(Affected,0,C5006)*EXP(-((E5006-EvCenter)^2)/(2*EvSigma^2))))),"")</f>
        <v/>
      </c>
      <c r="O5006">
        <f>IF(B5006,ROUND(MAX(0,J5006*K5006*L5006*M5006*N5006),2),"")</f>
        <v/>
      </c>
    </row>
    <row r="5007">
      <c r="A5007" t="n">
        <v>5006</v>
      </c>
      <c r="B5007">
        <f>A5007&lt;=MineCount*Days</f>
        <v/>
      </c>
      <c r="C5007">
        <f>IF(B5007,INT((A5007-1)/Days)+1,"")</f>
        <v/>
      </c>
      <c r="D5007">
        <f>IF(B5007,MOD(A5007-1,Days),"")</f>
        <v/>
      </c>
      <c r="E5007" s="16">
        <f>IF(B5007,StartDate+D5007,"")</f>
        <v/>
      </c>
      <c r="F5007">
        <f>IF(B5007,MAX(MOD(SIN(Seed*0.1373+C5007*12.9898+D5007*78.233)*43758.5453,1),1E-9),"")</f>
        <v/>
      </c>
      <c r="G5007">
        <f>IF(B5007,MOD(SIN(Seed*0.5917+C5007*39.3468+D5007*11.135)*24634.6345,1),"")</f>
        <v/>
      </c>
      <c r="H5007">
        <f>IF(B5007,SQRT(-2*LN(F5007))*COS(2*PI()*G5007),"")</f>
        <v/>
      </c>
      <c r="I5007">
        <f>IF(B5007,IF(D5007=0,H5007,Rho*I5006+SQRT(1-Rho^2)*H5007),"")</f>
        <v/>
      </c>
      <c r="J5007">
        <f>IF(B5007,IF(Dist="Normal",DistA+DistB*I5007,DistA+(DistB-DistA)*NORMSDIST(I5007)),"")</f>
        <v/>
      </c>
      <c r="K5007">
        <f>IF(B5007,INDEX(MineScale,C5007),"")</f>
        <v/>
      </c>
      <c r="L5007">
        <f>IF(B5007,INDEX(Dow,1,WEEKDAY(E5007,2)),"")</f>
        <v/>
      </c>
      <c r="M5007">
        <f>IF(B5007,(1+Trend)^D5007,"")</f>
        <v/>
      </c>
      <c r="N5007">
        <f>IF(B5007,EXP(SUMPRODUCT(LN(1+(EvEff-1)*INDEX(Affected,0,C5007)*EXP(-((E5007-EvCenter)^2)/(2*EvSigma^2))))),"")</f>
        <v/>
      </c>
      <c r="O5007">
        <f>IF(B5007,ROUND(MAX(0,J5007*K5007*L5007*M5007*N5007),2),"")</f>
        <v/>
      </c>
    </row>
    <row r="5008">
      <c r="A5008" t="n">
        <v>5007</v>
      </c>
      <c r="B5008">
        <f>A5008&lt;=MineCount*Days</f>
        <v/>
      </c>
      <c r="C5008">
        <f>IF(B5008,INT((A5008-1)/Days)+1,"")</f>
        <v/>
      </c>
      <c r="D5008">
        <f>IF(B5008,MOD(A5008-1,Days),"")</f>
        <v/>
      </c>
      <c r="E5008" s="16">
        <f>IF(B5008,StartDate+D5008,"")</f>
        <v/>
      </c>
      <c r="F5008">
        <f>IF(B5008,MAX(MOD(SIN(Seed*0.1373+C5008*12.9898+D5008*78.233)*43758.5453,1),1E-9),"")</f>
        <v/>
      </c>
      <c r="G5008">
        <f>IF(B5008,MOD(SIN(Seed*0.5917+C5008*39.3468+D5008*11.135)*24634.6345,1),"")</f>
        <v/>
      </c>
      <c r="H5008">
        <f>IF(B5008,SQRT(-2*LN(F5008))*COS(2*PI()*G5008),"")</f>
        <v/>
      </c>
      <c r="I5008">
        <f>IF(B5008,IF(D5008=0,H5008,Rho*I5007+SQRT(1-Rho^2)*H5008),"")</f>
        <v/>
      </c>
      <c r="J5008">
        <f>IF(B5008,IF(Dist="Normal",DistA+DistB*I5008,DistA+(DistB-DistA)*NORMSDIST(I5008)),"")</f>
        <v/>
      </c>
      <c r="K5008">
        <f>IF(B5008,INDEX(MineScale,C5008),"")</f>
        <v/>
      </c>
      <c r="L5008">
        <f>IF(B5008,INDEX(Dow,1,WEEKDAY(E5008,2)),"")</f>
        <v/>
      </c>
      <c r="M5008">
        <f>IF(B5008,(1+Trend)^D5008,"")</f>
        <v/>
      </c>
      <c r="N5008">
        <f>IF(B5008,EXP(SUMPRODUCT(LN(1+(EvEff-1)*INDEX(Affected,0,C5008)*EXP(-((E5008-EvCenter)^2)/(2*EvSigma^2))))),"")</f>
        <v/>
      </c>
      <c r="O5008">
        <f>IF(B5008,ROUND(MAX(0,J5008*K5008*L5008*M5008*N5008),2),"")</f>
        <v/>
      </c>
    </row>
    <row r="5009">
      <c r="A5009" t="n">
        <v>5008</v>
      </c>
      <c r="B5009">
        <f>A5009&lt;=MineCount*Days</f>
        <v/>
      </c>
      <c r="C5009">
        <f>IF(B5009,INT((A5009-1)/Days)+1,"")</f>
        <v/>
      </c>
      <c r="D5009">
        <f>IF(B5009,MOD(A5009-1,Days),"")</f>
        <v/>
      </c>
      <c r="E5009" s="16">
        <f>IF(B5009,StartDate+D5009,"")</f>
        <v/>
      </c>
      <c r="F5009">
        <f>IF(B5009,MAX(MOD(SIN(Seed*0.1373+C5009*12.9898+D5009*78.233)*43758.5453,1),1E-9),"")</f>
        <v/>
      </c>
      <c r="G5009">
        <f>IF(B5009,MOD(SIN(Seed*0.5917+C5009*39.3468+D5009*11.135)*24634.6345,1),"")</f>
        <v/>
      </c>
      <c r="H5009">
        <f>IF(B5009,SQRT(-2*LN(F5009))*COS(2*PI()*G5009),"")</f>
        <v/>
      </c>
      <c r="I5009">
        <f>IF(B5009,IF(D5009=0,H5009,Rho*I5008+SQRT(1-Rho^2)*H5009),"")</f>
        <v/>
      </c>
      <c r="J5009">
        <f>IF(B5009,IF(Dist="Normal",DistA+DistB*I5009,DistA+(DistB-DistA)*NORMSDIST(I5009)),"")</f>
        <v/>
      </c>
      <c r="K5009">
        <f>IF(B5009,INDEX(MineScale,C5009),"")</f>
        <v/>
      </c>
      <c r="L5009">
        <f>IF(B5009,INDEX(Dow,1,WEEKDAY(E5009,2)),"")</f>
        <v/>
      </c>
      <c r="M5009">
        <f>IF(B5009,(1+Trend)^D5009,"")</f>
        <v/>
      </c>
      <c r="N5009">
        <f>IF(B5009,EXP(SUMPRODUCT(LN(1+(EvEff-1)*INDEX(Affected,0,C5009)*EXP(-((E5009-EvCenter)^2)/(2*EvSigma^2))))),"")</f>
        <v/>
      </c>
      <c r="O5009">
        <f>IF(B5009,ROUND(MAX(0,J5009*K5009*L5009*M5009*N5009),2),"")</f>
        <v/>
      </c>
    </row>
    <row r="5010">
      <c r="A5010" t="n">
        <v>5009</v>
      </c>
      <c r="B5010">
        <f>A5010&lt;=MineCount*Days</f>
        <v/>
      </c>
      <c r="C5010">
        <f>IF(B5010,INT((A5010-1)/Days)+1,"")</f>
        <v/>
      </c>
      <c r="D5010">
        <f>IF(B5010,MOD(A5010-1,Days),"")</f>
        <v/>
      </c>
      <c r="E5010" s="16">
        <f>IF(B5010,StartDate+D5010,"")</f>
        <v/>
      </c>
      <c r="F5010">
        <f>IF(B5010,MAX(MOD(SIN(Seed*0.1373+C5010*12.9898+D5010*78.233)*43758.5453,1),1E-9),"")</f>
        <v/>
      </c>
      <c r="G5010">
        <f>IF(B5010,MOD(SIN(Seed*0.5917+C5010*39.3468+D5010*11.135)*24634.6345,1),"")</f>
        <v/>
      </c>
      <c r="H5010">
        <f>IF(B5010,SQRT(-2*LN(F5010))*COS(2*PI()*G5010),"")</f>
        <v/>
      </c>
      <c r="I5010">
        <f>IF(B5010,IF(D5010=0,H5010,Rho*I5009+SQRT(1-Rho^2)*H5010),"")</f>
        <v/>
      </c>
      <c r="J5010">
        <f>IF(B5010,IF(Dist="Normal",DistA+DistB*I5010,DistA+(DistB-DistA)*NORMSDIST(I5010)),"")</f>
        <v/>
      </c>
      <c r="K5010">
        <f>IF(B5010,INDEX(MineScale,C5010),"")</f>
        <v/>
      </c>
      <c r="L5010">
        <f>IF(B5010,INDEX(Dow,1,WEEKDAY(E5010,2)),"")</f>
        <v/>
      </c>
      <c r="M5010">
        <f>IF(B5010,(1+Trend)^D5010,"")</f>
        <v/>
      </c>
      <c r="N5010">
        <f>IF(B5010,EXP(SUMPRODUCT(LN(1+(EvEff-1)*INDEX(Affected,0,C5010)*EXP(-((E5010-EvCenter)^2)/(2*EvSigma^2))))),"")</f>
        <v/>
      </c>
      <c r="O5010">
        <f>IF(B5010,ROUND(MAX(0,J5010*K5010*L5010*M5010*N5010),2),"")</f>
        <v/>
      </c>
    </row>
    <row r="5011">
      <c r="A5011" t="n">
        <v>5010</v>
      </c>
      <c r="B5011">
        <f>A5011&lt;=MineCount*Days</f>
        <v/>
      </c>
      <c r="C5011">
        <f>IF(B5011,INT((A5011-1)/Days)+1,"")</f>
        <v/>
      </c>
      <c r="D5011">
        <f>IF(B5011,MOD(A5011-1,Days),"")</f>
        <v/>
      </c>
      <c r="E5011" s="16">
        <f>IF(B5011,StartDate+D5011,"")</f>
        <v/>
      </c>
      <c r="F5011">
        <f>IF(B5011,MAX(MOD(SIN(Seed*0.1373+C5011*12.9898+D5011*78.233)*43758.5453,1),1E-9),"")</f>
        <v/>
      </c>
      <c r="G5011">
        <f>IF(B5011,MOD(SIN(Seed*0.5917+C5011*39.3468+D5011*11.135)*24634.6345,1),"")</f>
        <v/>
      </c>
      <c r="H5011">
        <f>IF(B5011,SQRT(-2*LN(F5011))*COS(2*PI()*G5011),"")</f>
        <v/>
      </c>
      <c r="I5011">
        <f>IF(B5011,IF(D5011=0,H5011,Rho*I5010+SQRT(1-Rho^2)*H5011),"")</f>
        <v/>
      </c>
      <c r="J5011">
        <f>IF(B5011,IF(Dist="Normal",DistA+DistB*I5011,DistA+(DistB-DistA)*NORMSDIST(I5011)),"")</f>
        <v/>
      </c>
      <c r="K5011">
        <f>IF(B5011,INDEX(MineScale,C5011),"")</f>
        <v/>
      </c>
      <c r="L5011">
        <f>IF(B5011,INDEX(Dow,1,WEEKDAY(E5011,2)),"")</f>
        <v/>
      </c>
      <c r="M5011">
        <f>IF(B5011,(1+Trend)^D5011,"")</f>
        <v/>
      </c>
      <c r="N5011">
        <f>IF(B5011,EXP(SUMPRODUCT(LN(1+(EvEff-1)*INDEX(Affected,0,C5011)*EXP(-((E5011-EvCenter)^2)/(2*EvSigma^2))))),"")</f>
        <v/>
      </c>
      <c r="O5011">
        <f>IF(B5011,ROUND(MAX(0,J5011*K5011*L5011*M5011*N5011),2),"")</f>
        <v/>
      </c>
    </row>
    <row r="5012">
      <c r="A5012" t="n">
        <v>5011</v>
      </c>
      <c r="B5012">
        <f>A5012&lt;=MineCount*Days</f>
        <v/>
      </c>
      <c r="C5012">
        <f>IF(B5012,INT((A5012-1)/Days)+1,"")</f>
        <v/>
      </c>
      <c r="D5012">
        <f>IF(B5012,MOD(A5012-1,Days),"")</f>
        <v/>
      </c>
      <c r="E5012" s="16">
        <f>IF(B5012,StartDate+D5012,"")</f>
        <v/>
      </c>
      <c r="F5012">
        <f>IF(B5012,MAX(MOD(SIN(Seed*0.1373+C5012*12.9898+D5012*78.233)*43758.5453,1),1E-9),"")</f>
        <v/>
      </c>
      <c r="G5012">
        <f>IF(B5012,MOD(SIN(Seed*0.5917+C5012*39.3468+D5012*11.135)*24634.6345,1),"")</f>
        <v/>
      </c>
      <c r="H5012">
        <f>IF(B5012,SQRT(-2*LN(F5012))*COS(2*PI()*G5012),"")</f>
        <v/>
      </c>
      <c r="I5012">
        <f>IF(B5012,IF(D5012=0,H5012,Rho*I5011+SQRT(1-Rho^2)*H5012),"")</f>
        <v/>
      </c>
      <c r="J5012">
        <f>IF(B5012,IF(Dist="Normal",DistA+DistB*I5012,DistA+(DistB-DistA)*NORMSDIST(I5012)),"")</f>
        <v/>
      </c>
      <c r="K5012">
        <f>IF(B5012,INDEX(MineScale,C5012),"")</f>
        <v/>
      </c>
      <c r="L5012">
        <f>IF(B5012,INDEX(Dow,1,WEEKDAY(E5012,2)),"")</f>
        <v/>
      </c>
      <c r="M5012">
        <f>IF(B5012,(1+Trend)^D5012,"")</f>
        <v/>
      </c>
      <c r="N5012">
        <f>IF(B5012,EXP(SUMPRODUCT(LN(1+(EvEff-1)*INDEX(Affected,0,C5012)*EXP(-((E5012-EvCenter)^2)/(2*EvSigma^2))))),"")</f>
        <v/>
      </c>
      <c r="O5012">
        <f>IF(B5012,ROUND(MAX(0,J5012*K5012*L5012*M5012*N5012),2),"")</f>
        <v/>
      </c>
    </row>
    <row r="5013">
      <c r="A5013" t="n">
        <v>5012</v>
      </c>
      <c r="B5013">
        <f>A5013&lt;=MineCount*Days</f>
        <v/>
      </c>
      <c r="C5013">
        <f>IF(B5013,INT((A5013-1)/Days)+1,"")</f>
        <v/>
      </c>
      <c r="D5013">
        <f>IF(B5013,MOD(A5013-1,Days),"")</f>
        <v/>
      </c>
      <c r="E5013" s="16">
        <f>IF(B5013,StartDate+D5013,"")</f>
        <v/>
      </c>
      <c r="F5013">
        <f>IF(B5013,MAX(MOD(SIN(Seed*0.1373+C5013*12.9898+D5013*78.233)*43758.5453,1),1E-9),"")</f>
        <v/>
      </c>
      <c r="G5013">
        <f>IF(B5013,MOD(SIN(Seed*0.5917+C5013*39.3468+D5013*11.135)*24634.6345,1),"")</f>
        <v/>
      </c>
      <c r="H5013">
        <f>IF(B5013,SQRT(-2*LN(F5013))*COS(2*PI()*G5013),"")</f>
        <v/>
      </c>
      <c r="I5013">
        <f>IF(B5013,IF(D5013=0,H5013,Rho*I5012+SQRT(1-Rho^2)*H5013),"")</f>
        <v/>
      </c>
      <c r="J5013">
        <f>IF(B5013,IF(Dist="Normal",DistA+DistB*I5013,DistA+(DistB-DistA)*NORMSDIST(I5013)),"")</f>
        <v/>
      </c>
      <c r="K5013">
        <f>IF(B5013,INDEX(MineScale,C5013),"")</f>
        <v/>
      </c>
      <c r="L5013">
        <f>IF(B5013,INDEX(Dow,1,WEEKDAY(E5013,2)),"")</f>
        <v/>
      </c>
      <c r="M5013">
        <f>IF(B5013,(1+Trend)^D5013,"")</f>
        <v/>
      </c>
      <c r="N5013">
        <f>IF(B5013,EXP(SUMPRODUCT(LN(1+(EvEff-1)*INDEX(Affected,0,C5013)*EXP(-((E5013-EvCenter)^2)/(2*EvSigma^2))))),"")</f>
        <v/>
      </c>
      <c r="O5013">
        <f>IF(B5013,ROUND(MAX(0,J5013*K5013*L5013*M5013*N5013),2),"")</f>
        <v/>
      </c>
    </row>
    <row r="5014">
      <c r="A5014" t="n">
        <v>5013</v>
      </c>
      <c r="B5014">
        <f>A5014&lt;=MineCount*Days</f>
        <v/>
      </c>
      <c r="C5014">
        <f>IF(B5014,INT((A5014-1)/Days)+1,"")</f>
        <v/>
      </c>
      <c r="D5014">
        <f>IF(B5014,MOD(A5014-1,Days),"")</f>
        <v/>
      </c>
      <c r="E5014" s="16">
        <f>IF(B5014,StartDate+D5014,"")</f>
        <v/>
      </c>
      <c r="F5014">
        <f>IF(B5014,MAX(MOD(SIN(Seed*0.1373+C5014*12.9898+D5014*78.233)*43758.5453,1),1E-9),"")</f>
        <v/>
      </c>
      <c r="G5014">
        <f>IF(B5014,MOD(SIN(Seed*0.5917+C5014*39.3468+D5014*11.135)*24634.6345,1),"")</f>
        <v/>
      </c>
      <c r="H5014">
        <f>IF(B5014,SQRT(-2*LN(F5014))*COS(2*PI()*G5014),"")</f>
        <v/>
      </c>
      <c r="I5014">
        <f>IF(B5014,IF(D5014=0,H5014,Rho*I5013+SQRT(1-Rho^2)*H5014),"")</f>
        <v/>
      </c>
      <c r="J5014">
        <f>IF(B5014,IF(Dist="Normal",DistA+DistB*I5014,DistA+(DistB-DistA)*NORMSDIST(I5014)),"")</f>
        <v/>
      </c>
      <c r="K5014">
        <f>IF(B5014,INDEX(MineScale,C5014),"")</f>
        <v/>
      </c>
      <c r="L5014">
        <f>IF(B5014,INDEX(Dow,1,WEEKDAY(E5014,2)),"")</f>
        <v/>
      </c>
      <c r="M5014">
        <f>IF(B5014,(1+Trend)^D5014,"")</f>
        <v/>
      </c>
      <c r="N5014">
        <f>IF(B5014,EXP(SUMPRODUCT(LN(1+(EvEff-1)*INDEX(Affected,0,C5014)*EXP(-((E5014-EvCenter)^2)/(2*EvSigma^2))))),"")</f>
        <v/>
      </c>
      <c r="O5014">
        <f>IF(B5014,ROUND(MAX(0,J5014*K5014*L5014*M5014*N5014),2),"")</f>
        <v/>
      </c>
    </row>
    <row r="5015">
      <c r="A5015" t="n">
        <v>5014</v>
      </c>
      <c r="B5015">
        <f>A5015&lt;=MineCount*Days</f>
        <v/>
      </c>
      <c r="C5015">
        <f>IF(B5015,INT((A5015-1)/Days)+1,"")</f>
        <v/>
      </c>
      <c r="D5015">
        <f>IF(B5015,MOD(A5015-1,Days),"")</f>
        <v/>
      </c>
      <c r="E5015" s="16">
        <f>IF(B5015,StartDate+D5015,"")</f>
        <v/>
      </c>
      <c r="F5015">
        <f>IF(B5015,MAX(MOD(SIN(Seed*0.1373+C5015*12.9898+D5015*78.233)*43758.5453,1),1E-9),"")</f>
        <v/>
      </c>
      <c r="G5015">
        <f>IF(B5015,MOD(SIN(Seed*0.5917+C5015*39.3468+D5015*11.135)*24634.6345,1),"")</f>
        <v/>
      </c>
      <c r="H5015">
        <f>IF(B5015,SQRT(-2*LN(F5015))*COS(2*PI()*G5015),"")</f>
        <v/>
      </c>
      <c r="I5015">
        <f>IF(B5015,IF(D5015=0,H5015,Rho*I5014+SQRT(1-Rho^2)*H5015),"")</f>
        <v/>
      </c>
      <c r="J5015">
        <f>IF(B5015,IF(Dist="Normal",DistA+DistB*I5015,DistA+(DistB-DistA)*NORMSDIST(I5015)),"")</f>
        <v/>
      </c>
      <c r="K5015">
        <f>IF(B5015,INDEX(MineScale,C5015),"")</f>
        <v/>
      </c>
      <c r="L5015">
        <f>IF(B5015,INDEX(Dow,1,WEEKDAY(E5015,2)),"")</f>
        <v/>
      </c>
      <c r="M5015">
        <f>IF(B5015,(1+Trend)^D5015,"")</f>
        <v/>
      </c>
      <c r="N5015">
        <f>IF(B5015,EXP(SUMPRODUCT(LN(1+(EvEff-1)*INDEX(Affected,0,C5015)*EXP(-((E5015-EvCenter)^2)/(2*EvSigma^2))))),"")</f>
        <v/>
      </c>
      <c r="O5015">
        <f>IF(B5015,ROUND(MAX(0,J5015*K5015*L5015*M5015*N5015),2),"")</f>
        <v/>
      </c>
    </row>
    <row r="5016">
      <c r="A5016" t="n">
        <v>5015</v>
      </c>
      <c r="B5016">
        <f>A5016&lt;=MineCount*Days</f>
        <v/>
      </c>
      <c r="C5016">
        <f>IF(B5016,INT((A5016-1)/Days)+1,"")</f>
        <v/>
      </c>
      <c r="D5016">
        <f>IF(B5016,MOD(A5016-1,Days),"")</f>
        <v/>
      </c>
      <c r="E5016" s="16">
        <f>IF(B5016,StartDate+D5016,"")</f>
        <v/>
      </c>
      <c r="F5016">
        <f>IF(B5016,MAX(MOD(SIN(Seed*0.1373+C5016*12.9898+D5016*78.233)*43758.5453,1),1E-9),"")</f>
        <v/>
      </c>
      <c r="G5016">
        <f>IF(B5016,MOD(SIN(Seed*0.5917+C5016*39.3468+D5016*11.135)*24634.6345,1),"")</f>
        <v/>
      </c>
      <c r="H5016">
        <f>IF(B5016,SQRT(-2*LN(F5016))*COS(2*PI()*G5016),"")</f>
        <v/>
      </c>
      <c r="I5016">
        <f>IF(B5016,IF(D5016=0,H5016,Rho*I5015+SQRT(1-Rho^2)*H5016),"")</f>
        <v/>
      </c>
      <c r="J5016">
        <f>IF(B5016,IF(Dist="Normal",DistA+DistB*I5016,DistA+(DistB-DistA)*NORMSDIST(I5016)),"")</f>
        <v/>
      </c>
      <c r="K5016">
        <f>IF(B5016,INDEX(MineScale,C5016),"")</f>
        <v/>
      </c>
      <c r="L5016">
        <f>IF(B5016,INDEX(Dow,1,WEEKDAY(E5016,2)),"")</f>
        <v/>
      </c>
      <c r="M5016">
        <f>IF(B5016,(1+Trend)^D5016,"")</f>
        <v/>
      </c>
      <c r="N5016">
        <f>IF(B5016,EXP(SUMPRODUCT(LN(1+(EvEff-1)*INDEX(Affected,0,C5016)*EXP(-((E5016-EvCenter)^2)/(2*EvSigma^2))))),"")</f>
        <v/>
      </c>
      <c r="O5016">
        <f>IF(B5016,ROUND(MAX(0,J5016*K5016*L5016*M5016*N5016),2),"")</f>
        <v/>
      </c>
    </row>
    <row r="5017">
      <c r="A5017" t="n">
        <v>5016</v>
      </c>
      <c r="B5017">
        <f>A5017&lt;=MineCount*Days</f>
        <v/>
      </c>
      <c r="C5017">
        <f>IF(B5017,INT((A5017-1)/Days)+1,"")</f>
        <v/>
      </c>
      <c r="D5017">
        <f>IF(B5017,MOD(A5017-1,Days),"")</f>
        <v/>
      </c>
      <c r="E5017" s="16">
        <f>IF(B5017,StartDate+D5017,"")</f>
        <v/>
      </c>
      <c r="F5017">
        <f>IF(B5017,MAX(MOD(SIN(Seed*0.1373+C5017*12.9898+D5017*78.233)*43758.5453,1),1E-9),"")</f>
        <v/>
      </c>
      <c r="G5017">
        <f>IF(B5017,MOD(SIN(Seed*0.5917+C5017*39.3468+D5017*11.135)*24634.6345,1),"")</f>
        <v/>
      </c>
      <c r="H5017">
        <f>IF(B5017,SQRT(-2*LN(F5017))*COS(2*PI()*G5017),"")</f>
        <v/>
      </c>
      <c r="I5017">
        <f>IF(B5017,IF(D5017=0,H5017,Rho*I5016+SQRT(1-Rho^2)*H5017),"")</f>
        <v/>
      </c>
      <c r="J5017">
        <f>IF(B5017,IF(Dist="Normal",DistA+DistB*I5017,DistA+(DistB-DistA)*NORMSDIST(I5017)),"")</f>
        <v/>
      </c>
      <c r="K5017">
        <f>IF(B5017,INDEX(MineScale,C5017),"")</f>
        <v/>
      </c>
      <c r="L5017">
        <f>IF(B5017,INDEX(Dow,1,WEEKDAY(E5017,2)),"")</f>
        <v/>
      </c>
      <c r="M5017">
        <f>IF(B5017,(1+Trend)^D5017,"")</f>
        <v/>
      </c>
      <c r="N5017">
        <f>IF(B5017,EXP(SUMPRODUCT(LN(1+(EvEff-1)*INDEX(Affected,0,C5017)*EXP(-((E5017-EvCenter)^2)/(2*EvSigma^2))))),"")</f>
        <v/>
      </c>
      <c r="O5017">
        <f>IF(B5017,ROUND(MAX(0,J5017*K5017*L5017*M5017*N5017),2),"")</f>
        <v/>
      </c>
    </row>
    <row r="5018">
      <c r="A5018" t="n">
        <v>5017</v>
      </c>
      <c r="B5018">
        <f>A5018&lt;=MineCount*Days</f>
        <v/>
      </c>
      <c r="C5018">
        <f>IF(B5018,INT((A5018-1)/Days)+1,"")</f>
        <v/>
      </c>
      <c r="D5018">
        <f>IF(B5018,MOD(A5018-1,Days),"")</f>
        <v/>
      </c>
      <c r="E5018" s="16">
        <f>IF(B5018,StartDate+D5018,"")</f>
        <v/>
      </c>
      <c r="F5018">
        <f>IF(B5018,MAX(MOD(SIN(Seed*0.1373+C5018*12.9898+D5018*78.233)*43758.5453,1),1E-9),"")</f>
        <v/>
      </c>
      <c r="G5018">
        <f>IF(B5018,MOD(SIN(Seed*0.5917+C5018*39.3468+D5018*11.135)*24634.6345,1),"")</f>
        <v/>
      </c>
      <c r="H5018">
        <f>IF(B5018,SQRT(-2*LN(F5018))*COS(2*PI()*G5018),"")</f>
        <v/>
      </c>
      <c r="I5018">
        <f>IF(B5018,IF(D5018=0,H5018,Rho*I5017+SQRT(1-Rho^2)*H5018),"")</f>
        <v/>
      </c>
      <c r="J5018">
        <f>IF(B5018,IF(Dist="Normal",DistA+DistB*I5018,DistA+(DistB-DistA)*NORMSDIST(I5018)),"")</f>
        <v/>
      </c>
      <c r="K5018">
        <f>IF(B5018,INDEX(MineScale,C5018),"")</f>
        <v/>
      </c>
      <c r="L5018">
        <f>IF(B5018,INDEX(Dow,1,WEEKDAY(E5018,2)),"")</f>
        <v/>
      </c>
      <c r="M5018">
        <f>IF(B5018,(1+Trend)^D5018,"")</f>
        <v/>
      </c>
      <c r="N5018">
        <f>IF(B5018,EXP(SUMPRODUCT(LN(1+(EvEff-1)*INDEX(Affected,0,C5018)*EXP(-((E5018-EvCenter)^2)/(2*EvSigma^2))))),"")</f>
        <v/>
      </c>
      <c r="O5018">
        <f>IF(B5018,ROUND(MAX(0,J5018*K5018*L5018*M5018*N5018),2),"")</f>
        <v/>
      </c>
    </row>
    <row r="5019">
      <c r="A5019" t="n">
        <v>5018</v>
      </c>
      <c r="B5019">
        <f>A5019&lt;=MineCount*Days</f>
        <v/>
      </c>
      <c r="C5019">
        <f>IF(B5019,INT((A5019-1)/Days)+1,"")</f>
        <v/>
      </c>
      <c r="D5019">
        <f>IF(B5019,MOD(A5019-1,Days),"")</f>
        <v/>
      </c>
      <c r="E5019" s="16">
        <f>IF(B5019,StartDate+D5019,"")</f>
        <v/>
      </c>
      <c r="F5019">
        <f>IF(B5019,MAX(MOD(SIN(Seed*0.1373+C5019*12.9898+D5019*78.233)*43758.5453,1),1E-9),"")</f>
        <v/>
      </c>
      <c r="G5019">
        <f>IF(B5019,MOD(SIN(Seed*0.5917+C5019*39.3468+D5019*11.135)*24634.6345,1),"")</f>
        <v/>
      </c>
      <c r="H5019">
        <f>IF(B5019,SQRT(-2*LN(F5019))*COS(2*PI()*G5019),"")</f>
        <v/>
      </c>
      <c r="I5019">
        <f>IF(B5019,IF(D5019=0,H5019,Rho*I5018+SQRT(1-Rho^2)*H5019),"")</f>
        <v/>
      </c>
      <c r="J5019">
        <f>IF(B5019,IF(Dist="Normal",DistA+DistB*I5019,DistA+(DistB-DistA)*NORMSDIST(I5019)),"")</f>
        <v/>
      </c>
      <c r="K5019">
        <f>IF(B5019,INDEX(MineScale,C5019),"")</f>
        <v/>
      </c>
      <c r="L5019">
        <f>IF(B5019,INDEX(Dow,1,WEEKDAY(E5019,2)),"")</f>
        <v/>
      </c>
      <c r="M5019">
        <f>IF(B5019,(1+Trend)^D5019,"")</f>
        <v/>
      </c>
      <c r="N5019">
        <f>IF(B5019,EXP(SUMPRODUCT(LN(1+(EvEff-1)*INDEX(Affected,0,C5019)*EXP(-((E5019-EvCenter)^2)/(2*EvSigma^2))))),"")</f>
        <v/>
      </c>
      <c r="O5019">
        <f>IF(B5019,ROUND(MAX(0,J5019*K5019*L5019*M5019*N5019),2),"")</f>
        <v/>
      </c>
    </row>
    <row r="5020">
      <c r="A5020" t="n">
        <v>5019</v>
      </c>
      <c r="B5020">
        <f>A5020&lt;=MineCount*Days</f>
        <v/>
      </c>
      <c r="C5020">
        <f>IF(B5020,INT((A5020-1)/Days)+1,"")</f>
        <v/>
      </c>
      <c r="D5020">
        <f>IF(B5020,MOD(A5020-1,Days),"")</f>
        <v/>
      </c>
      <c r="E5020" s="16">
        <f>IF(B5020,StartDate+D5020,"")</f>
        <v/>
      </c>
      <c r="F5020">
        <f>IF(B5020,MAX(MOD(SIN(Seed*0.1373+C5020*12.9898+D5020*78.233)*43758.5453,1),1E-9),"")</f>
        <v/>
      </c>
      <c r="G5020">
        <f>IF(B5020,MOD(SIN(Seed*0.5917+C5020*39.3468+D5020*11.135)*24634.6345,1),"")</f>
        <v/>
      </c>
      <c r="H5020">
        <f>IF(B5020,SQRT(-2*LN(F5020))*COS(2*PI()*G5020),"")</f>
        <v/>
      </c>
      <c r="I5020">
        <f>IF(B5020,IF(D5020=0,H5020,Rho*I5019+SQRT(1-Rho^2)*H5020),"")</f>
        <v/>
      </c>
      <c r="J5020">
        <f>IF(B5020,IF(Dist="Normal",DistA+DistB*I5020,DistA+(DistB-DistA)*NORMSDIST(I5020)),"")</f>
        <v/>
      </c>
      <c r="K5020">
        <f>IF(B5020,INDEX(MineScale,C5020),"")</f>
        <v/>
      </c>
      <c r="L5020">
        <f>IF(B5020,INDEX(Dow,1,WEEKDAY(E5020,2)),"")</f>
        <v/>
      </c>
      <c r="M5020">
        <f>IF(B5020,(1+Trend)^D5020,"")</f>
        <v/>
      </c>
      <c r="N5020">
        <f>IF(B5020,EXP(SUMPRODUCT(LN(1+(EvEff-1)*INDEX(Affected,0,C5020)*EXP(-((E5020-EvCenter)^2)/(2*EvSigma^2))))),"")</f>
        <v/>
      </c>
      <c r="O5020">
        <f>IF(B5020,ROUND(MAX(0,J5020*K5020*L5020*M5020*N5020),2),"")</f>
        <v/>
      </c>
    </row>
    <row r="5021">
      <c r="A5021" t="n">
        <v>5020</v>
      </c>
      <c r="B5021">
        <f>A5021&lt;=MineCount*Days</f>
        <v/>
      </c>
      <c r="C5021">
        <f>IF(B5021,INT((A5021-1)/Days)+1,"")</f>
        <v/>
      </c>
      <c r="D5021">
        <f>IF(B5021,MOD(A5021-1,Days),"")</f>
        <v/>
      </c>
      <c r="E5021" s="16">
        <f>IF(B5021,StartDate+D5021,"")</f>
        <v/>
      </c>
      <c r="F5021">
        <f>IF(B5021,MAX(MOD(SIN(Seed*0.1373+C5021*12.9898+D5021*78.233)*43758.5453,1),1E-9),"")</f>
        <v/>
      </c>
      <c r="G5021">
        <f>IF(B5021,MOD(SIN(Seed*0.5917+C5021*39.3468+D5021*11.135)*24634.6345,1),"")</f>
        <v/>
      </c>
      <c r="H5021">
        <f>IF(B5021,SQRT(-2*LN(F5021))*COS(2*PI()*G5021),"")</f>
        <v/>
      </c>
      <c r="I5021">
        <f>IF(B5021,IF(D5021=0,H5021,Rho*I5020+SQRT(1-Rho^2)*H5021),"")</f>
        <v/>
      </c>
      <c r="J5021">
        <f>IF(B5021,IF(Dist="Normal",DistA+DistB*I5021,DistA+(DistB-DistA)*NORMSDIST(I5021)),"")</f>
        <v/>
      </c>
      <c r="K5021">
        <f>IF(B5021,INDEX(MineScale,C5021),"")</f>
        <v/>
      </c>
      <c r="L5021">
        <f>IF(B5021,INDEX(Dow,1,WEEKDAY(E5021,2)),"")</f>
        <v/>
      </c>
      <c r="M5021">
        <f>IF(B5021,(1+Trend)^D5021,"")</f>
        <v/>
      </c>
      <c r="N5021">
        <f>IF(B5021,EXP(SUMPRODUCT(LN(1+(EvEff-1)*INDEX(Affected,0,C5021)*EXP(-((E5021-EvCenter)^2)/(2*EvSigma^2))))),"")</f>
        <v/>
      </c>
      <c r="O5021">
        <f>IF(B5021,ROUND(MAX(0,J5021*K5021*L5021*M5021*N5021),2),"")</f>
        <v/>
      </c>
    </row>
    <row r="5022">
      <c r="A5022" t="n">
        <v>5021</v>
      </c>
      <c r="B5022">
        <f>A5022&lt;=MineCount*Days</f>
        <v/>
      </c>
      <c r="C5022">
        <f>IF(B5022,INT((A5022-1)/Days)+1,"")</f>
        <v/>
      </c>
      <c r="D5022">
        <f>IF(B5022,MOD(A5022-1,Days),"")</f>
        <v/>
      </c>
      <c r="E5022" s="16">
        <f>IF(B5022,StartDate+D5022,"")</f>
        <v/>
      </c>
      <c r="F5022">
        <f>IF(B5022,MAX(MOD(SIN(Seed*0.1373+C5022*12.9898+D5022*78.233)*43758.5453,1),1E-9),"")</f>
        <v/>
      </c>
      <c r="G5022">
        <f>IF(B5022,MOD(SIN(Seed*0.5917+C5022*39.3468+D5022*11.135)*24634.6345,1),"")</f>
        <v/>
      </c>
      <c r="H5022">
        <f>IF(B5022,SQRT(-2*LN(F5022))*COS(2*PI()*G5022),"")</f>
        <v/>
      </c>
      <c r="I5022">
        <f>IF(B5022,IF(D5022=0,H5022,Rho*I5021+SQRT(1-Rho^2)*H5022),"")</f>
        <v/>
      </c>
      <c r="J5022">
        <f>IF(B5022,IF(Dist="Normal",DistA+DistB*I5022,DistA+(DistB-DistA)*NORMSDIST(I5022)),"")</f>
        <v/>
      </c>
      <c r="K5022">
        <f>IF(B5022,INDEX(MineScale,C5022),"")</f>
        <v/>
      </c>
      <c r="L5022">
        <f>IF(B5022,INDEX(Dow,1,WEEKDAY(E5022,2)),"")</f>
        <v/>
      </c>
      <c r="M5022">
        <f>IF(B5022,(1+Trend)^D5022,"")</f>
        <v/>
      </c>
      <c r="N5022">
        <f>IF(B5022,EXP(SUMPRODUCT(LN(1+(EvEff-1)*INDEX(Affected,0,C5022)*EXP(-((E5022-EvCenter)^2)/(2*EvSigma^2))))),"")</f>
        <v/>
      </c>
      <c r="O5022">
        <f>IF(B5022,ROUND(MAX(0,J5022*K5022*L5022*M5022*N5022),2),"")</f>
        <v/>
      </c>
    </row>
    <row r="5023">
      <c r="A5023" t="n">
        <v>5022</v>
      </c>
      <c r="B5023">
        <f>A5023&lt;=MineCount*Days</f>
        <v/>
      </c>
      <c r="C5023">
        <f>IF(B5023,INT((A5023-1)/Days)+1,"")</f>
        <v/>
      </c>
      <c r="D5023">
        <f>IF(B5023,MOD(A5023-1,Days),"")</f>
        <v/>
      </c>
      <c r="E5023" s="16">
        <f>IF(B5023,StartDate+D5023,"")</f>
        <v/>
      </c>
      <c r="F5023">
        <f>IF(B5023,MAX(MOD(SIN(Seed*0.1373+C5023*12.9898+D5023*78.233)*43758.5453,1),1E-9),"")</f>
        <v/>
      </c>
      <c r="G5023">
        <f>IF(B5023,MOD(SIN(Seed*0.5917+C5023*39.3468+D5023*11.135)*24634.6345,1),"")</f>
        <v/>
      </c>
      <c r="H5023">
        <f>IF(B5023,SQRT(-2*LN(F5023))*COS(2*PI()*G5023),"")</f>
        <v/>
      </c>
      <c r="I5023">
        <f>IF(B5023,IF(D5023=0,H5023,Rho*I5022+SQRT(1-Rho^2)*H5023),"")</f>
        <v/>
      </c>
      <c r="J5023">
        <f>IF(B5023,IF(Dist="Normal",DistA+DistB*I5023,DistA+(DistB-DistA)*NORMSDIST(I5023)),"")</f>
        <v/>
      </c>
      <c r="K5023">
        <f>IF(B5023,INDEX(MineScale,C5023),"")</f>
        <v/>
      </c>
      <c r="L5023">
        <f>IF(B5023,INDEX(Dow,1,WEEKDAY(E5023,2)),"")</f>
        <v/>
      </c>
      <c r="M5023">
        <f>IF(B5023,(1+Trend)^D5023,"")</f>
        <v/>
      </c>
      <c r="N5023">
        <f>IF(B5023,EXP(SUMPRODUCT(LN(1+(EvEff-1)*INDEX(Affected,0,C5023)*EXP(-((E5023-EvCenter)^2)/(2*EvSigma^2))))),"")</f>
        <v/>
      </c>
      <c r="O5023">
        <f>IF(B5023,ROUND(MAX(0,J5023*K5023*L5023*M5023*N5023),2),"")</f>
        <v/>
      </c>
    </row>
    <row r="5024">
      <c r="A5024" t="n">
        <v>5023</v>
      </c>
      <c r="B5024">
        <f>A5024&lt;=MineCount*Days</f>
        <v/>
      </c>
      <c r="C5024">
        <f>IF(B5024,INT((A5024-1)/Days)+1,"")</f>
        <v/>
      </c>
      <c r="D5024">
        <f>IF(B5024,MOD(A5024-1,Days),"")</f>
        <v/>
      </c>
      <c r="E5024" s="16">
        <f>IF(B5024,StartDate+D5024,"")</f>
        <v/>
      </c>
      <c r="F5024">
        <f>IF(B5024,MAX(MOD(SIN(Seed*0.1373+C5024*12.9898+D5024*78.233)*43758.5453,1),1E-9),"")</f>
        <v/>
      </c>
      <c r="G5024">
        <f>IF(B5024,MOD(SIN(Seed*0.5917+C5024*39.3468+D5024*11.135)*24634.6345,1),"")</f>
        <v/>
      </c>
      <c r="H5024">
        <f>IF(B5024,SQRT(-2*LN(F5024))*COS(2*PI()*G5024),"")</f>
        <v/>
      </c>
      <c r="I5024">
        <f>IF(B5024,IF(D5024=0,H5024,Rho*I5023+SQRT(1-Rho^2)*H5024),"")</f>
        <v/>
      </c>
      <c r="J5024">
        <f>IF(B5024,IF(Dist="Normal",DistA+DistB*I5024,DistA+(DistB-DistA)*NORMSDIST(I5024)),"")</f>
        <v/>
      </c>
      <c r="K5024">
        <f>IF(B5024,INDEX(MineScale,C5024),"")</f>
        <v/>
      </c>
      <c r="L5024">
        <f>IF(B5024,INDEX(Dow,1,WEEKDAY(E5024,2)),"")</f>
        <v/>
      </c>
      <c r="M5024">
        <f>IF(B5024,(1+Trend)^D5024,"")</f>
        <v/>
      </c>
      <c r="N5024">
        <f>IF(B5024,EXP(SUMPRODUCT(LN(1+(EvEff-1)*INDEX(Affected,0,C5024)*EXP(-((E5024-EvCenter)^2)/(2*EvSigma^2))))),"")</f>
        <v/>
      </c>
      <c r="O5024">
        <f>IF(B5024,ROUND(MAX(0,J5024*K5024*L5024*M5024*N5024),2),"")</f>
        <v/>
      </c>
    </row>
    <row r="5025">
      <c r="A5025" t="n">
        <v>5024</v>
      </c>
      <c r="B5025">
        <f>A5025&lt;=MineCount*Days</f>
        <v/>
      </c>
      <c r="C5025">
        <f>IF(B5025,INT((A5025-1)/Days)+1,"")</f>
        <v/>
      </c>
      <c r="D5025">
        <f>IF(B5025,MOD(A5025-1,Days),"")</f>
        <v/>
      </c>
      <c r="E5025" s="16">
        <f>IF(B5025,StartDate+D5025,"")</f>
        <v/>
      </c>
      <c r="F5025">
        <f>IF(B5025,MAX(MOD(SIN(Seed*0.1373+C5025*12.9898+D5025*78.233)*43758.5453,1),1E-9),"")</f>
        <v/>
      </c>
      <c r="G5025">
        <f>IF(B5025,MOD(SIN(Seed*0.5917+C5025*39.3468+D5025*11.135)*24634.6345,1),"")</f>
        <v/>
      </c>
      <c r="H5025">
        <f>IF(B5025,SQRT(-2*LN(F5025))*COS(2*PI()*G5025),"")</f>
        <v/>
      </c>
      <c r="I5025">
        <f>IF(B5025,IF(D5025=0,H5025,Rho*I5024+SQRT(1-Rho^2)*H5025),"")</f>
        <v/>
      </c>
      <c r="J5025">
        <f>IF(B5025,IF(Dist="Normal",DistA+DistB*I5025,DistA+(DistB-DistA)*NORMSDIST(I5025)),"")</f>
        <v/>
      </c>
      <c r="K5025">
        <f>IF(B5025,INDEX(MineScale,C5025),"")</f>
        <v/>
      </c>
      <c r="L5025">
        <f>IF(B5025,INDEX(Dow,1,WEEKDAY(E5025,2)),"")</f>
        <v/>
      </c>
      <c r="M5025">
        <f>IF(B5025,(1+Trend)^D5025,"")</f>
        <v/>
      </c>
      <c r="N5025">
        <f>IF(B5025,EXP(SUMPRODUCT(LN(1+(EvEff-1)*INDEX(Affected,0,C5025)*EXP(-((E5025-EvCenter)^2)/(2*EvSigma^2))))),"")</f>
        <v/>
      </c>
      <c r="O5025">
        <f>IF(B5025,ROUND(MAX(0,J5025*K5025*L5025*M5025*N5025),2),"")</f>
        <v/>
      </c>
    </row>
    <row r="5026">
      <c r="A5026" t="n">
        <v>5025</v>
      </c>
      <c r="B5026">
        <f>A5026&lt;=MineCount*Days</f>
        <v/>
      </c>
      <c r="C5026">
        <f>IF(B5026,INT((A5026-1)/Days)+1,"")</f>
        <v/>
      </c>
      <c r="D5026">
        <f>IF(B5026,MOD(A5026-1,Days),"")</f>
        <v/>
      </c>
      <c r="E5026" s="16">
        <f>IF(B5026,StartDate+D5026,"")</f>
        <v/>
      </c>
      <c r="F5026">
        <f>IF(B5026,MAX(MOD(SIN(Seed*0.1373+C5026*12.9898+D5026*78.233)*43758.5453,1),1E-9),"")</f>
        <v/>
      </c>
      <c r="G5026">
        <f>IF(B5026,MOD(SIN(Seed*0.5917+C5026*39.3468+D5026*11.135)*24634.6345,1),"")</f>
        <v/>
      </c>
      <c r="H5026">
        <f>IF(B5026,SQRT(-2*LN(F5026))*COS(2*PI()*G5026),"")</f>
        <v/>
      </c>
      <c r="I5026">
        <f>IF(B5026,IF(D5026=0,H5026,Rho*I5025+SQRT(1-Rho^2)*H5026),"")</f>
        <v/>
      </c>
      <c r="J5026">
        <f>IF(B5026,IF(Dist="Normal",DistA+DistB*I5026,DistA+(DistB-DistA)*NORMSDIST(I5026)),"")</f>
        <v/>
      </c>
      <c r="K5026">
        <f>IF(B5026,INDEX(MineScale,C5026),"")</f>
        <v/>
      </c>
      <c r="L5026">
        <f>IF(B5026,INDEX(Dow,1,WEEKDAY(E5026,2)),"")</f>
        <v/>
      </c>
      <c r="M5026">
        <f>IF(B5026,(1+Trend)^D5026,"")</f>
        <v/>
      </c>
      <c r="N5026">
        <f>IF(B5026,EXP(SUMPRODUCT(LN(1+(EvEff-1)*INDEX(Affected,0,C5026)*EXP(-((E5026-EvCenter)^2)/(2*EvSigma^2))))),"")</f>
        <v/>
      </c>
      <c r="O5026">
        <f>IF(B5026,ROUND(MAX(0,J5026*K5026*L5026*M5026*N5026),2),"")</f>
        <v/>
      </c>
    </row>
    <row r="5027">
      <c r="A5027" t="n">
        <v>5026</v>
      </c>
      <c r="B5027">
        <f>A5027&lt;=MineCount*Days</f>
        <v/>
      </c>
      <c r="C5027">
        <f>IF(B5027,INT((A5027-1)/Days)+1,"")</f>
        <v/>
      </c>
      <c r="D5027">
        <f>IF(B5027,MOD(A5027-1,Days),"")</f>
        <v/>
      </c>
      <c r="E5027" s="16">
        <f>IF(B5027,StartDate+D5027,"")</f>
        <v/>
      </c>
      <c r="F5027">
        <f>IF(B5027,MAX(MOD(SIN(Seed*0.1373+C5027*12.9898+D5027*78.233)*43758.5453,1),1E-9),"")</f>
        <v/>
      </c>
      <c r="G5027">
        <f>IF(B5027,MOD(SIN(Seed*0.5917+C5027*39.3468+D5027*11.135)*24634.6345,1),"")</f>
        <v/>
      </c>
      <c r="H5027">
        <f>IF(B5027,SQRT(-2*LN(F5027))*COS(2*PI()*G5027),"")</f>
        <v/>
      </c>
      <c r="I5027">
        <f>IF(B5027,IF(D5027=0,H5027,Rho*I5026+SQRT(1-Rho^2)*H5027),"")</f>
        <v/>
      </c>
      <c r="J5027">
        <f>IF(B5027,IF(Dist="Normal",DistA+DistB*I5027,DistA+(DistB-DistA)*NORMSDIST(I5027)),"")</f>
        <v/>
      </c>
      <c r="K5027">
        <f>IF(B5027,INDEX(MineScale,C5027),"")</f>
        <v/>
      </c>
      <c r="L5027">
        <f>IF(B5027,INDEX(Dow,1,WEEKDAY(E5027,2)),"")</f>
        <v/>
      </c>
      <c r="M5027">
        <f>IF(B5027,(1+Trend)^D5027,"")</f>
        <v/>
      </c>
      <c r="N5027">
        <f>IF(B5027,EXP(SUMPRODUCT(LN(1+(EvEff-1)*INDEX(Affected,0,C5027)*EXP(-((E5027-EvCenter)^2)/(2*EvSigma^2))))),"")</f>
        <v/>
      </c>
      <c r="O5027">
        <f>IF(B5027,ROUND(MAX(0,J5027*K5027*L5027*M5027*N5027),2),"")</f>
        <v/>
      </c>
    </row>
    <row r="5028">
      <c r="A5028" t="n">
        <v>5027</v>
      </c>
      <c r="B5028">
        <f>A5028&lt;=MineCount*Days</f>
        <v/>
      </c>
      <c r="C5028">
        <f>IF(B5028,INT((A5028-1)/Days)+1,"")</f>
        <v/>
      </c>
      <c r="D5028">
        <f>IF(B5028,MOD(A5028-1,Days),"")</f>
        <v/>
      </c>
      <c r="E5028" s="16">
        <f>IF(B5028,StartDate+D5028,"")</f>
        <v/>
      </c>
      <c r="F5028">
        <f>IF(B5028,MAX(MOD(SIN(Seed*0.1373+C5028*12.9898+D5028*78.233)*43758.5453,1),1E-9),"")</f>
        <v/>
      </c>
      <c r="G5028">
        <f>IF(B5028,MOD(SIN(Seed*0.5917+C5028*39.3468+D5028*11.135)*24634.6345,1),"")</f>
        <v/>
      </c>
      <c r="H5028">
        <f>IF(B5028,SQRT(-2*LN(F5028))*COS(2*PI()*G5028),"")</f>
        <v/>
      </c>
      <c r="I5028">
        <f>IF(B5028,IF(D5028=0,H5028,Rho*I5027+SQRT(1-Rho^2)*H5028),"")</f>
        <v/>
      </c>
      <c r="J5028">
        <f>IF(B5028,IF(Dist="Normal",DistA+DistB*I5028,DistA+(DistB-DistA)*NORMSDIST(I5028)),"")</f>
        <v/>
      </c>
      <c r="K5028">
        <f>IF(B5028,INDEX(MineScale,C5028),"")</f>
        <v/>
      </c>
      <c r="L5028">
        <f>IF(B5028,INDEX(Dow,1,WEEKDAY(E5028,2)),"")</f>
        <v/>
      </c>
      <c r="M5028">
        <f>IF(B5028,(1+Trend)^D5028,"")</f>
        <v/>
      </c>
      <c r="N5028">
        <f>IF(B5028,EXP(SUMPRODUCT(LN(1+(EvEff-1)*INDEX(Affected,0,C5028)*EXP(-((E5028-EvCenter)^2)/(2*EvSigma^2))))),"")</f>
        <v/>
      </c>
      <c r="O5028">
        <f>IF(B5028,ROUND(MAX(0,J5028*K5028*L5028*M5028*N5028),2),"")</f>
        <v/>
      </c>
    </row>
    <row r="5029">
      <c r="A5029" t="n">
        <v>5028</v>
      </c>
      <c r="B5029">
        <f>A5029&lt;=MineCount*Days</f>
        <v/>
      </c>
      <c r="C5029">
        <f>IF(B5029,INT((A5029-1)/Days)+1,"")</f>
        <v/>
      </c>
      <c r="D5029">
        <f>IF(B5029,MOD(A5029-1,Days),"")</f>
        <v/>
      </c>
      <c r="E5029" s="16">
        <f>IF(B5029,StartDate+D5029,"")</f>
        <v/>
      </c>
      <c r="F5029">
        <f>IF(B5029,MAX(MOD(SIN(Seed*0.1373+C5029*12.9898+D5029*78.233)*43758.5453,1),1E-9),"")</f>
        <v/>
      </c>
      <c r="G5029">
        <f>IF(B5029,MOD(SIN(Seed*0.5917+C5029*39.3468+D5029*11.135)*24634.6345,1),"")</f>
        <v/>
      </c>
      <c r="H5029">
        <f>IF(B5029,SQRT(-2*LN(F5029))*COS(2*PI()*G5029),"")</f>
        <v/>
      </c>
      <c r="I5029">
        <f>IF(B5029,IF(D5029=0,H5029,Rho*I5028+SQRT(1-Rho^2)*H5029),"")</f>
        <v/>
      </c>
      <c r="J5029">
        <f>IF(B5029,IF(Dist="Normal",DistA+DistB*I5029,DistA+(DistB-DistA)*NORMSDIST(I5029)),"")</f>
        <v/>
      </c>
      <c r="K5029">
        <f>IF(B5029,INDEX(MineScale,C5029),"")</f>
        <v/>
      </c>
      <c r="L5029">
        <f>IF(B5029,INDEX(Dow,1,WEEKDAY(E5029,2)),"")</f>
        <v/>
      </c>
      <c r="M5029">
        <f>IF(B5029,(1+Trend)^D5029,"")</f>
        <v/>
      </c>
      <c r="N5029">
        <f>IF(B5029,EXP(SUMPRODUCT(LN(1+(EvEff-1)*INDEX(Affected,0,C5029)*EXP(-((E5029-EvCenter)^2)/(2*EvSigma^2))))),"")</f>
        <v/>
      </c>
      <c r="O5029">
        <f>IF(B5029,ROUND(MAX(0,J5029*K5029*L5029*M5029*N5029),2),"")</f>
        <v/>
      </c>
    </row>
    <row r="5030">
      <c r="A5030" t="n">
        <v>5029</v>
      </c>
      <c r="B5030">
        <f>A5030&lt;=MineCount*Days</f>
        <v/>
      </c>
      <c r="C5030">
        <f>IF(B5030,INT((A5030-1)/Days)+1,"")</f>
        <v/>
      </c>
      <c r="D5030">
        <f>IF(B5030,MOD(A5030-1,Days),"")</f>
        <v/>
      </c>
      <c r="E5030" s="16">
        <f>IF(B5030,StartDate+D5030,"")</f>
        <v/>
      </c>
      <c r="F5030">
        <f>IF(B5030,MAX(MOD(SIN(Seed*0.1373+C5030*12.9898+D5030*78.233)*43758.5453,1),1E-9),"")</f>
        <v/>
      </c>
      <c r="G5030">
        <f>IF(B5030,MOD(SIN(Seed*0.5917+C5030*39.3468+D5030*11.135)*24634.6345,1),"")</f>
        <v/>
      </c>
      <c r="H5030">
        <f>IF(B5030,SQRT(-2*LN(F5030))*COS(2*PI()*G5030),"")</f>
        <v/>
      </c>
      <c r="I5030">
        <f>IF(B5030,IF(D5030=0,H5030,Rho*I5029+SQRT(1-Rho^2)*H5030),"")</f>
        <v/>
      </c>
      <c r="J5030">
        <f>IF(B5030,IF(Dist="Normal",DistA+DistB*I5030,DistA+(DistB-DistA)*NORMSDIST(I5030)),"")</f>
        <v/>
      </c>
      <c r="K5030">
        <f>IF(B5030,INDEX(MineScale,C5030),"")</f>
        <v/>
      </c>
      <c r="L5030">
        <f>IF(B5030,INDEX(Dow,1,WEEKDAY(E5030,2)),"")</f>
        <v/>
      </c>
      <c r="M5030">
        <f>IF(B5030,(1+Trend)^D5030,"")</f>
        <v/>
      </c>
      <c r="N5030">
        <f>IF(B5030,EXP(SUMPRODUCT(LN(1+(EvEff-1)*INDEX(Affected,0,C5030)*EXP(-((E5030-EvCenter)^2)/(2*EvSigma^2))))),"")</f>
        <v/>
      </c>
      <c r="O5030">
        <f>IF(B5030,ROUND(MAX(0,J5030*K5030*L5030*M5030*N5030),2),"")</f>
        <v/>
      </c>
    </row>
    <row r="5031">
      <c r="A5031" t="n">
        <v>5030</v>
      </c>
      <c r="B5031">
        <f>A5031&lt;=MineCount*Days</f>
        <v/>
      </c>
      <c r="C5031">
        <f>IF(B5031,INT((A5031-1)/Days)+1,"")</f>
        <v/>
      </c>
      <c r="D5031">
        <f>IF(B5031,MOD(A5031-1,Days),"")</f>
        <v/>
      </c>
      <c r="E5031" s="16">
        <f>IF(B5031,StartDate+D5031,"")</f>
        <v/>
      </c>
      <c r="F5031">
        <f>IF(B5031,MAX(MOD(SIN(Seed*0.1373+C5031*12.9898+D5031*78.233)*43758.5453,1),1E-9),"")</f>
        <v/>
      </c>
      <c r="G5031">
        <f>IF(B5031,MOD(SIN(Seed*0.5917+C5031*39.3468+D5031*11.135)*24634.6345,1),"")</f>
        <v/>
      </c>
      <c r="H5031">
        <f>IF(B5031,SQRT(-2*LN(F5031))*COS(2*PI()*G5031),"")</f>
        <v/>
      </c>
      <c r="I5031">
        <f>IF(B5031,IF(D5031=0,H5031,Rho*I5030+SQRT(1-Rho^2)*H5031),"")</f>
        <v/>
      </c>
      <c r="J5031">
        <f>IF(B5031,IF(Dist="Normal",DistA+DistB*I5031,DistA+(DistB-DistA)*NORMSDIST(I5031)),"")</f>
        <v/>
      </c>
      <c r="K5031">
        <f>IF(B5031,INDEX(MineScale,C5031),"")</f>
        <v/>
      </c>
      <c r="L5031">
        <f>IF(B5031,INDEX(Dow,1,WEEKDAY(E5031,2)),"")</f>
        <v/>
      </c>
      <c r="M5031">
        <f>IF(B5031,(1+Trend)^D5031,"")</f>
        <v/>
      </c>
      <c r="N5031">
        <f>IF(B5031,EXP(SUMPRODUCT(LN(1+(EvEff-1)*INDEX(Affected,0,C5031)*EXP(-((E5031-EvCenter)^2)/(2*EvSigma^2))))),"")</f>
        <v/>
      </c>
      <c r="O5031">
        <f>IF(B5031,ROUND(MAX(0,J5031*K5031*L5031*M5031*N5031),2),"")</f>
        <v/>
      </c>
    </row>
    <row r="5032">
      <c r="A5032" t="n">
        <v>5031</v>
      </c>
      <c r="B5032">
        <f>A5032&lt;=MineCount*Days</f>
        <v/>
      </c>
      <c r="C5032">
        <f>IF(B5032,INT((A5032-1)/Days)+1,"")</f>
        <v/>
      </c>
      <c r="D5032">
        <f>IF(B5032,MOD(A5032-1,Days),"")</f>
        <v/>
      </c>
      <c r="E5032" s="16">
        <f>IF(B5032,StartDate+D5032,"")</f>
        <v/>
      </c>
      <c r="F5032">
        <f>IF(B5032,MAX(MOD(SIN(Seed*0.1373+C5032*12.9898+D5032*78.233)*43758.5453,1),1E-9),"")</f>
        <v/>
      </c>
      <c r="G5032">
        <f>IF(B5032,MOD(SIN(Seed*0.5917+C5032*39.3468+D5032*11.135)*24634.6345,1),"")</f>
        <v/>
      </c>
      <c r="H5032">
        <f>IF(B5032,SQRT(-2*LN(F5032))*COS(2*PI()*G5032),"")</f>
        <v/>
      </c>
      <c r="I5032">
        <f>IF(B5032,IF(D5032=0,H5032,Rho*I5031+SQRT(1-Rho^2)*H5032),"")</f>
        <v/>
      </c>
      <c r="J5032">
        <f>IF(B5032,IF(Dist="Normal",DistA+DistB*I5032,DistA+(DistB-DistA)*NORMSDIST(I5032)),"")</f>
        <v/>
      </c>
      <c r="K5032">
        <f>IF(B5032,INDEX(MineScale,C5032),"")</f>
        <v/>
      </c>
      <c r="L5032">
        <f>IF(B5032,INDEX(Dow,1,WEEKDAY(E5032,2)),"")</f>
        <v/>
      </c>
      <c r="M5032">
        <f>IF(B5032,(1+Trend)^D5032,"")</f>
        <v/>
      </c>
      <c r="N5032">
        <f>IF(B5032,EXP(SUMPRODUCT(LN(1+(EvEff-1)*INDEX(Affected,0,C5032)*EXP(-((E5032-EvCenter)^2)/(2*EvSigma^2))))),"")</f>
        <v/>
      </c>
      <c r="O5032">
        <f>IF(B5032,ROUND(MAX(0,J5032*K5032*L5032*M5032*N5032),2),"")</f>
        <v/>
      </c>
    </row>
    <row r="5033">
      <c r="A5033" t="n">
        <v>5032</v>
      </c>
      <c r="B5033">
        <f>A5033&lt;=MineCount*Days</f>
        <v/>
      </c>
      <c r="C5033">
        <f>IF(B5033,INT((A5033-1)/Days)+1,"")</f>
        <v/>
      </c>
      <c r="D5033">
        <f>IF(B5033,MOD(A5033-1,Days),"")</f>
        <v/>
      </c>
      <c r="E5033" s="16">
        <f>IF(B5033,StartDate+D5033,"")</f>
        <v/>
      </c>
      <c r="F5033">
        <f>IF(B5033,MAX(MOD(SIN(Seed*0.1373+C5033*12.9898+D5033*78.233)*43758.5453,1),1E-9),"")</f>
        <v/>
      </c>
      <c r="G5033">
        <f>IF(B5033,MOD(SIN(Seed*0.5917+C5033*39.3468+D5033*11.135)*24634.6345,1),"")</f>
        <v/>
      </c>
      <c r="H5033">
        <f>IF(B5033,SQRT(-2*LN(F5033))*COS(2*PI()*G5033),"")</f>
        <v/>
      </c>
      <c r="I5033">
        <f>IF(B5033,IF(D5033=0,H5033,Rho*I5032+SQRT(1-Rho^2)*H5033),"")</f>
        <v/>
      </c>
      <c r="J5033">
        <f>IF(B5033,IF(Dist="Normal",DistA+DistB*I5033,DistA+(DistB-DistA)*NORMSDIST(I5033)),"")</f>
        <v/>
      </c>
      <c r="K5033">
        <f>IF(B5033,INDEX(MineScale,C5033),"")</f>
        <v/>
      </c>
      <c r="L5033">
        <f>IF(B5033,INDEX(Dow,1,WEEKDAY(E5033,2)),"")</f>
        <v/>
      </c>
      <c r="M5033">
        <f>IF(B5033,(1+Trend)^D5033,"")</f>
        <v/>
      </c>
      <c r="N5033">
        <f>IF(B5033,EXP(SUMPRODUCT(LN(1+(EvEff-1)*INDEX(Affected,0,C5033)*EXP(-((E5033-EvCenter)^2)/(2*EvSigma^2))))),"")</f>
        <v/>
      </c>
      <c r="O5033">
        <f>IF(B5033,ROUND(MAX(0,J5033*K5033*L5033*M5033*N5033),2),"")</f>
        <v/>
      </c>
    </row>
    <row r="5034">
      <c r="A5034" t="n">
        <v>5033</v>
      </c>
      <c r="B5034">
        <f>A5034&lt;=MineCount*Days</f>
        <v/>
      </c>
      <c r="C5034">
        <f>IF(B5034,INT((A5034-1)/Days)+1,"")</f>
        <v/>
      </c>
      <c r="D5034">
        <f>IF(B5034,MOD(A5034-1,Days),"")</f>
        <v/>
      </c>
      <c r="E5034" s="16">
        <f>IF(B5034,StartDate+D5034,"")</f>
        <v/>
      </c>
      <c r="F5034">
        <f>IF(B5034,MAX(MOD(SIN(Seed*0.1373+C5034*12.9898+D5034*78.233)*43758.5453,1),1E-9),"")</f>
        <v/>
      </c>
      <c r="G5034">
        <f>IF(B5034,MOD(SIN(Seed*0.5917+C5034*39.3468+D5034*11.135)*24634.6345,1),"")</f>
        <v/>
      </c>
      <c r="H5034">
        <f>IF(B5034,SQRT(-2*LN(F5034))*COS(2*PI()*G5034),"")</f>
        <v/>
      </c>
      <c r="I5034">
        <f>IF(B5034,IF(D5034=0,H5034,Rho*I5033+SQRT(1-Rho^2)*H5034),"")</f>
        <v/>
      </c>
      <c r="J5034">
        <f>IF(B5034,IF(Dist="Normal",DistA+DistB*I5034,DistA+(DistB-DistA)*NORMSDIST(I5034)),"")</f>
        <v/>
      </c>
      <c r="K5034">
        <f>IF(B5034,INDEX(MineScale,C5034),"")</f>
        <v/>
      </c>
      <c r="L5034">
        <f>IF(B5034,INDEX(Dow,1,WEEKDAY(E5034,2)),"")</f>
        <v/>
      </c>
      <c r="M5034">
        <f>IF(B5034,(1+Trend)^D5034,"")</f>
        <v/>
      </c>
      <c r="N5034">
        <f>IF(B5034,EXP(SUMPRODUCT(LN(1+(EvEff-1)*INDEX(Affected,0,C5034)*EXP(-((E5034-EvCenter)^2)/(2*EvSigma^2))))),"")</f>
        <v/>
      </c>
      <c r="O5034">
        <f>IF(B5034,ROUND(MAX(0,J5034*K5034*L5034*M5034*N5034),2),"")</f>
        <v/>
      </c>
    </row>
    <row r="5035">
      <c r="A5035" t="n">
        <v>5034</v>
      </c>
      <c r="B5035">
        <f>A5035&lt;=MineCount*Days</f>
        <v/>
      </c>
      <c r="C5035">
        <f>IF(B5035,INT((A5035-1)/Days)+1,"")</f>
        <v/>
      </c>
      <c r="D5035">
        <f>IF(B5035,MOD(A5035-1,Days),"")</f>
        <v/>
      </c>
      <c r="E5035" s="16">
        <f>IF(B5035,StartDate+D5035,"")</f>
        <v/>
      </c>
      <c r="F5035">
        <f>IF(B5035,MAX(MOD(SIN(Seed*0.1373+C5035*12.9898+D5035*78.233)*43758.5453,1),1E-9),"")</f>
        <v/>
      </c>
      <c r="G5035">
        <f>IF(B5035,MOD(SIN(Seed*0.5917+C5035*39.3468+D5035*11.135)*24634.6345,1),"")</f>
        <v/>
      </c>
      <c r="H5035">
        <f>IF(B5035,SQRT(-2*LN(F5035))*COS(2*PI()*G5035),"")</f>
        <v/>
      </c>
      <c r="I5035">
        <f>IF(B5035,IF(D5035=0,H5035,Rho*I5034+SQRT(1-Rho^2)*H5035),"")</f>
        <v/>
      </c>
      <c r="J5035">
        <f>IF(B5035,IF(Dist="Normal",DistA+DistB*I5035,DistA+(DistB-DistA)*NORMSDIST(I5035)),"")</f>
        <v/>
      </c>
      <c r="K5035">
        <f>IF(B5035,INDEX(MineScale,C5035),"")</f>
        <v/>
      </c>
      <c r="L5035">
        <f>IF(B5035,INDEX(Dow,1,WEEKDAY(E5035,2)),"")</f>
        <v/>
      </c>
      <c r="M5035">
        <f>IF(B5035,(1+Trend)^D5035,"")</f>
        <v/>
      </c>
      <c r="N5035">
        <f>IF(B5035,EXP(SUMPRODUCT(LN(1+(EvEff-1)*INDEX(Affected,0,C5035)*EXP(-((E5035-EvCenter)^2)/(2*EvSigma^2))))),"")</f>
        <v/>
      </c>
      <c r="O5035">
        <f>IF(B5035,ROUND(MAX(0,J5035*K5035*L5035*M5035*N5035),2),"")</f>
        <v/>
      </c>
    </row>
    <row r="5036">
      <c r="A5036" t="n">
        <v>5035</v>
      </c>
      <c r="B5036">
        <f>A5036&lt;=MineCount*Days</f>
        <v/>
      </c>
      <c r="C5036">
        <f>IF(B5036,INT((A5036-1)/Days)+1,"")</f>
        <v/>
      </c>
      <c r="D5036">
        <f>IF(B5036,MOD(A5036-1,Days),"")</f>
        <v/>
      </c>
      <c r="E5036" s="16">
        <f>IF(B5036,StartDate+D5036,"")</f>
        <v/>
      </c>
      <c r="F5036">
        <f>IF(B5036,MAX(MOD(SIN(Seed*0.1373+C5036*12.9898+D5036*78.233)*43758.5453,1),1E-9),"")</f>
        <v/>
      </c>
      <c r="G5036">
        <f>IF(B5036,MOD(SIN(Seed*0.5917+C5036*39.3468+D5036*11.135)*24634.6345,1),"")</f>
        <v/>
      </c>
      <c r="H5036">
        <f>IF(B5036,SQRT(-2*LN(F5036))*COS(2*PI()*G5036),"")</f>
        <v/>
      </c>
      <c r="I5036">
        <f>IF(B5036,IF(D5036=0,H5036,Rho*I5035+SQRT(1-Rho^2)*H5036),"")</f>
        <v/>
      </c>
      <c r="J5036">
        <f>IF(B5036,IF(Dist="Normal",DistA+DistB*I5036,DistA+(DistB-DistA)*NORMSDIST(I5036)),"")</f>
        <v/>
      </c>
      <c r="K5036">
        <f>IF(B5036,INDEX(MineScale,C5036),"")</f>
        <v/>
      </c>
      <c r="L5036">
        <f>IF(B5036,INDEX(Dow,1,WEEKDAY(E5036,2)),"")</f>
        <v/>
      </c>
      <c r="M5036">
        <f>IF(B5036,(1+Trend)^D5036,"")</f>
        <v/>
      </c>
      <c r="N5036">
        <f>IF(B5036,EXP(SUMPRODUCT(LN(1+(EvEff-1)*INDEX(Affected,0,C5036)*EXP(-((E5036-EvCenter)^2)/(2*EvSigma^2))))),"")</f>
        <v/>
      </c>
      <c r="O5036">
        <f>IF(B5036,ROUND(MAX(0,J5036*K5036*L5036*M5036*N5036),2),"")</f>
        <v/>
      </c>
    </row>
    <row r="5037">
      <c r="A5037" t="n">
        <v>5036</v>
      </c>
      <c r="B5037">
        <f>A5037&lt;=MineCount*Days</f>
        <v/>
      </c>
      <c r="C5037">
        <f>IF(B5037,INT((A5037-1)/Days)+1,"")</f>
        <v/>
      </c>
      <c r="D5037">
        <f>IF(B5037,MOD(A5037-1,Days),"")</f>
        <v/>
      </c>
      <c r="E5037" s="16">
        <f>IF(B5037,StartDate+D5037,"")</f>
        <v/>
      </c>
      <c r="F5037">
        <f>IF(B5037,MAX(MOD(SIN(Seed*0.1373+C5037*12.9898+D5037*78.233)*43758.5453,1),1E-9),"")</f>
        <v/>
      </c>
      <c r="G5037">
        <f>IF(B5037,MOD(SIN(Seed*0.5917+C5037*39.3468+D5037*11.135)*24634.6345,1),"")</f>
        <v/>
      </c>
      <c r="H5037">
        <f>IF(B5037,SQRT(-2*LN(F5037))*COS(2*PI()*G5037),"")</f>
        <v/>
      </c>
      <c r="I5037">
        <f>IF(B5037,IF(D5037=0,H5037,Rho*I5036+SQRT(1-Rho^2)*H5037),"")</f>
        <v/>
      </c>
      <c r="J5037">
        <f>IF(B5037,IF(Dist="Normal",DistA+DistB*I5037,DistA+(DistB-DistA)*NORMSDIST(I5037)),"")</f>
        <v/>
      </c>
      <c r="K5037">
        <f>IF(B5037,INDEX(MineScale,C5037),"")</f>
        <v/>
      </c>
      <c r="L5037">
        <f>IF(B5037,INDEX(Dow,1,WEEKDAY(E5037,2)),"")</f>
        <v/>
      </c>
      <c r="M5037">
        <f>IF(B5037,(1+Trend)^D5037,"")</f>
        <v/>
      </c>
      <c r="N5037">
        <f>IF(B5037,EXP(SUMPRODUCT(LN(1+(EvEff-1)*INDEX(Affected,0,C5037)*EXP(-((E5037-EvCenter)^2)/(2*EvSigma^2))))),"")</f>
        <v/>
      </c>
      <c r="O5037">
        <f>IF(B5037,ROUND(MAX(0,J5037*K5037*L5037*M5037*N5037),2),"")</f>
        <v/>
      </c>
    </row>
    <row r="5038">
      <c r="A5038" t="n">
        <v>5037</v>
      </c>
      <c r="B5038">
        <f>A5038&lt;=MineCount*Days</f>
        <v/>
      </c>
      <c r="C5038">
        <f>IF(B5038,INT((A5038-1)/Days)+1,"")</f>
        <v/>
      </c>
      <c r="D5038">
        <f>IF(B5038,MOD(A5038-1,Days),"")</f>
        <v/>
      </c>
      <c r="E5038" s="16">
        <f>IF(B5038,StartDate+D5038,"")</f>
        <v/>
      </c>
      <c r="F5038">
        <f>IF(B5038,MAX(MOD(SIN(Seed*0.1373+C5038*12.9898+D5038*78.233)*43758.5453,1),1E-9),"")</f>
        <v/>
      </c>
      <c r="G5038">
        <f>IF(B5038,MOD(SIN(Seed*0.5917+C5038*39.3468+D5038*11.135)*24634.6345,1),"")</f>
        <v/>
      </c>
      <c r="H5038">
        <f>IF(B5038,SQRT(-2*LN(F5038))*COS(2*PI()*G5038),"")</f>
        <v/>
      </c>
      <c r="I5038">
        <f>IF(B5038,IF(D5038=0,H5038,Rho*I5037+SQRT(1-Rho^2)*H5038),"")</f>
        <v/>
      </c>
      <c r="J5038">
        <f>IF(B5038,IF(Dist="Normal",DistA+DistB*I5038,DistA+(DistB-DistA)*NORMSDIST(I5038)),"")</f>
        <v/>
      </c>
      <c r="K5038">
        <f>IF(B5038,INDEX(MineScale,C5038),"")</f>
        <v/>
      </c>
      <c r="L5038">
        <f>IF(B5038,INDEX(Dow,1,WEEKDAY(E5038,2)),"")</f>
        <v/>
      </c>
      <c r="M5038">
        <f>IF(B5038,(1+Trend)^D5038,"")</f>
        <v/>
      </c>
      <c r="N5038">
        <f>IF(B5038,EXP(SUMPRODUCT(LN(1+(EvEff-1)*INDEX(Affected,0,C5038)*EXP(-((E5038-EvCenter)^2)/(2*EvSigma^2))))),"")</f>
        <v/>
      </c>
      <c r="O5038">
        <f>IF(B5038,ROUND(MAX(0,J5038*K5038*L5038*M5038*N5038),2),"")</f>
        <v/>
      </c>
    </row>
    <row r="5039">
      <c r="A5039" t="n">
        <v>5038</v>
      </c>
      <c r="B5039">
        <f>A5039&lt;=MineCount*Days</f>
        <v/>
      </c>
      <c r="C5039">
        <f>IF(B5039,INT((A5039-1)/Days)+1,"")</f>
        <v/>
      </c>
      <c r="D5039">
        <f>IF(B5039,MOD(A5039-1,Days),"")</f>
        <v/>
      </c>
      <c r="E5039" s="16">
        <f>IF(B5039,StartDate+D5039,"")</f>
        <v/>
      </c>
      <c r="F5039">
        <f>IF(B5039,MAX(MOD(SIN(Seed*0.1373+C5039*12.9898+D5039*78.233)*43758.5453,1),1E-9),"")</f>
        <v/>
      </c>
      <c r="G5039">
        <f>IF(B5039,MOD(SIN(Seed*0.5917+C5039*39.3468+D5039*11.135)*24634.6345,1),"")</f>
        <v/>
      </c>
      <c r="H5039">
        <f>IF(B5039,SQRT(-2*LN(F5039))*COS(2*PI()*G5039),"")</f>
        <v/>
      </c>
      <c r="I5039">
        <f>IF(B5039,IF(D5039=0,H5039,Rho*I5038+SQRT(1-Rho^2)*H5039),"")</f>
        <v/>
      </c>
      <c r="J5039">
        <f>IF(B5039,IF(Dist="Normal",DistA+DistB*I5039,DistA+(DistB-DistA)*NORMSDIST(I5039)),"")</f>
        <v/>
      </c>
      <c r="K5039">
        <f>IF(B5039,INDEX(MineScale,C5039),"")</f>
        <v/>
      </c>
      <c r="L5039">
        <f>IF(B5039,INDEX(Dow,1,WEEKDAY(E5039,2)),"")</f>
        <v/>
      </c>
      <c r="M5039">
        <f>IF(B5039,(1+Trend)^D5039,"")</f>
        <v/>
      </c>
      <c r="N5039">
        <f>IF(B5039,EXP(SUMPRODUCT(LN(1+(EvEff-1)*INDEX(Affected,0,C5039)*EXP(-((E5039-EvCenter)^2)/(2*EvSigma^2))))),"")</f>
        <v/>
      </c>
      <c r="O5039">
        <f>IF(B5039,ROUND(MAX(0,J5039*K5039*L5039*M5039*N5039),2),"")</f>
        <v/>
      </c>
    </row>
    <row r="5040">
      <c r="A5040" t="n">
        <v>5039</v>
      </c>
      <c r="B5040">
        <f>A5040&lt;=MineCount*Days</f>
        <v/>
      </c>
      <c r="C5040">
        <f>IF(B5040,INT((A5040-1)/Days)+1,"")</f>
        <v/>
      </c>
      <c r="D5040">
        <f>IF(B5040,MOD(A5040-1,Days),"")</f>
        <v/>
      </c>
      <c r="E5040" s="16">
        <f>IF(B5040,StartDate+D5040,"")</f>
        <v/>
      </c>
      <c r="F5040">
        <f>IF(B5040,MAX(MOD(SIN(Seed*0.1373+C5040*12.9898+D5040*78.233)*43758.5453,1),1E-9),"")</f>
        <v/>
      </c>
      <c r="G5040">
        <f>IF(B5040,MOD(SIN(Seed*0.5917+C5040*39.3468+D5040*11.135)*24634.6345,1),"")</f>
        <v/>
      </c>
      <c r="H5040">
        <f>IF(B5040,SQRT(-2*LN(F5040))*COS(2*PI()*G5040),"")</f>
        <v/>
      </c>
      <c r="I5040">
        <f>IF(B5040,IF(D5040=0,H5040,Rho*I5039+SQRT(1-Rho^2)*H5040),"")</f>
        <v/>
      </c>
      <c r="J5040">
        <f>IF(B5040,IF(Dist="Normal",DistA+DistB*I5040,DistA+(DistB-DistA)*NORMSDIST(I5040)),"")</f>
        <v/>
      </c>
      <c r="K5040">
        <f>IF(B5040,INDEX(MineScale,C5040),"")</f>
        <v/>
      </c>
      <c r="L5040">
        <f>IF(B5040,INDEX(Dow,1,WEEKDAY(E5040,2)),"")</f>
        <v/>
      </c>
      <c r="M5040">
        <f>IF(B5040,(1+Trend)^D5040,"")</f>
        <v/>
      </c>
      <c r="N5040">
        <f>IF(B5040,EXP(SUMPRODUCT(LN(1+(EvEff-1)*INDEX(Affected,0,C5040)*EXP(-((E5040-EvCenter)^2)/(2*EvSigma^2))))),"")</f>
        <v/>
      </c>
      <c r="O5040">
        <f>IF(B5040,ROUND(MAX(0,J5040*K5040*L5040*M5040*N5040),2),"")</f>
        <v/>
      </c>
    </row>
    <row r="5041">
      <c r="A5041" t="n">
        <v>5040</v>
      </c>
      <c r="B5041">
        <f>A5041&lt;=MineCount*Days</f>
        <v/>
      </c>
      <c r="C5041">
        <f>IF(B5041,INT((A5041-1)/Days)+1,"")</f>
        <v/>
      </c>
      <c r="D5041">
        <f>IF(B5041,MOD(A5041-1,Days),"")</f>
        <v/>
      </c>
      <c r="E5041" s="16">
        <f>IF(B5041,StartDate+D5041,"")</f>
        <v/>
      </c>
      <c r="F5041">
        <f>IF(B5041,MAX(MOD(SIN(Seed*0.1373+C5041*12.9898+D5041*78.233)*43758.5453,1),1E-9),"")</f>
        <v/>
      </c>
      <c r="G5041">
        <f>IF(B5041,MOD(SIN(Seed*0.5917+C5041*39.3468+D5041*11.135)*24634.6345,1),"")</f>
        <v/>
      </c>
      <c r="H5041">
        <f>IF(B5041,SQRT(-2*LN(F5041))*COS(2*PI()*G5041),"")</f>
        <v/>
      </c>
      <c r="I5041">
        <f>IF(B5041,IF(D5041=0,H5041,Rho*I5040+SQRT(1-Rho^2)*H5041),"")</f>
        <v/>
      </c>
      <c r="J5041">
        <f>IF(B5041,IF(Dist="Normal",DistA+DistB*I5041,DistA+(DistB-DistA)*NORMSDIST(I5041)),"")</f>
        <v/>
      </c>
      <c r="K5041">
        <f>IF(B5041,INDEX(MineScale,C5041),"")</f>
        <v/>
      </c>
      <c r="L5041">
        <f>IF(B5041,INDEX(Dow,1,WEEKDAY(E5041,2)),"")</f>
        <v/>
      </c>
      <c r="M5041">
        <f>IF(B5041,(1+Trend)^D5041,"")</f>
        <v/>
      </c>
      <c r="N5041">
        <f>IF(B5041,EXP(SUMPRODUCT(LN(1+(EvEff-1)*INDEX(Affected,0,C5041)*EXP(-((E5041-EvCenter)^2)/(2*EvSigma^2))))),"")</f>
        <v/>
      </c>
      <c r="O5041">
        <f>IF(B5041,ROUND(MAX(0,J5041*K5041*L5041*M5041*N5041),2),"")</f>
        <v/>
      </c>
    </row>
    <row r="5042">
      <c r="A5042" t="n">
        <v>5041</v>
      </c>
      <c r="B5042">
        <f>A5042&lt;=MineCount*Days</f>
        <v/>
      </c>
      <c r="C5042">
        <f>IF(B5042,INT((A5042-1)/Days)+1,"")</f>
        <v/>
      </c>
      <c r="D5042">
        <f>IF(B5042,MOD(A5042-1,Days),"")</f>
        <v/>
      </c>
      <c r="E5042" s="16">
        <f>IF(B5042,StartDate+D5042,"")</f>
        <v/>
      </c>
      <c r="F5042">
        <f>IF(B5042,MAX(MOD(SIN(Seed*0.1373+C5042*12.9898+D5042*78.233)*43758.5453,1),1E-9),"")</f>
        <v/>
      </c>
      <c r="G5042">
        <f>IF(B5042,MOD(SIN(Seed*0.5917+C5042*39.3468+D5042*11.135)*24634.6345,1),"")</f>
        <v/>
      </c>
      <c r="H5042">
        <f>IF(B5042,SQRT(-2*LN(F5042))*COS(2*PI()*G5042),"")</f>
        <v/>
      </c>
      <c r="I5042">
        <f>IF(B5042,IF(D5042=0,H5042,Rho*I5041+SQRT(1-Rho^2)*H5042),"")</f>
        <v/>
      </c>
      <c r="J5042">
        <f>IF(B5042,IF(Dist="Normal",DistA+DistB*I5042,DistA+(DistB-DistA)*NORMSDIST(I5042)),"")</f>
        <v/>
      </c>
      <c r="K5042">
        <f>IF(B5042,INDEX(MineScale,C5042),"")</f>
        <v/>
      </c>
      <c r="L5042">
        <f>IF(B5042,INDEX(Dow,1,WEEKDAY(E5042,2)),"")</f>
        <v/>
      </c>
      <c r="M5042">
        <f>IF(B5042,(1+Trend)^D5042,"")</f>
        <v/>
      </c>
      <c r="N5042">
        <f>IF(B5042,EXP(SUMPRODUCT(LN(1+(EvEff-1)*INDEX(Affected,0,C5042)*EXP(-((E5042-EvCenter)^2)/(2*EvSigma^2))))),"")</f>
        <v/>
      </c>
      <c r="O5042">
        <f>IF(B5042,ROUND(MAX(0,J5042*K5042*L5042*M5042*N5042),2),"")</f>
        <v/>
      </c>
    </row>
    <row r="5043">
      <c r="A5043" t="n">
        <v>5042</v>
      </c>
      <c r="B5043">
        <f>A5043&lt;=MineCount*Days</f>
        <v/>
      </c>
      <c r="C5043">
        <f>IF(B5043,INT((A5043-1)/Days)+1,"")</f>
        <v/>
      </c>
      <c r="D5043">
        <f>IF(B5043,MOD(A5043-1,Days),"")</f>
        <v/>
      </c>
      <c r="E5043" s="16">
        <f>IF(B5043,StartDate+D5043,"")</f>
        <v/>
      </c>
      <c r="F5043">
        <f>IF(B5043,MAX(MOD(SIN(Seed*0.1373+C5043*12.9898+D5043*78.233)*43758.5453,1),1E-9),"")</f>
        <v/>
      </c>
      <c r="G5043">
        <f>IF(B5043,MOD(SIN(Seed*0.5917+C5043*39.3468+D5043*11.135)*24634.6345,1),"")</f>
        <v/>
      </c>
      <c r="H5043">
        <f>IF(B5043,SQRT(-2*LN(F5043))*COS(2*PI()*G5043),"")</f>
        <v/>
      </c>
      <c r="I5043">
        <f>IF(B5043,IF(D5043=0,H5043,Rho*I5042+SQRT(1-Rho^2)*H5043),"")</f>
        <v/>
      </c>
      <c r="J5043">
        <f>IF(B5043,IF(Dist="Normal",DistA+DistB*I5043,DistA+(DistB-DistA)*NORMSDIST(I5043)),"")</f>
        <v/>
      </c>
      <c r="K5043">
        <f>IF(B5043,INDEX(MineScale,C5043),"")</f>
        <v/>
      </c>
      <c r="L5043">
        <f>IF(B5043,INDEX(Dow,1,WEEKDAY(E5043,2)),"")</f>
        <v/>
      </c>
      <c r="M5043">
        <f>IF(B5043,(1+Trend)^D5043,"")</f>
        <v/>
      </c>
      <c r="N5043">
        <f>IF(B5043,EXP(SUMPRODUCT(LN(1+(EvEff-1)*INDEX(Affected,0,C5043)*EXP(-((E5043-EvCenter)^2)/(2*EvSigma^2))))),"")</f>
        <v/>
      </c>
      <c r="O5043">
        <f>IF(B5043,ROUND(MAX(0,J5043*K5043*L5043*M5043*N5043),2),"")</f>
        <v/>
      </c>
    </row>
    <row r="5044">
      <c r="A5044" t="n">
        <v>5043</v>
      </c>
      <c r="B5044">
        <f>A5044&lt;=MineCount*Days</f>
        <v/>
      </c>
      <c r="C5044">
        <f>IF(B5044,INT((A5044-1)/Days)+1,"")</f>
        <v/>
      </c>
      <c r="D5044">
        <f>IF(B5044,MOD(A5044-1,Days),"")</f>
        <v/>
      </c>
      <c r="E5044" s="16">
        <f>IF(B5044,StartDate+D5044,"")</f>
        <v/>
      </c>
      <c r="F5044">
        <f>IF(B5044,MAX(MOD(SIN(Seed*0.1373+C5044*12.9898+D5044*78.233)*43758.5453,1),1E-9),"")</f>
        <v/>
      </c>
      <c r="G5044">
        <f>IF(B5044,MOD(SIN(Seed*0.5917+C5044*39.3468+D5044*11.135)*24634.6345,1),"")</f>
        <v/>
      </c>
      <c r="H5044">
        <f>IF(B5044,SQRT(-2*LN(F5044))*COS(2*PI()*G5044),"")</f>
        <v/>
      </c>
      <c r="I5044">
        <f>IF(B5044,IF(D5044=0,H5044,Rho*I5043+SQRT(1-Rho^2)*H5044),"")</f>
        <v/>
      </c>
      <c r="J5044">
        <f>IF(B5044,IF(Dist="Normal",DistA+DistB*I5044,DistA+(DistB-DistA)*NORMSDIST(I5044)),"")</f>
        <v/>
      </c>
      <c r="K5044">
        <f>IF(B5044,INDEX(MineScale,C5044),"")</f>
        <v/>
      </c>
      <c r="L5044">
        <f>IF(B5044,INDEX(Dow,1,WEEKDAY(E5044,2)),"")</f>
        <v/>
      </c>
      <c r="M5044">
        <f>IF(B5044,(1+Trend)^D5044,"")</f>
        <v/>
      </c>
      <c r="N5044">
        <f>IF(B5044,EXP(SUMPRODUCT(LN(1+(EvEff-1)*INDEX(Affected,0,C5044)*EXP(-((E5044-EvCenter)^2)/(2*EvSigma^2))))),"")</f>
        <v/>
      </c>
      <c r="O5044">
        <f>IF(B5044,ROUND(MAX(0,J5044*K5044*L5044*M5044*N5044),2),"")</f>
        <v/>
      </c>
    </row>
    <row r="5045">
      <c r="A5045" t="n">
        <v>5044</v>
      </c>
      <c r="B5045">
        <f>A5045&lt;=MineCount*Days</f>
        <v/>
      </c>
      <c r="C5045">
        <f>IF(B5045,INT((A5045-1)/Days)+1,"")</f>
        <v/>
      </c>
      <c r="D5045">
        <f>IF(B5045,MOD(A5045-1,Days),"")</f>
        <v/>
      </c>
      <c r="E5045" s="16">
        <f>IF(B5045,StartDate+D5045,"")</f>
        <v/>
      </c>
      <c r="F5045">
        <f>IF(B5045,MAX(MOD(SIN(Seed*0.1373+C5045*12.9898+D5045*78.233)*43758.5453,1),1E-9),"")</f>
        <v/>
      </c>
      <c r="G5045">
        <f>IF(B5045,MOD(SIN(Seed*0.5917+C5045*39.3468+D5045*11.135)*24634.6345,1),"")</f>
        <v/>
      </c>
      <c r="H5045">
        <f>IF(B5045,SQRT(-2*LN(F5045))*COS(2*PI()*G5045),"")</f>
        <v/>
      </c>
      <c r="I5045">
        <f>IF(B5045,IF(D5045=0,H5045,Rho*I5044+SQRT(1-Rho^2)*H5045),"")</f>
        <v/>
      </c>
      <c r="J5045">
        <f>IF(B5045,IF(Dist="Normal",DistA+DistB*I5045,DistA+(DistB-DistA)*NORMSDIST(I5045)),"")</f>
        <v/>
      </c>
      <c r="K5045">
        <f>IF(B5045,INDEX(MineScale,C5045),"")</f>
        <v/>
      </c>
      <c r="L5045">
        <f>IF(B5045,INDEX(Dow,1,WEEKDAY(E5045,2)),"")</f>
        <v/>
      </c>
      <c r="M5045">
        <f>IF(B5045,(1+Trend)^D5045,"")</f>
        <v/>
      </c>
      <c r="N5045">
        <f>IF(B5045,EXP(SUMPRODUCT(LN(1+(EvEff-1)*INDEX(Affected,0,C5045)*EXP(-((E5045-EvCenter)^2)/(2*EvSigma^2))))),"")</f>
        <v/>
      </c>
      <c r="O5045">
        <f>IF(B5045,ROUND(MAX(0,J5045*K5045*L5045*M5045*N5045),2),"")</f>
        <v/>
      </c>
    </row>
    <row r="5046">
      <c r="A5046" t="n">
        <v>5045</v>
      </c>
      <c r="B5046">
        <f>A5046&lt;=MineCount*Days</f>
        <v/>
      </c>
      <c r="C5046">
        <f>IF(B5046,INT((A5046-1)/Days)+1,"")</f>
        <v/>
      </c>
      <c r="D5046">
        <f>IF(B5046,MOD(A5046-1,Days),"")</f>
        <v/>
      </c>
      <c r="E5046" s="16">
        <f>IF(B5046,StartDate+D5046,"")</f>
        <v/>
      </c>
      <c r="F5046">
        <f>IF(B5046,MAX(MOD(SIN(Seed*0.1373+C5046*12.9898+D5046*78.233)*43758.5453,1),1E-9),"")</f>
        <v/>
      </c>
      <c r="G5046">
        <f>IF(B5046,MOD(SIN(Seed*0.5917+C5046*39.3468+D5046*11.135)*24634.6345,1),"")</f>
        <v/>
      </c>
      <c r="H5046">
        <f>IF(B5046,SQRT(-2*LN(F5046))*COS(2*PI()*G5046),"")</f>
        <v/>
      </c>
      <c r="I5046">
        <f>IF(B5046,IF(D5046=0,H5046,Rho*I5045+SQRT(1-Rho^2)*H5046),"")</f>
        <v/>
      </c>
      <c r="J5046">
        <f>IF(B5046,IF(Dist="Normal",DistA+DistB*I5046,DistA+(DistB-DistA)*NORMSDIST(I5046)),"")</f>
        <v/>
      </c>
      <c r="K5046">
        <f>IF(B5046,INDEX(MineScale,C5046),"")</f>
        <v/>
      </c>
      <c r="L5046">
        <f>IF(B5046,INDEX(Dow,1,WEEKDAY(E5046,2)),"")</f>
        <v/>
      </c>
      <c r="M5046">
        <f>IF(B5046,(1+Trend)^D5046,"")</f>
        <v/>
      </c>
      <c r="N5046">
        <f>IF(B5046,EXP(SUMPRODUCT(LN(1+(EvEff-1)*INDEX(Affected,0,C5046)*EXP(-((E5046-EvCenter)^2)/(2*EvSigma^2))))),"")</f>
        <v/>
      </c>
      <c r="O5046">
        <f>IF(B5046,ROUND(MAX(0,J5046*K5046*L5046*M5046*N5046),2),"")</f>
        <v/>
      </c>
    </row>
    <row r="5047">
      <c r="A5047" t="n">
        <v>5046</v>
      </c>
      <c r="B5047">
        <f>A5047&lt;=MineCount*Days</f>
        <v/>
      </c>
      <c r="C5047">
        <f>IF(B5047,INT((A5047-1)/Days)+1,"")</f>
        <v/>
      </c>
      <c r="D5047">
        <f>IF(B5047,MOD(A5047-1,Days),"")</f>
        <v/>
      </c>
      <c r="E5047" s="16">
        <f>IF(B5047,StartDate+D5047,"")</f>
        <v/>
      </c>
      <c r="F5047">
        <f>IF(B5047,MAX(MOD(SIN(Seed*0.1373+C5047*12.9898+D5047*78.233)*43758.5453,1),1E-9),"")</f>
        <v/>
      </c>
      <c r="G5047">
        <f>IF(B5047,MOD(SIN(Seed*0.5917+C5047*39.3468+D5047*11.135)*24634.6345,1),"")</f>
        <v/>
      </c>
      <c r="H5047">
        <f>IF(B5047,SQRT(-2*LN(F5047))*COS(2*PI()*G5047),"")</f>
        <v/>
      </c>
      <c r="I5047">
        <f>IF(B5047,IF(D5047=0,H5047,Rho*I5046+SQRT(1-Rho^2)*H5047),"")</f>
        <v/>
      </c>
      <c r="J5047">
        <f>IF(B5047,IF(Dist="Normal",DistA+DistB*I5047,DistA+(DistB-DistA)*NORMSDIST(I5047)),"")</f>
        <v/>
      </c>
      <c r="K5047">
        <f>IF(B5047,INDEX(MineScale,C5047),"")</f>
        <v/>
      </c>
      <c r="L5047">
        <f>IF(B5047,INDEX(Dow,1,WEEKDAY(E5047,2)),"")</f>
        <v/>
      </c>
      <c r="M5047">
        <f>IF(B5047,(1+Trend)^D5047,"")</f>
        <v/>
      </c>
      <c r="N5047">
        <f>IF(B5047,EXP(SUMPRODUCT(LN(1+(EvEff-1)*INDEX(Affected,0,C5047)*EXP(-((E5047-EvCenter)^2)/(2*EvSigma^2))))),"")</f>
        <v/>
      </c>
      <c r="O5047">
        <f>IF(B5047,ROUND(MAX(0,J5047*K5047*L5047*M5047*N5047),2),"")</f>
        <v/>
      </c>
    </row>
    <row r="5048">
      <c r="A5048" t="n">
        <v>5047</v>
      </c>
      <c r="B5048">
        <f>A5048&lt;=MineCount*Days</f>
        <v/>
      </c>
      <c r="C5048">
        <f>IF(B5048,INT((A5048-1)/Days)+1,"")</f>
        <v/>
      </c>
      <c r="D5048">
        <f>IF(B5048,MOD(A5048-1,Days),"")</f>
        <v/>
      </c>
      <c r="E5048" s="16">
        <f>IF(B5048,StartDate+D5048,"")</f>
        <v/>
      </c>
      <c r="F5048">
        <f>IF(B5048,MAX(MOD(SIN(Seed*0.1373+C5048*12.9898+D5048*78.233)*43758.5453,1),1E-9),"")</f>
        <v/>
      </c>
      <c r="G5048">
        <f>IF(B5048,MOD(SIN(Seed*0.5917+C5048*39.3468+D5048*11.135)*24634.6345,1),"")</f>
        <v/>
      </c>
      <c r="H5048">
        <f>IF(B5048,SQRT(-2*LN(F5048))*COS(2*PI()*G5048),"")</f>
        <v/>
      </c>
      <c r="I5048">
        <f>IF(B5048,IF(D5048=0,H5048,Rho*I5047+SQRT(1-Rho^2)*H5048),"")</f>
        <v/>
      </c>
      <c r="J5048">
        <f>IF(B5048,IF(Dist="Normal",DistA+DistB*I5048,DistA+(DistB-DistA)*NORMSDIST(I5048)),"")</f>
        <v/>
      </c>
      <c r="K5048">
        <f>IF(B5048,INDEX(MineScale,C5048),"")</f>
        <v/>
      </c>
      <c r="L5048">
        <f>IF(B5048,INDEX(Dow,1,WEEKDAY(E5048,2)),"")</f>
        <v/>
      </c>
      <c r="M5048">
        <f>IF(B5048,(1+Trend)^D5048,"")</f>
        <v/>
      </c>
      <c r="N5048">
        <f>IF(B5048,EXP(SUMPRODUCT(LN(1+(EvEff-1)*INDEX(Affected,0,C5048)*EXP(-((E5048-EvCenter)^2)/(2*EvSigma^2))))),"")</f>
        <v/>
      </c>
      <c r="O5048">
        <f>IF(B5048,ROUND(MAX(0,J5048*K5048*L5048*M5048*N5048),2),"")</f>
        <v/>
      </c>
    </row>
    <row r="5049">
      <c r="A5049" t="n">
        <v>5048</v>
      </c>
      <c r="B5049">
        <f>A5049&lt;=MineCount*Days</f>
        <v/>
      </c>
      <c r="C5049">
        <f>IF(B5049,INT((A5049-1)/Days)+1,"")</f>
        <v/>
      </c>
      <c r="D5049">
        <f>IF(B5049,MOD(A5049-1,Days),"")</f>
        <v/>
      </c>
      <c r="E5049" s="16">
        <f>IF(B5049,StartDate+D5049,"")</f>
        <v/>
      </c>
      <c r="F5049">
        <f>IF(B5049,MAX(MOD(SIN(Seed*0.1373+C5049*12.9898+D5049*78.233)*43758.5453,1),1E-9),"")</f>
        <v/>
      </c>
      <c r="G5049">
        <f>IF(B5049,MOD(SIN(Seed*0.5917+C5049*39.3468+D5049*11.135)*24634.6345,1),"")</f>
        <v/>
      </c>
      <c r="H5049">
        <f>IF(B5049,SQRT(-2*LN(F5049))*COS(2*PI()*G5049),"")</f>
        <v/>
      </c>
      <c r="I5049">
        <f>IF(B5049,IF(D5049=0,H5049,Rho*I5048+SQRT(1-Rho^2)*H5049),"")</f>
        <v/>
      </c>
      <c r="J5049">
        <f>IF(B5049,IF(Dist="Normal",DistA+DistB*I5049,DistA+(DistB-DistA)*NORMSDIST(I5049)),"")</f>
        <v/>
      </c>
      <c r="K5049">
        <f>IF(B5049,INDEX(MineScale,C5049),"")</f>
        <v/>
      </c>
      <c r="L5049">
        <f>IF(B5049,INDEX(Dow,1,WEEKDAY(E5049,2)),"")</f>
        <v/>
      </c>
      <c r="M5049">
        <f>IF(B5049,(1+Trend)^D5049,"")</f>
        <v/>
      </c>
      <c r="N5049">
        <f>IF(B5049,EXP(SUMPRODUCT(LN(1+(EvEff-1)*INDEX(Affected,0,C5049)*EXP(-((E5049-EvCenter)^2)/(2*EvSigma^2))))),"")</f>
        <v/>
      </c>
      <c r="O5049">
        <f>IF(B5049,ROUND(MAX(0,J5049*K5049*L5049*M5049*N5049),2),"")</f>
        <v/>
      </c>
    </row>
    <row r="5050">
      <c r="A5050" t="n">
        <v>5049</v>
      </c>
      <c r="B5050">
        <f>A5050&lt;=MineCount*Days</f>
        <v/>
      </c>
      <c r="C5050">
        <f>IF(B5050,INT((A5050-1)/Days)+1,"")</f>
        <v/>
      </c>
      <c r="D5050">
        <f>IF(B5050,MOD(A5050-1,Days),"")</f>
        <v/>
      </c>
      <c r="E5050" s="16">
        <f>IF(B5050,StartDate+D5050,"")</f>
        <v/>
      </c>
      <c r="F5050">
        <f>IF(B5050,MAX(MOD(SIN(Seed*0.1373+C5050*12.9898+D5050*78.233)*43758.5453,1),1E-9),"")</f>
        <v/>
      </c>
      <c r="G5050">
        <f>IF(B5050,MOD(SIN(Seed*0.5917+C5050*39.3468+D5050*11.135)*24634.6345,1),"")</f>
        <v/>
      </c>
      <c r="H5050">
        <f>IF(B5050,SQRT(-2*LN(F5050))*COS(2*PI()*G5050),"")</f>
        <v/>
      </c>
      <c r="I5050">
        <f>IF(B5050,IF(D5050=0,H5050,Rho*I5049+SQRT(1-Rho^2)*H5050),"")</f>
        <v/>
      </c>
      <c r="J5050">
        <f>IF(B5050,IF(Dist="Normal",DistA+DistB*I5050,DistA+(DistB-DistA)*NORMSDIST(I5050)),"")</f>
        <v/>
      </c>
      <c r="K5050">
        <f>IF(B5050,INDEX(MineScale,C5050),"")</f>
        <v/>
      </c>
      <c r="L5050">
        <f>IF(B5050,INDEX(Dow,1,WEEKDAY(E5050,2)),"")</f>
        <v/>
      </c>
      <c r="M5050">
        <f>IF(B5050,(1+Trend)^D5050,"")</f>
        <v/>
      </c>
      <c r="N5050">
        <f>IF(B5050,EXP(SUMPRODUCT(LN(1+(EvEff-1)*INDEX(Affected,0,C5050)*EXP(-((E5050-EvCenter)^2)/(2*EvSigma^2))))),"")</f>
        <v/>
      </c>
      <c r="O5050">
        <f>IF(B5050,ROUND(MAX(0,J5050*K5050*L5050*M5050*N5050),2),"")</f>
        <v/>
      </c>
    </row>
    <row r="5051">
      <c r="A5051" t="n">
        <v>5050</v>
      </c>
      <c r="B5051">
        <f>A5051&lt;=MineCount*Days</f>
        <v/>
      </c>
      <c r="C5051">
        <f>IF(B5051,INT((A5051-1)/Days)+1,"")</f>
        <v/>
      </c>
      <c r="D5051">
        <f>IF(B5051,MOD(A5051-1,Days),"")</f>
        <v/>
      </c>
      <c r="E5051" s="16">
        <f>IF(B5051,StartDate+D5051,"")</f>
        <v/>
      </c>
      <c r="F5051">
        <f>IF(B5051,MAX(MOD(SIN(Seed*0.1373+C5051*12.9898+D5051*78.233)*43758.5453,1),1E-9),"")</f>
        <v/>
      </c>
      <c r="G5051">
        <f>IF(B5051,MOD(SIN(Seed*0.5917+C5051*39.3468+D5051*11.135)*24634.6345,1),"")</f>
        <v/>
      </c>
      <c r="H5051">
        <f>IF(B5051,SQRT(-2*LN(F5051))*COS(2*PI()*G5051),"")</f>
        <v/>
      </c>
      <c r="I5051">
        <f>IF(B5051,IF(D5051=0,H5051,Rho*I5050+SQRT(1-Rho^2)*H5051),"")</f>
        <v/>
      </c>
      <c r="J5051">
        <f>IF(B5051,IF(Dist="Normal",DistA+DistB*I5051,DistA+(DistB-DistA)*NORMSDIST(I5051)),"")</f>
        <v/>
      </c>
      <c r="K5051">
        <f>IF(B5051,INDEX(MineScale,C5051),"")</f>
        <v/>
      </c>
      <c r="L5051">
        <f>IF(B5051,INDEX(Dow,1,WEEKDAY(E5051,2)),"")</f>
        <v/>
      </c>
      <c r="M5051">
        <f>IF(B5051,(1+Trend)^D5051,"")</f>
        <v/>
      </c>
      <c r="N5051">
        <f>IF(B5051,EXP(SUMPRODUCT(LN(1+(EvEff-1)*INDEX(Affected,0,C5051)*EXP(-((E5051-EvCenter)^2)/(2*EvSigma^2))))),"")</f>
        <v/>
      </c>
      <c r="O5051">
        <f>IF(B5051,ROUND(MAX(0,J5051*K5051*L5051*M5051*N5051),2),"")</f>
        <v/>
      </c>
    </row>
    <row r="5052">
      <c r="A5052" t="n">
        <v>5051</v>
      </c>
      <c r="B5052">
        <f>A5052&lt;=MineCount*Days</f>
        <v/>
      </c>
      <c r="C5052">
        <f>IF(B5052,INT((A5052-1)/Days)+1,"")</f>
        <v/>
      </c>
      <c r="D5052">
        <f>IF(B5052,MOD(A5052-1,Days),"")</f>
        <v/>
      </c>
      <c r="E5052" s="16">
        <f>IF(B5052,StartDate+D5052,"")</f>
        <v/>
      </c>
      <c r="F5052">
        <f>IF(B5052,MAX(MOD(SIN(Seed*0.1373+C5052*12.9898+D5052*78.233)*43758.5453,1),1E-9),"")</f>
        <v/>
      </c>
      <c r="G5052">
        <f>IF(B5052,MOD(SIN(Seed*0.5917+C5052*39.3468+D5052*11.135)*24634.6345,1),"")</f>
        <v/>
      </c>
      <c r="H5052">
        <f>IF(B5052,SQRT(-2*LN(F5052))*COS(2*PI()*G5052),"")</f>
        <v/>
      </c>
      <c r="I5052">
        <f>IF(B5052,IF(D5052=0,H5052,Rho*I5051+SQRT(1-Rho^2)*H5052),"")</f>
        <v/>
      </c>
      <c r="J5052">
        <f>IF(B5052,IF(Dist="Normal",DistA+DistB*I5052,DistA+(DistB-DistA)*NORMSDIST(I5052)),"")</f>
        <v/>
      </c>
      <c r="K5052">
        <f>IF(B5052,INDEX(MineScale,C5052),"")</f>
        <v/>
      </c>
      <c r="L5052">
        <f>IF(B5052,INDEX(Dow,1,WEEKDAY(E5052,2)),"")</f>
        <v/>
      </c>
      <c r="M5052">
        <f>IF(B5052,(1+Trend)^D5052,"")</f>
        <v/>
      </c>
      <c r="N5052">
        <f>IF(B5052,EXP(SUMPRODUCT(LN(1+(EvEff-1)*INDEX(Affected,0,C5052)*EXP(-((E5052-EvCenter)^2)/(2*EvSigma^2))))),"")</f>
        <v/>
      </c>
      <c r="O5052">
        <f>IF(B5052,ROUND(MAX(0,J5052*K5052*L5052*M5052*N5052),2),"")</f>
        <v/>
      </c>
    </row>
    <row r="5053">
      <c r="A5053" t="n">
        <v>5052</v>
      </c>
      <c r="B5053">
        <f>A5053&lt;=MineCount*Days</f>
        <v/>
      </c>
      <c r="C5053">
        <f>IF(B5053,INT((A5053-1)/Days)+1,"")</f>
        <v/>
      </c>
      <c r="D5053">
        <f>IF(B5053,MOD(A5053-1,Days),"")</f>
        <v/>
      </c>
      <c r="E5053" s="16">
        <f>IF(B5053,StartDate+D5053,"")</f>
        <v/>
      </c>
      <c r="F5053">
        <f>IF(B5053,MAX(MOD(SIN(Seed*0.1373+C5053*12.9898+D5053*78.233)*43758.5453,1),1E-9),"")</f>
        <v/>
      </c>
      <c r="G5053">
        <f>IF(B5053,MOD(SIN(Seed*0.5917+C5053*39.3468+D5053*11.135)*24634.6345,1),"")</f>
        <v/>
      </c>
      <c r="H5053">
        <f>IF(B5053,SQRT(-2*LN(F5053))*COS(2*PI()*G5053),"")</f>
        <v/>
      </c>
      <c r="I5053">
        <f>IF(B5053,IF(D5053=0,H5053,Rho*I5052+SQRT(1-Rho^2)*H5053),"")</f>
        <v/>
      </c>
      <c r="J5053">
        <f>IF(B5053,IF(Dist="Normal",DistA+DistB*I5053,DistA+(DistB-DistA)*NORMSDIST(I5053)),"")</f>
        <v/>
      </c>
      <c r="K5053">
        <f>IF(B5053,INDEX(MineScale,C5053),"")</f>
        <v/>
      </c>
      <c r="L5053">
        <f>IF(B5053,INDEX(Dow,1,WEEKDAY(E5053,2)),"")</f>
        <v/>
      </c>
      <c r="M5053">
        <f>IF(B5053,(1+Trend)^D5053,"")</f>
        <v/>
      </c>
      <c r="N5053">
        <f>IF(B5053,EXP(SUMPRODUCT(LN(1+(EvEff-1)*INDEX(Affected,0,C5053)*EXP(-((E5053-EvCenter)^2)/(2*EvSigma^2))))),"")</f>
        <v/>
      </c>
      <c r="O5053">
        <f>IF(B5053,ROUND(MAX(0,J5053*K5053*L5053*M5053*N5053),2),"")</f>
        <v/>
      </c>
    </row>
    <row r="5054">
      <c r="A5054" t="n">
        <v>5053</v>
      </c>
      <c r="B5054">
        <f>A5054&lt;=MineCount*Days</f>
        <v/>
      </c>
      <c r="C5054">
        <f>IF(B5054,INT((A5054-1)/Days)+1,"")</f>
        <v/>
      </c>
      <c r="D5054">
        <f>IF(B5054,MOD(A5054-1,Days),"")</f>
        <v/>
      </c>
      <c r="E5054" s="16">
        <f>IF(B5054,StartDate+D5054,"")</f>
        <v/>
      </c>
      <c r="F5054">
        <f>IF(B5054,MAX(MOD(SIN(Seed*0.1373+C5054*12.9898+D5054*78.233)*43758.5453,1),1E-9),"")</f>
        <v/>
      </c>
      <c r="G5054">
        <f>IF(B5054,MOD(SIN(Seed*0.5917+C5054*39.3468+D5054*11.135)*24634.6345,1),"")</f>
        <v/>
      </c>
      <c r="H5054">
        <f>IF(B5054,SQRT(-2*LN(F5054))*COS(2*PI()*G5054),"")</f>
        <v/>
      </c>
      <c r="I5054">
        <f>IF(B5054,IF(D5054=0,H5054,Rho*I5053+SQRT(1-Rho^2)*H5054),"")</f>
        <v/>
      </c>
      <c r="J5054">
        <f>IF(B5054,IF(Dist="Normal",DistA+DistB*I5054,DistA+(DistB-DistA)*NORMSDIST(I5054)),"")</f>
        <v/>
      </c>
      <c r="K5054">
        <f>IF(B5054,INDEX(MineScale,C5054),"")</f>
        <v/>
      </c>
      <c r="L5054">
        <f>IF(B5054,INDEX(Dow,1,WEEKDAY(E5054,2)),"")</f>
        <v/>
      </c>
      <c r="M5054">
        <f>IF(B5054,(1+Trend)^D5054,"")</f>
        <v/>
      </c>
      <c r="N5054">
        <f>IF(B5054,EXP(SUMPRODUCT(LN(1+(EvEff-1)*INDEX(Affected,0,C5054)*EXP(-((E5054-EvCenter)^2)/(2*EvSigma^2))))),"")</f>
        <v/>
      </c>
      <c r="O5054">
        <f>IF(B5054,ROUND(MAX(0,J5054*K5054*L5054*M5054*N5054),2),"")</f>
        <v/>
      </c>
    </row>
    <row r="5055">
      <c r="A5055" t="n">
        <v>5054</v>
      </c>
      <c r="B5055">
        <f>A5055&lt;=MineCount*Days</f>
        <v/>
      </c>
      <c r="C5055">
        <f>IF(B5055,INT((A5055-1)/Days)+1,"")</f>
        <v/>
      </c>
      <c r="D5055">
        <f>IF(B5055,MOD(A5055-1,Days),"")</f>
        <v/>
      </c>
      <c r="E5055" s="16">
        <f>IF(B5055,StartDate+D5055,"")</f>
        <v/>
      </c>
      <c r="F5055">
        <f>IF(B5055,MAX(MOD(SIN(Seed*0.1373+C5055*12.9898+D5055*78.233)*43758.5453,1),1E-9),"")</f>
        <v/>
      </c>
      <c r="G5055">
        <f>IF(B5055,MOD(SIN(Seed*0.5917+C5055*39.3468+D5055*11.135)*24634.6345,1),"")</f>
        <v/>
      </c>
      <c r="H5055">
        <f>IF(B5055,SQRT(-2*LN(F5055))*COS(2*PI()*G5055),"")</f>
        <v/>
      </c>
      <c r="I5055">
        <f>IF(B5055,IF(D5055=0,H5055,Rho*I5054+SQRT(1-Rho^2)*H5055),"")</f>
        <v/>
      </c>
      <c r="J5055">
        <f>IF(B5055,IF(Dist="Normal",DistA+DistB*I5055,DistA+(DistB-DistA)*NORMSDIST(I5055)),"")</f>
        <v/>
      </c>
      <c r="K5055">
        <f>IF(B5055,INDEX(MineScale,C5055),"")</f>
        <v/>
      </c>
      <c r="L5055">
        <f>IF(B5055,INDEX(Dow,1,WEEKDAY(E5055,2)),"")</f>
        <v/>
      </c>
      <c r="M5055">
        <f>IF(B5055,(1+Trend)^D5055,"")</f>
        <v/>
      </c>
      <c r="N5055">
        <f>IF(B5055,EXP(SUMPRODUCT(LN(1+(EvEff-1)*INDEX(Affected,0,C5055)*EXP(-((E5055-EvCenter)^2)/(2*EvSigma^2))))),"")</f>
        <v/>
      </c>
      <c r="O5055">
        <f>IF(B5055,ROUND(MAX(0,J5055*K5055*L5055*M5055*N5055),2),"")</f>
        <v/>
      </c>
    </row>
    <row r="5056">
      <c r="A5056" t="n">
        <v>5055</v>
      </c>
      <c r="B5056">
        <f>A5056&lt;=MineCount*Days</f>
        <v/>
      </c>
      <c r="C5056">
        <f>IF(B5056,INT((A5056-1)/Days)+1,"")</f>
        <v/>
      </c>
      <c r="D5056">
        <f>IF(B5056,MOD(A5056-1,Days),"")</f>
        <v/>
      </c>
      <c r="E5056" s="16">
        <f>IF(B5056,StartDate+D5056,"")</f>
        <v/>
      </c>
      <c r="F5056">
        <f>IF(B5056,MAX(MOD(SIN(Seed*0.1373+C5056*12.9898+D5056*78.233)*43758.5453,1),1E-9),"")</f>
        <v/>
      </c>
      <c r="G5056">
        <f>IF(B5056,MOD(SIN(Seed*0.5917+C5056*39.3468+D5056*11.135)*24634.6345,1),"")</f>
        <v/>
      </c>
      <c r="H5056">
        <f>IF(B5056,SQRT(-2*LN(F5056))*COS(2*PI()*G5056),"")</f>
        <v/>
      </c>
      <c r="I5056">
        <f>IF(B5056,IF(D5056=0,H5056,Rho*I5055+SQRT(1-Rho^2)*H5056),"")</f>
        <v/>
      </c>
      <c r="J5056">
        <f>IF(B5056,IF(Dist="Normal",DistA+DistB*I5056,DistA+(DistB-DistA)*NORMSDIST(I5056)),"")</f>
        <v/>
      </c>
      <c r="K5056">
        <f>IF(B5056,INDEX(MineScale,C5056),"")</f>
        <v/>
      </c>
      <c r="L5056">
        <f>IF(B5056,INDEX(Dow,1,WEEKDAY(E5056,2)),"")</f>
        <v/>
      </c>
      <c r="M5056">
        <f>IF(B5056,(1+Trend)^D5056,"")</f>
        <v/>
      </c>
      <c r="N5056">
        <f>IF(B5056,EXP(SUMPRODUCT(LN(1+(EvEff-1)*INDEX(Affected,0,C5056)*EXP(-((E5056-EvCenter)^2)/(2*EvSigma^2))))),"")</f>
        <v/>
      </c>
      <c r="O5056">
        <f>IF(B5056,ROUND(MAX(0,J5056*K5056*L5056*M5056*N5056),2),"")</f>
        <v/>
      </c>
    </row>
    <row r="5057">
      <c r="A5057" t="n">
        <v>5056</v>
      </c>
      <c r="B5057">
        <f>A5057&lt;=MineCount*Days</f>
        <v/>
      </c>
      <c r="C5057">
        <f>IF(B5057,INT((A5057-1)/Days)+1,"")</f>
        <v/>
      </c>
      <c r="D5057">
        <f>IF(B5057,MOD(A5057-1,Days),"")</f>
        <v/>
      </c>
      <c r="E5057" s="16">
        <f>IF(B5057,StartDate+D5057,"")</f>
        <v/>
      </c>
      <c r="F5057">
        <f>IF(B5057,MAX(MOD(SIN(Seed*0.1373+C5057*12.9898+D5057*78.233)*43758.5453,1),1E-9),"")</f>
        <v/>
      </c>
      <c r="G5057">
        <f>IF(B5057,MOD(SIN(Seed*0.5917+C5057*39.3468+D5057*11.135)*24634.6345,1),"")</f>
        <v/>
      </c>
      <c r="H5057">
        <f>IF(B5057,SQRT(-2*LN(F5057))*COS(2*PI()*G5057),"")</f>
        <v/>
      </c>
      <c r="I5057">
        <f>IF(B5057,IF(D5057=0,H5057,Rho*I5056+SQRT(1-Rho^2)*H5057),"")</f>
        <v/>
      </c>
      <c r="J5057">
        <f>IF(B5057,IF(Dist="Normal",DistA+DistB*I5057,DistA+(DistB-DistA)*NORMSDIST(I5057)),"")</f>
        <v/>
      </c>
      <c r="K5057">
        <f>IF(B5057,INDEX(MineScale,C5057),"")</f>
        <v/>
      </c>
      <c r="L5057">
        <f>IF(B5057,INDEX(Dow,1,WEEKDAY(E5057,2)),"")</f>
        <v/>
      </c>
      <c r="M5057">
        <f>IF(B5057,(1+Trend)^D5057,"")</f>
        <v/>
      </c>
      <c r="N5057">
        <f>IF(B5057,EXP(SUMPRODUCT(LN(1+(EvEff-1)*INDEX(Affected,0,C5057)*EXP(-((E5057-EvCenter)^2)/(2*EvSigma^2))))),"")</f>
        <v/>
      </c>
      <c r="O5057">
        <f>IF(B5057,ROUND(MAX(0,J5057*K5057*L5057*M5057*N5057),2),"")</f>
        <v/>
      </c>
    </row>
    <row r="5058">
      <c r="A5058" t="n">
        <v>5057</v>
      </c>
      <c r="B5058">
        <f>A5058&lt;=MineCount*Days</f>
        <v/>
      </c>
      <c r="C5058">
        <f>IF(B5058,INT((A5058-1)/Days)+1,"")</f>
        <v/>
      </c>
      <c r="D5058">
        <f>IF(B5058,MOD(A5058-1,Days),"")</f>
        <v/>
      </c>
      <c r="E5058" s="16">
        <f>IF(B5058,StartDate+D5058,"")</f>
        <v/>
      </c>
      <c r="F5058">
        <f>IF(B5058,MAX(MOD(SIN(Seed*0.1373+C5058*12.9898+D5058*78.233)*43758.5453,1),1E-9),"")</f>
        <v/>
      </c>
      <c r="G5058">
        <f>IF(B5058,MOD(SIN(Seed*0.5917+C5058*39.3468+D5058*11.135)*24634.6345,1),"")</f>
        <v/>
      </c>
      <c r="H5058">
        <f>IF(B5058,SQRT(-2*LN(F5058))*COS(2*PI()*G5058),"")</f>
        <v/>
      </c>
      <c r="I5058">
        <f>IF(B5058,IF(D5058=0,H5058,Rho*I5057+SQRT(1-Rho^2)*H5058),"")</f>
        <v/>
      </c>
      <c r="J5058">
        <f>IF(B5058,IF(Dist="Normal",DistA+DistB*I5058,DistA+(DistB-DistA)*NORMSDIST(I5058)),"")</f>
        <v/>
      </c>
      <c r="K5058">
        <f>IF(B5058,INDEX(MineScale,C5058),"")</f>
        <v/>
      </c>
      <c r="L5058">
        <f>IF(B5058,INDEX(Dow,1,WEEKDAY(E5058,2)),"")</f>
        <v/>
      </c>
      <c r="M5058">
        <f>IF(B5058,(1+Trend)^D5058,"")</f>
        <v/>
      </c>
      <c r="N5058">
        <f>IF(B5058,EXP(SUMPRODUCT(LN(1+(EvEff-1)*INDEX(Affected,0,C5058)*EXP(-((E5058-EvCenter)^2)/(2*EvSigma^2))))),"")</f>
        <v/>
      </c>
      <c r="O5058">
        <f>IF(B5058,ROUND(MAX(0,J5058*K5058*L5058*M5058*N5058),2),"")</f>
        <v/>
      </c>
    </row>
    <row r="5059">
      <c r="A5059" t="n">
        <v>5058</v>
      </c>
      <c r="B5059">
        <f>A5059&lt;=MineCount*Days</f>
        <v/>
      </c>
      <c r="C5059">
        <f>IF(B5059,INT((A5059-1)/Days)+1,"")</f>
        <v/>
      </c>
      <c r="D5059">
        <f>IF(B5059,MOD(A5059-1,Days),"")</f>
        <v/>
      </c>
      <c r="E5059" s="16">
        <f>IF(B5059,StartDate+D5059,"")</f>
        <v/>
      </c>
      <c r="F5059">
        <f>IF(B5059,MAX(MOD(SIN(Seed*0.1373+C5059*12.9898+D5059*78.233)*43758.5453,1),1E-9),"")</f>
        <v/>
      </c>
      <c r="G5059">
        <f>IF(B5059,MOD(SIN(Seed*0.5917+C5059*39.3468+D5059*11.135)*24634.6345,1),"")</f>
        <v/>
      </c>
      <c r="H5059">
        <f>IF(B5059,SQRT(-2*LN(F5059))*COS(2*PI()*G5059),"")</f>
        <v/>
      </c>
      <c r="I5059">
        <f>IF(B5059,IF(D5059=0,H5059,Rho*I5058+SQRT(1-Rho^2)*H5059),"")</f>
        <v/>
      </c>
      <c r="J5059">
        <f>IF(B5059,IF(Dist="Normal",DistA+DistB*I5059,DistA+(DistB-DistA)*NORMSDIST(I5059)),"")</f>
        <v/>
      </c>
      <c r="K5059">
        <f>IF(B5059,INDEX(MineScale,C5059),"")</f>
        <v/>
      </c>
      <c r="L5059">
        <f>IF(B5059,INDEX(Dow,1,WEEKDAY(E5059,2)),"")</f>
        <v/>
      </c>
      <c r="M5059">
        <f>IF(B5059,(1+Trend)^D5059,"")</f>
        <v/>
      </c>
      <c r="N5059">
        <f>IF(B5059,EXP(SUMPRODUCT(LN(1+(EvEff-1)*INDEX(Affected,0,C5059)*EXP(-((E5059-EvCenter)^2)/(2*EvSigma^2))))),"")</f>
        <v/>
      </c>
      <c r="O5059">
        <f>IF(B5059,ROUND(MAX(0,J5059*K5059*L5059*M5059*N5059),2),"")</f>
        <v/>
      </c>
    </row>
    <row r="5060">
      <c r="A5060" t="n">
        <v>5059</v>
      </c>
      <c r="B5060">
        <f>A5060&lt;=MineCount*Days</f>
        <v/>
      </c>
      <c r="C5060">
        <f>IF(B5060,INT((A5060-1)/Days)+1,"")</f>
        <v/>
      </c>
      <c r="D5060">
        <f>IF(B5060,MOD(A5060-1,Days),"")</f>
        <v/>
      </c>
      <c r="E5060" s="16">
        <f>IF(B5060,StartDate+D5060,"")</f>
        <v/>
      </c>
      <c r="F5060">
        <f>IF(B5060,MAX(MOD(SIN(Seed*0.1373+C5060*12.9898+D5060*78.233)*43758.5453,1),1E-9),"")</f>
        <v/>
      </c>
      <c r="G5060">
        <f>IF(B5060,MOD(SIN(Seed*0.5917+C5060*39.3468+D5060*11.135)*24634.6345,1),"")</f>
        <v/>
      </c>
      <c r="H5060">
        <f>IF(B5060,SQRT(-2*LN(F5060))*COS(2*PI()*G5060),"")</f>
        <v/>
      </c>
      <c r="I5060">
        <f>IF(B5060,IF(D5060=0,H5060,Rho*I5059+SQRT(1-Rho^2)*H5060),"")</f>
        <v/>
      </c>
      <c r="J5060">
        <f>IF(B5060,IF(Dist="Normal",DistA+DistB*I5060,DistA+(DistB-DistA)*NORMSDIST(I5060)),"")</f>
        <v/>
      </c>
      <c r="K5060">
        <f>IF(B5060,INDEX(MineScale,C5060),"")</f>
        <v/>
      </c>
      <c r="L5060">
        <f>IF(B5060,INDEX(Dow,1,WEEKDAY(E5060,2)),"")</f>
        <v/>
      </c>
      <c r="M5060">
        <f>IF(B5060,(1+Trend)^D5060,"")</f>
        <v/>
      </c>
      <c r="N5060">
        <f>IF(B5060,EXP(SUMPRODUCT(LN(1+(EvEff-1)*INDEX(Affected,0,C5060)*EXP(-((E5060-EvCenter)^2)/(2*EvSigma^2))))),"")</f>
        <v/>
      </c>
      <c r="O5060">
        <f>IF(B5060,ROUND(MAX(0,J5060*K5060*L5060*M5060*N5060),2),"")</f>
        <v/>
      </c>
    </row>
    <row r="5061">
      <c r="A5061" t="n">
        <v>5060</v>
      </c>
      <c r="B5061">
        <f>A5061&lt;=MineCount*Days</f>
        <v/>
      </c>
      <c r="C5061">
        <f>IF(B5061,INT((A5061-1)/Days)+1,"")</f>
        <v/>
      </c>
      <c r="D5061">
        <f>IF(B5061,MOD(A5061-1,Days),"")</f>
        <v/>
      </c>
      <c r="E5061" s="16">
        <f>IF(B5061,StartDate+D5061,"")</f>
        <v/>
      </c>
      <c r="F5061">
        <f>IF(B5061,MAX(MOD(SIN(Seed*0.1373+C5061*12.9898+D5061*78.233)*43758.5453,1),1E-9),"")</f>
        <v/>
      </c>
      <c r="G5061">
        <f>IF(B5061,MOD(SIN(Seed*0.5917+C5061*39.3468+D5061*11.135)*24634.6345,1),"")</f>
        <v/>
      </c>
      <c r="H5061">
        <f>IF(B5061,SQRT(-2*LN(F5061))*COS(2*PI()*G5061),"")</f>
        <v/>
      </c>
      <c r="I5061">
        <f>IF(B5061,IF(D5061=0,H5061,Rho*I5060+SQRT(1-Rho^2)*H5061),"")</f>
        <v/>
      </c>
      <c r="J5061">
        <f>IF(B5061,IF(Dist="Normal",DistA+DistB*I5061,DistA+(DistB-DistA)*NORMSDIST(I5061)),"")</f>
        <v/>
      </c>
      <c r="K5061">
        <f>IF(B5061,INDEX(MineScale,C5061),"")</f>
        <v/>
      </c>
      <c r="L5061">
        <f>IF(B5061,INDEX(Dow,1,WEEKDAY(E5061,2)),"")</f>
        <v/>
      </c>
      <c r="M5061">
        <f>IF(B5061,(1+Trend)^D5061,"")</f>
        <v/>
      </c>
      <c r="N5061">
        <f>IF(B5061,EXP(SUMPRODUCT(LN(1+(EvEff-1)*INDEX(Affected,0,C5061)*EXP(-((E5061-EvCenter)^2)/(2*EvSigma^2))))),"")</f>
        <v/>
      </c>
      <c r="O5061">
        <f>IF(B5061,ROUND(MAX(0,J5061*K5061*L5061*M5061*N5061),2),"")</f>
        <v/>
      </c>
    </row>
    <row r="5062">
      <c r="A5062" t="n">
        <v>5061</v>
      </c>
      <c r="B5062">
        <f>A5062&lt;=MineCount*Days</f>
        <v/>
      </c>
      <c r="C5062">
        <f>IF(B5062,INT((A5062-1)/Days)+1,"")</f>
        <v/>
      </c>
      <c r="D5062">
        <f>IF(B5062,MOD(A5062-1,Days),"")</f>
        <v/>
      </c>
      <c r="E5062" s="16">
        <f>IF(B5062,StartDate+D5062,"")</f>
        <v/>
      </c>
      <c r="F5062">
        <f>IF(B5062,MAX(MOD(SIN(Seed*0.1373+C5062*12.9898+D5062*78.233)*43758.5453,1),1E-9),"")</f>
        <v/>
      </c>
      <c r="G5062">
        <f>IF(B5062,MOD(SIN(Seed*0.5917+C5062*39.3468+D5062*11.135)*24634.6345,1),"")</f>
        <v/>
      </c>
      <c r="H5062">
        <f>IF(B5062,SQRT(-2*LN(F5062))*COS(2*PI()*G5062),"")</f>
        <v/>
      </c>
      <c r="I5062">
        <f>IF(B5062,IF(D5062=0,H5062,Rho*I5061+SQRT(1-Rho^2)*H5062),"")</f>
        <v/>
      </c>
      <c r="J5062">
        <f>IF(B5062,IF(Dist="Normal",DistA+DistB*I5062,DistA+(DistB-DistA)*NORMSDIST(I5062)),"")</f>
        <v/>
      </c>
      <c r="K5062">
        <f>IF(B5062,INDEX(MineScale,C5062),"")</f>
        <v/>
      </c>
      <c r="L5062">
        <f>IF(B5062,INDEX(Dow,1,WEEKDAY(E5062,2)),"")</f>
        <v/>
      </c>
      <c r="M5062">
        <f>IF(B5062,(1+Trend)^D5062,"")</f>
        <v/>
      </c>
      <c r="N5062">
        <f>IF(B5062,EXP(SUMPRODUCT(LN(1+(EvEff-1)*INDEX(Affected,0,C5062)*EXP(-((E5062-EvCenter)^2)/(2*EvSigma^2))))),"")</f>
        <v/>
      </c>
      <c r="O5062">
        <f>IF(B5062,ROUND(MAX(0,J5062*K5062*L5062*M5062*N5062),2),"")</f>
        <v/>
      </c>
    </row>
    <row r="5063">
      <c r="A5063" t="n">
        <v>5062</v>
      </c>
      <c r="B5063">
        <f>A5063&lt;=MineCount*Days</f>
        <v/>
      </c>
      <c r="C5063">
        <f>IF(B5063,INT((A5063-1)/Days)+1,"")</f>
        <v/>
      </c>
      <c r="D5063">
        <f>IF(B5063,MOD(A5063-1,Days),"")</f>
        <v/>
      </c>
      <c r="E5063" s="16">
        <f>IF(B5063,StartDate+D5063,"")</f>
        <v/>
      </c>
      <c r="F5063">
        <f>IF(B5063,MAX(MOD(SIN(Seed*0.1373+C5063*12.9898+D5063*78.233)*43758.5453,1),1E-9),"")</f>
        <v/>
      </c>
      <c r="G5063">
        <f>IF(B5063,MOD(SIN(Seed*0.5917+C5063*39.3468+D5063*11.135)*24634.6345,1),"")</f>
        <v/>
      </c>
      <c r="H5063">
        <f>IF(B5063,SQRT(-2*LN(F5063))*COS(2*PI()*G5063),"")</f>
        <v/>
      </c>
      <c r="I5063">
        <f>IF(B5063,IF(D5063=0,H5063,Rho*I5062+SQRT(1-Rho^2)*H5063),"")</f>
        <v/>
      </c>
      <c r="J5063">
        <f>IF(B5063,IF(Dist="Normal",DistA+DistB*I5063,DistA+(DistB-DistA)*NORMSDIST(I5063)),"")</f>
        <v/>
      </c>
      <c r="K5063">
        <f>IF(B5063,INDEX(MineScale,C5063),"")</f>
        <v/>
      </c>
      <c r="L5063">
        <f>IF(B5063,INDEX(Dow,1,WEEKDAY(E5063,2)),"")</f>
        <v/>
      </c>
      <c r="M5063">
        <f>IF(B5063,(1+Trend)^D5063,"")</f>
        <v/>
      </c>
      <c r="N5063">
        <f>IF(B5063,EXP(SUMPRODUCT(LN(1+(EvEff-1)*INDEX(Affected,0,C5063)*EXP(-((E5063-EvCenter)^2)/(2*EvSigma^2))))),"")</f>
        <v/>
      </c>
      <c r="O5063">
        <f>IF(B5063,ROUND(MAX(0,J5063*K5063*L5063*M5063*N5063),2),"")</f>
        <v/>
      </c>
    </row>
    <row r="5064">
      <c r="A5064" t="n">
        <v>5063</v>
      </c>
      <c r="B5064">
        <f>A5064&lt;=MineCount*Days</f>
        <v/>
      </c>
      <c r="C5064">
        <f>IF(B5064,INT((A5064-1)/Days)+1,"")</f>
        <v/>
      </c>
      <c r="D5064">
        <f>IF(B5064,MOD(A5064-1,Days),"")</f>
        <v/>
      </c>
      <c r="E5064" s="16">
        <f>IF(B5064,StartDate+D5064,"")</f>
        <v/>
      </c>
      <c r="F5064">
        <f>IF(B5064,MAX(MOD(SIN(Seed*0.1373+C5064*12.9898+D5064*78.233)*43758.5453,1),1E-9),"")</f>
        <v/>
      </c>
      <c r="G5064">
        <f>IF(B5064,MOD(SIN(Seed*0.5917+C5064*39.3468+D5064*11.135)*24634.6345,1),"")</f>
        <v/>
      </c>
      <c r="H5064">
        <f>IF(B5064,SQRT(-2*LN(F5064))*COS(2*PI()*G5064),"")</f>
        <v/>
      </c>
      <c r="I5064">
        <f>IF(B5064,IF(D5064=0,H5064,Rho*I5063+SQRT(1-Rho^2)*H5064),"")</f>
        <v/>
      </c>
      <c r="J5064">
        <f>IF(B5064,IF(Dist="Normal",DistA+DistB*I5064,DistA+(DistB-DistA)*NORMSDIST(I5064)),"")</f>
        <v/>
      </c>
      <c r="K5064">
        <f>IF(B5064,INDEX(MineScale,C5064),"")</f>
        <v/>
      </c>
      <c r="L5064">
        <f>IF(B5064,INDEX(Dow,1,WEEKDAY(E5064,2)),"")</f>
        <v/>
      </c>
      <c r="M5064">
        <f>IF(B5064,(1+Trend)^D5064,"")</f>
        <v/>
      </c>
      <c r="N5064">
        <f>IF(B5064,EXP(SUMPRODUCT(LN(1+(EvEff-1)*INDEX(Affected,0,C5064)*EXP(-((E5064-EvCenter)^2)/(2*EvSigma^2))))),"")</f>
        <v/>
      </c>
      <c r="O5064">
        <f>IF(B5064,ROUND(MAX(0,J5064*K5064*L5064*M5064*N5064),2),"")</f>
        <v/>
      </c>
    </row>
    <row r="5065">
      <c r="A5065" t="n">
        <v>5064</v>
      </c>
      <c r="B5065">
        <f>A5065&lt;=MineCount*Days</f>
        <v/>
      </c>
      <c r="C5065">
        <f>IF(B5065,INT((A5065-1)/Days)+1,"")</f>
        <v/>
      </c>
      <c r="D5065">
        <f>IF(B5065,MOD(A5065-1,Days),"")</f>
        <v/>
      </c>
      <c r="E5065" s="16">
        <f>IF(B5065,StartDate+D5065,"")</f>
        <v/>
      </c>
      <c r="F5065">
        <f>IF(B5065,MAX(MOD(SIN(Seed*0.1373+C5065*12.9898+D5065*78.233)*43758.5453,1),1E-9),"")</f>
        <v/>
      </c>
      <c r="G5065">
        <f>IF(B5065,MOD(SIN(Seed*0.5917+C5065*39.3468+D5065*11.135)*24634.6345,1),"")</f>
        <v/>
      </c>
      <c r="H5065">
        <f>IF(B5065,SQRT(-2*LN(F5065))*COS(2*PI()*G5065),"")</f>
        <v/>
      </c>
      <c r="I5065">
        <f>IF(B5065,IF(D5065=0,H5065,Rho*I5064+SQRT(1-Rho^2)*H5065),"")</f>
        <v/>
      </c>
      <c r="J5065">
        <f>IF(B5065,IF(Dist="Normal",DistA+DistB*I5065,DistA+(DistB-DistA)*NORMSDIST(I5065)),"")</f>
        <v/>
      </c>
      <c r="K5065">
        <f>IF(B5065,INDEX(MineScale,C5065),"")</f>
        <v/>
      </c>
      <c r="L5065">
        <f>IF(B5065,INDEX(Dow,1,WEEKDAY(E5065,2)),"")</f>
        <v/>
      </c>
      <c r="M5065">
        <f>IF(B5065,(1+Trend)^D5065,"")</f>
        <v/>
      </c>
      <c r="N5065">
        <f>IF(B5065,EXP(SUMPRODUCT(LN(1+(EvEff-1)*INDEX(Affected,0,C5065)*EXP(-((E5065-EvCenter)^2)/(2*EvSigma^2))))),"")</f>
        <v/>
      </c>
      <c r="O5065">
        <f>IF(B5065,ROUND(MAX(0,J5065*K5065*L5065*M5065*N5065),2),"")</f>
        <v/>
      </c>
    </row>
    <row r="5066">
      <c r="A5066" t="n">
        <v>5065</v>
      </c>
      <c r="B5066">
        <f>A5066&lt;=MineCount*Days</f>
        <v/>
      </c>
      <c r="C5066">
        <f>IF(B5066,INT((A5066-1)/Days)+1,"")</f>
        <v/>
      </c>
      <c r="D5066">
        <f>IF(B5066,MOD(A5066-1,Days),"")</f>
        <v/>
      </c>
      <c r="E5066" s="16">
        <f>IF(B5066,StartDate+D5066,"")</f>
        <v/>
      </c>
      <c r="F5066">
        <f>IF(B5066,MAX(MOD(SIN(Seed*0.1373+C5066*12.9898+D5066*78.233)*43758.5453,1),1E-9),"")</f>
        <v/>
      </c>
      <c r="G5066">
        <f>IF(B5066,MOD(SIN(Seed*0.5917+C5066*39.3468+D5066*11.135)*24634.6345,1),"")</f>
        <v/>
      </c>
      <c r="H5066">
        <f>IF(B5066,SQRT(-2*LN(F5066))*COS(2*PI()*G5066),"")</f>
        <v/>
      </c>
      <c r="I5066">
        <f>IF(B5066,IF(D5066=0,H5066,Rho*I5065+SQRT(1-Rho^2)*H5066),"")</f>
        <v/>
      </c>
      <c r="J5066">
        <f>IF(B5066,IF(Dist="Normal",DistA+DistB*I5066,DistA+(DistB-DistA)*NORMSDIST(I5066)),"")</f>
        <v/>
      </c>
      <c r="K5066">
        <f>IF(B5066,INDEX(MineScale,C5066),"")</f>
        <v/>
      </c>
      <c r="L5066">
        <f>IF(B5066,INDEX(Dow,1,WEEKDAY(E5066,2)),"")</f>
        <v/>
      </c>
      <c r="M5066">
        <f>IF(B5066,(1+Trend)^D5066,"")</f>
        <v/>
      </c>
      <c r="N5066">
        <f>IF(B5066,EXP(SUMPRODUCT(LN(1+(EvEff-1)*INDEX(Affected,0,C5066)*EXP(-((E5066-EvCenter)^2)/(2*EvSigma^2))))),"")</f>
        <v/>
      </c>
      <c r="O5066">
        <f>IF(B5066,ROUND(MAX(0,J5066*K5066*L5066*M5066*N5066),2),"")</f>
        <v/>
      </c>
    </row>
    <row r="5067">
      <c r="A5067" t="n">
        <v>5066</v>
      </c>
      <c r="B5067">
        <f>A5067&lt;=MineCount*Days</f>
        <v/>
      </c>
      <c r="C5067">
        <f>IF(B5067,INT((A5067-1)/Days)+1,"")</f>
        <v/>
      </c>
      <c r="D5067">
        <f>IF(B5067,MOD(A5067-1,Days),"")</f>
        <v/>
      </c>
      <c r="E5067" s="16">
        <f>IF(B5067,StartDate+D5067,"")</f>
        <v/>
      </c>
      <c r="F5067">
        <f>IF(B5067,MAX(MOD(SIN(Seed*0.1373+C5067*12.9898+D5067*78.233)*43758.5453,1),1E-9),"")</f>
        <v/>
      </c>
      <c r="G5067">
        <f>IF(B5067,MOD(SIN(Seed*0.5917+C5067*39.3468+D5067*11.135)*24634.6345,1),"")</f>
        <v/>
      </c>
      <c r="H5067">
        <f>IF(B5067,SQRT(-2*LN(F5067))*COS(2*PI()*G5067),"")</f>
        <v/>
      </c>
      <c r="I5067">
        <f>IF(B5067,IF(D5067=0,H5067,Rho*I5066+SQRT(1-Rho^2)*H5067),"")</f>
        <v/>
      </c>
      <c r="J5067">
        <f>IF(B5067,IF(Dist="Normal",DistA+DistB*I5067,DistA+(DistB-DistA)*NORMSDIST(I5067)),"")</f>
        <v/>
      </c>
      <c r="K5067">
        <f>IF(B5067,INDEX(MineScale,C5067),"")</f>
        <v/>
      </c>
      <c r="L5067">
        <f>IF(B5067,INDEX(Dow,1,WEEKDAY(E5067,2)),"")</f>
        <v/>
      </c>
      <c r="M5067">
        <f>IF(B5067,(1+Trend)^D5067,"")</f>
        <v/>
      </c>
      <c r="N5067">
        <f>IF(B5067,EXP(SUMPRODUCT(LN(1+(EvEff-1)*INDEX(Affected,0,C5067)*EXP(-((E5067-EvCenter)^2)/(2*EvSigma^2))))),"")</f>
        <v/>
      </c>
      <c r="O5067">
        <f>IF(B5067,ROUND(MAX(0,J5067*K5067*L5067*M5067*N5067),2),"")</f>
        <v/>
      </c>
    </row>
    <row r="5068">
      <c r="A5068" t="n">
        <v>5067</v>
      </c>
      <c r="B5068">
        <f>A5068&lt;=MineCount*Days</f>
        <v/>
      </c>
      <c r="C5068">
        <f>IF(B5068,INT((A5068-1)/Days)+1,"")</f>
        <v/>
      </c>
      <c r="D5068">
        <f>IF(B5068,MOD(A5068-1,Days),"")</f>
        <v/>
      </c>
      <c r="E5068" s="16">
        <f>IF(B5068,StartDate+D5068,"")</f>
        <v/>
      </c>
      <c r="F5068">
        <f>IF(B5068,MAX(MOD(SIN(Seed*0.1373+C5068*12.9898+D5068*78.233)*43758.5453,1),1E-9),"")</f>
        <v/>
      </c>
      <c r="G5068">
        <f>IF(B5068,MOD(SIN(Seed*0.5917+C5068*39.3468+D5068*11.135)*24634.6345,1),"")</f>
        <v/>
      </c>
      <c r="H5068">
        <f>IF(B5068,SQRT(-2*LN(F5068))*COS(2*PI()*G5068),"")</f>
        <v/>
      </c>
      <c r="I5068">
        <f>IF(B5068,IF(D5068=0,H5068,Rho*I5067+SQRT(1-Rho^2)*H5068),"")</f>
        <v/>
      </c>
      <c r="J5068">
        <f>IF(B5068,IF(Dist="Normal",DistA+DistB*I5068,DistA+(DistB-DistA)*NORMSDIST(I5068)),"")</f>
        <v/>
      </c>
      <c r="K5068">
        <f>IF(B5068,INDEX(MineScale,C5068),"")</f>
        <v/>
      </c>
      <c r="L5068">
        <f>IF(B5068,INDEX(Dow,1,WEEKDAY(E5068,2)),"")</f>
        <v/>
      </c>
      <c r="M5068">
        <f>IF(B5068,(1+Trend)^D5068,"")</f>
        <v/>
      </c>
      <c r="N5068">
        <f>IF(B5068,EXP(SUMPRODUCT(LN(1+(EvEff-1)*INDEX(Affected,0,C5068)*EXP(-((E5068-EvCenter)^2)/(2*EvSigma^2))))),"")</f>
        <v/>
      </c>
      <c r="O5068">
        <f>IF(B5068,ROUND(MAX(0,J5068*K5068*L5068*M5068*N5068),2),"")</f>
        <v/>
      </c>
    </row>
    <row r="5069">
      <c r="A5069" t="n">
        <v>5068</v>
      </c>
      <c r="B5069">
        <f>A5069&lt;=MineCount*Days</f>
        <v/>
      </c>
      <c r="C5069">
        <f>IF(B5069,INT((A5069-1)/Days)+1,"")</f>
        <v/>
      </c>
      <c r="D5069">
        <f>IF(B5069,MOD(A5069-1,Days),"")</f>
        <v/>
      </c>
      <c r="E5069" s="16">
        <f>IF(B5069,StartDate+D5069,"")</f>
        <v/>
      </c>
      <c r="F5069">
        <f>IF(B5069,MAX(MOD(SIN(Seed*0.1373+C5069*12.9898+D5069*78.233)*43758.5453,1),1E-9),"")</f>
        <v/>
      </c>
      <c r="G5069">
        <f>IF(B5069,MOD(SIN(Seed*0.5917+C5069*39.3468+D5069*11.135)*24634.6345,1),"")</f>
        <v/>
      </c>
      <c r="H5069">
        <f>IF(B5069,SQRT(-2*LN(F5069))*COS(2*PI()*G5069),"")</f>
        <v/>
      </c>
      <c r="I5069">
        <f>IF(B5069,IF(D5069=0,H5069,Rho*I5068+SQRT(1-Rho^2)*H5069),"")</f>
        <v/>
      </c>
      <c r="J5069">
        <f>IF(B5069,IF(Dist="Normal",DistA+DistB*I5069,DistA+(DistB-DistA)*NORMSDIST(I5069)),"")</f>
        <v/>
      </c>
      <c r="K5069">
        <f>IF(B5069,INDEX(MineScale,C5069),"")</f>
        <v/>
      </c>
      <c r="L5069">
        <f>IF(B5069,INDEX(Dow,1,WEEKDAY(E5069,2)),"")</f>
        <v/>
      </c>
      <c r="M5069">
        <f>IF(B5069,(1+Trend)^D5069,"")</f>
        <v/>
      </c>
      <c r="N5069">
        <f>IF(B5069,EXP(SUMPRODUCT(LN(1+(EvEff-1)*INDEX(Affected,0,C5069)*EXP(-((E5069-EvCenter)^2)/(2*EvSigma^2))))),"")</f>
        <v/>
      </c>
      <c r="O5069">
        <f>IF(B5069,ROUND(MAX(0,J5069*K5069*L5069*M5069*N5069),2),"")</f>
        <v/>
      </c>
    </row>
    <row r="5070">
      <c r="A5070" t="n">
        <v>5069</v>
      </c>
      <c r="B5070">
        <f>A5070&lt;=MineCount*Days</f>
        <v/>
      </c>
      <c r="C5070">
        <f>IF(B5070,INT((A5070-1)/Days)+1,"")</f>
        <v/>
      </c>
      <c r="D5070">
        <f>IF(B5070,MOD(A5070-1,Days),"")</f>
        <v/>
      </c>
      <c r="E5070" s="16">
        <f>IF(B5070,StartDate+D5070,"")</f>
        <v/>
      </c>
      <c r="F5070">
        <f>IF(B5070,MAX(MOD(SIN(Seed*0.1373+C5070*12.9898+D5070*78.233)*43758.5453,1),1E-9),"")</f>
        <v/>
      </c>
      <c r="G5070">
        <f>IF(B5070,MOD(SIN(Seed*0.5917+C5070*39.3468+D5070*11.135)*24634.6345,1),"")</f>
        <v/>
      </c>
      <c r="H5070">
        <f>IF(B5070,SQRT(-2*LN(F5070))*COS(2*PI()*G5070),"")</f>
        <v/>
      </c>
      <c r="I5070">
        <f>IF(B5070,IF(D5070=0,H5070,Rho*I5069+SQRT(1-Rho^2)*H5070),"")</f>
        <v/>
      </c>
      <c r="J5070">
        <f>IF(B5070,IF(Dist="Normal",DistA+DistB*I5070,DistA+(DistB-DistA)*NORMSDIST(I5070)),"")</f>
        <v/>
      </c>
      <c r="K5070">
        <f>IF(B5070,INDEX(MineScale,C5070),"")</f>
        <v/>
      </c>
      <c r="L5070">
        <f>IF(B5070,INDEX(Dow,1,WEEKDAY(E5070,2)),"")</f>
        <v/>
      </c>
      <c r="M5070">
        <f>IF(B5070,(1+Trend)^D5070,"")</f>
        <v/>
      </c>
      <c r="N5070">
        <f>IF(B5070,EXP(SUMPRODUCT(LN(1+(EvEff-1)*INDEX(Affected,0,C5070)*EXP(-((E5070-EvCenter)^2)/(2*EvSigma^2))))),"")</f>
        <v/>
      </c>
      <c r="O5070">
        <f>IF(B5070,ROUND(MAX(0,J5070*K5070*L5070*M5070*N5070),2),"")</f>
        <v/>
      </c>
    </row>
    <row r="5071">
      <c r="A5071" t="n">
        <v>5070</v>
      </c>
      <c r="B5071">
        <f>A5071&lt;=MineCount*Days</f>
        <v/>
      </c>
      <c r="C5071">
        <f>IF(B5071,INT((A5071-1)/Days)+1,"")</f>
        <v/>
      </c>
      <c r="D5071">
        <f>IF(B5071,MOD(A5071-1,Days),"")</f>
        <v/>
      </c>
      <c r="E5071" s="16">
        <f>IF(B5071,StartDate+D5071,"")</f>
        <v/>
      </c>
      <c r="F5071">
        <f>IF(B5071,MAX(MOD(SIN(Seed*0.1373+C5071*12.9898+D5071*78.233)*43758.5453,1),1E-9),"")</f>
        <v/>
      </c>
      <c r="G5071">
        <f>IF(B5071,MOD(SIN(Seed*0.5917+C5071*39.3468+D5071*11.135)*24634.6345,1),"")</f>
        <v/>
      </c>
      <c r="H5071">
        <f>IF(B5071,SQRT(-2*LN(F5071))*COS(2*PI()*G5071),"")</f>
        <v/>
      </c>
      <c r="I5071">
        <f>IF(B5071,IF(D5071=0,H5071,Rho*I5070+SQRT(1-Rho^2)*H5071),"")</f>
        <v/>
      </c>
      <c r="J5071">
        <f>IF(B5071,IF(Dist="Normal",DistA+DistB*I5071,DistA+(DistB-DistA)*NORMSDIST(I5071)),"")</f>
        <v/>
      </c>
      <c r="K5071">
        <f>IF(B5071,INDEX(MineScale,C5071),"")</f>
        <v/>
      </c>
      <c r="L5071">
        <f>IF(B5071,INDEX(Dow,1,WEEKDAY(E5071,2)),"")</f>
        <v/>
      </c>
      <c r="M5071">
        <f>IF(B5071,(1+Trend)^D5071,"")</f>
        <v/>
      </c>
      <c r="N5071">
        <f>IF(B5071,EXP(SUMPRODUCT(LN(1+(EvEff-1)*INDEX(Affected,0,C5071)*EXP(-((E5071-EvCenter)^2)/(2*EvSigma^2))))),"")</f>
        <v/>
      </c>
      <c r="O5071">
        <f>IF(B5071,ROUND(MAX(0,J5071*K5071*L5071*M5071*N5071),2),"")</f>
        <v/>
      </c>
    </row>
    <row r="5072">
      <c r="A5072" t="n">
        <v>5071</v>
      </c>
      <c r="B5072">
        <f>A5072&lt;=MineCount*Days</f>
        <v/>
      </c>
      <c r="C5072">
        <f>IF(B5072,INT((A5072-1)/Days)+1,"")</f>
        <v/>
      </c>
      <c r="D5072">
        <f>IF(B5072,MOD(A5072-1,Days),"")</f>
        <v/>
      </c>
      <c r="E5072" s="16">
        <f>IF(B5072,StartDate+D5072,"")</f>
        <v/>
      </c>
      <c r="F5072">
        <f>IF(B5072,MAX(MOD(SIN(Seed*0.1373+C5072*12.9898+D5072*78.233)*43758.5453,1),1E-9),"")</f>
        <v/>
      </c>
      <c r="G5072">
        <f>IF(B5072,MOD(SIN(Seed*0.5917+C5072*39.3468+D5072*11.135)*24634.6345,1),"")</f>
        <v/>
      </c>
      <c r="H5072">
        <f>IF(B5072,SQRT(-2*LN(F5072))*COS(2*PI()*G5072),"")</f>
        <v/>
      </c>
      <c r="I5072">
        <f>IF(B5072,IF(D5072=0,H5072,Rho*I5071+SQRT(1-Rho^2)*H5072),"")</f>
        <v/>
      </c>
      <c r="J5072">
        <f>IF(B5072,IF(Dist="Normal",DistA+DistB*I5072,DistA+(DistB-DistA)*NORMSDIST(I5072)),"")</f>
        <v/>
      </c>
      <c r="K5072">
        <f>IF(B5072,INDEX(MineScale,C5072),"")</f>
        <v/>
      </c>
      <c r="L5072">
        <f>IF(B5072,INDEX(Dow,1,WEEKDAY(E5072,2)),"")</f>
        <v/>
      </c>
      <c r="M5072">
        <f>IF(B5072,(1+Trend)^D5072,"")</f>
        <v/>
      </c>
      <c r="N5072">
        <f>IF(B5072,EXP(SUMPRODUCT(LN(1+(EvEff-1)*INDEX(Affected,0,C5072)*EXP(-((E5072-EvCenter)^2)/(2*EvSigma^2))))),"")</f>
        <v/>
      </c>
      <c r="O5072">
        <f>IF(B5072,ROUND(MAX(0,J5072*K5072*L5072*M5072*N5072),2),"")</f>
        <v/>
      </c>
    </row>
    <row r="5073">
      <c r="A5073" t="n">
        <v>5072</v>
      </c>
      <c r="B5073">
        <f>A5073&lt;=MineCount*Days</f>
        <v/>
      </c>
      <c r="C5073">
        <f>IF(B5073,INT((A5073-1)/Days)+1,"")</f>
        <v/>
      </c>
      <c r="D5073">
        <f>IF(B5073,MOD(A5073-1,Days),"")</f>
        <v/>
      </c>
      <c r="E5073" s="16">
        <f>IF(B5073,StartDate+D5073,"")</f>
        <v/>
      </c>
      <c r="F5073">
        <f>IF(B5073,MAX(MOD(SIN(Seed*0.1373+C5073*12.9898+D5073*78.233)*43758.5453,1),1E-9),"")</f>
        <v/>
      </c>
      <c r="G5073">
        <f>IF(B5073,MOD(SIN(Seed*0.5917+C5073*39.3468+D5073*11.135)*24634.6345,1),"")</f>
        <v/>
      </c>
      <c r="H5073">
        <f>IF(B5073,SQRT(-2*LN(F5073))*COS(2*PI()*G5073),"")</f>
        <v/>
      </c>
      <c r="I5073">
        <f>IF(B5073,IF(D5073=0,H5073,Rho*I5072+SQRT(1-Rho^2)*H5073),"")</f>
        <v/>
      </c>
      <c r="J5073">
        <f>IF(B5073,IF(Dist="Normal",DistA+DistB*I5073,DistA+(DistB-DistA)*NORMSDIST(I5073)),"")</f>
        <v/>
      </c>
      <c r="K5073">
        <f>IF(B5073,INDEX(MineScale,C5073),"")</f>
        <v/>
      </c>
      <c r="L5073">
        <f>IF(B5073,INDEX(Dow,1,WEEKDAY(E5073,2)),"")</f>
        <v/>
      </c>
      <c r="M5073">
        <f>IF(B5073,(1+Trend)^D5073,"")</f>
        <v/>
      </c>
      <c r="N5073">
        <f>IF(B5073,EXP(SUMPRODUCT(LN(1+(EvEff-1)*INDEX(Affected,0,C5073)*EXP(-((E5073-EvCenter)^2)/(2*EvSigma^2))))),"")</f>
        <v/>
      </c>
      <c r="O5073">
        <f>IF(B5073,ROUND(MAX(0,J5073*K5073*L5073*M5073*N5073),2),"")</f>
        <v/>
      </c>
    </row>
    <row r="5074">
      <c r="A5074" t="n">
        <v>5073</v>
      </c>
      <c r="B5074">
        <f>A5074&lt;=MineCount*Days</f>
        <v/>
      </c>
      <c r="C5074">
        <f>IF(B5074,INT((A5074-1)/Days)+1,"")</f>
        <v/>
      </c>
      <c r="D5074">
        <f>IF(B5074,MOD(A5074-1,Days),"")</f>
        <v/>
      </c>
      <c r="E5074" s="16">
        <f>IF(B5074,StartDate+D5074,"")</f>
        <v/>
      </c>
      <c r="F5074">
        <f>IF(B5074,MAX(MOD(SIN(Seed*0.1373+C5074*12.9898+D5074*78.233)*43758.5453,1),1E-9),"")</f>
        <v/>
      </c>
      <c r="G5074">
        <f>IF(B5074,MOD(SIN(Seed*0.5917+C5074*39.3468+D5074*11.135)*24634.6345,1),"")</f>
        <v/>
      </c>
      <c r="H5074">
        <f>IF(B5074,SQRT(-2*LN(F5074))*COS(2*PI()*G5074),"")</f>
        <v/>
      </c>
      <c r="I5074">
        <f>IF(B5074,IF(D5074=0,H5074,Rho*I5073+SQRT(1-Rho^2)*H5074),"")</f>
        <v/>
      </c>
      <c r="J5074">
        <f>IF(B5074,IF(Dist="Normal",DistA+DistB*I5074,DistA+(DistB-DistA)*NORMSDIST(I5074)),"")</f>
        <v/>
      </c>
      <c r="K5074">
        <f>IF(B5074,INDEX(MineScale,C5074),"")</f>
        <v/>
      </c>
      <c r="L5074">
        <f>IF(B5074,INDEX(Dow,1,WEEKDAY(E5074,2)),"")</f>
        <v/>
      </c>
      <c r="M5074">
        <f>IF(B5074,(1+Trend)^D5074,"")</f>
        <v/>
      </c>
      <c r="N5074">
        <f>IF(B5074,EXP(SUMPRODUCT(LN(1+(EvEff-1)*INDEX(Affected,0,C5074)*EXP(-((E5074-EvCenter)^2)/(2*EvSigma^2))))),"")</f>
        <v/>
      </c>
      <c r="O5074">
        <f>IF(B5074,ROUND(MAX(0,J5074*K5074*L5074*M5074*N5074),2),"")</f>
        <v/>
      </c>
    </row>
    <row r="5075">
      <c r="A5075" t="n">
        <v>5074</v>
      </c>
      <c r="B5075">
        <f>A5075&lt;=MineCount*Days</f>
        <v/>
      </c>
      <c r="C5075">
        <f>IF(B5075,INT((A5075-1)/Days)+1,"")</f>
        <v/>
      </c>
      <c r="D5075">
        <f>IF(B5075,MOD(A5075-1,Days),"")</f>
        <v/>
      </c>
      <c r="E5075" s="16">
        <f>IF(B5075,StartDate+D5075,"")</f>
        <v/>
      </c>
      <c r="F5075">
        <f>IF(B5075,MAX(MOD(SIN(Seed*0.1373+C5075*12.9898+D5075*78.233)*43758.5453,1),1E-9),"")</f>
        <v/>
      </c>
      <c r="G5075">
        <f>IF(B5075,MOD(SIN(Seed*0.5917+C5075*39.3468+D5075*11.135)*24634.6345,1),"")</f>
        <v/>
      </c>
      <c r="H5075">
        <f>IF(B5075,SQRT(-2*LN(F5075))*COS(2*PI()*G5075),"")</f>
        <v/>
      </c>
      <c r="I5075">
        <f>IF(B5075,IF(D5075=0,H5075,Rho*I5074+SQRT(1-Rho^2)*H5075),"")</f>
        <v/>
      </c>
      <c r="J5075">
        <f>IF(B5075,IF(Dist="Normal",DistA+DistB*I5075,DistA+(DistB-DistA)*NORMSDIST(I5075)),"")</f>
        <v/>
      </c>
      <c r="K5075">
        <f>IF(B5075,INDEX(MineScale,C5075),"")</f>
        <v/>
      </c>
      <c r="L5075">
        <f>IF(B5075,INDEX(Dow,1,WEEKDAY(E5075,2)),"")</f>
        <v/>
      </c>
      <c r="M5075">
        <f>IF(B5075,(1+Trend)^D5075,"")</f>
        <v/>
      </c>
      <c r="N5075">
        <f>IF(B5075,EXP(SUMPRODUCT(LN(1+(EvEff-1)*INDEX(Affected,0,C5075)*EXP(-((E5075-EvCenter)^2)/(2*EvSigma^2))))),"")</f>
        <v/>
      </c>
      <c r="O5075">
        <f>IF(B5075,ROUND(MAX(0,J5075*K5075*L5075*M5075*N5075),2),"")</f>
        <v/>
      </c>
    </row>
    <row r="5076">
      <c r="A5076" t="n">
        <v>5075</v>
      </c>
      <c r="B5076">
        <f>A5076&lt;=MineCount*Days</f>
        <v/>
      </c>
      <c r="C5076">
        <f>IF(B5076,INT((A5076-1)/Days)+1,"")</f>
        <v/>
      </c>
      <c r="D5076">
        <f>IF(B5076,MOD(A5076-1,Days),"")</f>
        <v/>
      </c>
      <c r="E5076" s="16">
        <f>IF(B5076,StartDate+D5076,"")</f>
        <v/>
      </c>
      <c r="F5076">
        <f>IF(B5076,MAX(MOD(SIN(Seed*0.1373+C5076*12.9898+D5076*78.233)*43758.5453,1),1E-9),"")</f>
        <v/>
      </c>
      <c r="G5076">
        <f>IF(B5076,MOD(SIN(Seed*0.5917+C5076*39.3468+D5076*11.135)*24634.6345,1),"")</f>
        <v/>
      </c>
      <c r="H5076">
        <f>IF(B5076,SQRT(-2*LN(F5076))*COS(2*PI()*G5076),"")</f>
        <v/>
      </c>
      <c r="I5076">
        <f>IF(B5076,IF(D5076=0,H5076,Rho*I5075+SQRT(1-Rho^2)*H5076),"")</f>
        <v/>
      </c>
      <c r="J5076">
        <f>IF(B5076,IF(Dist="Normal",DistA+DistB*I5076,DistA+(DistB-DistA)*NORMSDIST(I5076)),"")</f>
        <v/>
      </c>
      <c r="K5076">
        <f>IF(B5076,INDEX(MineScale,C5076),"")</f>
        <v/>
      </c>
      <c r="L5076">
        <f>IF(B5076,INDEX(Dow,1,WEEKDAY(E5076,2)),"")</f>
        <v/>
      </c>
      <c r="M5076">
        <f>IF(B5076,(1+Trend)^D5076,"")</f>
        <v/>
      </c>
      <c r="N5076">
        <f>IF(B5076,EXP(SUMPRODUCT(LN(1+(EvEff-1)*INDEX(Affected,0,C5076)*EXP(-((E5076-EvCenter)^2)/(2*EvSigma^2))))),"")</f>
        <v/>
      </c>
      <c r="O5076">
        <f>IF(B5076,ROUND(MAX(0,J5076*K5076*L5076*M5076*N5076),2),"")</f>
        <v/>
      </c>
    </row>
    <row r="5077">
      <c r="A5077" t="n">
        <v>5076</v>
      </c>
      <c r="B5077">
        <f>A5077&lt;=MineCount*Days</f>
        <v/>
      </c>
      <c r="C5077">
        <f>IF(B5077,INT((A5077-1)/Days)+1,"")</f>
        <v/>
      </c>
      <c r="D5077">
        <f>IF(B5077,MOD(A5077-1,Days),"")</f>
        <v/>
      </c>
      <c r="E5077" s="16">
        <f>IF(B5077,StartDate+D5077,"")</f>
        <v/>
      </c>
      <c r="F5077">
        <f>IF(B5077,MAX(MOD(SIN(Seed*0.1373+C5077*12.9898+D5077*78.233)*43758.5453,1),1E-9),"")</f>
        <v/>
      </c>
      <c r="G5077">
        <f>IF(B5077,MOD(SIN(Seed*0.5917+C5077*39.3468+D5077*11.135)*24634.6345,1),"")</f>
        <v/>
      </c>
      <c r="H5077">
        <f>IF(B5077,SQRT(-2*LN(F5077))*COS(2*PI()*G5077),"")</f>
        <v/>
      </c>
      <c r="I5077">
        <f>IF(B5077,IF(D5077=0,H5077,Rho*I5076+SQRT(1-Rho^2)*H5077),"")</f>
        <v/>
      </c>
      <c r="J5077">
        <f>IF(B5077,IF(Dist="Normal",DistA+DistB*I5077,DistA+(DistB-DistA)*NORMSDIST(I5077)),"")</f>
        <v/>
      </c>
      <c r="K5077">
        <f>IF(B5077,INDEX(MineScale,C5077),"")</f>
        <v/>
      </c>
      <c r="L5077">
        <f>IF(B5077,INDEX(Dow,1,WEEKDAY(E5077,2)),"")</f>
        <v/>
      </c>
      <c r="M5077">
        <f>IF(B5077,(1+Trend)^D5077,"")</f>
        <v/>
      </c>
      <c r="N5077">
        <f>IF(B5077,EXP(SUMPRODUCT(LN(1+(EvEff-1)*INDEX(Affected,0,C5077)*EXP(-((E5077-EvCenter)^2)/(2*EvSigma^2))))),"")</f>
        <v/>
      </c>
      <c r="O5077">
        <f>IF(B5077,ROUND(MAX(0,J5077*K5077*L5077*M5077*N5077),2),"")</f>
        <v/>
      </c>
    </row>
    <row r="5078">
      <c r="A5078" t="n">
        <v>5077</v>
      </c>
      <c r="B5078">
        <f>A5078&lt;=MineCount*Days</f>
        <v/>
      </c>
      <c r="C5078">
        <f>IF(B5078,INT((A5078-1)/Days)+1,"")</f>
        <v/>
      </c>
      <c r="D5078">
        <f>IF(B5078,MOD(A5078-1,Days),"")</f>
        <v/>
      </c>
      <c r="E5078" s="16">
        <f>IF(B5078,StartDate+D5078,"")</f>
        <v/>
      </c>
      <c r="F5078">
        <f>IF(B5078,MAX(MOD(SIN(Seed*0.1373+C5078*12.9898+D5078*78.233)*43758.5453,1),1E-9),"")</f>
        <v/>
      </c>
      <c r="G5078">
        <f>IF(B5078,MOD(SIN(Seed*0.5917+C5078*39.3468+D5078*11.135)*24634.6345,1),"")</f>
        <v/>
      </c>
      <c r="H5078">
        <f>IF(B5078,SQRT(-2*LN(F5078))*COS(2*PI()*G5078),"")</f>
        <v/>
      </c>
      <c r="I5078">
        <f>IF(B5078,IF(D5078=0,H5078,Rho*I5077+SQRT(1-Rho^2)*H5078),"")</f>
        <v/>
      </c>
      <c r="J5078">
        <f>IF(B5078,IF(Dist="Normal",DistA+DistB*I5078,DistA+(DistB-DistA)*NORMSDIST(I5078)),"")</f>
        <v/>
      </c>
      <c r="K5078">
        <f>IF(B5078,INDEX(MineScale,C5078),"")</f>
        <v/>
      </c>
      <c r="L5078">
        <f>IF(B5078,INDEX(Dow,1,WEEKDAY(E5078,2)),"")</f>
        <v/>
      </c>
      <c r="M5078">
        <f>IF(B5078,(1+Trend)^D5078,"")</f>
        <v/>
      </c>
      <c r="N5078">
        <f>IF(B5078,EXP(SUMPRODUCT(LN(1+(EvEff-1)*INDEX(Affected,0,C5078)*EXP(-((E5078-EvCenter)^2)/(2*EvSigma^2))))),"")</f>
        <v/>
      </c>
      <c r="O5078">
        <f>IF(B5078,ROUND(MAX(0,J5078*K5078*L5078*M5078*N5078),2),"")</f>
        <v/>
      </c>
    </row>
    <row r="5079">
      <c r="A5079" t="n">
        <v>5078</v>
      </c>
      <c r="B5079">
        <f>A5079&lt;=MineCount*Days</f>
        <v/>
      </c>
      <c r="C5079">
        <f>IF(B5079,INT((A5079-1)/Days)+1,"")</f>
        <v/>
      </c>
      <c r="D5079">
        <f>IF(B5079,MOD(A5079-1,Days),"")</f>
        <v/>
      </c>
      <c r="E5079" s="16">
        <f>IF(B5079,StartDate+D5079,"")</f>
        <v/>
      </c>
      <c r="F5079">
        <f>IF(B5079,MAX(MOD(SIN(Seed*0.1373+C5079*12.9898+D5079*78.233)*43758.5453,1),1E-9),"")</f>
        <v/>
      </c>
      <c r="G5079">
        <f>IF(B5079,MOD(SIN(Seed*0.5917+C5079*39.3468+D5079*11.135)*24634.6345,1),"")</f>
        <v/>
      </c>
      <c r="H5079">
        <f>IF(B5079,SQRT(-2*LN(F5079))*COS(2*PI()*G5079),"")</f>
        <v/>
      </c>
      <c r="I5079">
        <f>IF(B5079,IF(D5079=0,H5079,Rho*I5078+SQRT(1-Rho^2)*H5079),"")</f>
        <v/>
      </c>
      <c r="J5079">
        <f>IF(B5079,IF(Dist="Normal",DistA+DistB*I5079,DistA+(DistB-DistA)*NORMSDIST(I5079)),"")</f>
        <v/>
      </c>
      <c r="K5079">
        <f>IF(B5079,INDEX(MineScale,C5079),"")</f>
        <v/>
      </c>
      <c r="L5079">
        <f>IF(B5079,INDEX(Dow,1,WEEKDAY(E5079,2)),"")</f>
        <v/>
      </c>
      <c r="M5079">
        <f>IF(B5079,(1+Trend)^D5079,"")</f>
        <v/>
      </c>
      <c r="N5079">
        <f>IF(B5079,EXP(SUMPRODUCT(LN(1+(EvEff-1)*INDEX(Affected,0,C5079)*EXP(-((E5079-EvCenter)^2)/(2*EvSigma^2))))),"")</f>
        <v/>
      </c>
      <c r="O5079">
        <f>IF(B5079,ROUND(MAX(0,J5079*K5079*L5079*M5079*N5079),2),"")</f>
        <v/>
      </c>
    </row>
    <row r="5080">
      <c r="A5080" t="n">
        <v>5079</v>
      </c>
      <c r="B5080">
        <f>A5080&lt;=MineCount*Days</f>
        <v/>
      </c>
      <c r="C5080">
        <f>IF(B5080,INT((A5080-1)/Days)+1,"")</f>
        <v/>
      </c>
      <c r="D5080">
        <f>IF(B5080,MOD(A5080-1,Days),"")</f>
        <v/>
      </c>
      <c r="E5080" s="16">
        <f>IF(B5080,StartDate+D5080,"")</f>
        <v/>
      </c>
      <c r="F5080">
        <f>IF(B5080,MAX(MOD(SIN(Seed*0.1373+C5080*12.9898+D5080*78.233)*43758.5453,1),1E-9),"")</f>
        <v/>
      </c>
      <c r="G5080">
        <f>IF(B5080,MOD(SIN(Seed*0.5917+C5080*39.3468+D5080*11.135)*24634.6345,1),"")</f>
        <v/>
      </c>
      <c r="H5080">
        <f>IF(B5080,SQRT(-2*LN(F5080))*COS(2*PI()*G5080),"")</f>
        <v/>
      </c>
      <c r="I5080">
        <f>IF(B5080,IF(D5080=0,H5080,Rho*I5079+SQRT(1-Rho^2)*H5080),"")</f>
        <v/>
      </c>
      <c r="J5080">
        <f>IF(B5080,IF(Dist="Normal",DistA+DistB*I5080,DistA+(DistB-DistA)*NORMSDIST(I5080)),"")</f>
        <v/>
      </c>
      <c r="K5080">
        <f>IF(B5080,INDEX(MineScale,C5080),"")</f>
        <v/>
      </c>
      <c r="L5080">
        <f>IF(B5080,INDEX(Dow,1,WEEKDAY(E5080,2)),"")</f>
        <v/>
      </c>
      <c r="M5080">
        <f>IF(B5080,(1+Trend)^D5080,"")</f>
        <v/>
      </c>
      <c r="N5080">
        <f>IF(B5080,EXP(SUMPRODUCT(LN(1+(EvEff-1)*INDEX(Affected,0,C5080)*EXP(-((E5080-EvCenter)^2)/(2*EvSigma^2))))),"")</f>
        <v/>
      </c>
      <c r="O5080">
        <f>IF(B5080,ROUND(MAX(0,J5080*K5080*L5080*M5080*N5080),2),"")</f>
        <v/>
      </c>
    </row>
    <row r="5081">
      <c r="A5081" t="n">
        <v>5080</v>
      </c>
      <c r="B5081">
        <f>A5081&lt;=MineCount*Days</f>
        <v/>
      </c>
      <c r="C5081">
        <f>IF(B5081,INT((A5081-1)/Days)+1,"")</f>
        <v/>
      </c>
      <c r="D5081">
        <f>IF(B5081,MOD(A5081-1,Days),"")</f>
        <v/>
      </c>
      <c r="E5081" s="16">
        <f>IF(B5081,StartDate+D5081,"")</f>
        <v/>
      </c>
      <c r="F5081">
        <f>IF(B5081,MAX(MOD(SIN(Seed*0.1373+C5081*12.9898+D5081*78.233)*43758.5453,1),1E-9),"")</f>
        <v/>
      </c>
      <c r="G5081">
        <f>IF(B5081,MOD(SIN(Seed*0.5917+C5081*39.3468+D5081*11.135)*24634.6345,1),"")</f>
        <v/>
      </c>
      <c r="H5081">
        <f>IF(B5081,SQRT(-2*LN(F5081))*COS(2*PI()*G5081),"")</f>
        <v/>
      </c>
      <c r="I5081">
        <f>IF(B5081,IF(D5081=0,H5081,Rho*I5080+SQRT(1-Rho^2)*H5081),"")</f>
        <v/>
      </c>
      <c r="J5081">
        <f>IF(B5081,IF(Dist="Normal",DistA+DistB*I5081,DistA+(DistB-DistA)*NORMSDIST(I5081)),"")</f>
        <v/>
      </c>
      <c r="K5081">
        <f>IF(B5081,INDEX(MineScale,C5081),"")</f>
        <v/>
      </c>
      <c r="L5081">
        <f>IF(B5081,INDEX(Dow,1,WEEKDAY(E5081,2)),"")</f>
        <v/>
      </c>
      <c r="M5081">
        <f>IF(B5081,(1+Trend)^D5081,"")</f>
        <v/>
      </c>
      <c r="N5081">
        <f>IF(B5081,EXP(SUMPRODUCT(LN(1+(EvEff-1)*INDEX(Affected,0,C5081)*EXP(-((E5081-EvCenter)^2)/(2*EvSigma^2))))),"")</f>
        <v/>
      </c>
      <c r="O5081">
        <f>IF(B5081,ROUND(MAX(0,J5081*K5081*L5081*M5081*N5081),2),"")</f>
        <v/>
      </c>
    </row>
    <row r="5082">
      <c r="A5082" t="n">
        <v>5081</v>
      </c>
      <c r="B5082">
        <f>A5082&lt;=MineCount*Days</f>
        <v/>
      </c>
      <c r="C5082">
        <f>IF(B5082,INT((A5082-1)/Days)+1,"")</f>
        <v/>
      </c>
      <c r="D5082">
        <f>IF(B5082,MOD(A5082-1,Days),"")</f>
        <v/>
      </c>
      <c r="E5082" s="16">
        <f>IF(B5082,StartDate+D5082,"")</f>
        <v/>
      </c>
      <c r="F5082">
        <f>IF(B5082,MAX(MOD(SIN(Seed*0.1373+C5082*12.9898+D5082*78.233)*43758.5453,1),1E-9),"")</f>
        <v/>
      </c>
      <c r="G5082">
        <f>IF(B5082,MOD(SIN(Seed*0.5917+C5082*39.3468+D5082*11.135)*24634.6345,1),"")</f>
        <v/>
      </c>
      <c r="H5082">
        <f>IF(B5082,SQRT(-2*LN(F5082))*COS(2*PI()*G5082),"")</f>
        <v/>
      </c>
      <c r="I5082">
        <f>IF(B5082,IF(D5082=0,H5082,Rho*I5081+SQRT(1-Rho^2)*H5082),"")</f>
        <v/>
      </c>
      <c r="J5082">
        <f>IF(B5082,IF(Dist="Normal",DistA+DistB*I5082,DistA+(DistB-DistA)*NORMSDIST(I5082)),"")</f>
        <v/>
      </c>
      <c r="K5082">
        <f>IF(B5082,INDEX(MineScale,C5082),"")</f>
        <v/>
      </c>
      <c r="L5082">
        <f>IF(B5082,INDEX(Dow,1,WEEKDAY(E5082,2)),"")</f>
        <v/>
      </c>
      <c r="M5082">
        <f>IF(B5082,(1+Trend)^D5082,"")</f>
        <v/>
      </c>
      <c r="N5082">
        <f>IF(B5082,EXP(SUMPRODUCT(LN(1+(EvEff-1)*INDEX(Affected,0,C5082)*EXP(-((E5082-EvCenter)^2)/(2*EvSigma^2))))),"")</f>
        <v/>
      </c>
      <c r="O5082">
        <f>IF(B5082,ROUND(MAX(0,J5082*K5082*L5082*M5082*N5082),2),"")</f>
        <v/>
      </c>
    </row>
    <row r="5083">
      <c r="A5083" t="n">
        <v>5082</v>
      </c>
      <c r="B5083">
        <f>A5083&lt;=MineCount*Days</f>
        <v/>
      </c>
      <c r="C5083">
        <f>IF(B5083,INT((A5083-1)/Days)+1,"")</f>
        <v/>
      </c>
      <c r="D5083">
        <f>IF(B5083,MOD(A5083-1,Days),"")</f>
        <v/>
      </c>
      <c r="E5083" s="16">
        <f>IF(B5083,StartDate+D5083,"")</f>
        <v/>
      </c>
      <c r="F5083">
        <f>IF(B5083,MAX(MOD(SIN(Seed*0.1373+C5083*12.9898+D5083*78.233)*43758.5453,1),1E-9),"")</f>
        <v/>
      </c>
      <c r="G5083">
        <f>IF(B5083,MOD(SIN(Seed*0.5917+C5083*39.3468+D5083*11.135)*24634.6345,1),"")</f>
        <v/>
      </c>
      <c r="H5083">
        <f>IF(B5083,SQRT(-2*LN(F5083))*COS(2*PI()*G5083),"")</f>
        <v/>
      </c>
      <c r="I5083">
        <f>IF(B5083,IF(D5083=0,H5083,Rho*I5082+SQRT(1-Rho^2)*H5083),"")</f>
        <v/>
      </c>
      <c r="J5083">
        <f>IF(B5083,IF(Dist="Normal",DistA+DistB*I5083,DistA+(DistB-DistA)*NORMSDIST(I5083)),"")</f>
        <v/>
      </c>
      <c r="K5083">
        <f>IF(B5083,INDEX(MineScale,C5083),"")</f>
        <v/>
      </c>
      <c r="L5083">
        <f>IF(B5083,INDEX(Dow,1,WEEKDAY(E5083,2)),"")</f>
        <v/>
      </c>
      <c r="M5083">
        <f>IF(B5083,(1+Trend)^D5083,"")</f>
        <v/>
      </c>
      <c r="N5083">
        <f>IF(B5083,EXP(SUMPRODUCT(LN(1+(EvEff-1)*INDEX(Affected,0,C5083)*EXP(-((E5083-EvCenter)^2)/(2*EvSigma^2))))),"")</f>
        <v/>
      </c>
      <c r="O5083">
        <f>IF(B5083,ROUND(MAX(0,J5083*K5083*L5083*M5083*N5083),2),"")</f>
        <v/>
      </c>
    </row>
    <row r="5084">
      <c r="A5084" t="n">
        <v>5083</v>
      </c>
      <c r="B5084">
        <f>A5084&lt;=MineCount*Days</f>
        <v/>
      </c>
      <c r="C5084">
        <f>IF(B5084,INT((A5084-1)/Days)+1,"")</f>
        <v/>
      </c>
      <c r="D5084">
        <f>IF(B5084,MOD(A5084-1,Days),"")</f>
        <v/>
      </c>
      <c r="E5084" s="16">
        <f>IF(B5084,StartDate+D5084,"")</f>
        <v/>
      </c>
      <c r="F5084">
        <f>IF(B5084,MAX(MOD(SIN(Seed*0.1373+C5084*12.9898+D5084*78.233)*43758.5453,1),1E-9),"")</f>
        <v/>
      </c>
      <c r="G5084">
        <f>IF(B5084,MOD(SIN(Seed*0.5917+C5084*39.3468+D5084*11.135)*24634.6345,1),"")</f>
        <v/>
      </c>
      <c r="H5084">
        <f>IF(B5084,SQRT(-2*LN(F5084))*COS(2*PI()*G5084),"")</f>
        <v/>
      </c>
      <c r="I5084">
        <f>IF(B5084,IF(D5084=0,H5084,Rho*I5083+SQRT(1-Rho^2)*H5084),"")</f>
        <v/>
      </c>
      <c r="J5084">
        <f>IF(B5084,IF(Dist="Normal",DistA+DistB*I5084,DistA+(DistB-DistA)*NORMSDIST(I5084)),"")</f>
        <v/>
      </c>
      <c r="K5084">
        <f>IF(B5084,INDEX(MineScale,C5084),"")</f>
        <v/>
      </c>
      <c r="L5084">
        <f>IF(B5084,INDEX(Dow,1,WEEKDAY(E5084,2)),"")</f>
        <v/>
      </c>
      <c r="M5084">
        <f>IF(B5084,(1+Trend)^D5084,"")</f>
        <v/>
      </c>
      <c r="N5084">
        <f>IF(B5084,EXP(SUMPRODUCT(LN(1+(EvEff-1)*INDEX(Affected,0,C5084)*EXP(-((E5084-EvCenter)^2)/(2*EvSigma^2))))),"")</f>
        <v/>
      </c>
      <c r="O5084">
        <f>IF(B5084,ROUND(MAX(0,J5084*K5084*L5084*M5084*N5084),2),"")</f>
        <v/>
      </c>
    </row>
    <row r="5085">
      <c r="A5085" t="n">
        <v>5084</v>
      </c>
      <c r="B5085">
        <f>A5085&lt;=MineCount*Days</f>
        <v/>
      </c>
      <c r="C5085">
        <f>IF(B5085,INT((A5085-1)/Days)+1,"")</f>
        <v/>
      </c>
      <c r="D5085">
        <f>IF(B5085,MOD(A5085-1,Days),"")</f>
        <v/>
      </c>
      <c r="E5085" s="16">
        <f>IF(B5085,StartDate+D5085,"")</f>
        <v/>
      </c>
      <c r="F5085">
        <f>IF(B5085,MAX(MOD(SIN(Seed*0.1373+C5085*12.9898+D5085*78.233)*43758.5453,1),1E-9),"")</f>
        <v/>
      </c>
      <c r="G5085">
        <f>IF(B5085,MOD(SIN(Seed*0.5917+C5085*39.3468+D5085*11.135)*24634.6345,1),"")</f>
        <v/>
      </c>
      <c r="H5085">
        <f>IF(B5085,SQRT(-2*LN(F5085))*COS(2*PI()*G5085),"")</f>
        <v/>
      </c>
      <c r="I5085">
        <f>IF(B5085,IF(D5085=0,H5085,Rho*I5084+SQRT(1-Rho^2)*H5085),"")</f>
        <v/>
      </c>
      <c r="J5085">
        <f>IF(B5085,IF(Dist="Normal",DistA+DistB*I5085,DistA+(DistB-DistA)*NORMSDIST(I5085)),"")</f>
        <v/>
      </c>
      <c r="K5085">
        <f>IF(B5085,INDEX(MineScale,C5085),"")</f>
        <v/>
      </c>
      <c r="L5085">
        <f>IF(B5085,INDEX(Dow,1,WEEKDAY(E5085,2)),"")</f>
        <v/>
      </c>
      <c r="M5085">
        <f>IF(B5085,(1+Trend)^D5085,"")</f>
        <v/>
      </c>
      <c r="N5085">
        <f>IF(B5085,EXP(SUMPRODUCT(LN(1+(EvEff-1)*INDEX(Affected,0,C5085)*EXP(-((E5085-EvCenter)^2)/(2*EvSigma^2))))),"")</f>
        <v/>
      </c>
      <c r="O5085">
        <f>IF(B5085,ROUND(MAX(0,J5085*K5085*L5085*M5085*N5085),2),"")</f>
        <v/>
      </c>
    </row>
    <row r="5086">
      <c r="A5086" t="n">
        <v>5085</v>
      </c>
      <c r="B5086">
        <f>A5086&lt;=MineCount*Days</f>
        <v/>
      </c>
      <c r="C5086">
        <f>IF(B5086,INT((A5086-1)/Days)+1,"")</f>
        <v/>
      </c>
      <c r="D5086">
        <f>IF(B5086,MOD(A5086-1,Days),"")</f>
        <v/>
      </c>
      <c r="E5086" s="16">
        <f>IF(B5086,StartDate+D5086,"")</f>
        <v/>
      </c>
      <c r="F5086">
        <f>IF(B5086,MAX(MOD(SIN(Seed*0.1373+C5086*12.9898+D5086*78.233)*43758.5453,1),1E-9),"")</f>
        <v/>
      </c>
      <c r="G5086">
        <f>IF(B5086,MOD(SIN(Seed*0.5917+C5086*39.3468+D5086*11.135)*24634.6345,1),"")</f>
        <v/>
      </c>
      <c r="H5086">
        <f>IF(B5086,SQRT(-2*LN(F5086))*COS(2*PI()*G5086),"")</f>
        <v/>
      </c>
      <c r="I5086">
        <f>IF(B5086,IF(D5086=0,H5086,Rho*I5085+SQRT(1-Rho^2)*H5086),"")</f>
        <v/>
      </c>
      <c r="J5086">
        <f>IF(B5086,IF(Dist="Normal",DistA+DistB*I5086,DistA+(DistB-DistA)*NORMSDIST(I5086)),"")</f>
        <v/>
      </c>
      <c r="K5086">
        <f>IF(B5086,INDEX(MineScale,C5086),"")</f>
        <v/>
      </c>
      <c r="L5086">
        <f>IF(B5086,INDEX(Dow,1,WEEKDAY(E5086,2)),"")</f>
        <v/>
      </c>
      <c r="M5086">
        <f>IF(B5086,(1+Trend)^D5086,"")</f>
        <v/>
      </c>
      <c r="N5086">
        <f>IF(B5086,EXP(SUMPRODUCT(LN(1+(EvEff-1)*INDEX(Affected,0,C5086)*EXP(-((E5086-EvCenter)^2)/(2*EvSigma^2))))),"")</f>
        <v/>
      </c>
      <c r="O5086">
        <f>IF(B5086,ROUND(MAX(0,J5086*K5086*L5086*M5086*N5086),2),"")</f>
        <v/>
      </c>
    </row>
    <row r="5087">
      <c r="A5087" t="n">
        <v>5086</v>
      </c>
      <c r="B5087">
        <f>A5087&lt;=MineCount*Days</f>
        <v/>
      </c>
      <c r="C5087">
        <f>IF(B5087,INT((A5087-1)/Days)+1,"")</f>
        <v/>
      </c>
      <c r="D5087">
        <f>IF(B5087,MOD(A5087-1,Days),"")</f>
        <v/>
      </c>
      <c r="E5087" s="16">
        <f>IF(B5087,StartDate+D5087,"")</f>
        <v/>
      </c>
      <c r="F5087">
        <f>IF(B5087,MAX(MOD(SIN(Seed*0.1373+C5087*12.9898+D5087*78.233)*43758.5453,1),1E-9),"")</f>
        <v/>
      </c>
      <c r="G5087">
        <f>IF(B5087,MOD(SIN(Seed*0.5917+C5087*39.3468+D5087*11.135)*24634.6345,1),"")</f>
        <v/>
      </c>
      <c r="H5087">
        <f>IF(B5087,SQRT(-2*LN(F5087))*COS(2*PI()*G5087),"")</f>
        <v/>
      </c>
      <c r="I5087">
        <f>IF(B5087,IF(D5087=0,H5087,Rho*I5086+SQRT(1-Rho^2)*H5087),"")</f>
        <v/>
      </c>
      <c r="J5087">
        <f>IF(B5087,IF(Dist="Normal",DistA+DistB*I5087,DistA+(DistB-DistA)*NORMSDIST(I5087)),"")</f>
        <v/>
      </c>
      <c r="K5087">
        <f>IF(B5087,INDEX(MineScale,C5087),"")</f>
        <v/>
      </c>
      <c r="L5087">
        <f>IF(B5087,INDEX(Dow,1,WEEKDAY(E5087,2)),"")</f>
        <v/>
      </c>
      <c r="M5087">
        <f>IF(B5087,(1+Trend)^D5087,"")</f>
        <v/>
      </c>
      <c r="N5087">
        <f>IF(B5087,EXP(SUMPRODUCT(LN(1+(EvEff-1)*INDEX(Affected,0,C5087)*EXP(-((E5087-EvCenter)^2)/(2*EvSigma^2))))),"")</f>
        <v/>
      </c>
      <c r="O5087">
        <f>IF(B5087,ROUND(MAX(0,J5087*K5087*L5087*M5087*N5087),2),"")</f>
        <v/>
      </c>
    </row>
    <row r="5088">
      <c r="A5088" t="n">
        <v>5087</v>
      </c>
      <c r="B5088">
        <f>A5088&lt;=MineCount*Days</f>
        <v/>
      </c>
      <c r="C5088">
        <f>IF(B5088,INT((A5088-1)/Days)+1,"")</f>
        <v/>
      </c>
      <c r="D5088">
        <f>IF(B5088,MOD(A5088-1,Days),"")</f>
        <v/>
      </c>
      <c r="E5088" s="16">
        <f>IF(B5088,StartDate+D5088,"")</f>
        <v/>
      </c>
      <c r="F5088">
        <f>IF(B5088,MAX(MOD(SIN(Seed*0.1373+C5088*12.9898+D5088*78.233)*43758.5453,1),1E-9),"")</f>
        <v/>
      </c>
      <c r="G5088">
        <f>IF(B5088,MOD(SIN(Seed*0.5917+C5088*39.3468+D5088*11.135)*24634.6345,1),"")</f>
        <v/>
      </c>
      <c r="H5088">
        <f>IF(B5088,SQRT(-2*LN(F5088))*COS(2*PI()*G5088),"")</f>
        <v/>
      </c>
      <c r="I5088">
        <f>IF(B5088,IF(D5088=0,H5088,Rho*I5087+SQRT(1-Rho^2)*H5088),"")</f>
        <v/>
      </c>
      <c r="J5088">
        <f>IF(B5088,IF(Dist="Normal",DistA+DistB*I5088,DistA+(DistB-DistA)*NORMSDIST(I5088)),"")</f>
        <v/>
      </c>
      <c r="K5088">
        <f>IF(B5088,INDEX(MineScale,C5088),"")</f>
        <v/>
      </c>
      <c r="L5088">
        <f>IF(B5088,INDEX(Dow,1,WEEKDAY(E5088,2)),"")</f>
        <v/>
      </c>
      <c r="M5088">
        <f>IF(B5088,(1+Trend)^D5088,"")</f>
        <v/>
      </c>
      <c r="N5088">
        <f>IF(B5088,EXP(SUMPRODUCT(LN(1+(EvEff-1)*INDEX(Affected,0,C5088)*EXP(-((E5088-EvCenter)^2)/(2*EvSigma^2))))),"")</f>
        <v/>
      </c>
      <c r="O5088">
        <f>IF(B5088,ROUND(MAX(0,J5088*K5088*L5088*M5088*N5088),2),"")</f>
        <v/>
      </c>
    </row>
    <row r="5089">
      <c r="A5089" t="n">
        <v>5088</v>
      </c>
      <c r="B5089">
        <f>A5089&lt;=MineCount*Days</f>
        <v/>
      </c>
      <c r="C5089">
        <f>IF(B5089,INT((A5089-1)/Days)+1,"")</f>
        <v/>
      </c>
      <c r="D5089">
        <f>IF(B5089,MOD(A5089-1,Days),"")</f>
        <v/>
      </c>
      <c r="E5089" s="16">
        <f>IF(B5089,StartDate+D5089,"")</f>
        <v/>
      </c>
      <c r="F5089">
        <f>IF(B5089,MAX(MOD(SIN(Seed*0.1373+C5089*12.9898+D5089*78.233)*43758.5453,1),1E-9),"")</f>
        <v/>
      </c>
      <c r="G5089">
        <f>IF(B5089,MOD(SIN(Seed*0.5917+C5089*39.3468+D5089*11.135)*24634.6345,1),"")</f>
        <v/>
      </c>
      <c r="H5089">
        <f>IF(B5089,SQRT(-2*LN(F5089))*COS(2*PI()*G5089),"")</f>
        <v/>
      </c>
      <c r="I5089">
        <f>IF(B5089,IF(D5089=0,H5089,Rho*I5088+SQRT(1-Rho^2)*H5089),"")</f>
        <v/>
      </c>
      <c r="J5089">
        <f>IF(B5089,IF(Dist="Normal",DistA+DistB*I5089,DistA+(DistB-DistA)*NORMSDIST(I5089)),"")</f>
        <v/>
      </c>
      <c r="K5089">
        <f>IF(B5089,INDEX(MineScale,C5089),"")</f>
        <v/>
      </c>
      <c r="L5089">
        <f>IF(B5089,INDEX(Dow,1,WEEKDAY(E5089,2)),"")</f>
        <v/>
      </c>
      <c r="M5089">
        <f>IF(B5089,(1+Trend)^D5089,"")</f>
        <v/>
      </c>
      <c r="N5089">
        <f>IF(B5089,EXP(SUMPRODUCT(LN(1+(EvEff-1)*INDEX(Affected,0,C5089)*EXP(-((E5089-EvCenter)^2)/(2*EvSigma^2))))),"")</f>
        <v/>
      </c>
      <c r="O5089">
        <f>IF(B5089,ROUND(MAX(0,J5089*K5089*L5089*M5089*N5089),2),"")</f>
        <v/>
      </c>
    </row>
    <row r="5090">
      <c r="A5090" t="n">
        <v>5089</v>
      </c>
      <c r="B5090">
        <f>A5090&lt;=MineCount*Days</f>
        <v/>
      </c>
      <c r="C5090">
        <f>IF(B5090,INT((A5090-1)/Days)+1,"")</f>
        <v/>
      </c>
      <c r="D5090">
        <f>IF(B5090,MOD(A5090-1,Days),"")</f>
        <v/>
      </c>
      <c r="E5090" s="16">
        <f>IF(B5090,StartDate+D5090,"")</f>
        <v/>
      </c>
      <c r="F5090">
        <f>IF(B5090,MAX(MOD(SIN(Seed*0.1373+C5090*12.9898+D5090*78.233)*43758.5453,1),1E-9),"")</f>
        <v/>
      </c>
      <c r="G5090">
        <f>IF(B5090,MOD(SIN(Seed*0.5917+C5090*39.3468+D5090*11.135)*24634.6345,1),"")</f>
        <v/>
      </c>
      <c r="H5090">
        <f>IF(B5090,SQRT(-2*LN(F5090))*COS(2*PI()*G5090),"")</f>
        <v/>
      </c>
      <c r="I5090">
        <f>IF(B5090,IF(D5090=0,H5090,Rho*I5089+SQRT(1-Rho^2)*H5090),"")</f>
        <v/>
      </c>
      <c r="J5090">
        <f>IF(B5090,IF(Dist="Normal",DistA+DistB*I5090,DistA+(DistB-DistA)*NORMSDIST(I5090)),"")</f>
        <v/>
      </c>
      <c r="K5090">
        <f>IF(B5090,INDEX(MineScale,C5090),"")</f>
        <v/>
      </c>
      <c r="L5090">
        <f>IF(B5090,INDEX(Dow,1,WEEKDAY(E5090,2)),"")</f>
        <v/>
      </c>
      <c r="M5090">
        <f>IF(B5090,(1+Trend)^D5090,"")</f>
        <v/>
      </c>
      <c r="N5090">
        <f>IF(B5090,EXP(SUMPRODUCT(LN(1+(EvEff-1)*INDEX(Affected,0,C5090)*EXP(-((E5090-EvCenter)^2)/(2*EvSigma^2))))),"")</f>
        <v/>
      </c>
      <c r="O5090">
        <f>IF(B5090,ROUND(MAX(0,J5090*K5090*L5090*M5090*N5090),2),"")</f>
        <v/>
      </c>
    </row>
    <row r="5091">
      <c r="A5091" t="n">
        <v>5090</v>
      </c>
      <c r="B5091">
        <f>A5091&lt;=MineCount*Days</f>
        <v/>
      </c>
      <c r="C5091">
        <f>IF(B5091,INT((A5091-1)/Days)+1,"")</f>
        <v/>
      </c>
      <c r="D5091">
        <f>IF(B5091,MOD(A5091-1,Days),"")</f>
        <v/>
      </c>
      <c r="E5091" s="16">
        <f>IF(B5091,StartDate+D5091,"")</f>
        <v/>
      </c>
      <c r="F5091">
        <f>IF(B5091,MAX(MOD(SIN(Seed*0.1373+C5091*12.9898+D5091*78.233)*43758.5453,1),1E-9),"")</f>
        <v/>
      </c>
      <c r="G5091">
        <f>IF(B5091,MOD(SIN(Seed*0.5917+C5091*39.3468+D5091*11.135)*24634.6345,1),"")</f>
        <v/>
      </c>
      <c r="H5091">
        <f>IF(B5091,SQRT(-2*LN(F5091))*COS(2*PI()*G5091),"")</f>
        <v/>
      </c>
      <c r="I5091">
        <f>IF(B5091,IF(D5091=0,H5091,Rho*I5090+SQRT(1-Rho^2)*H5091),"")</f>
        <v/>
      </c>
      <c r="J5091">
        <f>IF(B5091,IF(Dist="Normal",DistA+DistB*I5091,DistA+(DistB-DistA)*NORMSDIST(I5091)),"")</f>
        <v/>
      </c>
      <c r="K5091">
        <f>IF(B5091,INDEX(MineScale,C5091),"")</f>
        <v/>
      </c>
      <c r="L5091">
        <f>IF(B5091,INDEX(Dow,1,WEEKDAY(E5091,2)),"")</f>
        <v/>
      </c>
      <c r="M5091">
        <f>IF(B5091,(1+Trend)^D5091,"")</f>
        <v/>
      </c>
      <c r="N5091">
        <f>IF(B5091,EXP(SUMPRODUCT(LN(1+(EvEff-1)*INDEX(Affected,0,C5091)*EXP(-((E5091-EvCenter)^2)/(2*EvSigma^2))))),"")</f>
        <v/>
      </c>
      <c r="O5091">
        <f>IF(B5091,ROUND(MAX(0,J5091*K5091*L5091*M5091*N5091),2),"")</f>
        <v/>
      </c>
    </row>
    <row r="5092">
      <c r="A5092" t="n">
        <v>5091</v>
      </c>
      <c r="B5092">
        <f>A5092&lt;=MineCount*Days</f>
        <v/>
      </c>
      <c r="C5092">
        <f>IF(B5092,INT((A5092-1)/Days)+1,"")</f>
        <v/>
      </c>
      <c r="D5092">
        <f>IF(B5092,MOD(A5092-1,Days),"")</f>
        <v/>
      </c>
      <c r="E5092" s="16">
        <f>IF(B5092,StartDate+D5092,"")</f>
        <v/>
      </c>
      <c r="F5092">
        <f>IF(B5092,MAX(MOD(SIN(Seed*0.1373+C5092*12.9898+D5092*78.233)*43758.5453,1),1E-9),"")</f>
        <v/>
      </c>
      <c r="G5092">
        <f>IF(B5092,MOD(SIN(Seed*0.5917+C5092*39.3468+D5092*11.135)*24634.6345,1),"")</f>
        <v/>
      </c>
      <c r="H5092">
        <f>IF(B5092,SQRT(-2*LN(F5092))*COS(2*PI()*G5092),"")</f>
        <v/>
      </c>
      <c r="I5092">
        <f>IF(B5092,IF(D5092=0,H5092,Rho*I5091+SQRT(1-Rho^2)*H5092),"")</f>
        <v/>
      </c>
      <c r="J5092">
        <f>IF(B5092,IF(Dist="Normal",DistA+DistB*I5092,DistA+(DistB-DistA)*NORMSDIST(I5092)),"")</f>
        <v/>
      </c>
      <c r="K5092">
        <f>IF(B5092,INDEX(MineScale,C5092),"")</f>
        <v/>
      </c>
      <c r="L5092">
        <f>IF(B5092,INDEX(Dow,1,WEEKDAY(E5092,2)),"")</f>
        <v/>
      </c>
      <c r="M5092">
        <f>IF(B5092,(1+Trend)^D5092,"")</f>
        <v/>
      </c>
      <c r="N5092">
        <f>IF(B5092,EXP(SUMPRODUCT(LN(1+(EvEff-1)*INDEX(Affected,0,C5092)*EXP(-((E5092-EvCenter)^2)/(2*EvSigma^2))))),"")</f>
        <v/>
      </c>
      <c r="O5092">
        <f>IF(B5092,ROUND(MAX(0,J5092*K5092*L5092*M5092*N5092),2),"")</f>
        <v/>
      </c>
    </row>
    <row r="5093">
      <c r="A5093" t="n">
        <v>5092</v>
      </c>
      <c r="B5093">
        <f>A5093&lt;=MineCount*Days</f>
        <v/>
      </c>
      <c r="C5093">
        <f>IF(B5093,INT((A5093-1)/Days)+1,"")</f>
        <v/>
      </c>
      <c r="D5093">
        <f>IF(B5093,MOD(A5093-1,Days),"")</f>
        <v/>
      </c>
      <c r="E5093" s="16">
        <f>IF(B5093,StartDate+D5093,"")</f>
        <v/>
      </c>
      <c r="F5093">
        <f>IF(B5093,MAX(MOD(SIN(Seed*0.1373+C5093*12.9898+D5093*78.233)*43758.5453,1),1E-9),"")</f>
        <v/>
      </c>
      <c r="G5093">
        <f>IF(B5093,MOD(SIN(Seed*0.5917+C5093*39.3468+D5093*11.135)*24634.6345,1),"")</f>
        <v/>
      </c>
      <c r="H5093">
        <f>IF(B5093,SQRT(-2*LN(F5093))*COS(2*PI()*G5093),"")</f>
        <v/>
      </c>
      <c r="I5093">
        <f>IF(B5093,IF(D5093=0,H5093,Rho*I5092+SQRT(1-Rho^2)*H5093),"")</f>
        <v/>
      </c>
      <c r="J5093">
        <f>IF(B5093,IF(Dist="Normal",DistA+DistB*I5093,DistA+(DistB-DistA)*NORMSDIST(I5093)),"")</f>
        <v/>
      </c>
      <c r="K5093">
        <f>IF(B5093,INDEX(MineScale,C5093),"")</f>
        <v/>
      </c>
      <c r="L5093">
        <f>IF(B5093,INDEX(Dow,1,WEEKDAY(E5093,2)),"")</f>
        <v/>
      </c>
      <c r="M5093">
        <f>IF(B5093,(1+Trend)^D5093,"")</f>
        <v/>
      </c>
      <c r="N5093">
        <f>IF(B5093,EXP(SUMPRODUCT(LN(1+(EvEff-1)*INDEX(Affected,0,C5093)*EXP(-((E5093-EvCenter)^2)/(2*EvSigma^2))))),"")</f>
        <v/>
      </c>
      <c r="O5093">
        <f>IF(B5093,ROUND(MAX(0,J5093*K5093*L5093*M5093*N5093),2),"")</f>
        <v/>
      </c>
    </row>
    <row r="5094">
      <c r="A5094" t="n">
        <v>5093</v>
      </c>
      <c r="B5094">
        <f>A5094&lt;=MineCount*Days</f>
        <v/>
      </c>
      <c r="C5094">
        <f>IF(B5094,INT((A5094-1)/Days)+1,"")</f>
        <v/>
      </c>
      <c r="D5094">
        <f>IF(B5094,MOD(A5094-1,Days),"")</f>
        <v/>
      </c>
      <c r="E5094" s="16">
        <f>IF(B5094,StartDate+D5094,"")</f>
        <v/>
      </c>
      <c r="F5094">
        <f>IF(B5094,MAX(MOD(SIN(Seed*0.1373+C5094*12.9898+D5094*78.233)*43758.5453,1),1E-9),"")</f>
        <v/>
      </c>
      <c r="G5094">
        <f>IF(B5094,MOD(SIN(Seed*0.5917+C5094*39.3468+D5094*11.135)*24634.6345,1),"")</f>
        <v/>
      </c>
      <c r="H5094">
        <f>IF(B5094,SQRT(-2*LN(F5094))*COS(2*PI()*G5094),"")</f>
        <v/>
      </c>
      <c r="I5094">
        <f>IF(B5094,IF(D5094=0,H5094,Rho*I5093+SQRT(1-Rho^2)*H5094),"")</f>
        <v/>
      </c>
      <c r="J5094">
        <f>IF(B5094,IF(Dist="Normal",DistA+DistB*I5094,DistA+(DistB-DistA)*NORMSDIST(I5094)),"")</f>
        <v/>
      </c>
      <c r="K5094">
        <f>IF(B5094,INDEX(MineScale,C5094),"")</f>
        <v/>
      </c>
      <c r="L5094">
        <f>IF(B5094,INDEX(Dow,1,WEEKDAY(E5094,2)),"")</f>
        <v/>
      </c>
      <c r="M5094">
        <f>IF(B5094,(1+Trend)^D5094,"")</f>
        <v/>
      </c>
      <c r="N5094">
        <f>IF(B5094,EXP(SUMPRODUCT(LN(1+(EvEff-1)*INDEX(Affected,0,C5094)*EXP(-((E5094-EvCenter)^2)/(2*EvSigma^2))))),"")</f>
        <v/>
      </c>
      <c r="O5094">
        <f>IF(B5094,ROUND(MAX(0,J5094*K5094*L5094*M5094*N5094),2),"")</f>
        <v/>
      </c>
    </row>
    <row r="5095">
      <c r="A5095" t="n">
        <v>5094</v>
      </c>
      <c r="B5095">
        <f>A5095&lt;=MineCount*Days</f>
        <v/>
      </c>
      <c r="C5095">
        <f>IF(B5095,INT((A5095-1)/Days)+1,"")</f>
        <v/>
      </c>
      <c r="D5095">
        <f>IF(B5095,MOD(A5095-1,Days),"")</f>
        <v/>
      </c>
      <c r="E5095" s="16">
        <f>IF(B5095,StartDate+D5095,"")</f>
        <v/>
      </c>
      <c r="F5095">
        <f>IF(B5095,MAX(MOD(SIN(Seed*0.1373+C5095*12.9898+D5095*78.233)*43758.5453,1),1E-9),"")</f>
        <v/>
      </c>
      <c r="G5095">
        <f>IF(B5095,MOD(SIN(Seed*0.5917+C5095*39.3468+D5095*11.135)*24634.6345,1),"")</f>
        <v/>
      </c>
      <c r="H5095">
        <f>IF(B5095,SQRT(-2*LN(F5095))*COS(2*PI()*G5095),"")</f>
        <v/>
      </c>
      <c r="I5095">
        <f>IF(B5095,IF(D5095=0,H5095,Rho*I5094+SQRT(1-Rho^2)*H5095),"")</f>
        <v/>
      </c>
      <c r="J5095">
        <f>IF(B5095,IF(Dist="Normal",DistA+DistB*I5095,DistA+(DistB-DistA)*NORMSDIST(I5095)),"")</f>
        <v/>
      </c>
      <c r="K5095">
        <f>IF(B5095,INDEX(MineScale,C5095),"")</f>
        <v/>
      </c>
      <c r="L5095">
        <f>IF(B5095,INDEX(Dow,1,WEEKDAY(E5095,2)),"")</f>
        <v/>
      </c>
      <c r="M5095">
        <f>IF(B5095,(1+Trend)^D5095,"")</f>
        <v/>
      </c>
      <c r="N5095">
        <f>IF(B5095,EXP(SUMPRODUCT(LN(1+(EvEff-1)*INDEX(Affected,0,C5095)*EXP(-((E5095-EvCenter)^2)/(2*EvSigma^2))))),"")</f>
        <v/>
      </c>
      <c r="O5095">
        <f>IF(B5095,ROUND(MAX(0,J5095*K5095*L5095*M5095*N5095),2),"")</f>
        <v/>
      </c>
    </row>
    <row r="5096">
      <c r="A5096" t="n">
        <v>5095</v>
      </c>
      <c r="B5096">
        <f>A5096&lt;=MineCount*Days</f>
        <v/>
      </c>
      <c r="C5096">
        <f>IF(B5096,INT((A5096-1)/Days)+1,"")</f>
        <v/>
      </c>
      <c r="D5096">
        <f>IF(B5096,MOD(A5096-1,Days),"")</f>
        <v/>
      </c>
      <c r="E5096" s="16">
        <f>IF(B5096,StartDate+D5096,"")</f>
        <v/>
      </c>
      <c r="F5096">
        <f>IF(B5096,MAX(MOD(SIN(Seed*0.1373+C5096*12.9898+D5096*78.233)*43758.5453,1),1E-9),"")</f>
        <v/>
      </c>
      <c r="G5096">
        <f>IF(B5096,MOD(SIN(Seed*0.5917+C5096*39.3468+D5096*11.135)*24634.6345,1),"")</f>
        <v/>
      </c>
      <c r="H5096">
        <f>IF(B5096,SQRT(-2*LN(F5096))*COS(2*PI()*G5096),"")</f>
        <v/>
      </c>
      <c r="I5096">
        <f>IF(B5096,IF(D5096=0,H5096,Rho*I5095+SQRT(1-Rho^2)*H5096),"")</f>
        <v/>
      </c>
      <c r="J5096">
        <f>IF(B5096,IF(Dist="Normal",DistA+DistB*I5096,DistA+(DistB-DistA)*NORMSDIST(I5096)),"")</f>
        <v/>
      </c>
      <c r="K5096">
        <f>IF(B5096,INDEX(MineScale,C5096),"")</f>
        <v/>
      </c>
      <c r="L5096">
        <f>IF(B5096,INDEX(Dow,1,WEEKDAY(E5096,2)),"")</f>
        <v/>
      </c>
      <c r="M5096">
        <f>IF(B5096,(1+Trend)^D5096,"")</f>
        <v/>
      </c>
      <c r="N5096">
        <f>IF(B5096,EXP(SUMPRODUCT(LN(1+(EvEff-1)*INDEX(Affected,0,C5096)*EXP(-((E5096-EvCenter)^2)/(2*EvSigma^2))))),"")</f>
        <v/>
      </c>
      <c r="O5096">
        <f>IF(B5096,ROUND(MAX(0,J5096*K5096*L5096*M5096*N5096),2),"")</f>
        <v/>
      </c>
    </row>
    <row r="5097">
      <c r="A5097" t="n">
        <v>5096</v>
      </c>
      <c r="B5097">
        <f>A5097&lt;=MineCount*Days</f>
        <v/>
      </c>
      <c r="C5097">
        <f>IF(B5097,INT((A5097-1)/Days)+1,"")</f>
        <v/>
      </c>
      <c r="D5097">
        <f>IF(B5097,MOD(A5097-1,Days),"")</f>
        <v/>
      </c>
      <c r="E5097" s="16">
        <f>IF(B5097,StartDate+D5097,"")</f>
        <v/>
      </c>
      <c r="F5097">
        <f>IF(B5097,MAX(MOD(SIN(Seed*0.1373+C5097*12.9898+D5097*78.233)*43758.5453,1),1E-9),"")</f>
        <v/>
      </c>
      <c r="G5097">
        <f>IF(B5097,MOD(SIN(Seed*0.5917+C5097*39.3468+D5097*11.135)*24634.6345,1),"")</f>
        <v/>
      </c>
      <c r="H5097">
        <f>IF(B5097,SQRT(-2*LN(F5097))*COS(2*PI()*G5097),"")</f>
        <v/>
      </c>
      <c r="I5097">
        <f>IF(B5097,IF(D5097=0,H5097,Rho*I5096+SQRT(1-Rho^2)*H5097),"")</f>
        <v/>
      </c>
      <c r="J5097">
        <f>IF(B5097,IF(Dist="Normal",DistA+DistB*I5097,DistA+(DistB-DistA)*NORMSDIST(I5097)),"")</f>
        <v/>
      </c>
      <c r="K5097">
        <f>IF(B5097,INDEX(MineScale,C5097),"")</f>
        <v/>
      </c>
      <c r="L5097">
        <f>IF(B5097,INDEX(Dow,1,WEEKDAY(E5097,2)),"")</f>
        <v/>
      </c>
      <c r="M5097">
        <f>IF(B5097,(1+Trend)^D5097,"")</f>
        <v/>
      </c>
      <c r="N5097">
        <f>IF(B5097,EXP(SUMPRODUCT(LN(1+(EvEff-1)*INDEX(Affected,0,C5097)*EXP(-((E5097-EvCenter)^2)/(2*EvSigma^2))))),"")</f>
        <v/>
      </c>
      <c r="O5097">
        <f>IF(B5097,ROUND(MAX(0,J5097*K5097*L5097*M5097*N5097),2),"")</f>
        <v/>
      </c>
    </row>
    <row r="5098">
      <c r="A5098" t="n">
        <v>5097</v>
      </c>
      <c r="B5098">
        <f>A5098&lt;=MineCount*Days</f>
        <v/>
      </c>
      <c r="C5098">
        <f>IF(B5098,INT((A5098-1)/Days)+1,"")</f>
        <v/>
      </c>
      <c r="D5098">
        <f>IF(B5098,MOD(A5098-1,Days),"")</f>
        <v/>
      </c>
      <c r="E5098" s="16">
        <f>IF(B5098,StartDate+D5098,"")</f>
        <v/>
      </c>
      <c r="F5098">
        <f>IF(B5098,MAX(MOD(SIN(Seed*0.1373+C5098*12.9898+D5098*78.233)*43758.5453,1),1E-9),"")</f>
        <v/>
      </c>
      <c r="G5098">
        <f>IF(B5098,MOD(SIN(Seed*0.5917+C5098*39.3468+D5098*11.135)*24634.6345,1),"")</f>
        <v/>
      </c>
      <c r="H5098">
        <f>IF(B5098,SQRT(-2*LN(F5098))*COS(2*PI()*G5098),"")</f>
        <v/>
      </c>
      <c r="I5098">
        <f>IF(B5098,IF(D5098=0,H5098,Rho*I5097+SQRT(1-Rho^2)*H5098),"")</f>
        <v/>
      </c>
      <c r="J5098">
        <f>IF(B5098,IF(Dist="Normal",DistA+DistB*I5098,DistA+(DistB-DistA)*NORMSDIST(I5098)),"")</f>
        <v/>
      </c>
      <c r="K5098">
        <f>IF(B5098,INDEX(MineScale,C5098),"")</f>
        <v/>
      </c>
      <c r="L5098">
        <f>IF(B5098,INDEX(Dow,1,WEEKDAY(E5098,2)),"")</f>
        <v/>
      </c>
      <c r="M5098">
        <f>IF(B5098,(1+Trend)^D5098,"")</f>
        <v/>
      </c>
      <c r="N5098">
        <f>IF(B5098,EXP(SUMPRODUCT(LN(1+(EvEff-1)*INDEX(Affected,0,C5098)*EXP(-((E5098-EvCenter)^2)/(2*EvSigma^2))))),"")</f>
        <v/>
      </c>
      <c r="O5098">
        <f>IF(B5098,ROUND(MAX(0,J5098*K5098*L5098*M5098*N5098),2),"")</f>
        <v/>
      </c>
    </row>
    <row r="5099">
      <c r="A5099" t="n">
        <v>5098</v>
      </c>
      <c r="B5099">
        <f>A5099&lt;=MineCount*Days</f>
        <v/>
      </c>
      <c r="C5099">
        <f>IF(B5099,INT((A5099-1)/Days)+1,"")</f>
        <v/>
      </c>
      <c r="D5099">
        <f>IF(B5099,MOD(A5099-1,Days),"")</f>
        <v/>
      </c>
      <c r="E5099" s="16">
        <f>IF(B5099,StartDate+D5099,"")</f>
        <v/>
      </c>
      <c r="F5099">
        <f>IF(B5099,MAX(MOD(SIN(Seed*0.1373+C5099*12.9898+D5099*78.233)*43758.5453,1),1E-9),"")</f>
        <v/>
      </c>
      <c r="G5099">
        <f>IF(B5099,MOD(SIN(Seed*0.5917+C5099*39.3468+D5099*11.135)*24634.6345,1),"")</f>
        <v/>
      </c>
      <c r="H5099">
        <f>IF(B5099,SQRT(-2*LN(F5099))*COS(2*PI()*G5099),"")</f>
        <v/>
      </c>
      <c r="I5099">
        <f>IF(B5099,IF(D5099=0,H5099,Rho*I5098+SQRT(1-Rho^2)*H5099),"")</f>
        <v/>
      </c>
      <c r="J5099">
        <f>IF(B5099,IF(Dist="Normal",DistA+DistB*I5099,DistA+(DistB-DistA)*NORMSDIST(I5099)),"")</f>
        <v/>
      </c>
      <c r="K5099">
        <f>IF(B5099,INDEX(MineScale,C5099),"")</f>
        <v/>
      </c>
      <c r="L5099">
        <f>IF(B5099,INDEX(Dow,1,WEEKDAY(E5099,2)),"")</f>
        <v/>
      </c>
      <c r="M5099">
        <f>IF(B5099,(1+Trend)^D5099,"")</f>
        <v/>
      </c>
      <c r="N5099">
        <f>IF(B5099,EXP(SUMPRODUCT(LN(1+(EvEff-1)*INDEX(Affected,0,C5099)*EXP(-((E5099-EvCenter)^2)/(2*EvSigma^2))))),"")</f>
        <v/>
      </c>
      <c r="O5099">
        <f>IF(B5099,ROUND(MAX(0,J5099*K5099*L5099*M5099*N5099),2),"")</f>
        <v/>
      </c>
    </row>
    <row r="5100">
      <c r="A5100" t="n">
        <v>5099</v>
      </c>
      <c r="B5100">
        <f>A5100&lt;=MineCount*Days</f>
        <v/>
      </c>
      <c r="C5100">
        <f>IF(B5100,INT((A5100-1)/Days)+1,"")</f>
        <v/>
      </c>
      <c r="D5100">
        <f>IF(B5100,MOD(A5100-1,Days),"")</f>
        <v/>
      </c>
      <c r="E5100" s="16">
        <f>IF(B5100,StartDate+D5100,"")</f>
        <v/>
      </c>
      <c r="F5100">
        <f>IF(B5100,MAX(MOD(SIN(Seed*0.1373+C5100*12.9898+D5100*78.233)*43758.5453,1),1E-9),"")</f>
        <v/>
      </c>
      <c r="G5100">
        <f>IF(B5100,MOD(SIN(Seed*0.5917+C5100*39.3468+D5100*11.135)*24634.6345,1),"")</f>
        <v/>
      </c>
      <c r="H5100">
        <f>IF(B5100,SQRT(-2*LN(F5100))*COS(2*PI()*G5100),"")</f>
        <v/>
      </c>
      <c r="I5100">
        <f>IF(B5100,IF(D5100=0,H5100,Rho*I5099+SQRT(1-Rho^2)*H5100),"")</f>
        <v/>
      </c>
      <c r="J5100">
        <f>IF(B5100,IF(Dist="Normal",DistA+DistB*I5100,DistA+(DistB-DistA)*NORMSDIST(I5100)),"")</f>
        <v/>
      </c>
      <c r="K5100">
        <f>IF(B5100,INDEX(MineScale,C5100),"")</f>
        <v/>
      </c>
      <c r="L5100">
        <f>IF(B5100,INDEX(Dow,1,WEEKDAY(E5100,2)),"")</f>
        <v/>
      </c>
      <c r="M5100">
        <f>IF(B5100,(1+Trend)^D5100,"")</f>
        <v/>
      </c>
      <c r="N5100">
        <f>IF(B5100,EXP(SUMPRODUCT(LN(1+(EvEff-1)*INDEX(Affected,0,C5100)*EXP(-((E5100-EvCenter)^2)/(2*EvSigma^2))))),"")</f>
        <v/>
      </c>
      <c r="O5100">
        <f>IF(B5100,ROUND(MAX(0,J5100*K5100*L5100*M5100*N5100),2),"")</f>
        <v/>
      </c>
    </row>
    <row r="5101">
      <c r="A5101" t="n">
        <v>5100</v>
      </c>
      <c r="B5101">
        <f>A5101&lt;=MineCount*Days</f>
        <v/>
      </c>
      <c r="C5101">
        <f>IF(B5101,INT((A5101-1)/Days)+1,"")</f>
        <v/>
      </c>
      <c r="D5101">
        <f>IF(B5101,MOD(A5101-1,Days),"")</f>
        <v/>
      </c>
      <c r="E5101" s="16">
        <f>IF(B5101,StartDate+D5101,"")</f>
        <v/>
      </c>
      <c r="F5101">
        <f>IF(B5101,MAX(MOD(SIN(Seed*0.1373+C5101*12.9898+D5101*78.233)*43758.5453,1),1E-9),"")</f>
        <v/>
      </c>
      <c r="G5101">
        <f>IF(B5101,MOD(SIN(Seed*0.5917+C5101*39.3468+D5101*11.135)*24634.6345,1),"")</f>
        <v/>
      </c>
      <c r="H5101">
        <f>IF(B5101,SQRT(-2*LN(F5101))*COS(2*PI()*G5101),"")</f>
        <v/>
      </c>
      <c r="I5101">
        <f>IF(B5101,IF(D5101=0,H5101,Rho*I5100+SQRT(1-Rho^2)*H5101),"")</f>
        <v/>
      </c>
      <c r="J5101">
        <f>IF(B5101,IF(Dist="Normal",DistA+DistB*I5101,DistA+(DistB-DistA)*NORMSDIST(I5101)),"")</f>
        <v/>
      </c>
      <c r="K5101">
        <f>IF(B5101,INDEX(MineScale,C5101),"")</f>
        <v/>
      </c>
      <c r="L5101">
        <f>IF(B5101,INDEX(Dow,1,WEEKDAY(E5101,2)),"")</f>
        <v/>
      </c>
      <c r="M5101">
        <f>IF(B5101,(1+Trend)^D5101,"")</f>
        <v/>
      </c>
      <c r="N5101">
        <f>IF(B5101,EXP(SUMPRODUCT(LN(1+(EvEff-1)*INDEX(Affected,0,C5101)*EXP(-((E5101-EvCenter)^2)/(2*EvSigma^2))))),"")</f>
        <v/>
      </c>
      <c r="O5101">
        <f>IF(B5101,ROUND(MAX(0,J5101*K5101*L5101*M5101*N5101),2),"")</f>
        <v/>
      </c>
    </row>
    <row r="5102">
      <c r="A5102" t="n">
        <v>5101</v>
      </c>
      <c r="B5102">
        <f>A5102&lt;=MineCount*Days</f>
        <v/>
      </c>
      <c r="C5102">
        <f>IF(B5102,INT((A5102-1)/Days)+1,"")</f>
        <v/>
      </c>
      <c r="D5102">
        <f>IF(B5102,MOD(A5102-1,Days),"")</f>
        <v/>
      </c>
      <c r="E5102" s="16">
        <f>IF(B5102,StartDate+D5102,"")</f>
        <v/>
      </c>
      <c r="F5102">
        <f>IF(B5102,MAX(MOD(SIN(Seed*0.1373+C5102*12.9898+D5102*78.233)*43758.5453,1),1E-9),"")</f>
        <v/>
      </c>
      <c r="G5102">
        <f>IF(B5102,MOD(SIN(Seed*0.5917+C5102*39.3468+D5102*11.135)*24634.6345,1),"")</f>
        <v/>
      </c>
      <c r="H5102">
        <f>IF(B5102,SQRT(-2*LN(F5102))*COS(2*PI()*G5102),"")</f>
        <v/>
      </c>
      <c r="I5102">
        <f>IF(B5102,IF(D5102=0,H5102,Rho*I5101+SQRT(1-Rho^2)*H5102),"")</f>
        <v/>
      </c>
      <c r="J5102">
        <f>IF(B5102,IF(Dist="Normal",DistA+DistB*I5102,DistA+(DistB-DistA)*NORMSDIST(I5102)),"")</f>
        <v/>
      </c>
      <c r="K5102">
        <f>IF(B5102,INDEX(MineScale,C5102),"")</f>
        <v/>
      </c>
      <c r="L5102">
        <f>IF(B5102,INDEX(Dow,1,WEEKDAY(E5102,2)),"")</f>
        <v/>
      </c>
      <c r="M5102">
        <f>IF(B5102,(1+Trend)^D5102,"")</f>
        <v/>
      </c>
      <c r="N5102">
        <f>IF(B5102,EXP(SUMPRODUCT(LN(1+(EvEff-1)*INDEX(Affected,0,C5102)*EXP(-((E5102-EvCenter)^2)/(2*EvSigma^2))))),"")</f>
        <v/>
      </c>
      <c r="O5102">
        <f>IF(B5102,ROUND(MAX(0,J5102*K5102*L5102*M5102*N5102),2),"")</f>
        <v/>
      </c>
    </row>
    <row r="5103">
      <c r="A5103" t="n">
        <v>5102</v>
      </c>
      <c r="B5103">
        <f>A5103&lt;=MineCount*Days</f>
        <v/>
      </c>
      <c r="C5103">
        <f>IF(B5103,INT((A5103-1)/Days)+1,"")</f>
        <v/>
      </c>
      <c r="D5103">
        <f>IF(B5103,MOD(A5103-1,Days),"")</f>
        <v/>
      </c>
      <c r="E5103" s="16">
        <f>IF(B5103,StartDate+D5103,"")</f>
        <v/>
      </c>
      <c r="F5103">
        <f>IF(B5103,MAX(MOD(SIN(Seed*0.1373+C5103*12.9898+D5103*78.233)*43758.5453,1),1E-9),"")</f>
        <v/>
      </c>
      <c r="G5103">
        <f>IF(B5103,MOD(SIN(Seed*0.5917+C5103*39.3468+D5103*11.135)*24634.6345,1),"")</f>
        <v/>
      </c>
      <c r="H5103">
        <f>IF(B5103,SQRT(-2*LN(F5103))*COS(2*PI()*G5103),"")</f>
        <v/>
      </c>
      <c r="I5103">
        <f>IF(B5103,IF(D5103=0,H5103,Rho*I5102+SQRT(1-Rho^2)*H5103),"")</f>
        <v/>
      </c>
      <c r="J5103">
        <f>IF(B5103,IF(Dist="Normal",DistA+DistB*I5103,DistA+(DistB-DistA)*NORMSDIST(I5103)),"")</f>
        <v/>
      </c>
      <c r="K5103">
        <f>IF(B5103,INDEX(MineScale,C5103),"")</f>
        <v/>
      </c>
      <c r="L5103">
        <f>IF(B5103,INDEX(Dow,1,WEEKDAY(E5103,2)),"")</f>
        <v/>
      </c>
      <c r="M5103">
        <f>IF(B5103,(1+Trend)^D5103,"")</f>
        <v/>
      </c>
      <c r="N5103">
        <f>IF(B5103,EXP(SUMPRODUCT(LN(1+(EvEff-1)*INDEX(Affected,0,C5103)*EXP(-((E5103-EvCenter)^2)/(2*EvSigma^2))))),"")</f>
        <v/>
      </c>
      <c r="O5103">
        <f>IF(B5103,ROUND(MAX(0,J5103*K5103*L5103*M5103*N5103),2),"")</f>
        <v/>
      </c>
    </row>
    <row r="5104">
      <c r="A5104" t="n">
        <v>5103</v>
      </c>
      <c r="B5104">
        <f>A5104&lt;=MineCount*Days</f>
        <v/>
      </c>
      <c r="C5104">
        <f>IF(B5104,INT((A5104-1)/Days)+1,"")</f>
        <v/>
      </c>
      <c r="D5104">
        <f>IF(B5104,MOD(A5104-1,Days),"")</f>
        <v/>
      </c>
      <c r="E5104" s="16">
        <f>IF(B5104,StartDate+D5104,"")</f>
        <v/>
      </c>
      <c r="F5104">
        <f>IF(B5104,MAX(MOD(SIN(Seed*0.1373+C5104*12.9898+D5104*78.233)*43758.5453,1),1E-9),"")</f>
        <v/>
      </c>
      <c r="G5104">
        <f>IF(B5104,MOD(SIN(Seed*0.5917+C5104*39.3468+D5104*11.135)*24634.6345,1),"")</f>
        <v/>
      </c>
      <c r="H5104">
        <f>IF(B5104,SQRT(-2*LN(F5104))*COS(2*PI()*G5104),"")</f>
        <v/>
      </c>
      <c r="I5104">
        <f>IF(B5104,IF(D5104=0,H5104,Rho*I5103+SQRT(1-Rho^2)*H5104),"")</f>
        <v/>
      </c>
      <c r="J5104">
        <f>IF(B5104,IF(Dist="Normal",DistA+DistB*I5104,DistA+(DistB-DistA)*NORMSDIST(I5104)),"")</f>
        <v/>
      </c>
      <c r="K5104">
        <f>IF(B5104,INDEX(MineScale,C5104),"")</f>
        <v/>
      </c>
      <c r="L5104">
        <f>IF(B5104,INDEX(Dow,1,WEEKDAY(E5104,2)),"")</f>
        <v/>
      </c>
      <c r="M5104">
        <f>IF(B5104,(1+Trend)^D5104,"")</f>
        <v/>
      </c>
      <c r="N5104">
        <f>IF(B5104,EXP(SUMPRODUCT(LN(1+(EvEff-1)*INDEX(Affected,0,C5104)*EXP(-((E5104-EvCenter)^2)/(2*EvSigma^2))))),"")</f>
        <v/>
      </c>
      <c r="O5104">
        <f>IF(B5104,ROUND(MAX(0,J5104*K5104*L5104*M5104*N5104),2),"")</f>
        <v/>
      </c>
    </row>
    <row r="5105">
      <c r="A5105" t="n">
        <v>5104</v>
      </c>
      <c r="B5105">
        <f>A5105&lt;=MineCount*Days</f>
        <v/>
      </c>
      <c r="C5105">
        <f>IF(B5105,INT((A5105-1)/Days)+1,"")</f>
        <v/>
      </c>
      <c r="D5105">
        <f>IF(B5105,MOD(A5105-1,Days),"")</f>
        <v/>
      </c>
      <c r="E5105" s="16">
        <f>IF(B5105,StartDate+D5105,"")</f>
        <v/>
      </c>
      <c r="F5105">
        <f>IF(B5105,MAX(MOD(SIN(Seed*0.1373+C5105*12.9898+D5105*78.233)*43758.5453,1),1E-9),"")</f>
        <v/>
      </c>
      <c r="G5105">
        <f>IF(B5105,MOD(SIN(Seed*0.5917+C5105*39.3468+D5105*11.135)*24634.6345,1),"")</f>
        <v/>
      </c>
      <c r="H5105">
        <f>IF(B5105,SQRT(-2*LN(F5105))*COS(2*PI()*G5105),"")</f>
        <v/>
      </c>
      <c r="I5105">
        <f>IF(B5105,IF(D5105=0,H5105,Rho*I5104+SQRT(1-Rho^2)*H5105),"")</f>
        <v/>
      </c>
      <c r="J5105">
        <f>IF(B5105,IF(Dist="Normal",DistA+DistB*I5105,DistA+(DistB-DistA)*NORMSDIST(I5105)),"")</f>
        <v/>
      </c>
      <c r="K5105">
        <f>IF(B5105,INDEX(MineScale,C5105),"")</f>
        <v/>
      </c>
      <c r="L5105">
        <f>IF(B5105,INDEX(Dow,1,WEEKDAY(E5105,2)),"")</f>
        <v/>
      </c>
      <c r="M5105">
        <f>IF(B5105,(1+Trend)^D5105,"")</f>
        <v/>
      </c>
      <c r="N5105">
        <f>IF(B5105,EXP(SUMPRODUCT(LN(1+(EvEff-1)*INDEX(Affected,0,C5105)*EXP(-((E5105-EvCenter)^2)/(2*EvSigma^2))))),"")</f>
        <v/>
      </c>
      <c r="O5105">
        <f>IF(B5105,ROUND(MAX(0,J5105*K5105*L5105*M5105*N5105),2),"")</f>
        <v/>
      </c>
    </row>
    <row r="5106">
      <c r="A5106" t="n">
        <v>5105</v>
      </c>
      <c r="B5106">
        <f>A5106&lt;=MineCount*Days</f>
        <v/>
      </c>
      <c r="C5106">
        <f>IF(B5106,INT((A5106-1)/Days)+1,"")</f>
        <v/>
      </c>
      <c r="D5106">
        <f>IF(B5106,MOD(A5106-1,Days),"")</f>
        <v/>
      </c>
      <c r="E5106" s="16">
        <f>IF(B5106,StartDate+D5106,"")</f>
        <v/>
      </c>
      <c r="F5106">
        <f>IF(B5106,MAX(MOD(SIN(Seed*0.1373+C5106*12.9898+D5106*78.233)*43758.5453,1),1E-9),"")</f>
        <v/>
      </c>
      <c r="G5106">
        <f>IF(B5106,MOD(SIN(Seed*0.5917+C5106*39.3468+D5106*11.135)*24634.6345,1),"")</f>
        <v/>
      </c>
      <c r="H5106">
        <f>IF(B5106,SQRT(-2*LN(F5106))*COS(2*PI()*G5106),"")</f>
        <v/>
      </c>
      <c r="I5106">
        <f>IF(B5106,IF(D5106=0,H5106,Rho*I5105+SQRT(1-Rho^2)*H5106),"")</f>
        <v/>
      </c>
      <c r="J5106">
        <f>IF(B5106,IF(Dist="Normal",DistA+DistB*I5106,DistA+(DistB-DistA)*NORMSDIST(I5106)),"")</f>
        <v/>
      </c>
      <c r="K5106">
        <f>IF(B5106,INDEX(MineScale,C5106),"")</f>
        <v/>
      </c>
      <c r="L5106">
        <f>IF(B5106,INDEX(Dow,1,WEEKDAY(E5106,2)),"")</f>
        <v/>
      </c>
      <c r="M5106">
        <f>IF(B5106,(1+Trend)^D5106,"")</f>
        <v/>
      </c>
      <c r="N5106">
        <f>IF(B5106,EXP(SUMPRODUCT(LN(1+(EvEff-1)*INDEX(Affected,0,C5106)*EXP(-((E5106-EvCenter)^2)/(2*EvSigma^2))))),"")</f>
        <v/>
      </c>
      <c r="O5106">
        <f>IF(B5106,ROUND(MAX(0,J5106*K5106*L5106*M5106*N5106),2),"")</f>
        <v/>
      </c>
    </row>
    <row r="5107">
      <c r="A5107" t="n">
        <v>5106</v>
      </c>
      <c r="B5107">
        <f>A5107&lt;=MineCount*Days</f>
        <v/>
      </c>
      <c r="C5107">
        <f>IF(B5107,INT((A5107-1)/Days)+1,"")</f>
        <v/>
      </c>
      <c r="D5107">
        <f>IF(B5107,MOD(A5107-1,Days),"")</f>
        <v/>
      </c>
      <c r="E5107" s="16">
        <f>IF(B5107,StartDate+D5107,"")</f>
        <v/>
      </c>
      <c r="F5107">
        <f>IF(B5107,MAX(MOD(SIN(Seed*0.1373+C5107*12.9898+D5107*78.233)*43758.5453,1),1E-9),"")</f>
        <v/>
      </c>
      <c r="G5107">
        <f>IF(B5107,MOD(SIN(Seed*0.5917+C5107*39.3468+D5107*11.135)*24634.6345,1),"")</f>
        <v/>
      </c>
      <c r="H5107">
        <f>IF(B5107,SQRT(-2*LN(F5107))*COS(2*PI()*G5107),"")</f>
        <v/>
      </c>
      <c r="I5107">
        <f>IF(B5107,IF(D5107=0,H5107,Rho*I5106+SQRT(1-Rho^2)*H5107),"")</f>
        <v/>
      </c>
      <c r="J5107">
        <f>IF(B5107,IF(Dist="Normal",DistA+DistB*I5107,DistA+(DistB-DistA)*NORMSDIST(I5107)),"")</f>
        <v/>
      </c>
      <c r="K5107">
        <f>IF(B5107,INDEX(MineScale,C5107),"")</f>
        <v/>
      </c>
      <c r="L5107">
        <f>IF(B5107,INDEX(Dow,1,WEEKDAY(E5107,2)),"")</f>
        <v/>
      </c>
      <c r="M5107">
        <f>IF(B5107,(1+Trend)^D5107,"")</f>
        <v/>
      </c>
      <c r="N5107">
        <f>IF(B5107,EXP(SUMPRODUCT(LN(1+(EvEff-1)*INDEX(Affected,0,C5107)*EXP(-((E5107-EvCenter)^2)/(2*EvSigma^2))))),"")</f>
        <v/>
      </c>
      <c r="O5107">
        <f>IF(B5107,ROUND(MAX(0,J5107*K5107*L5107*M5107*N5107),2),"")</f>
        <v/>
      </c>
    </row>
    <row r="5108">
      <c r="A5108" t="n">
        <v>5107</v>
      </c>
      <c r="B5108">
        <f>A5108&lt;=MineCount*Days</f>
        <v/>
      </c>
      <c r="C5108">
        <f>IF(B5108,INT((A5108-1)/Days)+1,"")</f>
        <v/>
      </c>
      <c r="D5108">
        <f>IF(B5108,MOD(A5108-1,Days),"")</f>
        <v/>
      </c>
      <c r="E5108" s="16">
        <f>IF(B5108,StartDate+D5108,"")</f>
        <v/>
      </c>
      <c r="F5108">
        <f>IF(B5108,MAX(MOD(SIN(Seed*0.1373+C5108*12.9898+D5108*78.233)*43758.5453,1),1E-9),"")</f>
        <v/>
      </c>
      <c r="G5108">
        <f>IF(B5108,MOD(SIN(Seed*0.5917+C5108*39.3468+D5108*11.135)*24634.6345,1),"")</f>
        <v/>
      </c>
      <c r="H5108">
        <f>IF(B5108,SQRT(-2*LN(F5108))*COS(2*PI()*G5108),"")</f>
        <v/>
      </c>
      <c r="I5108">
        <f>IF(B5108,IF(D5108=0,H5108,Rho*I5107+SQRT(1-Rho^2)*H5108),"")</f>
        <v/>
      </c>
      <c r="J5108">
        <f>IF(B5108,IF(Dist="Normal",DistA+DistB*I5108,DistA+(DistB-DistA)*NORMSDIST(I5108)),"")</f>
        <v/>
      </c>
      <c r="K5108">
        <f>IF(B5108,INDEX(MineScale,C5108),"")</f>
        <v/>
      </c>
      <c r="L5108">
        <f>IF(B5108,INDEX(Dow,1,WEEKDAY(E5108,2)),"")</f>
        <v/>
      </c>
      <c r="M5108">
        <f>IF(B5108,(1+Trend)^D5108,"")</f>
        <v/>
      </c>
      <c r="N5108">
        <f>IF(B5108,EXP(SUMPRODUCT(LN(1+(EvEff-1)*INDEX(Affected,0,C5108)*EXP(-((E5108-EvCenter)^2)/(2*EvSigma^2))))),"")</f>
        <v/>
      </c>
      <c r="O5108">
        <f>IF(B5108,ROUND(MAX(0,J5108*K5108*L5108*M5108*N5108),2),"")</f>
        <v/>
      </c>
    </row>
    <row r="5109">
      <c r="A5109" t="n">
        <v>5108</v>
      </c>
      <c r="B5109">
        <f>A5109&lt;=MineCount*Days</f>
        <v/>
      </c>
      <c r="C5109">
        <f>IF(B5109,INT((A5109-1)/Days)+1,"")</f>
        <v/>
      </c>
      <c r="D5109">
        <f>IF(B5109,MOD(A5109-1,Days),"")</f>
        <v/>
      </c>
      <c r="E5109" s="16">
        <f>IF(B5109,StartDate+D5109,"")</f>
        <v/>
      </c>
      <c r="F5109">
        <f>IF(B5109,MAX(MOD(SIN(Seed*0.1373+C5109*12.9898+D5109*78.233)*43758.5453,1),1E-9),"")</f>
        <v/>
      </c>
      <c r="G5109">
        <f>IF(B5109,MOD(SIN(Seed*0.5917+C5109*39.3468+D5109*11.135)*24634.6345,1),"")</f>
        <v/>
      </c>
      <c r="H5109">
        <f>IF(B5109,SQRT(-2*LN(F5109))*COS(2*PI()*G5109),"")</f>
        <v/>
      </c>
      <c r="I5109">
        <f>IF(B5109,IF(D5109=0,H5109,Rho*I5108+SQRT(1-Rho^2)*H5109),"")</f>
        <v/>
      </c>
      <c r="J5109">
        <f>IF(B5109,IF(Dist="Normal",DistA+DistB*I5109,DistA+(DistB-DistA)*NORMSDIST(I5109)),"")</f>
        <v/>
      </c>
      <c r="K5109">
        <f>IF(B5109,INDEX(MineScale,C5109),"")</f>
        <v/>
      </c>
      <c r="L5109">
        <f>IF(B5109,INDEX(Dow,1,WEEKDAY(E5109,2)),"")</f>
        <v/>
      </c>
      <c r="M5109">
        <f>IF(B5109,(1+Trend)^D5109,"")</f>
        <v/>
      </c>
      <c r="N5109">
        <f>IF(B5109,EXP(SUMPRODUCT(LN(1+(EvEff-1)*INDEX(Affected,0,C5109)*EXP(-((E5109-EvCenter)^2)/(2*EvSigma^2))))),"")</f>
        <v/>
      </c>
      <c r="O5109">
        <f>IF(B5109,ROUND(MAX(0,J5109*K5109*L5109*M5109*N5109),2),"")</f>
        <v/>
      </c>
    </row>
    <row r="5110">
      <c r="A5110" t="n">
        <v>5109</v>
      </c>
      <c r="B5110">
        <f>A5110&lt;=MineCount*Days</f>
        <v/>
      </c>
      <c r="C5110">
        <f>IF(B5110,INT((A5110-1)/Days)+1,"")</f>
        <v/>
      </c>
      <c r="D5110">
        <f>IF(B5110,MOD(A5110-1,Days),"")</f>
        <v/>
      </c>
      <c r="E5110" s="16">
        <f>IF(B5110,StartDate+D5110,"")</f>
        <v/>
      </c>
      <c r="F5110">
        <f>IF(B5110,MAX(MOD(SIN(Seed*0.1373+C5110*12.9898+D5110*78.233)*43758.5453,1),1E-9),"")</f>
        <v/>
      </c>
      <c r="G5110">
        <f>IF(B5110,MOD(SIN(Seed*0.5917+C5110*39.3468+D5110*11.135)*24634.6345,1),"")</f>
        <v/>
      </c>
      <c r="H5110">
        <f>IF(B5110,SQRT(-2*LN(F5110))*COS(2*PI()*G5110),"")</f>
        <v/>
      </c>
      <c r="I5110">
        <f>IF(B5110,IF(D5110=0,H5110,Rho*I5109+SQRT(1-Rho^2)*H5110),"")</f>
        <v/>
      </c>
      <c r="J5110">
        <f>IF(B5110,IF(Dist="Normal",DistA+DistB*I5110,DistA+(DistB-DistA)*NORMSDIST(I5110)),"")</f>
        <v/>
      </c>
      <c r="K5110">
        <f>IF(B5110,INDEX(MineScale,C5110),"")</f>
        <v/>
      </c>
      <c r="L5110">
        <f>IF(B5110,INDEX(Dow,1,WEEKDAY(E5110,2)),"")</f>
        <v/>
      </c>
      <c r="M5110">
        <f>IF(B5110,(1+Trend)^D5110,"")</f>
        <v/>
      </c>
      <c r="N5110">
        <f>IF(B5110,EXP(SUMPRODUCT(LN(1+(EvEff-1)*INDEX(Affected,0,C5110)*EXP(-((E5110-EvCenter)^2)/(2*EvSigma^2))))),"")</f>
        <v/>
      </c>
      <c r="O5110">
        <f>IF(B5110,ROUND(MAX(0,J5110*K5110*L5110*M5110*N5110),2),"")</f>
        <v/>
      </c>
    </row>
    <row r="5111">
      <c r="A5111" t="n">
        <v>5110</v>
      </c>
      <c r="B5111">
        <f>A5111&lt;=MineCount*Days</f>
        <v/>
      </c>
      <c r="C5111">
        <f>IF(B5111,INT((A5111-1)/Days)+1,"")</f>
        <v/>
      </c>
      <c r="D5111">
        <f>IF(B5111,MOD(A5111-1,Days),"")</f>
        <v/>
      </c>
      <c r="E5111" s="16">
        <f>IF(B5111,StartDate+D5111,"")</f>
        <v/>
      </c>
      <c r="F5111">
        <f>IF(B5111,MAX(MOD(SIN(Seed*0.1373+C5111*12.9898+D5111*78.233)*43758.5453,1),1E-9),"")</f>
        <v/>
      </c>
      <c r="G5111">
        <f>IF(B5111,MOD(SIN(Seed*0.5917+C5111*39.3468+D5111*11.135)*24634.6345,1),"")</f>
        <v/>
      </c>
      <c r="H5111">
        <f>IF(B5111,SQRT(-2*LN(F5111))*COS(2*PI()*G5111),"")</f>
        <v/>
      </c>
      <c r="I5111">
        <f>IF(B5111,IF(D5111=0,H5111,Rho*I5110+SQRT(1-Rho^2)*H5111),"")</f>
        <v/>
      </c>
      <c r="J5111">
        <f>IF(B5111,IF(Dist="Normal",DistA+DistB*I5111,DistA+(DistB-DistA)*NORMSDIST(I5111)),"")</f>
        <v/>
      </c>
      <c r="K5111">
        <f>IF(B5111,INDEX(MineScale,C5111),"")</f>
        <v/>
      </c>
      <c r="L5111">
        <f>IF(B5111,INDEX(Dow,1,WEEKDAY(E5111,2)),"")</f>
        <v/>
      </c>
      <c r="M5111">
        <f>IF(B5111,(1+Trend)^D5111,"")</f>
        <v/>
      </c>
      <c r="N5111">
        <f>IF(B5111,EXP(SUMPRODUCT(LN(1+(EvEff-1)*INDEX(Affected,0,C5111)*EXP(-((E5111-EvCenter)^2)/(2*EvSigma^2))))),"")</f>
        <v/>
      </c>
      <c r="O5111">
        <f>IF(B5111,ROUND(MAX(0,J5111*K5111*L5111*M5111*N5111),2),"")</f>
        <v/>
      </c>
    </row>
    <row r="5112">
      <c r="A5112" t="n">
        <v>5111</v>
      </c>
      <c r="B5112">
        <f>A5112&lt;=MineCount*Days</f>
        <v/>
      </c>
      <c r="C5112">
        <f>IF(B5112,INT((A5112-1)/Days)+1,"")</f>
        <v/>
      </c>
      <c r="D5112">
        <f>IF(B5112,MOD(A5112-1,Days),"")</f>
        <v/>
      </c>
      <c r="E5112" s="16">
        <f>IF(B5112,StartDate+D5112,"")</f>
        <v/>
      </c>
      <c r="F5112">
        <f>IF(B5112,MAX(MOD(SIN(Seed*0.1373+C5112*12.9898+D5112*78.233)*43758.5453,1),1E-9),"")</f>
        <v/>
      </c>
      <c r="G5112">
        <f>IF(B5112,MOD(SIN(Seed*0.5917+C5112*39.3468+D5112*11.135)*24634.6345,1),"")</f>
        <v/>
      </c>
      <c r="H5112">
        <f>IF(B5112,SQRT(-2*LN(F5112))*COS(2*PI()*G5112),"")</f>
        <v/>
      </c>
      <c r="I5112">
        <f>IF(B5112,IF(D5112=0,H5112,Rho*I5111+SQRT(1-Rho^2)*H5112),"")</f>
        <v/>
      </c>
      <c r="J5112">
        <f>IF(B5112,IF(Dist="Normal",DistA+DistB*I5112,DistA+(DistB-DistA)*NORMSDIST(I5112)),"")</f>
        <v/>
      </c>
      <c r="K5112">
        <f>IF(B5112,INDEX(MineScale,C5112),"")</f>
        <v/>
      </c>
      <c r="L5112">
        <f>IF(B5112,INDEX(Dow,1,WEEKDAY(E5112,2)),"")</f>
        <v/>
      </c>
      <c r="M5112">
        <f>IF(B5112,(1+Trend)^D5112,"")</f>
        <v/>
      </c>
      <c r="N5112">
        <f>IF(B5112,EXP(SUMPRODUCT(LN(1+(EvEff-1)*INDEX(Affected,0,C5112)*EXP(-((E5112-EvCenter)^2)/(2*EvSigma^2))))),"")</f>
        <v/>
      </c>
      <c r="O5112">
        <f>IF(B5112,ROUND(MAX(0,J5112*K5112*L5112*M5112*N5112),2),"")</f>
        <v/>
      </c>
    </row>
    <row r="5113">
      <c r="A5113" t="n">
        <v>5112</v>
      </c>
      <c r="B5113">
        <f>A5113&lt;=MineCount*Days</f>
        <v/>
      </c>
      <c r="C5113">
        <f>IF(B5113,INT((A5113-1)/Days)+1,"")</f>
        <v/>
      </c>
      <c r="D5113">
        <f>IF(B5113,MOD(A5113-1,Days),"")</f>
        <v/>
      </c>
      <c r="E5113" s="16">
        <f>IF(B5113,StartDate+D5113,"")</f>
        <v/>
      </c>
      <c r="F5113">
        <f>IF(B5113,MAX(MOD(SIN(Seed*0.1373+C5113*12.9898+D5113*78.233)*43758.5453,1),1E-9),"")</f>
        <v/>
      </c>
      <c r="G5113">
        <f>IF(B5113,MOD(SIN(Seed*0.5917+C5113*39.3468+D5113*11.135)*24634.6345,1),"")</f>
        <v/>
      </c>
      <c r="H5113">
        <f>IF(B5113,SQRT(-2*LN(F5113))*COS(2*PI()*G5113),"")</f>
        <v/>
      </c>
      <c r="I5113">
        <f>IF(B5113,IF(D5113=0,H5113,Rho*I5112+SQRT(1-Rho^2)*H5113),"")</f>
        <v/>
      </c>
      <c r="J5113">
        <f>IF(B5113,IF(Dist="Normal",DistA+DistB*I5113,DistA+(DistB-DistA)*NORMSDIST(I5113)),"")</f>
        <v/>
      </c>
      <c r="K5113">
        <f>IF(B5113,INDEX(MineScale,C5113),"")</f>
        <v/>
      </c>
      <c r="L5113">
        <f>IF(B5113,INDEX(Dow,1,WEEKDAY(E5113,2)),"")</f>
        <v/>
      </c>
      <c r="M5113">
        <f>IF(B5113,(1+Trend)^D5113,"")</f>
        <v/>
      </c>
      <c r="N5113">
        <f>IF(B5113,EXP(SUMPRODUCT(LN(1+(EvEff-1)*INDEX(Affected,0,C5113)*EXP(-((E5113-EvCenter)^2)/(2*EvSigma^2))))),"")</f>
        <v/>
      </c>
      <c r="O5113">
        <f>IF(B5113,ROUND(MAX(0,J5113*K5113*L5113*M5113*N5113),2),"")</f>
        <v/>
      </c>
    </row>
    <row r="5114">
      <c r="A5114" t="n">
        <v>5113</v>
      </c>
      <c r="B5114">
        <f>A5114&lt;=MineCount*Days</f>
        <v/>
      </c>
      <c r="C5114">
        <f>IF(B5114,INT((A5114-1)/Days)+1,"")</f>
        <v/>
      </c>
      <c r="D5114">
        <f>IF(B5114,MOD(A5114-1,Days),"")</f>
        <v/>
      </c>
      <c r="E5114" s="16">
        <f>IF(B5114,StartDate+D5114,"")</f>
        <v/>
      </c>
      <c r="F5114">
        <f>IF(B5114,MAX(MOD(SIN(Seed*0.1373+C5114*12.9898+D5114*78.233)*43758.5453,1),1E-9),"")</f>
        <v/>
      </c>
      <c r="G5114">
        <f>IF(B5114,MOD(SIN(Seed*0.5917+C5114*39.3468+D5114*11.135)*24634.6345,1),"")</f>
        <v/>
      </c>
      <c r="H5114">
        <f>IF(B5114,SQRT(-2*LN(F5114))*COS(2*PI()*G5114),"")</f>
        <v/>
      </c>
      <c r="I5114">
        <f>IF(B5114,IF(D5114=0,H5114,Rho*I5113+SQRT(1-Rho^2)*H5114),"")</f>
        <v/>
      </c>
      <c r="J5114">
        <f>IF(B5114,IF(Dist="Normal",DistA+DistB*I5114,DistA+(DistB-DistA)*NORMSDIST(I5114)),"")</f>
        <v/>
      </c>
      <c r="K5114">
        <f>IF(B5114,INDEX(MineScale,C5114),"")</f>
        <v/>
      </c>
      <c r="L5114">
        <f>IF(B5114,INDEX(Dow,1,WEEKDAY(E5114,2)),"")</f>
        <v/>
      </c>
      <c r="M5114">
        <f>IF(B5114,(1+Trend)^D5114,"")</f>
        <v/>
      </c>
      <c r="N5114">
        <f>IF(B5114,EXP(SUMPRODUCT(LN(1+(EvEff-1)*INDEX(Affected,0,C5114)*EXP(-((E5114-EvCenter)^2)/(2*EvSigma^2))))),"")</f>
        <v/>
      </c>
      <c r="O5114">
        <f>IF(B5114,ROUND(MAX(0,J5114*K5114*L5114*M5114*N5114),2),"")</f>
        <v/>
      </c>
    </row>
    <row r="5115">
      <c r="A5115" t="n">
        <v>5114</v>
      </c>
      <c r="B5115">
        <f>A5115&lt;=MineCount*Days</f>
        <v/>
      </c>
      <c r="C5115">
        <f>IF(B5115,INT((A5115-1)/Days)+1,"")</f>
        <v/>
      </c>
      <c r="D5115">
        <f>IF(B5115,MOD(A5115-1,Days),"")</f>
        <v/>
      </c>
      <c r="E5115" s="16">
        <f>IF(B5115,StartDate+D5115,"")</f>
        <v/>
      </c>
      <c r="F5115">
        <f>IF(B5115,MAX(MOD(SIN(Seed*0.1373+C5115*12.9898+D5115*78.233)*43758.5453,1),1E-9),"")</f>
        <v/>
      </c>
      <c r="G5115">
        <f>IF(B5115,MOD(SIN(Seed*0.5917+C5115*39.3468+D5115*11.135)*24634.6345,1),"")</f>
        <v/>
      </c>
      <c r="H5115">
        <f>IF(B5115,SQRT(-2*LN(F5115))*COS(2*PI()*G5115),"")</f>
        <v/>
      </c>
      <c r="I5115">
        <f>IF(B5115,IF(D5115=0,H5115,Rho*I5114+SQRT(1-Rho^2)*H5115),"")</f>
        <v/>
      </c>
      <c r="J5115">
        <f>IF(B5115,IF(Dist="Normal",DistA+DistB*I5115,DistA+(DistB-DistA)*NORMSDIST(I5115)),"")</f>
        <v/>
      </c>
      <c r="K5115">
        <f>IF(B5115,INDEX(MineScale,C5115),"")</f>
        <v/>
      </c>
      <c r="L5115">
        <f>IF(B5115,INDEX(Dow,1,WEEKDAY(E5115,2)),"")</f>
        <v/>
      </c>
      <c r="M5115">
        <f>IF(B5115,(1+Trend)^D5115,"")</f>
        <v/>
      </c>
      <c r="N5115">
        <f>IF(B5115,EXP(SUMPRODUCT(LN(1+(EvEff-1)*INDEX(Affected,0,C5115)*EXP(-((E5115-EvCenter)^2)/(2*EvSigma^2))))),"")</f>
        <v/>
      </c>
      <c r="O5115">
        <f>IF(B5115,ROUND(MAX(0,J5115*K5115*L5115*M5115*N5115),2),"")</f>
        <v/>
      </c>
    </row>
    <row r="5116">
      <c r="A5116" t="n">
        <v>5115</v>
      </c>
      <c r="B5116">
        <f>A5116&lt;=MineCount*Days</f>
        <v/>
      </c>
      <c r="C5116">
        <f>IF(B5116,INT((A5116-1)/Days)+1,"")</f>
        <v/>
      </c>
      <c r="D5116">
        <f>IF(B5116,MOD(A5116-1,Days),"")</f>
        <v/>
      </c>
      <c r="E5116" s="16">
        <f>IF(B5116,StartDate+D5116,"")</f>
        <v/>
      </c>
      <c r="F5116">
        <f>IF(B5116,MAX(MOD(SIN(Seed*0.1373+C5116*12.9898+D5116*78.233)*43758.5453,1),1E-9),"")</f>
        <v/>
      </c>
      <c r="G5116">
        <f>IF(B5116,MOD(SIN(Seed*0.5917+C5116*39.3468+D5116*11.135)*24634.6345,1),"")</f>
        <v/>
      </c>
      <c r="H5116">
        <f>IF(B5116,SQRT(-2*LN(F5116))*COS(2*PI()*G5116),"")</f>
        <v/>
      </c>
      <c r="I5116">
        <f>IF(B5116,IF(D5116=0,H5116,Rho*I5115+SQRT(1-Rho^2)*H5116),"")</f>
        <v/>
      </c>
      <c r="J5116">
        <f>IF(B5116,IF(Dist="Normal",DistA+DistB*I5116,DistA+(DistB-DistA)*NORMSDIST(I5116)),"")</f>
        <v/>
      </c>
      <c r="K5116">
        <f>IF(B5116,INDEX(MineScale,C5116),"")</f>
        <v/>
      </c>
      <c r="L5116">
        <f>IF(B5116,INDEX(Dow,1,WEEKDAY(E5116,2)),"")</f>
        <v/>
      </c>
      <c r="M5116">
        <f>IF(B5116,(1+Trend)^D5116,"")</f>
        <v/>
      </c>
      <c r="N5116">
        <f>IF(B5116,EXP(SUMPRODUCT(LN(1+(EvEff-1)*INDEX(Affected,0,C5116)*EXP(-((E5116-EvCenter)^2)/(2*EvSigma^2))))),"")</f>
        <v/>
      </c>
      <c r="O5116">
        <f>IF(B5116,ROUND(MAX(0,J5116*K5116*L5116*M5116*N5116),2),"")</f>
        <v/>
      </c>
    </row>
    <row r="5117">
      <c r="A5117" t="n">
        <v>5116</v>
      </c>
      <c r="B5117">
        <f>A5117&lt;=MineCount*Days</f>
        <v/>
      </c>
      <c r="C5117">
        <f>IF(B5117,INT((A5117-1)/Days)+1,"")</f>
        <v/>
      </c>
      <c r="D5117">
        <f>IF(B5117,MOD(A5117-1,Days),"")</f>
        <v/>
      </c>
      <c r="E5117" s="16">
        <f>IF(B5117,StartDate+D5117,"")</f>
        <v/>
      </c>
      <c r="F5117">
        <f>IF(B5117,MAX(MOD(SIN(Seed*0.1373+C5117*12.9898+D5117*78.233)*43758.5453,1),1E-9),"")</f>
        <v/>
      </c>
      <c r="G5117">
        <f>IF(B5117,MOD(SIN(Seed*0.5917+C5117*39.3468+D5117*11.135)*24634.6345,1),"")</f>
        <v/>
      </c>
      <c r="H5117">
        <f>IF(B5117,SQRT(-2*LN(F5117))*COS(2*PI()*G5117),"")</f>
        <v/>
      </c>
      <c r="I5117">
        <f>IF(B5117,IF(D5117=0,H5117,Rho*I5116+SQRT(1-Rho^2)*H5117),"")</f>
        <v/>
      </c>
      <c r="J5117">
        <f>IF(B5117,IF(Dist="Normal",DistA+DistB*I5117,DistA+(DistB-DistA)*NORMSDIST(I5117)),"")</f>
        <v/>
      </c>
      <c r="K5117">
        <f>IF(B5117,INDEX(MineScale,C5117),"")</f>
        <v/>
      </c>
      <c r="L5117">
        <f>IF(B5117,INDEX(Dow,1,WEEKDAY(E5117,2)),"")</f>
        <v/>
      </c>
      <c r="M5117">
        <f>IF(B5117,(1+Trend)^D5117,"")</f>
        <v/>
      </c>
      <c r="N5117">
        <f>IF(B5117,EXP(SUMPRODUCT(LN(1+(EvEff-1)*INDEX(Affected,0,C5117)*EXP(-((E5117-EvCenter)^2)/(2*EvSigma^2))))),"")</f>
        <v/>
      </c>
      <c r="O5117">
        <f>IF(B5117,ROUND(MAX(0,J5117*K5117*L5117*M5117*N5117),2),"")</f>
        <v/>
      </c>
    </row>
    <row r="5118">
      <c r="A5118" t="n">
        <v>5117</v>
      </c>
      <c r="B5118">
        <f>A5118&lt;=MineCount*Days</f>
        <v/>
      </c>
      <c r="C5118">
        <f>IF(B5118,INT((A5118-1)/Days)+1,"")</f>
        <v/>
      </c>
      <c r="D5118">
        <f>IF(B5118,MOD(A5118-1,Days),"")</f>
        <v/>
      </c>
      <c r="E5118" s="16">
        <f>IF(B5118,StartDate+D5118,"")</f>
        <v/>
      </c>
      <c r="F5118">
        <f>IF(B5118,MAX(MOD(SIN(Seed*0.1373+C5118*12.9898+D5118*78.233)*43758.5453,1),1E-9),"")</f>
        <v/>
      </c>
      <c r="G5118">
        <f>IF(B5118,MOD(SIN(Seed*0.5917+C5118*39.3468+D5118*11.135)*24634.6345,1),"")</f>
        <v/>
      </c>
      <c r="H5118">
        <f>IF(B5118,SQRT(-2*LN(F5118))*COS(2*PI()*G5118),"")</f>
        <v/>
      </c>
      <c r="I5118">
        <f>IF(B5118,IF(D5118=0,H5118,Rho*I5117+SQRT(1-Rho^2)*H5118),"")</f>
        <v/>
      </c>
      <c r="J5118">
        <f>IF(B5118,IF(Dist="Normal",DistA+DistB*I5118,DistA+(DistB-DistA)*NORMSDIST(I5118)),"")</f>
        <v/>
      </c>
      <c r="K5118">
        <f>IF(B5118,INDEX(MineScale,C5118),"")</f>
        <v/>
      </c>
      <c r="L5118">
        <f>IF(B5118,INDEX(Dow,1,WEEKDAY(E5118,2)),"")</f>
        <v/>
      </c>
      <c r="M5118">
        <f>IF(B5118,(1+Trend)^D5118,"")</f>
        <v/>
      </c>
      <c r="N5118">
        <f>IF(B5118,EXP(SUMPRODUCT(LN(1+(EvEff-1)*INDEX(Affected,0,C5118)*EXP(-((E5118-EvCenter)^2)/(2*EvSigma^2))))),"")</f>
        <v/>
      </c>
      <c r="O5118">
        <f>IF(B5118,ROUND(MAX(0,J5118*K5118*L5118*M5118*N5118),2),"")</f>
        <v/>
      </c>
    </row>
    <row r="5119">
      <c r="A5119" t="n">
        <v>5118</v>
      </c>
      <c r="B5119">
        <f>A5119&lt;=MineCount*Days</f>
        <v/>
      </c>
      <c r="C5119">
        <f>IF(B5119,INT((A5119-1)/Days)+1,"")</f>
        <v/>
      </c>
      <c r="D5119">
        <f>IF(B5119,MOD(A5119-1,Days),"")</f>
        <v/>
      </c>
      <c r="E5119" s="16">
        <f>IF(B5119,StartDate+D5119,"")</f>
        <v/>
      </c>
      <c r="F5119">
        <f>IF(B5119,MAX(MOD(SIN(Seed*0.1373+C5119*12.9898+D5119*78.233)*43758.5453,1),1E-9),"")</f>
        <v/>
      </c>
      <c r="G5119">
        <f>IF(B5119,MOD(SIN(Seed*0.5917+C5119*39.3468+D5119*11.135)*24634.6345,1),"")</f>
        <v/>
      </c>
      <c r="H5119">
        <f>IF(B5119,SQRT(-2*LN(F5119))*COS(2*PI()*G5119),"")</f>
        <v/>
      </c>
      <c r="I5119">
        <f>IF(B5119,IF(D5119=0,H5119,Rho*I5118+SQRT(1-Rho^2)*H5119),"")</f>
        <v/>
      </c>
      <c r="J5119">
        <f>IF(B5119,IF(Dist="Normal",DistA+DistB*I5119,DistA+(DistB-DistA)*NORMSDIST(I5119)),"")</f>
        <v/>
      </c>
      <c r="K5119">
        <f>IF(B5119,INDEX(MineScale,C5119),"")</f>
        <v/>
      </c>
      <c r="L5119">
        <f>IF(B5119,INDEX(Dow,1,WEEKDAY(E5119,2)),"")</f>
        <v/>
      </c>
      <c r="M5119">
        <f>IF(B5119,(1+Trend)^D5119,"")</f>
        <v/>
      </c>
      <c r="N5119">
        <f>IF(B5119,EXP(SUMPRODUCT(LN(1+(EvEff-1)*INDEX(Affected,0,C5119)*EXP(-((E5119-EvCenter)^2)/(2*EvSigma^2))))),"")</f>
        <v/>
      </c>
      <c r="O5119">
        <f>IF(B5119,ROUND(MAX(0,J5119*K5119*L5119*M5119*N5119),2),"")</f>
        <v/>
      </c>
    </row>
    <row r="5120">
      <c r="A5120" t="n">
        <v>5119</v>
      </c>
      <c r="B5120">
        <f>A5120&lt;=MineCount*Days</f>
        <v/>
      </c>
      <c r="C5120">
        <f>IF(B5120,INT((A5120-1)/Days)+1,"")</f>
        <v/>
      </c>
      <c r="D5120">
        <f>IF(B5120,MOD(A5120-1,Days),"")</f>
        <v/>
      </c>
      <c r="E5120" s="16">
        <f>IF(B5120,StartDate+D5120,"")</f>
        <v/>
      </c>
      <c r="F5120">
        <f>IF(B5120,MAX(MOD(SIN(Seed*0.1373+C5120*12.9898+D5120*78.233)*43758.5453,1),1E-9),"")</f>
        <v/>
      </c>
      <c r="G5120">
        <f>IF(B5120,MOD(SIN(Seed*0.5917+C5120*39.3468+D5120*11.135)*24634.6345,1),"")</f>
        <v/>
      </c>
      <c r="H5120">
        <f>IF(B5120,SQRT(-2*LN(F5120))*COS(2*PI()*G5120),"")</f>
        <v/>
      </c>
      <c r="I5120">
        <f>IF(B5120,IF(D5120=0,H5120,Rho*I5119+SQRT(1-Rho^2)*H5120),"")</f>
        <v/>
      </c>
      <c r="J5120">
        <f>IF(B5120,IF(Dist="Normal",DistA+DistB*I5120,DistA+(DistB-DistA)*NORMSDIST(I5120)),"")</f>
        <v/>
      </c>
      <c r="K5120">
        <f>IF(B5120,INDEX(MineScale,C5120),"")</f>
        <v/>
      </c>
      <c r="L5120">
        <f>IF(B5120,INDEX(Dow,1,WEEKDAY(E5120,2)),"")</f>
        <v/>
      </c>
      <c r="M5120">
        <f>IF(B5120,(1+Trend)^D5120,"")</f>
        <v/>
      </c>
      <c r="N5120">
        <f>IF(B5120,EXP(SUMPRODUCT(LN(1+(EvEff-1)*INDEX(Affected,0,C5120)*EXP(-((E5120-EvCenter)^2)/(2*EvSigma^2))))),"")</f>
        <v/>
      </c>
      <c r="O5120">
        <f>IF(B5120,ROUND(MAX(0,J5120*K5120*L5120*M5120*N5120),2),"")</f>
        <v/>
      </c>
    </row>
    <row r="5121">
      <c r="A5121" t="n">
        <v>5120</v>
      </c>
      <c r="B5121">
        <f>A5121&lt;=MineCount*Days</f>
        <v/>
      </c>
      <c r="C5121">
        <f>IF(B5121,INT((A5121-1)/Days)+1,"")</f>
        <v/>
      </c>
      <c r="D5121">
        <f>IF(B5121,MOD(A5121-1,Days),"")</f>
        <v/>
      </c>
      <c r="E5121" s="16">
        <f>IF(B5121,StartDate+D5121,"")</f>
        <v/>
      </c>
      <c r="F5121">
        <f>IF(B5121,MAX(MOD(SIN(Seed*0.1373+C5121*12.9898+D5121*78.233)*43758.5453,1),1E-9),"")</f>
        <v/>
      </c>
      <c r="G5121">
        <f>IF(B5121,MOD(SIN(Seed*0.5917+C5121*39.3468+D5121*11.135)*24634.6345,1),"")</f>
        <v/>
      </c>
      <c r="H5121">
        <f>IF(B5121,SQRT(-2*LN(F5121))*COS(2*PI()*G5121),"")</f>
        <v/>
      </c>
      <c r="I5121">
        <f>IF(B5121,IF(D5121=0,H5121,Rho*I5120+SQRT(1-Rho^2)*H5121),"")</f>
        <v/>
      </c>
      <c r="J5121">
        <f>IF(B5121,IF(Dist="Normal",DistA+DistB*I5121,DistA+(DistB-DistA)*NORMSDIST(I5121)),"")</f>
        <v/>
      </c>
      <c r="K5121">
        <f>IF(B5121,INDEX(MineScale,C5121),"")</f>
        <v/>
      </c>
      <c r="L5121">
        <f>IF(B5121,INDEX(Dow,1,WEEKDAY(E5121,2)),"")</f>
        <v/>
      </c>
      <c r="M5121">
        <f>IF(B5121,(1+Trend)^D5121,"")</f>
        <v/>
      </c>
      <c r="N5121">
        <f>IF(B5121,EXP(SUMPRODUCT(LN(1+(EvEff-1)*INDEX(Affected,0,C5121)*EXP(-((E5121-EvCenter)^2)/(2*EvSigma^2))))),"")</f>
        <v/>
      </c>
      <c r="O5121">
        <f>IF(B5121,ROUND(MAX(0,J5121*K5121*L5121*M5121*N5121),2),"")</f>
        <v/>
      </c>
    </row>
    <row r="5122">
      <c r="A5122" t="n">
        <v>5121</v>
      </c>
      <c r="B5122">
        <f>A5122&lt;=MineCount*Days</f>
        <v/>
      </c>
      <c r="C5122">
        <f>IF(B5122,INT((A5122-1)/Days)+1,"")</f>
        <v/>
      </c>
      <c r="D5122">
        <f>IF(B5122,MOD(A5122-1,Days),"")</f>
        <v/>
      </c>
      <c r="E5122" s="16">
        <f>IF(B5122,StartDate+D5122,"")</f>
        <v/>
      </c>
      <c r="F5122">
        <f>IF(B5122,MAX(MOD(SIN(Seed*0.1373+C5122*12.9898+D5122*78.233)*43758.5453,1),1E-9),"")</f>
        <v/>
      </c>
      <c r="G5122">
        <f>IF(B5122,MOD(SIN(Seed*0.5917+C5122*39.3468+D5122*11.135)*24634.6345,1),"")</f>
        <v/>
      </c>
      <c r="H5122">
        <f>IF(B5122,SQRT(-2*LN(F5122))*COS(2*PI()*G5122),"")</f>
        <v/>
      </c>
      <c r="I5122">
        <f>IF(B5122,IF(D5122=0,H5122,Rho*I5121+SQRT(1-Rho^2)*H5122),"")</f>
        <v/>
      </c>
      <c r="J5122">
        <f>IF(B5122,IF(Dist="Normal",DistA+DistB*I5122,DistA+(DistB-DistA)*NORMSDIST(I5122)),"")</f>
        <v/>
      </c>
      <c r="K5122">
        <f>IF(B5122,INDEX(MineScale,C5122),"")</f>
        <v/>
      </c>
      <c r="L5122">
        <f>IF(B5122,INDEX(Dow,1,WEEKDAY(E5122,2)),"")</f>
        <v/>
      </c>
      <c r="M5122">
        <f>IF(B5122,(1+Trend)^D5122,"")</f>
        <v/>
      </c>
      <c r="N5122">
        <f>IF(B5122,EXP(SUMPRODUCT(LN(1+(EvEff-1)*INDEX(Affected,0,C5122)*EXP(-((E5122-EvCenter)^2)/(2*EvSigma^2))))),"")</f>
        <v/>
      </c>
      <c r="O5122">
        <f>IF(B5122,ROUND(MAX(0,J5122*K5122*L5122*M5122*N5122),2),"")</f>
        <v/>
      </c>
    </row>
    <row r="5123">
      <c r="A5123" t="n">
        <v>5122</v>
      </c>
      <c r="B5123">
        <f>A5123&lt;=MineCount*Days</f>
        <v/>
      </c>
      <c r="C5123">
        <f>IF(B5123,INT((A5123-1)/Days)+1,"")</f>
        <v/>
      </c>
      <c r="D5123">
        <f>IF(B5123,MOD(A5123-1,Days),"")</f>
        <v/>
      </c>
      <c r="E5123" s="16">
        <f>IF(B5123,StartDate+D5123,"")</f>
        <v/>
      </c>
      <c r="F5123">
        <f>IF(B5123,MAX(MOD(SIN(Seed*0.1373+C5123*12.9898+D5123*78.233)*43758.5453,1),1E-9),"")</f>
        <v/>
      </c>
      <c r="G5123">
        <f>IF(B5123,MOD(SIN(Seed*0.5917+C5123*39.3468+D5123*11.135)*24634.6345,1),"")</f>
        <v/>
      </c>
      <c r="H5123">
        <f>IF(B5123,SQRT(-2*LN(F5123))*COS(2*PI()*G5123),"")</f>
        <v/>
      </c>
      <c r="I5123">
        <f>IF(B5123,IF(D5123=0,H5123,Rho*I5122+SQRT(1-Rho^2)*H5123),"")</f>
        <v/>
      </c>
      <c r="J5123">
        <f>IF(B5123,IF(Dist="Normal",DistA+DistB*I5123,DistA+(DistB-DistA)*NORMSDIST(I5123)),"")</f>
        <v/>
      </c>
      <c r="K5123">
        <f>IF(B5123,INDEX(MineScale,C5123),"")</f>
        <v/>
      </c>
      <c r="L5123">
        <f>IF(B5123,INDEX(Dow,1,WEEKDAY(E5123,2)),"")</f>
        <v/>
      </c>
      <c r="M5123">
        <f>IF(B5123,(1+Trend)^D5123,"")</f>
        <v/>
      </c>
      <c r="N5123">
        <f>IF(B5123,EXP(SUMPRODUCT(LN(1+(EvEff-1)*INDEX(Affected,0,C5123)*EXP(-((E5123-EvCenter)^2)/(2*EvSigma^2))))),"")</f>
        <v/>
      </c>
      <c r="O5123">
        <f>IF(B5123,ROUND(MAX(0,J5123*K5123*L5123*M5123*N5123),2),"")</f>
        <v/>
      </c>
    </row>
    <row r="5124">
      <c r="A5124" t="n">
        <v>5123</v>
      </c>
      <c r="B5124">
        <f>A5124&lt;=MineCount*Days</f>
        <v/>
      </c>
      <c r="C5124">
        <f>IF(B5124,INT((A5124-1)/Days)+1,"")</f>
        <v/>
      </c>
      <c r="D5124">
        <f>IF(B5124,MOD(A5124-1,Days),"")</f>
        <v/>
      </c>
      <c r="E5124" s="16">
        <f>IF(B5124,StartDate+D5124,"")</f>
        <v/>
      </c>
      <c r="F5124">
        <f>IF(B5124,MAX(MOD(SIN(Seed*0.1373+C5124*12.9898+D5124*78.233)*43758.5453,1),1E-9),"")</f>
        <v/>
      </c>
      <c r="G5124">
        <f>IF(B5124,MOD(SIN(Seed*0.5917+C5124*39.3468+D5124*11.135)*24634.6345,1),"")</f>
        <v/>
      </c>
      <c r="H5124">
        <f>IF(B5124,SQRT(-2*LN(F5124))*COS(2*PI()*G5124),"")</f>
        <v/>
      </c>
      <c r="I5124">
        <f>IF(B5124,IF(D5124=0,H5124,Rho*I5123+SQRT(1-Rho^2)*H5124),"")</f>
        <v/>
      </c>
      <c r="J5124">
        <f>IF(B5124,IF(Dist="Normal",DistA+DistB*I5124,DistA+(DistB-DistA)*NORMSDIST(I5124)),"")</f>
        <v/>
      </c>
      <c r="K5124">
        <f>IF(B5124,INDEX(MineScale,C5124),"")</f>
        <v/>
      </c>
      <c r="L5124">
        <f>IF(B5124,INDEX(Dow,1,WEEKDAY(E5124,2)),"")</f>
        <v/>
      </c>
      <c r="M5124">
        <f>IF(B5124,(1+Trend)^D5124,"")</f>
        <v/>
      </c>
      <c r="N5124">
        <f>IF(B5124,EXP(SUMPRODUCT(LN(1+(EvEff-1)*INDEX(Affected,0,C5124)*EXP(-((E5124-EvCenter)^2)/(2*EvSigma^2))))),"")</f>
        <v/>
      </c>
      <c r="O5124">
        <f>IF(B5124,ROUND(MAX(0,J5124*K5124*L5124*M5124*N5124),2),"")</f>
        <v/>
      </c>
    </row>
    <row r="5125">
      <c r="A5125" t="n">
        <v>5124</v>
      </c>
      <c r="B5125">
        <f>A5125&lt;=MineCount*Days</f>
        <v/>
      </c>
      <c r="C5125">
        <f>IF(B5125,INT((A5125-1)/Days)+1,"")</f>
        <v/>
      </c>
      <c r="D5125">
        <f>IF(B5125,MOD(A5125-1,Days),"")</f>
        <v/>
      </c>
      <c r="E5125" s="16">
        <f>IF(B5125,StartDate+D5125,"")</f>
        <v/>
      </c>
      <c r="F5125">
        <f>IF(B5125,MAX(MOD(SIN(Seed*0.1373+C5125*12.9898+D5125*78.233)*43758.5453,1),1E-9),"")</f>
        <v/>
      </c>
      <c r="G5125">
        <f>IF(B5125,MOD(SIN(Seed*0.5917+C5125*39.3468+D5125*11.135)*24634.6345,1),"")</f>
        <v/>
      </c>
      <c r="H5125">
        <f>IF(B5125,SQRT(-2*LN(F5125))*COS(2*PI()*G5125),"")</f>
        <v/>
      </c>
      <c r="I5125">
        <f>IF(B5125,IF(D5125=0,H5125,Rho*I5124+SQRT(1-Rho^2)*H5125),"")</f>
        <v/>
      </c>
      <c r="J5125">
        <f>IF(B5125,IF(Dist="Normal",DistA+DistB*I5125,DistA+(DistB-DistA)*NORMSDIST(I5125)),"")</f>
        <v/>
      </c>
      <c r="K5125">
        <f>IF(B5125,INDEX(MineScale,C5125),"")</f>
        <v/>
      </c>
      <c r="L5125">
        <f>IF(B5125,INDEX(Dow,1,WEEKDAY(E5125,2)),"")</f>
        <v/>
      </c>
      <c r="M5125">
        <f>IF(B5125,(1+Trend)^D5125,"")</f>
        <v/>
      </c>
      <c r="N5125">
        <f>IF(B5125,EXP(SUMPRODUCT(LN(1+(EvEff-1)*INDEX(Affected,0,C5125)*EXP(-((E5125-EvCenter)^2)/(2*EvSigma^2))))),"")</f>
        <v/>
      </c>
      <c r="O5125">
        <f>IF(B5125,ROUND(MAX(0,J5125*K5125*L5125*M5125*N5125),2),"")</f>
        <v/>
      </c>
    </row>
    <row r="5126">
      <c r="A5126" t="n">
        <v>5125</v>
      </c>
      <c r="B5126">
        <f>A5126&lt;=MineCount*Days</f>
        <v/>
      </c>
      <c r="C5126">
        <f>IF(B5126,INT((A5126-1)/Days)+1,"")</f>
        <v/>
      </c>
      <c r="D5126">
        <f>IF(B5126,MOD(A5126-1,Days),"")</f>
        <v/>
      </c>
      <c r="E5126" s="16">
        <f>IF(B5126,StartDate+D5126,"")</f>
        <v/>
      </c>
      <c r="F5126">
        <f>IF(B5126,MAX(MOD(SIN(Seed*0.1373+C5126*12.9898+D5126*78.233)*43758.5453,1),1E-9),"")</f>
        <v/>
      </c>
      <c r="G5126">
        <f>IF(B5126,MOD(SIN(Seed*0.5917+C5126*39.3468+D5126*11.135)*24634.6345,1),"")</f>
        <v/>
      </c>
      <c r="H5126">
        <f>IF(B5126,SQRT(-2*LN(F5126))*COS(2*PI()*G5126),"")</f>
        <v/>
      </c>
      <c r="I5126">
        <f>IF(B5126,IF(D5126=0,H5126,Rho*I5125+SQRT(1-Rho^2)*H5126),"")</f>
        <v/>
      </c>
      <c r="J5126">
        <f>IF(B5126,IF(Dist="Normal",DistA+DistB*I5126,DistA+(DistB-DistA)*NORMSDIST(I5126)),"")</f>
        <v/>
      </c>
      <c r="K5126">
        <f>IF(B5126,INDEX(MineScale,C5126),"")</f>
        <v/>
      </c>
      <c r="L5126">
        <f>IF(B5126,INDEX(Dow,1,WEEKDAY(E5126,2)),"")</f>
        <v/>
      </c>
      <c r="M5126">
        <f>IF(B5126,(1+Trend)^D5126,"")</f>
        <v/>
      </c>
      <c r="N5126">
        <f>IF(B5126,EXP(SUMPRODUCT(LN(1+(EvEff-1)*INDEX(Affected,0,C5126)*EXP(-((E5126-EvCenter)^2)/(2*EvSigma^2))))),"")</f>
        <v/>
      </c>
      <c r="O5126">
        <f>IF(B5126,ROUND(MAX(0,J5126*K5126*L5126*M5126*N5126),2),"")</f>
        <v/>
      </c>
    </row>
    <row r="5127">
      <c r="A5127" t="n">
        <v>5126</v>
      </c>
      <c r="B5127">
        <f>A5127&lt;=MineCount*Days</f>
        <v/>
      </c>
      <c r="C5127">
        <f>IF(B5127,INT((A5127-1)/Days)+1,"")</f>
        <v/>
      </c>
      <c r="D5127">
        <f>IF(B5127,MOD(A5127-1,Days),"")</f>
        <v/>
      </c>
      <c r="E5127" s="16">
        <f>IF(B5127,StartDate+D5127,"")</f>
        <v/>
      </c>
      <c r="F5127">
        <f>IF(B5127,MAX(MOD(SIN(Seed*0.1373+C5127*12.9898+D5127*78.233)*43758.5453,1),1E-9),"")</f>
        <v/>
      </c>
      <c r="G5127">
        <f>IF(B5127,MOD(SIN(Seed*0.5917+C5127*39.3468+D5127*11.135)*24634.6345,1),"")</f>
        <v/>
      </c>
      <c r="H5127">
        <f>IF(B5127,SQRT(-2*LN(F5127))*COS(2*PI()*G5127),"")</f>
        <v/>
      </c>
      <c r="I5127">
        <f>IF(B5127,IF(D5127=0,H5127,Rho*I5126+SQRT(1-Rho^2)*H5127),"")</f>
        <v/>
      </c>
      <c r="J5127">
        <f>IF(B5127,IF(Dist="Normal",DistA+DistB*I5127,DistA+(DistB-DistA)*NORMSDIST(I5127)),"")</f>
        <v/>
      </c>
      <c r="K5127">
        <f>IF(B5127,INDEX(MineScale,C5127),"")</f>
        <v/>
      </c>
      <c r="L5127">
        <f>IF(B5127,INDEX(Dow,1,WEEKDAY(E5127,2)),"")</f>
        <v/>
      </c>
      <c r="M5127">
        <f>IF(B5127,(1+Trend)^D5127,"")</f>
        <v/>
      </c>
      <c r="N5127">
        <f>IF(B5127,EXP(SUMPRODUCT(LN(1+(EvEff-1)*INDEX(Affected,0,C5127)*EXP(-((E5127-EvCenter)^2)/(2*EvSigma^2))))),"")</f>
        <v/>
      </c>
      <c r="O5127">
        <f>IF(B5127,ROUND(MAX(0,J5127*K5127*L5127*M5127*N5127),2),"")</f>
        <v/>
      </c>
    </row>
    <row r="5128">
      <c r="A5128" t="n">
        <v>5127</v>
      </c>
      <c r="B5128">
        <f>A5128&lt;=MineCount*Days</f>
        <v/>
      </c>
      <c r="C5128">
        <f>IF(B5128,INT((A5128-1)/Days)+1,"")</f>
        <v/>
      </c>
      <c r="D5128">
        <f>IF(B5128,MOD(A5128-1,Days),"")</f>
        <v/>
      </c>
      <c r="E5128" s="16">
        <f>IF(B5128,StartDate+D5128,"")</f>
        <v/>
      </c>
      <c r="F5128">
        <f>IF(B5128,MAX(MOD(SIN(Seed*0.1373+C5128*12.9898+D5128*78.233)*43758.5453,1),1E-9),"")</f>
        <v/>
      </c>
      <c r="G5128">
        <f>IF(B5128,MOD(SIN(Seed*0.5917+C5128*39.3468+D5128*11.135)*24634.6345,1),"")</f>
        <v/>
      </c>
      <c r="H5128">
        <f>IF(B5128,SQRT(-2*LN(F5128))*COS(2*PI()*G5128),"")</f>
        <v/>
      </c>
      <c r="I5128">
        <f>IF(B5128,IF(D5128=0,H5128,Rho*I5127+SQRT(1-Rho^2)*H5128),"")</f>
        <v/>
      </c>
      <c r="J5128">
        <f>IF(B5128,IF(Dist="Normal",DistA+DistB*I5128,DistA+(DistB-DistA)*NORMSDIST(I5128)),"")</f>
        <v/>
      </c>
      <c r="K5128">
        <f>IF(B5128,INDEX(MineScale,C5128),"")</f>
        <v/>
      </c>
      <c r="L5128">
        <f>IF(B5128,INDEX(Dow,1,WEEKDAY(E5128,2)),"")</f>
        <v/>
      </c>
      <c r="M5128">
        <f>IF(B5128,(1+Trend)^D5128,"")</f>
        <v/>
      </c>
      <c r="N5128">
        <f>IF(B5128,EXP(SUMPRODUCT(LN(1+(EvEff-1)*INDEX(Affected,0,C5128)*EXP(-((E5128-EvCenter)^2)/(2*EvSigma^2))))),"")</f>
        <v/>
      </c>
      <c r="O5128">
        <f>IF(B5128,ROUND(MAX(0,J5128*K5128*L5128*M5128*N5128),2),"")</f>
        <v/>
      </c>
    </row>
    <row r="5129">
      <c r="A5129" t="n">
        <v>5128</v>
      </c>
      <c r="B5129">
        <f>A5129&lt;=MineCount*Days</f>
        <v/>
      </c>
      <c r="C5129">
        <f>IF(B5129,INT((A5129-1)/Days)+1,"")</f>
        <v/>
      </c>
      <c r="D5129">
        <f>IF(B5129,MOD(A5129-1,Days),"")</f>
        <v/>
      </c>
      <c r="E5129" s="16">
        <f>IF(B5129,StartDate+D5129,"")</f>
        <v/>
      </c>
      <c r="F5129">
        <f>IF(B5129,MAX(MOD(SIN(Seed*0.1373+C5129*12.9898+D5129*78.233)*43758.5453,1),1E-9),"")</f>
        <v/>
      </c>
      <c r="G5129">
        <f>IF(B5129,MOD(SIN(Seed*0.5917+C5129*39.3468+D5129*11.135)*24634.6345,1),"")</f>
        <v/>
      </c>
      <c r="H5129">
        <f>IF(B5129,SQRT(-2*LN(F5129))*COS(2*PI()*G5129),"")</f>
        <v/>
      </c>
      <c r="I5129">
        <f>IF(B5129,IF(D5129=0,H5129,Rho*I5128+SQRT(1-Rho^2)*H5129),"")</f>
        <v/>
      </c>
      <c r="J5129">
        <f>IF(B5129,IF(Dist="Normal",DistA+DistB*I5129,DistA+(DistB-DistA)*NORMSDIST(I5129)),"")</f>
        <v/>
      </c>
      <c r="K5129">
        <f>IF(B5129,INDEX(MineScale,C5129),"")</f>
        <v/>
      </c>
      <c r="L5129">
        <f>IF(B5129,INDEX(Dow,1,WEEKDAY(E5129,2)),"")</f>
        <v/>
      </c>
      <c r="M5129">
        <f>IF(B5129,(1+Trend)^D5129,"")</f>
        <v/>
      </c>
      <c r="N5129">
        <f>IF(B5129,EXP(SUMPRODUCT(LN(1+(EvEff-1)*INDEX(Affected,0,C5129)*EXP(-((E5129-EvCenter)^2)/(2*EvSigma^2))))),"")</f>
        <v/>
      </c>
      <c r="O5129">
        <f>IF(B5129,ROUND(MAX(0,J5129*K5129*L5129*M5129*N5129),2),"")</f>
        <v/>
      </c>
    </row>
    <row r="5130">
      <c r="A5130" t="n">
        <v>5129</v>
      </c>
      <c r="B5130">
        <f>A5130&lt;=MineCount*Days</f>
        <v/>
      </c>
      <c r="C5130">
        <f>IF(B5130,INT((A5130-1)/Days)+1,"")</f>
        <v/>
      </c>
      <c r="D5130">
        <f>IF(B5130,MOD(A5130-1,Days),"")</f>
        <v/>
      </c>
      <c r="E5130" s="16">
        <f>IF(B5130,StartDate+D5130,"")</f>
        <v/>
      </c>
      <c r="F5130">
        <f>IF(B5130,MAX(MOD(SIN(Seed*0.1373+C5130*12.9898+D5130*78.233)*43758.5453,1),1E-9),"")</f>
        <v/>
      </c>
      <c r="G5130">
        <f>IF(B5130,MOD(SIN(Seed*0.5917+C5130*39.3468+D5130*11.135)*24634.6345,1),"")</f>
        <v/>
      </c>
      <c r="H5130">
        <f>IF(B5130,SQRT(-2*LN(F5130))*COS(2*PI()*G5130),"")</f>
        <v/>
      </c>
      <c r="I5130">
        <f>IF(B5130,IF(D5130=0,H5130,Rho*I5129+SQRT(1-Rho^2)*H5130),"")</f>
        <v/>
      </c>
      <c r="J5130">
        <f>IF(B5130,IF(Dist="Normal",DistA+DistB*I5130,DistA+(DistB-DistA)*NORMSDIST(I5130)),"")</f>
        <v/>
      </c>
      <c r="K5130">
        <f>IF(B5130,INDEX(MineScale,C5130),"")</f>
        <v/>
      </c>
      <c r="L5130">
        <f>IF(B5130,INDEX(Dow,1,WEEKDAY(E5130,2)),"")</f>
        <v/>
      </c>
      <c r="M5130">
        <f>IF(B5130,(1+Trend)^D5130,"")</f>
        <v/>
      </c>
      <c r="N5130">
        <f>IF(B5130,EXP(SUMPRODUCT(LN(1+(EvEff-1)*INDEX(Affected,0,C5130)*EXP(-((E5130-EvCenter)^2)/(2*EvSigma^2))))),"")</f>
        <v/>
      </c>
      <c r="O5130">
        <f>IF(B5130,ROUND(MAX(0,J5130*K5130*L5130*M5130*N5130),2),"")</f>
        <v/>
      </c>
    </row>
    <row r="5131">
      <c r="A5131" t="n">
        <v>5130</v>
      </c>
      <c r="B5131">
        <f>A5131&lt;=MineCount*Days</f>
        <v/>
      </c>
      <c r="C5131">
        <f>IF(B5131,INT((A5131-1)/Days)+1,"")</f>
        <v/>
      </c>
      <c r="D5131">
        <f>IF(B5131,MOD(A5131-1,Days),"")</f>
        <v/>
      </c>
      <c r="E5131" s="16">
        <f>IF(B5131,StartDate+D5131,"")</f>
        <v/>
      </c>
      <c r="F5131">
        <f>IF(B5131,MAX(MOD(SIN(Seed*0.1373+C5131*12.9898+D5131*78.233)*43758.5453,1),1E-9),"")</f>
        <v/>
      </c>
      <c r="G5131">
        <f>IF(B5131,MOD(SIN(Seed*0.5917+C5131*39.3468+D5131*11.135)*24634.6345,1),"")</f>
        <v/>
      </c>
      <c r="H5131">
        <f>IF(B5131,SQRT(-2*LN(F5131))*COS(2*PI()*G5131),"")</f>
        <v/>
      </c>
      <c r="I5131">
        <f>IF(B5131,IF(D5131=0,H5131,Rho*I5130+SQRT(1-Rho^2)*H5131),"")</f>
        <v/>
      </c>
      <c r="J5131">
        <f>IF(B5131,IF(Dist="Normal",DistA+DistB*I5131,DistA+(DistB-DistA)*NORMSDIST(I5131)),"")</f>
        <v/>
      </c>
      <c r="K5131">
        <f>IF(B5131,INDEX(MineScale,C5131),"")</f>
        <v/>
      </c>
      <c r="L5131">
        <f>IF(B5131,INDEX(Dow,1,WEEKDAY(E5131,2)),"")</f>
        <v/>
      </c>
      <c r="M5131">
        <f>IF(B5131,(1+Trend)^D5131,"")</f>
        <v/>
      </c>
      <c r="N5131">
        <f>IF(B5131,EXP(SUMPRODUCT(LN(1+(EvEff-1)*INDEX(Affected,0,C5131)*EXP(-((E5131-EvCenter)^2)/(2*EvSigma^2))))),"")</f>
        <v/>
      </c>
      <c r="O5131">
        <f>IF(B5131,ROUND(MAX(0,J5131*K5131*L5131*M5131*N5131),2),"")</f>
        <v/>
      </c>
    </row>
    <row r="5132">
      <c r="A5132" t="n">
        <v>5131</v>
      </c>
      <c r="B5132">
        <f>A5132&lt;=MineCount*Days</f>
        <v/>
      </c>
      <c r="C5132">
        <f>IF(B5132,INT((A5132-1)/Days)+1,"")</f>
        <v/>
      </c>
      <c r="D5132">
        <f>IF(B5132,MOD(A5132-1,Days),"")</f>
        <v/>
      </c>
      <c r="E5132" s="16">
        <f>IF(B5132,StartDate+D5132,"")</f>
        <v/>
      </c>
      <c r="F5132">
        <f>IF(B5132,MAX(MOD(SIN(Seed*0.1373+C5132*12.9898+D5132*78.233)*43758.5453,1),1E-9),"")</f>
        <v/>
      </c>
      <c r="G5132">
        <f>IF(B5132,MOD(SIN(Seed*0.5917+C5132*39.3468+D5132*11.135)*24634.6345,1),"")</f>
        <v/>
      </c>
      <c r="H5132">
        <f>IF(B5132,SQRT(-2*LN(F5132))*COS(2*PI()*G5132),"")</f>
        <v/>
      </c>
      <c r="I5132">
        <f>IF(B5132,IF(D5132=0,H5132,Rho*I5131+SQRT(1-Rho^2)*H5132),"")</f>
        <v/>
      </c>
      <c r="J5132">
        <f>IF(B5132,IF(Dist="Normal",DistA+DistB*I5132,DistA+(DistB-DistA)*NORMSDIST(I5132)),"")</f>
        <v/>
      </c>
      <c r="K5132">
        <f>IF(B5132,INDEX(MineScale,C5132),"")</f>
        <v/>
      </c>
      <c r="L5132">
        <f>IF(B5132,INDEX(Dow,1,WEEKDAY(E5132,2)),"")</f>
        <v/>
      </c>
      <c r="M5132">
        <f>IF(B5132,(1+Trend)^D5132,"")</f>
        <v/>
      </c>
      <c r="N5132">
        <f>IF(B5132,EXP(SUMPRODUCT(LN(1+(EvEff-1)*INDEX(Affected,0,C5132)*EXP(-((E5132-EvCenter)^2)/(2*EvSigma^2))))),"")</f>
        <v/>
      </c>
      <c r="O5132">
        <f>IF(B5132,ROUND(MAX(0,J5132*K5132*L5132*M5132*N5132),2),"")</f>
        <v/>
      </c>
    </row>
    <row r="5133">
      <c r="A5133" t="n">
        <v>5132</v>
      </c>
      <c r="B5133">
        <f>A5133&lt;=MineCount*Days</f>
        <v/>
      </c>
      <c r="C5133">
        <f>IF(B5133,INT((A5133-1)/Days)+1,"")</f>
        <v/>
      </c>
      <c r="D5133">
        <f>IF(B5133,MOD(A5133-1,Days),"")</f>
        <v/>
      </c>
      <c r="E5133" s="16">
        <f>IF(B5133,StartDate+D5133,"")</f>
        <v/>
      </c>
      <c r="F5133">
        <f>IF(B5133,MAX(MOD(SIN(Seed*0.1373+C5133*12.9898+D5133*78.233)*43758.5453,1),1E-9),"")</f>
        <v/>
      </c>
      <c r="G5133">
        <f>IF(B5133,MOD(SIN(Seed*0.5917+C5133*39.3468+D5133*11.135)*24634.6345,1),"")</f>
        <v/>
      </c>
      <c r="H5133">
        <f>IF(B5133,SQRT(-2*LN(F5133))*COS(2*PI()*G5133),"")</f>
        <v/>
      </c>
      <c r="I5133">
        <f>IF(B5133,IF(D5133=0,H5133,Rho*I5132+SQRT(1-Rho^2)*H5133),"")</f>
        <v/>
      </c>
      <c r="J5133">
        <f>IF(B5133,IF(Dist="Normal",DistA+DistB*I5133,DistA+(DistB-DistA)*NORMSDIST(I5133)),"")</f>
        <v/>
      </c>
      <c r="K5133">
        <f>IF(B5133,INDEX(MineScale,C5133),"")</f>
        <v/>
      </c>
      <c r="L5133">
        <f>IF(B5133,INDEX(Dow,1,WEEKDAY(E5133,2)),"")</f>
        <v/>
      </c>
      <c r="M5133">
        <f>IF(B5133,(1+Trend)^D5133,"")</f>
        <v/>
      </c>
      <c r="N5133">
        <f>IF(B5133,EXP(SUMPRODUCT(LN(1+(EvEff-1)*INDEX(Affected,0,C5133)*EXP(-((E5133-EvCenter)^2)/(2*EvSigma^2))))),"")</f>
        <v/>
      </c>
      <c r="O5133">
        <f>IF(B5133,ROUND(MAX(0,J5133*K5133*L5133*M5133*N5133),2),"")</f>
        <v/>
      </c>
    </row>
    <row r="5134">
      <c r="A5134" t="n">
        <v>5133</v>
      </c>
      <c r="B5134">
        <f>A5134&lt;=MineCount*Days</f>
        <v/>
      </c>
      <c r="C5134">
        <f>IF(B5134,INT((A5134-1)/Days)+1,"")</f>
        <v/>
      </c>
      <c r="D5134">
        <f>IF(B5134,MOD(A5134-1,Days),"")</f>
        <v/>
      </c>
      <c r="E5134" s="16">
        <f>IF(B5134,StartDate+D5134,"")</f>
        <v/>
      </c>
      <c r="F5134">
        <f>IF(B5134,MAX(MOD(SIN(Seed*0.1373+C5134*12.9898+D5134*78.233)*43758.5453,1),1E-9),"")</f>
        <v/>
      </c>
      <c r="G5134">
        <f>IF(B5134,MOD(SIN(Seed*0.5917+C5134*39.3468+D5134*11.135)*24634.6345,1),"")</f>
        <v/>
      </c>
      <c r="H5134">
        <f>IF(B5134,SQRT(-2*LN(F5134))*COS(2*PI()*G5134),"")</f>
        <v/>
      </c>
      <c r="I5134">
        <f>IF(B5134,IF(D5134=0,H5134,Rho*I5133+SQRT(1-Rho^2)*H5134),"")</f>
        <v/>
      </c>
      <c r="J5134">
        <f>IF(B5134,IF(Dist="Normal",DistA+DistB*I5134,DistA+(DistB-DistA)*NORMSDIST(I5134)),"")</f>
        <v/>
      </c>
      <c r="K5134">
        <f>IF(B5134,INDEX(MineScale,C5134),"")</f>
        <v/>
      </c>
      <c r="L5134">
        <f>IF(B5134,INDEX(Dow,1,WEEKDAY(E5134,2)),"")</f>
        <v/>
      </c>
      <c r="M5134">
        <f>IF(B5134,(1+Trend)^D5134,"")</f>
        <v/>
      </c>
      <c r="N5134">
        <f>IF(B5134,EXP(SUMPRODUCT(LN(1+(EvEff-1)*INDEX(Affected,0,C5134)*EXP(-((E5134-EvCenter)^2)/(2*EvSigma^2))))),"")</f>
        <v/>
      </c>
      <c r="O5134">
        <f>IF(B5134,ROUND(MAX(0,J5134*K5134*L5134*M5134*N5134),2),"")</f>
        <v/>
      </c>
    </row>
    <row r="5135">
      <c r="A5135" t="n">
        <v>5134</v>
      </c>
      <c r="B5135">
        <f>A5135&lt;=MineCount*Days</f>
        <v/>
      </c>
      <c r="C5135">
        <f>IF(B5135,INT((A5135-1)/Days)+1,"")</f>
        <v/>
      </c>
      <c r="D5135">
        <f>IF(B5135,MOD(A5135-1,Days),"")</f>
        <v/>
      </c>
      <c r="E5135" s="16">
        <f>IF(B5135,StartDate+D5135,"")</f>
        <v/>
      </c>
      <c r="F5135">
        <f>IF(B5135,MAX(MOD(SIN(Seed*0.1373+C5135*12.9898+D5135*78.233)*43758.5453,1),1E-9),"")</f>
        <v/>
      </c>
      <c r="G5135">
        <f>IF(B5135,MOD(SIN(Seed*0.5917+C5135*39.3468+D5135*11.135)*24634.6345,1),"")</f>
        <v/>
      </c>
      <c r="H5135">
        <f>IF(B5135,SQRT(-2*LN(F5135))*COS(2*PI()*G5135),"")</f>
        <v/>
      </c>
      <c r="I5135">
        <f>IF(B5135,IF(D5135=0,H5135,Rho*I5134+SQRT(1-Rho^2)*H5135),"")</f>
        <v/>
      </c>
      <c r="J5135">
        <f>IF(B5135,IF(Dist="Normal",DistA+DistB*I5135,DistA+(DistB-DistA)*NORMSDIST(I5135)),"")</f>
        <v/>
      </c>
      <c r="K5135">
        <f>IF(B5135,INDEX(MineScale,C5135),"")</f>
        <v/>
      </c>
      <c r="L5135">
        <f>IF(B5135,INDEX(Dow,1,WEEKDAY(E5135,2)),"")</f>
        <v/>
      </c>
      <c r="M5135">
        <f>IF(B5135,(1+Trend)^D5135,"")</f>
        <v/>
      </c>
      <c r="N5135">
        <f>IF(B5135,EXP(SUMPRODUCT(LN(1+(EvEff-1)*INDEX(Affected,0,C5135)*EXP(-((E5135-EvCenter)^2)/(2*EvSigma^2))))),"")</f>
        <v/>
      </c>
      <c r="O5135">
        <f>IF(B5135,ROUND(MAX(0,J5135*K5135*L5135*M5135*N5135),2),"")</f>
        <v/>
      </c>
    </row>
    <row r="5136">
      <c r="A5136" t="n">
        <v>5135</v>
      </c>
      <c r="B5136">
        <f>A5136&lt;=MineCount*Days</f>
        <v/>
      </c>
      <c r="C5136">
        <f>IF(B5136,INT((A5136-1)/Days)+1,"")</f>
        <v/>
      </c>
      <c r="D5136">
        <f>IF(B5136,MOD(A5136-1,Days),"")</f>
        <v/>
      </c>
      <c r="E5136" s="16">
        <f>IF(B5136,StartDate+D5136,"")</f>
        <v/>
      </c>
      <c r="F5136">
        <f>IF(B5136,MAX(MOD(SIN(Seed*0.1373+C5136*12.9898+D5136*78.233)*43758.5453,1),1E-9),"")</f>
        <v/>
      </c>
      <c r="G5136">
        <f>IF(B5136,MOD(SIN(Seed*0.5917+C5136*39.3468+D5136*11.135)*24634.6345,1),"")</f>
        <v/>
      </c>
      <c r="H5136">
        <f>IF(B5136,SQRT(-2*LN(F5136))*COS(2*PI()*G5136),"")</f>
        <v/>
      </c>
      <c r="I5136">
        <f>IF(B5136,IF(D5136=0,H5136,Rho*I5135+SQRT(1-Rho^2)*H5136),"")</f>
        <v/>
      </c>
      <c r="J5136">
        <f>IF(B5136,IF(Dist="Normal",DistA+DistB*I5136,DistA+(DistB-DistA)*NORMSDIST(I5136)),"")</f>
        <v/>
      </c>
      <c r="K5136">
        <f>IF(B5136,INDEX(MineScale,C5136),"")</f>
        <v/>
      </c>
      <c r="L5136">
        <f>IF(B5136,INDEX(Dow,1,WEEKDAY(E5136,2)),"")</f>
        <v/>
      </c>
      <c r="M5136">
        <f>IF(B5136,(1+Trend)^D5136,"")</f>
        <v/>
      </c>
      <c r="N5136">
        <f>IF(B5136,EXP(SUMPRODUCT(LN(1+(EvEff-1)*INDEX(Affected,0,C5136)*EXP(-((E5136-EvCenter)^2)/(2*EvSigma^2))))),"")</f>
        <v/>
      </c>
      <c r="O5136">
        <f>IF(B5136,ROUND(MAX(0,J5136*K5136*L5136*M5136*N5136),2),"")</f>
        <v/>
      </c>
    </row>
    <row r="5137">
      <c r="A5137" t="n">
        <v>5136</v>
      </c>
      <c r="B5137">
        <f>A5137&lt;=MineCount*Days</f>
        <v/>
      </c>
      <c r="C5137">
        <f>IF(B5137,INT((A5137-1)/Days)+1,"")</f>
        <v/>
      </c>
      <c r="D5137">
        <f>IF(B5137,MOD(A5137-1,Days),"")</f>
        <v/>
      </c>
      <c r="E5137" s="16">
        <f>IF(B5137,StartDate+D5137,"")</f>
        <v/>
      </c>
      <c r="F5137">
        <f>IF(B5137,MAX(MOD(SIN(Seed*0.1373+C5137*12.9898+D5137*78.233)*43758.5453,1),1E-9),"")</f>
        <v/>
      </c>
      <c r="G5137">
        <f>IF(B5137,MOD(SIN(Seed*0.5917+C5137*39.3468+D5137*11.135)*24634.6345,1),"")</f>
        <v/>
      </c>
      <c r="H5137">
        <f>IF(B5137,SQRT(-2*LN(F5137))*COS(2*PI()*G5137),"")</f>
        <v/>
      </c>
      <c r="I5137">
        <f>IF(B5137,IF(D5137=0,H5137,Rho*I5136+SQRT(1-Rho^2)*H5137),"")</f>
        <v/>
      </c>
      <c r="J5137">
        <f>IF(B5137,IF(Dist="Normal",DistA+DistB*I5137,DistA+(DistB-DistA)*NORMSDIST(I5137)),"")</f>
        <v/>
      </c>
      <c r="K5137">
        <f>IF(B5137,INDEX(MineScale,C5137),"")</f>
        <v/>
      </c>
      <c r="L5137">
        <f>IF(B5137,INDEX(Dow,1,WEEKDAY(E5137,2)),"")</f>
        <v/>
      </c>
      <c r="M5137">
        <f>IF(B5137,(1+Trend)^D5137,"")</f>
        <v/>
      </c>
      <c r="N5137">
        <f>IF(B5137,EXP(SUMPRODUCT(LN(1+(EvEff-1)*INDEX(Affected,0,C5137)*EXP(-((E5137-EvCenter)^2)/(2*EvSigma^2))))),"")</f>
        <v/>
      </c>
      <c r="O5137">
        <f>IF(B5137,ROUND(MAX(0,J5137*K5137*L5137*M5137*N5137),2),"")</f>
        <v/>
      </c>
    </row>
    <row r="5138">
      <c r="A5138" t="n">
        <v>5137</v>
      </c>
      <c r="B5138">
        <f>A5138&lt;=MineCount*Days</f>
        <v/>
      </c>
      <c r="C5138">
        <f>IF(B5138,INT((A5138-1)/Days)+1,"")</f>
        <v/>
      </c>
      <c r="D5138">
        <f>IF(B5138,MOD(A5138-1,Days),"")</f>
        <v/>
      </c>
      <c r="E5138" s="16">
        <f>IF(B5138,StartDate+D5138,"")</f>
        <v/>
      </c>
      <c r="F5138">
        <f>IF(B5138,MAX(MOD(SIN(Seed*0.1373+C5138*12.9898+D5138*78.233)*43758.5453,1),1E-9),"")</f>
        <v/>
      </c>
      <c r="G5138">
        <f>IF(B5138,MOD(SIN(Seed*0.5917+C5138*39.3468+D5138*11.135)*24634.6345,1),"")</f>
        <v/>
      </c>
      <c r="H5138">
        <f>IF(B5138,SQRT(-2*LN(F5138))*COS(2*PI()*G5138),"")</f>
        <v/>
      </c>
      <c r="I5138">
        <f>IF(B5138,IF(D5138=0,H5138,Rho*I5137+SQRT(1-Rho^2)*H5138),"")</f>
        <v/>
      </c>
      <c r="J5138">
        <f>IF(B5138,IF(Dist="Normal",DistA+DistB*I5138,DistA+(DistB-DistA)*NORMSDIST(I5138)),"")</f>
        <v/>
      </c>
      <c r="K5138">
        <f>IF(B5138,INDEX(MineScale,C5138),"")</f>
        <v/>
      </c>
      <c r="L5138">
        <f>IF(B5138,INDEX(Dow,1,WEEKDAY(E5138,2)),"")</f>
        <v/>
      </c>
      <c r="M5138">
        <f>IF(B5138,(1+Trend)^D5138,"")</f>
        <v/>
      </c>
      <c r="N5138">
        <f>IF(B5138,EXP(SUMPRODUCT(LN(1+(EvEff-1)*INDEX(Affected,0,C5138)*EXP(-((E5138-EvCenter)^2)/(2*EvSigma^2))))),"")</f>
        <v/>
      </c>
      <c r="O5138">
        <f>IF(B5138,ROUND(MAX(0,J5138*K5138*L5138*M5138*N5138),2),"")</f>
        <v/>
      </c>
    </row>
    <row r="5139">
      <c r="A5139" t="n">
        <v>5138</v>
      </c>
      <c r="B5139">
        <f>A5139&lt;=MineCount*Days</f>
        <v/>
      </c>
      <c r="C5139">
        <f>IF(B5139,INT((A5139-1)/Days)+1,"")</f>
        <v/>
      </c>
      <c r="D5139">
        <f>IF(B5139,MOD(A5139-1,Days),"")</f>
        <v/>
      </c>
      <c r="E5139" s="16">
        <f>IF(B5139,StartDate+D5139,"")</f>
        <v/>
      </c>
      <c r="F5139">
        <f>IF(B5139,MAX(MOD(SIN(Seed*0.1373+C5139*12.9898+D5139*78.233)*43758.5453,1),1E-9),"")</f>
        <v/>
      </c>
      <c r="G5139">
        <f>IF(B5139,MOD(SIN(Seed*0.5917+C5139*39.3468+D5139*11.135)*24634.6345,1),"")</f>
        <v/>
      </c>
      <c r="H5139">
        <f>IF(B5139,SQRT(-2*LN(F5139))*COS(2*PI()*G5139),"")</f>
        <v/>
      </c>
      <c r="I5139">
        <f>IF(B5139,IF(D5139=0,H5139,Rho*I5138+SQRT(1-Rho^2)*H5139),"")</f>
        <v/>
      </c>
      <c r="J5139">
        <f>IF(B5139,IF(Dist="Normal",DistA+DistB*I5139,DistA+(DistB-DistA)*NORMSDIST(I5139)),"")</f>
        <v/>
      </c>
      <c r="K5139">
        <f>IF(B5139,INDEX(MineScale,C5139),"")</f>
        <v/>
      </c>
      <c r="L5139">
        <f>IF(B5139,INDEX(Dow,1,WEEKDAY(E5139,2)),"")</f>
        <v/>
      </c>
      <c r="M5139">
        <f>IF(B5139,(1+Trend)^D5139,"")</f>
        <v/>
      </c>
      <c r="N5139">
        <f>IF(B5139,EXP(SUMPRODUCT(LN(1+(EvEff-1)*INDEX(Affected,0,C5139)*EXP(-((E5139-EvCenter)^2)/(2*EvSigma^2))))),"")</f>
        <v/>
      </c>
      <c r="O5139">
        <f>IF(B5139,ROUND(MAX(0,J5139*K5139*L5139*M5139*N5139),2),"")</f>
        <v/>
      </c>
    </row>
    <row r="5140">
      <c r="A5140" t="n">
        <v>5139</v>
      </c>
      <c r="B5140">
        <f>A5140&lt;=MineCount*Days</f>
        <v/>
      </c>
      <c r="C5140">
        <f>IF(B5140,INT((A5140-1)/Days)+1,"")</f>
        <v/>
      </c>
      <c r="D5140">
        <f>IF(B5140,MOD(A5140-1,Days),"")</f>
        <v/>
      </c>
      <c r="E5140" s="16">
        <f>IF(B5140,StartDate+D5140,"")</f>
        <v/>
      </c>
      <c r="F5140">
        <f>IF(B5140,MAX(MOD(SIN(Seed*0.1373+C5140*12.9898+D5140*78.233)*43758.5453,1),1E-9),"")</f>
        <v/>
      </c>
      <c r="G5140">
        <f>IF(B5140,MOD(SIN(Seed*0.5917+C5140*39.3468+D5140*11.135)*24634.6345,1),"")</f>
        <v/>
      </c>
      <c r="H5140">
        <f>IF(B5140,SQRT(-2*LN(F5140))*COS(2*PI()*G5140),"")</f>
        <v/>
      </c>
      <c r="I5140">
        <f>IF(B5140,IF(D5140=0,H5140,Rho*I5139+SQRT(1-Rho^2)*H5140),"")</f>
        <v/>
      </c>
      <c r="J5140">
        <f>IF(B5140,IF(Dist="Normal",DistA+DistB*I5140,DistA+(DistB-DistA)*NORMSDIST(I5140)),"")</f>
        <v/>
      </c>
      <c r="K5140">
        <f>IF(B5140,INDEX(MineScale,C5140),"")</f>
        <v/>
      </c>
      <c r="L5140">
        <f>IF(B5140,INDEX(Dow,1,WEEKDAY(E5140,2)),"")</f>
        <v/>
      </c>
      <c r="M5140">
        <f>IF(B5140,(1+Trend)^D5140,"")</f>
        <v/>
      </c>
      <c r="N5140">
        <f>IF(B5140,EXP(SUMPRODUCT(LN(1+(EvEff-1)*INDEX(Affected,0,C5140)*EXP(-((E5140-EvCenter)^2)/(2*EvSigma^2))))),"")</f>
        <v/>
      </c>
      <c r="O5140">
        <f>IF(B5140,ROUND(MAX(0,J5140*K5140*L5140*M5140*N5140),2),"")</f>
        <v/>
      </c>
    </row>
    <row r="5141">
      <c r="A5141" t="n">
        <v>5140</v>
      </c>
      <c r="B5141">
        <f>A5141&lt;=MineCount*Days</f>
        <v/>
      </c>
      <c r="C5141">
        <f>IF(B5141,INT((A5141-1)/Days)+1,"")</f>
        <v/>
      </c>
      <c r="D5141">
        <f>IF(B5141,MOD(A5141-1,Days),"")</f>
        <v/>
      </c>
      <c r="E5141" s="16">
        <f>IF(B5141,StartDate+D5141,"")</f>
        <v/>
      </c>
      <c r="F5141">
        <f>IF(B5141,MAX(MOD(SIN(Seed*0.1373+C5141*12.9898+D5141*78.233)*43758.5453,1),1E-9),"")</f>
        <v/>
      </c>
      <c r="G5141">
        <f>IF(B5141,MOD(SIN(Seed*0.5917+C5141*39.3468+D5141*11.135)*24634.6345,1),"")</f>
        <v/>
      </c>
      <c r="H5141">
        <f>IF(B5141,SQRT(-2*LN(F5141))*COS(2*PI()*G5141),"")</f>
        <v/>
      </c>
      <c r="I5141">
        <f>IF(B5141,IF(D5141=0,H5141,Rho*I5140+SQRT(1-Rho^2)*H5141),"")</f>
        <v/>
      </c>
      <c r="J5141">
        <f>IF(B5141,IF(Dist="Normal",DistA+DistB*I5141,DistA+(DistB-DistA)*NORMSDIST(I5141)),"")</f>
        <v/>
      </c>
      <c r="K5141">
        <f>IF(B5141,INDEX(MineScale,C5141),"")</f>
        <v/>
      </c>
      <c r="L5141">
        <f>IF(B5141,INDEX(Dow,1,WEEKDAY(E5141,2)),"")</f>
        <v/>
      </c>
      <c r="M5141">
        <f>IF(B5141,(1+Trend)^D5141,"")</f>
        <v/>
      </c>
      <c r="N5141">
        <f>IF(B5141,EXP(SUMPRODUCT(LN(1+(EvEff-1)*INDEX(Affected,0,C5141)*EXP(-((E5141-EvCenter)^2)/(2*EvSigma^2))))),"")</f>
        <v/>
      </c>
      <c r="O5141">
        <f>IF(B5141,ROUND(MAX(0,J5141*K5141*L5141*M5141*N5141),2),"")</f>
        <v/>
      </c>
    </row>
    <row r="5142">
      <c r="A5142" t="n">
        <v>5141</v>
      </c>
      <c r="B5142">
        <f>A5142&lt;=MineCount*Days</f>
        <v/>
      </c>
      <c r="C5142">
        <f>IF(B5142,INT((A5142-1)/Days)+1,"")</f>
        <v/>
      </c>
      <c r="D5142">
        <f>IF(B5142,MOD(A5142-1,Days),"")</f>
        <v/>
      </c>
      <c r="E5142" s="16">
        <f>IF(B5142,StartDate+D5142,"")</f>
        <v/>
      </c>
      <c r="F5142">
        <f>IF(B5142,MAX(MOD(SIN(Seed*0.1373+C5142*12.9898+D5142*78.233)*43758.5453,1),1E-9),"")</f>
        <v/>
      </c>
      <c r="G5142">
        <f>IF(B5142,MOD(SIN(Seed*0.5917+C5142*39.3468+D5142*11.135)*24634.6345,1),"")</f>
        <v/>
      </c>
      <c r="H5142">
        <f>IF(B5142,SQRT(-2*LN(F5142))*COS(2*PI()*G5142),"")</f>
        <v/>
      </c>
      <c r="I5142">
        <f>IF(B5142,IF(D5142=0,H5142,Rho*I5141+SQRT(1-Rho^2)*H5142),"")</f>
        <v/>
      </c>
      <c r="J5142">
        <f>IF(B5142,IF(Dist="Normal",DistA+DistB*I5142,DistA+(DistB-DistA)*NORMSDIST(I5142)),"")</f>
        <v/>
      </c>
      <c r="K5142">
        <f>IF(B5142,INDEX(MineScale,C5142),"")</f>
        <v/>
      </c>
      <c r="L5142">
        <f>IF(B5142,INDEX(Dow,1,WEEKDAY(E5142,2)),"")</f>
        <v/>
      </c>
      <c r="M5142">
        <f>IF(B5142,(1+Trend)^D5142,"")</f>
        <v/>
      </c>
      <c r="N5142">
        <f>IF(B5142,EXP(SUMPRODUCT(LN(1+(EvEff-1)*INDEX(Affected,0,C5142)*EXP(-((E5142-EvCenter)^2)/(2*EvSigma^2))))),"")</f>
        <v/>
      </c>
      <c r="O5142">
        <f>IF(B5142,ROUND(MAX(0,J5142*K5142*L5142*M5142*N5142),2),"")</f>
        <v/>
      </c>
    </row>
    <row r="5143">
      <c r="A5143" t="n">
        <v>5142</v>
      </c>
      <c r="B5143">
        <f>A5143&lt;=MineCount*Days</f>
        <v/>
      </c>
      <c r="C5143">
        <f>IF(B5143,INT((A5143-1)/Days)+1,"")</f>
        <v/>
      </c>
      <c r="D5143">
        <f>IF(B5143,MOD(A5143-1,Days),"")</f>
        <v/>
      </c>
      <c r="E5143" s="16">
        <f>IF(B5143,StartDate+D5143,"")</f>
        <v/>
      </c>
      <c r="F5143">
        <f>IF(B5143,MAX(MOD(SIN(Seed*0.1373+C5143*12.9898+D5143*78.233)*43758.5453,1),1E-9),"")</f>
        <v/>
      </c>
      <c r="G5143">
        <f>IF(B5143,MOD(SIN(Seed*0.5917+C5143*39.3468+D5143*11.135)*24634.6345,1),"")</f>
        <v/>
      </c>
      <c r="H5143">
        <f>IF(B5143,SQRT(-2*LN(F5143))*COS(2*PI()*G5143),"")</f>
        <v/>
      </c>
      <c r="I5143">
        <f>IF(B5143,IF(D5143=0,H5143,Rho*I5142+SQRT(1-Rho^2)*H5143),"")</f>
        <v/>
      </c>
      <c r="J5143">
        <f>IF(B5143,IF(Dist="Normal",DistA+DistB*I5143,DistA+(DistB-DistA)*NORMSDIST(I5143)),"")</f>
        <v/>
      </c>
      <c r="K5143">
        <f>IF(B5143,INDEX(MineScale,C5143),"")</f>
        <v/>
      </c>
      <c r="L5143">
        <f>IF(B5143,INDEX(Dow,1,WEEKDAY(E5143,2)),"")</f>
        <v/>
      </c>
      <c r="M5143">
        <f>IF(B5143,(1+Trend)^D5143,"")</f>
        <v/>
      </c>
      <c r="N5143">
        <f>IF(B5143,EXP(SUMPRODUCT(LN(1+(EvEff-1)*INDEX(Affected,0,C5143)*EXP(-((E5143-EvCenter)^2)/(2*EvSigma^2))))),"")</f>
        <v/>
      </c>
      <c r="O5143">
        <f>IF(B5143,ROUND(MAX(0,J5143*K5143*L5143*M5143*N5143),2),"")</f>
        <v/>
      </c>
    </row>
    <row r="5144">
      <c r="A5144" t="n">
        <v>5143</v>
      </c>
      <c r="B5144">
        <f>A5144&lt;=MineCount*Days</f>
        <v/>
      </c>
      <c r="C5144">
        <f>IF(B5144,INT((A5144-1)/Days)+1,"")</f>
        <v/>
      </c>
      <c r="D5144">
        <f>IF(B5144,MOD(A5144-1,Days),"")</f>
        <v/>
      </c>
      <c r="E5144" s="16">
        <f>IF(B5144,StartDate+D5144,"")</f>
        <v/>
      </c>
      <c r="F5144">
        <f>IF(B5144,MAX(MOD(SIN(Seed*0.1373+C5144*12.9898+D5144*78.233)*43758.5453,1),1E-9),"")</f>
        <v/>
      </c>
      <c r="G5144">
        <f>IF(B5144,MOD(SIN(Seed*0.5917+C5144*39.3468+D5144*11.135)*24634.6345,1),"")</f>
        <v/>
      </c>
      <c r="H5144">
        <f>IF(B5144,SQRT(-2*LN(F5144))*COS(2*PI()*G5144),"")</f>
        <v/>
      </c>
      <c r="I5144">
        <f>IF(B5144,IF(D5144=0,H5144,Rho*I5143+SQRT(1-Rho^2)*H5144),"")</f>
        <v/>
      </c>
      <c r="J5144">
        <f>IF(B5144,IF(Dist="Normal",DistA+DistB*I5144,DistA+(DistB-DistA)*NORMSDIST(I5144)),"")</f>
        <v/>
      </c>
      <c r="K5144">
        <f>IF(B5144,INDEX(MineScale,C5144),"")</f>
        <v/>
      </c>
      <c r="L5144">
        <f>IF(B5144,INDEX(Dow,1,WEEKDAY(E5144,2)),"")</f>
        <v/>
      </c>
      <c r="M5144">
        <f>IF(B5144,(1+Trend)^D5144,"")</f>
        <v/>
      </c>
      <c r="N5144">
        <f>IF(B5144,EXP(SUMPRODUCT(LN(1+(EvEff-1)*INDEX(Affected,0,C5144)*EXP(-((E5144-EvCenter)^2)/(2*EvSigma^2))))),"")</f>
        <v/>
      </c>
      <c r="O5144">
        <f>IF(B5144,ROUND(MAX(0,J5144*K5144*L5144*M5144*N5144),2),"")</f>
        <v/>
      </c>
    </row>
    <row r="5145">
      <c r="A5145" t="n">
        <v>5144</v>
      </c>
      <c r="B5145">
        <f>A5145&lt;=MineCount*Days</f>
        <v/>
      </c>
      <c r="C5145">
        <f>IF(B5145,INT((A5145-1)/Days)+1,"")</f>
        <v/>
      </c>
      <c r="D5145">
        <f>IF(B5145,MOD(A5145-1,Days),"")</f>
        <v/>
      </c>
      <c r="E5145" s="16">
        <f>IF(B5145,StartDate+D5145,"")</f>
        <v/>
      </c>
      <c r="F5145">
        <f>IF(B5145,MAX(MOD(SIN(Seed*0.1373+C5145*12.9898+D5145*78.233)*43758.5453,1),1E-9),"")</f>
        <v/>
      </c>
      <c r="G5145">
        <f>IF(B5145,MOD(SIN(Seed*0.5917+C5145*39.3468+D5145*11.135)*24634.6345,1),"")</f>
        <v/>
      </c>
      <c r="H5145">
        <f>IF(B5145,SQRT(-2*LN(F5145))*COS(2*PI()*G5145),"")</f>
        <v/>
      </c>
      <c r="I5145">
        <f>IF(B5145,IF(D5145=0,H5145,Rho*I5144+SQRT(1-Rho^2)*H5145),"")</f>
        <v/>
      </c>
      <c r="J5145">
        <f>IF(B5145,IF(Dist="Normal",DistA+DistB*I5145,DistA+(DistB-DistA)*NORMSDIST(I5145)),"")</f>
        <v/>
      </c>
      <c r="K5145">
        <f>IF(B5145,INDEX(MineScale,C5145),"")</f>
        <v/>
      </c>
      <c r="L5145">
        <f>IF(B5145,INDEX(Dow,1,WEEKDAY(E5145,2)),"")</f>
        <v/>
      </c>
      <c r="M5145">
        <f>IF(B5145,(1+Trend)^D5145,"")</f>
        <v/>
      </c>
      <c r="N5145">
        <f>IF(B5145,EXP(SUMPRODUCT(LN(1+(EvEff-1)*INDEX(Affected,0,C5145)*EXP(-((E5145-EvCenter)^2)/(2*EvSigma^2))))),"")</f>
        <v/>
      </c>
      <c r="O5145">
        <f>IF(B5145,ROUND(MAX(0,J5145*K5145*L5145*M5145*N5145),2),"")</f>
        <v/>
      </c>
    </row>
    <row r="5146">
      <c r="A5146" t="n">
        <v>5145</v>
      </c>
      <c r="B5146">
        <f>A5146&lt;=MineCount*Days</f>
        <v/>
      </c>
      <c r="C5146">
        <f>IF(B5146,INT((A5146-1)/Days)+1,"")</f>
        <v/>
      </c>
      <c r="D5146">
        <f>IF(B5146,MOD(A5146-1,Days),"")</f>
        <v/>
      </c>
      <c r="E5146" s="16">
        <f>IF(B5146,StartDate+D5146,"")</f>
        <v/>
      </c>
      <c r="F5146">
        <f>IF(B5146,MAX(MOD(SIN(Seed*0.1373+C5146*12.9898+D5146*78.233)*43758.5453,1),1E-9),"")</f>
        <v/>
      </c>
      <c r="G5146">
        <f>IF(B5146,MOD(SIN(Seed*0.5917+C5146*39.3468+D5146*11.135)*24634.6345,1),"")</f>
        <v/>
      </c>
      <c r="H5146">
        <f>IF(B5146,SQRT(-2*LN(F5146))*COS(2*PI()*G5146),"")</f>
        <v/>
      </c>
      <c r="I5146">
        <f>IF(B5146,IF(D5146=0,H5146,Rho*I5145+SQRT(1-Rho^2)*H5146),"")</f>
        <v/>
      </c>
      <c r="J5146">
        <f>IF(B5146,IF(Dist="Normal",DistA+DistB*I5146,DistA+(DistB-DistA)*NORMSDIST(I5146)),"")</f>
        <v/>
      </c>
      <c r="K5146">
        <f>IF(B5146,INDEX(MineScale,C5146),"")</f>
        <v/>
      </c>
      <c r="L5146">
        <f>IF(B5146,INDEX(Dow,1,WEEKDAY(E5146,2)),"")</f>
        <v/>
      </c>
      <c r="M5146">
        <f>IF(B5146,(1+Trend)^D5146,"")</f>
        <v/>
      </c>
      <c r="N5146">
        <f>IF(B5146,EXP(SUMPRODUCT(LN(1+(EvEff-1)*INDEX(Affected,0,C5146)*EXP(-((E5146-EvCenter)^2)/(2*EvSigma^2))))),"")</f>
        <v/>
      </c>
      <c r="O5146">
        <f>IF(B5146,ROUND(MAX(0,J5146*K5146*L5146*M5146*N5146),2),"")</f>
        <v/>
      </c>
    </row>
    <row r="5147">
      <c r="A5147" t="n">
        <v>5146</v>
      </c>
      <c r="B5147">
        <f>A5147&lt;=MineCount*Days</f>
        <v/>
      </c>
      <c r="C5147">
        <f>IF(B5147,INT((A5147-1)/Days)+1,"")</f>
        <v/>
      </c>
      <c r="D5147">
        <f>IF(B5147,MOD(A5147-1,Days),"")</f>
        <v/>
      </c>
      <c r="E5147" s="16">
        <f>IF(B5147,StartDate+D5147,"")</f>
        <v/>
      </c>
      <c r="F5147">
        <f>IF(B5147,MAX(MOD(SIN(Seed*0.1373+C5147*12.9898+D5147*78.233)*43758.5453,1),1E-9),"")</f>
        <v/>
      </c>
      <c r="G5147">
        <f>IF(B5147,MOD(SIN(Seed*0.5917+C5147*39.3468+D5147*11.135)*24634.6345,1),"")</f>
        <v/>
      </c>
      <c r="H5147">
        <f>IF(B5147,SQRT(-2*LN(F5147))*COS(2*PI()*G5147),"")</f>
        <v/>
      </c>
      <c r="I5147">
        <f>IF(B5147,IF(D5147=0,H5147,Rho*I5146+SQRT(1-Rho^2)*H5147),"")</f>
        <v/>
      </c>
      <c r="J5147">
        <f>IF(B5147,IF(Dist="Normal",DistA+DistB*I5147,DistA+(DistB-DistA)*NORMSDIST(I5147)),"")</f>
        <v/>
      </c>
      <c r="K5147">
        <f>IF(B5147,INDEX(MineScale,C5147),"")</f>
        <v/>
      </c>
      <c r="L5147">
        <f>IF(B5147,INDEX(Dow,1,WEEKDAY(E5147,2)),"")</f>
        <v/>
      </c>
      <c r="M5147">
        <f>IF(B5147,(1+Trend)^D5147,"")</f>
        <v/>
      </c>
      <c r="N5147">
        <f>IF(B5147,EXP(SUMPRODUCT(LN(1+(EvEff-1)*INDEX(Affected,0,C5147)*EXP(-((E5147-EvCenter)^2)/(2*EvSigma^2))))),"")</f>
        <v/>
      </c>
      <c r="O5147">
        <f>IF(B5147,ROUND(MAX(0,J5147*K5147*L5147*M5147*N5147),2),"")</f>
        <v/>
      </c>
    </row>
    <row r="5148">
      <c r="A5148" t="n">
        <v>5147</v>
      </c>
      <c r="B5148">
        <f>A5148&lt;=MineCount*Days</f>
        <v/>
      </c>
      <c r="C5148">
        <f>IF(B5148,INT((A5148-1)/Days)+1,"")</f>
        <v/>
      </c>
      <c r="D5148">
        <f>IF(B5148,MOD(A5148-1,Days),"")</f>
        <v/>
      </c>
      <c r="E5148" s="16">
        <f>IF(B5148,StartDate+D5148,"")</f>
        <v/>
      </c>
      <c r="F5148">
        <f>IF(B5148,MAX(MOD(SIN(Seed*0.1373+C5148*12.9898+D5148*78.233)*43758.5453,1),1E-9),"")</f>
        <v/>
      </c>
      <c r="G5148">
        <f>IF(B5148,MOD(SIN(Seed*0.5917+C5148*39.3468+D5148*11.135)*24634.6345,1),"")</f>
        <v/>
      </c>
      <c r="H5148">
        <f>IF(B5148,SQRT(-2*LN(F5148))*COS(2*PI()*G5148),"")</f>
        <v/>
      </c>
      <c r="I5148">
        <f>IF(B5148,IF(D5148=0,H5148,Rho*I5147+SQRT(1-Rho^2)*H5148),"")</f>
        <v/>
      </c>
      <c r="J5148">
        <f>IF(B5148,IF(Dist="Normal",DistA+DistB*I5148,DistA+(DistB-DistA)*NORMSDIST(I5148)),"")</f>
        <v/>
      </c>
      <c r="K5148">
        <f>IF(B5148,INDEX(MineScale,C5148),"")</f>
        <v/>
      </c>
      <c r="L5148">
        <f>IF(B5148,INDEX(Dow,1,WEEKDAY(E5148,2)),"")</f>
        <v/>
      </c>
      <c r="M5148">
        <f>IF(B5148,(1+Trend)^D5148,"")</f>
        <v/>
      </c>
      <c r="N5148">
        <f>IF(B5148,EXP(SUMPRODUCT(LN(1+(EvEff-1)*INDEX(Affected,0,C5148)*EXP(-((E5148-EvCenter)^2)/(2*EvSigma^2))))),"")</f>
        <v/>
      </c>
      <c r="O5148">
        <f>IF(B5148,ROUND(MAX(0,J5148*K5148*L5148*M5148*N5148),2),"")</f>
        <v/>
      </c>
    </row>
    <row r="5149">
      <c r="A5149" t="n">
        <v>5148</v>
      </c>
      <c r="B5149">
        <f>A5149&lt;=MineCount*Days</f>
        <v/>
      </c>
      <c r="C5149">
        <f>IF(B5149,INT((A5149-1)/Days)+1,"")</f>
        <v/>
      </c>
      <c r="D5149">
        <f>IF(B5149,MOD(A5149-1,Days),"")</f>
        <v/>
      </c>
      <c r="E5149" s="16">
        <f>IF(B5149,StartDate+D5149,"")</f>
        <v/>
      </c>
      <c r="F5149">
        <f>IF(B5149,MAX(MOD(SIN(Seed*0.1373+C5149*12.9898+D5149*78.233)*43758.5453,1),1E-9),"")</f>
        <v/>
      </c>
      <c r="G5149">
        <f>IF(B5149,MOD(SIN(Seed*0.5917+C5149*39.3468+D5149*11.135)*24634.6345,1),"")</f>
        <v/>
      </c>
      <c r="H5149">
        <f>IF(B5149,SQRT(-2*LN(F5149))*COS(2*PI()*G5149),"")</f>
        <v/>
      </c>
      <c r="I5149">
        <f>IF(B5149,IF(D5149=0,H5149,Rho*I5148+SQRT(1-Rho^2)*H5149),"")</f>
        <v/>
      </c>
      <c r="J5149">
        <f>IF(B5149,IF(Dist="Normal",DistA+DistB*I5149,DistA+(DistB-DistA)*NORMSDIST(I5149)),"")</f>
        <v/>
      </c>
      <c r="K5149">
        <f>IF(B5149,INDEX(MineScale,C5149),"")</f>
        <v/>
      </c>
      <c r="L5149">
        <f>IF(B5149,INDEX(Dow,1,WEEKDAY(E5149,2)),"")</f>
        <v/>
      </c>
      <c r="M5149">
        <f>IF(B5149,(1+Trend)^D5149,"")</f>
        <v/>
      </c>
      <c r="N5149">
        <f>IF(B5149,EXP(SUMPRODUCT(LN(1+(EvEff-1)*INDEX(Affected,0,C5149)*EXP(-((E5149-EvCenter)^2)/(2*EvSigma^2))))),"")</f>
        <v/>
      </c>
      <c r="O5149">
        <f>IF(B5149,ROUND(MAX(0,J5149*K5149*L5149*M5149*N5149),2),"")</f>
        <v/>
      </c>
    </row>
    <row r="5150">
      <c r="A5150" t="n">
        <v>5149</v>
      </c>
      <c r="B5150">
        <f>A5150&lt;=MineCount*Days</f>
        <v/>
      </c>
      <c r="C5150">
        <f>IF(B5150,INT((A5150-1)/Days)+1,"")</f>
        <v/>
      </c>
      <c r="D5150">
        <f>IF(B5150,MOD(A5150-1,Days),"")</f>
        <v/>
      </c>
      <c r="E5150" s="16">
        <f>IF(B5150,StartDate+D5150,"")</f>
        <v/>
      </c>
      <c r="F5150">
        <f>IF(B5150,MAX(MOD(SIN(Seed*0.1373+C5150*12.9898+D5150*78.233)*43758.5453,1),1E-9),"")</f>
        <v/>
      </c>
      <c r="G5150">
        <f>IF(B5150,MOD(SIN(Seed*0.5917+C5150*39.3468+D5150*11.135)*24634.6345,1),"")</f>
        <v/>
      </c>
      <c r="H5150">
        <f>IF(B5150,SQRT(-2*LN(F5150))*COS(2*PI()*G5150),"")</f>
        <v/>
      </c>
      <c r="I5150">
        <f>IF(B5150,IF(D5150=0,H5150,Rho*I5149+SQRT(1-Rho^2)*H5150),"")</f>
        <v/>
      </c>
      <c r="J5150">
        <f>IF(B5150,IF(Dist="Normal",DistA+DistB*I5150,DistA+(DistB-DistA)*NORMSDIST(I5150)),"")</f>
        <v/>
      </c>
      <c r="K5150">
        <f>IF(B5150,INDEX(MineScale,C5150),"")</f>
        <v/>
      </c>
      <c r="L5150">
        <f>IF(B5150,INDEX(Dow,1,WEEKDAY(E5150,2)),"")</f>
        <v/>
      </c>
      <c r="M5150">
        <f>IF(B5150,(1+Trend)^D5150,"")</f>
        <v/>
      </c>
      <c r="N5150">
        <f>IF(B5150,EXP(SUMPRODUCT(LN(1+(EvEff-1)*INDEX(Affected,0,C5150)*EXP(-((E5150-EvCenter)^2)/(2*EvSigma^2))))),"")</f>
        <v/>
      </c>
      <c r="O5150">
        <f>IF(B5150,ROUND(MAX(0,J5150*K5150*L5150*M5150*N5150),2),"")</f>
        <v/>
      </c>
    </row>
    <row r="5151">
      <c r="A5151" t="n">
        <v>5150</v>
      </c>
      <c r="B5151">
        <f>A5151&lt;=MineCount*Days</f>
        <v/>
      </c>
      <c r="C5151">
        <f>IF(B5151,INT((A5151-1)/Days)+1,"")</f>
        <v/>
      </c>
      <c r="D5151">
        <f>IF(B5151,MOD(A5151-1,Days),"")</f>
        <v/>
      </c>
      <c r="E5151" s="16">
        <f>IF(B5151,StartDate+D5151,"")</f>
        <v/>
      </c>
      <c r="F5151">
        <f>IF(B5151,MAX(MOD(SIN(Seed*0.1373+C5151*12.9898+D5151*78.233)*43758.5453,1),1E-9),"")</f>
        <v/>
      </c>
      <c r="G5151">
        <f>IF(B5151,MOD(SIN(Seed*0.5917+C5151*39.3468+D5151*11.135)*24634.6345,1),"")</f>
        <v/>
      </c>
      <c r="H5151">
        <f>IF(B5151,SQRT(-2*LN(F5151))*COS(2*PI()*G5151),"")</f>
        <v/>
      </c>
      <c r="I5151">
        <f>IF(B5151,IF(D5151=0,H5151,Rho*I5150+SQRT(1-Rho^2)*H5151),"")</f>
        <v/>
      </c>
      <c r="J5151">
        <f>IF(B5151,IF(Dist="Normal",DistA+DistB*I5151,DistA+(DistB-DistA)*NORMSDIST(I5151)),"")</f>
        <v/>
      </c>
      <c r="K5151">
        <f>IF(B5151,INDEX(MineScale,C5151),"")</f>
        <v/>
      </c>
      <c r="L5151">
        <f>IF(B5151,INDEX(Dow,1,WEEKDAY(E5151,2)),"")</f>
        <v/>
      </c>
      <c r="M5151">
        <f>IF(B5151,(1+Trend)^D5151,"")</f>
        <v/>
      </c>
      <c r="N5151">
        <f>IF(B5151,EXP(SUMPRODUCT(LN(1+(EvEff-1)*INDEX(Affected,0,C5151)*EXP(-((E5151-EvCenter)^2)/(2*EvSigma^2))))),"")</f>
        <v/>
      </c>
      <c r="O5151">
        <f>IF(B5151,ROUND(MAX(0,J5151*K5151*L5151*M5151*N5151),2),"")</f>
        <v/>
      </c>
    </row>
    <row r="5152">
      <c r="A5152" t="n">
        <v>5151</v>
      </c>
      <c r="B5152">
        <f>A5152&lt;=MineCount*Days</f>
        <v/>
      </c>
      <c r="C5152">
        <f>IF(B5152,INT((A5152-1)/Days)+1,"")</f>
        <v/>
      </c>
      <c r="D5152">
        <f>IF(B5152,MOD(A5152-1,Days),"")</f>
        <v/>
      </c>
      <c r="E5152" s="16">
        <f>IF(B5152,StartDate+D5152,"")</f>
        <v/>
      </c>
      <c r="F5152">
        <f>IF(B5152,MAX(MOD(SIN(Seed*0.1373+C5152*12.9898+D5152*78.233)*43758.5453,1),1E-9),"")</f>
        <v/>
      </c>
      <c r="G5152">
        <f>IF(B5152,MOD(SIN(Seed*0.5917+C5152*39.3468+D5152*11.135)*24634.6345,1),"")</f>
        <v/>
      </c>
      <c r="H5152">
        <f>IF(B5152,SQRT(-2*LN(F5152))*COS(2*PI()*G5152),"")</f>
        <v/>
      </c>
      <c r="I5152">
        <f>IF(B5152,IF(D5152=0,H5152,Rho*I5151+SQRT(1-Rho^2)*H5152),"")</f>
        <v/>
      </c>
      <c r="J5152">
        <f>IF(B5152,IF(Dist="Normal",DistA+DistB*I5152,DistA+(DistB-DistA)*NORMSDIST(I5152)),"")</f>
        <v/>
      </c>
      <c r="K5152">
        <f>IF(B5152,INDEX(MineScale,C5152),"")</f>
        <v/>
      </c>
      <c r="L5152">
        <f>IF(B5152,INDEX(Dow,1,WEEKDAY(E5152,2)),"")</f>
        <v/>
      </c>
      <c r="M5152">
        <f>IF(B5152,(1+Trend)^D5152,"")</f>
        <v/>
      </c>
      <c r="N5152">
        <f>IF(B5152,EXP(SUMPRODUCT(LN(1+(EvEff-1)*INDEX(Affected,0,C5152)*EXP(-((E5152-EvCenter)^2)/(2*EvSigma^2))))),"")</f>
        <v/>
      </c>
      <c r="O5152">
        <f>IF(B5152,ROUND(MAX(0,J5152*K5152*L5152*M5152*N5152),2),"")</f>
        <v/>
      </c>
    </row>
    <row r="5153">
      <c r="A5153" t="n">
        <v>5152</v>
      </c>
      <c r="B5153">
        <f>A5153&lt;=MineCount*Days</f>
        <v/>
      </c>
      <c r="C5153">
        <f>IF(B5153,INT((A5153-1)/Days)+1,"")</f>
        <v/>
      </c>
      <c r="D5153">
        <f>IF(B5153,MOD(A5153-1,Days),"")</f>
        <v/>
      </c>
      <c r="E5153" s="16">
        <f>IF(B5153,StartDate+D5153,"")</f>
        <v/>
      </c>
      <c r="F5153">
        <f>IF(B5153,MAX(MOD(SIN(Seed*0.1373+C5153*12.9898+D5153*78.233)*43758.5453,1),1E-9),"")</f>
        <v/>
      </c>
      <c r="G5153">
        <f>IF(B5153,MOD(SIN(Seed*0.5917+C5153*39.3468+D5153*11.135)*24634.6345,1),"")</f>
        <v/>
      </c>
      <c r="H5153">
        <f>IF(B5153,SQRT(-2*LN(F5153))*COS(2*PI()*G5153),"")</f>
        <v/>
      </c>
      <c r="I5153">
        <f>IF(B5153,IF(D5153=0,H5153,Rho*I5152+SQRT(1-Rho^2)*H5153),"")</f>
        <v/>
      </c>
      <c r="J5153">
        <f>IF(B5153,IF(Dist="Normal",DistA+DistB*I5153,DistA+(DistB-DistA)*NORMSDIST(I5153)),"")</f>
        <v/>
      </c>
      <c r="K5153">
        <f>IF(B5153,INDEX(MineScale,C5153),"")</f>
        <v/>
      </c>
      <c r="L5153">
        <f>IF(B5153,INDEX(Dow,1,WEEKDAY(E5153,2)),"")</f>
        <v/>
      </c>
      <c r="M5153">
        <f>IF(B5153,(1+Trend)^D5153,"")</f>
        <v/>
      </c>
      <c r="N5153">
        <f>IF(B5153,EXP(SUMPRODUCT(LN(1+(EvEff-1)*INDEX(Affected,0,C5153)*EXP(-((E5153-EvCenter)^2)/(2*EvSigma^2))))),"")</f>
        <v/>
      </c>
      <c r="O5153">
        <f>IF(B5153,ROUND(MAX(0,J5153*K5153*L5153*M5153*N5153),2),"")</f>
        <v/>
      </c>
    </row>
    <row r="5154">
      <c r="A5154" t="n">
        <v>5153</v>
      </c>
      <c r="B5154">
        <f>A5154&lt;=MineCount*Days</f>
        <v/>
      </c>
      <c r="C5154">
        <f>IF(B5154,INT((A5154-1)/Days)+1,"")</f>
        <v/>
      </c>
      <c r="D5154">
        <f>IF(B5154,MOD(A5154-1,Days),"")</f>
        <v/>
      </c>
      <c r="E5154" s="16">
        <f>IF(B5154,StartDate+D5154,"")</f>
        <v/>
      </c>
      <c r="F5154">
        <f>IF(B5154,MAX(MOD(SIN(Seed*0.1373+C5154*12.9898+D5154*78.233)*43758.5453,1),1E-9),"")</f>
        <v/>
      </c>
      <c r="G5154">
        <f>IF(B5154,MOD(SIN(Seed*0.5917+C5154*39.3468+D5154*11.135)*24634.6345,1),"")</f>
        <v/>
      </c>
      <c r="H5154">
        <f>IF(B5154,SQRT(-2*LN(F5154))*COS(2*PI()*G5154),"")</f>
        <v/>
      </c>
      <c r="I5154">
        <f>IF(B5154,IF(D5154=0,H5154,Rho*I5153+SQRT(1-Rho^2)*H5154),"")</f>
        <v/>
      </c>
      <c r="J5154">
        <f>IF(B5154,IF(Dist="Normal",DistA+DistB*I5154,DistA+(DistB-DistA)*NORMSDIST(I5154)),"")</f>
        <v/>
      </c>
      <c r="K5154">
        <f>IF(B5154,INDEX(MineScale,C5154),"")</f>
        <v/>
      </c>
      <c r="L5154">
        <f>IF(B5154,INDEX(Dow,1,WEEKDAY(E5154,2)),"")</f>
        <v/>
      </c>
      <c r="M5154">
        <f>IF(B5154,(1+Trend)^D5154,"")</f>
        <v/>
      </c>
      <c r="N5154">
        <f>IF(B5154,EXP(SUMPRODUCT(LN(1+(EvEff-1)*INDEX(Affected,0,C5154)*EXP(-((E5154-EvCenter)^2)/(2*EvSigma^2))))),"")</f>
        <v/>
      </c>
      <c r="O5154">
        <f>IF(B5154,ROUND(MAX(0,J5154*K5154*L5154*M5154*N5154),2),"")</f>
        <v/>
      </c>
    </row>
    <row r="5155">
      <c r="A5155" t="n">
        <v>5154</v>
      </c>
      <c r="B5155">
        <f>A5155&lt;=MineCount*Days</f>
        <v/>
      </c>
      <c r="C5155">
        <f>IF(B5155,INT((A5155-1)/Days)+1,"")</f>
        <v/>
      </c>
      <c r="D5155">
        <f>IF(B5155,MOD(A5155-1,Days),"")</f>
        <v/>
      </c>
      <c r="E5155" s="16">
        <f>IF(B5155,StartDate+D5155,"")</f>
        <v/>
      </c>
      <c r="F5155">
        <f>IF(B5155,MAX(MOD(SIN(Seed*0.1373+C5155*12.9898+D5155*78.233)*43758.5453,1),1E-9),"")</f>
        <v/>
      </c>
      <c r="G5155">
        <f>IF(B5155,MOD(SIN(Seed*0.5917+C5155*39.3468+D5155*11.135)*24634.6345,1),"")</f>
        <v/>
      </c>
      <c r="H5155">
        <f>IF(B5155,SQRT(-2*LN(F5155))*COS(2*PI()*G5155),"")</f>
        <v/>
      </c>
      <c r="I5155">
        <f>IF(B5155,IF(D5155=0,H5155,Rho*I5154+SQRT(1-Rho^2)*H5155),"")</f>
        <v/>
      </c>
      <c r="J5155">
        <f>IF(B5155,IF(Dist="Normal",DistA+DistB*I5155,DistA+(DistB-DistA)*NORMSDIST(I5155)),"")</f>
        <v/>
      </c>
      <c r="K5155">
        <f>IF(B5155,INDEX(MineScale,C5155),"")</f>
        <v/>
      </c>
      <c r="L5155">
        <f>IF(B5155,INDEX(Dow,1,WEEKDAY(E5155,2)),"")</f>
        <v/>
      </c>
      <c r="M5155">
        <f>IF(B5155,(1+Trend)^D5155,"")</f>
        <v/>
      </c>
      <c r="N5155">
        <f>IF(B5155,EXP(SUMPRODUCT(LN(1+(EvEff-1)*INDEX(Affected,0,C5155)*EXP(-((E5155-EvCenter)^2)/(2*EvSigma^2))))),"")</f>
        <v/>
      </c>
      <c r="O5155">
        <f>IF(B5155,ROUND(MAX(0,J5155*K5155*L5155*M5155*N5155),2),"")</f>
        <v/>
      </c>
    </row>
    <row r="5156">
      <c r="A5156" t="n">
        <v>5155</v>
      </c>
      <c r="B5156">
        <f>A5156&lt;=MineCount*Days</f>
        <v/>
      </c>
      <c r="C5156">
        <f>IF(B5156,INT((A5156-1)/Days)+1,"")</f>
        <v/>
      </c>
      <c r="D5156">
        <f>IF(B5156,MOD(A5156-1,Days),"")</f>
        <v/>
      </c>
      <c r="E5156" s="16">
        <f>IF(B5156,StartDate+D5156,"")</f>
        <v/>
      </c>
      <c r="F5156">
        <f>IF(B5156,MAX(MOD(SIN(Seed*0.1373+C5156*12.9898+D5156*78.233)*43758.5453,1),1E-9),"")</f>
        <v/>
      </c>
      <c r="G5156">
        <f>IF(B5156,MOD(SIN(Seed*0.5917+C5156*39.3468+D5156*11.135)*24634.6345,1),"")</f>
        <v/>
      </c>
      <c r="H5156">
        <f>IF(B5156,SQRT(-2*LN(F5156))*COS(2*PI()*G5156),"")</f>
        <v/>
      </c>
      <c r="I5156">
        <f>IF(B5156,IF(D5156=0,H5156,Rho*I5155+SQRT(1-Rho^2)*H5156),"")</f>
        <v/>
      </c>
      <c r="J5156">
        <f>IF(B5156,IF(Dist="Normal",DistA+DistB*I5156,DistA+(DistB-DistA)*NORMSDIST(I5156)),"")</f>
        <v/>
      </c>
      <c r="K5156">
        <f>IF(B5156,INDEX(MineScale,C5156),"")</f>
        <v/>
      </c>
      <c r="L5156">
        <f>IF(B5156,INDEX(Dow,1,WEEKDAY(E5156,2)),"")</f>
        <v/>
      </c>
      <c r="M5156">
        <f>IF(B5156,(1+Trend)^D5156,"")</f>
        <v/>
      </c>
      <c r="N5156">
        <f>IF(B5156,EXP(SUMPRODUCT(LN(1+(EvEff-1)*INDEX(Affected,0,C5156)*EXP(-((E5156-EvCenter)^2)/(2*EvSigma^2))))),"")</f>
        <v/>
      </c>
      <c r="O5156">
        <f>IF(B5156,ROUND(MAX(0,J5156*K5156*L5156*M5156*N5156),2),"")</f>
        <v/>
      </c>
    </row>
    <row r="5157">
      <c r="A5157" t="n">
        <v>5156</v>
      </c>
      <c r="B5157">
        <f>A5157&lt;=MineCount*Days</f>
        <v/>
      </c>
      <c r="C5157">
        <f>IF(B5157,INT((A5157-1)/Days)+1,"")</f>
        <v/>
      </c>
      <c r="D5157">
        <f>IF(B5157,MOD(A5157-1,Days),"")</f>
        <v/>
      </c>
      <c r="E5157" s="16">
        <f>IF(B5157,StartDate+D5157,"")</f>
        <v/>
      </c>
      <c r="F5157">
        <f>IF(B5157,MAX(MOD(SIN(Seed*0.1373+C5157*12.9898+D5157*78.233)*43758.5453,1),1E-9),"")</f>
        <v/>
      </c>
      <c r="G5157">
        <f>IF(B5157,MOD(SIN(Seed*0.5917+C5157*39.3468+D5157*11.135)*24634.6345,1),"")</f>
        <v/>
      </c>
      <c r="H5157">
        <f>IF(B5157,SQRT(-2*LN(F5157))*COS(2*PI()*G5157),"")</f>
        <v/>
      </c>
      <c r="I5157">
        <f>IF(B5157,IF(D5157=0,H5157,Rho*I5156+SQRT(1-Rho^2)*H5157),"")</f>
        <v/>
      </c>
      <c r="J5157">
        <f>IF(B5157,IF(Dist="Normal",DistA+DistB*I5157,DistA+(DistB-DistA)*NORMSDIST(I5157)),"")</f>
        <v/>
      </c>
      <c r="K5157">
        <f>IF(B5157,INDEX(MineScale,C5157),"")</f>
        <v/>
      </c>
      <c r="L5157">
        <f>IF(B5157,INDEX(Dow,1,WEEKDAY(E5157,2)),"")</f>
        <v/>
      </c>
      <c r="M5157">
        <f>IF(B5157,(1+Trend)^D5157,"")</f>
        <v/>
      </c>
      <c r="N5157">
        <f>IF(B5157,EXP(SUMPRODUCT(LN(1+(EvEff-1)*INDEX(Affected,0,C5157)*EXP(-((E5157-EvCenter)^2)/(2*EvSigma^2))))),"")</f>
        <v/>
      </c>
      <c r="O5157">
        <f>IF(B5157,ROUND(MAX(0,J5157*K5157*L5157*M5157*N5157),2),"")</f>
        <v/>
      </c>
    </row>
    <row r="5158">
      <c r="A5158" t="n">
        <v>5157</v>
      </c>
      <c r="B5158">
        <f>A5158&lt;=MineCount*Days</f>
        <v/>
      </c>
      <c r="C5158">
        <f>IF(B5158,INT((A5158-1)/Days)+1,"")</f>
        <v/>
      </c>
      <c r="D5158">
        <f>IF(B5158,MOD(A5158-1,Days),"")</f>
        <v/>
      </c>
      <c r="E5158" s="16">
        <f>IF(B5158,StartDate+D5158,"")</f>
        <v/>
      </c>
      <c r="F5158">
        <f>IF(B5158,MAX(MOD(SIN(Seed*0.1373+C5158*12.9898+D5158*78.233)*43758.5453,1),1E-9),"")</f>
        <v/>
      </c>
      <c r="G5158">
        <f>IF(B5158,MOD(SIN(Seed*0.5917+C5158*39.3468+D5158*11.135)*24634.6345,1),"")</f>
        <v/>
      </c>
      <c r="H5158">
        <f>IF(B5158,SQRT(-2*LN(F5158))*COS(2*PI()*G5158),"")</f>
        <v/>
      </c>
      <c r="I5158">
        <f>IF(B5158,IF(D5158=0,H5158,Rho*I5157+SQRT(1-Rho^2)*H5158),"")</f>
        <v/>
      </c>
      <c r="J5158">
        <f>IF(B5158,IF(Dist="Normal",DistA+DistB*I5158,DistA+(DistB-DistA)*NORMSDIST(I5158)),"")</f>
        <v/>
      </c>
      <c r="K5158">
        <f>IF(B5158,INDEX(MineScale,C5158),"")</f>
        <v/>
      </c>
      <c r="L5158">
        <f>IF(B5158,INDEX(Dow,1,WEEKDAY(E5158,2)),"")</f>
        <v/>
      </c>
      <c r="M5158">
        <f>IF(B5158,(1+Trend)^D5158,"")</f>
        <v/>
      </c>
      <c r="N5158">
        <f>IF(B5158,EXP(SUMPRODUCT(LN(1+(EvEff-1)*INDEX(Affected,0,C5158)*EXP(-((E5158-EvCenter)^2)/(2*EvSigma^2))))),"")</f>
        <v/>
      </c>
      <c r="O5158">
        <f>IF(B5158,ROUND(MAX(0,J5158*K5158*L5158*M5158*N5158),2),"")</f>
        <v/>
      </c>
    </row>
    <row r="5159">
      <c r="A5159" t="n">
        <v>5158</v>
      </c>
      <c r="B5159">
        <f>A5159&lt;=MineCount*Days</f>
        <v/>
      </c>
      <c r="C5159">
        <f>IF(B5159,INT((A5159-1)/Days)+1,"")</f>
        <v/>
      </c>
      <c r="D5159">
        <f>IF(B5159,MOD(A5159-1,Days),"")</f>
        <v/>
      </c>
      <c r="E5159" s="16">
        <f>IF(B5159,StartDate+D5159,"")</f>
        <v/>
      </c>
      <c r="F5159">
        <f>IF(B5159,MAX(MOD(SIN(Seed*0.1373+C5159*12.9898+D5159*78.233)*43758.5453,1),1E-9),"")</f>
        <v/>
      </c>
      <c r="G5159">
        <f>IF(B5159,MOD(SIN(Seed*0.5917+C5159*39.3468+D5159*11.135)*24634.6345,1),"")</f>
        <v/>
      </c>
      <c r="H5159">
        <f>IF(B5159,SQRT(-2*LN(F5159))*COS(2*PI()*G5159),"")</f>
        <v/>
      </c>
      <c r="I5159">
        <f>IF(B5159,IF(D5159=0,H5159,Rho*I5158+SQRT(1-Rho^2)*H5159),"")</f>
        <v/>
      </c>
      <c r="J5159">
        <f>IF(B5159,IF(Dist="Normal",DistA+DistB*I5159,DistA+(DistB-DistA)*NORMSDIST(I5159)),"")</f>
        <v/>
      </c>
      <c r="K5159">
        <f>IF(B5159,INDEX(MineScale,C5159),"")</f>
        <v/>
      </c>
      <c r="L5159">
        <f>IF(B5159,INDEX(Dow,1,WEEKDAY(E5159,2)),"")</f>
        <v/>
      </c>
      <c r="M5159">
        <f>IF(B5159,(1+Trend)^D5159,"")</f>
        <v/>
      </c>
      <c r="N5159">
        <f>IF(B5159,EXP(SUMPRODUCT(LN(1+(EvEff-1)*INDEX(Affected,0,C5159)*EXP(-((E5159-EvCenter)^2)/(2*EvSigma^2))))),"")</f>
        <v/>
      </c>
      <c r="O5159">
        <f>IF(B5159,ROUND(MAX(0,J5159*K5159*L5159*M5159*N5159),2),"")</f>
        <v/>
      </c>
    </row>
    <row r="5160">
      <c r="A5160" t="n">
        <v>5159</v>
      </c>
      <c r="B5160">
        <f>A5160&lt;=MineCount*Days</f>
        <v/>
      </c>
      <c r="C5160">
        <f>IF(B5160,INT((A5160-1)/Days)+1,"")</f>
        <v/>
      </c>
      <c r="D5160">
        <f>IF(B5160,MOD(A5160-1,Days),"")</f>
        <v/>
      </c>
      <c r="E5160" s="16">
        <f>IF(B5160,StartDate+D5160,"")</f>
        <v/>
      </c>
      <c r="F5160">
        <f>IF(B5160,MAX(MOD(SIN(Seed*0.1373+C5160*12.9898+D5160*78.233)*43758.5453,1),1E-9),"")</f>
        <v/>
      </c>
      <c r="G5160">
        <f>IF(B5160,MOD(SIN(Seed*0.5917+C5160*39.3468+D5160*11.135)*24634.6345,1),"")</f>
        <v/>
      </c>
      <c r="H5160">
        <f>IF(B5160,SQRT(-2*LN(F5160))*COS(2*PI()*G5160),"")</f>
        <v/>
      </c>
      <c r="I5160">
        <f>IF(B5160,IF(D5160=0,H5160,Rho*I5159+SQRT(1-Rho^2)*H5160),"")</f>
        <v/>
      </c>
      <c r="J5160">
        <f>IF(B5160,IF(Dist="Normal",DistA+DistB*I5160,DistA+(DistB-DistA)*NORMSDIST(I5160)),"")</f>
        <v/>
      </c>
      <c r="K5160">
        <f>IF(B5160,INDEX(MineScale,C5160),"")</f>
        <v/>
      </c>
      <c r="L5160">
        <f>IF(B5160,INDEX(Dow,1,WEEKDAY(E5160,2)),"")</f>
        <v/>
      </c>
      <c r="M5160">
        <f>IF(B5160,(1+Trend)^D5160,"")</f>
        <v/>
      </c>
      <c r="N5160">
        <f>IF(B5160,EXP(SUMPRODUCT(LN(1+(EvEff-1)*INDEX(Affected,0,C5160)*EXP(-((E5160-EvCenter)^2)/(2*EvSigma^2))))),"")</f>
        <v/>
      </c>
      <c r="O5160">
        <f>IF(B5160,ROUND(MAX(0,J5160*K5160*L5160*M5160*N5160),2),"")</f>
        <v/>
      </c>
    </row>
    <row r="5161">
      <c r="A5161" t="n">
        <v>5160</v>
      </c>
      <c r="B5161">
        <f>A5161&lt;=MineCount*Days</f>
        <v/>
      </c>
      <c r="C5161">
        <f>IF(B5161,INT((A5161-1)/Days)+1,"")</f>
        <v/>
      </c>
      <c r="D5161">
        <f>IF(B5161,MOD(A5161-1,Days),"")</f>
        <v/>
      </c>
      <c r="E5161" s="16">
        <f>IF(B5161,StartDate+D5161,"")</f>
        <v/>
      </c>
      <c r="F5161">
        <f>IF(B5161,MAX(MOD(SIN(Seed*0.1373+C5161*12.9898+D5161*78.233)*43758.5453,1),1E-9),"")</f>
        <v/>
      </c>
      <c r="G5161">
        <f>IF(B5161,MOD(SIN(Seed*0.5917+C5161*39.3468+D5161*11.135)*24634.6345,1),"")</f>
        <v/>
      </c>
      <c r="H5161">
        <f>IF(B5161,SQRT(-2*LN(F5161))*COS(2*PI()*G5161),"")</f>
        <v/>
      </c>
      <c r="I5161">
        <f>IF(B5161,IF(D5161=0,H5161,Rho*I5160+SQRT(1-Rho^2)*H5161),"")</f>
        <v/>
      </c>
      <c r="J5161">
        <f>IF(B5161,IF(Dist="Normal",DistA+DistB*I5161,DistA+(DistB-DistA)*NORMSDIST(I5161)),"")</f>
        <v/>
      </c>
      <c r="K5161">
        <f>IF(B5161,INDEX(MineScale,C5161),"")</f>
        <v/>
      </c>
      <c r="L5161">
        <f>IF(B5161,INDEX(Dow,1,WEEKDAY(E5161,2)),"")</f>
        <v/>
      </c>
      <c r="M5161">
        <f>IF(B5161,(1+Trend)^D5161,"")</f>
        <v/>
      </c>
      <c r="N5161">
        <f>IF(B5161,EXP(SUMPRODUCT(LN(1+(EvEff-1)*INDEX(Affected,0,C5161)*EXP(-((E5161-EvCenter)^2)/(2*EvSigma^2))))),"")</f>
        <v/>
      </c>
      <c r="O5161">
        <f>IF(B5161,ROUND(MAX(0,J5161*K5161*L5161*M5161*N5161),2),"")</f>
        <v/>
      </c>
    </row>
    <row r="5162">
      <c r="A5162" t="n">
        <v>5161</v>
      </c>
      <c r="B5162">
        <f>A5162&lt;=MineCount*Days</f>
        <v/>
      </c>
      <c r="C5162">
        <f>IF(B5162,INT((A5162-1)/Days)+1,"")</f>
        <v/>
      </c>
      <c r="D5162">
        <f>IF(B5162,MOD(A5162-1,Days),"")</f>
        <v/>
      </c>
      <c r="E5162" s="16">
        <f>IF(B5162,StartDate+D5162,"")</f>
        <v/>
      </c>
      <c r="F5162">
        <f>IF(B5162,MAX(MOD(SIN(Seed*0.1373+C5162*12.9898+D5162*78.233)*43758.5453,1),1E-9),"")</f>
        <v/>
      </c>
      <c r="G5162">
        <f>IF(B5162,MOD(SIN(Seed*0.5917+C5162*39.3468+D5162*11.135)*24634.6345,1),"")</f>
        <v/>
      </c>
      <c r="H5162">
        <f>IF(B5162,SQRT(-2*LN(F5162))*COS(2*PI()*G5162),"")</f>
        <v/>
      </c>
      <c r="I5162">
        <f>IF(B5162,IF(D5162=0,H5162,Rho*I5161+SQRT(1-Rho^2)*H5162),"")</f>
        <v/>
      </c>
      <c r="J5162">
        <f>IF(B5162,IF(Dist="Normal",DistA+DistB*I5162,DistA+(DistB-DistA)*NORMSDIST(I5162)),"")</f>
        <v/>
      </c>
      <c r="K5162">
        <f>IF(B5162,INDEX(MineScale,C5162),"")</f>
        <v/>
      </c>
      <c r="L5162">
        <f>IF(B5162,INDEX(Dow,1,WEEKDAY(E5162,2)),"")</f>
        <v/>
      </c>
      <c r="M5162">
        <f>IF(B5162,(1+Trend)^D5162,"")</f>
        <v/>
      </c>
      <c r="N5162">
        <f>IF(B5162,EXP(SUMPRODUCT(LN(1+(EvEff-1)*INDEX(Affected,0,C5162)*EXP(-((E5162-EvCenter)^2)/(2*EvSigma^2))))),"")</f>
        <v/>
      </c>
      <c r="O5162">
        <f>IF(B5162,ROUND(MAX(0,J5162*K5162*L5162*M5162*N5162),2),"")</f>
        <v/>
      </c>
    </row>
    <row r="5163">
      <c r="A5163" t="n">
        <v>5162</v>
      </c>
      <c r="B5163">
        <f>A5163&lt;=MineCount*Days</f>
        <v/>
      </c>
      <c r="C5163">
        <f>IF(B5163,INT((A5163-1)/Days)+1,"")</f>
        <v/>
      </c>
      <c r="D5163">
        <f>IF(B5163,MOD(A5163-1,Days),"")</f>
        <v/>
      </c>
      <c r="E5163" s="16">
        <f>IF(B5163,StartDate+D5163,"")</f>
        <v/>
      </c>
      <c r="F5163">
        <f>IF(B5163,MAX(MOD(SIN(Seed*0.1373+C5163*12.9898+D5163*78.233)*43758.5453,1),1E-9),"")</f>
        <v/>
      </c>
      <c r="G5163">
        <f>IF(B5163,MOD(SIN(Seed*0.5917+C5163*39.3468+D5163*11.135)*24634.6345,1),"")</f>
        <v/>
      </c>
      <c r="H5163">
        <f>IF(B5163,SQRT(-2*LN(F5163))*COS(2*PI()*G5163),"")</f>
        <v/>
      </c>
      <c r="I5163">
        <f>IF(B5163,IF(D5163=0,H5163,Rho*I5162+SQRT(1-Rho^2)*H5163),"")</f>
        <v/>
      </c>
      <c r="J5163">
        <f>IF(B5163,IF(Dist="Normal",DistA+DistB*I5163,DistA+(DistB-DistA)*NORMSDIST(I5163)),"")</f>
        <v/>
      </c>
      <c r="K5163">
        <f>IF(B5163,INDEX(MineScale,C5163),"")</f>
        <v/>
      </c>
      <c r="L5163">
        <f>IF(B5163,INDEX(Dow,1,WEEKDAY(E5163,2)),"")</f>
        <v/>
      </c>
      <c r="M5163">
        <f>IF(B5163,(1+Trend)^D5163,"")</f>
        <v/>
      </c>
      <c r="N5163">
        <f>IF(B5163,EXP(SUMPRODUCT(LN(1+(EvEff-1)*INDEX(Affected,0,C5163)*EXP(-((E5163-EvCenter)^2)/(2*EvSigma^2))))),"")</f>
        <v/>
      </c>
      <c r="O5163">
        <f>IF(B5163,ROUND(MAX(0,J5163*K5163*L5163*M5163*N5163),2),"")</f>
        <v/>
      </c>
    </row>
    <row r="5164">
      <c r="A5164" t="n">
        <v>5163</v>
      </c>
      <c r="B5164">
        <f>A5164&lt;=MineCount*Days</f>
        <v/>
      </c>
      <c r="C5164">
        <f>IF(B5164,INT((A5164-1)/Days)+1,"")</f>
        <v/>
      </c>
      <c r="D5164">
        <f>IF(B5164,MOD(A5164-1,Days),"")</f>
        <v/>
      </c>
      <c r="E5164" s="16">
        <f>IF(B5164,StartDate+D5164,"")</f>
        <v/>
      </c>
      <c r="F5164">
        <f>IF(B5164,MAX(MOD(SIN(Seed*0.1373+C5164*12.9898+D5164*78.233)*43758.5453,1),1E-9),"")</f>
        <v/>
      </c>
      <c r="G5164">
        <f>IF(B5164,MOD(SIN(Seed*0.5917+C5164*39.3468+D5164*11.135)*24634.6345,1),"")</f>
        <v/>
      </c>
      <c r="H5164">
        <f>IF(B5164,SQRT(-2*LN(F5164))*COS(2*PI()*G5164),"")</f>
        <v/>
      </c>
      <c r="I5164">
        <f>IF(B5164,IF(D5164=0,H5164,Rho*I5163+SQRT(1-Rho^2)*H5164),"")</f>
        <v/>
      </c>
      <c r="J5164">
        <f>IF(B5164,IF(Dist="Normal",DistA+DistB*I5164,DistA+(DistB-DistA)*NORMSDIST(I5164)),"")</f>
        <v/>
      </c>
      <c r="K5164">
        <f>IF(B5164,INDEX(MineScale,C5164),"")</f>
        <v/>
      </c>
      <c r="L5164">
        <f>IF(B5164,INDEX(Dow,1,WEEKDAY(E5164,2)),"")</f>
        <v/>
      </c>
      <c r="M5164">
        <f>IF(B5164,(1+Trend)^D5164,"")</f>
        <v/>
      </c>
      <c r="N5164">
        <f>IF(B5164,EXP(SUMPRODUCT(LN(1+(EvEff-1)*INDEX(Affected,0,C5164)*EXP(-((E5164-EvCenter)^2)/(2*EvSigma^2))))),"")</f>
        <v/>
      </c>
      <c r="O5164">
        <f>IF(B5164,ROUND(MAX(0,J5164*K5164*L5164*M5164*N5164),2),"")</f>
        <v/>
      </c>
    </row>
    <row r="5165">
      <c r="A5165" t="n">
        <v>5164</v>
      </c>
      <c r="B5165">
        <f>A5165&lt;=MineCount*Days</f>
        <v/>
      </c>
      <c r="C5165">
        <f>IF(B5165,INT((A5165-1)/Days)+1,"")</f>
        <v/>
      </c>
      <c r="D5165">
        <f>IF(B5165,MOD(A5165-1,Days),"")</f>
        <v/>
      </c>
      <c r="E5165" s="16">
        <f>IF(B5165,StartDate+D5165,"")</f>
        <v/>
      </c>
      <c r="F5165">
        <f>IF(B5165,MAX(MOD(SIN(Seed*0.1373+C5165*12.9898+D5165*78.233)*43758.5453,1),1E-9),"")</f>
        <v/>
      </c>
      <c r="G5165">
        <f>IF(B5165,MOD(SIN(Seed*0.5917+C5165*39.3468+D5165*11.135)*24634.6345,1),"")</f>
        <v/>
      </c>
      <c r="H5165">
        <f>IF(B5165,SQRT(-2*LN(F5165))*COS(2*PI()*G5165),"")</f>
        <v/>
      </c>
      <c r="I5165">
        <f>IF(B5165,IF(D5165=0,H5165,Rho*I5164+SQRT(1-Rho^2)*H5165),"")</f>
        <v/>
      </c>
      <c r="J5165">
        <f>IF(B5165,IF(Dist="Normal",DistA+DistB*I5165,DistA+(DistB-DistA)*NORMSDIST(I5165)),"")</f>
        <v/>
      </c>
      <c r="K5165">
        <f>IF(B5165,INDEX(MineScale,C5165),"")</f>
        <v/>
      </c>
      <c r="L5165">
        <f>IF(B5165,INDEX(Dow,1,WEEKDAY(E5165,2)),"")</f>
        <v/>
      </c>
      <c r="M5165">
        <f>IF(B5165,(1+Trend)^D5165,"")</f>
        <v/>
      </c>
      <c r="N5165">
        <f>IF(B5165,EXP(SUMPRODUCT(LN(1+(EvEff-1)*INDEX(Affected,0,C5165)*EXP(-((E5165-EvCenter)^2)/(2*EvSigma^2))))),"")</f>
        <v/>
      </c>
      <c r="O5165">
        <f>IF(B5165,ROUND(MAX(0,J5165*K5165*L5165*M5165*N5165),2),"")</f>
        <v/>
      </c>
    </row>
    <row r="5166">
      <c r="A5166" t="n">
        <v>5165</v>
      </c>
      <c r="B5166">
        <f>A5166&lt;=MineCount*Days</f>
        <v/>
      </c>
      <c r="C5166">
        <f>IF(B5166,INT((A5166-1)/Days)+1,"")</f>
        <v/>
      </c>
      <c r="D5166">
        <f>IF(B5166,MOD(A5166-1,Days),"")</f>
        <v/>
      </c>
      <c r="E5166" s="16">
        <f>IF(B5166,StartDate+D5166,"")</f>
        <v/>
      </c>
      <c r="F5166">
        <f>IF(B5166,MAX(MOD(SIN(Seed*0.1373+C5166*12.9898+D5166*78.233)*43758.5453,1),1E-9),"")</f>
        <v/>
      </c>
      <c r="G5166">
        <f>IF(B5166,MOD(SIN(Seed*0.5917+C5166*39.3468+D5166*11.135)*24634.6345,1),"")</f>
        <v/>
      </c>
      <c r="H5166">
        <f>IF(B5166,SQRT(-2*LN(F5166))*COS(2*PI()*G5166),"")</f>
        <v/>
      </c>
      <c r="I5166">
        <f>IF(B5166,IF(D5166=0,H5166,Rho*I5165+SQRT(1-Rho^2)*H5166),"")</f>
        <v/>
      </c>
      <c r="J5166">
        <f>IF(B5166,IF(Dist="Normal",DistA+DistB*I5166,DistA+(DistB-DistA)*NORMSDIST(I5166)),"")</f>
        <v/>
      </c>
      <c r="K5166">
        <f>IF(B5166,INDEX(MineScale,C5166),"")</f>
        <v/>
      </c>
      <c r="L5166">
        <f>IF(B5166,INDEX(Dow,1,WEEKDAY(E5166,2)),"")</f>
        <v/>
      </c>
      <c r="M5166">
        <f>IF(B5166,(1+Trend)^D5166,"")</f>
        <v/>
      </c>
      <c r="N5166">
        <f>IF(B5166,EXP(SUMPRODUCT(LN(1+(EvEff-1)*INDEX(Affected,0,C5166)*EXP(-((E5166-EvCenter)^2)/(2*EvSigma^2))))),"")</f>
        <v/>
      </c>
      <c r="O5166">
        <f>IF(B5166,ROUND(MAX(0,J5166*K5166*L5166*M5166*N5166),2),"")</f>
        <v/>
      </c>
    </row>
    <row r="5167">
      <c r="A5167" t="n">
        <v>5166</v>
      </c>
      <c r="B5167">
        <f>A5167&lt;=MineCount*Days</f>
        <v/>
      </c>
      <c r="C5167">
        <f>IF(B5167,INT((A5167-1)/Days)+1,"")</f>
        <v/>
      </c>
      <c r="D5167">
        <f>IF(B5167,MOD(A5167-1,Days),"")</f>
        <v/>
      </c>
      <c r="E5167" s="16">
        <f>IF(B5167,StartDate+D5167,"")</f>
        <v/>
      </c>
      <c r="F5167">
        <f>IF(B5167,MAX(MOD(SIN(Seed*0.1373+C5167*12.9898+D5167*78.233)*43758.5453,1),1E-9),"")</f>
        <v/>
      </c>
      <c r="G5167">
        <f>IF(B5167,MOD(SIN(Seed*0.5917+C5167*39.3468+D5167*11.135)*24634.6345,1),"")</f>
        <v/>
      </c>
      <c r="H5167">
        <f>IF(B5167,SQRT(-2*LN(F5167))*COS(2*PI()*G5167),"")</f>
        <v/>
      </c>
      <c r="I5167">
        <f>IF(B5167,IF(D5167=0,H5167,Rho*I5166+SQRT(1-Rho^2)*H5167),"")</f>
        <v/>
      </c>
      <c r="J5167">
        <f>IF(B5167,IF(Dist="Normal",DistA+DistB*I5167,DistA+(DistB-DistA)*NORMSDIST(I5167)),"")</f>
        <v/>
      </c>
      <c r="K5167">
        <f>IF(B5167,INDEX(MineScale,C5167),"")</f>
        <v/>
      </c>
      <c r="L5167">
        <f>IF(B5167,INDEX(Dow,1,WEEKDAY(E5167,2)),"")</f>
        <v/>
      </c>
      <c r="M5167">
        <f>IF(B5167,(1+Trend)^D5167,"")</f>
        <v/>
      </c>
      <c r="N5167">
        <f>IF(B5167,EXP(SUMPRODUCT(LN(1+(EvEff-1)*INDEX(Affected,0,C5167)*EXP(-((E5167-EvCenter)^2)/(2*EvSigma^2))))),"")</f>
        <v/>
      </c>
      <c r="O5167">
        <f>IF(B5167,ROUND(MAX(0,J5167*K5167*L5167*M5167*N5167),2),"")</f>
        <v/>
      </c>
    </row>
    <row r="5168">
      <c r="A5168" t="n">
        <v>5167</v>
      </c>
      <c r="B5168">
        <f>A5168&lt;=MineCount*Days</f>
        <v/>
      </c>
      <c r="C5168">
        <f>IF(B5168,INT((A5168-1)/Days)+1,"")</f>
        <v/>
      </c>
      <c r="D5168">
        <f>IF(B5168,MOD(A5168-1,Days),"")</f>
        <v/>
      </c>
      <c r="E5168" s="16">
        <f>IF(B5168,StartDate+D5168,"")</f>
        <v/>
      </c>
      <c r="F5168">
        <f>IF(B5168,MAX(MOD(SIN(Seed*0.1373+C5168*12.9898+D5168*78.233)*43758.5453,1),1E-9),"")</f>
        <v/>
      </c>
      <c r="G5168">
        <f>IF(B5168,MOD(SIN(Seed*0.5917+C5168*39.3468+D5168*11.135)*24634.6345,1),"")</f>
        <v/>
      </c>
      <c r="H5168">
        <f>IF(B5168,SQRT(-2*LN(F5168))*COS(2*PI()*G5168),"")</f>
        <v/>
      </c>
      <c r="I5168">
        <f>IF(B5168,IF(D5168=0,H5168,Rho*I5167+SQRT(1-Rho^2)*H5168),"")</f>
        <v/>
      </c>
      <c r="J5168">
        <f>IF(B5168,IF(Dist="Normal",DistA+DistB*I5168,DistA+(DistB-DistA)*NORMSDIST(I5168)),"")</f>
        <v/>
      </c>
      <c r="K5168">
        <f>IF(B5168,INDEX(MineScale,C5168),"")</f>
        <v/>
      </c>
      <c r="L5168">
        <f>IF(B5168,INDEX(Dow,1,WEEKDAY(E5168,2)),"")</f>
        <v/>
      </c>
      <c r="M5168">
        <f>IF(B5168,(1+Trend)^D5168,"")</f>
        <v/>
      </c>
      <c r="N5168">
        <f>IF(B5168,EXP(SUMPRODUCT(LN(1+(EvEff-1)*INDEX(Affected,0,C5168)*EXP(-((E5168-EvCenter)^2)/(2*EvSigma^2))))),"")</f>
        <v/>
      </c>
      <c r="O5168">
        <f>IF(B5168,ROUND(MAX(0,J5168*K5168*L5168*M5168*N5168),2),"")</f>
        <v/>
      </c>
    </row>
    <row r="5169">
      <c r="A5169" t="n">
        <v>5168</v>
      </c>
      <c r="B5169">
        <f>A5169&lt;=MineCount*Days</f>
        <v/>
      </c>
      <c r="C5169">
        <f>IF(B5169,INT((A5169-1)/Days)+1,"")</f>
        <v/>
      </c>
      <c r="D5169">
        <f>IF(B5169,MOD(A5169-1,Days),"")</f>
        <v/>
      </c>
      <c r="E5169" s="16">
        <f>IF(B5169,StartDate+D5169,"")</f>
        <v/>
      </c>
      <c r="F5169">
        <f>IF(B5169,MAX(MOD(SIN(Seed*0.1373+C5169*12.9898+D5169*78.233)*43758.5453,1),1E-9),"")</f>
        <v/>
      </c>
      <c r="G5169">
        <f>IF(B5169,MOD(SIN(Seed*0.5917+C5169*39.3468+D5169*11.135)*24634.6345,1),"")</f>
        <v/>
      </c>
      <c r="H5169">
        <f>IF(B5169,SQRT(-2*LN(F5169))*COS(2*PI()*G5169),"")</f>
        <v/>
      </c>
      <c r="I5169">
        <f>IF(B5169,IF(D5169=0,H5169,Rho*I5168+SQRT(1-Rho^2)*H5169),"")</f>
        <v/>
      </c>
      <c r="J5169">
        <f>IF(B5169,IF(Dist="Normal",DistA+DistB*I5169,DistA+(DistB-DistA)*NORMSDIST(I5169)),"")</f>
        <v/>
      </c>
      <c r="K5169">
        <f>IF(B5169,INDEX(MineScale,C5169),"")</f>
        <v/>
      </c>
      <c r="L5169">
        <f>IF(B5169,INDEX(Dow,1,WEEKDAY(E5169,2)),"")</f>
        <v/>
      </c>
      <c r="M5169">
        <f>IF(B5169,(1+Trend)^D5169,"")</f>
        <v/>
      </c>
      <c r="N5169">
        <f>IF(B5169,EXP(SUMPRODUCT(LN(1+(EvEff-1)*INDEX(Affected,0,C5169)*EXP(-((E5169-EvCenter)^2)/(2*EvSigma^2))))),"")</f>
        <v/>
      </c>
      <c r="O5169">
        <f>IF(B5169,ROUND(MAX(0,J5169*K5169*L5169*M5169*N5169),2),"")</f>
        <v/>
      </c>
    </row>
    <row r="5170">
      <c r="A5170" t="n">
        <v>5169</v>
      </c>
      <c r="B5170">
        <f>A5170&lt;=MineCount*Days</f>
        <v/>
      </c>
      <c r="C5170">
        <f>IF(B5170,INT((A5170-1)/Days)+1,"")</f>
        <v/>
      </c>
      <c r="D5170">
        <f>IF(B5170,MOD(A5170-1,Days),"")</f>
        <v/>
      </c>
      <c r="E5170" s="16">
        <f>IF(B5170,StartDate+D5170,"")</f>
        <v/>
      </c>
      <c r="F5170">
        <f>IF(B5170,MAX(MOD(SIN(Seed*0.1373+C5170*12.9898+D5170*78.233)*43758.5453,1),1E-9),"")</f>
        <v/>
      </c>
      <c r="G5170">
        <f>IF(B5170,MOD(SIN(Seed*0.5917+C5170*39.3468+D5170*11.135)*24634.6345,1),"")</f>
        <v/>
      </c>
      <c r="H5170">
        <f>IF(B5170,SQRT(-2*LN(F5170))*COS(2*PI()*G5170),"")</f>
        <v/>
      </c>
      <c r="I5170">
        <f>IF(B5170,IF(D5170=0,H5170,Rho*I5169+SQRT(1-Rho^2)*H5170),"")</f>
        <v/>
      </c>
      <c r="J5170">
        <f>IF(B5170,IF(Dist="Normal",DistA+DistB*I5170,DistA+(DistB-DistA)*NORMSDIST(I5170)),"")</f>
        <v/>
      </c>
      <c r="K5170">
        <f>IF(B5170,INDEX(MineScale,C5170),"")</f>
        <v/>
      </c>
      <c r="L5170">
        <f>IF(B5170,INDEX(Dow,1,WEEKDAY(E5170,2)),"")</f>
        <v/>
      </c>
      <c r="M5170">
        <f>IF(B5170,(1+Trend)^D5170,"")</f>
        <v/>
      </c>
      <c r="N5170">
        <f>IF(B5170,EXP(SUMPRODUCT(LN(1+(EvEff-1)*INDEX(Affected,0,C5170)*EXP(-((E5170-EvCenter)^2)/(2*EvSigma^2))))),"")</f>
        <v/>
      </c>
      <c r="O5170">
        <f>IF(B5170,ROUND(MAX(0,J5170*K5170*L5170*M5170*N5170),2),"")</f>
        <v/>
      </c>
    </row>
    <row r="5171">
      <c r="A5171" t="n">
        <v>5170</v>
      </c>
      <c r="B5171">
        <f>A5171&lt;=MineCount*Days</f>
        <v/>
      </c>
      <c r="C5171">
        <f>IF(B5171,INT((A5171-1)/Days)+1,"")</f>
        <v/>
      </c>
      <c r="D5171">
        <f>IF(B5171,MOD(A5171-1,Days),"")</f>
        <v/>
      </c>
      <c r="E5171" s="16">
        <f>IF(B5171,StartDate+D5171,"")</f>
        <v/>
      </c>
      <c r="F5171">
        <f>IF(B5171,MAX(MOD(SIN(Seed*0.1373+C5171*12.9898+D5171*78.233)*43758.5453,1),1E-9),"")</f>
        <v/>
      </c>
      <c r="G5171">
        <f>IF(B5171,MOD(SIN(Seed*0.5917+C5171*39.3468+D5171*11.135)*24634.6345,1),"")</f>
        <v/>
      </c>
      <c r="H5171">
        <f>IF(B5171,SQRT(-2*LN(F5171))*COS(2*PI()*G5171),"")</f>
        <v/>
      </c>
      <c r="I5171">
        <f>IF(B5171,IF(D5171=0,H5171,Rho*I5170+SQRT(1-Rho^2)*H5171),"")</f>
        <v/>
      </c>
      <c r="J5171">
        <f>IF(B5171,IF(Dist="Normal",DistA+DistB*I5171,DistA+(DistB-DistA)*NORMSDIST(I5171)),"")</f>
        <v/>
      </c>
      <c r="K5171">
        <f>IF(B5171,INDEX(MineScale,C5171),"")</f>
        <v/>
      </c>
      <c r="L5171">
        <f>IF(B5171,INDEX(Dow,1,WEEKDAY(E5171,2)),"")</f>
        <v/>
      </c>
      <c r="M5171">
        <f>IF(B5171,(1+Trend)^D5171,"")</f>
        <v/>
      </c>
      <c r="N5171">
        <f>IF(B5171,EXP(SUMPRODUCT(LN(1+(EvEff-1)*INDEX(Affected,0,C5171)*EXP(-((E5171-EvCenter)^2)/(2*EvSigma^2))))),"")</f>
        <v/>
      </c>
      <c r="O5171">
        <f>IF(B5171,ROUND(MAX(0,J5171*K5171*L5171*M5171*N5171),2),"")</f>
        <v/>
      </c>
    </row>
    <row r="5172">
      <c r="A5172" t="n">
        <v>5171</v>
      </c>
      <c r="B5172">
        <f>A5172&lt;=MineCount*Days</f>
        <v/>
      </c>
      <c r="C5172">
        <f>IF(B5172,INT((A5172-1)/Days)+1,"")</f>
        <v/>
      </c>
      <c r="D5172">
        <f>IF(B5172,MOD(A5172-1,Days),"")</f>
        <v/>
      </c>
      <c r="E5172" s="16">
        <f>IF(B5172,StartDate+D5172,"")</f>
        <v/>
      </c>
      <c r="F5172">
        <f>IF(B5172,MAX(MOD(SIN(Seed*0.1373+C5172*12.9898+D5172*78.233)*43758.5453,1),1E-9),"")</f>
        <v/>
      </c>
      <c r="G5172">
        <f>IF(B5172,MOD(SIN(Seed*0.5917+C5172*39.3468+D5172*11.135)*24634.6345,1),"")</f>
        <v/>
      </c>
      <c r="H5172">
        <f>IF(B5172,SQRT(-2*LN(F5172))*COS(2*PI()*G5172),"")</f>
        <v/>
      </c>
      <c r="I5172">
        <f>IF(B5172,IF(D5172=0,H5172,Rho*I5171+SQRT(1-Rho^2)*H5172),"")</f>
        <v/>
      </c>
      <c r="J5172">
        <f>IF(B5172,IF(Dist="Normal",DistA+DistB*I5172,DistA+(DistB-DistA)*NORMSDIST(I5172)),"")</f>
        <v/>
      </c>
      <c r="K5172">
        <f>IF(B5172,INDEX(MineScale,C5172),"")</f>
        <v/>
      </c>
      <c r="L5172">
        <f>IF(B5172,INDEX(Dow,1,WEEKDAY(E5172,2)),"")</f>
        <v/>
      </c>
      <c r="M5172">
        <f>IF(B5172,(1+Trend)^D5172,"")</f>
        <v/>
      </c>
      <c r="N5172">
        <f>IF(B5172,EXP(SUMPRODUCT(LN(1+(EvEff-1)*INDEX(Affected,0,C5172)*EXP(-((E5172-EvCenter)^2)/(2*EvSigma^2))))),"")</f>
        <v/>
      </c>
      <c r="O5172">
        <f>IF(B5172,ROUND(MAX(0,J5172*K5172*L5172*M5172*N5172),2),"")</f>
        <v/>
      </c>
    </row>
    <row r="5173">
      <c r="A5173" t="n">
        <v>5172</v>
      </c>
      <c r="B5173">
        <f>A5173&lt;=MineCount*Days</f>
        <v/>
      </c>
      <c r="C5173">
        <f>IF(B5173,INT((A5173-1)/Days)+1,"")</f>
        <v/>
      </c>
      <c r="D5173">
        <f>IF(B5173,MOD(A5173-1,Days),"")</f>
        <v/>
      </c>
      <c r="E5173" s="16">
        <f>IF(B5173,StartDate+D5173,"")</f>
        <v/>
      </c>
      <c r="F5173">
        <f>IF(B5173,MAX(MOD(SIN(Seed*0.1373+C5173*12.9898+D5173*78.233)*43758.5453,1),1E-9),"")</f>
        <v/>
      </c>
      <c r="G5173">
        <f>IF(B5173,MOD(SIN(Seed*0.5917+C5173*39.3468+D5173*11.135)*24634.6345,1),"")</f>
        <v/>
      </c>
      <c r="H5173">
        <f>IF(B5173,SQRT(-2*LN(F5173))*COS(2*PI()*G5173),"")</f>
        <v/>
      </c>
      <c r="I5173">
        <f>IF(B5173,IF(D5173=0,H5173,Rho*I5172+SQRT(1-Rho^2)*H5173),"")</f>
        <v/>
      </c>
      <c r="J5173">
        <f>IF(B5173,IF(Dist="Normal",DistA+DistB*I5173,DistA+(DistB-DistA)*NORMSDIST(I5173)),"")</f>
        <v/>
      </c>
      <c r="K5173">
        <f>IF(B5173,INDEX(MineScale,C5173),"")</f>
        <v/>
      </c>
      <c r="L5173">
        <f>IF(B5173,INDEX(Dow,1,WEEKDAY(E5173,2)),"")</f>
        <v/>
      </c>
      <c r="M5173">
        <f>IF(B5173,(1+Trend)^D5173,"")</f>
        <v/>
      </c>
      <c r="N5173">
        <f>IF(B5173,EXP(SUMPRODUCT(LN(1+(EvEff-1)*INDEX(Affected,0,C5173)*EXP(-((E5173-EvCenter)^2)/(2*EvSigma^2))))),"")</f>
        <v/>
      </c>
      <c r="O5173">
        <f>IF(B5173,ROUND(MAX(0,J5173*K5173*L5173*M5173*N5173),2),"")</f>
        <v/>
      </c>
    </row>
    <row r="5174">
      <c r="A5174" t="n">
        <v>5173</v>
      </c>
      <c r="B5174">
        <f>A5174&lt;=MineCount*Days</f>
        <v/>
      </c>
      <c r="C5174">
        <f>IF(B5174,INT((A5174-1)/Days)+1,"")</f>
        <v/>
      </c>
      <c r="D5174">
        <f>IF(B5174,MOD(A5174-1,Days),"")</f>
        <v/>
      </c>
      <c r="E5174" s="16">
        <f>IF(B5174,StartDate+D5174,"")</f>
        <v/>
      </c>
      <c r="F5174">
        <f>IF(B5174,MAX(MOD(SIN(Seed*0.1373+C5174*12.9898+D5174*78.233)*43758.5453,1),1E-9),"")</f>
        <v/>
      </c>
      <c r="G5174">
        <f>IF(B5174,MOD(SIN(Seed*0.5917+C5174*39.3468+D5174*11.135)*24634.6345,1),"")</f>
        <v/>
      </c>
      <c r="H5174">
        <f>IF(B5174,SQRT(-2*LN(F5174))*COS(2*PI()*G5174),"")</f>
        <v/>
      </c>
      <c r="I5174">
        <f>IF(B5174,IF(D5174=0,H5174,Rho*I5173+SQRT(1-Rho^2)*H5174),"")</f>
        <v/>
      </c>
      <c r="J5174">
        <f>IF(B5174,IF(Dist="Normal",DistA+DistB*I5174,DistA+(DistB-DistA)*NORMSDIST(I5174)),"")</f>
        <v/>
      </c>
      <c r="K5174">
        <f>IF(B5174,INDEX(MineScale,C5174),"")</f>
        <v/>
      </c>
      <c r="L5174">
        <f>IF(B5174,INDEX(Dow,1,WEEKDAY(E5174,2)),"")</f>
        <v/>
      </c>
      <c r="M5174">
        <f>IF(B5174,(1+Trend)^D5174,"")</f>
        <v/>
      </c>
      <c r="N5174">
        <f>IF(B5174,EXP(SUMPRODUCT(LN(1+(EvEff-1)*INDEX(Affected,0,C5174)*EXP(-((E5174-EvCenter)^2)/(2*EvSigma^2))))),"")</f>
        <v/>
      </c>
      <c r="O5174">
        <f>IF(B5174,ROUND(MAX(0,J5174*K5174*L5174*M5174*N5174),2),"")</f>
        <v/>
      </c>
    </row>
    <row r="5175">
      <c r="A5175" t="n">
        <v>5174</v>
      </c>
      <c r="B5175">
        <f>A5175&lt;=MineCount*Days</f>
        <v/>
      </c>
      <c r="C5175">
        <f>IF(B5175,INT((A5175-1)/Days)+1,"")</f>
        <v/>
      </c>
      <c r="D5175">
        <f>IF(B5175,MOD(A5175-1,Days),"")</f>
        <v/>
      </c>
      <c r="E5175" s="16">
        <f>IF(B5175,StartDate+D5175,"")</f>
        <v/>
      </c>
      <c r="F5175">
        <f>IF(B5175,MAX(MOD(SIN(Seed*0.1373+C5175*12.9898+D5175*78.233)*43758.5453,1),1E-9),"")</f>
        <v/>
      </c>
      <c r="G5175">
        <f>IF(B5175,MOD(SIN(Seed*0.5917+C5175*39.3468+D5175*11.135)*24634.6345,1),"")</f>
        <v/>
      </c>
      <c r="H5175">
        <f>IF(B5175,SQRT(-2*LN(F5175))*COS(2*PI()*G5175),"")</f>
        <v/>
      </c>
      <c r="I5175">
        <f>IF(B5175,IF(D5175=0,H5175,Rho*I5174+SQRT(1-Rho^2)*H5175),"")</f>
        <v/>
      </c>
      <c r="J5175">
        <f>IF(B5175,IF(Dist="Normal",DistA+DistB*I5175,DistA+(DistB-DistA)*NORMSDIST(I5175)),"")</f>
        <v/>
      </c>
      <c r="K5175">
        <f>IF(B5175,INDEX(MineScale,C5175),"")</f>
        <v/>
      </c>
      <c r="L5175">
        <f>IF(B5175,INDEX(Dow,1,WEEKDAY(E5175,2)),"")</f>
        <v/>
      </c>
      <c r="M5175">
        <f>IF(B5175,(1+Trend)^D5175,"")</f>
        <v/>
      </c>
      <c r="N5175">
        <f>IF(B5175,EXP(SUMPRODUCT(LN(1+(EvEff-1)*INDEX(Affected,0,C5175)*EXP(-((E5175-EvCenter)^2)/(2*EvSigma^2))))),"")</f>
        <v/>
      </c>
      <c r="O5175">
        <f>IF(B5175,ROUND(MAX(0,J5175*K5175*L5175*M5175*N5175),2),"")</f>
        <v/>
      </c>
    </row>
    <row r="5176">
      <c r="A5176" t="n">
        <v>5175</v>
      </c>
      <c r="B5176">
        <f>A5176&lt;=MineCount*Days</f>
        <v/>
      </c>
      <c r="C5176">
        <f>IF(B5176,INT((A5176-1)/Days)+1,"")</f>
        <v/>
      </c>
      <c r="D5176">
        <f>IF(B5176,MOD(A5176-1,Days),"")</f>
        <v/>
      </c>
      <c r="E5176" s="16">
        <f>IF(B5176,StartDate+D5176,"")</f>
        <v/>
      </c>
      <c r="F5176">
        <f>IF(B5176,MAX(MOD(SIN(Seed*0.1373+C5176*12.9898+D5176*78.233)*43758.5453,1),1E-9),"")</f>
        <v/>
      </c>
      <c r="G5176">
        <f>IF(B5176,MOD(SIN(Seed*0.5917+C5176*39.3468+D5176*11.135)*24634.6345,1),"")</f>
        <v/>
      </c>
      <c r="H5176">
        <f>IF(B5176,SQRT(-2*LN(F5176))*COS(2*PI()*G5176),"")</f>
        <v/>
      </c>
      <c r="I5176">
        <f>IF(B5176,IF(D5176=0,H5176,Rho*I5175+SQRT(1-Rho^2)*H5176),"")</f>
        <v/>
      </c>
      <c r="J5176">
        <f>IF(B5176,IF(Dist="Normal",DistA+DistB*I5176,DistA+(DistB-DistA)*NORMSDIST(I5176)),"")</f>
        <v/>
      </c>
      <c r="K5176">
        <f>IF(B5176,INDEX(MineScale,C5176),"")</f>
        <v/>
      </c>
      <c r="L5176">
        <f>IF(B5176,INDEX(Dow,1,WEEKDAY(E5176,2)),"")</f>
        <v/>
      </c>
      <c r="M5176">
        <f>IF(B5176,(1+Trend)^D5176,"")</f>
        <v/>
      </c>
      <c r="N5176">
        <f>IF(B5176,EXP(SUMPRODUCT(LN(1+(EvEff-1)*INDEX(Affected,0,C5176)*EXP(-((E5176-EvCenter)^2)/(2*EvSigma^2))))),"")</f>
        <v/>
      </c>
      <c r="O5176">
        <f>IF(B5176,ROUND(MAX(0,J5176*K5176*L5176*M5176*N5176),2),"")</f>
        <v/>
      </c>
    </row>
    <row r="5177">
      <c r="A5177" t="n">
        <v>5176</v>
      </c>
      <c r="B5177">
        <f>A5177&lt;=MineCount*Days</f>
        <v/>
      </c>
      <c r="C5177">
        <f>IF(B5177,INT((A5177-1)/Days)+1,"")</f>
        <v/>
      </c>
      <c r="D5177">
        <f>IF(B5177,MOD(A5177-1,Days),"")</f>
        <v/>
      </c>
      <c r="E5177" s="16">
        <f>IF(B5177,StartDate+D5177,"")</f>
        <v/>
      </c>
      <c r="F5177">
        <f>IF(B5177,MAX(MOD(SIN(Seed*0.1373+C5177*12.9898+D5177*78.233)*43758.5453,1),1E-9),"")</f>
        <v/>
      </c>
      <c r="G5177">
        <f>IF(B5177,MOD(SIN(Seed*0.5917+C5177*39.3468+D5177*11.135)*24634.6345,1),"")</f>
        <v/>
      </c>
      <c r="H5177">
        <f>IF(B5177,SQRT(-2*LN(F5177))*COS(2*PI()*G5177),"")</f>
        <v/>
      </c>
      <c r="I5177">
        <f>IF(B5177,IF(D5177=0,H5177,Rho*I5176+SQRT(1-Rho^2)*H5177),"")</f>
        <v/>
      </c>
      <c r="J5177">
        <f>IF(B5177,IF(Dist="Normal",DistA+DistB*I5177,DistA+(DistB-DistA)*NORMSDIST(I5177)),"")</f>
        <v/>
      </c>
      <c r="K5177">
        <f>IF(B5177,INDEX(MineScale,C5177),"")</f>
        <v/>
      </c>
      <c r="L5177">
        <f>IF(B5177,INDEX(Dow,1,WEEKDAY(E5177,2)),"")</f>
        <v/>
      </c>
      <c r="M5177">
        <f>IF(B5177,(1+Trend)^D5177,"")</f>
        <v/>
      </c>
      <c r="N5177">
        <f>IF(B5177,EXP(SUMPRODUCT(LN(1+(EvEff-1)*INDEX(Affected,0,C5177)*EXP(-((E5177-EvCenter)^2)/(2*EvSigma^2))))),"")</f>
        <v/>
      </c>
      <c r="O5177">
        <f>IF(B5177,ROUND(MAX(0,J5177*K5177*L5177*M5177*N5177),2),"")</f>
        <v/>
      </c>
    </row>
    <row r="5178">
      <c r="A5178" t="n">
        <v>5177</v>
      </c>
      <c r="B5178">
        <f>A5178&lt;=MineCount*Days</f>
        <v/>
      </c>
      <c r="C5178">
        <f>IF(B5178,INT((A5178-1)/Days)+1,"")</f>
        <v/>
      </c>
      <c r="D5178">
        <f>IF(B5178,MOD(A5178-1,Days),"")</f>
        <v/>
      </c>
      <c r="E5178" s="16">
        <f>IF(B5178,StartDate+D5178,"")</f>
        <v/>
      </c>
      <c r="F5178">
        <f>IF(B5178,MAX(MOD(SIN(Seed*0.1373+C5178*12.9898+D5178*78.233)*43758.5453,1),1E-9),"")</f>
        <v/>
      </c>
      <c r="G5178">
        <f>IF(B5178,MOD(SIN(Seed*0.5917+C5178*39.3468+D5178*11.135)*24634.6345,1),"")</f>
        <v/>
      </c>
      <c r="H5178">
        <f>IF(B5178,SQRT(-2*LN(F5178))*COS(2*PI()*G5178),"")</f>
        <v/>
      </c>
      <c r="I5178">
        <f>IF(B5178,IF(D5178=0,H5178,Rho*I5177+SQRT(1-Rho^2)*H5178),"")</f>
        <v/>
      </c>
      <c r="J5178">
        <f>IF(B5178,IF(Dist="Normal",DistA+DistB*I5178,DistA+(DistB-DistA)*NORMSDIST(I5178)),"")</f>
        <v/>
      </c>
      <c r="K5178">
        <f>IF(B5178,INDEX(MineScale,C5178),"")</f>
        <v/>
      </c>
      <c r="L5178">
        <f>IF(B5178,INDEX(Dow,1,WEEKDAY(E5178,2)),"")</f>
        <v/>
      </c>
      <c r="M5178">
        <f>IF(B5178,(1+Trend)^D5178,"")</f>
        <v/>
      </c>
      <c r="N5178">
        <f>IF(B5178,EXP(SUMPRODUCT(LN(1+(EvEff-1)*INDEX(Affected,0,C5178)*EXP(-((E5178-EvCenter)^2)/(2*EvSigma^2))))),"")</f>
        <v/>
      </c>
      <c r="O5178">
        <f>IF(B5178,ROUND(MAX(0,J5178*K5178*L5178*M5178*N5178),2),"")</f>
        <v/>
      </c>
    </row>
    <row r="5179">
      <c r="A5179" t="n">
        <v>5178</v>
      </c>
      <c r="B5179">
        <f>A5179&lt;=MineCount*Days</f>
        <v/>
      </c>
      <c r="C5179">
        <f>IF(B5179,INT((A5179-1)/Days)+1,"")</f>
        <v/>
      </c>
      <c r="D5179">
        <f>IF(B5179,MOD(A5179-1,Days),"")</f>
        <v/>
      </c>
      <c r="E5179" s="16">
        <f>IF(B5179,StartDate+D5179,"")</f>
        <v/>
      </c>
      <c r="F5179">
        <f>IF(B5179,MAX(MOD(SIN(Seed*0.1373+C5179*12.9898+D5179*78.233)*43758.5453,1),1E-9),"")</f>
        <v/>
      </c>
      <c r="G5179">
        <f>IF(B5179,MOD(SIN(Seed*0.5917+C5179*39.3468+D5179*11.135)*24634.6345,1),"")</f>
        <v/>
      </c>
      <c r="H5179">
        <f>IF(B5179,SQRT(-2*LN(F5179))*COS(2*PI()*G5179),"")</f>
        <v/>
      </c>
      <c r="I5179">
        <f>IF(B5179,IF(D5179=0,H5179,Rho*I5178+SQRT(1-Rho^2)*H5179),"")</f>
        <v/>
      </c>
      <c r="J5179">
        <f>IF(B5179,IF(Dist="Normal",DistA+DistB*I5179,DistA+(DistB-DistA)*NORMSDIST(I5179)),"")</f>
        <v/>
      </c>
      <c r="K5179">
        <f>IF(B5179,INDEX(MineScale,C5179),"")</f>
        <v/>
      </c>
      <c r="L5179">
        <f>IF(B5179,INDEX(Dow,1,WEEKDAY(E5179,2)),"")</f>
        <v/>
      </c>
      <c r="M5179">
        <f>IF(B5179,(1+Trend)^D5179,"")</f>
        <v/>
      </c>
      <c r="N5179">
        <f>IF(B5179,EXP(SUMPRODUCT(LN(1+(EvEff-1)*INDEX(Affected,0,C5179)*EXP(-((E5179-EvCenter)^2)/(2*EvSigma^2))))),"")</f>
        <v/>
      </c>
      <c r="O5179">
        <f>IF(B5179,ROUND(MAX(0,J5179*K5179*L5179*M5179*N5179),2),"")</f>
        <v/>
      </c>
    </row>
    <row r="5180">
      <c r="A5180" t="n">
        <v>5179</v>
      </c>
      <c r="B5180">
        <f>A5180&lt;=MineCount*Days</f>
        <v/>
      </c>
      <c r="C5180">
        <f>IF(B5180,INT((A5180-1)/Days)+1,"")</f>
        <v/>
      </c>
      <c r="D5180">
        <f>IF(B5180,MOD(A5180-1,Days),"")</f>
        <v/>
      </c>
      <c r="E5180" s="16">
        <f>IF(B5180,StartDate+D5180,"")</f>
        <v/>
      </c>
      <c r="F5180">
        <f>IF(B5180,MAX(MOD(SIN(Seed*0.1373+C5180*12.9898+D5180*78.233)*43758.5453,1),1E-9),"")</f>
        <v/>
      </c>
      <c r="G5180">
        <f>IF(B5180,MOD(SIN(Seed*0.5917+C5180*39.3468+D5180*11.135)*24634.6345,1),"")</f>
        <v/>
      </c>
      <c r="H5180">
        <f>IF(B5180,SQRT(-2*LN(F5180))*COS(2*PI()*G5180),"")</f>
        <v/>
      </c>
      <c r="I5180">
        <f>IF(B5180,IF(D5180=0,H5180,Rho*I5179+SQRT(1-Rho^2)*H5180),"")</f>
        <v/>
      </c>
      <c r="J5180">
        <f>IF(B5180,IF(Dist="Normal",DistA+DistB*I5180,DistA+(DistB-DistA)*NORMSDIST(I5180)),"")</f>
        <v/>
      </c>
      <c r="K5180">
        <f>IF(B5180,INDEX(MineScale,C5180),"")</f>
        <v/>
      </c>
      <c r="L5180">
        <f>IF(B5180,INDEX(Dow,1,WEEKDAY(E5180,2)),"")</f>
        <v/>
      </c>
      <c r="M5180">
        <f>IF(B5180,(1+Trend)^D5180,"")</f>
        <v/>
      </c>
      <c r="N5180">
        <f>IF(B5180,EXP(SUMPRODUCT(LN(1+(EvEff-1)*INDEX(Affected,0,C5180)*EXP(-((E5180-EvCenter)^2)/(2*EvSigma^2))))),"")</f>
        <v/>
      </c>
      <c r="O5180">
        <f>IF(B5180,ROUND(MAX(0,J5180*K5180*L5180*M5180*N5180),2),"")</f>
        <v/>
      </c>
    </row>
    <row r="5181">
      <c r="A5181" t="n">
        <v>5180</v>
      </c>
      <c r="B5181">
        <f>A5181&lt;=MineCount*Days</f>
        <v/>
      </c>
      <c r="C5181">
        <f>IF(B5181,INT((A5181-1)/Days)+1,"")</f>
        <v/>
      </c>
      <c r="D5181">
        <f>IF(B5181,MOD(A5181-1,Days),"")</f>
        <v/>
      </c>
      <c r="E5181" s="16">
        <f>IF(B5181,StartDate+D5181,"")</f>
        <v/>
      </c>
      <c r="F5181">
        <f>IF(B5181,MAX(MOD(SIN(Seed*0.1373+C5181*12.9898+D5181*78.233)*43758.5453,1),1E-9),"")</f>
        <v/>
      </c>
      <c r="G5181">
        <f>IF(B5181,MOD(SIN(Seed*0.5917+C5181*39.3468+D5181*11.135)*24634.6345,1),"")</f>
        <v/>
      </c>
      <c r="H5181">
        <f>IF(B5181,SQRT(-2*LN(F5181))*COS(2*PI()*G5181),"")</f>
        <v/>
      </c>
      <c r="I5181">
        <f>IF(B5181,IF(D5181=0,H5181,Rho*I5180+SQRT(1-Rho^2)*H5181),"")</f>
        <v/>
      </c>
      <c r="J5181">
        <f>IF(B5181,IF(Dist="Normal",DistA+DistB*I5181,DistA+(DistB-DistA)*NORMSDIST(I5181)),"")</f>
        <v/>
      </c>
      <c r="K5181">
        <f>IF(B5181,INDEX(MineScale,C5181),"")</f>
        <v/>
      </c>
      <c r="L5181">
        <f>IF(B5181,INDEX(Dow,1,WEEKDAY(E5181,2)),"")</f>
        <v/>
      </c>
      <c r="M5181">
        <f>IF(B5181,(1+Trend)^D5181,"")</f>
        <v/>
      </c>
      <c r="N5181">
        <f>IF(B5181,EXP(SUMPRODUCT(LN(1+(EvEff-1)*INDEX(Affected,0,C5181)*EXP(-((E5181-EvCenter)^2)/(2*EvSigma^2))))),"")</f>
        <v/>
      </c>
      <c r="O5181">
        <f>IF(B5181,ROUND(MAX(0,J5181*K5181*L5181*M5181*N5181),2),"")</f>
        <v/>
      </c>
    </row>
    <row r="5182">
      <c r="A5182" t="n">
        <v>5181</v>
      </c>
      <c r="B5182">
        <f>A5182&lt;=MineCount*Days</f>
        <v/>
      </c>
      <c r="C5182">
        <f>IF(B5182,INT((A5182-1)/Days)+1,"")</f>
        <v/>
      </c>
      <c r="D5182">
        <f>IF(B5182,MOD(A5182-1,Days),"")</f>
        <v/>
      </c>
      <c r="E5182" s="16">
        <f>IF(B5182,StartDate+D5182,"")</f>
        <v/>
      </c>
      <c r="F5182">
        <f>IF(B5182,MAX(MOD(SIN(Seed*0.1373+C5182*12.9898+D5182*78.233)*43758.5453,1),1E-9),"")</f>
        <v/>
      </c>
      <c r="G5182">
        <f>IF(B5182,MOD(SIN(Seed*0.5917+C5182*39.3468+D5182*11.135)*24634.6345,1),"")</f>
        <v/>
      </c>
      <c r="H5182">
        <f>IF(B5182,SQRT(-2*LN(F5182))*COS(2*PI()*G5182),"")</f>
        <v/>
      </c>
      <c r="I5182">
        <f>IF(B5182,IF(D5182=0,H5182,Rho*I5181+SQRT(1-Rho^2)*H5182),"")</f>
        <v/>
      </c>
      <c r="J5182">
        <f>IF(B5182,IF(Dist="Normal",DistA+DistB*I5182,DistA+(DistB-DistA)*NORMSDIST(I5182)),"")</f>
        <v/>
      </c>
      <c r="K5182">
        <f>IF(B5182,INDEX(MineScale,C5182),"")</f>
        <v/>
      </c>
      <c r="L5182">
        <f>IF(B5182,INDEX(Dow,1,WEEKDAY(E5182,2)),"")</f>
        <v/>
      </c>
      <c r="M5182">
        <f>IF(B5182,(1+Trend)^D5182,"")</f>
        <v/>
      </c>
      <c r="N5182">
        <f>IF(B5182,EXP(SUMPRODUCT(LN(1+(EvEff-1)*INDEX(Affected,0,C5182)*EXP(-((E5182-EvCenter)^2)/(2*EvSigma^2))))),"")</f>
        <v/>
      </c>
      <c r="O5182">
        <f>IF(B5182,ROUND(MAX(0,J5182*K5182*L5182*M5182*N5182),2),"")</f>
        <v/>
      </c>
    </row>
    <row r="5183">
      <c r="A5183" t="n">
        <v>5182</v>
      </c>
      <c r="B5183">
        <f>A5183&lt;=MineCount*Days</f>
        <v/>
      </c>
      <c r="C5183">
        <f>IF(B5183,INT((A5183-1)/Days)+1,"")</f>
        <v/>
      </c>
      <c r="D5183">
        <f>IF(B5183,MOD(A5183-1,Days),"")</f>
        <v/>
      </c>
      <c r="E5183" s="16">
        <f>IF(B5183,StartDate+D5183,"")</f>
        <v/>
      </c>
      <c r="F5183">
        <f>IF(B5183,MAX(MOD(SIN(Seed*0.1373+C5183*12.9898+D5183*78.233)*43758.5453,1),1E-9),"")</f>
        <v/>
      </c>
      <c r="G5183">
        <f>IF(B5183,MOD(SIN(Seed*0.5917+C5183*39.3468+D5183*11.135)*24634.6345,1),"")</f>
        <v/>
      </c>
      <c r="H5183">
        <f>IF(B5183,SQRT(-2*LN(F5183))*COS(2*PI()*G5183),"")</f>
        <v/>
      </c>
      <c r="I5183">
        <f>IF(B5183,IF(D5183=0,H5183,Rho*I5182+SQRT(1-Rho^2)*H5183),"")</f>
        <v/>
      </c>
      <c r="J5183">
        <f>IF(B5183,IF(Dist="Normal",DistA+DistB*I5183,DistA+(DistB-DistA)*NORMSDIST(I5183)),"")</f>
        <v/>
      </c>
      <c r="K5183">
        <f>IF(B5183,INDEX(MineScale,C5183),"")</f>
        <v/>
      </c>
      <c r="L5183">
        <f>IF(B5183,INDEX(Dow,1,WEEKDAY(E5183,2)),"")</f>
        <v/>
      </c>
      <c r="M5183">
        <f>IF(B5183,(1+Trend)^D5183,"")</f>
        <v/>
      </c>
      <c r="N5183">
        <f>IF(B5183,EXP(SUMPRODUCT(LN(1+(EvEff-1)*INDEX(Affected,0,C5183)*EXP(-((E5183-EvCenter)^2)/(2*EvSigma^2))))),"")</f>
        <v/>
      </c>
      <c r="O5183">
        <f>IF(B5183,ROUND(MAX(0,J5183*K5183*L5183*M5183*N5183),2),"")</f>
        <v/>
      </c>
    </row>
    <row r="5184">
      <c r="A5184" t="n">
        <v>5183</v>
      </c>
      <c r="B5184">
        <f>A5184&lt;=MineCount*Days</f>
        <v/>
      </c>
      <c r="C5184">
        <f>IF(B5184,INT((A5184-1)/Days)+1,"")</f>
        <v/>
      </c>
      <c r="D5184">
        <f>IF(B5184,MOD(A5184-1,Days),"")</f>
        <v/>
      </c>
      <c r="E5184" s="16">
        <f>IF(B5184,StartDate+D5184,"")</f>
        <v/>
      </c>
      <c r="F5184">
        <f>IF(B5184,MAX(MOD(SIN(Seed*0.1373+C5184*12.9898+D5184*78.233)*43758.5453,1),1E-9),"")</f>
        <v/>
      </c>
      <c r="G5184">
        <f>IF(B5184,MOD(SIN(Seed*0.5917+C5184*39.3468+D5184*11.135)*24634.6345,1),"")</f>
        <v/>
      </c>
      <c r="H5184">
        <f>IF(B5184,SQRT(-2*LN(F5184))*COS(2*PI()*G5184),"")</f>
        <v/>
      </c>
      <c r="I5184">
        <f>IF(B5184,IF(D5184=0,H5184,Rho*I5183+SQRT(1-Rho^2)*H5184),"")</f>
        <v/>
      </c>
      <c r="J5184">
        <f>IF(B5184,IF(Dist="Normal",DistA+DistB*I5184,DistA+(DistB-DistA)*NORMSDIST(I5184)),"")</f>
        <v/>
      </c>
      <c r="K5184">
        <f>IF(B5184,INDEX(MineScale,C5184),"")</f>
        <v/>
      </c>
      <c r="L5184">
        <f>IF(B5184,INDEX(Dow,1,WEEKDAY(E5184,2)),"")</f>
        <v/>
      </c>
      <c r="M5184">
        <f>IF(B5184,(1+Trend)^D5184,"")</f>
        <v/>
      </c>
      <c r="N5184">
        <f>IF(B5184,EXP(SUMPRODUCT(LN(1+(EvEff-1)*INDEX(Affected,0,C5184)*EXP(-((E5184-EvCenter)^2)/(2*EvSigma^2))))),"")</f>
        <v/>
      </c>
      <c r="O5184">
        <f>IF(B5184,ROUND(MAX(0,J5184*K5184*L5184*M5184*N5184),2),"")</f>
        <v/>
      </c>
    </row>
    <row r="5185">
      <c r="A5185" t="n">
        <v>5184</v>
      </c>
      <c r="B5185">
        <f>A5185&lt;=MineCount*Days</f>
        <v/>
      </c>
      <c r="C5185">
        <f>IF(B5185,INT((A5185-1)/Days)+1,"")</f>
        <v/>
      </c>
      <c r="D5185">
        <f>IF(B5185,MOD(A5185-1,Days),"")</f>
        <v/>
      </c>
      <c r="E5185" s="16">
        <f>IF(B5185,StartDate+D5185,"")</f>
        <v/>
      </c>
      <c r="F5185">
        <f>IF(B5185,MAX(MOD(SIN(Seed*0.1373+C5185*12.9898+D5185*78.233)*43758.5453,1),1E-9),"")</f>
        <v/>
      </c>
      <c r="G5185">
        <f>IF(B5185,MOD(SIN(Seed*0.5917+C5185*39.3468+D5185*11.135)*24634.6345,1),"")</f>
        <v/>
      </c>
      <c r="H5185">
        <f>IF(B5185,SQRT(-2*LN(F5185))*COS(2*PI()*G5185),"")</f>
        <v/>
      </c>
      <c r="I5185">
        <f>IF(B5185,IF(D5185=0,H5185,Rho*I5184+SQRT(1-Rho^2)*H5185),"")</f>
        <v/>
      </c>
      <c r="J5185">
        <f>IF(B5185,IF(Dist="Normal",DistA+DistB*I5185,DistA+(DistB-DistA)*NORMSDIST(I5185)),"")</f>
        <v/>
      </c>
      <c r="K5185">
        <f>IF(B5185,INDEX(MineScale,C5185),"")</f>
        <v/>
      </c>
      <c r="L5185">
        <f>IF(B5185,INDEX(Dow,1,WEEKDAY(E5185,2)),"")</f>
        <v/>
      </c>
      <c r="M5185">
        <f>IF(B5185,(1+Trend)^D5185,"")</f>
        <v/>
      </c>
      <c r="N5185">
        <f>IF(B5185,EXP(SUMPRODUCT(LN(1+(EvEff-1)*INDEX(Affected,0,C5185)*EXP(-((E5185-EvCenter)^2)/(2*EvSigma^2))))),"")</f>
        <v/>
      </c>
      <c r="O5185">
        <f>IF(B5185,ROUND(MAX(0,J5185*K5185*L5185*M5185*N5185),2),"")</f>
        <v/>
      </c>
    </row>
    <row r="5186">
      <c r="A5186" t="n">
        <v>5185</v>
      </c>
      <c r="B5186">
        <f>A5186&lt;=MineCount*Days</f>
        <v/>
      </c>
      <c r="C5186">
        <f>IF(B5186,INT((A5186-1)/Days)+1,"")</f>
        <v/>
      </c>
      <c r="D5186">
        <f>IF(B5186,MOD(A5186-1,Days),"")</f>
        <v/>
      </c>
      <c r="E5186" s="16">
        <f>IF(B5186,StartDate+D5186,"")</f>
        <v/>
      </c>
      <c r="F5186">
        <f>IF(B5186,MAX(MOD(SIN(Seed*0.1373+C5186*12.9898+D5186*78.233)*43758.5453,1),1E-9),"")</f>
        <v/>
      </c>
      <c r="G5186">
        <f>IF(B5186,MOD(SIN(Seed*0.5917+C5186*39.3468+D5186*11.135)*24634.6345,1),"")</f>
        <v/>
      </c>
      <c r="H5186">
        <f>IF(B5186,SQRT(-2*LN(F5186))*COS(2*PI()*G5186),"")</f>
        <v/>
      </c>
      <c r="I5186">
        <f>IF(B5186,IF(D5186=0,H5186,Rho*I5185+SQRT(1-Rho^2)*H5186),"")</f>
        <v/>
      </c>
      <c r="J5186">
        <f>IF(B5186,IF(Dist="Normal",DistA+DistB*I5186,DistA+(DistB-DistA)*NORMSDIST(I5186)),"")</f>
        <v/>
      </c>
      <c r="K5186">
        <f>IF(B5186,INDEX(MineScale,C5186),"")</f>
        <v/>
      </c>
      <c r="L5186">
        <f>IF(B5186,INDEX(Dow,1,WEEKDAY(E5186,2)),"")</f>
        <v/>
      </c>
      <c r="M5186">
        <f>IF(B5186,(1+Trend)^D5186,"")</f>
        <v/>
      </c>
      <c r="N5186">
        <f>IF(B5186,EXP(SUMPRODUCT(LN(1+(EvEff-1)*INDEX(Affected,0,C5186)*EXP(-((E5186-EvCenter)^2)/(2*EvSigma^2))))),"")</f>
        <v/>
      </c>
      <c r="O5186">
        <f>IF(B5186,ROUND(MAX(0,J5186*K5186*L5186*M5186*N5186),2),"")</f>
        <v/>
      </c>
    </row>
    <row r="5187">
      <c r="A5187" t="n">
        <v>5186</v>
      </c>
      <c r="B5187">
        <f>A5187&lt;=MineCount*Days</f>
        <v/>
      </c>
      <c r="C5187">
        <f>IF(B5187,INT((A5187-1)/Days)+1,"")</f>
        <v/>
      </c>
      <c r="D5187">
        <f>IF(B5187,MOD(A5187-1,Days),"")</f>
        <v/>
      </c>
      <c r="E5187" s="16">
        <f>IF(B5187,StartDate+D5187,"")</f>
        <v/>
      </c>
      <c r="F5187">
        <f>IF(B5187,MAX(MOD(SIN(Seed*0.1373+C5187*12.9898+D5187*78.233)*43758.5453,1),1E-9),"")</f>
        <v/>
      </c>
      <c r="G5187">
        <f>IF(B5187,MOD(SIN(Seed*0.5917+C5187*39.3468+D5187*11.135)*24634.6345,1),"")</f>
        <v/>
      </c>
      <c r="H5187">
        <f>IF(B5187,SQRT(-2*LN(F5187))*COS(2*PI()*G5187),"")</f>
        <v/>
      </c>
      <c r="I5187">
        <f>IF(B5187,IF(D5187=0,H5187,Rho*I5186+SQRT(1-Rho^2)*H5187),"")</f>
        <v/>
      </c>
      <c r="J5187">
        <f>IF(B5187,IF(Dist="Normal",DistA+DistB*I5187,DistA+(DistB-DistA)*NORMSDIST(I5187)),"")</f>
        <v/>
      </c>
      <c r="K5187">
        <f>IF(B5187,INDEX(MineScale,C5187),"")</f>
        <v/>
      </c>
      <c r="L5187">
        <f>IF(B5187,INDEX(Dow,1,WEEKDAY(E5187,2)),"")</f>
        <v/>
      </c>
      <c r="M5187">
        <f>IF(B5187,(1+Trend)^D5187,"")</f>
        <v/>
      </c>
      <c r="N5187">
        <f>IF(B5187,EXP(SUMPRODUCT(LN(1+(EvEff-1)*INDEX(Affected,0,C5187)*EXP(-((E5187-EvCenter)^2)/(2*EvSigma^2))))),"")</f>
        <v/>
      </c>
      <c r="O5187">
        <f>IF(B5187,ROUND(MAX(0,J5187*K5187*L5187*M5187*N5187),2),"")</f>
        <v/>
      </c>
    </row>
    <row r="5188">
      <c r="A5188" t="n">
        <v>5187</v>
      </c>
      <c r="B5188">
        <f>A5188&lt;=MineCount*Days</f>
        <v/>
      </c>
      <c r="C5188">
        <f>IF(B5188,INT((A5188-1)/Days)+1,"")</f>
        <v/>
      </c>
      <c r="D5188">
        <f>IF(B5188,MOD(A5188-1,Days),"")</f>
        <v/>
      </c>
      <c r="E5188" s="16">
        <f>IF(B5188,StartDate+D5188,"")</f>
        <v/>
      </c>
      <c r="F5188">
        <f>IF(B5188,MAX(MOD(SIN(Seed*0.1373+C5188*12.9898+D5188*78.233)*43758.5453,1),1E-9),"")</f>
        <v/>
      </c>
      <c r="G5188">
        <f>IF(B5188,MOD(SIN(Seed*0.5917+C5188*39.3468+D5188*11.135)*24634.6345,1),"")</f>
        <v/>
      </c>
      <c r="H5188">
        <f>IF(B5188,SQRT(-2*LN(F5188))*COS(2*PI()*G5188),"")</f>
        <v/>
      </c>
      <c r="I5188">
        <f>IF(B5188,IF(D5188=0,H5188,Rho*I5187+SQRT(1-Rho^2)*H5188),"")</f>
        <v/>
      </c>
      <c r="J5188">
        <f>IF(B5188,IF(Dist="Normal",DistA+DistB*I5188,DistA+(DistB-DistA)*NORMSDIST(I5188)),"")</f>
        <v/>
      </c>
      <c r="K5188">
        <f>IF(B5188,INDEX(MineScale,C5188),"")</f>
        <v/>
      </c>
      <c r="L5188">
        <f>IF(B5188,INDEX(Dow,1,WEEKDAY(E5188,2)),"")</f>
        <v/>
      </c>
      <c r="M5188">
        <f>IF(B5188,(1+Trend)^D5188,"")</f>
        <v/>
      </c>
      <c r="N5188">
        <f>IF(B5188,EXP(SUMPRODUCT(LN(1+(EvEff-1)*INDEX(Affected,0,C5188)*EXP(-((E5188-EvCenter)^2)/(2*EvSigma^2))))),"")</f>
        <v/>
      </c>
      <c r="O5188">
        <f>IF(B5188,ROUND(MAX(0,J5188*K5188*L5188*M5188*N5188),2),"")</f>
        <v/>
      </c>
    </row>
    <row r="5189">
      <c r="A5189" t="n">
        <v>5188</v>
      </c>
      <c r="B5189">
        <f>A5189&lt;=MineCount*Days</f>
        <v/>
      </c>
      <c r="C5189">
        <f>IF(B5189,INT((A5189-1)/Days)+1,"")</f>
        <v/>
      </c>
      <c r="D5189">
        <f>IF(B5189,MOD(A5189-1,Days),"")</f>
        <v/>
      </c>
      <c r="E5189" s="16">
        <f>IF(B5189,StartDate+D5189,"")</f>
        <v/>
      </c>
      <c r="F5189">
        <f>IF(B5189,MAX(MOD(SIN(Seed*0.1373+C5189*12.9898+D5189*78.233)*43758.5453,1),1E-9),"")</f>
        <v/>
      </c>
      <c r="G5189">
        <f>IF(B5189,MOD(SIN(Seed*0.5917+C5189*39.3468+D5189*11.135)*24634.6345,1),"")</f>
        <v/>
      </c>
      <c r="H5189">
        <f>IF(B5189,SQRT(-2*LN(F5189))*COS(2*PI()*G5189),"")</f>
        <v/>
      </c>
      <c r="I5189">
        <f>IF(B5189,IF(D5189=0,H5189,Rho*I5188+SQRT(1-Rho^2)*H5189),"")</f>
        <v/>
      </c>
      <c r="J5189">
        <f>IF(B5189,IF(Dist="Normal",DistA+DistB*I5189,DistA+(DistB-DistA)*NORMSDIST(I5189)),"")</f>
        <v/>
      </c>
      <c r="K5189">
        <f>IF(B5189,INDEX(MineScale,C5189),"")</f>
        <v/>
      </c>
      <c r="L5189">
        <f>IF(B5189,INDEX(Dow,1,WEEKDAY(E5189,2)),"")</f>
        <v/>
      </c>
      <c r="M5189">
        <f>IF(B5189,(1+Trend)^D5189,"")</f>
        <v/>
      </c>
      <c r="N5189">
        <f>IF(B5189,EXP(SUMPRODUCT(LN(1+(EvEff-1)*INDEX(Affected,0,C5189)*EXP(-((E5189-EvCenter)^2)/(2*EvSigma^2))))),"")</f>
        <v/>
      </c>
      <c r="O5189">
        <f>IF(B5189,ROUND(MAX(0,J5189*K5189*L5189*M5189*N5189),2),"")</f>
        <v/>
      </c>
    </row>
    <row r="5190">
      <c r="A5190" t="n">
        <v>5189</v>
      </c>
      <c r="B5190">
        <f>A5190&lt;=MineCount*Days</f>
        <v/>
      </c>
      <c r="C5190">
        <f>IF(B5190,INT((A5190-1)/Days)+1,"")</f>
        <v/>
      </c>
      <c r="D5190">
        <f>IF(B5190,MOD(A5190-1,Days),"")</f>
        <v/>
      </c>
      <c r="E5190" s="16">
        <f>IF(B5190,StartDate+D5190,"")</f>
        <v/>
      </c>
      <c r="F5190">
        <f>IF(B5190,MAX(MOD(SIN(Seed*0.1373+C5190*12.9898+D5190*78.233)*43758.5453,1),1E-9),"")</f>
        <v/>
      </c>
      <c r="G5190">
        <f>IF(B5190,MOD(SIN(Seed*0.5917+C5190*39.3468+D5190*11.135)*24634.6345,1),"")</f>
        <v/>
      </c>
      <c r="H5190">
        <f>IF(B5190,SQRT(-2*LN(F5190))*COS(2*PI()*G5190),"")</f>
        <v/>
      </c>
      <c r="I5190">
        <f>IF(B5190,IF(D5190=0,H5190,Rho*I5189+SQRT(1-Rho^2)*H5190),"")</f>
        <v/>
      </c>
      <c r="J5190">
        <f>IF(B5190,IF(Dist="Normal",DistA+DistB*I5190,DistA+(DistB-DistA)*NORMSDIST(I5190)),"")</f>
        <v/>
      </c>
      <c r="K5190">
        <f>IF(B5190,INDEX(MineScale,C5190),"")</f>
        <v/>
      </c>
      <c r="L5190">
        <f>IF(B5190,INDEX(Dow,1,WEEKDAY(E5190,2)),"")</f>
        <v/>
      </c>
      <c r="M5190">
        <f>IF(B5190,(1+Trend)^D5190,"")</f>
        <v/>
      </c>
      <c r="N5190">
        <f>IF(B5190,EXP(SUMPRODUCT(LN(1+(EvEff-1)*INDEX(Affected,0,C5190)*EXP(-((E5190-EvCenter)^2)/(2*EvSigma^2))))),"")</f>
        <v/>
      </c>
      <c r="O5190">
        <f>IF(B5190,ROUND(MAX(0,J5190*K5190*L5190*M5190*N5190),2),"")</f>
        <v/>
      </c>
    </row>
    <row r="5191">
      <c r="A5191" t="n">
        <v>5190</v>
      </c>
      <c r="B5191">
        <f>A5191&lt;=MineCount*Days</f>
        <v/>
      </c>
      <c r="C5191">
        <f>IF(B5191,INT((A5191-1)/Days)+1,"")</f>
        <v/>
      </c>
      <c r="D5191">
        <f>IF(B5191,MOD(A5191-1,Days),"")</f>
        <v/>
      </c>
      <c r="E5191" s="16">
        <f>IF(B5191,StartDate+D5191,"")</f>
        <v/>
      </c>
      <c r="F5191">
        <f>IF(B5191,MAX(MOD(SIN(Seed*0.1373+C5191*12.9898+D5191*78.233)*43758.5453,1),1E-9),"")</f>
        <v/>
      </c>
      <c r="G5191">
        <f>IF(B5191,MOD(SIN(Seed*0.5917+C5191*39.3468+D5191*11.135)*24634.6345,1),"")</f>
        <v/>
      </c>
      <c r="H5191">
        <f>IF(B5191,SQRT(-2*LN(F5191))*COS(2*PI()*G5191),"")</f>
        <v/>
      </c>
      <c r="I5191">
        <f>IF(B5191,IF(D5191=0,H5191,Rho*I5190+SQRT(1-Rho^2)*H5191),"")</f>
        <v/>
      </c>
      <c r="J5191">
        <f>IF(B5191,IF(Dist="Normal",DistA+DistB*I5191,DistA+(DistB-DistA)*NORMSDIST(I5191)),"")</f>
        <v/>
      </c>
      <c r="K5191">
        <f>IF(B5191,INDEX(MineScale,C5191),"")</f>
        <v/>
      </c>
      <c r="L5191">
        <f>IF(B5191,INDEX(Dow,1,WEEKDAY(E5191,2)),"")</f>
        <v/>
      </c>
      <c r="M5191">
        <f>IF(B5191,(1+Trend)^D5191,"")</f>
        <v/>
      </c>
      <c r="N5191">
        <f>IF(B5191,EXP(SUMPRODUCT(LN(1+(EvEff-1)*INDEX(Affected,0,C5191)*EXP(-((E5191-EvCenter)^2)/(2*EvSigma^2))))),"")</f>
        <v/>
      </c>
      <c r="O5191">
        <f>IF(B5191,ROUND(MAX(0,J5191*K5191*L5191*M5191*N5191),2),"")</f>
        <v/>
      </c>
    </row>
    <row r="5192">
      <c r="A5192" t="n">
        <v>5191</v>
      </c>
      <c r="B5192">
        <f>A5192&lt;=MineCount*Days</f>
        <v/>
      </c>
      <c r="C5192">
        <f>IF(B5192,INT((A5192-1)/Days)+1,"")</f>
        <v/>
      </c>
      <c r="D5192">
        <f>IF(B5192,MOD(A5192-1,Days),"")</f>
        <v/>
      </c>
      <c r="E5192" s="16">
        <f>IF(B5192,StartDate+D5192,"")</f>
        <v/>
      </c>
      <c r="F5192">
        <f>IF(B5192,MAX(MOD(SIN(Seed*0.1373+C5192*12.9898+D5192*78.233)*43758.5453,1),1E-9),"")</f>
        <v/>
      </c>
      <c r="G5192">
        <f>IF(B5192,MOD(SIN(Seed*0.5917+C5192*39.3468+D5192*11.135)*24634.6345,1),"")</f>
        <v/>
      </c>
      <c r="H5192">
        <f>IF(B5192,SQRT(-2*LN(F5192))*COS(2*PI()*G5192),"")</f>
        <v/>
      </c>
      <c r="I5192">
        <f>IF(B5192,IF(D5192=0,H5192,Rho*I5191+SQRT(1-Rho^2)*H5192),"")</f>
        <v/>
      </c>
      <c r="J5192">
        <f>IF(B5192,IF(Dist="Normal",DistA+DistB*I5192,DistA+(DistB-DistA)*NORMSDIST(I5192)),"")</f>
        <v/>
      </c>
      <c r="K5192">
        <f>IF(B5192,INDEX(MineScale,C5192),"")</f>
        <v/>
      </c>
      <c r="L5192">
        <f>IF(B5192,INDEX(Dow,1,WEEKDAY(E5192,2)),"")</f>
        <v/>
      </c>
      <c r="M5192">
        <f>IF(B5192,(1+Trend)^D5192,"")</f>
        <v/>
      </c>
      <c r="N5192">
        <f>IF(B5192,EXP(SUMPRODUCT(LN(1+(EvEff-1)*INDEX(Affected,0,C5192)*EXP(-((E5192-EvCenter)^2)/(2*EvSigma^2))))),"")</f>
        <v/>
      </c>
      <c r="O5192">
        <f>IF(B5192,ROUND(MAX(0,J5192*K5192*L5192*M5192*N5192),2),"")</f>
        <v/>
      </c>
    </row>
    <row r="5193">
      <c r="A5193" t="n">
        <v>5192</v>
      </c>
      <c r="B5193">
        <f>A5193&lt;=MineCount*Days</f>
        <v/>
      </c>
      <c r="C5193">
        <f>IF(B5193,INT((A5193-1)/Days)+1,"")</f>
        <v/>
      </c>
      <c r="D5193">
        <f>IF(B5193,MOD(A5193-1,Days),"")</f>
        <v/>
      </c>
      <c r="E5193" s="16">
        <f>IF(B5193,StartDate+D5193,"")</f>
        <v/>
      </c>
      <c r="F5193">
        <f>IF(B5193,MAX(MOD(SIN(Seed*0.1373+C5193*12.9898+D5193*78.233)*43758.5453,1),1E-9),"")</f>
        <v/>
      </c>
      <c r="G5193">
        <f>IF(B5193,MOD(SIN(Seed*0.5917+C5193*39.3468+D5193*11.135)*24634.6345,1),"")</f>
        <v/>
      </c>
      <c r="H5193">
        <f>IF(B5193,SQRT(-2*LN(F5193))*COS(2*PI()*G5193),"")</f>
        <v/>
      </c>
      <c r="I5193">
        <f>IF(B5193,IF(D5193=0,H5193,Rho*I5192+SQRT(1-Rho^2)*H5193),"")</f>
        <v/>
      </c>
      <c r="J5193">
        <f>IF(B5193,IF(Dist="Normal",DistA+DistB*I5193,DistA+(DistB-DistA)*NORMSDIST(I5193)),"")</f>
        <v/>
      </c>
      <c r="K5193">
        <f>IF(B5193,INDEX(MineScale,C5193),"")</f>
        <v/>
      </c>
      <c r="L5193">
        <f>IF(B5193,INDEX(Dow,1,WEEKDAY(E5193,2)),"")</f>
        <v/>
      </c>
      <c r="M5193">
        <f>IF(B5193,(1+Trend)^D5193,"")</f>
        <v/>
      </c>
      <c r="N5193">
        <f>IF(B5193,EXP(SUMPRODUCT(LN(1+(EvEff-1)*INDEX(Affected,0,C5193)*EXP(-((E5193-EvCenter)^2)/(2*EvSigma^2))))),"")</f>
        <v/>
      </c>
      <c r="O5193">
        <f>IF(B5193,ROUND(MAX(0,J5193*K5193*L5193*M5193*N5193),2),"")</f>
        <v/>
      </c>
    </row>
    <row r="5194">
      <c r="A5194" t="n">
        <v>5193</v>
      </c>
      <c r="B5194">
        <f>A5194&lt;=MineCount*Days</f>
        <v/>
      </c>
      <c r="C5194">
        <f>IF(B5194,INT((A5194-1)/Days)+1,"")</f>
        <v/>
      </c>
      <c r="D5194">
        <f>IF(B5194,MOD(A5194-1,Days),"")</f>
        <v/>
      </c>
      <c r="E5194" s="16">
        <f>IF(B5194,StartDate+D5194,"")</f>
        <v/>
      </c>
      <c r="F5194">
        <f>IF(B5194,MAX(MOD(SIN(Seed*0.1373+C5194*12.9898+D5194*78.233)*43758.5453,1),1E-9),"")</f>
        <v/>
      </c>
      <c r="G5194">
        <f>IF(B5194,MOD(SIN(Seed*0.5917+C5194*39.3468+D5194*11.135)*24634.6345,1),"")</f>
        <v/>
      </c>
      <c r="H5194">
        <f>IF(B5194,SQRT(-2*LN(F5194))*COS(2*PI()*G5194),"")</f>
        <v/>
      </c>
      <c r="I5194">
        <f>IF(B5194,IF(D5194=0,H5194,Rho*I5193+SQRT(1-Rho^2)*H5194),"")</f>
        <v/>
      </c>
      <c r="J5194">
        <f>IF(B5194,IF(Dist="Normal",DistA+DistB*I5194,DistA+(DistB-DistA)*NORMSDIST(I5194)),"")</f>
        <v/>
      </c>
      <c r="K5194">
        <f>IF(B5194,INDEX(MineScale,C5194),"")</f>
        <v/>
      </c>
      <c r="L5194">
        <f>IF(B5194,INDEX(Dow,1,WEEKDAY(E5194,2)),"")</f>
        <v/>
      </c>
      <c r="M5194">
        <f>IF(B5194,(1+Trend)^D5194,"")</f>
        <v/>
      </c>
      <c r="N5194">
        <f>IF(B5194,EXP(SUMPRODUCT(LN(1+(EvEff-1)*INDEX(Affected,0,C5194)*EXP(-((E5194-EvCenter)^2)/(2*EvSigma^2))))),"")</f>
        <v/>
      </c>
      <c r="O5194">
        <f>IF(B5194,ROUND(MAX(0,J5194*K5194*L5194*M5194*N5194),2),"")</f>
        <v/>
      </c>
    </row>
    <row r="5195">
      <c r="A5195" t="n">
        <v>5194</v>
      </c>
      <c r="B5195">
        <f>A5195&lt;=MineCount*Days</f>
        <v/>
      </c>
      <c r="C5195">
        <f>IF(B5195,INT((A5195-1)/Days)+1,"")</f>
        <v/>
      </c>
      <c r="D5195">
        <f>IF(B5195,MOD(A5195-1,Days),"")</f>
        <v/>
      </c>
      <c r="E5195" s="16">
        <f>IF(B5195,StartDate+D5195,"")</f>
        <v/>
      </c>
      <c r="F5195">
        <f>IF(B5195,MAX(MOD(SIN(Seed*0.1373+C5195*12.9898+D5195*78.233)*43758.5453,1),1E-9),"")</f>
        <v/>
      </c>
      <c r="G5195">
        <f>IF(B5195,MOD(SIN(Seed*0.5917+C5195*39.3468+D5195*11.135)*24634.6345,1),"")</f>
        <v/>
      </c>
      <c r="H5195">
        <f>IF(B5195,SQRT(-2*LN(F5195))*COS(2*PI()*G5195),"")</f>
        <v/>
      </c>
      <c r="I5195">
        <f>IF(B5195,IF(D5195=0,H5195,Rho*I5194+SQRT(1-Rho^2)*H5195),"")</f>
        <v/>
      </c>
      <c r="J5195">
        <f>IF(B5195,IF(Dist="Normal",DistA+DistB*I5195,DistA+(DistB-DistA)*NORMSDIST(I5195)),"")</f>
        <v/>
      </c>
      <c r="K5195">
        <f>IF(B5195,INDEX(MineScale,C5195),"")</f>
        <v/>
      </c>
      <c r="L5195">
        <f>IF(B5195,INDEX(Dow,1,WEEKDAY(E5195,2)),"")</f>
        <v/>
      </c>
      <c r="M5195">
        <f>IF(B5195,(1+Trend)^D5195,"")</f>
        <v/>
      </c>
      <c r="N5195">
        <f>IF(B5195,EXP(SUMPRODUCT(LN(1+(EvEff-1)*INDEX(Affected,0,C5195)*EXP(-((E5195-EvCenter)^2)/(2*EvSigma^2))))),"")</f>
        <v/>
      </c>
      <c r="O5195">
        <f>IF(B5195,ROUND(MAX(0,J5195*K5195*L5195*M5195*N5195),2),"")</f>
        <v/>
      </c>
    </row>
    <row r="5196">
      <c r="A5196" t="n">
        <v>5195</v>
      </c>
      <c r="B5196">
        <f>A5196&lt;=MineCount*Days</f>
        <v/>
      </c>
      <c r="C5196">
        <f>IF(B5196,INT((A5196-1)/Days)+1,"")</f>
        <v/>
      </c>
      <c r="D5196">
        <f>IF(B5196,MOD(A5196-1,Days),"")</f>
        <v/>
      </c>
      <c r="E5196" s="16">
        <f>IF(B5196,StartDate+D5196,"")</f>
        <v/>
      </c>
      <c r="F5196">
        <f>IF(B5196,MAX(MOD(SIN(Seed*0.1373+C5196*12.9898+D5196*78.233)*43758.5453,1),1E-9),"")</f>
        <v/>
      </c>
      <c r="G5196">
        <f>IF(B5196,MOD(SIN(Seed*0.5917+C5196*39.3468+D5196*11.135)*24634.6345,1),"")</f>
        <v/>
      </c>
      <c r="H5196">
        <f>IF(B5196,SQRT(-2*LN(F5196))*COS(2*PI()*G5196),"")</f>
        <v/>
      </c>
      <c r="I5196">
        <f>IF(B5196,IF(D5196=0,H5196,Rho*I5195+SQRT(1-Rho^2)*H5196),"")</f>
        <v/>
      </c>
      <c r="J5196">
        <f>IF(B5196,IF(Dist="Normal",DistA+DistB*I5196,DistA+(DistB-DistA)*NORMSDIST(I5196)),"")</f>
        <v/>
      </c>
      <c r="K5196">
        <f>IF(B5196,INDEX(MineScale,C5196),"")</f>
        <v/>
      </c>
      <c r="L5196">
        <f>IF(B5196,INDEX(Dow,1,WEEKDAY(E5196,2)),"")</f>
        <v/>
      </c>
      <c r="M5196">
        <f>IF(B5196,(1+Trend)^D5196,"")</f>
        <v/>
      </c>
      <c r="N5196">
        <f>IF(B5196,EXP(SUMPRODUCT(LN(1+(EvEff-1)*INDEX(Affected,0,C5196)*EXP(-((E5196-EvCenter)^2)/(2*EvSigma^2))))),"")</f>
        <v/>
      </c>
      <c r="O5196">
        <f>IF(B5196,ROUND(MAX(0,J5196*K5196*L5196*M5196*N5196),2),"")</f>
        <v/>
      </c>
    </row>
    <row r="5197">
      <c r="A5197" t="n">
        <v>5196</v>
      </c>
      <c r="B5197">
        <f>A5197&lt;=MineCount*Days</f>
        <v/>
      </c>
      <c r="C5197">
        <f>IF(B5197,INT((A5197-1)/Days)+1,"")</f>
        <v/>
      </c>
      <c r="D5197">
        <f>IF(B5197,MOD(A5197-1,Days),"")</f>
        <v/>
      </c>
      <c r="E5197" s="16">
        <f>IF(B5197,StartDate+D5197,"")</f>
        <v/>
      </c>
      <c r="F5197">
        <f>IF(B5197,MAX(MOD(SIN(Seed*0.1373+C5197*12.9898+D5197*78.233)*43758.5453,1),1E-9),"")</f>
        <v/>
      </c>
      <c r="G5197">
        <f>IF(B5197,MOD(SIN(Seed*0.5917+C5197*39.3468+D5197*11.135)*24634.6345,1),"")</f>
        <v/>
      </c>
      <c r="H5197">
        <f>IF(B5197,SQRT(-2*LN(F5197))*COS(2*PI()*G5197),"")</f>
        <v/>
      </c>
      <c r="I5197">
        <f>IF(B5197,IF(D5197=0,H5197,Rho*I5196+SQRT(1-Rho^2)*H5197),"")</f>
        <v/>
      </c>
      <c r="J5197">
        <f>IF(B5197,IF(Dist="Normal",DistA+DistB*I5197,DistA+(DistB-DistA)*NORMSDIST(I5197)),"")</f>
        <v/>
      </c>
      <c r="K5197">
        <f>IF(B5197,INDEX(MineScale,C5197),"")</f>
        <v/>
      </c>
      <c r="L5197">
        <f>IF(B5197,INDEX(Dow,1,WEEKDAY(E5197,2)),"")</f>
        <v/>
      </c>
      <c r="M5197">
        <f>IF(B5197,(1+Trend)^D5197,"")</f>
        <v/>
      </c>
      <c r="N5197">
        <f>IF(B5197,EXP(SUMPRODUCT(LN(1+(EvEff-1)*INDEX(Affected,0,C5197)*EXP(-((E5197-EvCenter)^2)/(2*EvSigma^2))))),"")</f>
        <v/>
      </c>
      <c r="O5197">
        <f>IF(B5197,ROUND(MAX(0,J5197*K5197*L5197*M5197*N5197),2),"")</f>
        <v/>
      </c>
    </row>
    <row r="5198">
      <c r="A5198" t="n">
        <v>5197</v>
      </c>
      <c r="B5198">
        <f>A5198&lt;=MineCount*Days</f>
        <v/>
      </c>
      <c r="C5198">
        <f>IF(B5198,INT((A5198-1)/Days)+1,"")</f>
        <v/>
      </c>
      <c r="D5198">
        <f>IF(B5198,MOD(A5198-1,Days),"")</f>
        <v/>
      </c>
      <c r="E5198" s="16">
        <f>IF(B5198,StartDate+D5198,"")</f>
        <v/>
      </c>
      <c r="F5198">
        <f>IF(B5198,MAX(MOD(SIN(Seed*0.1373+C5198*12.9898+D5198*78.233)*43758.5453,1),1E-9),"")</f>
        <v/>
      </c>
      <c r="G5198">
        <f>IF(B5198,MOD(SIN(Seed*0.5917+C5198*39.3468+D5198*11.135)*24634.6345,1),"")</f>
        <v/>
      </c>
      <c r="H5198">
        <f>IF(B5198,SQRT(-2*LN(F5198))*COS(2*PI()*G5198),"")</f>
        <v/>
      </c>
      <c r="I5198">
        <f>IF(B5198,IF(D5198=0,H5198,Rho*I5197+SQRT(1-Rho^2)*H5198),"")</f>
        <v/>
      </c>
      <c r="J5198">
        <f>IF(B5198,IF(Dist="Normal",DistA+DistB*I5198,DistA+(DistB-DistA)*NORMSDIST(I5198)),"")</f>
        <v/>
      </c>
      <c r="K5198">
        <f>IF(B5198,INDEX(MineScale,C5198),"")</f>
        <v/>
      </c>
      <c r="L5198">
        <f>IF(B5198,INDEX(Dow,1,WEEKDAY(E5198,2)),"")</f>
        <v/>
      </c>
      <c r="M5198">
        <f>IF(B5198,(1+Trend)^D5198,"")</f>
        <v/>
      </c>
      <c r="N5198">
        <f>IF(B5198,EXP(SUMPRODUCT(LN(1+(EvEff-1)*INDEX(Affected,0,C5198)*EXP(-((E5198-EvCenter)^2)/(2*EvSigma^2))))),"")</f>
        <v/>
      </c>
      <c r="O5198">
        <f>IF(B5198,ROUND(MAX(0,J5198*K5198*L5198*M5198*N5198),2),"")</f>
        <v/>
      </c>
    </row>
    <row r="5199">
      <c r="A5199" t="n">
        <v>5198</v>
      </c>
      <c r="B5199">
        <f>A5199&lt;=MineCount*Days</f>
        <v/>
      </c>
      <c r="C5199">
        <f>IF(B5199,INT((A5199-1)/Days)+1,"")</f>
        <v/>
      </c>
      <c r="D5199">
        <f>IF(B5199,MOD(A5199-1,Days),"")</f>
        <v/>
      </c>
      <c r="E5199" s="16">
        <f>IF(B5199,StartDate+D5199,"")</f>
        <v/>
      </c>
      <c r="F5199">
        <f>IF(B5199,MAX(MOD(SIN(Seed*0.1373+C5199*12.9898+D5199*78.233)*43758.5453,1),1E-9),"")</f>
        <v/>
      </c>
      <c r="G5199">
        <f>IF(B5199,MOD(SIN(Seed*0.5917+C5199*39.3468+D5199*11.135)*24634.6345,1),"")</f>
        <v/>
      </c>
      <c r="H5199">
        <f>IF(B5199,SQRT(-2*LN(F5199))*COS(2*PI()*G5199),"")</f>
        <v/>
      </c>
      <c r="I5199">
        <f>IF(B5199,IF(D5199=0,H5199,Rho*I5198+SQRT(1-Rho^2)*H5199),"")</f>
        <v/>
      </c>
      <c r="J5199">
        <f>IF(B5199,IF(Dist="Normal",DistA+DistB*I5199,DistA+(DistB-DistA)*NORMSDIST(I5199)),"")</f>
        <v/>
      </c>
      <c r="K5199">
        <f>IF(B5199,INDEX(MineScale,C5199),"")</f>
        <v/>
      </c>
      <c r="L5199">
        <f>IF(B5199,INDEX(Dow,1,WEEKDAY(E5199,2)),"")</f>
        <v/>
      </c>
      <c r="M5199">
        <f>IF(B5199,(1+Trend)^D5199,"")</f>
        <v/>
      </c>
      <c r="N5199">
        <f>IF(B5199,EXP(SUMPRODUCT(LN(1+(EvEff-1)*INDEX(Affected,0,C5199)*EXP(-((E5199-EvCenter)^2)/(2*EvSigma^2))))),"")</f>
        <v/>
      </c>
      <c r="O5199">
        <f>IF(B5199,ROUND(MAX(0,J5199*K5199*L5199*M5199*N5199),2),"")</f>
        <v/>
      </c>
    </row>
    <row r="5200">
      <c r="A5200" t="n">
        <v>5199</v>
      </c>
      <c r="B5200">
        <f>A5200&lt;=MineCount*Days</f>
        <v/>
      </c>
      <c r="C5200">
        <f>IF(B5200,INT((A5200-1)/Days)+1,"")</f>
        <v/>
      </c>
      <c r="D5200">
        <f>IF(B5200,MOD(A5200-1,Days),"")</f>
        <v/>
      </c>
      <c r="E5200" s="16">
        <f>IF(B5200,StartDate+D5200,"")</f>
        <v/>
      </c>
      <c r="F5200">
        <f>IF(B5200,MAX(MOD(SIN(Seed*0.1373+C5200*12.9898+D5200*78.233)*43758.5453,1),1E-9),"")</f>
        <v/>
      </c>
      <c r="G5200">
        <f>IF(B5200,MOD(SIN(Seed*0.5917+C5200*39.3468+D5200*11.135)*24634.6345,1),"")</f>
        <v/>
      </c>
      <c r="H5200">
        <f>IF(B5200,SQRT(-2*LN(F5200))*COS(2*PI()*G5200),"")</f>
        <v/>
      </c>
      <c r="I5200">
        <f>IF(B5200,IF(D5200=0,H5200,Rho*I5199+SQRT(1-Rho^2)*H5200),"")</f>
        <v/>
      </c>
      <c r="J5200">
        <f>IF(B5200,IF(Dist="Normal",DistA+DistB*I5200,DistA+(DistB-DistA)*NORMSDIST(I5200)),"")</f>
        <v/>
      </c>
      <c r="K5200">
        <f>IF(B5200,INDEX(MineScale,C5200),"")</f>
        <v/>
      </c>
      <c r="L5200">
        <f>IF(B5200,INDEX(Dow,1,WEEKDAY(E5200,2)),"")</f>
        <v/>
      </c>
      <c r="M5200">
        <f>IF(B5200,(1+Trend)^D5200,"")</f>
        <v/>
      </c>
      <c r="N5200">
        <f>IF(B5200,EXP(SUMPRODUCT(LN(1+(EvEff-1)*INDEX(Affected,0,C5200)*EXP(-((E5200-EvCenter)^2)/(2*EvSigma^2))))),"")</f>
        <v/>
      </c>
      <c r="O5200">
        <f>IF(B5200,ROUND(MAX(0,J5200*K5200*L5200*M5200*N5200),2),"")</f>
        <v/>
      </c>
    </row>
    <row r="5201">
      <c r="A5201" t="n">
        <v>5200</v>
      </c>
      <c r="B5201">
        <f>A5201&lt;=MineCount*Days</f>
        <v/>
      </c>
      <c r="C5201">
        <f>IF(B5201,INT((A5201-1)/Days)+1,"")</f>
        <v/>
      </c>
      <c r="D5201">
        <f>IF(B5201,MOD(A5201-1,Days),"")</f>
        <v/>
      </c>
      <c r="E5201" s="16">
        <f>IF(B5201,StartDate+D5201,"")</f>
        <v/>
      </c>
      <c r="F5201">
        <f>IF(B5201,MAX(MOD(SIN(Seed*0.1373+C5201*12.9898+D5201*78.233)*43758.5453,1),1E-9),"")</f>
        <v/>
      </c>
      <c r="G5201">
        <f>IF(B5201,MOD(SIN(Seed*0.5917+C5201*39.3468+D5201*11.135)*24634.6345,1),"")</f>
        <v/>
      </c>
      <c r="H5201">
        <f>IF(B5201,SQRT(-2*LN(F5201))*COS(2*PI()*G5201),"")</f>
        <v/>
      </c>
      <c r="I5201">
        <f>IF(B5201,IF(D5201=0,H5201,Rho*I5200+SQRT(1-Rho^2)*H5201),"")</f>
        <v/>
      </c>
      <c r="J5201">
        <f>IF(B5201,IF(Dist="Normal",DistA+DistB*I5201,DistA+(DistB-DistA)*NORMSDIST(I5201)),"")</f>
        <v/>
      </c>
      <c r="K5201">
        <f>IF(B5201,INDEX(MineScale,C5201),"")</f>
        <v/>
      </c>
      <c r="L5201">
        <f>IF(B5201,INDEX(Dow,1,WEEKDAY(E5201,2)),"")</f>
        <v/>
      </c>
      <c r="M5201">
        <f>IF(B5201,(1+Trend)^D5201,"")</f>
        <v/>
      </c>
      <c r="N5201">
        <f>IF(B5201,EXP(SUMPRODUCT(LN(1+(EvEff-1)*INDEX(Affected,0,C5201)*EXP(-((E5201-EvCenter)^2)/(2*EvSigma^2))))),"")</f>
        <v/>
      </c>
      <c r="O5201">
        <f>IF(B5201,ROUND(MAX(0,J5201*K5201*L5201*M5201*N5201),2),"")</f>
        <v/>
      </c>
    </row>
    <row r="5202">
      <c r="A5202" t="n">
        <v>5201</v>
      </c>
      <c r="B5202">
        <f>A5202&lt;=MineCount*Days</f>
        <v/>
      </c>
      <c r="C5202">
        <f>IF(B5202,INT((A5202-1)/Days)+1,"")</f>
        <v/>
      </c>
      <c r="D5202">
        <f>IF(B5202,MOD(A5202-1,Days),"")</f>
        <v/>
      </c>
      <c r="E5202" s="16">
        <f>IF(B5202,StartDate+D5202,"")</f>
        <v/>
      </c>
      <c r="F5202">
        <f>IF(B5202,MAX(MOD(SIN(Seed*0.1373+C5202*12.9898+D5202*78.233)*43758.5453,1),1E-9),"")</f>
        <v/>
      </c>
      <c r="G5202">
        <f>IF(B5202,MOD(SIN(Seed*0.5917+C5202*39.3468+D5202*11.135)*24634.6345,1),"")</f>
        <v/>
      </c>
      <c r="H5202">
        <f>IF(B5202,SQRT(-2*LN(F5202))*COS(2*PI()*G5202),"")</f>
        <v/>
      </c>
      <c r="I5202">
        <f>IF(B5202,IF(D5202=0,H5202,Rho*I5201+SQRT(1-Rho^2)*H5202),"")</f>
        <v/>
      </c>
      <c r="J5202">
        <f>IF(B5202,IF(Dist="Normal",DistA+DistB*I5202,DistA+(DistB-DistA)*NORMSDIST(I5202)),"")</f>
        <v/>
      </c>
      <c r="K5202">
        <f>IF(B5202,INDEX(MineScale,C5202),"")</f>
        <v/>
      </c>
      <c r="L5202">
        <f>IF(B5202,INDEX(Dow,1,WEEKDAY(E5202,2)),"")</f>
        <v/>
      </c>
      <c r="M5202">
        <f>IF(B5202,(1+Trend)^D5202,"")</f>
        <v/>
      </c>
      <c r="N5202">
        <f>IF(B5202,EXP(SUMPRODUCT(LN(1+(EvEff-1)*INDEX(Affected,0,C5202)*EXP(-((E5202-EvCenter)^2)/(2*EvSigma^2))))),"")</f>
        <v/>
      </c>
      <c r="O5202">
        <f>IF(B5202,ROUND(MAX(0,J5202*K5202*L5202*M5202*N5202),2),"")</f>
        <v/>
      </c>
    </row>
    <row r="5203">
      <c r="A5203" t="n">
        <v>5202</v>
      </c>
      <c r="B5203">
        <f>A5203&lt;=MineCount*Days</f>
        <v/>
      </c>
      <c r="C5203">
        <f>IF(B5203,INT((A5203-1)/Days)+1,"")</f>
        <v/>
      </c>
      <c r="D5203">
        <f>IF(B5203,MOD(A5203-1,Days),"")</f>
        <v/>
      </c>
      <c r="E5203" s="16">
        <f>IF(B5203,StartDate+D5203,"")</f>
        <v/>
      </c>
      <c r="F5203">
        <f>IF(B5203,MAX(MOD(SIN(Seed*0.1373+C5203*12.9898+D5203*78.233)*43758.5453,1),1E-9),"")</f>
        <v/>
      </c>
      <c r="G5203">
        <f>IF(B5203,MOD(SIN(Seed*0.5917+C5203*39.3468+D5203*11.135)*24634.6345,1),"")</f>
        <v/>
      </c>
      <c r="H5203">
        <f>IF(B5203,SQRT(-2*LN(F5203))*COS(2*PI()*G5203),"")</f>
        <v/>
      </c>
      <c r="I5203">
        <f>IF(B5203,IF(D5203=0,H5203,Rho*I5202+SQRT(1-Rho^2)*H5203),"")</f>
        <v/>
      </c>
      <c r="J5203">
        <f>IF(B5203,IF(Dist="Normal",DistA+DistB*I5203,DistA+(DistB-DistA)*NORMSDIST(I5203)),"")</f>
        <v/>
      </c>
      <c r="K5203">
        <f>IF(B5203,INDEX(MineScale,C5203),"")</f>
        <v/>
      </c>
      <c r="L5203">
        <f>IF(B5203,INDEX(Dow,1,WEEKDAY(E5203,2)),"")</f>
        <v/>
      </c>
      <c r="M5203">
        <f>IF(B5203,(1+Trend)^D5203,"")</f>
        <v/>
      </c>
      <c r="N5203">
        <f>IF(B5203,EXP(SUMPRODUCT(LN(1+(EvEff-1)*INDEX(Affected,0,C5203)*EXP(-((E5203-EvCenter)^2)/(2*EvSigma^2))))),"")</f>
        <v/>
      </c>
      <c r="O5203">
        <f>IF(B5203,ROUND(MAX(0,J5203*K5203*L5203*M5203*N5203),2),"")</f>
        <v/>
      </c>
    </row>
    <row r="5204">
      <c r="A5204" t="n">
        <v>5203</v>
      </c>
      <c r="B5204">
        <f>A5204&lt;=MineCount*Days</f>
        <v/>
      </c>
      <c r="C5204">
        <f>IF(B5204,INT((A5204-1)/Days)+1,"")</f>
        <v/>
      </c>
      <c r="D5204">
        <f>IF(B5204,MOD(A5204-1,Days),"")</f>
        <v/>
      </c>
      <c r="E5204" s="16">
        <f>IF(B5204,StartDate+D5204,"")</f>
        <v/>
      </c>
      <c r="F5204">
        <f>IF(B5204,MAX(MOD(SIN(Seed*0.1373+C5204*12.9898+D5204*78.233)*43758.5453,1),1E-9),"")</f>
        <v/>
      </c>
      <c r="G5204">
        <f>IF(B5204,MOD(SIN(Seed*0.5917+C5204*39.3468+D5204*11.135)*24634.6345,1),"")</f>
        <v/>
      </c>
      <c r="H5204">
        <f>IF(B5204,SQRT(-2*LN(F5204))*COS(2*PI()*G5204),"")</f>
        <v/>
      </c>
      <c r="I5204">
        <f>IF(B5204,IF(D5204=0,H5204,Rho*I5203+SQRT(1-Rho^2)*H5204),"")</f>
        <v/>
      </c>
      <c r="J5204">
        <f>IF(B5204,IF(Dist="Normal",DistA+DistB*I5204,DistA+(DistB-DistA)*NORMSDIST(I5204)),"")</f>
        <v/>
      </c>
      <c r="K5204">
        <f>IF(B5204,INDEX(MineScale,C5204),"")</f>
        <v/>
      </c>
      <c r="L5204">
        <f>IF(B5204,INDEX(Dow,1,WEEKDAY(E5204,2)),"")</f>
        <v/>
      </c>
      <c r="M5204">
        <f>IF(B5204,(1+Trend)^D5204,"")</f>
        <v/>
      </c>
      <c r="N5204">
        <f>IF(B5204,EXP(SUMPRODUCT(LN(1+(EvEff-1)*INDEX(Affected,0,C5204)*EXP(-((E5204-EvCenter)^2)/(2*EvSigma^2))))),"")</f>
        <v/>
      </c>
      <c r="O5204">
        <f>IF(B5204,ROUND(MAX(0,J5204*K5204*L5204*M5204*N5204),2),"")</f>
        <v/>
      </c>
    </row>
    <row r="5205">
      <c r="A5205" t="n">
        <v>5204</v>
      </c>
      <c r="B5205">
        <f>A5205&lt;=MineCount*Days</f>
        <v/>
      </c>
      <c r="C5205">
        <f>IF(B5205,INT((A5205-1)/Days)+1,"")</f>
        <v/>
      </c>
      <c r="D5205">
        <f>IF(B5205,MOD(A5205-1,Days),"")</f>
        <v/>
      </c>
      <c r="E5205" s="16">
        <f>IF(B5205,StartDate+D5205,"")</f>
        <v/>
      </c>
      <c r="F5205">
        <f>IF(B5205,MAX(MOD(SIN(Seed*0.1373+C5205*12.9898+D5205*78.233)*43758.5453,1),1E-9),"")</f>
        <v/>
      </c>
      <c r="G5205">
        <f>IF(B5205,MOD(SIN(Seed*0.5917+C5205*39.3468+D5205*11.135)*24634.6345,1),"")</f>
        <v/>
      </c>
      <c r="H5205">
        <f>IF(B5205,SQRT(-2*LN(F5205))*COS(2*PI()*G5205),"")</f>
        <v/>
      </c>
      <c r="I5205">
        <f>IF(B5205,IF(D5205=0,H5205,Rho*I5204+SQRT(1-Rho^2)*H5205),"")</f>
        <v/>
      </c>
      <c r="J5205">
        <f>IF(B5205,IF(Dist="Normal",DistA+DistB*I5205,DistA+(DistB-DistA)*NORMSDIST(I5205)),"")</f>
        <v/>
      </c>
      <c r="K5205">
        <f>IF(B5205,INDEX(MineScale,C5205),"")</f>
        <v/>
      </c>
      <c r="L5205">
        <f>IF(B5205,INDEX(Dow,1,WEEKDAY(E5205,2)),"")</f>
        <v/>
      </c>
      <c r="M5205">
        <f>IF(B5205,(1+Trend)^D5205,"")</f>
        <v/>
      </c>
      <c r="N5205">
        <f>IF(B5205,EXP(SUMPRODUCT(LN(1+(EvEff-1)*INDEX(Affected,0,C5205)*EXP(-((E5205-EvCenter)^2)/(2*EvSigma^2))))),"")</f>
        <v/>
      </c>
      <c r="O5205">
        <f>IF(B5205,ROUND(MAX(0,J5205*K5205*L5205*M5205*N5205),2),"")</f>
        <v/>
      </c>
    </row>
    <row r="5206">
      <c r="A5206" t="n">
        <v>5205</v>
      </c>
      <c r="B5206">
        <f>A5206&lt;=MineCount*Days</f>
        <v/>
      </c>
      <c r="C5206">
        <f>IF(B5206,INT((A5206-1)/Days)+1,"")</f>
        <v/>
      </c>
      <c r="D5206">
        <f>IF(B5206,MOD(A5206-1,Days),"")</f>
        <v/>
      </c>
      <c r="E5206" s="16">
        <f>IF(B5206,StartDate+D5206,"")</f>
        <v/>
      </c>
      <c r="F5206">
        <f>IF(B5206,MAX(MOD(SIN(Seed*0.1373+C5206*12.9898+D5206*78.233)*43758.5453,1),1E-9),"")</f>
        <v/>
      </c>
      <c r="G5206">
        <f>IF(B5206,MOD(SIN(Seed*0.5917+C5206*39.3468+D5206*11.135)*24634.6345,1),"")</f>
        <v/>
      </c>
      <c r="H5206">
        <f>IF(B5206,SQRT(-2*LN(F5206))*COS(2*PI()*G5206),"")</f>
        <v/>
      </c>
      <c r="I5206">
        <f>IF(B5206,IF(D5206=0,H5206,Rho*I5205+SQRT(1-Rho^2)*H5206),"")</f>
        <v/>
      </c>
      <c r="J5206">
        <f>IF(B5206,IF(Dist="Normal",DistA+DistB*I5206,DistA+(DistB-DistA)*NORMSDIST(I5206)),"")</f>
        <v/>
      </c>
      <c r="K5206">
        <f>IF(B5206,INDEX(MineScale,C5206),"")</f>
        <v/>
      </c>
      <c r="L5206">
        <f>IF(B5206,INDEX(Dow,1,WEEKDAY(E5206,2)),"")</f>
        <v/>
      </c>
      <c r="M5206">
        <f>IF(B5206,(1+Trend)^D5206,"")</f>
        <v/>
      </c>
      <c r="N5206">
        <f>IF(B5206,EXP(SUMPRODUCT(LN(1+(EvEff-1)*INDEX(Affected,0,C5206)*EXP(-((E5206-EvCenter)^2)/(2*EvSigma^2))))),"")</f>
        <v/>
      </c>
      <c r="O5206">
        <f>IF(B5206,ROUND(MAX(0,J5206*K5206*L5206*M5206*N5206),2),"")</f>
        <v/>
      </c>
    </row>
    <row r="5207">
      <c r="A5207" t="n">
        <v>5206</v>
      </c>
      <c r="B5207">
        <f>A5207&lt;=MineCount*Days</f>
        <v/>
      </c>
      <c r="C5207">
        <f>IF(B5207,INT((A5207-1)/Days)+1,"")</f>
        <v/>
      </c>
      <c r="D5207">
        <f>IF(B5207,MOD(A5207-1,Days),"")</f>
        <v/>
      </c>
      <c r="E5207" s="16">
        <f>IF(B5207,StartDate+D5207,"")</f>
        <v/>
      </c>
      <c r="F5207">
        <f>IF(B5207,MAX(MOD(SIN(Seed*0.1373+C5207*12.9898+D5207*78.233)*43758.5453,1),1E-9),"")</f>
        <v/>
      </c>
      <c r="G5207">
        <f>IF(B5207,MOD(SIN(Seed*0.5917+C5207*39.3468+D5207*11.135)*24634.6345,1),"")</f>
        <v/>
      </c>
      <c r="H5207">
        <f>IF(B5207,SQRT(-2*LN(F5207))*COS(2*PI()*G5207),"")</f>
        <v/>
      </c>
      <c r="I5207">
        <f>IF(B5207,IF(D5207=0,H5207,Rho*I5206+SQRT(1-Rho^2)*H5207),"")</f>
        <v/>
      </c>
      <c r="J5207">
        <f>IF(B5207,IF(Dist="Normal",DistA+DistB*I5207,DistA+(DistB-DistA)*NORMSDIST(I5207)),"")</f>
        <v/>
      </c>
      <c r="K5207">
        <f>IF(B5207,INDEX(MineScale,C5207),"")</f>
        <v/>
      </c>
      <c r="L5207">
        <f>IF(B5207,INDEX(Dow,1,WEEKDAY(E5207,2)),"")</f>
        <v/>
      </c>
      <c r="M5207">
        <f>IF(B5207,(1+Trend)^D5207,"")</f>
        <v/>
      </c>
      <c r="N5207">
        <f>IF(B5207,EXP(SUMPRODUCT(LN(1+(EvEff-1)*INDEX(Affected,0,C5207)*EXP(-((E5207-EvCenter)^2)/(2*EvSigma^2))))),"")</f>
        <v/>
      </c>
      <c r="O5207">
        <f>IF(B5207,ROUND(MAX(0,J5207*K5207*L5207*M5207*N5207),2),"")</f>
        <v/>
      </c>
    </row>
    <row r="5208">
      <c r="A5208" t="n">
        <v>5207</v>
      </c>
      <c r="B5208">
        <f>A5208&lt;=MineCount*Days</f>
        <v/>
      </c>
      <c r="C5208">
        <f>IF(B5208,INT((A5208-1)/Days)+1,"")</f>
        <v/>
      </c>
      <c r="D5208">
        <f>IF(B5208,MOD(A5208-1,Days),"")</f>
        <v/>
      </c>
      <c r="E5208" s="16">
        <f>IF(B5208,StartDate+D5208,"")</f>
        <v/>
      </c>
      <c r="F5208">
        <f>IF(B5208,MAX(MOD(SIN(Seed*0.1373+C5208*12.9898+D5208*78.233)*43758.5453,1),1E-9),"")</f>
        <v/>
      </c>
      <c r="G5208">
        <f>IF(B5208,MOD(SIN(Seed*0.5917+C5208*39.3468+D5208*11.135)*24634.6345,1),"")</f>
        <v/>
      </c>
      <c r="H5208">
        <f>IF(B5208,SQRT(-2*LN(F5208))*COS(2*PI()*G5208),"")</f>
        <v/>
      </c>
      <c r="I5208">
        <f>IF(B5208,IF(D5208=0,H5208,Rho*I5207+SQRT(1-Rho^2)*H5208),"")</f>
        <v/>
      </c>
      <c r="J5208">
        <f>IF(B5208,IF(Dist="Normal",DistA+DistB*I5208,DistA+(DistB-DistA)*NORMSDIST(I5208)),"")</f>
        <v/>
      </c>
      <c r="K5208">
        <f>IF(B5208,INDEX(MineScale,C5208),"")</f>
        <v/>
      </c>
      <c r="L5208">
        <f>IF(B5208,INDEX(Dow,1,WEEKDAY(E5208,2)),"")</f>
        <v/>
      </c>
      <c r="M5208">
        <f>IF(B5208,(1+Trend)^D5208,"")</f>
        <v/>
      </c>
      <c r="N5208">
        <f>IF(B5208,EXP(SUMPRODUCT(LN(1+(EvEff-1)*INDEX(Affected,0,C5208)*EXP(-((E5208-EvCenter)^2)/(2*EvSigma^2))))),"")</f>
        <v/>
      </c>
      <c r="O5208">
        <f>IF(B5208,ROUND(MAX(0,J5208*K5208*L5208*M5208*N5208),2),"")</f>
        <v/>
      </c>
    </row>
    <row r="5209">
      <c r="A5209" t="n">
        <v>5208</v>
      </c>
      <c r="B5209">
        <f>A5209&lt;=MineCount*Days</f>
        <v/>
      </c>
      <c r="C5209">
        <f>IF(B5209,INT((A5209-1)/Days)+1,"")</f>
        <v/>
      </c>
      <c r="D5209">
        <f>IF(B5209,MOD(A5209-1,Days),"")</f>
        <v/>
      </c>
      <c r="E5209" s="16">
        <f>IF(B5209,StartDate+D5209,"")</f>
        <v/>
      </c>
      <c r="F5209">
        <f>IF(B5209,MAX(MOD(SIN(Seed*0.1373+C5209*12.9898+D5209*78.233)*43758.5453,1),1E-9),"")</f>
        <v/>
      </c>
      <c r="G5209">
        <f>IF(B5209,MOD(SIN(Seed*0.5917+C5209*39.3468+D5209*11.135)*24634.6345,1),"")</f>
        <v/>
      </c>
      <c r="H5209">
        <f>IF(B5209,SQRT(-2*LN(F5209))*COS(2*PI()*G5209),"")</f>
        <v/>
      </c>
      <c r="I5209">
        <f>IF(B5209,IF(D5209=0,H5209,Rho*I5208+SQRT(1-Rho^2)*H5209),"")</f>
        <v/>
      </c>
      <c r="J5209">
        <f>IF(B5209,IF(Dist="Normal",DistA+DistB*I5209,DistA+(DistB-DistA)*NORMSDIST(I5209)),"")</f>
        <v/>
      </c>
      <c r="K5209">
        <f>IF(B5209,INDEX(MineScale,C5209),"")</f>
        <v/>
      </c>
      <c r="L5209">
        <f>IF(B5209,INDEX(Dow,1,WEEKDAY(E5209,2)),"")</f>
        <v/>
      </c>
      <c r="M5209">
        <f>IF(B5209,(1+Trend)^D5209,"")</f>
        <v/>
      </c>
      <c r="N5209">
        <f>IF(B5209,EXP(SUMPRODUCT(LN(1+(EvEff-1)*INDEX(Affected,0,C5209)*EXP(-((E5209-EvCenter)^2)/(2*EvSigma^2))))),"")</f>
        <v/>
      </c>
      <c r="O5209">
        <f>IF(B5209,ROUND(MAX(0,J5209*K5209*L5209*M5209*N5209),2),"")</f>
        <v/>
      </c>
    </row>
    <row r="5210">
      <c r="A5210" t="n">
        <v>5209</v>
      </c>
      <c r="B5210">
        <f>A5210&lt;=MineCount*Days</f>
        <v/>
      </c>
      <c r="C5210">
        <f>IF(B5210,INT((A5210-1)/Days)+1,"")</f>
        <v/>
      </c>
      <c r="D5210">
        <f>IF(B5210,MOD(A5210-1,Days),"")</f>
        <v/>
      </c>
      <c r="E5210" s="16">
        <f>IF(B5210,StartDate+D5210,"")</f>
        <v/>
      </c>
      <c r="F5210">
        <f>IF(B5210,MAX(MOD(SIN(Seed*0.1373+C5210*12.9898+D5210*78.233)*43758.5453,1),1E-9),"")</f>
        <v/>
      </c>
      <c r="G5210">
        <f>IF(B5210,MOD(SIN(Seed*0.5917+C5210*39.3468+D5210*11.135)*24634.6345,1),"")</f>
        <v/>
      </c>
      <c r="H5210">
        <f>IF(B5210,SQRT(-2*LN(F5210))*COS(2*PI()*G5210),"")</f>
        <v/>
      </c>
      <c r="I5210">
        <f>IF(B5210,IF(D5210=0,H5210,Rho*I5209+SQRT(1-Rho^2)*H5210),"")</f>
        <v/>
      </c>
      <c r="J5210">
        <f>IF(B5210,IF(Dist="Normal",DistA+DistB*I5210,DistA+(DistB-DistA)*NORMSDIST(I5210)),"")</f>
        <v/>
      </c>
      <c r="K5210">
        <f>IF(B5210,INDEX(MineScale,C5210),"")</f>
        <v/>
      </c>
      <c r="L5210">
        <f>IF(B5210,INDEX(Dow,1,WEEKDAY(E5210,2)),"")</f>
        <v/>
      </c>
      <c r="M5210">
        <f>IF(B5210,(1+Trend)^D5210,"")</f>
        <v/>
      </c>
      <c r="N5210">
        <f>IF(B5210,EXP(SUMPRODUCT(LN(1+(EvEff-1)*INDEX(Affected,0,C5210)*EXP(-((E5210-EvCenter)^2)/(2*EvSigma^2))))),"")</f>
        <v/>
      </c>
      <c r="O5210">
        <f>IF(B5210,ROUND(MAX(0,J5210*K5210*L5210*M5210*N5210),2),"")</f>
        <v/>
      </c>
    </row>
    <row r="5211">
      <c r="A5211" t="n">
        <v>5210</v>
      </c>
      <c r="B5211">
        <f>A5211&lt;=MineCount*Days</f>
        <v/>
      </c>
      <c r="C5211">
        <f>IF(B5211,INT((A5211-1)/Days)+1,"")</f>
        <v/>
      </c>
      <c r="D5211">
        <f>IF(B5211,MOD(A5211-1,Days),"")</f>
        <v/>
      </c>
      <c r="E5211" s="16">
        <f>IF(B5211,StartDate+D5211,"")</f>
        <v/>
      </c>
      <c r="F5211">
        <f>IF(B5211,MAX(MOD(SIN(Seed*0.1373+C5211*12.9898+D5211*78.233)*43758.5453,1),1E-9),"")</f>
        <v/>
      </c>
      <c r="G5211">
        <f>IF(B5211,MOD(SIN(Seed*0.5917+C5211*39.3468+D5211*11.135)*24634.6345,1),"")</f>
        <v/>
      </c>
      <c r="H5211">
        <f>IF(B5211,SQRT(-2*LN(F5211))*COS(2*PI()*G5211),"")</f>
        <v/>
      </c>
      <c r="I5211">
        <f>IF(B5211,IF(D5211=0,H5211,Rho*I5210+SQRT(1-Rho^2)*H5211),"")</f>
        <v/>
      </c>
      <c r="J5211">
        <f>IF(B5211,IF(Dist="Normal",DistA+DistB*I5211,DistA+(DistB-DistA)*NORMSDIST(I5211)),"")</f>
        <v/>
      </c>
      <c r="K5211">
        <f>IF(B5211,INDEX(MineScale,C5211),"")</f>
        <v/>
      </c>
      <c r="L5211">
        <f>IF(B5211,INDEX(Dow,1,WEEKDAY(E5211,2)),"")</f>
        <v/>
      </c>
      <c r="M5211">
        <f>IF(B5211,(1+Trend)^D5211,"")</f>
        <v/>
      </c>
      <c r="N5211">
        <f>IF(B5211,EXP(SUMPRODUCT(LN(1+(EvEff-1)*INDEX(Affected,0,C5211)*EXP(-((E5211-EvCenter)^2)/(2*EvSigma^2))))),"")</f>
        <v/>
      </c>
      <c r="O5211">
        <f>IF(B5211,ROUND(MAX(0,J5211*K5211*L5211*M5211*N5211),2),"")</f>
        <v/>
      </c>
    </row>
    <row r="5212">
      <c r="A5212" t="n">
        <v>5211</v>
      </c>
      <c r="B5212">
        <f>A5212&lt;=MineCount*Days</f>
        <v/>
      </c>
      <c r="C5212">
        <f>IF(B5212,INT((A5212-1)/Days)+1,"")</f>
        <v/>
      </c>
      <c r="D5212">
        <f>IF(B5212,MOD(A5212-1,Days),"")</f>
        <v/>
      </c>
      <c r="E5212" s="16">
        <f>IF(B5212,StartDate+D5212,"")</f>
        <v/>
      </c>
      <c r="F5212">
        <f>IF(B5212,MAX(MOD(SIN(Seed*0.1373+C5212*12.9898+D5212*78.233)*43758.5453,1),1E-9),"")</f>
        <v/>
      </c>
      <c r="G5212">
        <f>IF(B5212,MOD(SIN(Seed*0.5917+C5212*39.3468+D5212*11.135)*24634.6345,1),"")</f>
        <v/>
      </c>
      <c r="H5212">
        <f>IF(B5212,SQRT(-2*LN(F5212))*COS(2*PI()*G5212),"")</f>
        <v/>
      </c>
      <c r="I5212">
        <f>IF(B5212,IF(D5212=0,H5212,Rho*I5211+SQRT(1-Rho^2)*H5212),"")</f>
        <v/>
      </c>
      <c r="J5212">
        <f>IF(B5212,IF(Dist="Normal",DistA+DistB*I5212,DistA+(DistB-DistA)*NORMSDIST(I5212)),"")</f>
        <v/>
      </c>
      <c r="K5212">
        <f>IF(B5212,INDEX(MineScale,C5212),"")</f>
        <v/>
      </c>
      <c r="L5212">
        <f>IF(B5212,INDEX(Dow,1,WEEKDAY(E5212,2)),"")</f>
        <v/>
      </c>
      <c r="M5212">
        <f>IF(B5212,(1+Trend)^D5212,"")</f>
        <v/>
      </c>
      <c r="N5212">
        <f>IF(B5212,EXP(SUMPRODUCT(LN(1+(EvEff-1)*INDEX(Affected,0,C5212)*EXP(-((E5212-EvCenter)^2)/(2*EvSigma^2))))),"")</f>
        <v/>
      </c>
      <c r="O5212">
        <f>IF(B5212,ROUND(MAX(0,J5212*K5212*L5212*M5212*N5212),2),"")</f>
        <v/>
      </c>
    </row>
    <row r="5213">
      <c r="A5213" t="n">
        <v>5212</v>
      </c>
      <c r="B5213">
        <f>A5213&lt;=MineCount*Days</f>
        <v/>
      </c>
      <c r="C5213">
        <f>IF(B5213,INT((A5213-1)/Days)+1,"")</f>
        <v/>
      </c>
      <c r="D5213">
        <f>IF(B5213,MOD(A5213-1,Days),"")</f>
        <v/>
      </c>
      <c r="E5213" s="16">
        <f>IF(B5213,StartDate+D5213,"")</f>
        <v/>
      </c>
      <c r="F5213">
        <f>IF(B5213,MAX(MOD(SIN(Seed*0.1373+C5213*12.9898+D5213*78.233)*43758.5453,1),1E-9),"")</f>
        <v/>
      </c>
      <c r="G5213">
        <f>IF(B5213,MOD(SIN(Seed*0.5917+C5213*39.3468+D5213*11.135)*24634.6345,1),"")</f>
        <v/>
      </c>
      <c r="H5213">
        <f>IF(B5213,SQRT(-2*LN(F5213))*COS(2*PI()*G5213),"")</f>
        <v/>
      </c>
      <c r="I5213">
        <f>IF(B5213,IF(D5213=0,H5213,Rho*I5212+SQRT(1-Rho^2)*H5213),"")</f>
        <v/>
      </c>
      <c r="J5213">
        <f>IF(B5213,IF(Dist="Normal",DistA+DistB*I5213,DistA+(DistB-DistA)*NORMSDIST(I5213)),"")</f>
        <v/>
      </c>
      <c r="K5213">
        <f>IF(B5213,INDEX(MineScale,C5213),"")</f>
        <v/>
      </c>
      <c r="L5213">
        <f>IF(B5213,INDEX(Dow,1,WEEKDAY(E5213,2)),"")</f>
        <v/>
      </c>
      <c r="M5213">
        <f>IF(B5213,(1+Trend)^D5213,"")</f>
        <v/>
      </c>
      <c r="N5213">
        <f>IF(B5213,EXP(SUMPRODUCT(LN(1+(EvEff-1)*INDEX(Affected,0,C5213)*EXP(-((E5213-EvCenter)^2)/(2*EvSigma^2))))),"")</f>
        <v/>
      </c>
      <c r="O5213">
        <f>IF(B5213,ROUND(MAX(0,J5213*K5213*L5213*M5213*N5213),2),"")</f>
        <v/>
      </c>
    </row>
    <row r="5214">
      <c r="A5214" t="n">
        <v>5213</v>
      </c>
      <c r="B5214">
        <f>A5214&lt;=MineCount*Days</f>
        <v/>
      </c>
      <c r="C5214">
        <f>IF(B5214,INT((A5214-1)/Days)+1,"")</f>
        <v/>
      </c>
      <c r="D5214">
        <f>IF(B5214,MOD(A5214-1,Days),"")</f>
        <v/>
      </c>
      <c r="E5214" s="16">
        <f>IF(B5214,StartDate+D5214,"")</f>
        <v/>
      </c>
      <c r="F5214">
        <f>IF(B5214,MAX(MOD(SIN(Seed*0.1373+C5214*12.9898+D5214*78.233)*43758.5453,1),1E-9),"")</f>
        <v/>
      </c>
      <c r="G5214">
        <f>IF(B5214,MOD(SIN(Seed*0.5917+C5214*39.3468+D5214*11.135)*24634.6345,1),"")</f>
        <v/>
      </c>
      <c r="H5214">
        <f>IF(B5214,SQRT(-2*LN(F5214))*COS(2*PI()*G5214),"")</f>
        <v/>
      </c>
      <c r="I5214">
        <f>IF(B5214,IF(D5214=0,H5214,Rho*I5213+SQRT(1-Rho^2)*H5214),"")</f>
        <v/>
      </c>
      <c r="J5214">
        <f>IF(B5214,IF(Dist="Normal",DistA+DistB*I5214,DistA+(DistB-DistA)*NORMSDIST(I5214)),"")</f>
        <v/>
      </c>
      <c r="K5214">
        <f>IF(B5214,INDEX(MineScale,C5214),"")</f>
        <v/>
      </c>
      <c r="L5214">
        <f>IF(B5214,INDEX(Dow,1,WEEKDAY(E5214,2)),"")</f>
        <v/>
      </c>
      <c r="M5214">
        <f>IF(B5214,(1+Trend)^D5214,"")</f>
        <v/>
      </c>
      <c r="N5214">
        <f>IF(B5214,EXP(SUMPRODUCT(LN(1+(EvEff-1)*INDEX(Affected,0,C5214)*EXP(-((E5214-EvCenter)^2)/(2*EvSigma^2))))),"")</f>
        <v/>
      </c>
      <c r="O5214">
        <f>IF(B5214,ROUND(MAX(0,J5214*K5214*L5214*M5214*N5214),2),"")</f>
        <v/>
      </c>
    </row>
    <row r="5215">
      <c r="A5215" t="n">
        <v>5214</v>
      </c>
      <c r="B5215">
        <f>A5215&lt;=MineCount*Days</f>
        <v/>
      </c>
      <c r="C5215">
        <f>IF(B5215,INT((A5215-1)/Days)+1,"")</f>
        <v/>
      </c>
      <c r="D5215">
        <f>IF(B5215,MOD(A5215-1,Days),"")</f>
        <v/>
      </c>
      <c r="E5215" s="16">
        <f>IF(B5215,StartDate+D5215,"")</f>
        <v/>
      </c>
      <c r="F5215">
        <f>IF(B5215,MAX(MOD(SIN(Seed*0.1373+C5215*12.9898+D5215*78.233)*43758.5453,1),1E-9),"")</f>
        <v/>
      </c>
      <c r="G5215">
        <f>IF(B5215,MOD(SIN(Seed*0.5917+C5215*39.3468+D5215*11.135)*24634.6345,1),"")</f>
        <v/>
      </c>
      <c r="H5215">
        <f>IF(B5215,SQRT(-2*LN(F5215))*COS(2*PI()*G5215),"")</f>
        <v/>
      </c>
      <c r="I5215">
        <f>IF(B5215,IF(D5215=0,H5215,Rho*I5214+SQRT(1-Rho^2)*H5215),"")</f>
        <v/>
      </c>
      <c r="J5215">
        <f>IF(B5215,IF(Dist="Normal",DistA+DistB*I5215,DistA+(DistB-DistA)*NORMSDIST(I5215)),"")</f>
        <v/>
      </c>
      <c r="K5215">
        <f>IF(B5215,INDEX(MineScale,C5215),"")</f>
        <v/>
      </c>
      <c r="L5215">
        <f>IF(B5215,INDEX(Dow,1,WEEKDAY(E5215,2)),"")</f>
        <v/>
      </c>
      <c r="M5215">
        <f>IF(B5215,(1+Trend)^D5215,"")</f>
        <v/>
      </c>
      <c r="N5215">
        <f>IF(B5215,EXP(SUMPRODUCT(LN(1+(EvEff-1)*INDEX(Affected,0,C5215)*EXP(-((E5215-EvCenter)^2)/(2*EvSigma^2))))),"")</f>
        <v/>
      </c>
      <c r="O5215">
        <f>IF(B5215,ROUND(MAX(0,J5215*K5215*L5215*M5215*N5215),2),"")</f>
        <v/>
      </c>
    </row>
    <row r="5216">
      <c r="A5216" t="n">
        <v>5215</v>
      </c>
      <c r="B5216">
        <f>A5216&lt;=MineCount*Days</f>
        <v/>
      </c>
      <c r="C5216">
        <f>IF(B5216,INT((A5216-1)/Days)+1,"")</f>
        <v/>
      </c>
      <c r="D5216">
        <f>IF(B5216,MOD(A5216-1,Days),"")</f>
        <v/>
      </c>
      <c r="E5216" s="16">
        <f>IF(B5216,StartDate+D5216,"")</f>
        <v/>
      </c>
      <c r="F5216">
        <f>IF(B5216,MAX(MOD(SIN(Seed*0.1373+C5216*12.9898+D5216*78.233)*43758.5453,1),1E-9),"")</f>
        <v/>
      </c>
      <c r="G5216">
        <f>IF(B5216,MOD(SIN(Seed*0.5917+C5216*39.3468+D5216*11.135)*24634.6345,1),"")</f>
        <v/>
      </c>
      <c r="H5216">
        <f>IF(B5216,SQRT(-2*LN(F5216))*COS(2*PI()*G5216),"")</f>
        <v/>
      </c>
      <c r="I5216">
        <f>IF(B5216,IF(D5216=0,H5216,Rho*I5215+SQRT(1-Rho^2)*H5216),"")</f>
        <v/>
      </c>
      <c r="J5216">
        <f>IF(B5216,IF(Dist="Normal",DistA+DistB*I5216,DistA+(DistB-DistA)*NORMSDIST(I5216)),"")</f>
        <v/>
      </c>
      <c r="K5216">
        <f>IF(B5216,INDEX(MineScale,C5216),"")</f>
        <v/>
      </c>
      <c r="L5216">
        <f>IF(B5216,INDEX(Dow,1,WEEKDAY(E5216,2)),"")</f>
        <v/>
      </c>
      <c r="M5216">
        <f>IF(B5216,(1+Trend)^D5216,"")</f>
        <v/>
      </c>
      <c r="N5216">
        <f>IF(B5216,EXP(SUMPRODUCT(LN(1+(EvEff-1)*INDEX(Affected,0,C5216)*EXP(-((E5216-EvCenter)^2)/(2*EvSigma^2))))),"")</f>
        <v/>
      </c>
      <c r="O5216">
        <f>IF(B5216,ROUND(MAX(0,J5216*K5216*L5216*M5216*N5216),2),"")</f>
        <v/>
      </c>
    </row>
    <row r="5217">
      <c r="A5217" t="n">
        <v>5216</v>
      </c>
      <c r="B5217">
        <f>A5217&lt;=MineCount*Days</f>
        <v/>
      </c>
      <c r="C5217">
        <f>IF(B5217,INT((A5217-1)/Days)+1,"")</f>
        <v/>
      </c>
      <c r="D5217">
        <f>IF(B5217,MOD(A5217-1,Days),"")</f>
        <v/>
      </c>
      <c r="E5217" s="16">
        <f>IF(B5217,StartDate+D5217,"")</f>
        <v/>
      </c>
      <c r="F5217">
        <f>IF(B5217,MAX(MOD(SIN(Seed*0.1373+C5217*12.9898+D5217*78.233)*43758.5453,1),1E-9),"")</f>
        <v/>
      </c>
      <c r="G5217">
        <f>IF(B5217,MOD(SIN(Seed*0.5917+C5217*39.3468+D5217*11.135)*24634.6345,1),"")</f>
        <v/>
      </c>
      <c r="H5217">
        <f>IF(B5217,SQRT(-2*LN(F5217))*COS(2*PI()*G5217),"")</f>
        <v/>
      </c>
      <c r="I5217">
        <f>IF(B5217,IF(D5217=0,H5217,Rho*I5216+SQRT(1-Rho^2)*H5217),"")</f>
        <v/>
      </c>
      <c r="J5217">
        <f>IF(B5217,IF(Dist="Normal",DistA+DistB*I5217,DistA+(DistB-DistA)*NORMSDIST(I5217)),"")</f>
        <v/>
      </c>
      <c r="K5217">
        <f>IF(B5217,INDEX(MineScale,C5217),"")</f>
        <v/>
      </c>
      <c r="L5217">
        <f>IF(B5217,INDEX(Dow,1,WEEKDAY(E5217,2)),"")</f>
        <v/>
      </c>
      <c r="M5217">
        <f>IF(B5217,(1+Trend)^D5217,"")</f>
        <v/>
      </c>
      <c r="N5217">
        <f>IF(B5217,EXP(SUMPRODUCT(LN(1+(EvEff-1)*INDEX(Affected,0,C5217)*EXP(-((E5217-EvCenter)^2)/(2*EvSigma^2))))),"")</f>
        <v/>
      </c>
      <c r="O5217">
        <f>IF(B5217,ROUND(MAX(0,J5217*K5217*L5217*M5217*N5217),2),"")</f>
        <v/>
      </c>
    </row>
    <row r="5218">
      <c r="A5218" t="n">
        <v>5217</v>
      </c>
      <c r="B5218">
        <f>A5218&lt;=MineCount*Days</f>
        <v/>
      </c>
      <c r="C5218">
        <f>IF(B5218,INT((A5218-1)/Days)+1,"")</f>
        <v/>
      </c>
      <c r="D5218">
        <f>IF(B5218,MOD(A5218-1,Days),"")</f>
        <v/>
      </c>
      <c r="E5218" s="16">
        <f>IF(B5218,StartDate+D5218,"")</f>
        <v/>
      </c>
      <c r="F5218">
        <f>IF(B5218,MAX(MOD(SIN(Seed*0.1373+C5218*12.9898+D5218*78.233)*43758.5453,1),1E-9),"")</f>
        <v/>
      </c>
      <c r="G5218">
        <f>IF(B5218,MOD(SIN(Seed*0.5917+C5218*39.3468+D5218*11.135)*24634.6345,1),"")</f>
        <v/>
      </c>
      <c r="H5218">
        <f>IF(B5218,SQRT(-2*LN(F5218))*COS(2*PI()*G5218),"")</f>
        <v/>
      </c>
      <c r="I5218">
        <f>IF(B5218,IF(D5218=0,H5218,Rho*I5217+SQRT(1-Rho^2)*H5218),"")</f>
        <v/>
      </c>
      <c r="J5218">
        <f>IF(B5218,IF(Dist="Normal",DistA+DistB*I5218,DistA+(DistB-DistA)*NORMSDIST(I5218)),"")</f>
        <v/>
      </c>
      <c r="K5218">
        <f>IF(B5218,INDEX(MineScale,C5218),"")</f>
        <v/>
      </c>
      <c r="L5218">
        <f>IF(B5218,INDEX(Dow,1,WEEKDAY(E5218,2)),"")</f>
        <v/>
      </c>
      <c r="M5218">
        <f>IF(B5218,(1+Trend)^D5218,"")</f>
        <v/>
      </c>
      <c r="N5218">
        <f>IF(B5218,EXP(SUMPRODUCT(LN(1+(EvEff-1)*INDEX(Affected,0,C5218)*EXP(-((E5218-EvCenter)^2)/(2*EvSigma^2))))),"")</f>
        <v/>
      </c>
      <c r="O5218">
        <f>IF(B5218,ROUND(MAX(0,J5218*K5218*L5218*M5218*N5218),2),"")</f>
        <v/>
      </c>
    </row>
    <row r="5219">
      <c r="A5219" t="n">
        <v>5218</v>
      </c>
      <c r="B5219">
        <f>A5219&lt;=MineCount*Days</f>
        <v/>
      </c>
      <c r="C5219">
        <f>IF(B5219,INT((A5219-1)/Days)+1,"")</f>
        <v/>
      </c>
      <c r="D5219">
        <f>IF(B5219,MOD(A5219-1,Days),"")</f>
        <v/>
      </c>
      <c r="E5219" s="16">
        <f>IF(B5219,StartDate+D5219,"")</f>
        <v/>
      </c>
      <c r="F5219">
        <f>IF(B5219,MAX(MOD(SIN(Seed*0.1373+C5219*12.9898+D5219*78.233)*43758.5453,1),1E-9),"")</f>
        <v/>
      </c>
      <c r="G5219">
        <f>IF(B5219,MOD(SIN(Seed*0.5917+C5219*39.3468+D5219*11.135)*24634.6345,1),"")</f>
        <v/>
      </c>
      <c r="H5219">
        <f>IF(B5219,SQRT(-2*LN(F5219))*COS(2*PI()*G5219),"")</f>
        <v/>
      </c>
      <c r="I5219">
        <f>IF(B5219,IF(D5219=0,H5219,Rho*I5218+SQRT(1-Rho^2)*H5219),"")</f>
        <v/>
      </c>
      <c r="J5219">
        <f>IF(B5219,IF(Dist="Normal",DistA+DistB*I5219,DistA+(DistB-DistA)*NORMSDIST(I5219)),"")</f>
        <v/>
      </c>
      <c r="K5219">
        <f>IF(B5219,INDEX(MineScale,C5219),"")</f>
        <v/>
      </c>
      <c r="L5219">
        <f>IF(B5219,INDEX(Dow,1,WEEKDAY(E5219,2)),"")</f>
        <v/>
      </c>
      <c r="M5219">
        <f>IF(B5219,(1+Trend)^D5219,"")</f>
        <v/>
      </c>
      <c r="N5219">
        <f>IF(B5219,EXP(SUMPRODUCT(LN(1+(EvEff-1)*INDEX(Affected,0,C5219)*EXP(-((E5219-EvCenter)^2)/(2*EvSigma^2))))),"")</f>
        <v/>
      </c>
      <c r="O5219">
        <f>IF(B5219,ROUND(MAX(0,J5219*K5219*L5219*M5219*N5219),2),"")</f>
        <v/>
      </c>
    </row>
    <row r="5220">
      <c r="A5220" t="n">
        <v>5219</v>
      </c>
      <c r="B5220">
        <f>A5220&lt;=MineCount*Days</f>
        <v/>
      </c>
      <c r="C5220">
        <f>IF(B5220,INT((A5220-1)/Days)+1,"")</f>
        <v/>
      </c>
      <c r="D5220">
        <f>IF(B5220,MOD(A5220-1,Days),"")</f>
        <v/>
      </c>
      <c r="E5220" s="16">
        <f>IF(B5220,StartDate+D5220,"")</f>
        <v/>
      </c>
      <c r="F5220">
        <f>IF(B5220,MAX(MOD(SIN(Seed*0.1373+C5220*12.9898+D5220*78.233)*43758.5453,1),1E-9),"")</f>
        <v/>
      </c>
      <c r="G5220">
        <f>IF(B5220,MOD(SIN(Seed*0.5917+C5220*39.3468+D5220*11.135)*24634.6345,1),"")</f>
        <v/>
      </c>
      <c r="H5220">
        <f>IF(B5220,SQRT(-2*LN(F5220))*COS(2*PI()*G5220),"")</f>
        <v/>
      </c>
      <c r="I5220">
        <f>IF(B5220,IF(D5220=0,H5220,Rho*I5219+SQRT(1-Rho^2)*H5220),"")</f>
        <v/>
      </c>
      <c r="J5220">
        <f>IF(B5220,IF(Dist="Normal",DistA+DistB*I5220,DistA+(DistB-DistA)*NORMSDIST(I5220)),"")</f>
        <v/>
      </c>
      <c r="K5220">
        <f>IF(B5220,INDEX(MineScale,C5220),"")</f>
        <v/>
      </c>
      <c r="L5220">
        <f>IF(B5220,INDEX(Dow,1,WEEKDAY(E5220,2)),"")</f>
        <v/>
      </c>
      <c r="M5220">
        <f>IF(B5220,(1+Trend)^D5220,"")</f>
        <v/>
      </c>
      <c r="N5220">
        <f>IF(B5220,EXP(SUMPRODUCT(LN(1+(EvEff-1)*INDEX(Affected,0,C5220)*EXP(-((E5220-EvCenter)^2)/(2*EvSigma^2))))),"")</f>
        <v/>
      </c>
      <c r="O5220">
        <f>IF(B5220,ROUND(MAX(0,J5220*K5220*L5220*M5220*N5220),2),"")</f>
        <v/>
      </c>
    </row>
    <row r="5221">
      <c r="A5221" t="n">
        <v>5220</v>
      </c>
      <c r="B5221">
        <f>A5221&lt;=MineCount*Days</f>
        <v/>
      </c>
      <c r="C5221">
        <f>IF(B5221,INT((A5221-1)/Days)+1,"")</f>
        <v/>
      </c>
      <c r="D5221">
        <f>IF(B5221,MOD(A5221-1,Days),"")</f>
        <v/>
      </c>
      <c r="E5221" s="16">
        <f>IF(B5221,StartDate+D5221,"")</f>
        <v/>
      </c>
      <c r="F5221">
        <f>IF(B5221,MAX(MOD(SIN(Seed*0.1373+C5221*12.9898+D5221*78.233)*43758.5453,1),1E-9),"")</f>
        <v/>
      </c>
      <c r="G5221">
        <f>IF(B5221,MOD(SIN(Seed*0.5917+C5221*39.3468+D5221*11.135)*24634.6345,1),"")</f>
        <v/>
      </c>
      <c r="H5221">
        <f>IF(B5221,SQRT(-2*LN(F5221))*COS(2*PI()*G5221),"")</f>
        <v/>
      </c>
      <c r="I5221">
        <f>IF(B5221,IF(D5221=0,H5221,Rho*I5220+SQRT(1-Rho^2)*H5221),"")</f>
        <v/>
      </c>
      <c r="J5221">
        <f>IF(B5221,IF(Dist="Normal",DistA+DistB*I5221,DistA+(DistB-DistA)*NORMSDIST(I5221)),"")</f>
        <v/>
      </c>
      <c r="K5221">
        <f>IF(B5221,INDEX(MineScale,C5221),"")</f>
        <v/>
      </c>
      <c r="L5221">
        <f>IF(B5221,INDEX(Dow,1,WEEKDAY(E5221,2)),"")</f>
        <v/>
      </c>
      <c r="M5221">
        <f>IF(B5221,(1+Trend)^D5221,"")</f>
        <v/>
      </c>
      <c r="N5221">
        <f>IF(B5221,EXP(SUMPRODUCT(LN(1+(EvEff-1)*INDEX(Affected,0,C5221)*EXP(-((E5221-EvCenter)^2)/(2*EvSigma^2))))),"")</f>
        <v/>
      </c>
      <c r="O5221">
        <f>IF(B5221,ROUND(MAX(0,J5221*K5221*L5221*M5221*N5221),2),"")</f>
        <v/>
      </c>
    </row>
    <row r="5222">
      <c r="A5222" t="n">
        <v>5221</v>
      </c>
      <c r="B5222">
        <f>A5222&lt;=MineCount*Days</f>
        <v/>
      </c>
      <c r="C5222">
        <f>IF(B5222,INT((A5222-1)/Days)+1,"")</f>
        <v/>
      </c>
      <c r="D5222">
        <f>IF(B5222,MOD(A5222-1,Days),"")</f>
        <v/>
      </c>
      <c r="E5222" s="16">
        <f>IF(B5222,StartDate+D5222,"")</f>
        <v/>
      </c>
      <c r="F5222">
        <f>IF(B5222,MAX(MOD(SIN(Seed*0.1373+C5222*12.9898+D5222*78.233)*43758.5453,1),1E-9),"")</f>
        <v/>
      </c>
      <c r="G5222">
        <f>IF(B5222,MOD(SIN(Seed*0.5917+C5222*39.3468+D5222*11.135)*24634.6345,1),"")</f>
        <v/>
      </c>
      <c r="H5222">
        <f>IF(B5222,SQRT(-2*LN(F5222))*COS(2*PI()*G5222),"")</f>
        <v/>
      </c>
      <c r="I5222">
        <f>IF(B5222,IF(D5222=0,H5222,Rho*I5221+SQRT(1-Rho^2)*H5222),"")</f>
        <v/>
      </c>
      <c r="J5222">
        <f>IF(B5222,IF(Dist="Normal",DistA+DistB*I5222,DistA+(DistB-DistA)*NORMSDIST(I5222)),"")</f>
        <v/>
      </c>
      <c r="K5222">
        <f>IF(B5222,INDEX(MineScale,C5222),"")</f>
        <v/>
      </c>
      <c r="L5222">
        <f>IF(B5222,INDEX(Dow,1,WEEKDAY(E5222,2)),"")</f>
        <v/>
      </c>
      <c r="M5222">
        <f>IF(B5222,(1+Trend)^D5222,"")</f>
        <v/>
      </c>
      <c r="N5222">
        <f>IF(B5222,EXP(SUMPRODUCT(LN(1+(EvEff-1)*INDEX(Affected,0,C5222)*EXP(-((E5222-EvCenter)^2)/(2*EvSigma^2))))),"")</f>
        <v/>
      </c>
      <c r="O5222">
        <f>IF(B5222,ROUND(MAX(0,J5222*K5222*L5222*M5222*N5222),2),"")</f>
        <v/>
      </c>
    </row>
    <row r="5223">
      <c r="A5223" t="n">
        <v>5222</v>
      </c>
      <c r="B5223">
        <f>A5223&lt;=MineCount*Days</f>
        <v/>
      </c>
      <c r="C5223">
        <f>IF(B5223,INT((A5223-1)/Days)+1,"")</f>
        <v/>
      </c>
      <c r="D5223">
        <f>IF(B5223,MOD(A5223-1,Days),"")</f>
        <v/>
      </c>
      <c r="E5223" s="16">
        <f>IF(B5223,StartDate+D5223,"")</f>
        <v/>
      </c>
      <c r="F5223">
        <f>IF(B5223,MAX(MOD(SIN(Seed*0.1373+C5223*12.9898+D5223*78.233)*43758.5453,1),1E-9),"")</f>
        <v/>
      </c>
      <c r="G5223">
        <f>IF(B5223,MOD(SIN(Seed*0.5917+C5223*39.3468+D5223*11.135)*24634.6345,1),"")</f>
        <v/>
      </c>
      <c r="H5223">
        <f>IF(B5223,SQRT(-2*LN(F5223))*COS(2*PI()*G5223),"")</f>
        <v/>
      </c>
      <c r="I5223">
        <f>IF(B5223,IF(D5223=0,H5223,Rho*I5222+SQRT(1-Rho^2)*H5223),"")</f>
        <v/>
      </c>
      <c r="J5223">
        <f>IF(B5223,IF(Dist="Normal",DistA+DistB*I5223,DistA+(DistB-DistA)*NORMSDIST(I5223)),"")</f>
        <v/>
      </c>
      <c r="K5223">
        <f>IF(B5223,INDEX(MineScale,C5223),"")</f>
        <v/>
      </c>
      <c r="L5223">
        <f>IF(B5223,INDEX(Dow,1,WEEKDAY(E5223,2)),"")</f>
        <v/>
      </c>
      <c r="M5223">
        <f>IF(B5223,(1+Trend)^D5223,"")</f>
        <v/>
      </c>
      <c r="N5223">
        <f>IF(B5223,EXP(SUMPRODUCT(LN(1+(EvEff-1)*INDEX(Affected,0,C5223)*EXP(-((E5223-EvCenter)^2)/(2*EvSigma^2))))),"")</f>
        <v/>
      </c>
      <c r="O5223">
        <f>IF(B5223,ROUND(MAX(0,J5223*K5223*L5223*M5223*N5223),2),"")</f>
        <v/>
      </c>
    </row>
    <row r="5224">
      <c r="A5224" t="n">
        <v>5223</v>
      </c>
      <c r="B5224">
        <f>A5224&lt;=MineCount*Days</f>
        <v/>
      </c>
      <c r="C5224">
        <f>IF(B5224,INT((A5224-1)/Days)+1,"")</f>
        <v/>
      </c>
      <c r="D5224">
        <f>IF(B5224,MOD(A5224-1,Days),"")</f>
        <v/>
      </c>
      <c r="E5224" s="16">
        <f>IF(B5224,StartDate+D5224,"")</f>
        <v/>
      </c>
      <c r="F5224">
        <f>IF(B5224,MAX(MOD(SIN(Seed*0.1373+C5224*12.9898+D5224*78.233)*43758.5453,1),1E-9),"")</f>
        <v/>
      </c>
      <c r="G5224">
        <f>IF(B5224,MOD(SIN(Seed*0.5917+C5224*39.3468+D5224*11.135)*24634.6345,1),"")</f>
        <v/>
      </c>
      <c r="H5224">
        <f>IF(B5224,SQRT(-2*LN(F5224))*COS(2*PI()*G5224),"")</f>
        <v/>
      </c>
      <c r="I5224">
        <f>IF(B5224,IF(D5224=0,H5224,Rho*I5223+SQRT(1-Rho^2)*H5224),"")</f>
        <v/>
      </c>
      <c r="J5224">
        <f>IF(B5224,IF(Dist="Normal",DistA+DistB*I5224,DistA+(DistB-DistA)*NORMSDIST(I5224)),"")</f>
        <v/>
      </c>
      <c r="K5224">
        <f>IF(B5224,INDEX(MineScale,C5224),"")</f>
        <v/>
      </c>
      <c r="L5224">
        <f>IF(B5224,INDEX(Dow,1,WEEKDAY(E5224,2)),"")</f>
        <v/>
      </c>
      <c r="M5224">
        <f>IF(B5224,(1+Trend)^D5224,"")</f>
        <v/>
      </c>
      <c r="N5224">
        <f>IF(B5224,EXP(SUMPRODUCT(LN(1+(EvEff-1)*INDEX(Affected,0,C5224)*EXP(-((E5224-EvCenter)^2)/(2*EvSigma^2))))),"")</f>
        <v/>
      </c>
      <c r="O5224">
        <f>IF(B5224,ROUND(MAX(0,J5224*K5224*L5224*M5224*N5224),2),"")</f>
        <v/>
      </c>
    </row>
    <row r="5225">
      <c r="A5225" t="n">
        <v>5224</v>
      </c>
      <c r="B5225">
        <f>A5225&lt;=MineCount*Days</f>
        <v/>
      </c>
      <c r="C5225">
        <f>IF(B5225,INT((A5225-1)/Days)+1,"")</f>
        <v/>
      </c>
      <c r="D5225">
        <f>IF(B5225,MOD(A5225-1,Days),"")</f>
        <v/>
      </c>
      <c r="E5225" s="16">
        <f>IF(B5225,StartDate+D5225,"")</f>
        <v/>
      </c>
      <c r="F5225">
        <f>IF(B5225,MAX(MOD(SIN(Seed*0.1373+C5225*12.9898+D5225*78.233)*43758.5453,1),1E-9),"")</f>
        <v/>
      </c>
      <c r="G5225">
        <f>IF(B5225,MOD(SIN(Seed*0.5917+C5225*39.3468+D5225*11.135)*24634.6345,1),"")</f>
        <v/>
      </c>
      <c r="H5225">
        <f>IF(B5225,SQRT(-2*LN(F5225))*COS(2*PI()*G5225),"")</f>
        <v/>
      </c>
      <c r="I5225">
        <f>IF(B5225,IF(D5225=0,H5225,Rho*I5224+SQRT(1-Rho^2)*H5225),"")</f>
        <v/>
      </c>
      <c r="J5225">
        <f>IF(B5225,IF(Dist="Normal",DistA+DistB*I5225,DistA+(DistB-DistA)*NORMSDIST(I5225)),"")</f>
        <v/>
      </c>
      <c r="K5225">
        <f>IF(B5225,INDEX(MineScale,C5225),"")</f>
        <v/>
      </c>
      <c r="L5225">
        <f>IF(B5225,INDEX(Dow,1,WEEKDAY(E5225,2)),"")</f>
        <v/>
      </c>
      <c r="M5225">
        <f>IF(B5225,(1+Trend)^D5225,"")</f>
        <v/>
      </c>
      <c r="N5225">
        <f>IF(B5225,EXP(SUMPRODUCT(LN(1+(EvEff-1)*INDEX(Affected,0,C5225)*EXP(-((E5225-EvCenter)^2)/(2*EvSigma^2))))),"")</f>
        <v/>
      </c>
      <c r="O5225">
        <f>IF(B5225,ROUND(MAX(0,J5225*K5225*L5225*M5225*N5225),2),"")</f>
        <v/>
      </c>
    </row>
    <row r="5226">
      <c r="A5226" t="n">
        <v>5225</v>
      </c>
      <c r="B5226">
        <f>A5226&lt;=MineCount*Days</f>
        <v/>
      </c>
      <c r="C5226">
        <f>IF(B5226,INT((A5226-1)/Days)+1,"")</f>
        <v/>
      </c>
      <c r="D5226">
        <f>IF(B5226,MOD(A5226-1,Days),"")</f>
        <v/>
      </c>
      <c r="E5226" s="16">
        <f>IF(B5226,StartDate+D5226,"")</f>
        <v/>
      </c>
      <c r="F5226">
        <f>IF(B5226,MAX(MOD(SIN(Seed*0.1373+C5226*12.9898+D5226*78.233)*43758.5453,1),1E-9),"")</f>
        <v/>
      </c>
      <c r="G5226">
        <f>IF(B5226,MOD(SIN(Seed*0.5917+C5226*39.3468+D5226*11.135)*24634.6345,1),"")</f>
        <v/>
      </c>
      <c r="H5226">
        <f>IF(B5226,SQRT(-2*LN(F5226))*COS(2*PI()*G5226),"")</f>
        <v/>
      </c>
      <c r="I5226">
        <f>IF(B5226,IF(D5226=0,H5226,Rho*I5225+SQRT(1-Rho^2)*H5226),"")</f>
        <v/>
      </c>
      <c r="J5226">
        <f>IF(B5226,IF(Dist="Normal",DistA+DistB*I5226,DistA+(DistB-DistA)*NORMSDIST(I5226)),"")</f>
        <v/>
      </c>
      <c r="K5226">
        <f>IF(B5226,INDEX(MineScale,C5226),"")</f>
        <v/>
      </c>
      <c r="L5226">
        <f>IF(B5226,INDEX(Dow,1,WEEKDAY(E5226,2)),"")</f>
        <v/>
      </c>
      <c r="M5226">
        <f>IF(B5226,(1+Trend)^D5226,"")</f>
        <v/>
      </c>
      <c r="N5226">
        <f>IF(B5226,EXP(SUMPRODUCT(LN(1+(EvEff-1)*INDEX(Affected,0,C5226)*EXP(-((E5226-EvCenter)^2)/(2*EvSigma^2))))),"")</f>
        <v/>
      </c>
      <c r="O5226">
        <f>IF(B5226,ROUND(MAX(0,J5226*K5226*L5226*M5226*N5226),2),"")</f>
        <v/>
      </c>
    </row>
    <row r="5227">
      <c r="A5227" t="n">
        <v>5226</v>
      </c>
      <c r="B5227">
        <f>A5227&lt;=MineCount*Days</f>
        <v/>
      </c>
      <c r="C5227">
        <f>IF(B5227,INT((A5227-1)/Days)+1,"")</f>
        <v/>
      </c>
      <c r="D5227">
        <f>IF(B5227,MOD(A5227-1,Days),"")</f>
        <v/>
      </c>
      <c r="E5227" s="16">
        <f>IF(B5227,StartDate+D5227,"")</f>
        <v/>
      </c>
      <c r="F5227">
        <f>IF(B5227,MAX(MOD(SIN(Seed*0.1373+C5227*12.9898+D5227*78.233)*43758.5453,1),1E-9),"")</f>
        <v/>
      </c>
      <c r="G5227">
        <f>IF(B5227,MOD(SIN(Seed*0.5917+C5227*39.3468+D5227*11.135)*24634.6345,1),"")</f>
        <v/>
      </c>
      <c r="H5227">
        <f>IF(B5227,SQRT(-2*LN(F5227))*COS(2*PI()*G5227),"")</f>
        <v/>
      </c>
      <c r="I5227">
        <f>IF(B5227,IF(D5227=0,H5227,Rho*I5226+SQRT(1-Rho^2)*H5227),"")</f>
        <v/>
      </c>
      <c r="J5227">
        <f>IF(B5227,IF(Dist="Normal",DistA+DistB*I5227,DistA+(DistB-DistA)*NORMSDIST(I5227)),"")</f>
        <v/>
      </c>
      <c r="K5227">
        <f>IF(B5227,INDEX(MineScale,C5227),"")</f>
        <v/>
      </c>
      <c r="L5227">
        <f>IF(B5227,INDEX(Dow,1,WEEKDAY(E5227,2)),"")</f>
        <v/>
      </c>
      <c r="M5227">
        <f>IF(B5227,(1+Trend)^D5227,"")</f>
        <v/>
      </c>
      <c r="N5227">
        <f>IF(B5227,EXP(SUMPRODUCT(LN(1+(EvEff-1)*INDEX(Affected,0,C5227)*EXP(-((E5227-EvCenter)^2)/(2*EvSigma^2))))),"")</f>
        <v/>
      </c>
      <c r="O5227">
        <f>IF(B5227,ROUND(MAX(0,J5227*K5227*L5227*M5227*N5227),2),"")</f>
        <v/>
      </c>
    </row>
    <row r="5228">
      <c r="A5228" t="n">
        <v>5227</v>
      </c>
      <c r="B5228">
        <f>A5228&lt;=MineCount*Days</f>
        <v/>
      </c>
      <c r="C5228">
        <f>IF(B5228,INT((A5228-1)/Days)+1,"")</f>
        <v/>
      </c>
      <c r="D5228">
        <f>IF(B5228,MOD(A5228-1,Days),"")</f>
        <v/>
      </c>
      <c r="E5228" s="16">
        <f>IF(B5228,StartDate+D5228,"")</f>
        <v/>
      </c>
      <c r="F5228">
        <f>IF(B5228,MAX(MOD(SIN(Seed*0.1373+C5228*12.9898+D5228*78.233)*43758.5453,1),1E-9),"")</f>
        <v/>
      </c>
      <c r="G5228">
        <f>IF(B5228,MOD(SIN(Seed*0.5917+C5228*39.3468+D5228*11.135)*24634.6345,1),"")</f>
        <v/>
      </c>
      <c r="H5228">
        <f>IF(B5228,SQRT(-2*LN(F5228))*COS(2*PI()*G5228),"")</f>
        <v/>
      </c>
      <c r="I5228">
        <f>IF(B5228,IF(D5228=0,H5228,Rho*I5227+SQRT(1-Rho^2)*H5228),"")</f>
        <v/>
      </c>
      <c r="J5228">
        <f>IF(B5228,IF(Dist="Normal",DistA+DistB*I5228,DistA+(DistB-DistA)*NORMSDIST(I5228)),"")</f>
        <v/>
      </c>
      <c r="K5228">
        <f>IF(B5228,INDEX(MineScale,C5228),"")</f>
        <v/>
      </c>
      <c r="L5228">
        <f>IF(B5228,INDEX(Dow,1,WEEKDAY(E5228,2)),"")</f>
        <v/>
      </c>
      <c r="M5228">
        <f>IF(B5228,(1+Trend)^D5228,"")</f>
        <v/>
      </c>
      <c r="N5228">
        <f>IF(B5228,EXP(SUMPRODUCT(LN(1+(EvEff-1)*INDEX(Affected,0,C5228)*EXP(-((E5228-EvCenter)^2)/(2*EvSigma^2))))),"")</f>
        <v/>
      </c>
      <c r="O5228">
        <f>IF(B5228,ROUND(MAX(0,J5228*K5228*L5228*M5228*N5228),2),"")</f>
        <v/>
      </c>
    </row>
    <row r="5229">
      <c r="A5229" t="n">
        <v>5228</v>
      </c>
      <c r="B5229">
        <f>A5229&lt;=MineCount*Days</f>
        <v/>
      </c>
      <c r="C5229">
        <f>IF(B5229,INT((A5229-1)/Days)+1,"")</f>
        <v/>
      </c>
      <c r="D5229">
        <f>IF(B5229,MOD(A5229-1,Days),"")</f>
        <v/>
      </c>
      <c r="E5229" s="16">
        <f>IF(B5229,StartDate+D5229,"")</f>
        <v/>
      </c>
      <c r="F5229">
        <f>IF(B5229,MAX(MOD(SIN(Seed*0.1373+C5229*12.9898+D5229*78.233)*43758.5453,1),1E-9),"")</f>
        <v/>
      </c>
      <c r="G5229">
        <f>IF(B5229,MOD(SIN(Seed*0.5917+C5229*39.3468+D5229*11.135)*24634.6345,1),"")</f>
        <v/>
      </c>
      <c r="H5229">
        <f>IF(B5229,SQRT(-2*LN(F5229))*COS(2*PI()*G5229),"")</f>
        <v/>
      </c>
      <c r="I5229">
        <f>IF(B5229,IF(D5229=0,H5229,Rho*I5228+SQRT(1-Rho^2)*H5229),"")</f>
        <v/>
      </c>
      <c r="J5229">
        <f>IF(B5229,IF(Dist="Normal",DistA+DistB*I5229,DistA+(DistB-DistA)*NORMSDIST(I5229)),"")</f>
        <v/>
      </c>
      <c r="K5229">
        <f>IF(B5229,INDEX(MineScale,C5229),"")</f>
        <v/>
      </c>
      <c r="L5229">
        <f>IF(B5229,INDEX(Dow,1,WEEKDAY(E5229,2)),"")</f>
        <v/>
      </c>
      <c r="M5229">
        <f>IF(B5229,(1+Trend)^D5229,"")</f>
        <v/>
      </c>
      <c r="N5229">
        <f>IF(B5229,EXP(SUMPRODUCT(LN(1+(EvEff-1)*INDEX(Affected,0,C5229)*EXP(-((E5229-EvCenter)^2)/(2*EvSigma^2))))),"")</f>
        <v/>
      </c>
      <c r="O5229">
        <f>IF(B5229,ROUND(MAX(0,J5229*K5229*L5229*M5229*N5229),2),"")</f>
        <v/>
      </c>
    </row>
    <row r="5230">
      <c r="A5230" t="n">
        <v>5229</v>
      </c>
      <c r="B5230">
        <f>A5230&lt;=MineCount*Days</f>
        <v/>
      </c>
      <c r="C5230">
        <f>IF(B5230,INT((A5230-1)/Days)+1,"")</f>
        <v/>
      </c>
      <c r="D5230">
        <f>IF(B5230,MOD(A5230-1,Days),"")</f>
        <v/>
      </c>
      <c r="E5230" s="16">
        <f>IF(B5230,StartDate+D5230,"")</f>
        <v/>
      </c>
      <c r="F5230">
        <f>IF(B5230,MAX(MOD(SIN(Seed*0.1373+C5230*12.9898+D5230*78.233)*43758.5453,1),1E-9),"")</f>
        <v/>
      </c>
      <c r="G5230">
        <f>IF(B5230,MOD(SIN(Seed*0.5917+C5230*39.3468+D5230*11.135)*24634.6345,1),"")</f>
        <v/>
      </c>
      <c r="H5230">
        <f>IF(B5230,SQRT(-2*LN(F5230))*COS(2*PI()*G5230),"")</f>
        <v/>
      </c>
      <c r="I5230">
        <f>IF(B5230,IF(D5230=0,H5230,Rho*I5229+SQRT(1-Rho^2)*H5230),"")</f>
        <v/>
      </c>
      <c r="J5230">
        <f>IF(B5230,IF(Dist="Normal",DistA+DistB*I5230,DistA+(DistB-DistA)*NORMSDIST(I5230)),"")</f>
        <v/>
      </c>
      <c r="K5230">
        <f>IF(B5230,INDEX(MineScale,C5230),"")</f>
        <v/>
      </c>
      <c r="L5230">
        <f>IF(B5230,INDEX(Dow,1,WEEKDAY(E5230,2)),"")</f>
        <v/>
      </c>
      <c r="M5230">
        <f>IF(B5230,(1+Trend)^D5230,"")</f>
        <v/>
      </c>
      <c r="N5230">
        <f>IF(B5230,EXP(SUMPRODUCT(LN(1+(EvEff-1)*INDEX(Affected,0,C5230)*EXP(-((E5230-EvCenter)^2)/(2*EvSigma^2))))),"")</f>
        <v/>
      </c>
      <c r="O5230">
        <f>IF(B5230,ROUND(MAX(0,J5230*K5230*L5230*M5230*N5230),2),"")</f>
        <v/>
      </c>
    </row>
    <row r="5231">
      <c r="A5231" t="n">
        <v>5230</v>
      </c>
      <c r="B5231">
        <f>A5231&lt;=MineCount*Days</f>
        <v/>
      </c>
      <c r="C5231">
        <f>IF(B5231,INT((A5231-1)/Days)+1,"")</f>
        <v/>
      </c>
      <c r="D5231">
        <f>IF(B5231,MOD(A5231-1,Days),"")</f>
        <v/>
      </c>
      <c r="E5231" s="16">
        <f>IF(B5231,StartDate+D5231,"")</f>
        <v/>
      </c>
      <c r="F5231">
        <f>IF(B5231,MAX(MOD(SIN(Seed*0.1373+C5231*12.9898+D5231*78.233)*43758.5453,1),1E-9),"")</f>
        <v/>
      </c>
      <c r="G5231">
        <f>IF(B5231,MOD(SIN(Seed*0.5917+C5231*39.3468+D5231*11.135)*24634.6345,1),"")</f>
        <v/>
      </c>
      <c r="H5231">
        <f>IF(B5231,SQRT(-2*LN(F5231))*COS(2*PI()*G5231),"")</f>
        <v/>
      </c>
      <c r="I5231">
        <f>IF(B5231,IF(D5231=0,H5231,Rho*I5230+SQRT(1-Rho^2)*H5231),"")</f>
        <v/>
      </c>
      <c r="J5231">
        <f>IF(B5231,IF(Dist="Normal",DistA+DistB*I5231,DistA+(DistB-DistA)*NORMSDIST(I5231)),"")</f>
        <v/>
      </c>
      <c r="K5231">
        <f>IF(B5231,INDEX(MineScale,C5231),"")</f>
        <v/>
      </c>
      <c r="L5231">
        <f>IF(B5231,INDEX(Dow,1,WEEKDAY(E5231,2)),"")</f>
        <v/>
      </c>
      <c r="M5231">
        <f>IF(B5231,(1+Trend)^D5231,"")</f>
        <v/>
      </c>
      <c r="N5231">
        <f>IF(B5231,EXP(SUMPRODUCT(LN(1+(EvEff-1)*INDEX(Affected,0,C5231)*EXP(-((E5231-EvCenter)^2)/(2*EvSigma^2))))),"")</f>
        <v/>
      </c>
      <c r="O5231">
        <f>IF(B5231,ROUND(MAX(0,J5231*K5231*L5231*M5231*N5231),2),"")</f>
        <v/>
      </c>
    </row>
    <row r="5232">
      <c r="A5232" t="n">
        <v>5231</v>
      </c>
      <c r="B5232">
        <f>A5232&lt;=MineCount*Days</f>
        <v/>
      </c>
      <c r="C5232">
        <f>IF(B5232,INT((A5232-1)/Days)+1,"")</f>
        <v/>
      </c>
      <c r="D5232">
        <f>IF(B5232,MOD(A5232-1,Days),"")</f>
        <v/>
      </c>
      <c r="E5232" s="16">
        <f>IF(B5232,StartDate+D5232,"")</f>
        <v/>
      </c>
      <c r="F5232">
        <f>IF(B5232,MAX(MOD(SIN(Seed*0.1373+C5232*12.9898+D5232*78.233)*43758.5453,1),1E-9),"")</f>
        <v/>
      </c>
      <c r="G5232">
        <f>IF(B5232,MOD(SIN(Seed*0.5917+C5232*39.3468+D5232*11.135)*24634.6345,1),"")</f>
        <v/>
      </c>
      <c r="H5232">
        <f>IF(B5232,SQRT(-2*LN(F5232))*COS(2*PI()*G5232),"")</f>
        <v/>
      </c>
      <c r="I5232">
        <f>IF(B5232,IF(D5232=0,H5232,Rho*I5231+SQRT(1-Rho^2)*H5232),"")</f>
        <v/>
      </c>
      <c r="J5232">
        <f>IF(B5232,IF(Dist="Normal",DistA+DistB*I5232,DistA+(DistB-DistA)*NORMSDIST(I5232)),"")</f>
        <v/>
      </c>
      <c r="K5232">
        <f>IF(B5232,INDEX(MineScale,C5232),"")</f>
        <v/>
      </c>
      <c r="L5232">
        <f>IF(B5232,INDEX(Dow,1,WEEKDAY(E5232,2)),"")</f>
        <v/>
      </c>
      <c r="M5232">
        <f>IF(B5232,(1+Trend)^D5232,"")</f>
        <v/>
      </c>
      <c r="N5232">
        <f>IF(B5232,EXP(SUMPRODUCT(LN(1+(EvEff-1)*INDEX(Affected,0,C5232)*EXP(-((E5232-EvCenter)^2)/(2*EvSigma^2))))),"")</f>
        <v/>
      </c>
      <c r="O5232">
        <f>IF(B5232,ROUND(MAX(0,J5232*K5232*L5232*M5232*N5232),2),"")</f>
        <v/>
      </c>
    </row>
    <row r="5233">
      <c r="A5233" t="n">
        <v>5232</v>
      </c>
      <c r="B5233">
        <f>A5233&lt;=MineCount*Days</f>
        <v/>
      </c>
      <c r="C5233">
        <f>IF(B5233,INT((A5233-1)/Days)+1,"")</f>
        <v/>
      </c>
      <c r="D5233">
        <f>IF(B5233,MOD(A5233-1,Days),"")</f>
        <v/>
      </c>
      <c r="E5233" s="16">
        <f>IF(B5233,StartDate+D5233,"")</f>
        <v/>
      </c>
      <c r="F5233">
        <f>IF(B5233,MAX(MOD(SIN(Seed*0.1373+C5233*12.9898+D5233*78.233)*43758.5453,1),1E-9),"")</f>
        <v/>
      </c>
      <c r="G5233">
        <f>IF(B5233,MOD(SIN(Seed*0.5917+C5233*39.3468+D5233*11.135)*24634.6345,1),"")</f>
        <v/>
      </c>
      <c r="H5233">
        <f>IF(B5233,SQRT(-2*LN(F5233))*COS(2*PI()*G5233),"")</f>
        <v/>
      </c>
      <c r="I5233">
        <f>IF(B5233,IF(D5233=0,H5233,Rho*I5232+SQRT(1-Rho^2)*H5233),"")</f>
        <v/>
      </c>
      <c r="J5233">
        <f>IF(B5233,IF(Dist="Normal",DistA+DistB*I5233,DistA+(DistB-DistA)*NORMSDIST(I5233)),"")</f>
        <v/>
      </c>
      <c r="K5233">
        <f>IF(B5233,INDEX(MineScale,C5233),"")</f>
        <v/>
      </c>
      <c r="L5233">
        <f>IF(B5233,INDEX(Dow,1,WEEKDAY(E5233,2)),"")</f>
        <v/>
      </c>
      <c r="M5233">
        <f>IF(B5233,(1+Trend)^D5233,"")</f>
        <v/>
      </c>
      <c r="N5233">
        <f>IF(B5233,EXP(SUMPRODUCT(LN(1+(EvEff-1)*INDEX(Affected,0,C5233)*EXP(-((E5233-EvCenter)^2)/(2*EvSigma^2))))),"")</f>
        <v/>
      </c>
      <c r="O5233">
        <f>IF(B5233,ROUND(MAX(0,J5233*K5233*L5233*M5233*N5233),2),"")</f>
        <v/>
      </c>
    </row>
    <row r="5234">
      <c r="A5234" t="n">
        <v>5233</v>
      </c>
      <c r="B5234">
        <f>A5234&lt;=MineCount*Days</f>
        <v/>
      </c>
      <c r="C5234">
        <f>IF(B5234,INT((A5234-1)/Days)+1,"")</f>
        <v/>
      </c>
      <c r="D5234">
        <f>IF(B5234,MOD(A5234-1,Days),"")</f>
        <v/>
      </c>
      <c r="E5234" s="16">
        <f>IF(B5234,StartDate+D5234,"")</f>
        <v/>
      </c>
      <c r="F5234">
        <f>IF(B5234,MAX(MOD(SIN(Seed*0.1373+C5234*12.9898+D5234*78.233)*43758.5453,1),1E-9),"")</f>
        <v/>
      </c>
      <c r="G5234">
        <f>IF(B5234,MOD(SIN(Seed*0.5917+C5234*39.3468+D5234*11.135)*24634.6345,1),"")</f>
        <v/>
      </c>
      <c r="H5234">
        <f>IF(B5234,SQRT(-2*LN(F5234))*COS(2*PI()*G5234),"")</f>
        <v/>
      </c>
      <c r="I5234">
        <f>IF(B5234,IF(D5234=0,H5234,Rho*I5233+SQRT(1-Rho^2)*H5234),"")</f>
        <v/>
      </c>
      <c r="J5234">
        <f>IF(B5234,IF(Dist="Normal",DistA+DistB*I5234,DistA+(DistB-DistA)*NORMSDIST(I5234)),"")</f>
        <v/>
      </c>
      <c r="K5234">
        <f>IF(B5234,INDEX(MineScale,C5234),"")</f>
        <v/>
      </c>
      <c r="L5234">
        <f>IF(B5234,INDEX(Dow,1,WEEKDAY(E5234,2)),"")</f>
        <v/>
      </c>
      <c r="M5234">
        <f>IF(B5234,(1+Trend)^D5234,"")</f>
        <v/>
      </c>
      <c r="N5234">
        <f>IF(B5234,EXP(SUMPRODUCT(LN(1+(EvEff-1)*INDEX(Affected,0,C5234)*EXP(-((E5234-EvCenter)^2)/(2*EvSigma^2))))),"")</f>
        <v/>
      </c>
      <c r="O5234">
        <f>IF(B5234,ROUND(MAX(0,J5234*K5234*L5234*M5234*N5234),2),"")</f>
        <v/>
      </c>
    </row>
    <row r="5235">
      <c r="A5235" t="n">
        <v>5234</v>
      </c>
      <c r="B5235">
        <f>A5235&lt;=MineCount*Days</f>
        <v/>
      </c>
      <c r="C5235">
        <f>IF(B5235,INT((A5235-1)/Days)+1,"")</f>
        <v/>
      </c>
      <c r="D5235">
        <f>IF(B5235,MOD(A5235-1,Days),"")</f>
        <v/>
      </c>
      <c r="E5235" s="16">
        <f>IF(B5235,StartDate+D5235,"")</f>
        <v/>
      </c>
      <c r="F5235">
        <f>IF(B5235,MAX(MOD(SIN(Seed*0.1373+C5235*12.9898+D5235*78.233)*43758.5453,1),1E-9),"")</f>
        <v/>
      </c>
      <c r="G5235">
        <f>IF(B5235,MOD(SIN(Seed*0.5917+C5235*39.3468+D5235*11.135)*24634.6345,1),"")</f>
        <v/>
      </c>
      <c r="H5235">
        <f>IF(B5235,SQRT(-2*LN(F5235))*COS(2*PI()*G5235),"")</f>
        <v/>
      </c>
      <c r="I5235">
        <f>IF(B5235,IF(D5235=0,H5235,Rho*I5234+SQRT(1-Rho^2)*H5235),"")</f>
        <v/>
      </c>
      <c r="J5235">
        <f>IF(B5235,IF(Dist="Normal",DistA+DistB*I5235,DistA+(DistB-DistA)*NORMSDIST(I5235)),"")</f>
        <v/>
      </c>
      <c r="K5235">
        <f>IF(B5235,INDEX(MineScale,C5235),"")</f>
        <v/>
      </c>
      <c r="L5235">
        <f>IF(B5235,INDEX(Dow,1,WEEKDAY(E5235,2)),"")</f>
        <v/>
      </c>
      <c r="M5235">
        <f>IF(B5235,(1+Trend)^D5235,"")</f>
        <v/>
      </c>
      <c r="N5235">
        <f>IF(B5235,EXP(SUMPRODUCT(LN(1+(EvEff-1)*INDEX(Affected,0,C5235)*EXP(-((E5235-EvCenter)^2)/(2*EvSigma^2))))),"")</f>
        <v/>
      </c>
      <c r="O5235">
        <f>IF(B5235,ROUND(MAX(0,J5235*K5235*L5235*M5235*N5235),2),"")</f>
        <v/>
      </c>
    </row>
    <row r="5236">
      <c r="A5236" t="n">
        <v>5235</v>
      </c>
      <c r="B5236">
        <f>A5236&lt;=MineCount*Days</f>
        <v/>
      </c>
      <c r="C5236">
        <f>IF(B5236,INT((A5236-1)/Days)+1,"")</f>
        <v/>
      </c>
      <c r="D5236">
        <f>IF(B5236,MOD(A5236-1,Days),"")</f>
        <v/>
      </c>
      <c r="E5236" s="16">
        <f>IF(B5236,StartDate+D5236,"")</f>
        <v/>
      </c>
      <c r="F5236">
        <f>IF(B5236,MAX(MOD(SIN(Seed*0.1373+C5236*12.9898+D5236*78.233)*43758.5453,1),1E-9),"")</f>
        <v/>
      </c>
      <c r="G5236">
        <f>IF(B5236,MOD(SIN(Seed*0.5917+C5236*39.3468+D5236*11.135)*24634.6345,1),"")</f>
        <v/>
      </c>
      <c r="H5236">
        <f>IF(B5236,SQRT(-2*LN(F5236))*COS(2*PI()*G5236),"")</f>
        <v/>
      </c>
      <c r="I5236">
        <f>IF(B5236,IF(D5236=0,H5236,Rho*I5235+SQRT(1-Rho^2)*H5236),"")</f>
        <v/>
      </c>
      <c r="J5236">
        <f>IF(B5236,IF(Dist="Normal",DistA+DistB*I5236,DistA+(DistB-DistA)*NORMSDIST(I5236)),"")</f>
        <v/>
      </c>
      <c r="K5236">
        <f>IF(B5236,INDEX(MineScale,C5236),"")</f>
        <v/>
      </c>
      <c r="L5236">
        <f>IF(B5236,INDEX(Dow,1,WEEKDAY(E5236,2)),"")</f>
        <v/>
      </c>
      <c r="M5236">
        <f>IF(B5236,(1+Trend)^D5236,"")</f>
        <v/>
      </c>
      <c r="N5236">
        <f>IF(B5236,EXP(SUMPRODUCT(LN(1+(EvEff-1)*INDEX(Affected,0,C5236)*EXP(-((E5236-EvCenter)^2)/(2*EvSigma^2))))),"")</f>
        <v/>
      </c>
      <c r="O5236">
        <f>IF(B5236,ROUND(MAX(0,J5236*K5236*L5236*M5236*N5236),2),"")</f>
        <v/>
      </c>
    </row>
    <row r="5237">
      <c r="A5237" t="n">
        <v>5236</v>
      </c>
      <c r="B5237">
        <f>A5237&lt;=MineCount*Days</f>
        <v/>
      </c>
      <c r="C5237">
        <f>IF(B5237,INT((A5237-1)/Days)+1,"")</f>
        <v/>
      </c>
      <c r="D5237">
        <f>IF(B5237,MOD(A5237-1,Days),"")</f>
        <v/>
      </c>
      <c r="E5237" s="16">
        <f>IF(B5237,StartDate+D5237,"")</f>
        <v/>
      </c>
      <c r="F5237">
        <f>IF(B5237,MAX(MOD(SIN(Seed*0.1373+C5237*12.9898+D5237*78.233)*43758.5453,1),1E-9),"")</f>
        <v/>
      </c>
      <c r="G5237">
        <f>IF(B5237,MOD(SIN(Seed*0.5917+C5237*39.3468+D5237*11.135)*24634.6345,1),"")</f>
        <v/>
      </c>
      <c r="H5237">
        <f>IF(B5237,SQRT(-2*LN(F5237))*COS(2*PI()*G5237),"")</f>
        <v/>
      </c>
      <c r="I5237">
        <f>IF(B5237,IF(D5237=0,H5237,Rho*I5236+SQRT(1-Rho^2)*H5237),"")</f>
        <v/>
      </c>
      <c r="J5237">
        <f>IF(B5237,IF(Dist="Normal",DistA+DistB*I5237,DistA+(DistB-DistA)*NORMSDIST(I5237)),"")</f>
        <v/>
      </c>
      <c r="K5237">
        <f>IF(B5237,INDEX(MineScale,C5237),"")</f>
        <v/>
      </c>
      <c r="L5237">
        <f>IF(B5237,INDEX(Dow,1,WEEKDAY(E5237,2)),"")</f>
        <v/>
      </c>
      <c r="M5237">
        <f>IF(B5237,(1+Trend)^D5237,"")</f>
        <v/>
      </c>
      <c r="N5237">
        <f>IF(B5237,EXP(SUMPRODUCT(LN(1+(EvEff-1)*INDEX(Affected,0,C5237)*EXP(-((E5237-EvCenter)^2)/(2*EvSigma^2))))),"")</f>
        <v/>
      </c>
      <c r="O5237">
        <f>IF(B5237,ROUND(MAX(0,J5237*K5237*L5237*M5237*N5237),2),"")</f>
        <v/>
      </c>
    </row>
    <row r="5238">
      <c r="A5238" t="n">
        <v>5237</v>
      </c>
      <c r="B5238">
        <f>A5238&lt;=MineCount*Days</f>
        <v/>
      </c>
      <c r="C5238">
        <f>IF(B5238,INT((A5238-1)/Days)+1,"")</f>
        <v/>
      </c>
      <c r="D5238">
        <f>IF(B5238,MOD(A5238-1,Days),"")</f>
        <v/>
      </c>
      <c r="E5238" s="16">
        <f>IF(B5238,StartDate+D5238,"")</f>
        <v/>
      </c>
      <c r="F5238">
        <f>IF(B5238,MAX(MOD(SIN(Seed*0.1373+C5238*12.9898+D5238*78.233)*43758.5453,1),1E-9),"")</f>
        <v/>
      </c>
      <c r="G5238">
        <f>IF(B5238,MOD(SIN(Seed*0.5917+C5238*39.3468+D5238*11.135)*24634.6345,1),"")</f>
        <v/>
      </c>
      <c r="H5238">
        <f>IF(B5238,SQRT(-2*LN(F5238))*COS(2*PI()*G5238),"")</f>
        <v/>
      </c>
      <c r="I5238">
        <f>IF(B5238,IF(D5238=0,H5238,Rho*I5237+SQRT(1-Rho^2)*H5238),"")</f>
        <v/>
      </c>
      <c r="J5238">
        <f>IF(B5238,IF(Dist="Normal",DistA+DistB*I5238,DistA+(DistB-DistA)*NORMSDIST(I5238)),"")</f>
        <v/>
      </c>
      <c r="K5238">
        <f>IF(B5238,INDEX(MineScale,C5238),"")</f>
        <v/>
      </c>
      <c r="L5238">
        <f>IF(B5238,INDEX(Dow,1,WEEKDAY(E5238,2)),"")</f>
        <v/>
      </c>
      <c r="M5238">
        <f>IF(B5238,(1+Trend)^D5238,"")</f>
        <v/>
      </c>
      <c r="N5238">
        <f>IF(B5238,EXP(SUMPRODUCT(LN(1+(EvEff-1)*INDEX(Affected,0,C5238)*EXP(-((E5238-EvCenter)^2)/(2*EvSigma^2))))),"")</f>
        <v/>
      </c>
      <c r="O5238">
        <f>IF(B5238,ROUND(MAX(0,J5238*K5238*L5238*M5238*N5238),2),"")</f>
        <v/>
      </c>
    </row>
    <row r="5239">
      <c r="A5239" t="n">
        <v>5238</v>
      </c>
      <c r="B5239">
        <f>A5239&lt;=MineCount*Days</f>
        <v/>
      </c>
      <c r="C5239">
        <f>IF(B5239,INT((A5239-1)/Days)+1,"")</f>
        <v/>
      </c>
      <c r="D5239">
        <f>IF(B5239,MOD(A5239-1,Days),"")</f>
        <v/>
      </c>
      <c r="E5239" s="16">
        <f>IF(B5239,StartDate+D5239,"")</f>
        <v/>
      </c>
      <c r="F5239">
        <f>IF(B5239,MAX(MOD(SIN(Seed*0.1373+C5239*12.9898+D5239*78.233)*43758.5453,1),1E-9),"")</f>
        <v/>
      </c>
      <c r="G5239">
        <f>IF(B5239,MOD(SIN(Seed*0.5917+C5239*39.3468+D5239*11.135)*24634.6345,1),"")</f>
        <v/>
      </c>
      <c r="H5239">
        <f>IF(B5239,SQRT(-2*LN(F5239))*COS(2*PI()*G5239),"")</f>
        <v/>
      </c>
      <c r="I5239">
        <f>IF(B5239,IF(D5239=0,H5239,Rho*I5238+SQRT(1-Rho^2)*H5239),"")</f>
        <v/>
      </c>
      <c r="J5239">
        <f>IF(B5239,IF(Dist="Normal",DistA+DistB*I5239,DistA+(DistB-DistA)*NORMSDIST(I5239)),"")</f>
        <v/>
      </c>
      <c r="K5239">
        <f>IF(B5239,INDEX(MineScale,C5239),"")</f>
        <v/>
      </c>
      <c r="L5239">
        <f>IF(B5239,INDEX(Dow,1,WEEKDAY(E5239,2)),"")</f>
        <v/>
      </c>
      <c r="M5239">
        <f>IF(B5239,(1+Trend)^D5239,"")</f>
        <v/>
      </c>
      <c r="N5239">
        <f>IF(B5239,EXP(SUMPRODUCT(LN(1+(EvEff-1)*INDEX(Affected,0,C5239)*EXP(-((E5239-EvCenter)^2)/(2*EvSigma^2))))),"")</f>
        <v/>
      </c>
      <c r="O5239">
        <f>IF(B5239,ROUND(MAX(0,J5239*K5239*L5239*M5239*N5239),2),"")</f>
        <v/>
      </c>
    </row>
    <row r="5240">
      <c r="A5240" t="n">
        <v>5239</v>
      </c>
      <c r="B5240">
        <f>A5240&lt;=MineCount*Days</f>
        <v/>
      </c>
      <c r="C5240">
        <f>IF(B5240,INT((A5240-1)/Days)+1,"")</f>
        <v/>
      </c>
      <c r="D5240">
        <f>IF(B5240,MOD(A5240-1,Days),"")</f>
        <v/>
      </c>
      <c r="E5240" s="16">
        <f>IF(B5240,StartDate+D5240,"")</f>
        <v/>
      </c>
      <c r="F5240">
        <f>IF(B5240,MAX(MOD(SIN(Seed*0.1373+C5240*12.9898+D5240*78.233)*43758.5453,1),1E-9),"")</f>
        <v/>
      </c>
      <c r="G5240">
        <f>IF(B5240,MOD(SIN(Seed*0.5917+C5240*39.3468+D5240*11.135)*24634.6345,1),"")</f>
        <v/>
      </c>
      <c r="H5240">
        <f>IF(B5240,SQRT(-2*LN(F5240))*COS(2*PI()*G5240),"")</f>
        <v/>
      </c>
      <c r="I5240">
        <f>IF(B5240,IF(D5240=0,H5240,Rho*I5239+SQRT(1-Rho^2)*H5240),"")</f>
        <v/>
      </c>
      <c r="J5240">
        <f>IF(B5240,IF(Dist="Normal",DistA+DistB*I5240,DistA+(DistB-DistA)*NORMSDIST(I5240)),"")</f>
        <v/>
      </c>
      <c r="K5240">
        <f>IF(B5240,INDEX(MineScale,C5240),"")</f>
        <v/>
      </c>
      <c r="L5240">
        <f>IF(B5240,INDEX(Dow,1,WEEKDAY(E5240,2)),"")</f>
        <v/>
      </c>
      <c r="M5240">
        <f>IF(B5240,(1+Trend)^D5240,"")</f>
        <v/>
      </c>
      <c r="N5240">
        <f>IF(B5240,EXP(SUMPRODUCT(LN(1+(EvEff-1)*INDEX(Affected,0,C5240)*EXP(-((E5240-EvCenter)^2)/(2*EvSigma^2))))),"")</f>
        <v/>
      </c>
      <c r="O5240">
        <f>IF(B5240,ROUND(MAX(0,J5240*K5240*L5240*M5240*N5240),2),"")</f>
        <v/>
      </c>
    </row>
    <row r="5241">
      <c r="A5241" t="n">
        <v>5240</v>
      </c>
      <c r="B5241">
        <f>A5241&lt;=MineCount*Days</f>
        <v/>
      </c>
      <c r="C5241">
        <f>IF(B5241,INT((A5241-1)/Days)+1,"")</f>
        <v/>
      </c>
      <c r="D5241">
        <f>IF(B5241,MOD(A5241-1,Days),"")</f>
        <v/>
      </c>
      <c r="E5241" s="16">
        <f>IF(B5241,StartDate+D5241,"")</f>
        <v/>
      </c>
      <c r="F5241">
        <f>IF(B5241,MAX(MOD(SIN(Seed*0.1373+C5241*12.9898+D5241*78.233)*43758.5453,1),1E-9),"")</f>
        <v/>
      </c>
      <c r="G5241">
        <f>IF(B5241,MOD(SIN(Seed*0.5917+C5241*39.3468+D5241*11.135)*24634.6345,1),"")</f>
        <v/>
      </c>
      <c r="H5241">
        <f>IF(B5241,SQRT(-2*LN(F5241))*COS(2*PI()*G5241),"")</f>
        <v/>
      </c>
      <c r="I5241">
        <f>IF(B5241,IF(D5241=0,H5241,Rho*I5240+SQRT(1-Rho^2)*H5241),"")</f>
        <v/>
      </c>
      <c r="J5241">
        <f>IF(B5241,IF(Dist="Normal",DistA+DistB*I5241,DistA+(DistB-DistA)*NORMSDIST(I5241)),"")</f>
        <v/>
      </c>
      <c r="K5241">
        <f>IF(B5241,INDEX(MineScale,C5241),"")</f>
        <v/>
      </c>
      <c r="L5241">
        <f>IF(B5241,INDEX(Dow,1,WEEKDAY(E5241,2)),"")</f>
        <v/>
      </c>
      <c r="M5241">
        <f>IF(B5241,(1+Trend)^D5241,"")</f>
        <v/>
      </c>
      <c r="N5241">
        <f>IF(B5241,EXP(SUMPRODUCT(LN(1+(EvEff-1)*INDEX(Affected,0,C5241)*EXP(-((E5241-EvCenter)^2)/(2*EvSigma^2))))),"")</f>
        <v/>
      </c>
      <c r="O5241">
        <f>IF(B5241,ROUND(MAX(0,J5241*K5241*L5241*M5241*N5241),2),"")</f>
        <v/>
      </c>
    </row>
    <row r="5242">
      <c r="A5242" t="n">
        <v>5241</v>
      </c>
      <c r="B5242">
        <f>A5242&lt;=MineCount*Days</f>
        <v/>
      </c>
      <c r="C5242">
        <f>IF(B5242,INT((A5242-1)/Days)+1,"")</f>
        <v/>
      </c>
      <c r="D5242">
        <f>IF(B5242,MOD(A5242-1,Days),"")</f>
        <v/>
      </c>
      <c r="E5242" s="16">
        <f>IF(B5242,StartDate+D5242,"")</f>
        <v/>
      </c>
      <c r="F5242">
        <f>IF(B5242,MAX(MOD(SIN(Seed*0.1373+C5242*12.9898+D5242*78.233)*43758.5453,1),1E-9),"")</f>
        <v/>
      </c>
      <c r="G5242">
        <f>IF(B5242,MOD(SIN(Seed*0.5917+C5242*39.3468+D5242*11.135)*24634.6345,1),"")</f>
        <v/>
      </c>
      <c r="H5242">
        <f>IF(B5242,SQRT(-2*LN(F5242))*COS(2*PI()*G5242),"")</f>
        <v/>
      </c>
      <c r="I5242">
        <f>IF(B5242,IF(D5242=0,H5242,Rho*I5241+SQRT(1-Rho^2)*H5242),"")</f>
        <v/>
      </c>
      <c r="J5242">
        <f>IF(B5242,IF(Dist="Normal",DistA+DistB*I5242,DistA+(DistB-DistA)*NORMSDIST(I5242)),"")</f>
        <v/>
      </c>
      <c r="K5242">
        <f>IF(B5242,INDEX(MineScale,C5242),"")</f>
        <v/>
      </c>
      <c r="L5242">
        <f>IF(B5242,INDEX(Dow,1,WEEKDAY(E5242,2)),"")</f>
        <v/>
      </c>
      <c r="M5242">
        <f>IF(B5242,(1+Trend)^D5242,"")</f>
        <v/>
      </c>
      <c r="N5242">
        <f>IF(B5242,EXP(SUMPRODUCT(LN(1+(EvEff-1)*INDEX(Affected,0,C5242)*EXP(-((E5242-EvCenter)^2)/(2*EvSigma^2))))),"")</f>
        <v/>
      </c>
      <c r="O5242">
        <f>IF(B5242,ROUND(MAX(0,J5242*K5242*L5242*M5242*N5242),2),"")</f>
        <v/>
      </c>
    </row>
    <row r="5243">
      <c r="A5243" t="n">
        <v>5242</v>
      </c>
      <c r="B5243">
        <f>A5243&lt;=MineCount*Days</f>
        <v/>
      </c>
      <c r="C5243">
        <f>IF(B5243,INT((A5243-1)/Days)+1,"")</f>
        <v/>
      </c>
      <c r="D5243">
        <f>IF(B5243,MOD(A5243-1,Days),"")</f>
        <v/>
      </c>
      <c r="E5243" s="16">
        <f>IF(B5243,StartDate+D5243,"")</f>
        <v/>
      </c>
      <c r="F5243">
        <f>IF(B5243,MAX(MOD(SIN(Seed*0.1373+C5243*12.9898+D5243*78.233)*43758.5453,1),1E-9),"")</f>
        <v/>
      </c>
      <c r="G5243">
        <f>IF(B5243,MOD(SIN(Seed*0.5917+C5243*39.3468+D5243*11.135)*24634.6345,1),"")</f>
        <v/>
      </c>
      <c r="H5243">
        <f>IF(B5243,SQRT(-2*LN(F5243))*COS(2*PI()*G5243),"")</f>
        <v/>
      </c>
      <c r="I5243">
        <f>IF(B5243,IF(D5243=0,H5243,Rho*I5242+SQRT(1-Rho^2)*H5243),"")</f>
        <v/>
      </c>
      <c r="J5243">
        <f>IF(B5243,IF(Dist="Normal",DistA+DistB*I5243,DistA+(DistB-DistA)*NORMSDIST(I5243)),"")</f>
        <v/>
      </c>
      <c r="K5243">
        <f>IF(B5243,INDEX(MineScale,C5243),"")</f>
        <v/>
      </c>
      <c r="L5243">
        <f>IF(B5243,INDEX(Dow,1,WEEKDAY(E5243,2)),"")</f>
        <v/>
      </c>
      <c r="M5243">
        <f>IF(B5243,(1+Trend)^D5243,"")</f>
        <v/>
      </c>
      <c r="N5243">
        <f>IF(B5243,EXP(SUMPRODUCT(LN(1+(EvEff-1)*INDEX(Affected,0,C5243)*EXP(-((E5243-EvCenter)^2)/(2*EvSigma^2))))),"")</f>
        <v/>
      </c>
      <c r="O5243">
        <f>IF(B5243,ROUND(MAX(0,J5243*K5243*L5243*M5243*N5243),2),"")</f>
        <v/>
      </c>
    </row>
    <row r="5244">
      <c r="A5244" t="n">
        <v>5243</v>
      </c>
      <c r="B5244">
        <f>A5244&lt;=MineCount*Days</f>
        <v/>
      </c>
      <c r="C5244">
        <f>IF(B5244,INT((A5244-1)/Days)+1,"")</f>
        <v/>
      </c>
      <c r="D5244">
        <f>IF(B5244,MOD(A5244-1,Days),"")</f>
        <v/>
      </c>
      <c r="E5244" s="16">
        <f>IF(B5244,StartDate+D5244,"")</f>
        <v/>
      </c>
      <c r="F5244">
        <f>IF(B5244,MAX(MOD(SIN(Seed*0.1373+C5244*12.9898+D5244*78.233)*43758.5453,1),1E-9),"")</f>
        <v/>
      </c>
      <c r="G5244">
        <f>IF(B5244,MOD(SIN(Seed*0.5917+C5244*39.3468+D5244*11.135)*24634.6345,1),"")</f>
        <v/>
      </c>
      <c r="H5244">
        <f>IF(B5244,SQRT(-2*LN(F5244))*COS(2*PI()*G5244),"")</f>
        <v/>
      </c>
      <c r="I5244">
        <f>IF(B5244,IF(D5244=0,H5244,Rho*I5243+SQRT(1-Rho^2)*H5244),"")</f>
        <v/>
      </c>
      <c r="J5244">
        <f>IF(B5244,IF(Dist="Normal",DistA+DistB*I5244,DistA+(DistB-DistA)*NORMSDIST(I5244)),"")</f>
        <v/>
      </c>
      <c r="K5244">
        <f>IF(B5244,INDEX(MineScale,C5244),"")</f>
        <v/>
      </c>
      <c r="L5244">
        <f>IF(B5244,INDEX(Dow,1,WEEKDAY(E5244,2)),"")</f>
        <v/>
      </c>
      <c r="M5244">
        <f>IF(B5244,(1+Trend)^D5244,"")</f>
        <v/>
      </c>
      <c r="N5244">
        <f>IF(B5244,EXP(SUMPRODUCT(LN(1+(EvEff-1)*INDEX(Affected,0,C5244)*EXP(-((E5244-EvCenter)^2)/(2*EvSigma^2))))),"")</f>
        <v/>
      </c>
      <c r="O5244">
        <f>IF(B5244,ROUND(MAX(0,J5244*K5244*L5244*M5244*N5244),2),"")</f>
        <v/>
      </c>
    </row>
    <row r="5245">
      <c r="A5245" t="n">
        <v>5244</v>
      </c>
      <c r="B5245">
        <f>A5245&lt;=MineCount*Days</f>
        <v/>
      </c>
      <c r="C5245">
        <f>IF(B5245,INT((A5245-1)/Days)+1,"")</f>
        <v/>
      </c>
      <c r="D5245">
        <f>IF(B5245,MOD(A5245-1,Days),"")</f>
        <v/>
      </c>
      <c r="E5245" s="16">
        <f>IF(B5245,StartDate+D5245,"")</f>
        <v/>
      </c>
      <c r="F5245">
        <f>IF(B5245,MAX(MOD(SIN(Seed*0.1373+C5245*12.9898+D5245*78.233)*43758.5453,1),1E-9),"")</f>
        <v/>
      </c>
      <c r="G5245">
        <f>IF(B5245,MOD(SIN(Seed*0.5917+C5245*39.3468+D5245*11.135)*24634.6345,1),"")</f>
        <v/>
      </c>
      <c r="H5245">
        <f>IF(B5245,SQRT(-2*LN(F5245))*COS(2*PI()*G5245),"")</f>
        <v/>
      </c>
      <c r="I5245">
        <f>IF(B5245,IF(D5245=0,H5245,Rho*I5244+SQRT(1-Rho^2)*H5245),"")</f>
        <v/>
      </c>
      <c r="J5245">
        <f>IF(B5245,IF(Dist="Normal",DistA+DistB*I5245,DistA+(DistB-DistA)*NORMSDIST(I5245)),"")</f>
        <v/>
      </c>
      <c r="K5245">
        <f>IF(B5245,INDEX(MineScale,C5245),"")</f>
        <v/>
      </c>
      <c r="L5245">
        <f>IF(B5245,INDEX(Dow,1,WEEKDAY(E5245,2)),"")</f>
        <v/>
      </c>
      <c r="M5245">
        <f>IF(B5245,(1+Trend)^D5245,"")</f>
        <v/>
      </c>
      <c r="N5245">
        <f>IF(B5245,EXP(SUMPRODUCT(LN(1+(EvEff-1)*INDEX(Affected,0,C5245)*EXP(-((E5245-EvCenter)^2)/(2*EvSigma^2))))),"")</f>
        <v/>
      </c>
      <c r="O5245">
        <f>IF(B5245,ROUND(MAX(0,J5245*K5245*L5245*M5245*N5245),2),"")</f>
        <v/>
      </c>
    </row>
    <row r="5246">
      <c r="A5246" t="n">
        <v>5245</v>
      </c>
      <c r="B5246">
        <f>A5246&lt;=MineCount*Days</f>
        <v/>
      </c>
      <c r="C5246">
        <f>IF(B5246,INT((A5246-1)/Days)+1,"")</f>
        <v/>
      </c>
      <c r="D5246">
        <f>IF(B5246,MOD(A5246-1,Days),"")</f>
        <v/>
      </c>
      <c r="E5246" s="16">
        <f>IF(B5246,StartDate+D5246,"")</f>
        <v/>
      </c>
      <c r="F5246">
        <f>IF(B5246,MAX(MOD(SIN(Seed*0.1373+C5246*12.9898+D5246*78.233)*43758.5453,1),1E-9),"")</f>
        <v/>
      </c>
      <c r="G5246">
        <f>IF(B5246,MOD(SIN(Seed*0.5917+C5246*39.3468+D5246*11.135)*24634.6345,1),"")</f>
        <v/>
      </c>
      <c r="H5246">
        <f>IF(B5246,SQRT(-2*LN(F5246))*COS(2*PI()*G5246),"")</f>
        <v/>
      </c>
      <c r="I5246">
        <f>IF(B5246,IF(D5246=0,H5246,Rho*I5245+SQRT(1-Rho^2)*H5246),"")</f>
        <v/>
      </c>
      <c r="J5246">
        <f>IF(B5246,IF(Dist="Normal",DistA+DistB*I5246,DistA+(DistB-DistA)*NORMSDIST(I5246)),"")</f>
        <v/>
      </c>
      <c r="K5246">
        <f>IF(B5246,INDEX(MineScale,C5246),"")</f>
        <v/>
      </c>
      <c r="L5246">
        <f>IF(B5246,INDEX(Dow,1,WEEKDAY(E5246,2)),"")</f>
        <v/>
      </c>
      <c r="M5246">
        <f>IF(B5246,(1+Trend)^D5246,"")</f>
        <v/>
      </c>
      <c r="N5246">
        <f>IF(B5246,EXP(SUMPRODUCT(LN(1+(EvEff-1)*INDEX(Affected,0,C5246)*EXP(-((E5246-EvCenter)^2)/(2*EvSigma^2))))),"")</f>
        <v/>
      </c>
      <c r="O5246">
        <f>IF(B5246,ROUND(MAX(0,J5246*K5246*L5246*M5246*N5246),2),"")</f>
        <v/>
      </c>
    </row>
    <row r="5247">
      <c r="A5247" t="n">
        <v>5246</v>
      </c>
      <c r="B5247">
        <f>A5247&lt;=MineCount*Days</f>
        <v/>
      </c>
      <c r="C5247">
        <f>IF(B5247,INT((A5247-1)/Days)+1,"")</f>
        <v/>
      </c>
      <c r="D5247">
        <f>IF(B5247,MOD(A5247-1,Days),"")</f>
        <v/>
      </c>
      <c r="E5247" s="16">
        <f>IF(B5247,StartDate+D5247,"")</f>
        <v/>
      </c>
      <c r="F5247">
        <f>IF(B5247,MAX(MOD(SIN(Seed*0.1373+C5247*12.9898+D5247*78.233)*43758.5453,1),1E-9),"")</f>
        <v/>
      </c>
      <c r="G5247">
        <f>IF(B5247,MOD(SIN(Seed*0.5917+C5247*39.3468+D5247*11.135)*24634.6345,1),"")</f>
        <v/>
      </c>
      <c r="H5247">
        <f>IF(B5247,SQRT(-2*LN(F5247))*COS(2*PI()*G5247),"")</f>
        <v/>
      </c>
      <c r="I5247">
        <f>IF(B5247,IF(D5247=0,H5247,Rho*I5246+SQRT(1-Rho^2)*H5247),"")</f>
        <v/>
      </c>
      <c r="J5247">
        <f>IF(B5247,IF(Dist="Normal",DistA+DistB*I5247,DistA+(DistB-DistA)*NORMSDIST(I5247)),"")</f>
        <v/>
      </c>
      <c r="K5247">
        <f>IF(B5247,INDEX(MineScale,C5247),"")</f>
        <v/>
      </c>
      <c r="L5247">
        <f>IF(B5247,INDEX(Dow,1,WEEKDAY(E5247,2)),"")</f>
        <v/>
      </c>
      <c r="M5247">
        <f>IF(B5247,(1+Trend)^D5247,"")</f>
        <v/>
      </c>
      <c r="N5247">
        <f>IF(B5247,EXP(SUMPRODUCT(LN(1+(EvEff-1)*INDEX(Affected,0,C5247)*EXP(-((E5247-EvCenter)^2)/(2*EvSigma^2))))),"")</f>
        <v/>
      </c>
      <c r="O5247">
        <f>IF(B5247,ROUND(MAX(0,J5247*K5247*L5247*M5247*N5247),2),"")</f>
        <v/>
      </c>
    </row>
    <row r="5248">
      <c r="A5248" t="n">
        <v>5247</v>
      </c>
      <c r="B5248">
        <f>A5248&lt;=MineCount*Days</f>
        <v/>
      </c>
      <c r="C5248">
        <f>IF(B5248,INT((A5248-1)/Days)+1,"")</f>
        <v/>
      </c>
      <c r="D5248">
        <f>IF(B5248,MOD(A5248-1,Days),"")</f>
        <v/>
      </c>
      <c r="E5248" s="16">
        <f>IF(B5248,StartDate+D5248,"")</f>
        <v/>
      </c>
      <c r="F5248">
        <f>IF(B5248,MAX(MOD(SIN(Seed*0.1373+C5248*12.9898+D5248*78.233)*43758.5453,1),1E-9),"")</f>
        <v/>
      </c>
      <c r="G5248">
        <f>IF(B5248,MOD(SIN(Seed*0.5917+C5248*39.3468+D5248*11.135)*24634.6345,1),"")</f>
        <v/>
      </c>
      <c r="H5248">
        <f>IF(B5248,SQRT(-2*LN(F5248))*COS(2*PI()*G5248),"")</f>
        <v/>
      </c>
      <c r="I5248">
        <f>IF(B5248,IF(D5248=0,H5248,Rho*I5247+SQRT(1-Rho^2)*H5248),"")</f>
        <v/>
      </c>
      <c r="J5248">
        <f>IF(B5248,IF(Dist="Normal",DistA+DistB*I5248,DistA+(DistB-DistA)*NORMSDIST(I5248)),"")</f>
        <v/>
      </c>
      <c r="K5248">
        <f>IF(B5248,INDEX(MineScale,C5248),"")</f>
        <v/>
      </c>
      <c r="L5248">
        <f>IF(B5248,INDEX(Dow,1,WEEKDAY(E5248,2)),"")</f>
        <v/>
      </c>
      <c r="M5248">
        <f>IF(B5248,(1+Trend)^D5248,"")</f>
        <v/>
      </c>
      <c r="N5248">
        <f>IF(B5248,EXP(SUMPRODUCT(LN(1+(EvEff-1)*INDEX(Affected,0,C5248)*EXP(-((E5248-EvCenter)^2)/(2*EvSigma^2))))),"")</f>
        <v/>
      </c>
      <c r="O5248">
        <f>IF(B5248,ROUND(MAX(0,J5248*K5248*L5248*M5248*N5248),2),"")</f>
        <v/>
      </c>
    </row>
    <row r="5249">
      <c r="A5249" t="n">
        <v>5248</v>
      </c>
      <c r="B5249">
        <f>A5249&lt;=MineCount*Days</f>
        <v/>
      </c>
      <c r="C5249">
        <f>IF(B5249,INT((A5249-1)/Days)+1,"")</f>
        <v/>
      </c>
      <c r="D5249">
        <f>IF(B5249,MOD(A5249-1,Days),"")</f>
        <v/>
      </c>
      <c r="E5249" s="16">
        <f>IF(B5249,StartDate+D5249,"")</f>
        <v/>
      </c>
      <c r="F5249">
        <f>IF(B5249,MAX(MOD(SIN(Seed*0.1373+C5249*12.9898+D5249*78.233)*43758.5453,1),1E-9),"")</f>
        <v/>
      </c>
      <c r="G5249">
        <f>IF(B5249,MOD(SIN(Seed*0.5917+C5249*39.3468+D5249*11.135)*24634.6345,1),"")</f>
        <v/>
      </c>
      <c r="H5249">
        <f>IF(B5249,SQRT(-2*LN(F5249))*COS(2*PI()*G5249),"")</f>
        <v/>
      </c>
      <c r="I5249">
        <f>IF(B5249,IF(D5249=0,H5249,Rho*I5248+SQRT(1-Rho^2)*H5249),"")</f>
        <v/>
      </c>
      <c r="J5249">
        <f>IF(B5249,IF(Dist="Normal",DistA+DistB*I5249,DistA+(DistB-DistA)*NORMSDIST(I5249)),"")</f>
        <v/>
      </c>
      <c r="K5249">
        <f>IF(B5249,INDEX(MineScale,C5249),"")</f>
        <v/>
      </c>
      <c r="L5249">
        <f>IF(B5249,INDEX(Dow,1,WEEKDAY(E5249,2)),"")</f>
        <v/>
      </c>
      <c r="M5249">
        <f>IF(B5249,(1+Trend)^D5249,"")</f>
        <v/>
      </c>
      <c r="N5249">
        <f>IF(B5249,EXP(SUMPRODUCT(LN(1+(EvEff-1)*INDEX(Affected,0,C5249)*EXP(-((E5249-EvCenter)^2)/(2*EvSigma^2))))),"")</f>
        <v/>
      </c>
      <c r="O5249">
        <f>IF(B5249,ROUND(MAX(0,J5249*K5249*L5249*M5249*N5249),2),"")</f>
        <v/>
      </c>
    </row>
    <row r="5250">
      <c r="A5250" t="n">
        <v>5249</v>
      </c>
      <c r="B5250">
        <f>A5250&lt;=MineCount*Days</f>
        <v/>
      </c>
      <c r="C5250">
        <f>IF(B5250,INT((A5250-1)/Days)+1,"")</f>
        <v/>
      </c>
      <c r="D5250">
        <f>IF(B5250,MOD(A5250-1,Days),"")</f>
        <v/>
      </c>
      <c r="E5250" s="16">
        <f>IF(B5250,StartDate+D5250,"")</f>
        <v/>
      </c>
      <c r="F5250">
        <f>IF(B5250,MAX(MOD(SIN(Seed*0.1373+C5250*12.9898+D5250*78.233)*43758.5453,1),1E-9),"")</f>
        <v/>
      </c>
      <c r="G5250">
        <f>IF(B5250,MOD(SIN(Seed*0.5917+C5250*39.3468+D5250*11.135)*24634.6345,1),"")</f>
        <v/>
      </c>
      <c r="H5250">
        <f>IF(B5250,SQRT(-2*LN(F5250))*COS(2*PI()*G5250),"")</f>
        <v/>
      </c>
      <c r="I5250">
        <f>IF(B5250,IF(D5250=0,H5250,Rho*I5249+SQRT(1-Rho^2)*H5250),"")</f>
        <v/>
      </c>
      <c r="J5250">
        <f>IF(B5250,IF(Dist="Normal",DistA+DistB*I5250,DistA+(DistB-DistA)*NORMSDIST(I5250)),"")</f>
        <v/>
      </c>
      <c r="K5250">
        <f>IF(B5250,INDEX(MineScale,C5250),"")</f>
        <v/>
      </c>
      <c r="L5250">
        <f>IF(B5250,INDEX(Dow,1,WEEKDAY(E5250,2)),"")</f>
        <v/>
      </c>
      <c r="M5250">
        <f>IF(B5250,(1+Trend)^D5250,"")</f>
        <v/>
      </c>
      <c r="N5250">
        <f>IF(B5250,EXP(SUMPRODUCT(LN(1+(EvEff-1)*INDEX(Affected,0,C5250)*EXP(-((E5250-EvCenter)^2)/(2*EvSigma^2))))),"")</f>
        <v/>
      </c>
      <c r="O5250">
        <f>IF(B5250,ROUND(MAX(0,J5250*K5250*L5250*M5250*N5250),2),"")</f>
        <v/>
      </c>
    </row>
    <row r="5251">
      <c r="A5251" t="n">
        <v>5250</v>
      </c>
      <c r="B5251">
        <f>A5251&lt;=MineCount*Days</f>
        <v/>
      </c>
      <c r="C5251">
        <f>IF(B5251,INT((A5251-1)/Days)+1,"")</f>
        <v/>
      </c>
      <c r="D5251">
        <f>IF(B5251,MOD(A5251-1,Days),"")</f>
        <v/>
      </c>
      <c r="E5251" s="16">
        <f>IF(B5251,StartDate+D5251,"")</f>
        <v/>
      </c>
      <c r="F5251">
        <f>IF(B5251,MAX(MOD(SIN(Seed*0.1373+C5251*12.9898+D5251*78.233)*43758.5453,1),1E-9),"")</f>
        <v/>
      </c>
      <c r="G5251">
        <f>IF(B5251,MOD(SIN(Seed*0.5917+C5251*39.3468+D5251*11.135)*24634.6345,1),"")</f>
        <v/>
      </c>
      <c r="H5251">
        <f>IF(B5251,SQRT(-2*LN(F5251))*COS(2*PI()*G5251),"")</f>
        <v/>
      </c>
      <c r="I5251">
        <f>IF(B5251,IF(D5251=0,H5251,Rho*I5250+SQRT(1-Rho^2)*H5251),"")</f>
        <v/>
      </c>
      <c r="J5251">
        <f>IF(B5251,IF(Dist="Normal",DistA+DistB*I5251,DistA+(DistB-DistA)*NORMSDIST(I5251)),"")</f>
        <v/>
      </c>
      <c r="K5251">
        <f>IF(B5251,INDEX(MineScale,C5251),"")</f>
        <v/>
      </c>
      <c r="L5251">
        <f>IF(B5251,INDEX(Dow,1,WEEKDAY(E5251,2)),"")</f>
        <v/>
      </c>
      <c r="M5251">
        <f>IF(B5251,(1+Trend)^D5251,"")</f>
        <v/>
      </c>
      <c r="N5251">
        <f>IF(B5251,EXP(SUMPRODUCT(LN(1+(EvEff-1)*INDEX(Affected,0,C5251)*EXP(-((E5251-EvCenter)^2)/(2*EvSigma^2))))),"")</f>
        <v/>
      </c>
      <c r="O5251">
        <f>IF(B5251,ROUND(MAX(0,J5251*K5251*L5251*M5251*N5251),2),"")</f>
        <v/>
      </c>
    </row>
    <row r="5252">
      <c r="A5252" t="n">
        <v>5251</v>
      </c>
      <c r="B5252">
        <f>A5252&lt;=MineCount*Days</f>
        <v/>
      </c>
      <c r="C5252">
        <f>IF(B5252,INT((A5252-1)/Days)+1,"")</f>
        <v/>
      </c>
      <c r="D5252">
        <f>IF(B5252,MOD(A5252-1,Days),"")</f>
        <v/>
      </c>
      <c r="E5252" s="16">
        <f>IF(B5252,StartDate+D5252,"")</f>
        <v/>
      </c>
      <c r="F5252">
        <f>IF(B5252,MAX(MOD(SIN(Seed*0.1373+C5252*12.9898+D5252*78.233)*43758.5453,1),1E-9),"")</f>
        <v/>
      </c>
      <c r="G5252">
        <f>IF(B5252,MOD(SIN(Seed*0.5917+C5252*39.3468+D5252*11.135)*24634.6345,1),"")</f>
        <v/>
      </c>
      <c r="H5252">
        <f>IF(B5252,SQRT(-2*LN(F5252))*COS(2*PI()*G5252),"")</f>
        <v/>
      </c>
      <c r="I5252">
        <f>IF(B5252,IF(D5252=0,H5252,Rho*I5251+SQRT(1-Rho^2)*H5252),"")</f>
        <v/>
      </c>
      <c r="J5252">
        <f>IF(B5252,IF(Dist="Normal",DistA+DistB*I5252,DistA+(DistB-DistA)*NORMSDIST(I5252)),"")</f>
        <v/>
      </c>
      <c r="K5252">
        <f>IF(B5252,INDEX(MineScale,C5252),"")</f>
        <v/>
      </c>
      <c r="L5252">
        <f>IF(B5252,INDEX(Dow,1,WEEKDAY(E5252,2)),"")</f>
        <v/>
      </c>
      <c r="M5252">
        <f>IF(B5252,(1+Trend)^D5252,"")</f>
        <v/>
      </c>
      <c r="N5252">
        <f>IF(B5252,EXP(SUMPRODUCT(LN(1+(EvEff-1)*INDEX(Affected,0,C5252)*EXP(-((E5252-EvCenter)^2)/(2*EvSigma^2))))),"")</f>
        <v/>
      </c>
      <c r="O5252">
        <f>IF(B5252,ROUND(MAX(0,J5252*K5252*L5252*M5252*N5252),2),"")</f>
        <v/>
      </c>
    </row>
    <row r="5253">
      <c r="A5253" t="n">
        <v>5252</v>
      </c>
      <c r="B5253">
        <f>A5253&lt;=MineCount*Days</f>
        <v/>
      </c>
      <c r="C5253">
        <f>IF(B5253,INT((A5253-1)/Days)+1,"")</f>
        <v/>
      </c>
      <c r="D5253">
        <f>IF(B5253,MOD(A5253-1,Days),"")</f>
        <v/>
      </c>
      <c r="E5253" s="16">
        <f>IF(B5253,StartDate+D5253,"")</f>
        <v/>
      </c>
      <c r="F5253">
        <f>IF(B5253,MAX(MOD(SIN(Seed*0.1373+C5253*12.9898+D5253*78.233)*43758.5453,1),1E-9),"")</f>
        <v/>
      </c>
      <c r="G5253">
        <f>IF(B5253,MOD(SIN(Seed*0.5917+C5253*39.3468+D5253*11.135)*24634.6345,1),"")</f>
        <v/>
      </c>
      <c r="H5253">
        <f>IF(B5253,SQRT(-2*LN(F5253))*COS(2*PI()*G5253),"")</f>
        <v/>
      </c>
      <c r="I5253">
        <f>IF(B5253,IF(D5253=0,H5253,Rho*I5252+SQRT(1-Rho^2)*H5253),"")</f>
        <v/>
      </c>
      <c r="J5253">
        <f>IF(B5253,IF(Dist="Normal",DistA+DistB*I5253,DistA+(DistB-DistA)*NORMSDIST(I5253)),"")</f>
        <v/>
      </c>
      <c r="K5253">
        <f>IF(B5253,INDEX(MineScale,C5253),"")</f>
        <v/>
      </c>
      <c r="L5253">
        <f>IF(B5253,INDEX(Dow,1,WEEKDAY(E5253,2)),"")</f>
        <v/>
      </c>
      <c r="M5253">
        <f>IF(B5253,(1+Trend)^D5253,"")</f>
        <v/>
      </c>
      <c r="N5253">
        <f>IF(B5253,EXP(SUMPRODUCT(LN(1+(EvEff-1)*INDEX(Affected,0,C5253)*EXP(-((E5253-EvCenter)^2)/(2*EvSigma^2))))),"")</f>
        <v/>
      </c>
      <c r="O5253">
        <f>IF(B5253,ROUND(MAX(0,J5253*K5253*L5253*M5253*N5253),2),"")</f>
        <v/>
      </c>
    </row>
    <row r="5254">
      <c r="A5254" t="n">
        <v>5253</v>
      </c>
      <c r="B5254">
        <f>A5254&lt;=MineCount*Days</f>
        <v/>
      </c>
      <c r="C5254">
        <f>IF(B5254,INT((A5254-1)/Days)+1,"")</f>
        <v/>
      </c>
      <c r="D5254">
        <f>IF(B5254,MOD(A5254-1,Days),"")</f>
        <v/>
      </c>
      <c r="E5254" s="16">
        <f>IF(B5254,StartDate+D5254,"")</f>
        <v/>
      </c>
      <c r="F5254">
        <f>IF(B5254,MAX(MOD(SIN(Seed*0.1373+C5254*12.9898+D5254*78.233)*43758.5453,1),1E-9),"")</f>
        <v/>
      </c>
      <c r="G5254">
        <f>IF(B5254,MOD(SIN(Seed*0.5917+C5254*39.3468+D5254*11.135)*24634.6345,1),"")</f>
        <v/>
      </c>
      <c r="H5254">
        <f>IF(B5254,SQRT(-2*LN(F5254))*COS(2*PI()*G5254),"")</f>
        <v/>
      </c>
      <c r="I5254">
        <f>IF(B5254,IF(D5254=0,H5254,Rho*I5253+SQRT(1-Rho^2)*H5254),"")</f>
        <v/>
      </c>
      <c r="J5254">
        <f>IF(B5254,IF(Dist="Normal",DistA+DistB*I5254,DistA+(DistB-DistA)*NORMSDIST(I5254)),"")</f>
        <v/>
      </c>
      <c r="K5254">
        <f>IF(B5254,INDEX(MineScale,C5254),"")</f>
        <v/>
      </c>
      <c r="L5254">
        <f>IF(B5254,INDEX(Dow,1,WEEKDAY(E5254,2)),"")</f>
        <v/>
      </c>
      <c r="M5254">
        <f>IF(B5254,(1+Trend)^D5254,"")</f>
        <v/>
      </c>
      <c r="N5254">
        <f>IF(B5254,EXP(SUMPRODUCT(LN(1+(EvEff-1)*INDEX(Affected,0,C5254)*EXP(-((E5254-EvCenter)^2)/(2*EvSigma^2))))),"")</f>
        <v/>
      </c>
      <c r="O5254">
        <f>IF(B5254,ROUND(MAX(0,J5254*K5254*L5254*M5254*N5254),2),"")</f>
        <v/>
      </c>
    </row>
    <row r="5255">
      <c r="A5255" t="n">
        <v>5254</v>
      </c>
      <c r="B5255">
        <f>A5255&lt;=MineCount*Days</f>
        <v/>
      </c>
      <c r="C5255">
        <f>IF(B5255,INT((A5255-1)/Days)+1,"")</f>
        <v/>
      </c>
      <c r="D5255">
        <f>IF(B5255,MOD(A5255-1,Days),"")</f>
        <v/>
      </c>
      <c r="E5255" s="16">
        <f>IF(B5255,StartDate+D5255,"")</f>
        <v/>
      </c>
      <c r="F5255">
        <f>IF(B5255,MAX(MOD(SIN(Seed*0.1373+C5255*12.9898+D5255*78.233)*43758.5453,1),1E-9),"")</f>
        <v/>
      </c>
      <c r="G5255">
        <f>IF(B5255,MOD(SIN(Seed*0.5917+C5255*39.3468+D5255*11.135)*24634.6345,1),"")</f>
        <v/>
      </c>
      <c r="H5255">
        <f>IF(B5255,SQRT(-2*LN(F5255))*COS(2*PI()*G5255),"")</f>
        <v/>
      </c>
      <c r="I5255">
        <f>IF(B5255,IF(D5255=0,H5255,Rho*I5254+SQRT(1-Rho^2)*H5255),"")</f>
        <v/>
      </c>
      <c r="J5255">
        <f>IF(B5255,IF(Dist="Normal",DistA+DistB*I5255,DistA+(DistB-DistA)*NORMSDIST(I5255)),"")</f>
        <v/>
      </c>
      <c r="K5255">
        <f>IF(B5255,INDEX(MineScale,C5255),"")</f>
        <v/>
      </c>
      <c r="L5255">
        <f>IF(B5255,INDEX(Dow,1,WEEKDAY(E5255,2)),"")</f>
        <v/>
      </c>
      <c r="M5255">
        <f>IF(B5255,(1+Trend)^D5255,"")</f>
        <v/>
      </c>
      <c r="N5255">
        <f>IF(B5255,EXP(SUMPRODUCT(LN(1+(EvEff-1)*INDEX(Affected,0,C5255)*EXP(-((E5255-EvCenter)^2)/(2*EvSigma^2))))),"")</f>
        <v/>
      </c>
      <c r="O5255">
        <f>IF(B5255,ROUND(MAX(0,J5255*K5255*L5255*M5255*N5255),2),"")</f>
        <v/>
      </c>
    </row>
    <row r="5256">
      <c r="A5256" t="n">
        <v>5255</v>
      </c>
      <c r="B5256">
        <f>A5256&lt;=MineCount*Days</f>
        <v/>
      </c>
      <c r="C5256">
        <f>IF(B5256,INT((A5256-1)/Days)+1,"")</f>
        <v/>
      </c>
      <c r="D5256">
        <f>IF(B5256,MOD(A5256-1,Days),"")</f>
        <v/>
      </c>
      <c r="E5256" s="16">
        <f>IF(B5256,StartDate+D5256,"")</f>
        <v/>
      </c>
      <c r="F5256">
        <f>IF(B5256,MAX(MOD(SIN(Seed*0.1373+C5256*12.9898+D5256*78.233)*43758.5453,1),1E-9),"")</f>
        <v/>
      </c>
      <c r="G5256">
        <f>IF(B5256,MOD(SIN(Seed*0.5917+C5256*39.3468+D5256*11.135)*24634.6345,1),"")</f>
        <v/>
      </c>
      <c r="H5256">
        <f>IF(B5256,SQRT(-2*LN(F5256))*COS(2*PI()*G5256),"")</f>
        <v/>
      </c>
      <c r="I5256">
        <f>IF(B5256,IF(D5256=0,H5256,Rho*I5255+SQRT(1-Rho^2)*H5256),"")</f>
        <v/>
      </c>
      <c r="J5256">
        <f>IF(B5256,IF(Dist="Normal",DistA+DistB*I5256,DistA+(DistB-DistA)*NORMSDIST(I5256)),"")</f>
        <v/>
      </c>
      <c r="K5256">
        <f>IF(B5256,INDEX(MineScale,C5256),"")</f>
        <v/>
      </c>
      <c r="L5256">
        <f>IF(B5256,INDEX(Dow,1,WEEKDAY(E5256,2)),"")</f>
        <v/>
      </c>
      <c r="M5256">
        <f>IF(B5256,(1+Trend)^D5256,"")</f>
        <v/>
      </c>
      <c r="N5256">
        <f>IF(B5256,EXP(SUMPRODUCT(LN(1+(EvEff-1)*INDEX(Affected,0,C5256)*EXP(-((E5256-EvCenter)^2)/(2*EvSigma^2))))),"")</f>
        <v/>
      </c>
      <c r="O5256">
        <f>IF(B5256,ROUND(MAX(0,J5256*K5256*L5256*M5256*N5256),2),"")</f>
        <v/>
      </c>
    </row>
    <row r="5257">
      <c r="A5257" t="n">
        <v>5256</v>
      </c>
      <c r="B5257">
        <f>A5257&lt;=MineCount*Days</f>
        <v/>
      </c>
      <c r="C5257">
        <f>IF(B5257,INT((A5257-1)/Days)+1,"")</f>
        <v/>
      </c>
      <c r="D5257">
        <f>IF(B5257,MOD(A5257-1,Days),"")</f>
        <v/>
      </c>
      <c r="E5257" s="16">
        <f>IF(B5257,StartDate+D5257,"")</f>
        <v/>
      </c>
      <c r="F5257">
        <f>IF(B5257,MAX(MOD(SIN(Seed*0.1373+C5257*12.9898+D5257*78.233)*43758.5453,1),1E-9),"")</f>
        <v/>
      </c>
      <c r="G5257">
        <f>IF(B5257,MOD(SIN(Seed*0.5917+C5257*39.3468+D5257*11.135)*24634.6345,1),"")</f>
        <v/>
      </c>
      <c r="H5257">
        <f>IF(B5257,SQRT(-2*LN(F5257))*COS(2*PI()*G5257),"")</f>
        <v/>
      </c>
      <c r="I5257">
        <f>IF(B5257,IF(D5257=0,H5257,Rho*I5256+SQRT(1-Rho^2)*H5257),"")</f>
        <v/>
      </c>
      <c r="J5257">
        <f>IF(B5257,IF(Dist="Normal",DistA+DistB*I5257,DistA+(DistB-DistA)*NORMSDIST(I5257)),"")</f>
        <v/>
      </c>
      <c r="K5257">
        <f>IF(B5257,INDEX(MineScale,C5257),"")</f>
        <v/>
      </c>
      <c r="L5257">
        <f>IF(B5257,INDEX(Dow,1,WEEKDAY(E5257,2)),"")</f>
        <v/>
      </c>
      <c r="M5257">
        <f>IF(B5257,(1+Trend)^D5257,"")</f>
        <v/>
      </c>
      <c r="N5257">
        <f>IF(B5257,EXP(SUMPRODUCT(LN(1+(EvEff-1)*INDEX(Affected,0,C5257)*EXP(-((E5257-EvCenter)^2)/(2*EvSigma^2))))),"")</f>
        <v/>
      </c>
      <c r="O5257">
        <f>IF(B5257,ROUND(MAX(0,J5257*K5257*L5257*M5257*N5257),2),"")</f>
        <v/>
      </c>
    </row>
    <row r="5258">
      <c r="A5258" t="n">
        <v>5257</v>
      </c>
      <c r="B5258">
        <f>A5258&lt;=MineCount*Days</f>
        <v/>
      </c>
      <c r="C5258">
        <f>IF(B5258,INT((A5258-1)/Days)+1,"")</f>
        <v/>
      </c>
      <c r="D5258">
        <f>IF(B5258,MOD(A5258-1,Days),"")</f>
        <v/>
      </c>
      <c r="E5258" s="16">
        <f>IF(B5258,StartDate+D5258,"")</f>
        <v/>
      </c>
      <c r="F5258">
        <f>IF(B5258,MAX(MOD(SIN(Seed*0.1373+C5258*12.9898+D5258*78.233)*43758.5453,1),1E-9),"")</f>
        <v/>
      </c>
      <c r="G5258">
        <f>IF(B5258,MOD(SIN(Seed*0.5917+C5258*39.3468+D5258*11.135)*24634.6345,1),"")</f>
        <v/>
      </c>
      <c r="H5258">
        <f>IF(B5258,SQRT(-2*LN(F5258))*COS(2*PI()*G5258),"")</f>
        <v/>
      </c>
      <c r="I5258">
        <f>IF(B5258,IF(D5258=0,H5258,Rho*I5257+SQRT(1-Rho^2)*H5258),"")</f>
        <v/>
      </c>
      <c r="J5258">
        <f>IF(B5258,IF(Dist="Normal",DistA+DistB*I5258,DistA+(DistB-DistA)*NORMSDIST(I5258)),"")</f>
        <v/>
      </c>
      <c r="K5258">
        <f>IF(B5258,INDEX(MineScale,C5258),"")</f>
        <v/>
      </c>
      <c r="L5258">
        <f>IF(B5258,INDEX(Dow,1,WEEKDAY(E5258,2)),"")</f>
        <v/>
      </c>
      <c r="M5258">
        <f>IF(B5258,(1+Trend)^D5258,"")</f>
        <v/>
      </c>
      <c r="N5258">
        <f>IF(B5258,EXP(SUMPRODUCT(LN(1+(EvEff-1)*INDEX(Affected,0,C5258)*EXP(-((E5258-EvCenter)^2)/(2*EvSigma^2))))),"")</f>
        <v/>
      </c>
      <c r="O5258">
        <f>IF(B5258,ROUND(MAX(0,J5258*K5258*L5258*M5258*N5258),2),"")</f>
        <v/>
      </c>
    </row>
    <row r="5259">
      <c r="A5259" t="n">
        <v>5258</v>
      </c>
      <c r="B5259">
        <f>A5259&lt;=MineCount*Days</f>
        <v/>
      </c>
      <c r="C5259">
        <f>IF(B5259,INT((A5259-1)/Days)+1,"")</f>
        <v/>
      </c>
      <c r="D5259">
        <f>IF(B5259,MOD(A5259-1,Days),"")</f>
        <v/>
      </c>
      <c r="E5259" s="16">
        <f>IF(B5259,StartDate+D5259,"")</f>
        <v/>
      </c>
      <c r="F5259">
        <f>IF(B5259,MAX(MOD(SIN(Seed*0.1373+C5259*12.9898+D5259*78.233)*43758.5453,1),1E-9),"")</f>
        <v/>
      </c>
      <c r="G5259">
        <f>IF(B5259,MOD(SIN(Seed*0.5917+C5259*39.3468+D5259*11.135)*24634.6345,1),"")</f>
        <v/>
      </c>
      <c r="H5259">
        <f>IF(B5259,SQRT(-2*LN(F5259))*COS(2*PI()*G5259),"")</f>
        <v/>
      </c>
      <c r="I5259">
        <f>IF(B5259,IF(D5259=0,H5259,Rho*I5258+SQRT(1-Rho^2)*H5259),"")</f>
        <v/>
      </c>
      <c r="J5259">
        <f>IF(B5259,IF(Dist="Normal",DistA+DistB*I5259,DistA+(DistB-DistA)*NORMSDIST(I5259)),"")</f>
        <v/>
      </c>
      <c r="K5259">
        <f>IF(B5259,INDEX(MineScale,C5259),"")</f>
        <v/>
      </c>
      <c r="L5259">
        <f>IF(B5259,INDEX(Dow,1,WEEKDAY(E5259,2)),"")</f>
        <v/>
      </c>
      <c r="M5259">
        <f>IF(B5259,(1+Trend)^D5259,"")</f>
        <v/>
      </c>
      <c r="N5259">
        <f>IF(B5259,EXP(SUMPRODUCT(LN(1+(EvEff-1)*INDEX(Affected,0,C5259)*EXP(-((E5259-EvCenter)^2)/(2*EvSigma^2))))),"")</f>
        <v/>
      </c>
      <c r="O5259">
        <f>IF(B5259,ROUND(MAX(0,J5259*K5259*L5259*M5259*N5259),2),"")</f>
        <v/>
      </c>
    </row>
    <row r="5260">
      <c r="A5260" t="n">
        <v>5259</v>
      </c>
      <c r="B5260">
        <f>A5260&lt;=MineCount*Days</f>
        <v/>
      </c>
      <c r="C5260">
        <f>IF(B5260,INT((A5260-1)/Days)+1,"")</f>
        <v/>
      </c>
      <c r="D5260">
        <f>IF(B5260,MOD(A5260-1,Days),"")</f>
        <v/>
      </c>
      <c r="E5260" s="16">
        <f>IF(B5260,StartDate+D5260,"")</f>
        <v/>
      </c>
      <c r="F5260">
        <f>IF(B5260,MAX(MOD(SIN(Seed*0.1373+C5260*12.9898+D5260*78.233)*43758.5453,1),1E-9),"")</f>
        <v/>
      </c>
      <c r="G5260">
        <f>IF(B5260,MOD(SIN(Seed*0.5917+C5260*39.3468+D5260*11.135)*24634.6345,1),"")</f>
        <v/>
      </c>
      <c r="H5260">
        <f>IF(B5260,SQRT(-2*LN(F5260))*COS(2*PI()*G5260),"")</f>
        <v/>
      </c>
      <c r="I5260">
        <f>IF(B5260,IF(D5260=0,H5260,Rho*I5259+SQRT(1-Rho^2)*H5260),"")</f>
        <v/>
      </c>
      <c r="J5260">
        <f>IF(B5260,IF(Dist="Normal",DistA+DistB*I5260,DistA+(DistB-DistA)*NORMSDIST(I5260)),"")</f>
        <v/>
      </c>
      <c r="K5260">
        <f>IF(B5260,INDEX(MineScale,C5260),"")</f>
        <v/>
      </c>
      <c r="L5260">
        <f>IF(B5260,INDEX(Dow,1,WEEKDAY(E5260,2)),"")</f>
        <v/>
      </c>
      <c r="M5260">
        <f>IF(B5260,(1+Trend)^D5260,"")</f>
        <v/>
      </c>
      <c r="N5260">
        <f>IF(B5260,EXP(SUMPRODUCT(LN(1+(EvEff-1)*INDEX(Affected,0,C5260)*EXP(-((E5260-EvCenter)^2)/(2*EvSigma^2))))),"")</f>
        <v/>
      </c>
      <c r="O5260">
        <f>IF(B5260,ROUND(MAX(0,J5260*K5260*L5260*M5260*N5260),2),"")</f>
        <v/>
      </c>
    </row>
    <row r="5261">
      <c r="A5261" t="n">
        <v>5260</v>
      </c>
      <c r="B5261">
        <f>A5261&lt;=MineCount*Days</f>
        <v/>
      </c>
      <c r="C5261">
        <f>IF(B5261,INT((A5261-1)/Days)+1,"")</f>
        <v/>
      </c>
      <c r="D5261">
        <f>IF(B5261,MOD(A5261-1,Days),"")</f>
        <v/>
      </c>
      <c r="E5261" s="16">
        <f>IF(B5261,StartDate+D5261,"")</f>
        <v/>
      </c>
      <c r="F5261">
        <f>IF(B5261,MAX(MOD(SIN(Seed*0.1373+C5261*12.9898+D5261*78.233)*43758.5453,1),1E-9),"")</f>
        <v/>
      </c>
      <c r="G5261">
        <f>IF(B5261,MOD(SIN(Seed*0.5917+C5261*39.3468+D5261*11.135)*24634.6345,1),"")</f>
        <v/>
      </c>
      <c r="H5261">
        <f>IF(B5261,SQRT(-2*LN(F5261))*COS(2*PI()*G5261),"")</f>
        <v/>
      </c>
      <c r="I5261">
        <f>IF(B5261,IF(D5261=0,H5261,Rho*I5260+SQRT(1-Rho^2)*H5261),"")</f>
        <v/>
      </c>
      <c r="J5261">
        <f>IF(B5261,IF(Dist="Normal",DistA+DistB*I5261,DistA+(DistB-DistA)*NORMSDIST(I5261)),"")</f>
        <v/>
      </c>
      <c r="K5261">
        <f>IF(B5261,INDEX(MineScale,C5261),"")</f>
        <v/>
      </c>
      <c r="L5261">
        <f>IF(B5261,INDEX(Dow,1,WEEKDAY(E5261,2)),"")</f>
        <v/>
      </c>
      <c r="M5261">
        <f>IF(B5261,(1+Trend)^D5261,"")</f>
        <v/>
      </c>
      <c r="N5261">
        <f>IF(B5261,EXP(SUMPRODUCT(LN(1+(EvEff-1)*INDEX(Affected,0,C5261)*EXP(-((E5261-EvCenter)^2)/(2*EvSigma^2))))),"")</f>
        <v/>
      </c>
      <c r="O5261">
        <f>IF(B5261,ROUND(MAX(0,J5261*K5261*L5261*M5261*N5261),2),"")</f>
        <v/>
      </c>
    </row>
    <row r="5262">
      <c r="A5262" t="n">
        <v>5261</v>
      </c>
      <c r="B5262">
        <f>A5262&lt;=MineCount*Days</f>
        <v/>
      </c>
      <c r="C5262">
        <f>IF(B5262,INT((A5262-1)/Days)+1,"")</f>
        <v/>
      </c>
      <c r="D5262">
        <f>IF(B5262,MOD(A5262-1,Days),"")</f>
        <v/>
      </c>
      <c r="E5262" s="16">
        <f>IF(B5262,StartDate+D5262,"")</f>
        <v/>
      </c>
      <c r="F5262">
        <f>IF(B5262,MAX(MOD(SIN(Seed*0.1373+C5262*12.9898+D5262*78.233)*43758.5453,1),1E-9),"")</f>
        <v/>
      </c>
      <c r="G5262">
        <f>IF(B5262,MOD(SIN(Seed*0.5917+C5262*39.3468+D5262*11.135)*24634.6345,1),"")</f>
        <v/>
      </c>
      <c r="H5262">
        <f>IF(B5262,SQRT(-2*LN(F5262))*COS(2*PI()*G5262),"")</f>
        <v/>
      </c>
      <c r="I5262">
        <f>IF(B5262,IF(D5262=0,H5262,Rho*I5261+SQRT(1-Rho^2)*H5262),"")</f>
        <v/>
      </c>
      <c r="J5262">
        <f>IF(B5262,IF(Dist="Normal",DistA+DistB*I5262,DistA+(DistB-DistA)*NORMSDIST(I5262)),"")</f>
        <v/>
      </c>
      <c r="K5262">
        <f>IF(B5262,INDEX(MineScale,C5262),"")</f>
        <v/>
      </c>
      <c r="L5262">
        <f>IF(B5262,INDEX(Dow,1,WEEKDAY(E5262,2)),"")</f>
        <v/>
      </c>
      <c r="M5262">
        <f>IF(B5262,(1+Trend)^D5262,"")</f>
        <v/>
      </c>
      <c r="N5262">
        <f>IF(B5262,EXP(SUMPRODUCT(LN(1+(EvEff-1)*INDEX(Affected,0,C5262)*EXP(-((E5262-EvCenter)^2)/(2*EvSigma^2))))),"")</f>
        <v/>
      </c>
      <c r="O5262">
        <f>IF(B5262,ROUND(MAX(0,J5262*K5262*L5262*M5262*N5262),2),"")</f>
        <v/>
      </c>
    </row>
    <row r="5263">
      <c r="A5263" t="n">
        <v>5262</v>
      </c>
      <c r="B5263">
        <f>A5263&lt;=MineCount*Days</f>
        <v/>
      </c>
      <c r="C5263">
        <f>IF(B5263,INT((A5263-1)/Days)+1,"")</f>
        <v/>
      </c>
      <c r="D5263">
        <f>IF(B5263,MOD(A5263-1,Days),"")</f>
        <v/>
      </c>
      <c r="E5263" s="16">
        <f>IF(B5263,StartDate+D5263,"")</f>
        <v/>
      </c>
      <c r="F5263">
        <f>IF(B5263,MAX(MOD(SIN(Seed*0.1373+C5263*12.9898+D5263*78.233)*43758.5453,1),1E-9),"")</f>
        <v/>
      </c>
      <c r="G5263">
        <f>IF(B5263,MOD(SIN(Seed*0.5917+C5263*39.3468+D5263*11.135)*24634.6345,1),"")</f>
        <v/>
      </c>
      <c r="H5263">
        <f>IF(B5263,SQRT(-2*LN(F5263))*COS(2*PI()*G5263),"")</f>
        <v/>
      </c>
      <c r="I5263">
        <f>IF(B5263,IF(D5263=0,H5263,Rho*I5262+SQRT(1-Rho^2)*H5263),"")</f>
        <v/>
      </c>
      <c r="J5263">
        <f>IF(B5263,IF(Dist="Normal",DistA+DistB*I5263,DistA+(DistB-DistA)*NORMSDIST(I5263)),"")</f>
        <v/>
      </c>
      <c r="K5263">
        <f>IF(B5263,INDEX(MineScale,C5263),"")</f>
        <v/>
      </c>
      <c r="L5263">
        <f>IF(B5263,INDEX(Dow,1,WEEKDAY(E5263,2)),"")</f>
        <v/>
      </c>
      <c r="M5263">
        <f>IF(B5263,(1+Trend)^D5263,"")</f>
        <v/>
      </c>
      <c r="N5263">
        <f>IF(B5263,EXP(SUMPRODUCT(LN(1+(EvEff-1)*INDEX(Affected,0,C5263)*EXP(-((E5263-EvCenter)^2)/(2*EvSigma^2))))),"")</f>
        <v/>
      </c>
      <c r="O5263">
        <f>IF(B5263,ROUND(MAX(0,J5263*K5263*L5263*M5263*N5263),2),"")</f>
        <v/>
      </c>
    </row>
    <row r="5264">
      <c r="A5264" t="n">
        <v>5263</v>
      </c>
      <c r="B5264">
        <f>A5264&lt;=MineCount*Days</f>
        <v/>
      </c>
      <c r="C5264">
        <f>IF(B5264,INT((A5264-1)/Days)+1,"")</f>
        <v/>
      </c>
      <c r="D5264">
        <f>IF(B5264,MOD(A5264-1,Days),"")</f>
        <v/>
      </c>
      <c r="E5264" s="16">
        <f>IF(B5264,StartDate+D5264,"")</f>
        <v/>
      </c>
      <c r="F5264">
        <f>IF(B5264,MAX(MOD(SIN(Seed*0.1373+C5264*12.9898+D5264*78.233)*43758.5453,1),1E-9),"")</f>
        <v/>
      </c>
      <c r="G5264">
        <f>IF(B5264,MOD(SIN(Seed*0.5917+C5264*39.3468+D5264*11.135)*24634.6345,1),"")</f>
        <v/>
      </c>
      <c r="H5264">
        <f>IF(B5264,SQRT(-2*LN(F5264))*COS(2*PI()*G5264),"")</f>
        <v/>
      </c>
      <c r="I5264">
        <f>IF(B5264,IF(D5264=0,H5264,Rho*I5263+SQRT(1-Rho^2)*H5264),"")</f>
        <v/>
      </c>
      <c r="J5264">
        <f>IF(B5264,IF(Dist="Normal",DistA+DistB*I5264,DistA+(DistB-DistA)*NORMSDIST(I5264)),"")</f>
        <v/>
      </c>
      <c r="K5264">
        <f>IF(B5264,INDEX(MineScale,C5264),"")</f>
        <v/>
      </c>
      <c r="L5264">
        <f>IF(B5264,INDEX(Dow,1,WEEKDAY(E5264,2)),"")</f>
        <v/>
      </c>
      <c r="M5264">
        <f>IF(B5264,(1+Trend)^D5264,"")</f>
        <v/>
      </c>
      <c r="N5264">
        <f>IF(B5264,EXP(SUMPRODUCT(LN(1+(EvEff-1)*INDEX(Affected,0,C5264)*EXP(-((E5264-EvCenter)^2)/(2*EvSigma^2))))),"")</f>
        <v/>
      </c>
      <c r="O5264">
        <f>IF(B5264,ROUND(MAX(0,J5264*K5264*L5264*M5264*N5264),2),"")</f>
        <v/>
      </c>
    </row>
    <row r="5265">
      <c r="A5265" t="n">
        <v>5264</v>
      </c>
      <c r="B5265">
        <f>A5265&lt;=MineCount*Days</f>
        <v/>
      </c>
      <c r="C5265">
        <f>IF(B5265,INT((A5265-1)/Days)+1,"")</f>
        <v/>
      </c>
      <c r="D5265">
        <f>IF(B5265,MOD(A5265-1,Days),"")</f>
        <v/>
      </c>
      <c r="E5265" s="16">
        <f>IF(B5265,StartDate+D5265,"")</f>
        <v/>
      </c>
      <c r="F5265">
        <f>IF(B5265,MAX(MOD(SIN(Seed*0.1373+C5265*12.9898+D5265*78.233)*43758.5453,1),1E-9),"")</f>
        <v/>
      </c>
      <c r="G5265">
        <f>IF(B5265,MOD(SIN(Seed*0.5917+C5265*39.3468+D5265*11.135)*24634.6345,1),"")</f>
        <v/>
      </c>
      <c r="H5265">
        <f>IF(B5265,SQRT(-2*LN(F5265))*COS(2*PI()*G5265),"")</f>
        <v/>
      </c>
      <c r="I5265">
        <f>IF(B5265,IF(D5265=0,H5265,Rho*I5264+SQRT(1-Rho^2)*H5265),"")</f>
        <v/>
      </c>
      <c r="J5265">
        <f>IF(B5265,IF(Dist="Normal",DistA+DistB*I5265,DistA+(DistB-DistA)*NORMSDIST(I5265)),"")</f>
        <v/>
      </c>
      <c r="K5265">
        <f>IF(B5265,INDEX(MineScale,C5265),"")</f>
        <v/>
      </c>
      <c r="L5265">
        <f>IF(B5265,INDEX(Dow,1,WEEKDAY(E5265,2)),"")</f>
        <v/>
      </c>
      <c r="M5265">
        <f>IF(B5265,(1+Trend)^D5265,"")</f>
        <v/>
      </c>
      <c r="N5265">
        <f>IF(B5265,EXP(SUMPRODUCT(LN(1+(EvEff-1)*INDEX(Affected,0,C5265)*EXP(-((E5265-EvCenter)^2)/(2*EvSigma^2))))),"")</f>
        <v/>
      </c>
      <c r="O5265">
        <f>IF(B5265,ROUND(MAX(0,J5265*K5265*L5265*M5265*N5265),2),"")</f>
        <v/>
      </c>
    </row>
    <row r="5266">
      <c r="A5266" t="n">
        <v>5265</v>
      </c>
      <c r="B5266">
        <f>A5266&lt;=MineCount*Days</f>
        <v/>
      </c>
      <c r="C5266">
        <f>IF(B5266,INT((A5266-1)/Days)+1,"")</f>
        <v/>
      </c>
      <c r="D5266">
        <f>IF(B5266,MOD(A5266-1,Days),"")</f>
        <v/>
      </c>
      <c r="E5266" s="16">
        <f>IF(B5266,StartDate+D5266,"")</f>
        <v/>
      </c>
      <c r="F5266">
        <f>IF(B5266,MAX(MOD(SIN(Seed*0.1373+C5266*12.9898+D5266*78.233)*43758.5453,1),1E-9),"")</f>
        <v/>
      </c>
      <c r="G5266">
        <f>IF(B5266,MOD(SIN(Seed*0.5917+C5266*39.3468+D5266*11.135)*24634.6345,1),"")</f>
        <v/>
      </c>
      <c r="H5266">
        <f>IF(B5266,SQRT(-2*LN(F5266))*COS(2*PI()*G5266),"")</f>
        <v/>
      </c>
      <c r="I5266">
        <f>IF(B5266,IF(D5266=0,H5266,Rho*I5265+SQRT(1-Rho^2)*H5266),"")</f>
        <v/>
      </c>
      <c r="J5266">
        <f>IF(B5266,IF(Dist="Normal",DistA+DistB*I5266,DistA+(DistB-DistA)*NORMSDIST(I5266)),"")</f>
        <v/>
      </c>
      <c r="K5266">
        <f>IF(B5266,INDEX(MineScale,C5266),"")</f>
        <v/>
      </c>
      <c r="L5266">
        <f>IF(B5266,INDEX(Dow,1,WEEKDAY(E5266,2)),"")</f>
        <v/>
      </c>
      <c r="M5266">
        <f>IF(B5266,(1+Trend)^D5266,"")</f>
        <v/>
      </c>
      <c r="N5266">
        <f>IF(B5266,EXP(SUMPRODUCT(LN(1+(EvEff-1)*INDEX(Affected,0,C5266)*EXP(-((E5266-EvCenter)^2)/(2*EvSigma^2))))),"")</f>
        <v/>
      </c>
      <c r="O5266">
        <f>IF(B5266,ROUND(MAX(0,J5266*K5266*L5266*M5266*N5266),2),"")</f>
        <v/>
      </c>
    </row>
    <row r="5267">
      <c r="A5267" t="n">
        <v>5266</v>
      </c>
      <c r="B5267">
        <f>A5267&lt;=MineCount*Days</f>
        <v/>
      </c>
      <c r="C5267">
        <f>IF(B5267,INT((A5267-1)/Days)+1,"")</f>
        <v/>
      </c>
      <c r="D5267">
        <f>IF(B5267,MOD(A5267-1,Days),"")</f>
        <v/>
      </c>
      <c r="E5267" s="16">
        <f>IF(B5267,StartDate+D5267,"")</f>
        <v/>
      </c>
      <c r="F5267">
        <f>IF(B5267,MAX(MOD(SIN(Seed*0.1373+C5267*12.9898+D5267*78.233)*43758.5453,1),1E-9),"")</f>
        <v/>
      </c>
      <c r="G5267">
        <f>IF(B5267,MOD(SIN(Seed*0.5917+C5267*39.3468+D5267*11.135)*24634.6345,1),"")</f>
        <v/>
      </c>
      <c r="H5267">
        <f>IF(B5267,SQRT(-2*LN(F5267))*COS(2*PI()*G5267),"")</f>
        <v/>
      </c>
      <c r="I5267">
        <f>IF(B5267,IF(D5267=0,H5267,Rho*I5266+SQRT(1-Rho^2)*H5267),"")</f>
        <v/>
      </c>
      <c r="J5267">
        <f>IF(B5267,IF(Dist="Normal",DistA+DistB*I5267,DistA+(DistB-DistA)*NORMSDIST(I5267)),"")</f>
        <v/>
      </c>
      <c r="K5267">
        <f>IF(B5267,INDEX(MineScale,C5267),"")</f>
        <v/>
      </c>
      <c r="L5267">
        <f>IF(B5267,INDEX(Dow,1,WEEKDAY(E5267,2)),"")</f>
        <v/>
      </c>
      <c r="M5267">
        <f>IF(B5267,(1+Trend)^D5267,"")</f>
        <v/>
      </c>
      <c r="N5267">
        <f>IF(B5267,EXP(SUMPRODUCT(LN(1+(EvEff-1)*INDEX(Affected,0,C5267)*EXP(-((E5267-EvCenter)^2)/(2*EvSigma^2))))),"")</f>
        <v/>
      </c>
      <c r="O5267">
        <f>IF(B5267,ROUND(MAX(0,J5267*K5267*L5267*M5267*N5267),2),"")</f>
        <v/>
      </c>
    </row>
    <row r="5268">
      <c r="A5268" t="n">
        <v>5267</v>
      </c>
      <c r="B5268">
        <f>A5268&lt;=MineCount*Days</f>
        <v/>
      </c>
      <c r="C5268">
        <f>IF(B5268,INT((A5268-1)/Days)+1,"")</f>
        <v/>
      </c>
      <c r="D5268">
        <f>IF(B5268,MOD(A5268-1,Days),"")</f>
        <v/>
      </c>
      <c r="E5268" s="16">
        <f>IF(B5268,StartDate+D5268,"")</f>
        <v/>
      </c>
      <c r="F5268">
        <f>IF(B5268,MAX(MOD(SIN(Seed*0.1373+C5268*12.9898+D5268*78.233)*43758.5453,1),1E-9),"")</f>
        <v/>
      </c>
      <c r="G5268">
        <f>IF(B5268,MOD(SIN(Seed*0.5917+C5268*39.3468+D5268*11.135)*24634.6345,1),"")</f>
        <v/>
      </c>
      <c r="H5268">
        <f>IF(B5268,SQRT(-2*LN(F5268))*COS(2*PI()*G5268),"")</f>
        <v/>
      </c>
      <c r="I5268">
        <f>IF(B5268,IF(D5268=0,H5268,Rho*I5267+SQRT(1-Rho^2)*H5268),"")</f>
        <v/>
      </c>
      <c r="J5268">
        <f>IF(B5268,IF(Dist="Normal",DistA+DistB*I5268,DistA+(DistB-DistA)*NORMSDIST(I5268)),"")</f>
        <v/>
      </c>
      <c r="K5268">
        <f>IF(B5268,INDEX(MineScale,C5268),"")</f>
        <v/>
      </c>
      <c r="L5268">
        <f>IF(B5268,INDEX(Dow,1,WEEKDAY(E5268,2)),"")</f>
        <v/>
      </c>
      <c r="M5268">
        <f>IF(B5268,(1+Trend)^D5268,"")</f>
        <v/>
      </c>
      <c r="N5268">
        <f>IF(B5268,EXP(SUMPRODUCT(LN(1+(EvEff-1)*INDEX(Affected,0,C5268)*EXP(-((E5268-EvCenter)^2)/(2*EvSigma^2))))),"")</f>
        <v/>
      </c>
      <c r="O5268">
        <f>IF(B5268,ROUND(MAX(0,J5268*K5268*L5268*M5268*N5268),2),"")</f>
        <v/>
      </c>
    </row>
    <row r="5269">
      <c r="A5269" t="n">
        <v>5268</v>
      </c>
      <c r="B5269">
        <f>A5269&lt;=MineCount*Days</f>
        <v/>
      </c>
      <c r="C5269">
        <f>IF(B5269,INT((A5269-1)/Days)+1,"")</f>
        <v/>
      </c>
      <c r="D5269">
        <f>IF(B5269,MOD(A5269-1,Days),"")</f>
        <v/>
      </c>
      <c r="E5269" s="16">
        <f>IF(B5269,StartDate+D5269,"")</f>
        <v/>
      </c>
      <c r="F5269">
        <f>IF(B5269,MAX(MOD(SIN(Seed*0.1373+C5269*12.9898+D5269*78.233)*43758.5453,1),1E-9),"")</f>
        <v/>
      </c>
      <c r="G5269">
        <f>IF(B5269,MOD(SIN(Seed*0.5917+C5269*39.3468+D5269*11.135)*24634.6345,1),"")</f>
        <v/>
      </c>
      <c r="H5269">
        <f>IF(B5269,SQRT(-2*LN(F5269))*COS(2*PI()*G5269),"")</f>
        <v/>
      </c>
      <c r="I5269">
        <f>IF(B5269,IF(D5269=0,H5269,Rho*I5268+SQRT(1-Rho^2)*H5269),"")</f>
        <v/>
      </c>
      <c r="J5269">
        <f>IF(B5269,IF(Dist="Normal",DistA+DistB*I5269,DistA+(DistB-DistA)*NORMSDIST(I5269)),"")</f>
        <v/>
      </c>
      <c r="K5269">
        <f>IF(B5269,INDEX(MineScale,C5269),"")</f>
        <v/>
      </c>
      <c r="L5269">
        <f>IF(B5269,INDEX(Dow,1,WEEKDAY(E5269,2)),"")</f>
        <v/>
      </c>
      <c r="M5269">
        <f>IF(B5269,(1+Trend)^D5269,"")</f>
        <v/>
      </c>
      <c r="N5269">
        <f>IF(B5269,EXP(SUMPRODUCT(LN(1+(EvEff-1)*INDEX(Affected,0,C5269)*EXP(-((E5269-EvCenter)^2)/(2*EvSigma^2))))),"")</f>
        <v/>
      </c>
      <c r="O5269">
        <f>IF(B5269,ROUND(MAX(0,J5269*K5269*L5269*M5269*N5269),2),"")</f>
        <v/>
      </c>
    </row>
    <row r="5270">
      <c r="A5270" t="n">
        <v>5269</v>
      </c>
      <c r="B5270">
        <f>A5270&lt;=MineCount*Days</f>
        <v/>
      </c>
      <c r="C5270">
        <f>IF(B5270,INT((A5270-1)/Days)+1,"")</f>
        <v/>
      </c>
      <c r="D5270">
        <f>IF(B5270,MOD(A5270-1,Days),"")</f>
        <v/>
      </c>
      <c r="E5270" s="16">
        <f>IF(B5270,StartDate+D5270,"")</f>
        <v/>
      </c>
      <c r="F5270">
        <f>IF(B5270,MAX(MOD(SIN(Seed*0.1373+C5270*12.9898+D5270*78.233)*43758.5453,1),1E-9),"")</f>
        <v/>
      </c>
      <c r="G5270">
        <f>IF(B5270,MOD(SIN(Seed*0.5917+C5270*39.3468+D5270*11.135)*24634.6345,1),"")</f>
        <v/>
      </c>
      <c r="H5270">
        <f>IF(B5270,SQRT(-2*LN(F5270))*COS(2*PI()*G5270),"")</f>
        <v/>
      </c>
      <c r="I5270">
        <f>IF(B5270,IF(D5270=0,H5270,Rho*I5269+SQRT(1-Rho^2)*H5270),"")</f>
        <v/>
      </c>
      <c r="J5270">
        <f>IF(B5270,IF(Dist="Normal",DistA+DistB*I5270,DistA+(DistB-DistA)*NORMSDIST(I5270)),"")</f>
        <v/>
      </c>
      <c r="K5270">
        <f>IF(B5270,INDEX(MineScale,C5270),"")</f>
        <v/>
      </c>
      <c r="L5270">
        <f>IF(B5270,INDEX(Dow,1,WEEKDAY(E5270,2)),"")</f>
        <v/>
      </c>
      <c r="M5270">
        <f>IF(B5270,(1+Trend)^D5270,"")</f>
        <v/>
      </c>
      <c r="N5270">
        <f>IF(B5270,EXP(SUMPRODUCT(LN(1+(EvEff-1)*INDEX(Affected,0,C5270)*EXP(-((E5270-EvCenter)^2)/(2*EvSigma^2))))),"")</f>
        <v/>
      </c>
      <c r="O5270">
        <f>IF(B5270,ROUND(MAX(0,J5270*K5270*L5270*M5270*N5270),2),"")</f>
        <v/>
      </c>
    </row>
    <row r="5271">
      <c r="A5271" t="n">
        <v>5270</v>
      </c>
      <c r="B5271">
        <f>A5271&lt;=MineCount*Days</f>
        <v/>
      </c>
      <c r="C5271">
        <f>IF(B5271,INT((A5271-1)/Days)+1,"")</f>
        <v/>
      </c>
      <c r="D5271">
        <f>IF(B5271,MOD(A5271-1,Days),"")</f>
        <v/>
      </c>
      <c r="E5271" s="16">
        <f>IF(B5271,StartDate+D5271,"")</f>
        <v/>
      </c>
      <c r="F5271">
        <f>IF(B5271,MAX(MOD(SIN(Seed*0.1373+C5271*12.9898+D5271*78.233)*43758.5453,1),1E-9),"")</f>
        <v/>
      </c>
      <c r="G5271">
        <f>IF(B5271,MOD(SIN(Seed*0.5917+C5271*39.3468+D5271*11.135)*24634.6345,1),"")</f>
        <v/>
      </c>
      <c r="H5271">
        <f>IF(B5271,SQRT(-2*LN(F5271))*COS(2*PI()*G5271),"")</f>
        <v/>
      </c>
      <c r="I5271">
        <f>IF(B5271,IF(D5271=0,H5271,Rho*I5270+SQRT(1-Rho^2)*H5271),"")</f>
        <v/>
      </c>
      <c r="J5271">
        <f>IF(B5271,IF(Dist="Normal",DistA+DistB*I5271,DistA+(DistB-DistA)*NORMSDIST(I5271)),"")</f>
        <v/>
      </c>
      <c r="K5271">
        <f>IF(B5271,INDEX(MineScale,C5271),"")</f>
        <v/>
      </c>
      <c r="L5271">
        <f>IF(B5271,INDEX(Dow,1,WEEKDAY(E5271,2)),"")</f>
        <v/>
      </c>
      <c r="M5271">
        <f>IF(B5271,(1+Trend)^D5271,"")</f>
        <v/>
      </c>
      <c r="N5271">
        <f>IF(B5271,EXP(SUMPRODUCT(LN(1+(EvEff-1)*INDEX(Affected,0,C5271)*EXP(-((E5271-EvCenter)^2)/(2*EvSigma^2))))),"")</f>
        <v/>
      </c>
      <c r="O5271">
        <f>IF(B5271,ROUND(MAX(0,J5271*K5271*L5271*M5271*N5271),2),"")</f>
        <v/>
      </c>
    </row>
    <row r="5272">
      <c r="A5272" t="n">
        <v>5271</v>
      </c>
      <c r="B5272">
        <f>A5272&lt;=MineCount*Days</f>
        <v/>
      </c>
      <c r="C5272">
        <f>IF(B5272,INT((A5272-1)/Days)+1,"")</f>
        <v/>
      </c>
      <c r="D5272">
        <f>IF(B5272,MOD(A5272-1,Days),"")</f>
        <v/>
      </c>
      <c r="E5272" s="16">
        <f>IF(B5272,StartDate+D5272,"")</f>
        <v/>
      </c>
      <c r="F5272">
        <f>IF(B5272,MAX(MOD(SIN(Seed*0.1373+C5272*12.9898+D5272*78.233)*43758.5453,1),1E-9),"")</f>
        <v/>
      </c>
      <c r="G5272">
        <f>IF(B5272,MOD(SIN(Seed*0.5917+C5272*39.3468+D5272*11.135)*24634.6345,1),"")</f>
        <v/>
      </c>
      <c r="H5272">
        <f>IF(B5272,SQRT(-2*LN(F5272))*COS(2*PI()*G5272),"")</f>
        <v/>
      </c>
      <c r="I5272">
        <f>IF(B5272,IF(D5272=0,H5272,Rho*I5271+SQRT(1-Rho^2)*H5272),"")</f>
        <v/>
      </c>
      <c r="J5272">
        <f>IF(B5272,IF(Dist="Normal",DistA+DistB*I5272,DistA+(DistB-DistA)*NORMSDIST(I5272)),"")</f>
        <v/>
      </c>
      <c r="K5272">
        <f>IF(B5272,INDEX(MineScale,C5272),"")</f>
        <v/>
      </c>
      <c r="L5272">
        <f>IF(B5272,INDEX(Dow,1,WEEKDAY(E5272,2)),"")</f>
        <v/>
      </c>
      <c r="M5272">
        <f>IF(B5272,(1+Trend)^D5272,"")</f>
        <v/>
      </c>
      <c r="N5272">
        <f>IF(B5272,EXP(SUMPRODUCT(LN(1+(EvEff-1)*INDEX(Affected,0,C5272)*EXP(-((E5272-EvCenter)^2)/(2*EvSigma^2))))),"")</f>
        <v/>
      </c>
      <c r="O5272">
        <f>IF(B5272,ROUND(MAX(0,J5272*K5272*L5272*M5272*N5272),2),"")</f>
        <v/>
      </c>
    </row>
    <row r="5273">
      <c r="A5273" t="n">
        <v>5272</v>
      </c>
      <c r="B5273">
        <f>A5273&lt;=MineCount*Days</f>
        <v/>
      </c>
      <c r="C5273">
        <f>IF(B5273,INT((A5273-1)/Days)+1,"")</f>
        <v/>
      </c>
      <c r="D5273">
        <f>IF(B5273,MOD(A5273-1,Days),"")</f>
        <v/>
      </c>
      <c r="E5273" s="16">
        <f>IF(B5273,StartDate+D5273,"")</f>
        <v/>
      </c>
      <c r="F5273">
        <f>IF(B5273,MAX(MOD(SIN(Seed*0.1373+C5273*12.9898+D5273*78.233)*43758.5453,1),1E-9),"")</f>
        <v/>
      </c>
      <c r="G5273">
        <f>IF(B5273,MOD(SIN(Seed*0.5917+C5273*39.3468+D5273*11.135)*24634.6345,1),"")</f>
        <v/>
      </c>
      <c r="H5273">
        <f>IF(B5273,SQRT(-2*LN(F5273))*COS(2*PI()*G5273),"")</f>
        <v/>
      </c>
      <c r="I5273">
        <f>IF(B5273,IF(D5273=0,H5273,Rho*I5272+SQRT(1-Rho^2)*H5273),"")</f>
        <v/>
      </c>
      <c r="J5273">
        <f>IF(B5273,IF(Dist="Normal",DistA+DistB*I5273,DistA+(DistB-DistA)*NORMSDIST(I5273)),"")</f>
        <v/>
      </c>
      <c r="K5273">
        <f>IF(B5273,INDEX(MineScale,C5273),"")</f>
        <v/>
      </c>
      <c r="L5273">
        <f>IF(B5273,INDEX(Dow,1,WEEKDAY(E5273,2)),"")</f>
        <v/>
      </c>
      <c r="M5273">
        <f>IF(B5273,(1+Trend)^D5273,"")</f>
        <v/>
      </c>
      <c r="N5273">
        <f>IF(B5273,EXP(SUMPRODUCT(LN(1+(EvEff-1)*INDEX(Affected,0,C5273)*EXP(-((E5273-EvCenter)^2)/(2*EvSigma^2))))),"")</f>
        <v/>
      </c>
      <c r="O5273">
        <f>IF(B5273,ROUND(MAX(0,J5273*K5273*L5273*M5273*N5273),2),"")</f>
        <v/>
      </c>
    </row>
    <row r="5274">
      <c r="A5274" t="n">
        <v>5273</v>
      </c>
      <c r="B5274">
        <f>A5274&lt;=MineCount*Days</f>
        <v/>
      </c>
      <c r="C5274">
        <f>IF(B5274,INT((A5274-1)/Days)+1,"")</f>
        <v/>
      </c>
      <c r="D5274">
        <f>IF(B5274,MOD(A5274-1,Days),"")</f>
        <v/>
      </c>
      <c r="E5274" s="16">
        <f>IF(B5274,StartDate+D5274,"")</f>
        <v/>
      </c>
      <c r="F5274">
        <f>IF(B5274,MAX(MOD(SIN(Seed*0.1373+C5274*12.9898+D5274*78.233)*43758.5453,1),1E-9),"")</f>
        <v/>
      </c>
      <c r="G5274">
        <f>IF(B5274,MOD(SIN(Seed*0.5917+C5274*39.3468+D5274*11.135)*24634.6345,1),"")</f>
        <v/>
      </c>
      <c r="H5274">
        <f>IF(B5274,SQRT(-2*LN(F5274))*COS(2*PI()*G5274),"")</f>
        <v/>
      </c>
      <c r="I5274">
        <f>IF(B5274,IF(D5274=0,H5274,Rho*I5273+SQRT(1-Rho^2)*H5274),"")</f>
        <v/>
      </c>
      <c r="J5274">
        <f>IF(B5274,IF(Dist="Normal",DistA+DistB*I5274,DistA+(DistB-DistA)*NORMSDIST(I5274)),"")</f>
        <v/>
      </c>
      <c r="K5274">
        <f>IF(B5274,INDEX(MineScale,C5274),"")</f>
        <v/>
      </c>
      <c r="L5274">
        <f>IF(B5274,INDEX(Dow,1,WEEKDAY(E5274,2)),"")</f>
        <v/>
      </c>
      <c r="M5274">
        <f>IF(B5274,(1+Trend)^D5274,"")</f>
        <v/>
      </c>
      <c r="N5274">
        <f>IF(B5274,EXP(SUMPRODUCT(LN(1+(EvEff-1)*INDEX(Affected,0,C5274)*EXP(-((E5274-EvCenter)^2)/(2*EvSigma^2))))),"")</f>
        <v/>
      </c>
      <c r="O5274">
        <f>IF(B5274,ROUND(MAX(0,J5274*K5274*L5274*M5274*N5274),2),"")</f>
        <v/>
      </c>
    </row>
    <row r="5275">
      <c r="A5275" t="n">
        <v>5274</v>
      </c>
      <c r="B5275">
        <f>A5275&lt;=MineCount*Days</f>
        <v/>
      </c>
      <c r="C5275">
        <f>IF(B5275,INT((A5275-1)/Days)+1,"")</f>
        <v/>
      </c>
      <c r="D5275">
        <f>IF(B5275,MOD(A5275-1,Days),"")</f>
        <v/>
      </c>
      <c r="E5275" s="16">
        <f>IF(B5275,StartDate+D5275,"")</f>
        <v/>
      </c>
      <c r="F5275">
        <f>IF(B5275,MAX(MOD(SIN(Seed*0.1373+C5275*12.9898+D5275*78.233)*43758.5453,1),1E-9),"")</f>
        <v/>
      </c>
      <c r="G5275">
        <f>IF(B5275,MOD(SIN(Seed*0.5917+C5275*39.3468+D5275*11.135)*24634.6345,1),"")</f>
        <v/>
      </c>
      <c r="H5275">
        <f>IF(B5275,SQRT(-2*LN(F5275))*COS(2*PI()*G5275),"")</f>
        <v/>
      </c>
      <c r="I5275">
        <f>IF(B5275,IF(D5275=0,H5275,Rho*I5274+SQRT(1-Rho^2)*H5275),"")</f>
        <v/>
      </c>
      <c r="J5275">
        <f>IF(B5275,IF(Dist="Normal",DistA+DistB*I5275,DistA+(DistB-DistA)*NORMSDIST(I5275)),"")</f>
        <v/>
      </c>
      <c r="K5275">
        <f>IF(B5275,INDEX(MineScale,C5275),"")</f>
        <v/>
      </c>
      <c r="L5275">
        <f>IF(B5275,INDEX(Dow,1,WEEKDAY(E5275,2)),"")</f>
        <v/>
      </c>
      <c r="M5275">
        <f>IF(B5275,(1+Trend)^D5275,"")</f>
        <v/>
      </c>
      <c r="N5275">
        <f>IF(B5275,EXP(SUMPRODUCT(LN(1+(EvEff-1)*INDEX(Affected,0,C5275)*EXP(-((E5275-EvCenter)^2)/(2*EvSigma^2))))),"")</f>
        <v/>
      </c>
      <c r="O5275">
        <f>IF(B5275,ROUND(MAX(0,J5275*K5275*L5275*M5275*N5275),2),"")</f>
        <v/>
      </c>
    </row>
    <row r="5276">
      <c r="A5276" t="n">
        <v>5275</v>
      </c>
      <c r="B5276">
        <f>A5276&lt;=MineCount*Days</f>
        <v/>
      </c>
      <c r="C5276">
        <f>IF(B5276,INT((A5276-1)/Days)+1,"")</f>
        <v/>
      </c>
      <c r="D5276">
        <f>IF(B5276,MOD(A5276-1,Days),"")</f>
        <v/>
      </c>
      <c r="E5276" s="16">
        <f>IF(B5276,StartDate+D5276,"")</f>
        <v/>
      </c>
      <c r="F5276">
        <f>IF(B5276,MAX(MOD(SIN(Seed*0.1373+C5276*12.9898+D5276*78.233)*43758.5453,1),1E-9),"")</f>
        <v/>
      </c>
      <c r="G5276">
        <f>IF(B5276,MOD(SIN(Seed*0.5917+C5276*39.3468+D5276*11.135)*24634.6345,1),"")</f>
        <v/>
      </c>
      <c r="H5276">
        <f>IF(B5276,SQRT(-2*LN(F5276))*COS(2*PI()*G5276),"")</f>
        <v/>
      </c>
      <c r="I5276">
        <f>IF(B5276,IF(D5276=0,H5276,Rho*I5275+SQRT(1-Rho^2)*H5276),"")</f>
        <v/>
      </c>
      <c r="J5276">
        <f>IF(B5276,IF(Dist="Normal",DistA+DistB*I5276,DistA+(DistB-DistA)*NORMSDIST(I5276)),"")</f>
        <v/>
      </c>
      <c r="K5276">
        <f>IF(B5276,INDEX(MineScale,C5276),"")</f>
        <v/>
      </c>
      <c r="L5276">
        <f>IF(B5276,INDEX(Dow,1,WEEKDAY(E5276,2)),"")</f>
        <v/>
      </c>
      <c r="M5276">
        <f>IF(B5276,(1+Trend)^D5276,"")</f>
        <v/>
      </c>
      <c r="N5276">
        <f>IF(B5276,EXP(SUMPRODUCT(LN(1+(EvEff-1)*INDEX(Affected,0,C5276)*EXP(-((E5276-EvCenter)^2)/(2*EvSigma^2))))),"")</f>
        <v/>
      </c>
      <c r="O5276">
        <f>IF(B5276,ROUND(MAX(0,J5276*K5276*L5276*M5276*N5276),2),"")</f>
        <v/>
      </c>
    </row>
    <row r="5277">
      <c r="A5277" t="n">
        <v>5276</v>
      </c>
      <c r="B5277">
        <f>A5277&lt;=MineCount*Days</f>
        <v/>
      </c>
      <c r="C5277">
        <f>IF(B5277,INT((A5277-1)/Days)+1,"")</f>
        <v/>
      </c>
      <c r="D5277">
        <f>IF(B5277,MOD(A5277-1,Days),"")</f>
        <v/>
      </c>
      <c r="E5277" s="16">
        <f>IF(B5277,StartDate+D5277,"")</f>
        <v/>
      </c>
      <c r="F5277">
        <f>IF(B5277,MAX(MOD(SIN(Seed*0.1373+C5277*12.9898+D5277*78.233)*43758.5453,1),1E-9),"")</f>
        <v/>
      </c>
      <c r="G5277">
        <f>IF(B5277,MOD(SIN(Seed*0.5917+C5277*39.3468+D5277*11.135)*24634.6345,1),"")</f>
        <v/>
      </c>
      <c r="H5277">
        <f>IF(B5277,SQRT(-2*LN(F5277))*COS(2*PI()*G5277),"")</f>
        <v/>
      </c>
      <c r="I5277">
        <f>IF(B5277,IF(D5277=0,H5277,Rho*I5276+SQRT(1-Rho^2)*H5277),"")</f>
        <v/>
      </c>
      <c r="J5277">
        <f>IF(B5277,IF(Dist="Normal",DistA+DistB*I5277,DistA+(DistB-DistA)*NORMSDIST(I5277)),"")</f>
        <v/>
      </c>
      <c r="K5277">
        <f>IF(B5277,INDEX(MineScale,C5277),"")</f>
        <v/>
      </c>
      <c r="L5277">
        <f>IF(B5277,INDEX(Dow,1,WEEKDAY(E5277,2)),"")</f>
        <v/>
      </c>
      <c r="M5277">
        <f>IF(B5277,(1+Trend)^D5277,"")</f>
        <v/>
      </c>
      <c r="N5277">
        <f>IF(B5277,EXP(SUMPRODUCT(LN(1+(EvEff-1)*INDEX(Affected,0,C5277)*EXP(-((E5277-EvCenter)^2)/(2*EvSigma^2))))),"")</f>
        <v/>
      </c>
      <c r="O5277">
        <f>IF(B5277,ROUND(MAX(0,J5277*K5277*L5277*M5277*N5277),2),"")</f>
        <v/>
      </c>
    </row>
    <row r="5278">
      <c r="A5278" t="n">
        <v>5277</v>
      </c>
      <c r="B5278">
        <f>A5278&lt;=MineCount*Days</f>
        <v/>
      </c>
      <c r="C5278">
        <f>IF(B5278,INT((A5278-1)/Days)+1,"")</f>
        <v/>
      </c>
      <c r="D5278">
        <f>IF(B5278,MOD(A5278-1,Days),"")</f>
        <v/>
      </c>
      <c r="E5278" s="16">
        <f>IF(B5278,StartDate+D5278,"")</f>
        <v/>
      </c>
      <c r="F5278">
        <f>IF(B5278,MAX(MOD(SIN(Seed*0.1373+C5278*12.9898+D5278*78.233)*43758.5453,1),1E-9),"")</f>
        <v/>
      </c>
      <c r="G5278">
        <f>IF(B5278,MOD(SIN(Seed*0.5917+C5278*39.3468+D5278*11.135)*24634.6345,1),"")</f>
        <v/>
      </c>
      <c r="H5278">
        <f>IF(B5278,SQRT(-2*LN(F5278))*COS(2*PI()*G5278),"")</f>
        <v/>
      </c>
      <c r="I5278">
        <f>IF(B5278,IF(D5278=0,H5278,Rho*I5277+SQRT(1-Rho^2)*H5278),"")</f>
        <v/>
      </c>
      <c r="J5278">
        <f>IF(B5278,IF(Dist="Normal",DistA+DistB*I5278,DistA+(DistB-DistA)*NORMSDIST(I5278)),"")</f>
        <v/>
      </c>
      <c r="K5278">
        <f>IF(B5278,INDEX(MineScale,C5278),"")</f>
        <v/>
      </c>
      <c r="L5278">
        <f>IF(B5278,INDEX(Dow,1,WEEKDAY(E5278,2)),"")</f>
        <v/>
      </c>
      <c r="M5278">
        <f>IF(B5278,(1+Trend)^D5278,"")</f>
        <v/>
      </c>
      <c r="N5278">
        <f>IF(B5278,EXP(SUMPRODUCT(LN(1+(EvEff-1)*INDEX(Affected,0,C5278)*EXP(-((E5278-EvCenter)^2)/(2*EvSigma^2))))),"")</f>
        <v/>
      </c>
      <c r="O5278">
        <f>IF(B5278,ROUND(MAX(0,J5278*K5278*L5278*M5278*N5278),2),"")</f>
        <v/>
      </c>
    </row>
    <row r="5279">
      <c r="A5279" t="n">
        <v>5278</v>
      </c>
      <c r="B5279">
        <f>A5279&lt;=MineCount*Days</f>
        <v/>
      </c>
      <c r="C5279">
        <f>IF(B5279,INT((A5279-1)/Days)+1,"")</f>
        <v/>
      </c>
      <c r="D5279">
        <f>IF(B5279,MOD(A5279-1,Days),"")</f>
        <v/>
      </c>
      <c r="E5279" s="16">
        <f>IF(B5279,StartDate+D5279,"")</f>
        <v/>
      </c>
      <c r="F5279">
        <f>IF(B5279,MAX(MOD(SIN(Seed*0.1373+C5279*12.9898+D5279*78.233)*43758.5453,1),1E-9),"")</f>
        <v/>
      </c>
      <c r="G5279">
        <f>IF(B5279,MOD(SIN(Seed*0.5917+C5279*39.3468+D5279*11.135)*24634.6345,1),"")</f>
        <v/>
      </c>
      <c r="H5279">
        <f>IF(B5279,SQRT(-2*LN(F5279))*COS(2*PI()*G5279),"")</f>
        <v/>
      </c>
      <c r="I5279">
        <f>IF(B5279,IF(D5279=0,H5279,Rho*I5278+SQRT(1-Rho^2)*H5279),"")</f>
        <v/>
      </c>
      <c r="J5279">
        <f>IF(B5279,IF(Dist="Normal",DistA+DistB*I5279,DistA+(DistB-DistA)*NORMSDIST(I5279)),"")</f>
        <v/>
      </c>
      <c r="K5279">
        <f>IF(B5279,INDEX(MineScale,C5279),"")</f>
        <v/>
      </c>
      <c r="L5279">
        <f>IF(B5279,INDEX(Dow,1,WEEKDAY(E5279,2)),"")</f>
        <v/>
      </c>
      <c r="M5279">
        <f>IF(B5279,(1+Trend)^D5279,"")</f>
        <v/>
      </c>
      <c r="N5279">
        <f>IF(B5279,EXP(SUMPRODUCT(LN(1+(EvEff-1)*INDEX(Affected,0,C5279)*EXP(-((E5279-EvCenter)^2)/(2*EvSigma^2))))),"")</f>
        <v/>
      </c>
      <c r="O5279">
        <f>IF(B5279,ROUND(MAX(0,J5279*K5279*L5279*M5279*N5279),2),"")</f>
        <v/>
      </c>
    </row>
    <row r="5280">
      <c r="A5280" t="n">
        <v>5279</v>
      </c>
      <c r="B5280">
        <f>A5280&lt;=MineCount*Days</f>
        <v/>
      </c>
      <c r="C5280">
        <f>IF(B5280,INT((A5280-1)/Days)+1,"")</f>
        <v/>
      </c>
      <c r="D5280">
        <f>IF(B5280,MOD(A5280-1,Days),"")</f>
        <v/>
      </c>
      <c r="E5280" s="16">
        <f>IF(B5280,StartDate+D5280,"")</f>
        <v/>
      </c>
      <c r="F5280">
        <f>IF(B5280,MAX(MOD(SIN(Seed*0.1373+C5280*12.9898+D5280*78.233)*43758.5453,1),1E-9),"")</f>
        <v/>
      </c>
      <c r="G5280">
        <f>IF(B5280,MOD(SIN(Seed*0.5917+C5280*39.3468+D5280*11.135)*24634.6345,1),"")</f>
        <v/>
      </c>
      <c r="H5280">
        <f>IF(B5280,SQRT(-2*LN(F5280))*COS(2*PI()*G5280),"")</f>
        <v/>
      </c>
      <c r="I5280">
        <f>IF(B5280,IF(D5280=0,H5280,Rho*I5279+SQRT(1-Rho^2)*H5280),"")</f>
        <v/>
      </c>
      <c r="J5280">
        <f>IF(B5280,IF(Dist="Normal",DistA+DistB*I5280,DistA+(DistB-DistA)*NORMSDIST(I5280)),"")</f>
        <v/>
      </c>
      <c r="K5280">
        <f>IF(B5280,INDEX(MineScale,C5280),"")</f>
        <v/>
      </c>
      <c r="L5280">
        <f>IF(B5280,INDEX(Dow,1,WEEKDAY(E5280,2)),"")</f>
        <v/>
      </c>
      <c r="M5280">
        <f>IF(B5280,(1+Trend)^D5280,"")</f>
        <v/>
      </c>
      <c r="N5280">
        <f>IF(B5280,EXP(SUMPRODUCT(LN(1+(EvEff-1)*INDEX(Affected,0,C5280)*EXP(-((E5280-EvCenter)^2)/(2*EvSigma^2))))),"")</f>
        <v/>
      </c>
      <c r="O5280">
        <f>IF(B5280,ROUND(MAX(0,J5280*K5280*L5280*M5280*N5280),2),"")</f>
        <v/>
      </c>
    </row>
    <row r="5281">
      <c r="A5281" t="n">
        <v>5280</v>
      </c>
      <c r="B5281">
        <f>A5281&lt;=MineCount*Days</f>
        <v/>
      </c>
      <c r="C5281">
        <f>IF(B5281,INT((A5281-1)/Days)+1,"")</f>
        <v/>
      </c>
      <c r="D5281">
        <f>IF(B5281,MOD(A5281-1,Days),"")</f>
        <v/>
      </c>
      <c r="E5281" s="16">
        <f>IF(B5281,StartDate+D5281,"")</f>
        <v/>
      </c>
      <c r="F5281">
        <f>IF(B5281,MAX(MOD(SIN(Seed*0.1373+C5281*12.9898+D5281*78.233)*43758.5453,1),1E-9),"")</f>
        <v/>
      </c>
      <c r="G5281">
        <f>IF(B5281,MOD(SIN(Seed*0.5917+C5281*39.3468+D5281*11.135)*24634.6345,1),"")</f>
        <v/>
      </c>
      <c r="H5281">
        <f>IF(B5281,SQRT(-2*LN(F5281))*COS(2*PI()*G5281),"")</f>
        <v/>
      </c>
      <c r="I5281">
        <f>IF(B5281,IF(D5281=0,H5281,Rho*I5280+SQRT(1-Rho^2)*H5281),"")</f>
        <v/>
      </c>
      <c r="J5281">
        <f>IF(B5281,IF(Dist="Normal",DistA+DistB*I5281,DistA+(DistB-DistA)*NORMSDIST(I5281)),"")</f>
        <v/>
      </c>
      <c r="K5281">
        <f>IF(B5281,INDEX(MineScale,C5281),"")</f>
        <v/>
      </c>
      <c r="L5281">
        <f>IF(B5281,INDEX(Dow,1,WEEKDAY(E5281,2)),"")</f>
        <v/>
      </c>
      <c r="M5281">
        <f>IF(B5281,(1+Trend)^D5281,"")</f>
        <v/>
      </c>
      <c r="N5281">
        <f>IF(B5281,EXP(SUMPRODUCT(LN(1+(EvEff-1)*INDEX(Affected,0,C5281)*EXP(-((E5281-EvCenter)^2)/(2*EvSigma^2))))),"")</f>
        <v/>
      </c>
      <c r="O5281">
        <f>IF(B5281,ROUND(MAX(0,J5281*K5281*L5281*M5281*N5281),2),"")</f>
        <v/>
      </c>
    </row>
    <row r="5282">
      <c r="A5282" t="n">
        <v>5281</v>
      </c>
      <c r="B5282">
        <f>A5282&lt;=MineCount*Days</f>
        <v/>
      </c>
      <c r="C5282">
        <f>IF(B5282,INT((A5282-1)/Days)+1,"")</f>
        <v/>
      </c>
      <c r="D5282">
        <f>IF(B5282,MOD(A5282-1,Days),"")</f>
        <v/>
      </c>
      <c r="E5282" s="16">
        <f>IF(B5282,StartDate+D5282,"")</f>
        <v/>
      </c>
      <c r="F5282">
        <f>IF(B5282,MAX(MOD(SIN(Seed*0.1373+C5282*12.9898+D5282*78.233)*43758.5453,1),1E-9),"")</f>
        <v/>
      </c>
      <c r="G5282">
        <f>IF(B5282,MOD(SIN(Seed*0.5917+C5282*39.3468+D5282*11.135)*24634.6345,1),"")</f>
        <v/>
      </c>
      <c r="H5282">
        <f>IF(B5282,SQRT(-2*LN(F5282))*COS(2*PI()*G5282),"")</f>
        <v/>
      </c>
      <c r="I5282">
        <f>IF(B5282,IF(D5282=0,H5282,Rho*I5281+SQRT(1-Rho^2)*H5282),"")</f>
        <v/>
      </c>
      <c r="J5282">
        <f>IF(B5282,IF(Dist="Normal",DistA+DistB*I5282,DistA+(DistB-DistA)*NORMSDIST(I5282)),"")</f>
        <v/>
      </c>
      <c r="K5282">
        <f>IF(B5282,INDEX(MineScale,C5282),"")</f>
        <v/>
      </c>
      <c r="L5282">
        <f>IF(B5282,INDEX(Dow,1,WEEKDAY(E5282,2)),"")</f>
        <v/>
      </c>
      <c r="M5282">
        <f>IF(B5282,(1+Trend)^D5282,"")</f>
        <v/>
      </c>
      <c r="N5282">
        <f>IF(B5282,EXP(SUMPRODUCT(LN(1+(EvEff-1)*INDEX(Affected,0,C5282)*EXP(-((E5282-EvCenter)^2)/(2*EvSigma^2))))),"")</f>
        <v/>
      </c>
      <c r="O5282">
        <f>IF(B5282,ROUND(MAX(0,J5282*K5282*L5282*M5282*N5282),2),"")</f>
        <v/>
      </c>
    </row>
    <row r="5283">
      <c r="A5283" t="n">
        <v>5282</v>
      </c>
      <c r="B5283">
        <f>A5283&lt;=MineCount*Days</f>
        <v/>
      </c>
      <c r="C5283">
        <f>IF(B5283,INT((A5283-1)/Days)+1,"")</f>
        <v/>
      </c>
      <c r="D5283">
        <f>IF(B5283,MOD(A5283-1,Days),"")</f>
        <v/>
      </c>
      <c r="E5283" s="16">
        <f>IF(B5283,StartDate+D5283,"")</f>
        <v/>
      </c>
      <c r="F5283">
        <f>IF(B5283,MAX(MOD(SIN(Seed*0.1373+C5283*12.9898+D5283*78.233)*43758.5453,1),1E-9),"")</f>
        <v/>
      </c>
      <c r="G5283">
        <f>IF(B5283,MOD(SIN(Seed*0.5917+C5283*39.3468+D5283*11.135)*24634.6345,1),"")</f>
        <v/>
      </c>
      <c r="H5283">
        <f>IF(B5283,SQRT(-2*LN(F5283))*COS(2*PI()*G5283),"")</f>
        <v/>
      </c>
      <c r="I5283">
        <f>IF(B5283,IF(D5283=0,H5283,Rho*I5282+SQRT(1-Rho^2)*H5283),"")</f>
        <v/>
      </c>
      <c r="J5283">
        <f>IF(B5283,IF(Dist="Normal",DistA+DistB*I5283,DistA+(DistB-DistA)*NORMSDIST(I5283)),"")</f>
        <v/>
      </c>
      <c r="K5283">
        <f>IF(B5283,INDEX(MineScale,C5283),"")</f>
        <v/>
      </c>
      <c r="L5283">
        <f>IF(B5283,INDEX(Dow,1,WEEKDAY(E5283,2)),"")</f>
        <v/>
      </c>
      <c r="M5283">
        <f>IF(B5283,(1+Trend)^D5283,"")</f>
        <v/>
      </c>
      <c r="N5283">
        <f>IF(B5283,EXP(SUMPRODUCT(LN(1+(EvEff-1)*INDEX(Affected,0,C5283)*EXP(-((E5283-EvCenter)^2)/(2*EvSigma^2))))),"")</f>
        <v/>
      </c>
      <c r="O5283">
        <f>IF(B5283,ROUND(MAX(0,J5283*K5283*L5283*M5283*N5283),2),"")</f>
        <v/>
      </c>
    </row>
    <row r="5284">
      <c r="A5284" t="n">
        <v>5283</v>
      </c>
      <c r="B5284">
        <f>A5284&lt;=MineCount*Days</f>
        <v/>
      </c>
      <c r="C5284">
        <f>IF(B5284,INT((A5284-1)/Days)+1,"")</f>
        <v/>
      </c>
      <c r="D5284">
        <f>IF(B5284,MOD(A5284-1,Days),"")</f>
        <v/>
      </c>
      <c r="E5284" s="16">
        <f>IF(B5284,StartDate+D5284,"")</f>
        <v/>
      </c>
      <c r="F5284">
        <f>IF(B5284,MAX(MOD(SIN(Seed*0.1373+C5284*12.9898+D5284*78.233)*43758.5453,1),1E-9),"")</f>
        <v/>
      </c>
      <c r="G5284">
        <f>IF(B5284,MOD(SIN(Seed*0.5917+C5284*39.3468+D5284*11.135)*24634.6345,1),"")</f>
        <v/>
      </c>
      <c r="H5284">
        <f>IF(B5284,SQRT(-2*LN(F5284))*COS(2*PI()*G5284),"")</f>
        <v/>
      </c>
      <c r="I5284">
        <f>IF(B5284,IF(D5284=0,H5284,Rho*I5283+SQRT(1-Rho^2)*H5284),"")</f>
        <v/>
      </c>
      <c r="J5284">
        <f>IF(B5284,IF(Dist="Normal",DistA+DistB*I5284,DistA+(DistB-DistA)*NORMSDIST(I5284)),"")</f>
        <v/>
      </c>
      <c r="K5284">
        <f>IF(B5284,INDEX(MineScale,C5284),"")</f>
        <v/>
      </c>
      <c r="L5284">
        <f>IF(B5284,INDEX(Dow,1,WEEKDAY(E5284,2)),"")</f>
        <v/>
      </c>
      <c r="M5284">
        <f>IF(B5284,(1+Trend)^D5284,"")</f>
        <v/>
      </c>
      <c r="N5284">
        <f>IF(B5284,EXP(SUMPRODUCT(LN(1+(EvEff-1)*INDEX(Affected,0,C5284)*EXP(-((E5284-EvCenter)^2)/(2*EvSigma^2))))),"")</f>
        <v/>
      </c>
      <c r="O5284">
        <f>IF(B5284,ROUND(MAX(0,J5284*K5284*L5284*M5284*N5284),2),"")</f>
        <v/>
      </c>
    </row>
    <row r="5285">
      <c r="A5285" t="n">
        <v>5284</v>
      </c>
      <c r="B5285">
        <f>A5285&lt;=MineCount*Days</f>
        <v/>
      </c>
      <c r="C5285">
        <f>IF(B5285,INT((A5285-1)/Days)+1,"")</f>
        <v/>
      </c>
      <c r="D5285">
        <f>IF(B5285,MOD(A5285-1,Days),"")</f>
        <v/>
      </c>
      <c r="E5285" s="16">
        <f>IF(B5285,StartDate+D5285,"")</f>
        <v/>
      </c>
      <c r="F5285">
        <f>IF(B5285,MAX(MOD(SIN(Seed*0.1373+C5285*12.9898+D5285*78.233)*43758.5453,1),1E-9),"")</f>
        <v/>
      </c>
      <c r="G5285">
        <f>IF(B5285,MOD(SIN(Seed*0.5917+C5285*39.3468+D5285*11.135)*24634.6345,1),"")</f>
        <v/>
      </c>
      <c r="H5285">
        <f>IF(B5285,SQRT(-2*LN(F5285))*COS(2*PI()*G5285),"")</f>
        <v/>
      </c>
      <c r="I5285">
        <f>IF(B5285,IF(D5285=0,H5285,Rho*I5284+SQRT(1-Rho^2)*H5285),"")</f>
        <v/>
      </c>
      <c r="J5285">
        <f>IF(B5285,IF(Dist="Normal",DistA+DistB*I5285,DistA+(DistB-DistA)*NORMSDIST(I5285)),"")</f>
        <v/>
      </c>
      <c r="K5285">
        <f>IF(B5285,INDEX(MineScale,C5285),"")</f>
        <v/>
      </c>
      <c r="L5285">
        <f>IF(B5285,INDEX(Dow,1,WEEKDAY(E5285,2)),"")</f>
        <v/>
      </c>
      <c r="M5285">
        <f>IF(B5285,(1+Trend)^D5285,"")</f>
        <v/>
      </c>
      <c r="N5285">
        <f>IF(B5285,EXP(SUMPRODUCT(LN(1+(EvEff-1)*INDEX(Affected,0,C5285)*EXP(-((E5285-EvCenter)^2)/(2*EvSigma^2))))),"")</f>
        <v/>
      </c>
      <c r="O5285">
        <f>IF(B5285,ROUND(MAX(0,J5285*K5285*L5285*M5285*N5285),2),"")</f>
        <v/>
      </c>
    </row>
    <row r="5286">
      <c r="A5286" t="n">
        <v>5285</v>
      </c>
      <c r="B5286">
        <f>A5286&lt;=MineCount*Days</f>
        <v/>
      </c>
      <c r="C5286">
        <f>IF(B5286,INT((A5286-1)/Days)+1,"")</f>
        <v/>
      </c>
      <c r="D5286">
        <f>IF(B5286,MOD(A5286-1,Days),"")</f>
        <v/>
      </c>
      <c r="E5286" s="16">
        <f>IF(B5286,StartDate+D5286,"")</f>
        <v/>
      </c>
      <c r="F5286">
        <f>IF(B5286,MAX(MOD(SIN(Seed*0.1373+C5286*12.9898+D5286*78.233)*43758.5453,1),1E-9),"")</f>
        <v/>
      </c>
      <c r="G5286">
        <f>IF(B5286,MOD(SIN(Seed*0.5917+C5286*39.3468+D5286*11.135)*24634.6345,1),"")</f>
        <v/>
      </c>
      <c r="H5286">
        <f>IF(B5286,SQRT(-2*LN(F5286))*COS(2*PI()*G5286),"")</f>
        <v/>
      </c>
      <c r="I5286">
        <f>IF(B5286,IF(D5286=0,H5286,Rho*I5285+SQRT(1-Rho^2)*H5286),"")</f>
        <v/>
      </c>
      <c r="J5286">
        <f>IF(B5286,IF(Dist="Normal",DistA+DistB*I5286,DistA+(DistB-DistA)*NORMSDIST(I5286)),"")</f>
        <v/>
      </c>
      <c r="K5286">
        <f>IF(B5286,INDEX(MineScale,C5286),"")</f>
        <v/>
      </c>
      <c r="L5286">
        <f>IF(B5286,INDEX(Dow,1,WEEKDAY(E5286,2)),"")</f>
        <v/>
      </c>
      <c r="M5286">
        <f>IF(B5286,(1+Trend)^D5286,"")</f>
        <v/>
      </c>
      <c r="N5286">
        <f>IF(B5286,EXP(SUMPRODUCT(LN(1+(EvEff-1)*INDEX(Affected,0,C5286)*EXP(-((E5286-EvCenter)^2)/(2*EvSigma^2))))),"")</f>
        <v/>
      </c>
      <c r="O5286">
        <f>IF(B5286,ROUND(MAX(0,J5286*K5286*L5286*M5286*N5286),2),"")</f>
        <v/>
      </c>
    </row>
    <row r="5287">
      <c r="A5287" t="n">
        <v>5286</v>
      </c>
      <c r="B5287">
        <f>A5287&lt;=MineCount*Days</f>
        <v/>
      </c>
      <c r="C5287">
        <f>IF(B5287,INT((A5287-1)/Days)+1,"")</f>
        <v/>
      </c>
      <c r="D5287">
        <f>IF(B5287,MOD(A5287-1,Days),"")</f>
        <v/>
      </c>
      <c r="E5287" s="16">
        <f>IF(B5287,StartDate+D5287,"")</f>
        <v/>
      </c>
      <c r="F5287">
        <f>IF(B5287,MAX(MOD(SIN(Seed*0.1373+C5287*12.9898+D5287*78.233)*43758.5453,1),1E-9),"")</f>
        <v/>
      </c>
      <c r="G5287">
        <f>IF(B5287,MOD(SIN(Seed*0.5917+C5287*39.3468+D5287*11.135)*24634.6345,1),"")</f>
        <v/>
      </c>
      <c r="H5287">
        <f>IF(B5287,SQRT(-2*LN(F5287))*COS(2*PI()*G5287),"")</f>
        <v/>
      </c>
      <c r="I5287">
        <f>IF(B5287,IF(D5287=0,H5287,Rho*I5286+SQRT(1-Rho^2)*H5287),"")</f>
        <v/>
      </c>
      <c r="J5287">
        <f>IF(B5287,IF(Dist="Normal",DistA+DistB*I5287,DistA+(DistB-DistA)*NORMSDIST(I5287)),"")</f>
        <v/>
      </c>
      <c r="K5287">
        <f>IF(B5287,INDEX(MineScale,C5287),"")</f>
        <v/>
      </c>
      <c r="L5287">
        <f>IF(B5287,INDEX(Dow,1,WEEKDAY(E5287,2)),"")</f>
        <v/>
      </c>
      <c r="M5287">
        <f>IF(B5287,(1+Trend)^D5287,"")</f>
        <v/>
      </c>
      <c r="N5287">
        <f>IF(B5287,EXP(SUMPRODUCT(LN(1+(EvEff-1)*INDEX(Affected,0,C5287)*EXP(-((E5287-EvCenter)^2)/(2*EvSigma^2))))),"")</f>
        <v/>
      </c>
      <c r="O5287">
        <f>IF(B5287,ROUND(MAX(0,J5287*K5287*L5287*M5287*N5287),2),"")</f>
        <v/>
      </c>
    </row>
    <row r="5288">
      <c r="A5288" t="n">
        <v>5287</v>
      </c>
      <c r="B5288">
        <f>A5288&lt;=MineCount*Days</f>
        <v/>
      </c>
      <c r="C5288">
        <f>IF(B5288,INT((A5288-1)/Days)+1,"")</f>
        <v/>
      </c>
      <c r="D5288">
        <f>IF(B5288,MOD(A5288-1,Days),"")</f>
        <v/>
      </c>
      <c r="E5288" s="16">
        <f>IF(B5288,StartDate+D5288,"")</f>
        <v/>
      </c>
      <c r="F5288">
        <f>IF(B5288,MAX(MOD(SIN(Seed*0.1373+C5288*12.9898+D5288*78.233)*43758.5453,1),1E-9),"")</f>
        <v/>
      </c>
      <c r="G5288">
        <f>IF(B5288,MOD(SIN(Seed*0.5917+C5288*39.3468+D5288*11.135)*24634.6345,1),"")</f>
        <v/>
      </c>
      <c r="H5288">
        <f>IF(B5288,SQRT(-2*LN(F5288))*COS(2*PI()*G5288),"")</f>
        <v/>
      </c>
      <c r="I5288">
        <f>IF(B5288,IF(D5288=0,H5288,Rho*I5287+SQRT(1-Rho^2)*H5288),"")</f>
        <v/>
      </c>
      <c r="J5288">
        <f>IF(B5288,IF(Dist="Normal",DistA+DistB*I5288,DistA+(DistB-DistA)*NORMSDIST(I5288)),"")</f>
        <v/>
      </c>
      <c r="K5288">
        <f>IF(B5288,INDEX(MineScale,C5288),"")</f>
        <v/>
      </c>
      <c r="L5288">
        <f>IF(B5288,INDEX(Dow,1,WEEKDAY(E5288,2)),"")</f>
        <v/>
      </c>
      <c r="M5288">
        <f>IF(B5288,(1+Trend)^D5288,"")</f>
        <v/>
      </c>
      <c r="N5288">
        <f>IF(B5288,EXP(SUMPRODUCT(LN(1+(EvEff-1)*INDEX(Affected,0,C5288)*EXP(-((E5288-EvCenter)^2)/(2*EvSigma^2))))),"")</f>
        <v/>
      </c>
      <c r="O5288">
        <f>IF(B5288,ROUND(MAX(0,J5288*K5288*L5288*M5288*N5288),2),"")</f>
        <v/>
      </c>
    </row>
    <row r="5289">
      <c r="A5289" t="n">
        <v>5288</v>
      </c>
      <c r="B5289">
        <f>A5289&lt;=MineCount*Days</f>
        <v/>
      </c>
      <c r="C5289">
        <f>IF(B5289,INT((A5289-1)/Days)+1,"")</f>
        <v/>
      </c>
      <c r="D5289">
        <f>IF(B5289,MOD(A5289-1,Days),"")</f>
        <v/>
      </c>
      <c r="E5289" s="16">
        <f>IF(B5289,StartDate+D5289,"")</f>
        <v/>
      </c>
      <c r="F5289">
        <f>IF(B5289,MAX(MOD(SIN(Seed*0.1373+C5289*12.9898+D5289*78.233)*43758.5453,1),1E-9),"")</f>
        <v/>
      </c>
      <c r="G5289">
        <f>IF(B5289,MOD(SIN(Seed*0.5917+C5289*39.3468+D5289*11.135)*24634.6345,1),"")</f>
        <v/>
      </c>
      <c r="H5289">
        <f>IF(B5289,SQRT(-2*LN(F5289))*COS(2*PI()*G5289),"")</f>
        <v/>
      </c>
      <c r="I5289">
        <f>IF(B5289,IF(D5289=0,H5289,Rho*I5288+SQRT(1-Rho^2)*H5289),"")</f>
        <v/>
      </c>
      <c r="J5289">
        <f>IF(B5289,IF(Dist="Normal",DistA+DistB*I5289,DistA+(DistB-DistA)*NORMSDIST(I5289)),"")</f>
        <v/>
      </c>
      <c r="K5289">
        <f>IF(B5289,INDEX(MineScale,C5289),"")</f>
        <v/>
      </c>
      <c r="L5289">
        <f>IF(B5289,INDEX(Dow,1,WEEKDAY(E5289,2)),"")</f>
        <v/>
      </c>
      <c r="M5289">
        <f>IF(B5289,(1+Trend)^D5289,"")</f>
        <v/>
      </c>
      <c r="N5289">
        <f>IF(B5289,EXP(SUMPRODUCT(LN(1+(EvEff-1)*INDEX(Affected,0,C5289)*EXP(-((E5289-EvCenter)^2)/(2*EvSigma^2))))),"")</f>
        <v/>
      </c>
      <c r="O5289">
        <f>IF(B5289,ROUND(MAX(0,J5289*K5289*L5289*M5289*N5289),2),"")</f>
        <v/>
      </c>
    </row>
    <row r="5290">
      <c r="A5290" t="n">
        <v>5289</v>
      </c>
      <c r="B5290">
        <f>A5290&lt;=MineCount*Days</f>
        <v/>
      </c>
      <c r="C5290">
        <f>IF(B5290,INT((A5290-1)/Days)+1,"")</f>
        <v/>
      </c>
      <c r="D5290">
        <f>IF(B5290,MOD(A5290-1,Days),"")</f>
        <v/>
      </c>
      <c r="E5290" s="16">
        <f>IF(B5290,StartDate+D5290,"")</f>
        <v/>
      </c>
      <c r="F5290">
        <f>IF(B5290,MAX(MOD(SIN(Seed*0.1373+C5290*12.9898+D5290*78.233)*43758.5453,1),1E-9),"")</f>
        <v/>
      </c>
      <c r="G5290">
        <f>IF(B5290,MOD(SIN(Seed*0.5917+C5290*39.3468+D5290*11.135)*24634.6345,1),"")</f>
        <v/>
      </c>
      <c r="H5290">
        <f>IF(B5290,SQRT(-2*LN(F5290))*COS(2*PI()*G5290),"")</f>
        <v/>
      </c>
      <c r="I5290">
        <f>IF(B5290,IF(D5290=0,H5290,Rho*I5289+SQRT(1-Rho^2)*H5290),"")</f>
        <v/>
      </c>
      <c r="J5290">
        <f>IF(B5290,IF(Dist="Normal",DistA+DistB*I5290,DistA+(DistB-DistA)*NORMSDIST(I5290)),"")</f>
        <v/>
      </c>
      <c r="K5290">
        <f>IF(B5290,INDEX(MineScale,C5290),"")</f>
        <v/>
      </c>
      <c r="L5290">
        <f>IF(B5290,INDEX(Dow,1,WEEKDAY(E5290,2)),"")</f>
        <v/>
      </c>
      <c r="M5290">
        <f>IF(B5290,(1+Trend)^D5290,"")</f>
        <v/>
      </c>
      <c r="N5290">
        <f>IF(B5290,EXP(SUMPRODUCT(LN(1+(EvEff-1)*INDEX(Affected,0,C5290)*EXP(-((E5290-EvCenter)^2)/(2*EvSigma^2))))),"")</f>
        <v/>
      </c>
      <c r="O5290">
        <f>IF(B5290,ROUND(MAX(0,J5290*K5290*L5290*M5290*N5290),2),"")</f>
        <v/>
      </c>
    </row>
    <row r="5291">
      <c r="A5291" t="n">
        <v>5290</v>
      </c>
      <c r="B5291">
        <f>A5291&lt;=MineCount*Days</f>
        <v/>
      </c>
      <c r="C5291">
        <f>IF(B5291,INT((A5291-1)/Days)+1,"")</f>
        <v/>
      </c>
      <c r="D5291">
        <f>IF(B5291,MOD(A5291-1,Days),"")</f>
        <v/>
      </c>
      <c r="E5291" s="16">
        <f>IF(B5291,StartDate+D5291,"")</f>
        <v/>
      </c>
      <c r="F5291">
        <f>IF(B5291,MAX(MOD(SIN(Seed*0.1373+C5291*12.9898+D5291*78.233)*43758.5453,1),1E-9),"")</f>
        <v/>
      </c>
      <c r="G5291">
        <f>IF(B5291,MOD(SIN(Seed*0.5917+C5291*39.3468+D5291*11.135)*24634.6345,1),"")</f>
        <v/>
      </c>
      <c r="H5291">
        <f>IF(B5291,SQRT(-2*LN(F5291))*COS(2*PI()*G5291),"")</f>
        <v/>
      </c>
      <c r="I5291">
        <f>IF(B5291,IF(D5291=0,H5291,Rho*I5290+SQRT(1-Rho^2)*H5291),"")</f>
        <v/>
      </c>
      <c r="J5291">
        <f>IF(B5291,IF(Dist="Normal",DistA+DistB*I5291,DistA+(DistB-DistA)*NORMSDIST(I5291)),"")</f>
        <v/>
      </c>
      <c r="K5291">
        <f>IF(B5291,INDEX(MineScale,C5291),"")</f>
        <v/>
      </c>
      <c r="L5291">
        <f>IF(B5291,INDEX(Dow,1,WEEKDAY(E5291,2)),"")</f>
        <v/>
      </c>
      <c r="M5291">
        <f>IF(B5291,(1+Trend)^D5291,"")</f>
        <v/>
      </c>
      <c r="N5291">
        <f>IF(B5291,EXP(SUMPRODUCT(LN(1+(EvEff-1)*INDEX(Affected,0,C5291)*EXP(-((E5291-EvCenter)^2)/(2*EvSigma^2))))),"")</f>
        <v/>
      </c>
      <c r="O5291">
        <f>IF(B5291,ROUND(MAX(0,J5291*K5291*L5291*M5291*N5291),2),"")</f>
        <v/>
      </c>
    </row>
    <row r="5292">
      <c r="A5292" t="n">
        <v>5291</v>
      </c>
      <c r="B5292">
        <f>A5292&lt;=MineCount*Days</f>
        <v/>
      </c>
      <c r="C5292">
        <f>IF(B5292,INT((A5292-1)/Days)+1,"")</f>
        <v/>
      </c>
      <c r="D5292">
        <f>IF(B5292,MOD(A5292-1,Days),"")</f>
        <v/>
      </c>
      <c r="E5292" s="16">
        <f>IF(B5292,StartDate+D5292,"")</f>
        <v/>
      </c>
      <c r="F5292">
        <f>IF(B5292,MAX(MOD(SIN(Seed*0.1373+C5292*12.9898+D5292*78.233)*43758.5453,1),1E-9),"")</f>
        <v/>
      </c>
      <c r="G5292">
        <f>IF(B5292,MOD(SIN(Seed*0.5917+C5292*39.3468+D5292*11.135)*24634.6345,1),"")</f>
        <v/>
      </c>
      <c r="H5292">
        <f>IF(B5292,SQRT(-2*LN(F5292))*COS(2*PI()*G5292),"")</f>
        <v/>
      </c>
      <c r="I5292">
        <f>IF(B5292,IF(D5292=0,H5292,Rho*I5291+SQRT(1-Rho^2)*H5292),"")</f>
        <v/>
      </c>
      <c r="J5292">
        <f>IF(B5292,IF(Dist="Normal",DistA+DistB*I5292,DistA+(DistB-DistA)*NORMSDIST(I5292)),"")</f>
        <v/>
      </c>
      <c r="K5292">
        <f>IF(B5292,INDEX(MineScale,C5292),"")</f>
        <v/>
      </c>
      <c r="L5292">
        <f>IF(B5292,INDEX(Dow,1,WEEKDAY(E5292,2)),"")</f>
        <v/>
      </c>
      <c r="M5292">
        <f>IF(B5292,(1+Trend)^D5292,"")</f>
        <v/>
      </c>
      <c r="N5292">
        <f>IF(B5292,EXP(SUMPRODUCT(LN(1+(EvEff-1)*INDEX(Affected,0,C5292)*EXP(-((E5292-EvCenter)^2)/(2*EvSigma^2))))),"")</f>
        <v/>
      </c>
      <c r="O5292">
        <f>IF(B5292,ROUND(MAX(0,J5292*K5292*L5292*M5292*N5292),2),"")</f>
        <v/>
      </c>
    </row>
    <row r="5293">
      <c r="A5293" t="n">
        <v>5292</v>
      </c>
      <c r="B5293">
        <f>A5293&lt;=MineCount*Days</f>
        <v/>
      </c>
      <c r="C5293">
        <f>IF(B5293,INT((A5293-1)/Days)+1,"")</f>
        <v/>
      </c>
      <c r="D5293">
        <f>IF(B5293,MOD(A5293-1,Days),"")</f>
        <v/>
      </c>
      <c r="E5293" s="16">
        <f>IF(B5293,StartDate+D5293,"")</f>
        <v/>
      </c>
      <c r="F5293">
        <f>IF(B5293,MAX(MOD(SIN(Seed*0.1373+C5293*12.9898+D5293*78.233)*43758.5453,1),1E-9),"")</f>
        <v/>
      </c>
      <c r="G5293">
        <f>IF(B5293,MOD(SIN(Seed*0.5917+C5293*39.3468+D5293*11.135)*24634.6345,1),"")</f>
        <v/>
      </c>
      <c r="H5293">
        <f>IF(B5293,SQRT(-2*LN(F5293))*COS(2*PI()*G5293),"")</f>
        <v/>
      </c>
      <c r="I5293">
        <f>IF(B5293,IF(D5293=0,H5293,Rho*I5292+SQRT(1-Rho^2)*H5293),"")</f>
        <v/>
      </c>
      <c r="J5293">
        <f>IF(B5293,IF(Dist="Normal",DistA+DistB*I5293,DistA+(DistB-DistA)*NORMSDIST(I5293)),"")</f>
        <v/>
      </c>
      <c r="K5293">
        <f>IF(B5293,INDEX(MineScale,C5293),"")</f>
        <v/>
      </c>
      <c r="L5293">
        <f>IF(B5293,INDEX(Dow,1,WEEKDAY(E5293,2)),"")</f>
        <v/>
      </c>
      <c r="M5293">
        <f>IF(B5293,(1+Trend)^D5293,"")</f>
        <v/>
      </c>
      <c r="N5293">
        <f>IF(B5293,EXP(SUMPRODUCT(LN(1+(EvEff-1)*INDEX(Affected,0,C5293)*EXP(-((E5293-EvCenter)^2)/(2*EvSigma^2))))),"")</f>
        <v/>
      </c>
      <c r="O5293">
        <f>IF(B5293,ROUND(MAX(0,J5293*K5293*L5293*M5293*N5293),2),"")</f>
        <v/>
      </c>
    </row>
    <row r="5294">
      <c r="A5294" t="n">
        <v>5293</v>
      </c>
      <c r="B5294">
        <f>A5294&lt;=MineCount*Days</f>
        <v/>
      </c>
      <c r="C5294">
        <f>IF(B5294,INT((A5294-1)/Days)+1,"")</f>
        <v/>
      </c>
      <c r="D5294">
        <f>IF(B5294,MOD(A5294-1,Days),"")</f>
        <v/>
      </c>
      <c r="E5294" s="16">
        <f>IF(B5294,StartDate+D5294,"")</f>
        <v/>
      </c>
      <c r="F5294">
        <f>IF(B5294,MAX(MOD(SIN(Seed*0.1373+C5294*12.9898+D5294*78.233)*43758.5453,1),1E-9),"")</f>
        <v/>
      </c>
      <c r="G5294">
        <f>IF(B5294,MOD(SIN(Seed*0.5917+C5294*39.3468+D5294*11.135)*24634.6345,1),"")</f>
        <v/>
      </c>
      <c r="H5294">
        <f>IF(B5294,SQRT(-2*LN(F5294))*COS(2*PI()*G5294),"")</f>
        <v/>
      </c>
      <c r="I5294">
        <f>IF(B5294,IF(D5294=0,H5294,Rho*I5293+SQRT(1-Rho^2)*H5294),"")</f>
        <v/>
      </c>
      <c r="J5294">
        <f>IF(B5294,IF(Dist="Normal",DistA+DistB*I5294,DistA+(DistB-DistA)*NORMSDIST(I5294)),"")</f>
        <v/>
      </c>
      <c r="K5294">
        <f>IF(B5294,INDEX(MineScale,C5294),"")</f>
        <v/>
      </c>
      <c r="L5294">
        <f>IF(B5294,INDEX(Dow,1,WEEKDAY(E5294,2)),"")</f>
        <v/>
      </c>
      <c r="M5294">
        <f>IF(B5294,(1+Trend)^D5294,"")</f>
        <v/>
      </c>
      <c r="N5294">
        <f>IF(B5294,EXP(SUMPRODUCT(LN(1+(EvEff-1)*INDEX(Affected,0,C5294)*EXP(-((E5294-EvCenter)^2)/(2*EvSigma^2))))),"")</f>
        <v/>
      </c>
      <c r="O5294">
        <f>IF(B5294,ROUND(MAX(0,J5294*K5294*L5294*M5294*N5294),2),"")</f>
        <v/>
      </c>
    </row>
    <row r="5295">
      <c r="A5295" t="n">
        <v>5294</v>
      </c>
      <c r="B5295">
        <f>A5295&lt;=MineCount*Days</f>
        <v/>
      </c>
      <c r="C5295">
        <f>IF(B5295,INT((A5295-1)/Days)+1,"")</f>
        <v/>
      </c>
      <c r="D5295">
        <f>IF(B5295,MOD(A5295-1,Days),"")</f>
        <v/>
      </c>
      <c r="E5295" s="16">
        <f>IF(B5295,StartDate+D5295,"")</f>
        <v/>
      </c>
      <c r="F5295">
        <f>IF(B5295,MAX(MOD(SIN(Seed*0.1373+C5295*12.9898+D5295*78.233)*43758.5453,1),1E-9),"")</f>
        <v/>
      </c>
      <c r="G5295">
        <f>IF(B5295,MOD(SIN(Seed*0.5917+C5295*39.3468+D5295*11.135)*24634.6345,1),"")</f>
        <v/>
      </c>
      <c r="H5295">
        <f>IF(B5295,SQRT(-2*LN(F5295))*COS(2*PI()*G5295),"")</f>
        <v/>
      </c>
      <c r="I5295">
        <f>IF(B5295,IF(D5295=0,H5295,Rho*I5294+SQRT(1-Rho^2)*H5295),"")</f>
        <v/>
      </c>
      <c r="J5295">
        <f>IF(B5295,IF(Dist="Normal",DistA+DistB*I5295,DistA+(DistB-DistA)*NORMSDIST(I5295)),"")</f>
        <v/>
      </c>
      <c r="K5295">
        <f>IF(B5295,INDEX(MineScale,C5295),"")</f>
        <v/>
      </c>
      <c r="L5295">
        <f>IF(B5295,INDEX(Dow,1,WEEKDAY(E5295,2)),"")</f>
        <v/>
      </c>
      <c r="M5295">
        <f>IF(B5295,(1+Trend)^D5295,"")</f>
        <v/>
      </c>
      <c r="N5295">
        <f>IF(B5295,EXP(SUMPRODUCT(LN(1+(EvEff-1)*INDEX(Affected,0,C5295)*EXP(-((E5295-EvCenter)^2)/(2*EvSigma^2))))),"")</f>
        <v/>
      </c>
      <c r="O5295">
        <f>IF(B5295,ROUND(MAX(0,J5295*K5295*L5295*M5295*N5295),2),"")</f>
        <v/>
      </c>
    </row>
    <row r="5296">
      <c r="A5296" t="n">
        <v>5295</v>
      </c>
      <c r="B5296">
        <f>A5296&lt;=MineCount*Days</f>
        <v/>
      </c>
      <c r="C5296">
        <f>IF(B5296,INT((A5296-1)/Days)+1,"")</f>
        <v/>
      </c>
      <c r="D5296">
        <f>IF(B5296,MOD(A5296-1,Days),"")</f>
        <v/>
      </c>
      <c r="E5296" s="16">
        <f>IF(B5296,StartDate+D5296,"")</f>
        <v/>
      </c>
      <c r="F5296">
        <f>IF(B5296,MAX(MOD(SIN(Seed*0.1373+C5296*12.9898+D5296*78.233)*43758.5453,1),1E-9),"")</f>
        <v/>
      </c>
      <c r="G5296">
        <f>IF(B5296,MOD(SIN(Seed*0.5917+C5296*39.3468+D5296*11.135)*24634.6345,1),"")</f>
        <v/>
      </c>
      <c r="H5296">
        <f>IF(B5296,SQRT(-2*LN(F5296))*COS(2*PI()*G5296),"")</f>
        <v/>
      </c>
      <c r="I5296">
        <f>IF(B5296,IF(D5296=0,H5296,Rho*I5295+SQRT(1-Rho^2)*H5296),"")</f>
        <v/>
      </c>
      <c r="J5296">
        <f>IF(B5296,IF(Dist="Normal",DistA+DistB*I5296,DistA+(DistB-DistA)*NORMSDIST(I5296)),"")</f>
        <v/>
      </c>
      <c r="K5296">
        <f>IF(B5296,INDEX(MineScale,C5296),"")</f>
        <v/>
      </c>
      <c r="L5296">
        <f>IF(B5296,INDEX(Dow,1,WEEKDAY(E5296,2)),"")</f>
        <v/>
      </c>
      <c r="M5296">
        <f>IF(B5296,(1+Trend)^D5296,"")</f>
        <v/>
      </c>
      <c r="N5296">
        <f>IF(B5296,EXP(SUMPRODUCT(LN(1+(EvEff-1)*INDEX(Affected,0,C5296)*EXP(-((E5296-EvCenter)^2)/(2*EvSigma^2))))),"")</f>
        <v/>
      </c>
      <c r="O5296">
        <f>IF(B5296,ROUND(MAX(0,J5296*K5296*L5296*M5296*N5296),2),"")</f>
        <v/>
      </c>
    </row>
    <row r="5297">
      <c r="A5297" t="n">
        <v>5296</v>
      </c>
      <c r="B5297">
        <f>A5297&lt;=MineCount*Days</f>
        <v/>
      </c>
      <c r="C5297">
        <f>IF(B5297,INT((A5297-1)/Days)+1,"")</f>
        <v/>
      </c>
      <c r="D5297">
        <f>IF(B5297,MOD(A5297-1,Days),"")</f>
        <v/>
      </c>
      <c r="E5297" s="16">
        <f>IF(B5297,StartDate+D5297,"")</f>
        <v/>
      </c>
      <c r="F5297">
        <f>IF(B5297,MAX(MOD(SIN(Seed*0.1373+C5297*12.9898+D5297*78.233)*43758.5453,1),1E-9),"")</f>
        <v/>
      </c>
      <c r="G5297">
        <f>IF(B5297,MOD(SIN(Seed*0.5917+C5297*39.3468+D5297*11.135)*24634.6345,1),"")</f>
        <v/>
      </c>
      <c r="H5297">
        <f>IF(B5297,SQRT(-2*LN(F5297))*COS(2*PI()*G5297),"")</f>
        <v/>
      </c>
      <c r="I5297">
        <f>IF(B5297,IF(D5297=0,H5297,Rho*I5296+SQRT(1-Rho^2)*H5297),"")</f>
        <v/>
      </c>
      <c r="J5297">
        <f>IF(B5297,IF(Dist="Normal",DistA+DistB*I5297,DistA+(DistB-DistA)*NORMSDIST(I5297)),"")</f>
        <v/>
      </c>
      <c r="K5297">
        <f>IF(B5297,INDEX(MineScale,C5297),"")</f>
        <v/>
      </c>
      <c r="L5297">
        <f>IF(B5297,INDEX(Dow,1,WEEKDAY(E5297,2)),"")</f>
        <v/>
      </c>
      <c r="M5297">
        <f>IF(B5297,(1+Trend)^D5297,"")</f>
        <v/>
      </c>
      <c r="N5297">
        <f>IF(B5297,EXP(SUMPRODUCT(LN(1+(EvEff-1)*INDEX(Affected,0,C5297)*EXP(-((E5297-EvCenter)^2)/(2*EvSigma^2))))),"")</f>
        <v/>
      </c>
      <c r="O5297">
        <f>IF(B5297,ROUND(MAX(0,J5297*K5297*L5297*M5297*N5297),2),"")</f>
        <v/>
      </c>
    </row>
    <row r="5298">
      <c r="A5298" t="n">
        <v>5297</v>
      </c>
      <c r="B5298">
        <f>A5298&lt;=MineCount*Days</f>
        <v/>
      </c>
      <c r="C5298">
        <f>IF(B5298,INT((A5298-1)/Days)+1,"")</f>
        <v/>
      </c>
      <c r="D5298">
        <f>IF(B5298,MOD(A5298-1,Days),"")</f>
        <v/>
      </c>
      <c r="E5298" s="16">
        <f>IF(B5298,StartDate+D5298,"")</f>
        <v/>
      </c>
      <c r="F5298">
        <f>IF(B5298,MAX(MOD(SIN(Seed*0.1373+C5298*12.9898+D5298*78.233)*43758.5453,1),1E-9),"")</f>
        <v/>
      </c>
      <c r="G5298">
        <f>IF(B5298,MOD(SIN(Seed*0.5917+C5298*39.3468+D5298*11.135)*24634.6345,1),"")</f>
        <v/>
      </c>
      <c r="H5298">
        <f>IF(B5298,SQRT(-2*LN(F5298))*COS(2*PI()*G5298),"")</f>
        <v/>
      </c>
      <c r="I5298">
        <f>IF(B5298,IF(D5298=0,H5298,Rho*I5297+SQRT(1-Rho^2)*H5298),"")</f>
        <v/>
      </c>
      <c r="J5298">
        <f>IF(B5298,IF(Dist="Normal",DistA+DistB*I5298,DistA+(DistB-DistA)*NORMSDIST(I5298)),"")</f>
        <v/>
      </c>
      <c r="K5298">
        <f>IF(B5298,INDEX(MineScale,C5298),"")</f>
        <v/>
      </c>
      <c r="L5298">
        <f>IF(B5298,INDEX(Dow,1,WEEKDAY(E5298,2)),"")</f>
        <v/>
      </c>
      <c r="M5298">
        <f>IF(B5298,(1+Trend)^D5298,"")</f>
        <v/>
      </c>
      <c r="N5298">
        <f>IF(B5298,EXP(SUMPRODUCT(LN(1+(EvEff-1)*INDEX(Affected,0,C5298)*EXP(-((E5298-EvCenter)^2)/(2*EvSigma^2))))),"")</f>
        <v/>
      </c>
      <c r="O5298">
        <f>IF(B5298,ROUND(MAX(0,J5298*K5298*L5298*M5298*N5298),2),"")</f>
        <v/>
      </c>
    </row>
    <row r="5299">
      <c r="A5299" t="n">
        <v>5298</v>
      </c>
      <c r="B5299">
        <f>A5299&lt;=MineCount*Days</f>
        <v/>
      </c>
      <c r="C5299">
        <f>IF(B5299,INT((A5299-1)/Days)+1,"")</f>
        <v/>
      </c>
      <c r="D5299">
        <f>IF(B5299,MOD(A5299-1,Days),"")</f>
        <v/>
      </c>
      <c r="E5299" s="16">
        <f>IF(B5299,StartDate+D5299,"")</f>
        <v/>
      </c>
      <c r="F5299">
        <f>IF(B5299,MAX(MOD(SIN(Seed*0.1373+C5299*12.9898+D5299*78.233)*43758.5453,1),1E-9),"")</f>
        <v/>
      </c>
      <c r="G5299">
        <f>IF(B5299,MOD(SIN(Seed*0.5917+C5299*39.3468+D5299*11.135)*24634.6345,1),"")</f>
        <v/>
      </c>
      <c r="H5299">
        <f>IF(B5299,SQRT(-2*LN(F5299))*COS(2*PI()*G5299),"")</f>
        <v/>
      </c>
      <c r="I5299">
        <f>IF(B5299,IF(D5299=0,H5299,Rho*I5298+SQRT(1-Rho^2)*H5299),"")</f>
        <v/>
      </c>
      <c r="J5299">
        <f>IF(B5299,IF(Dist="Normal",DistA+DistB*I5299,DistA+(DistB-DistA)*NORMSDIST(I5299)),"")</f>
        <v/>
      </c>
      <c r="K5299">
        <f>IF(B5299,INDEX(MineScale,C5299),"")</f>
        <v/>
      </c>
      <c r="L5299">
        <f>IF(B5299,INDEX(Dow,1,WEEKDAY(E5299,2)),"")</f>
        <v/>
      </c>
      <c r="M5299">
        <f>IF(B5299,(1+Trend)^D5299,"")</f>
        <v/>
      </c>
      <c r="N5299">
        <f>IF(B5299,EXP(SUMPRODUCT(LN(1+(EvEff-1)*INDEX(Affected,0,C5299)*EXP(-((E5299-EvCenter)^2)/(2*EvSigma^2))))),"")</f>
        <v/>
      </c>
      <c r="O5299">
        <f>IF(B5299,ROUND(MAX(0,J5299*K5299*L5299*M5299*N5299),2),"")</f>
        <v/>
      </c>
    </row>
    <row r="5300">
      <c r="A5300" t="n">
        <v>5299</v>
      </c>
      <c r="B5300">
        <f>A5300&lt;=MineCount*Days</f>
        <v/>
      </c>
      <c r="C5300">
        <f>IF(B5300,INT((A5300-1)/Days)+1,"")</f>
        <v/>
      </c>
      <c r="D5300">
        <f>IF(B5300,MOD(A5300-1,Days),"")</f>
        <v/>
      </c>
      <c r="E5300" s="16">
        <f>IF(B5300,StartDate+D5300,"")</f>
        <v/>
      </c>
      <c r="F5300">
        <f>IF(B5300,MAX(MOD(SIN(Seed*0.1373+C5300*12.9898+D5300*78.233)*43758.5453,1),1E-9),"")</f>
        <v/>
      </c>
      <c r="G5300">
        <f>IF(B5300,MOD(SIN(Seed*0.5917+C5300*39.3468+D5300*11.135)*24634.6345,1),"")</f>
        <v/>
      </c>
      <c r="H5300">
        <f>IF(B5300,SQRT(-2*LN(F5300))*COS(2*PI()*G5300),"")</f>
        <v/>
      </c>
      <c r="I5300">
        <f>IF(B5300,IF(D5300=0,H5300,Rho*I5299+SQRT(1-Rho^2)*H5300),"")</f>
        <v/>
      </c>
      <c r="J5300">
        <f>IF(B5300,IF(Dist="Normal",DistA+DistB*I5300,DistA+(DistB-DistA)*NORMSDIST(I5300)),"")</f>
        <v/>
      </c>
      <c r="K5300">
        <f>IF(B5300,INDEX(MineScale,C5300),"")</f>
        <v/>
      </c>
      <c r="L5300">
        <f>IF(B5300,INDEX(Dow,1,WEEKDAY(E5300,2)),"")</f>
        <v/>
      </c>
      <c r="M5300">
        <f>IF(B5300,(1+Trend)^D5300,"")</f>
        <v/>
      </c>
      <c r="N5300">
        <f>IF(B5300,EXP(SUMPRODUCT(LN(1+(EvEff-1)*INDEX(Affected,0,C5300)*EXP(-((E5300-EvCenter)^2)/(2*EvSigma^2))))),"")</f>
        <v/>
      </c>
      <c r="O5300">
        <f>IF(B5300,ROUND(MAX(0,J5300*K5300*L5300*M5300*N5300),2),"")</f>
        <v/>
      </c>
    </row>
    <row r="5301">
      <c r="A5301" t="n">
        <v>5300</v>
      </c>
      <c r="B5301">
        <f>A5301&lt;=MineCount*Days</f>
        <v/>
      </c>
      <c r="C5301">
        <f>IF(B5301,INT((A5301-1)/Days)+1,"")</f>
        <v/>
      </c>
      <c r="D5301">
        <f>IF(B5301,MOD(A5301-1,Days),"")</f>
        <v/>
      </c>
      <c r="E5301" s="16">
        <f>IF(B5301,StartDate+D5301,"")</f>
        <v/>
      </c>
      <c r="F5301">
        <f>IF(B5301,MAX(MOD(SIN(Seed*0.1373+C5301*12.9898+D5301*78.233)*43758.5453,1),1E-9),"")</f>
        <v/>
      </c>
      <c r="G5301">
        <f>IF(B5301,MOD(SIN(Seed*0.5917+C5301*39.3468+D5301*11.135)*24634.6345,1),"")</f>
        <v/>
      </c>
      <c r="H5301">
        <f>IF(B5301,SQRT(-2*LN(F5301))*COS(2*PI()*G5301),"")</f>
        <v/>
      </c>
      <c r="I5301">
        <f>IF(B5301,IF(D5301=0,H5301,Rho*I5300+SQRT(1-Rho^2)*H5301),"")</f>
        <v/>
      </c>
      <c r="J5301">
        <f>IF(B5301,IF(Dist="Normal",DistA+DistB*I5301,DistA+(DistB-DistA)*NORMSDIST(I5301)),"")</f>
        <v/>
      </c>
      <c r="K5301">
        <f>IF(B5301,INDEX(MineScale,C5301),"")</f>
        <v/>
      </c>
      <c r="L5301">
        <f>IF(B5301,INDEX(Dow,1,WEEKDAY(E5301,2)),"")</f>
        <v/>
      </c>
      <c r="M5301">
        <f>IF(B5301,(1+Trend)^D5301,"")</f>
        <v/>
      </c>
      <c r="N5301">
        <f>IF(B5301,EXP(SUMPRODUCT(LN(1+(EvEff-1)*INDEX(Affected,0,C5301)*EXP(-((E5301-EvCenter)^2)/(2*EvSigma^2))))),"")</f>
        <v/>
      </c>
      <c r="O5301">
        <f>IF(B5301,ROUND(MAX(0,J5301*K5301*L5301*M5301*N5301),2),"")</f>
        <v/>
      </c>
    </row>
    <row r="5302">
      <c r="A5302" t="n">
        <v>5301</v>
      </c>
      <c r="B5302">
        <f>A5302&lt;=MineCount*Days</f>
        <v/>
      </c>
      <c r="C5302">
        <f>IF(B5302,INT((A5302-1)/Days)+1,"")</f>
        <v/>
      </c>
      <c r="D5302">
        <f>IF(B5302,MOD(A5302-1,Days),"")</f>
        <v/>
      </c>
      <c r="E5302" s="16">
        <f>IF(B5302,StartDate+D5302,"")</f>
        <v/>
      </c>
      <c r="F5302">
        <f>IF(B5302,MAX(MOD(SIN(Seed*0.1373+C5302*12.9898+D5302*78.233)*43758.5453,1),1E-9),"")</f>
        <v/>
      </c>
      <c r="G5302">
        <f>IF(B5302,MOD(SIN(Seed*0.5917+C5302*39.3468+D5302*11.135)*24634.6345,1),"")</f>
        <v/>
      </c>
      <c r="H5302">
        <f>IF(B5302,SQRT(-2*LN(F5302))*COS(2*PI()*G5302),"")</f>
        <v/>
      </c>
      <c r="I5302">
        <f>IF(B5302,IF(D5302=0,H5302,Rho*I5301+SQRT(1-Rho^2)*H5302),"")</f>
        <v/>
      </c>
      <c r="J5302">
        <f>IF(B5302,IF(Dist="Normal",DistA+DistB*I5302,DistA+(DistB-DistA)*NORMSDIST(I5302)),"")</f>
        <v/>
      </c>
      <c r="K5302">
        <f>IF(B5302,INDEX(MineScale,C5302),"")</f>
        <v/>
      </c>
      <c r="L5302">
        <f>IF(B5302,INDEX(Dow,1,WEEKDAY(E5302,2)),"")</f>
        <v/>
      </c>
      <c r="M5302">
        <f>IF(B5302,(1+Trend)^D5302,"")</f>
        <v/>
      </c>
      <c r="N5302">
        <f>IF(B5302,EXP(SUMPRODUCT(LN(1+(EvEff-1)*INDEX(Affected,0,C5302)*EXP(-((E5302-EvCenter)^2)/(2*EvSigma^2))))),"")</f>
        <v/>
      </c>
      <c r="O5302">
        <f>IF(B5302,ROUND(MAX(0,J5302*K5302*L5302*M5302*N5302),2),"")</f>
        <v/>
      </c>
    </row>
    <row r="5303">
      <c r="A5303" t="n">
        <v>5302</v>
      </c>
      <c r="B5303">
        <f>A5303&lt;=MineCount*Days</f>
        <v/>
      </c>
      <c r="C5303">
        <f>IF(B5303,INT((A5303-1)/Days)+1,"")</f>
        <v/>
      </c>
      <c r="D5303">
        <f>IF(B5303,MOD(A5303-1,Days),"")</f>
        <v/>
      </c>
      <c r="E5303" s="16">
        <f>IF(B5303,StartDate+D5303,"")</f>
        <v/>
      </c>
      <c r="F5303">
        <f>IF(B5303,MAX(MOD(SIN(Seed*0.1373+C5303*12.9898+D5303*78.233)*43758.5453,1),1E-9),"")</f>
        <v/>
      </c>
      <c r="G5303">
        <f>IF(B5303,MOD(SIN(Seed*0.5917+C5303*39.3468+D5303*11.135)*24634.6345,1),"")</f>
        <v/>
      </c>
      <c r="H5303">
        <f>IF(B5303,SQRT(-2*LN(F5303))*COS(2*PI()*G5303),"")</f>
        <v/>
      </c>
      <c r="I5303">
        <f>IF(B5303,IF(D5303=0,H5303,Rho*I5302+SQRT(1-Rho^2)*H5303),"")</f>
        <v/>
      </c>
      <c r="J5303">
        <f>IF(B5303,IF(Dist="Normal",DistA+DistB*I5303,DistA+(DistB-DistA)*NORMSDIST(I5303)),"")</f>
        <v/>
      </c>
      <c r="K5303">
        <f>IF(B5303,INDEX(MineScale,C5303),"")</f>
        <v/>
      </c>
      <c r="L5303">
        <f>IF(B5303,INDEX(Dow,1,WEEKDAY(E5303,2)),"")</f>
        <v/>
      </c>
      <c r="M5303">
        <f>IF(B5303,(1+Trend)^D5303,"")</f>
        <v/>
      </c>
      <c r="N5303">
        <f>IF(B5303,EXP(SUMPRODUCT(LN(1+(EvEff-1)*INDEX(Affected,0,C5303)*EXP(-((E5303-EvCenter)^2)/(2*EvSigma^2))))),"")</f>
        <v/>
      </c>
      <c r="O5303">
        <f>IF(B5303,ROUND(MAX(0,J5303*K5303*L5303*M5303*N5303),2),"")</f>
        <v/>
      </c>
    </row>
    <row r="5304">
      <c r="A5304" t="n">
        <v>5303</v>
      </c>
      <c r="B5304">
        <f>A5304&lt;=MineCount*Days</f>
        <v/>
      </c>
      <c r="C5304">
        <f>IF(B5304,INT((A5304-1)/Days)+1,"")</f>
        <v/>
      </c>
      <c r="D5304">
        <f>IF(B5304,MOD(A5304-1,Days),"")</f>
        <v/>
      </c>
      <c r="E5304" s="16">
        <f>IF(B5304,StartDate+D5304,"")</f>
        <v/>
      </c>
      <c r="F5304">
        <f>IF(B5304,MAX(MOD(SIN(Seed*0.1373+C5304*12.9898+D5304*78.233)*43758.5453,1),1E-9),"")</f>
        <v/>
      </c>
      <c r="G5304">
        <f>IF(B5304,MOD(SIN(Seed*0.5917+C5304*39.3468+D5304*11.135)*24634.6345,1),"")</f>
        <v/>
      </c>
      <c r="H5304">
        <f>IF(B5304,SQRT(-2*LN(F5304))*COS(2*PI()*G5304),"")</f>
        <v/>
      </c>
      <c r="I5304">
        <f>IF(B5304,IF(D5304=0,H5304,Rho*I5303+SQRT(1-Rho^2)*H5304),"")</f>
        <v/>
      </c>
      <c r="J5304">
        <f>IF(B5304,IF(Dist="Normal",DistA+DistB*I5304,DistA+(DistB-DistA)*NORMSDIST(I5304)),"")</f>
        <v/>
      </c>
      <c r="K5304">
        <f>IF(B5304,INDEX(MineScale,C5304),"")</f>
        <v/>
      </c>
      <c r="L5304">
        <f>IF(B5304,INDEX(Dow,1,WEEKDAY(E5304,2)),"")</f>
        <v/>
      </c>
      <c r="M5304">
        <f>IF(B5304,(1+Trend)^D5304,"")</f>
        <v/>
      </c>
      <c r="N5304">
        <f>IF(B5304,EXP(SUMPRODUCT(LN(1+(EvEff-1)*INDEX(Affected,0,C5304)*EXP(-((E5304-EvCenter)^2)/(2*EvSigma^2))))),"")</f>
        <v/>
      </c>
      <c r="O5304">
        <f>IF(B5304,ROUND(MAX(0,J5304*K5304*L5304*M5304*N5304),2),"")</f>
        <v/>
      </c>
    </row>
    <row r="5305">
      <c r="A5305" t="n">
        <v>5304</v>
      </c>
      <c r="B5305">
        <f>A5305&lt;=MineCount*Days</f>
        <v/>
      </c>
      <c r="C5305">
        <f>IF(B5305,INT((A5305-1)/Days)+1,"")</f>
        <v/>
      </c>
      <c r="D5305">
        <f>IF(B5305,MOD(A5305-1,Days),"")</f>
        <v/>
      </c>
      <c r="E5305" s="16">
        <f>IF(B5305,StartDate+D5305,"")</f>
        <v/>
      </c>
      <c r="F5305">
        <f>IF(B5305,MAX(MOD(SIN(Seed*0.1373+C5305*12.9898+D5305*78.233)*43758.5453,1),1E-9),"")</f>
        <v/>
      </c>
      <c r="G5305">
        <f>IF(B5305,MOD(SIN(Seed*0.5917+C5305*39.3468+D5305*11.135)*24634.6345,1),"")</f>
        <v/>
      </c>
      <c r="H5305">
        <f>IF(B5305,SQRT(-2*LN(F5305))*COS(2*PI()*G5305),"")</f>
        <v/>
      </c>
      <c r="I5305">
        <f>IF(B5305,IF(D5305=0,H5305,Rho*I5304+SQRT(1-Rho^2)*H5305),"")</f>
        <v/>
      </c>
      <c r="J5305">
        <f>IF(B5305,IF(Dist="Normal",DistA+DistB*I5305,DistA+(DistB-DistA)*NORMSDIST(I5305)),"")</f>
        <v/>
      </c>
      <c r="K5305">
        <f>IF(B5305,INDEX(MineScale,C5305),"")</f>
        <v/>
      </c>
      <c r="L5305">
        <f>IF(B5305,INDEX(Dow,1,WEEKDAY(E5305,2)),"")</f>
        <v/>
      </c>
      <c r="M5305">
        <f>IF(B5305,(1+Trend)^D5305,"")</f>
        <v/>
      </c>
      <c r="N5305">
        <f>IF(B5305,EXP(SUMPRODUCT(LN(1+(EvEff-1)*INDEX(Affected,0,C5305)*EXP(-((E5305-EvCenter)^2)/(2*EvSigma^2))))),"")</f>
        <v/>
      </c>
      <c r="O5305">
        <f>IF(B5305,ROUND(MAX(0,J5305*K5305*L5305*M5305*N5305),2),"")</f>
        <v/>
      </c>
    </row>
    <row r="5306">
      <c r="A5306" t="n">
        <v>5305</v>
      </c>
      <c r="B5306">
        <f>A5306&lt;=MineCount*Days</f>
        <v/>
      </c>
      <c r="C5306">
        <f>IF(B5306,INT((A5306-1)/Days)+1,"")</f>
        <v/>
      </c>
      <c r="D5306">
        <f>IF(B5306,MOD(A5306-1,Days),"")</f>
        <v/>
      </c>
      <c r="E5306" s="16">
        <f>IF(B5306,StartDate+D5306,"")</f>
        <v/>
      </c>
      <c r="F5306">
        <f>IF(B5306,MAX(MOD(SIN(Seed*0.1373+C5306*12.9898+D5306*78.233)*43758.5453,1),1E-9),"")</f>
        <v/>
      </c>
      <c r="G5306">
        <f>IF(B5306,MOD(SIN(Seed*0.5917+C5306*39.3468+D5306*11.135)*24634.6345,1),"")</f>
        <v/>
      </c>
      <c r="H5306">
        <f>IF(B5306,SQRT(-2*LN(F5306))*COS(2*PI()*G5306),"")</f>
        <v/>
      </c>
      <c r="I5306">
        <f>IF(B5306,IF(D5306=0,H5306,Rho*I5305+SQRT(1-Rho^2)*H5306),"")</f>
        <v/>
      </c>
      <c r="J5306">
        <f>IF(B5306,IF(Dist="Normal",DistA+DistB*I5306,DistA+(DistB-DistA)*NORMSDIST(I5306)),"")</f>
        <v/>
      </c>
      <c r="K5306">
        <f>IF(B5306,INDEX(MineScale,C5306),"")</f>
        <v/>
      </c>
      <c r="L5306">
        <f>IF(B5306,INDEX(Dow,1,WEEKDAY(E5306,2)),"")</f>
        <v/>
      </c>
      <c r="M5306">
        <f>IF(B5306,(1+Trend)^D5306,"")</f>
        <v/>
      </c>
      <c r="N5306">
        <f>IF(B5306,EXP(SUMPRODUCT(LN(1+(EvEff-1)*INDEX(Affected,0,C5306)*EXP(-((E5306-EvCenter)^2)/(2*EvSigma^2))))),"")</f>
        <v/>
      </c>
      <c r="O5306">
        <f>IF(B5306,ROUND(MAX(0,J5306*K5306*L5306*M5306*N5306),2),"")</f>
        <v/>
      </c>
    </row>
    <row r="5307">
      <c r="A5307" t="n">
        <v>5306</v>
      </c>
      <c r="B5307">
        <f>A5307&lt;=MineCount*Days</f>
        <v/>
      </c>
      <c r="C5307">
        <f>IF(B5307,INT((A5307-1)/Days)+1,"")</f>
        <v/>
      </c>
      <c r="D5307">
        <f>IF(B5307,MOD(A5307-1,Days),"")</f>
        <v/>
      </c>
      <c r="E5307" s="16">
        <f>IF(B5307,StartDate+D5307,"")</f>
        <v/>
      </c>
      <c r="F5307">
        <f>IF(B5307,MAX(MOD(SIN(Seed*0.1373+C5307*12.9898+D5307*78.233)*43758.5453,1),1E-9),"")</f>
        <v/>
      </c>
      <c r="G5307">
        <f>IF(B5307,MOD(SIN(Seed*0.5917+C5307*39.3468+D5307*11.135)*24634.6345,1),"")</f>
        <v/>
      </c>
      <c r="H5307">
        <f>IF(B5307,SQRT(-2*LN(F5307))*COS(2*PI()*G5307),"")</f>
        <v/>
      </c>
      <c r="I5307">
        <f>IF(B5307,IF(D5307=0,H5307,Rho*I5306+SQRT(1-Rho^2)*H5307),"")</f>
        <v/>
      </c>
      <c r="J5307">
        <f>IF(B5307,IF(Dist="Normal",DistA+DistB*I5307,DistA+(DistB-DistA)*NORMSDIST(I5307)),"")</f>
        <v/>
      </c>
      <c r="K5307">
        <f>IF(B5307,INDEX(MineScale,C5307),"")</f>
        <v/>
      </c>
      <c r="L5307">
        <f>IF(B5307,INDEX(Dow,1,WEEKDAY(E5307,2)),"")</f>
        <v/>
      </c>
      <c r="M5307">
        <f>IF(B5307,(1+Trend)^D5307,"")</f>
        <v/>
      </c>
      <c r="N5307">
        <f>IF(B5307,EXP(SUMPRODUCT(LN(1+(EvEff-1)*INDEX(Affected,0,C5307)*EXP(-((E5307-EvCenter)^2)/(2*EvSigma^2))))),"")</f>
        <v/>
      </c>
      <c r="O5307">
        <f>IF(B5307,ROUND(MAX(0,J5307*K5307*L5307*M5307*N5307),2),"")</f>
        <v/>
      </c>
    </row>
    <row r="5308">
      <c r="A5308" t="n">
        <v>5307</v>
      </c>
      <c r="B5308">
        <f>A5308&lt;=MineCount*Days</f>
        <v/>
      </c>
      <c r="C5308">
        <f>IF(B5308,INT((A5308-1)/Days)+1,"")</f>
        <v/>
      </c>
      <c r="D5308">
        <f>IF(B5308,MOD(A5308-1,Days),"")</f>
        <v/>
      </c>
      <c r="E5308" s="16">
        <f>IF(B5308,StartDate+D5308,"")</f>
        <v/>
      </c>
      <c r="F5308">
        <f>IF(B5308,MAX(MOD(SIN(Seed*0.1373+C5308*12.9898+D5308*78.233)*43758.5453,1),1E-9),"")</f>
        <v/>
      </c>
      <c r="G5308">
        <f>IF(B5308,MOD(SIN(Seed*0.5917+C5308*39.3468+D5308*11.135)*24634.6345,1),"")</f>
        <v/>
      </c>
      <c r="H5308">
        <f>IF(B5308,SQRT(-2*LN(F5308))*COS(2*PI()*G5308),"")</f>
        <v/>
      </c>
      <c r="I5308">
        <f>IF(B5308,IF(D5308=0,H5308,Rho*I5307+SQRT(1-Rho^2)*H5308),"")</f>
        <v/>
      </c>
      <c r="J5308">
        <f>IF(B5308,IF(Dist="Normal",DistA+DistB*I5308,DistA+(DistB-DistA)*NORMSDIST(I5308)),"")</f>
        <v/>
      </c>
      <c r="K5308">
        <f>IF(B5308,INDEX(MineScale,C5308),"")</f>
        <v/>
      </c>
      <c r="L5308">
        <f>IF(B5308,INDEX(Dow,1,WEEKDAY(E5308,2)),"")</f>
        <v/>
      </c>
      <c r="M5308">
        <f>IF(B5308,(1+Trend)^D5308,"")</f>
        <v/>
      </c>
      <c r="N5308">
        <f>IF(B5308,EXP(SUMPRODUCT(LN(1+(EvEff-1)*INDEX(Affected,0,C5308)*EXP(-((E5308-EvCenter)^2)/(2*EvSigma^2))))),"")</f>
        <v/>
      </c>
      <c r="O5308">
        <f>IF(B5308,ROUND(MAX(0,J5308*K5308*L5308*M5308*N5308),2),"")</f>
        <v/>
      </c>
    </row>
    <row r="5309">
      <c r="A5309" t="n">
        <v>5308</v>
      </c>
      <c r="B5309">
        <f>A5309&lt;=MineCount*Days</f>
        <v/>
      </c>
      <c r="C5309">
        <f>IF(B5309,INT((A5309-1)/Days)+1,"")</f>
        <v/>
      </c>
      <c r="D5309">
        <f>IF(B5309,MOD(A5309-1,Days),"")</f>
        <v/>
      </c>
      <c r="E5309" s="16">
        <f>IF(B5309,StartDate+D5309,"")</f>
        <v/>
      </c>
      <c r="F5309">
        <f>IF(B5309,MAX(MOD(SIN(Seed*0.1373+C5309*12.9898+D5309*78.233)*43758.5453,1),1E-9),"")</f>
        <v/>
      </c>
      <c r="G5309">
        <f>IF(B5309,MOD(SIN(Seed*0.5917+C5309*39.3468+D5309*11.135)*24634.6345,1),"")</f>
        <v/>
      </c>
      <c r="H5309">
        <f>IF(B5309,SQRT(-2*LN(F5309))*COS(2*PI()*G5309),"")</f>
        <v/>
      </c>
      <c r="I5309">
        <f>IF(B5309,IF(D5309=0,H5309,Rho*I5308+SQRT(1-Rho^2)*H5309),"")</f>
        <v/>
      </c>
      <c r="J5309">
        <f>IF(B5309,IF(Dist="Normal",DistA+DistB*I5309,DistA+(DistB-DistA)*NORMSDIST(I5309)),"")</f>
        <v/>
      </c>
      <c r="K5309">
        <f>IF(B5309,INDEX(MineScale,C5309),"")</f>
        <v/>
      </c>
      <c r="L5309">
        <f>IF(B5309,INDEX(Dow,1,WEEKDAY(E5309,2)),"")</f>
        <v/>
      </c>
      <c r="M5309">
        <f>IF(B5309,(1+Trend)^D5309,"")</f>
        <v/>
      </c>
      <c r="N5309">
        <f>IF(B5309,EXP(SUMPRODUCT(LN(1+(EvEff-1)*INDEX(Affected,0,C5309)*EXP(-((E5309-EvCenter)^2)/(2*EvSigma^2))))),"")</f>
        <v/>
      </c>
      <c r="O5309">
        <f>IF(B5309,ROUND(MAX(0,J5309*K5309*L5309*M5309*N5309),2),"")</f>
        <v/>
      </c>
    </row>
    <row r="5310">
      <c r="A5310" t="n">
        <v>5309</v>
      </c>
      <c r="B5310">
        <f>A5310&lt;=MineCount*Days</f>
        <v/>
      </c>
      <c r="C5310">
        <f>IF(B5310,INT((A5310-1)/Days)+1,"")</f>
        <v/>
      </c>
      <c r="D5310">
        <f>IF(B5310,MOD(A5310-1,Days),"")</f>
        <v/>
      </c>
      <c r="E5310" s="16">
        <f>IF(B5310,StartDate+D5310,"")</f>
        <v/>
      </c>
      <c r="F5310">
        <f>IF(B5310,MAX(MOD(SIN(Seed*0.1373+C5310*12.9898+D5310*78.233)*43758.5453,1),1E-9),"")</f>
        <v/>
      </c>
      <c r="G5310">
        <f>IF(B5310,MOD(SIN(Seed*0.5917+C5310*39.3468+D5310*11.135)*24634.6345,1),"")</f>
        <v/>
      </c>
      <c r="H5310">
        <f>IF(B5310,SQRT(-2*LN(F5310))*COS(2*PI()*G5310),"")</f>
        <v/>
      </c>
      <c r="I5310">
        <f>IF(B5310,IF(D5310=0,H5310,Rho*I5309+SQRT(1-Rho^2)*H5310),"")</f>
        <v/>
      </c>
      <c r="J5310">
        <f>IF(B5310,IF(Dist="Normal",DistA+DistB*I5310,DistA+(DistB-DistA)*NORMSDIST(I5310)),"")</f>
        <v/>
      </c>
      <c r="K5310">
        <f>IF(B5310,INDEX(MineScale,C5310),"")</f>
        <v/>
      </c>
      <c r="L5310">
        <f>IF(B5310,INDEX(Dow,1,WEEKDAY(E5310,2)),"")</f>
        <v/>
      </c>
      <c r="M5310">
        <f>IF(B5310,(1+Trend)^D5310,"")</f>
        <v/>
      </c>
      <c r="N5310">
        <f>IF(B5310,EXP(SUMPRODUCT(LN(1+(EvEff-1)*INDEX(Affected,0,C5310)*EXP(-((E5310-EvCenter)^2)/(2*EvSigma^2))))),"")</f>
        <v/>
      </c>
      <c r="O5310">
        <f>IF(B5310,ROUND(MAX(0,J5310*K5310*L5310*M5310*N5310),2),"")</f>
        <v/>
      </c>
    </row>
    <row r="5311">
      <c r="A5311" t="n">
        <v>5310</v>
      </c>
      <c r="B5311">
        <f>A5311&lt;=MineCount*Days</f>
        <v/>
      </c>
      <c r="C5311">
        <f>IF(B5311,INT((A5311-1)/Days)+1,"")</f>
        <v/>
      </c>
      <c r="D5311">
        <f>IF(B5311,MOD(A5311-1,Days),"")</f>
        <v/>
      </c>
      <c r="E5311" s="16">
        <f>IF(B5311,StartDate+D5311,"")</f>
        <v/>
      </c>
      <c r="F5311">
        <f>IF(B5311,MAX(MOD(SIN(Seed*0.1373+C5311*12.9898+D5311*78.233)*43758.5453,1),1E-9),"")</f>
        <v/>
      </c>
      <c r="G5311">
        <f>IF(B5311,MOD(SIN(Seed*0.5917+C5311*39.3468+D5311*11.135)*24634.6345,1),"")</f>
        <v/>
      </c>
      <c r="H5311">
        <f>IF(B5311,SQRT(-2*LN(F5311))*COS(2*PI()*G5311),"")</f>
        <v/>
      </c>
      <c r="I5311">
        <f>IF(B5311,IF(D5311=0,H5311,Rho*I5310+SQRT(1-Rho^2)*H5311),"")</f>
        <v/>
      </c>
      <c r="J5311">
        <f>IF(B5311,IF(Dist="Normal",DistA+DistB*I5311,DistA+(DistB-DistA)*NORMSDIST(I5311)),"")</f>
        <v/>
      </c>
      <c r="K5311">
        <f>IF(B5311,INDEX(MineScale,C5311),"")</f>
        <v/>
      </c>
      <c r="L5311">
        <f>IF(B5311,INDEX(Dow,1,WEEKDAY(E5311,2)),"")</f>
        <v/>
      </c>
      <c r="M5311">
        <f>IF(B5311,(1+Trend)^D5311,"")</f>
        <v/>
      </c>
      <c r="N5311">
        <f>IF(B5311,EXP(SUMPRODUCT(LN(1+(EvEff-1)*INDEX(Affected,0,C5311)*EXP(-((E5311-EvCenter)^2)/(2*EvSigma^2))))),"")</f>
        <v/>
      </c>
      <c r="O5311">
        <f>IF(B5311,ROUND(MAX(0,J5311*K5311*L5311*M5311*N5311),2),"")</f>
        <v/>
      </c>
    </row>
    <row r="5312">
      <c r="A5312" t="n">
        <v>5311</v>
      </c>
      <c r="B5312">
        <f>A5312&lt;=MineCount*Days</f>
        <v/>
      </c>
      <c r="C5312">
        <f>IF(B5312,INT((A5312-1)/Days)+1,"")</f>
        <v/>
      </c>
      <c r="D5312">
        <f>IF(B5312,MOD(A5312-1,Days),"")</f>
        <v/>
      </c>
      <c r="E5312" s="16">
        <f>IF(B5312,StartDate+D5312,"")</f>
        <v/>
      </c>
      <c r="F5312">
        <f>IF(B5312,MAX(MOD(SIN(Seed*0.1373+C5312*12.9898+D5312*78.233)*43758.5453,1),1E-9),"")</f>
        <v/>
      </c>
      <c r="G5312">
        <f>IF(B5312,MOD(SIN(Seed*0.5917+C5312*39.3468+D5312*11.135)*24634.6345,1),"")</f>
        <v/>
      </c>
      <c r="H5312">
        <f>IF(B5312,SQRT(-2*LN(F5312))*COS(2*PI()*G5312),"")</f>
        <v/>
      </c>
      <c r="I5312">
        <f>IF(B5312,IF(D5312=0,H5312,Rho*I5311+SQRT(1-Rho^2)*H5312),"")</f>
        <v/>
      </c>
      <c r="J5312">
        <f>IF(B5312,IF(Dist="Normal",DistA+DistB*I5312,DistA+(DistB-DistA)*NORMSDIST(I5312)),"")</f>
        <v/>
      </c>
      <c r="K5312">
        <f>IF(B5312,INDEX(MineScale,C5312),"")</f>
        <v/>
      </c>
      <c r="L5312">
        <f>IF(B5312,INDEX(Dow,1,WEEKDAY(E5312,2)),"")</f>
        <v/>
      </c>
      <c r="M5312">
        <f>IF(B5312,(1+Trend)^D5312,"")</f>
        <v/>
      </c>
      <c r="N5312">
        <f>IF(B5312,EXP(SUMPRODUCT(LN(1+(EvEff-1)*INDEX(Affected,0,C5312)*EXP(-((E5312-EvCenter)^2)/(2*EvSigma^2))))),"")</f>
        <v/>
      </c>
      <c r="O5312">
        <f>IF(B5312,ROUND(MAX(0,J5312*K5312*L5312*M5312*N5312),2),"")</f>
        <v/>
      </c>
    </row>
    <row r="5313">
      <c r="A5313" t="n">
        <v>5312</v>
      </c>
      <c r="B5313">
        <f>A5313&lt;=MineCount*Days</f>
        <v/>
      </c>
      <c r="C5313">
        <f>IF(B5313,INT((A5313-1)/Days)+1,"")</f>
        <v/>
      </c>
      <c r="D5313">
        <f>IF(B5313,MOD(A5313-1,Days),"")</f>
        <v/>
      </c>
      <c r="E5313" s="16">
        <f>IF(B5313,StartDate+D5313,"")</f>
        <v/>
      </c>
      <c r="F5313">
        <f>IF(B5313,MAX(MOD(SIN(Seed*0.1373+C5313*12.9898+D5313*78.233)*43758.5453,1),1E-9),"")</f>
        <v/>
      </c>
      <c r="G5313">
        <f>IF(B5313,MOD(SIN(Seed*0.5917+C5313*39.3468+D5313*11.135)*24634.6345,1),"")</f>
        <v/>
      </c>
      <c r="H5313">
        <f>IF(B5313,SQRT(-2*LN(F5313))*COS(2*PI()*G5313),"")</f>
        <v/>
      </c>
      <c r="I5313">
        <f>IF(B5313,IF(D5313=0,H5313,Rho*I5312+SQRT(1-Rho^2)*H5313),"")</f>
        <v/>
      </c>
      <c r="J5313">
        <f>IF(B5313,IF(Dist="Normal",DistA+DistB*I5313,DistA+(DistB-DistA)*NORMSDIST(I5313)),"")</f>
        <v/>
      </c>
      <c r="K5313">
        <f>IF(B5313,INDEX(MineScale,C5313),"")</f>
        <v/>
      </c>
      <c r="L5313">
        <f>IF(B5313,INDEX(Dow,1,WEEKDAY(E5313,2)),"")</f>
        <v/>
      </c>
      <c r="M5313">
        <f>IF(B5313,(1+Trend)^D5313,"")</f>
        <v/>
      </c>
      <c r="N5313">
        <f>IF(B5313,EXP(SUMPRODUCT(LN(1+(EvEff-1)*INDEX(Affected,0,C5313)*EXP(-((E5313-EvCenter)^2)/(2*EvSigma^2))))),"")</f>
        <v/>
      </c>
      <c r="O5313">
        <f>IF(B5313,ROUND(MAX(0,J5313*K5313*L5313*M5313*N5313),2),"")</f>
        <v/>
      </c>
    </row>
    <row r="5314">
      <c r="A5314" t="n">
        <v>5313</v>
      </c>
      <c r="B5314">
        <f>A5314&lt;=MineCount*Days</f>
        <v/>
      </c>
      <c r="C5314">
        <f>IF(B5314,INT((A5314-1)/Days)+1,"")</f>
        <v/>
      </c>
      <c r="D5314">
        <f>IF(B5314,MOD(A5314-1,Days),"")</f>
        <v/>
      </c>
      <c r="E5314" s="16">
        <f>IF(B5314,StartDate+D5314,"")</f>
        <v/>
      </c>
      <c r="F5314">
        <f>IF(B5314,MAX(MOD(SIN(Seed*0.1373+C5314*12.9898+D5314*78.233)*43758.5453,1),1E-9),"")</f>
        <v/>
      </c>
      <c r="G5314">
        <f>IF(B5314,MOD(SIN(Seed*0.5917+C5314*39.3468+D5314*11.135)*24634.6345,1),"")</f>
        <v/>
      </c>
      <c r="H5314">
        <f>IF(B5314,SQRT(-2*LN(F5314))*COS(2*PI()*G5314),"")</f>
        <v/>
      </c>
      <c r="I5314">
        <f>IF(B5314,IF(D5314=0,H5314,Rho*I5313+SQRT(1-Rho^2)*H5314),"")</f>
        <v/>
      </c>
      <c r="J5314">
        <f>IF(B5314,IF(Dist="Normal",DistA+DistB*I5314,DistA+(DistB-DistA)*NORMSDIST(I5314)),"")</f>
        <v/>
      </c>
      <c r="K5314">
        <f>IF(B5314,INDEX(MineScale,C5314),"")</f>
        <v/>
      </c>
      <c r="L5314">
        <f>IF(B5314,INDEX(Dow,1,WEEKDAY(E5314,2)),"")</f>
        <v/>
      </c>
      <c r="M5314">
        <f>IF(B5314,(1+Trend)^D5314,"")</f>
        <v/>
      </c>
      <c r="N5314">
        <f>IF(B5314,EXP(SUMPRODUCT(LN(1+(EvEff-1)*INDEX(Affected,0,C5314)*EXP(-((E5314-EvCenter)^2)/(2*EvSigma^2))))),"")</f>
        <v/>
      </c>
      <c r="O5314">
        <f>IF(B5314,ROUND(MAX(0,J5314*K5314*L5314*M5314*N5314),2),"")</f>
        <v/>
      </c>
    </row>
    <row r="5315">
      <c r="A5315" t="n">
        <v>5314</v>
      </c>
      <c r="B5315">
        <f>A5315&lt;=MineCount*Days</f>
        <v/>
      </c>
      <c r="C5315">
        <f>IF(B5315,INT((A5315-1)/Days)+1,"")</f>
        <v/>
      </c>
      <c r="D5315">
        <f>IF(B5315,MOD(A5315-1,Days),"")</f>
        <v/>
      </c>
      <c r="E5315" s="16">
        <f>IF(B5315,StartDate+D5315,"")</f>
        <v/>
      </c>
      <c r="F5315">
        <f>IF(B5315,MAX(MOD(SIN(Seed*0.1373+C5315*12.9898+D5315*78.233)*43758.5453,1),1E-9),"")</f>
        <v/>
      </c>
      <c r="G5315">
        <f>IF(B5315,MOD(SIN(Seed*0.5917+C5315*39.3468+D5315*11.135)*24634.6345,1),"")</f>
        <v/>
      </c>
      <c r="H5315">
        <f>IF(B5315,SQRT(-2*LN(F5315))*COS(2*PI()*G5315),"")</f>
        <v/>
      </c>
      <c r="I5315">
        <f>IF(B5315,IF(D5315=0,H5315,Rho*I5314+SQRT(1-Rho^2)*H5315),"")</f>
        <v/>
      </c>
      <c r="J5315">
        <f>IF(B5315,IF(Dist="Normal",DistA+DistB*I5315,DistA+(DistB-DistA)*NORMSDIST(I5315)),"")</f>
        <v/>
      </c>
      <c r="K5315">
        <f>IF(B5315,INDEX(MineScale,C5315),"")</f>
        <v/>
      </c>
      <c r="L5315">
        <f>IF(B5315,INDEX(Dow,1,WEEKDAY(E5315,2)),"")</f>
        <v/>
      </c>
      <c r="M5315">
        <f>IF(B5315,(1+Trend)^D5315,"")</f>
        <v/>
      </c>
      <c r="N5315">
        <f>IF(B5315,EXP(SUMPRODUCT(LN(1+(EvEff-1)*INDEX(Affected,0,C5315)*EXP(-((E5315-EvCenter)^2)/(2*EvSigma^2))))),"")</f>
        <v/>
      </c>
      <c r="O5315">
        <f>IF(B5315,ROUND(MAX(0,J5315*K5315*L5315*M5315*N5315),2),"")</f>
        <v/>
      </c>
    </row>
    <row r="5316">
      <c r="A5316" t="n">
        <v>5315</v>
      </c>
      <c r="B5316">
        <f>A5316&lt;=MineCount*Days</f>
        <v/>
      </c>
      <c r="C5316">
        <f>IF(B5316,INT((A5316-1)/Days)+1,"")</f>
        <v/>
      </c>
      <c r="D5316">
        <f>IF(B5316,MOD(A5316-1,Days),"")</f>
        <v/>
      </c>
      <c r="E5316" s="16">
        <f>IF(B5316,StartDate+D5316,"")</f>
        <v/>
      </c>
      <c r="F5316">
        <f>IF(B5316,MAX(MOD(SIN(Seed*0.1373+C5316*12.9898+D5316*78.233)*43758.5453,1),1E-9),"")</f>
        <v/>
      </c>
      <c r="G5316">
        <f>IF(B5316,MOD(SIN(Seed*0.5917+C5316*39.3468+D5316*11.135)*24634.6345,1),"")</f>
        <v/>
      </c>
      <c r="H5316">
        <f>IF(B5316,SQRT(-2*LN(F5316))*COS(2*PI()*G5316),"")</f>
        <v/>
      </c>
      <c r="I5316">
        <f>IF(B5316,IF(D5316=0,H5316,Rho*I5315+SQRT(1-Rho^2)*H5316),"")</f>
        <v/>
      </c>
      <c r="J5316">
        <f>IF(B5316,IF(Dist="Normal",DistA+DistB*I5316,DistA+(DistB-DistA)*NORMSDIST(I5316)),"")</f>
        <v/>
      </c>
      <c r="K5316">
        <f>IF(B5316,INDEX(MineScale,C5316),"")</f>
        <v/>
      </c>
      <c r="L5316">
        <f>IF(B5316,INDEX(Dow,1,WEEKDAY(E5316,2)),"")</f>
        <v/>
      </c>
      <c r="M5316">
        <f>IF(B5316,(1+Trend)^D5316,"")</f>
        <v/>
      </c>
      <c r="N5316">
        <f>IF(B5316,EXP(SUMPRODUCT(LN(1+(EvEff-1)*INDEX(Affected,0,C5316)*EXP(-((E5316-EvCenter)^2)/(2*EvSigma^2))))),"")</f>
        <v/>
      </c>
      <c r="O5316">
        <f>IF(B5316,ROUND(MAX(0,J5316*K5316*L5316*M5316*N5316),2),"")</f>
        <v/>
      </c>
    </row>
    <row r="5317">
      <c r="A5317" t="n">
        <v>5316</v>
      </c>
      <c r="B5317">
        <f>A5317&lt;=MineCount*Days</f>
        <v/>
      </c>
      <c r="C5317">
        <f>IF(B5317,INT((A5317-1)/Days)+1,"")</f>
        <v/>
      </c>
      <c r="D5317">
        <f>IF(B5317,MOD(A5317-1,Days),"")</f>
        <v/>
      </c>
      <c r="E5317" s="16">
        <f>IF(B5317,StartDate+D5317,"")</f>
        <v/>
      </c>
      <c r="F5317">
        <f>IF(B5317,MAX(MOD(SIN(Seed*0.1373+C5317*12.9898+D5317*78.233)*43758.5453,1),1E-9),"")</f>
        <v/>
      </c>
      <c r="G5317">
        <f>IF(B5317,MOD(SIN(Seed*0.5917+C5317*39.3468+D5317*11.135)*24634.6345,1),"")</f>
        <v/>
      </c>
      <c r="H5317">
        <f>IF(B5317,SQRT(-2*LN(F5317))*COS(2*PI()*G5317),"")</f>
        <v/>
      </c>
      <c r="I5317">
        <f>IF(B5317,IF(D5317=0,H5317,Rho*I5316+SQRT(1-Rho^2)*H5317),"")</f>
        <v/>
      </c>
      <c r="J5317">
        <f>IF(B5317,IF(Dist="Normal",DistA+DistB*I5317,DistA+(DistB-DistA)*NORMSDIST(I5317)),"")</f>
        <v/>
      </c>
      <c r="K5317">
        <f>IF(B5317,INDEX(MineScale,C5317),"")</f>
        <v/>
      </c>
      <c r="L5317">
        <f>IF(B5317,INDEX(Dow,1,WEEKDAY(E5317,2)),"")</f>
        <v/>
      </c>
      <c r="M5317">
        <f>IF(B5317,(1+Trend)^D5317,"")</f>
        <v/>
      </c>
      <c r="N5317">
        <f>IF(B5317,EXP(SUMPRODUCT(LN(1+(EvEff-1)*INDEX(Affected,0,C5317)*EXP(-((E5317-EvCenter)^2)/(2*EvSigma^2))))),"")</f>
        <v/>
      </c>
      <c r="O5317">
        <f>IF(B5317,ROUND(MAX(0,J5317*K5317*L5317*M5317*N5317),2),"")</f>
        <v/>
      </c>
    </row>
    <row r="5318">
      <c r="A5318" t="n">
        <v>5317</v>
      </c>
      <c r="B5318">
        <f>A5318&lt;=MineCount*Days</f>
        <v/>
      </c>
      <c r="C5318">
        <f>IF(B5318,INT((A5318-1)/Days)+1,"")</f>
        <v/>
      </c>
      <c r="D5318">
        <f>IF(B5318,MOD(A5318-1,Days),"")</f>
        <v/>
      </c>
      <c r="E5318" s="16">
        <f>IF(B5318,StartDate+D5318,"")</f>
        <v/>
      </c>
      <c r="F5318">
        <f>IF(B5318,MAX(MOD(SIN(Seed*0.1373+C5318*12.9898+D5318*78.233)*43758.5453,1),1E-9),"")</f>
        <v/>
      </c>
      <c r="G5318">
        <f>IF(B5318,MOD(SIN(Seed*0.5917+C5318*39.3468+D5318*11.135)*24634.6345,1),"")</f>
        <v/>
      </c>
      <c r="H5318">
        <f>IF(B5318,SQRT(-2*LN(F5318))*COS(2*PI()*G5318),"")</f>
        <v/>
      </c>
      <c r="I5318">
        <f>IF(B5318,IF(D5318=0,H5318,Rho*I5317+SQRT(1-Rho^2)*H5318),"")</f>
        <v/>
      </c>
      <c r="J5318">
        <f>IF(B5318,IF(Dist="Normal",DistA+DistB*I5318,DistA+(DistB-DistA)*NORMSDIST(I5318)),"")</f>
        <v/>
      </c>
      <c r="K5318">
        <f>IF(B5318,INDEX(MineScale,C5318),"")</f>
        <v/>
      </c>
      <c r="L5318">
        <f>IF(B5318,INDEX(Dow,1,WEEKDAY(E5318,2)),"")</f>
        <v/>
      </c>
      <c r="M5318">
        <f>IF(B5318,(1+Trend)^D5318,"")</f>
        <v/>
      </c>
      <c r="N5318">
        <f>IF(B5318,EXP(SUMPRODUCT(LN(1+(EvEff-1)*INDEX(Affected,0,C5318)*EXP(-((E5318-EvCenter)^2)/(2*EvSigma^2))))),"")</f>
        <v/>
      </c>
      <c r="O5318">
        <f>IF(B5318,ROUND(MAX(0,J5318*K5318*L5318*M5318*N5318),2),"")</f>
        <v/>
      </c>
    </row>
    <row r="5319">
      <c r="A5319" t="n">
        <v>5318</v>
      </c>
      <c r="B5319">
        <f>A5319&lt;=MineCount*Days</f>
        <v/>
      </c>
      <c r="C5319">
        <f>IF(B5319,INT((A5319-1)/Days)+1,"")</f>
        <v/>
      </c>
      <c r="D5319">
        <f>IF(B5319,MOD(A5319-1,Days),"")</f>
        <v/>
      </c>
      <c r="E5319" s="16">
        <f>IF(B5319,StartDate+D5319,"")</f>
        <v/>
      </c>
      <c r="F5319">
        <f>IF(B5319,MAX(MOD(SIN(Seed*0.1373+C5319*12.9898+D5319*78.233)*43758.5453,1),1E-9),"")</f>
        <v/>
      </c>
      <c r="G5319">
        <f>IF(B5319,MOD(SIN(Seed*0.5917+C5319*39.3468+D5319*11.135)*24634.6345,1),"")</f>
        <v/>
      </c>
      <c r="H5319">
        <f>IF(B5319,SQRT(-2*LN(F5319))*COS(2*PI()*G5319),"")</f>
        <v/>
      </c>
      <c r="I5319">
        <f>IF(B5319,IF(D5319=0,H5319,Rho*I5318+SQRT(1-Rho^2)*H5319),"")</f>
        <v/>
      </c>
      <c r="J5319">
        <f>IF(B5319,IF(Dist="Normal",DistA+DistB*I5319,DistA+(DistB-DistA)*NORMSDIST(I5319)),"")</f>
        <v/>
      </c>
      <c r="K5319">
        <f>IF(B5319,INDEX(MineScale,C5319),"")</f>
        <v/>
      </c>
      <c r="L5319">
        <f>IF(B5319,INDEX(Dow,1,WEEKDAY(E5319,2)),"")</f>
        <v/>
      </c>
      <c r="M5319">
        <f>IF(B5319,(1+Trend)^D5319,"")</f>
        <v/>
      </c>
      <c r="N5319">
        <f>IF(B5319,EXP(SUMPRODUCT(LN(1+(EvEff-1)*INDEX(Affected,0,C5319)*EXP(-((E5319-EvCenter)^2)/(2*EvSigma^2))))),"")</f>
        <v/>
      </c>
      <c r="O5319">
        <f>IF(B5319,ROUND(MAX(0,J5319*K5319*L5319*M5319*N5319),2),"")</f>
        <v/>
      </c>
    </row>
    <row r="5320">
      <c r="A5320" t="n">
        <v>5319</v>
      </c>
      <c r="B5320">
        <f>A5320&lt;=MineCount*Days</f>
        <v/>
      </c>
      <c r="C5320">
        <f>IF(B5320,INT((A5320-1)/Days)+1,"")</f>
        <v/>
      </c>
      <c r="D5320">
        <f>IF(B5320,MOD(A5320-1,Days),"")</f>
        <v/>
      </c>
      <c r="E5320" s="16">
        <f>IF(B5320,StartDate+D5320,"")</f>
        <v/>
      </c>
      <c r="F5320">
        <f>IF(B5320,MAX(MOD(SIN(Seed*0.1373+C5320*12.9898+D5320*78.233)*43758.5453,1),1E-9),"")</f>
        <v/>
      </c>
      <c r="G5320">
        <f>IF(B5320,MOD(SIN(Seed*0.5917+C5320*39.3468+D5320*11.135)*24634.6345,1),"")</f>
        <v/>
      </c>
      <c r="H5320">
        <f>IF(B5320,SQRT(-2*LN(F5320))*COS(2*PI()*G5320),"")</f>
        <v/>
      </c>
      <c r="I5320">
        <f>IF(B5320,IF(D5320=0,H5320,Rho*I5319+SQRT(1-Rho^2)*H5320),"")</f>
        <v/>
      </c>
      <c r="J5320">
        <f>IF(B5320,IF(Dist="Normal",DistA+DistB*I5320,DistA+(DistB-DistA)*NORMSDIST(I5320)),"")</f>
        <v/>
      </c>
      <c r="K5320">
        <f>IF(B5320,INDEX(MineScale,C5320),"")</f>
        <v/>
      </c>
      <c r="L5320">
        <f>IF(B5320,INDEX(Dow,1,WEEKDAY(E5320,2)),"")</f>
        <v/>
      </c>
      <c r="M5320">
        <f>IF(B5320,(1+Trend)^D5320,"")</f>
        <v/>
      </c>
      <c r="N5320">
        <f>IF(B5320,EXP(SUMPRODUCT(LN(1+(EvEff-1)*INDEX(Affected,0,C5320)*EXP(-((E5320-EvCenter)^2)/(2*EvSigma^2))))),"")</f>
        <v/>
      </c>
      <c r="O5320">
        <f>IF(B5320,ROUND(MAX(0,J5320*K5320*L5320*M5320*N5320),2),"")</f>
        <v/>
      </c>
    </row>
    <row r="5321">
      <c r="A5321" t="n">
        <v>5320</v>
      </c>
      <c r="B5321">
        <f>A5321&lt;=MineCount*Days</f>
        <v/>
      </c>
      <c r="C5321">
        <f>IF(B5321,INT((A5321-1)/Days)+1,"")</f>
        <v/>
      </c>
      <c r="D5321">
        <f>IF(B5321,MOD(A5321-1,Days),"")</f>
        <v/>
      </c>
      <c r="E5321" s="16">
        <f>IF(B5321,StartDate+D5321,"")</f>
        <v/>
      </c>
      <c r="F5321">
        <f>IF(B5321,MAX(MOD(SIN(Seed*0.1373+C5321*12.9898+D5321*78.233)*43758.5453,1),1E-9),"")</f>
        <v/>
      </c>
      <c r="G5321">
        <f>IF(B5321,MOD(SIN(Seed*0.5917+C5321*39.3468+D5321*11.135)*24634.6345,1),"")</f>
        <v/>
      </c>
      <c r="H5321">
        <f>IF(B5321,SQRT(-2*LN(F5321))*COS(2*PI()*G5321),"")</f>
        <v/>
      </c>
      <c r="I5321">
        <f>IF(B5321,IF(D5321=0,H5321,Rho*I5320+SQRT(1-Rho^2)*H5321),"")</f>
        <v/>
      </c>
      <c r="J5321">
        <f>IF(B5321,IF(Dist="Normal",DistA+DistB*I5321,DistA+(DistB-DistA)*NORMSDIST(I5321)),"")</f>
        <v/>
      </c>
      <c r="K5321">
        <f>IF(B5321,INDEX(MineScale,C5321),"")</f>
        <v/>
      </c>
      <c r="L5321">
        <f>IF(B5321,INDEX(Dow,1,WEEKDAY(E5321,2)),"")</f>
        <v/>
      </c>
      <c r="M5321">
        <f>IF(B5321,(1+Trend)^D5321,"")</f>
        <v/>
      </c>
      <c r="N5321">
        <f>IF(B5321,EXP(SUMPRODUCT(LN(1+(EvEff-1)*INDEX(Affected,0,C5321)*EXP(-((E5321-EvCenter)^2)/(2*EvSigma^2))))),"")</f>
        <v/>
      </c>
      <c r="O5321">
        <f>IF(B5321,ROUND(MAX(0,J5321*K5321*L5321*M5321*N5321),2),"")</f>
        <v/>
      </c>
    </row>
    <row r="5322">
      <c r="A5322" t="n">
        <v>5321</v>
      </c>
      <c r="B5322">
        <f>A5322&lt;=MineCount*Days</f>
        <v/>
      </c>
      <c r="C5322">
        <f>IF(B5322,INT((A5322-1)/Days)+1,"")</f>
        <v/>
      </c>
      <c r="D5322">
        <f>IF(B5322,MOD(A5322-1,Days),"")</f>
        <v/>
      </c>
      <c r="E5322" s="16">
        <f>IF(B5322,StartDate+D5322,"")</f>
        <v/>
      </c>
      <c r="F5322">
        <f>IF(B5322,MAX(MOD(SIN(Seed*0.1373+C5322*12.9898+D5322*78.233)*43758.5453,1),1E-9),"")</f>
        <v/>
      </c>
      <c r="G5322">
        <f>IF(B5322,MOD(SIN(Seed*0.5917+C5322*39.3468+D5322*11.135)*24634.6345,1),"")</f>
        <v/>
      </c>
      <c r="H5322">
        <f>IF(B5322,SQRT(-2*LN(F5322))*COS(2*PI()*G5322),"")</f>
        <v/>
      </c>
      <c r="I5322">
        <f>IF(B5322,IF(D5322=0,H5322,Rho*I5321+SQRT(1-Rho^2)*H5322),"")</f>
        <v/>
      </c>
      <c r="J5322">
        <f>IF(B5322,IF(Dist="Normal",DistA+DistB*I5322,DistA+(DistB-DistA)*NORMSDIST(I5322)),"")</f>
        <v/>
      </c>
      <c r="K5322">
        <f>IF(B5322,INDEX(MineScale,C5322),"")</f>
        <v/>
      </c>
      <c r="L5322">
        <f>IF(B5322,INDEX(Dow,1,WEEKDAY(E5322,2)),"")</f>
        <v/>
      </c>
      <c r="M5322">
        <f>IF(B5322,(1+Trend)^D5322,"")</f>
        <v/>
      </c>
      <c r="N5322">
        <f>IF(B5322,EXP(SUMPRODUCT(LN(1+(EvEff-1)*INDEX(Affected,0,C5322)*EXP(-((E5322-EvCenter)^2)/(2*EvSigma^2))))),"")</f>
        <v/>
      </c>
      <c r="O5322">
        <f>IF(B5322,ROUND(MAX(0,J5322*K5322*L5322*M5322*N5322),2),"")</f>
        <v/>
      </c>
    </row>
    <row r="5323">
      <c r="A5323" t="n">
        <v>5322</v>
      </c>
      <c r="B5323">
        <f>A5323&lt;=MineCount*Days</f>
        <v/>
      </c>
      <c r="C5323">
        <f>IF(B5323,INT((A5323-1)/Days)+1,"")</f>
        <v/>
      </c>
      <c r="D5323">
        <f>IF(B5323,MOD(A5323-1,Days),"")</f>
        <v/>
      </c>
      <c r="E5323" s="16">
        <f>IF(B5323,StartDate+D5323,"")</f>
        <v/>
      </c>
      <c r="F5323">
        <f>IF(B5323,MAX(MOD(SIN(Seed*0.1373+C5323*12.9898+D5323*78.233)*43758.5453,1),1E-9),"")</f>
        <v/>
      </c>
      <c r="G5323">
        <f>IF(B5323,MOD(SIN(Seed*0.5917+C5323*39.3468+D5323*11.135)*24634.6345,1),"")</f>
        <v/>
      </c>
      <c r="H5323">
        <f>IF(B5323,SQRT(-2*LN(F5323))*COS(2*PI()*G5323),"")</f>
        <v/>
      </c>
      <c r="I5323">
        <f>IF(B5323,IF(D5323=0,H5323,Rho*I5322+SQRT(1-Rho^2)*H5323),"")</f>
        <v/>
      </c>
      <c r="J5323">
        <f>IF(B5323,IF(Dist="Normal",DistA+DistB*I5323,DistA+(DistB-DistA)*NORMSDIST(I5323)),"")</f>
        <v/>
      </c>
      <c r="K5323">
        <f>IF(B5323,INDEX(MineScale,C5323),"")</f>
        <v/>
      </c>
      <c r="L5323">
        <f>IF(B5323,INDEX(Dow,1,WEEKDAY(E5323,2)),"")</f>
        <v/>
      </c>
      <c r="M5323">
        <f>IF(B5323,(1+Trend)^D5323,"")</f>
        <v/>
      </c>
      <c r="N5323">
        <f>IF(B5323,EXP(SUMPRODUCT(LN(1+(EvEff-1)*INDEX(Affected,0,C5323)*EXP(-((E5323-EvCenter)^2)/(2*EvSigma^2))))),"")</f>
        <v/>
      </c>
      <c r="O5323">
        <f>IF(B5323,ROUND(MAX(0,J5323*K5323*L5323*M5323*N5323),2),"")</f>
        <v/>
      </c>
    </row>
    <row r="5324">
      <c r="A5324" t="n">
        <v>5323</v>
      </c>
      <c r="B5324">
        <f>A5324&lt;=MineCount*Days</f>
        <v/>
      </c>
      <c r="C5324">
        <f>IF(B5324,INT((A5324-1)/Days)+1,"")</f>
        <v/>
      </c>
      <c r="D5324">
        <f>IF(B5324,MOD(A5324-1,Days),"")</f>
        <v/>
      </c>
      <c r="E5324" s="16">
        <f>IF(B5324,StartDate+D5324,"")</f>
        <v/>
      </c>
      <c r="F5324">
        <f>IF(B5324,MAX(MOD(SIN(Seed*0.1373+C5324*12.9898+D5324*78.233)*43758.5453,1),1E-9),"")</f>
        <v/>
      </c>
      <c r="G5324">
        <f>IF(B5324,MOD(SIN(Seed*0.5917+C5324*39.3468+D5324*11.135)*24634.6345,1),"")</f>
        <v/>
      </c>
      <c r="H5324">
        <f>IF(B5324,SQRT(-2*LN(F5324))*COS(2*PI()*G5324),"")</f>
        <v/>
      </c>
      <c r="I5324">
        <f>IF(B5324,IF(D5324=0,H5324,Rho*I5323+SQRT(1-Rho^2)*H5324),"")</f>
        <v/>
      </c>
      <c r="J5324">
        <f>IF(B5324,IF(Dist="Normal",DistA+DistB*I5324,DistA+(DistB-DistA)*NORMSDIST(I5324)),"")</f>
        <v/>
      </c>
      <c r="K5324">
        <f>IF(B5324,INDEX(MineScale,C5324),"")</f>
        <v/>
      </c>
      <c r="L5324">
        <f>IF(B5324,INDEX(Dow,1,WEEKDAY(E5324,2)),"")</f>
        <v/>
      </c>
      <c r="M5324">
        <f>IF(B5324,(1+Trend)^D5324,"")</f>
        <v/>
      </c>
      <c r="N5324">
        <f>IF(B5324,EXP(SUMPRODUCT(LN(1+(EvEff-1)*INDEX(Affected,0,C5324)*EXP(-((E5324-EvCenter)^2)/(2*EvSigma^2))))),"")</f>
        <v/>
      </c>
      <c r="O5324">
        <f>IF(B5324,ROUND(MAX(0,J5324*K5324*L5324*M5324*N5324),2),"")</f>
        <v/>
      </c>
    </row>
    <row r="5325">
      <c r="A5325" t="n">
        <v>5324</v>
      </c>
      <c r="B5325">
        <f>A5325&lt;=MineCount*Days</f>
        <v/>
      </c>
      <c r="C5325">
        <f>IF(B5325,INT((A5325-1)/Days)+1,"")</f>
        <v/>
      </c>
      <c r="D5325">
        <f>IF(B5325,MOD(A5325-1,Days),"")</f>
        <v/>
      </c>
      <c r="E5325" s="16">
        <f>IF(B5325,StartDate+D5325,"")</f>
        <v/>
      </c>
      <c r="F5325">
        <f>IF(B5325,MAX(MOD(SIN(Seed*0.1373+C5325*12.9898+D5325*78.233)*43758.5453,1),1E-9),"")</f>
        <v/>
      </c>
      <c r="G5325">
        <f>IF(B5325,MOD(SIN(Seed*0.5917+C5325*39.3468+D5325*11.135)*24634.6345,1),"")</f>
        <v/>
      </c>
      <c r="H5325">
        <f>IF(B5325,SQRT(-2*LN(F5325))*COS(2*PI()*G5325),"")</f>
        <v/>
      </c>
      <c r="I5325">
        <f>IF(B5325,IF(D5325=0,H5325,Rho*I5324+SQRT(1-Rho^2)*H5325),"")</f>
        <v/>
      </c>
      <c r="J5325">
        <f>IF(B5325,IF(Dist="Normal",DistA+DistB*I5325,DistA+(DistB-DistA)*NORMSDIST(I5325)),"")</f>
        <v/>
      </c>
      <c r="K5325">
        <f>IF(B5325,INDEX(MineScale,C5325),"")</f>
        <v/>
      </c>
      <c r="L5325">
        <f>IF(B5325,INDEX(Dow,1,WEEKDAY(E5325,2)),"")</f>
        <v/>
      </c>
      <c r="M5325">
        <f>IF(B5325,(1+Trend)^D5325,"")</f>
        <v/>
      </c>
      <c r="N5325">
        <f>IF(B5325,EXP(SUMPRODUCT(LN(1+(EvEff-1)*INDEX(Affected,0,C5325)*EXP(-((E5325-EvCenter)^2)/(2*EvSigma^2))))),"")</f>
        <v/>
      </c>
      <c r="O5325">
        <f>IF(B5325,ROUND(MAX(0,J5325*K5325*L5325*M5325*N5325),2),"")</f>
        <v/>
      </c>
    </row>
    <row r="5326">
      <c r="A5326" t="n">
        <v>5325</v>
      </c>
      <c r="B5326">
        <f>A5326&lt;=MineCount*Days</f>
        <v/>
      </c>
      <c r="C5326">
        <f>IF(B5326,INT((A5326-1)/Days)+1,"")</f>
        <v/>
      </c>
      <c r="D5326">
        <f>IF(B5326,MOD(A5326-1,Days),"")</f>
        <v/>
      </c>
      <c r="E5326" s="16">
        <f>IF(B5326,StartDate+D5326,"")</f>
        <v/>
      </c>
      <c r="F5326">
        <f>IF(B5326,MAX(MOD(SIN(Seed*0.1373+C5326*12.9898+D5326*78.233)*43758.5453,1),1E-9),"")</f>
        <v/>
      </c>
      <c r="G5326">
        <f>IF(B5326,MOD(SIN(Seed*0.5917+C5326*39.3468+D5326*11.135)*24634.6345,1),"")</f>
        <v/>
      </c>
      <c r="H5326">
        <f>IF(B5326,SQRT(-2*LN(F5326))*COS(2*PI()*G5326),"")</f>
        <v/>
      </c>
      <c r="I5326">
        <f>IF(B5326,IF(D5326=0,H5326,Rho*I5325+SQRT(1-Rho^2)*H5326),"")</f>
        <v/>
      </c>
      <c r="J5326">
        <f>IF(B5326,IF(Dist="Normal",DistA+DistB*I5326,DistA+(DistB-DistA)*NORMSDIST(I5326)),"")</f>
        <v/>
      </c>
      <c r="K5326">
        <f>IF(B5326,INDEX(MineScale,C5326),"")</f>
        <v/>
      </c>
      <c r="L5326">
        <f>IF(B5326,INDEX(Dow,1,WEEKDAY(E5326,2)),"")</f>
        <v/>
      </c>
      <c r="M5326">
        <f>IF(B5326,(1+Trend)^D5326,"")</f>
        <v/>
      </c>
      <c r="N5326">
        <f>IF(B5326,EXP(SUMPRODUCT(LN(1+(EvEff-1)*INDEX(Affected,0,C5326)*EXP(-((E5326-EvCenter)^2)/(2*EvSigma^2))))),"")</f>
        <v/>
      </c>
      <c r="O5326">
        <f>IF(B5326,ROUND(MAX(0,J5326*K5326*L5326*M5326*N5326),2),"")</f>
        <v/>
      </c>
    </row>
    <row r="5327">
      <c r="A5327" t="n">
        <v>5326</v>
      </c>
      <c r="B5327">
        <f>A5327&lt;=MineCount*Days</f>
        <v/>
      </c>
      <c r="C5327">
        <f>IF(B5327,INT((A5327-1)/Days)+1,"")</f>
        <v/>
      </c>
      <c r="D5327">
        <f>IF(B5327,MOD(A5327-1,Days),"")</f>
        <v/>
      </c>
      <c r="E5327" s="16">
        <f>IF(B5327,StartDate+D5327,"")</f>
        <v/>
      </c>
      <c r="F5327">
        <f>IF(B5327,MAX(MOD(SIN(Seed*0.1373+C5327*12.9898+D5327*78.233)*43758.5453,1),1E-9),"")</f>
        <v/>
      </c>
      <c r="G5327">
        <f>IF(B5327,MOD(SIN(Seed*0.5917+C5327*39.3468+D5327*11.135)*24634.6345,1),"")</f>
        <v/>
      </c>
      <c r="H5327">
        <f>IF(B5327,SQRT(-2*LN(F5327))*COS(2*PI()*G5327),"")</f>
        <v/>
      </c>
      <c r="I5327">
        <f>IF(B5327,IF(D5327=0,H5327,Rho*I5326+SQRT(1-Rho^2)*H5327),"")</f>
        <v/>
      </c>
      <c r="J5327">
        <f>IF(B5327,IF(Dist="Normal",DistA+DistB*I5327,DistA+(DistB-DistA)*NORMSDIST(I5327)),"")</f>
        <v/>
      </c>
      <c r="K5327">
        <f>IF(B5327,INDEX(MineScale,C5327),"")</f>
        <v/>
      </c>
      <c r="L5327">
        <f>IF(B5327,INDEX(Dow,1,WEEKDAY(E5327,2)),"")</f>
        <v/>
      </c>
      <c r="M5327">
        <f>IF(B5327,(1+Trend)^D5327,"")</f>
        <v/>
      </c>
      <c r="N5327">
        <f>IF(B5327,EXP(SUMPRODUCT(LN(1+(EvEff-1)*INDEX(Affected,0,C5327)*EXP(-((E5327-EvCenter)^2)/(2*EvSigma^2))))),"")</f>
        <v/>
      </c>
      <c r="O5327">
        <f>IF(B5327,ROUND(MAX(0,J5327*K5327*L5327*M5327*N5327),2),"")</f>
        <v/>
      </c>
    </row>
    <row r="5328">
      <c r="A5328" t="n">
        <v>5327</v>
      </c>
      <c r="B5328">
        <f>A5328&lt;=MineCount*Days</f>
        <v/>
      </c>
      <c r="C5328">
        <f>IF(B5328,INT((A5328-1)/Days)+1,"")</f>
        <v/>
      </c>
      <c r="D5328">
        <f>IF(B5328,MOD(A5328-1,Days),"")</f>
        <v/>
      </c>
      <c r="E5328" s="16">
        <f>IF(B5328,StartDate+D5328,"")</f>
        <v/>
      </c>
      <c r="F5328">
        <f>IF(B5328,MAX(MOD(SIN(Seed*0.1373+C5328*12.9898+D5328*78.233)*43758.5453,1),1E-9),"")</f>
        <v/>
      </c>
      <c r="G5328">
        <f>IF(B5328,MOD(SIN(Seed*0.5917+C5328*39.3468+D5328*11.135)*24634.6345,1),"")</f>
        <v/>
      </c>
      <c r="H5328">
        <f>IF(B5328,SQRT(-2*LN(F5328))*COS(2*PI()*G5328),"")</f>
        <v/>
      </c>
      <c r="I5328">
        <f>IF(B5328,IF(D5328=0,H5328,Rho*I5327+SQRT(1-Rho^2)*H5328),"")</f>
        <v/>
      </c>
      <c r="J5328">
        <f>IF(B5328,IF(Dist="Normal",DistA+DistB*I5328,DistA+(DistB-DistA)*NORMSDIST(I5328)),"")</f>
        <v/>
      </c>
      <c r="K5328">
        <f>IF(B5328,INDEX(MineScale,C5328),"")</f>
        <v/>
      </c>
      <c r="L5328">
        <f>IF(B5328,INDEX(Dow,1,WEEKDAY(E5328,2)),"")</f>
        <v/>
      </c>
      <c r="M5328">
        <f>IF(B5328,(1+Trend)^D5328,"")</f>
        <v/>
      </c>
      <c r="N5328">
        <f>IF(B5328,EXP(SUMPRODUCT(LN(1+(EvEff-1)*INDEX(Affected,0,C5328)*EXP(-((E5328-EvCenter)^2)/(2*EvSigma^2))))),"")</f>
        <v/>
      </c>
      <c r="O5328">
        <f>IF(B5328,ROUND(MAX(0,J5328*K5328*L5328*M5328*N5328),2),"")</f>
        <v/>
      </c>
    </row>
    <row r="5329">
      <c r="A5329" t="n">
        <v>5328</v>
      </c>
      <c r="B5329">
        <f>A5329&lt;=MineCount*Days</f>
        <v/>
      </c>
      <c r="C5329">
        <f>IF(B5329,INT((A5329-1)/Days)+1,"")</f>
        <v/>
      </c>
      <c r="D5329">
        <f>IF(B5329,MOD(A5329-1,Days),"")</f>
        <v/>
      </c>
      <c r="E5329" s="16">
        <f>IF(B5329,StartDate+D5329,"")</f>
        <v/>
      </c>
      <c r="F5329">
        <f>IF(B5329,MAX(MOD(SIN(Seed*0.1373+C5329*12.9898+D5329*78.233)*43758.5453,1),1E-9),"")</f>
        <v/>
      </c>
      <c r="G5329">
        <f>IF(B5329,MOD(SIN(Seed*0.5917+C5329*39.3468+D5329*11.135)*24634.6345,1),"")</f>
        <v/>
      </c>
      <c r="H5329">
        <f>IF(B5329,SQRT(-2*LN(F5329))*COS(2*PI()*G5329),"")</f>
        <v/>
      </c>
      <c r="I5329">
        <f>IF(B5329,IF(D5329=0,H5329,Rho*I5328+SQRT(1-Rho^2)*H5329),"")</f>
        <v/>
      </c>
      <c r="J5329">
        <f>IF(B5329,IF(Dist="Normal",DistA+DistB*I5329,DistA+(DistB-DistA)*NORMSDIST(I5329)),"")</f>
        <v/>
      </c>
      <c r="K5329">
        <f>IF(B5329,INDEX(MineScale,C5329),"")</f>
        <v/>
      </c>
      <c r="L5329">
        <f>IF(B5329,INDEX(Dow,1,WEEKDAY(E5329,2)),"")</f>
        <v/>
      </c>
      <c r="M5329">
        <f>IF(B5329,(1+Trend)^D5329,"")</f>
        <v/>
      </c>
      <c r="N5329">
        <f>IF(B5329,EXP(SUMPRODUCT(LN(1+(EvEff-1)*INDEX(Affected,0,C5329)*EXP(-((E5329-EvCenter)^2)/(2*EvSigma^2))))),"")</f>
        <v/>
      </c>
      <c r="O5329">
        <f>IF(B5329,ROUND(MAX(0,J5329*K5329*L5329*M5329*N5329),2),"")</f>
        <v/>
      </c>
    </row>
    <row r="5330">
      <c r="A5330" t="n">
        <v>5329</v>
      </c>
      <c r="B5330">
        <f>A5330&lt;=MineCount*Days</f>
        <v/>
      </c>
      <c r="C5330">
        <f>IF(B5330,INT((A5330-1)/Days)+1,"")</f>
        <v/>
      </c>
      <c r="D5330">
        <f>IF(B5330,MOD(A5330-1,Days),"")</f>
        <v/>
      </c>
      <c r="E5330" s="16">
        <f>IF(B5330,StartDate+D5330,"")</f>
        <v/>
      </c>
      <c r="F5330">
        <f>IF(B5330,MAX(MOD(SIN(Seed*0.1373+C5330*12.9898+D5330*78.233)*43758.5453,1),1E-9),"")</f>
        <v/>
      </c>
      <c r="G5330">
        <f>IF(B5330,MOD(SIN(Seed*0.5917+C5330*39.3468+D5330*11.135)*24634.6345,1),"")</f>
        <v/>
      </c>
      <c r="H5330">
        <f>IF(B5330,SQRT(-2*LN(F5330))*COS(2*PI()*G5330),"")</f>
        <v/>
      </c>
      <c r="I5330">
        <f>IF(B5330,IF(D5330=0,H5330,Rho*I5329+SQRT(1-Rho^2)*H5330),"")</f>
        <v/>
      </c>
      <c r="J5330">
        <f>IF(B5330,IF(Dist="Normal",DistA+DistB*I5330,DistA+(DistB-DistA)*NORMSDIST(I5330)),"")</f>
        <v/>
      </c>
      <c r="K5330">
        <f>IF(B5330,INDEX(MineScale,C5330),"")</f>
        <v/>
      </c>
      <c r="L5330">
        <f>IF(B5330,INDEX(Dow,1,WEEKDAY(E5330,2)),"")</f>
        <v/>
      </c>
      <c r="M5330">
        <f>IF(B5330,(1+Trend)^D5330,"")</f>
        <v/>
      </c>
      <c r="N5330">
        <f>IF(B5330,EXP(SUMPRODUCT(LN(1+(EvEff-1)*INDEX(Affected,0,C5330)*EXP(-((E5330-EvCenter)^2)/(2*EvSigma^2))))),"")</f>
        <v/>
      </c>
      <c r="O5330">
        <f>IF(B5330,ROUND(MAX(0,J5330*K5330*L5330*M5330*N5330),2),"")</f>
        <v/>
      </c>
    </row>
    <row r="5331">
      <c r="A5331" t="n">
        <v>5330</v>
      </c>
      <c r="B5331">
        <f>A5331&lt;=MineCount*Days</f>
        <v/>
      </c>
      <c r="C5331">
        <f>IF(B5331,INT((A5331-1)/Days)+1,"")</f>
        <v/>
      </c>
      <c r="D5331">
        <f>IF(B5331,MOD(A5331-1,Days),"")</f>
        <v/>
      </c>
      <c r="E5331" s="16">
        <f>IF(B5331,StartDate+D5331,"")</f>
        <v/>
      </c>
      <c r="F5331">
        <f>IF(B5331,MAX(MOD(SIN(Seed*0.1373+C5331*12.9898+D5331*78.233)*43758.5453,1),1E-9),"")</f>
        <v/>
      </c>
      <c r="G5331">
        <f>IF(B5331,MOD(SIN(Seed*0.5917+C5331*39.3468+D5331*11.135)*24634.6345,1),"")</f>
        <v/>
      </c>
      <c r="H5331">
        <f>IF(B5331,SQRT(-2*LN(F5331))*COS(2*PI()*G5331),"")</f>
        <v/>
      </c>
      <c r="I5331">
        <f>IF(B5331,IF(D5331=0,H5331,Rho*I5330+SQRT(1-Rho^2)*H5331),"")</f>
        <v/>
      </c>
      <c r="J5331">
        <f>IF(B5331,IF(Dist="Normal",DistA+DistB*I5331,DistA+(DistB-DistA)*NORMSDIST(I5331)),"")</f>
        <v/>
      </c>
      <c r="K5331">
        <f>IF(B5331,INDEX(MineScale,C5331),"")</f>
        <v/>
      </c>
      <c r="L5331">
        <f>IF(B5331,INDEX(Dow,1,WEEKDAY(E5331,2)),"")</f>
        <v/>
      </c>
      <c r="M5331">
        <f>IF(B5331,(1+Trend)^D5331,"")</f>
        <v/>
      </c>
      <c r="N5331">
        <f>IF(B5331,EXP(SUMPRODUCT(LN(1+(EvEff-1)*INDEX(Affected,0,C5331)*EXP(-((E5331-EvCenter)^2)/(2*EvSigma^2))))),"")</f>
        <v/>
      </c>
      <c r="O5331">
        <f>IF(B5331,ROUND(MAX(0,J5331*K5331*L5331*M5331*N5331),2),"")</f>
        <v/>
      </c>
    </row>
    <row r="5332">
      <c r="A5332" t="n">
        <v>5331</v>
      </c>
      <c r="B5332">
        <f>A5332&lt;=MineCount*Days</f>
        <v/>
      </c>
      <c r="C5332">
        <f>IF(B5332,INT((A5332-1)/Days)+1,"")</f>
        <v/>
      </c>
      <c r="D5332">
        <f>IF(B5332,MOD(A5332-1,Days),"")</f>
        <v/>
      </c>
      <c r="E5332" s="16">
        <f>IF(B5332,StartDate+D5332,"")</f>
        <v/>
      </c>
      <c r="F5332">
        <f>IF(B5332,MAX(MOD(SIN(Seed*0.1373+C5332*12.9898+D5332*78.233)*43758.5453,1),1E-9),"")</f>
        <v/>
      </c>
      <c r="G5332">
        <f>IF(B5332,MOD(SIN(Seed*0.5917+C5332*39.3468+D5332*11.135)*24634.6345,1),"")</f>
        <v/>
      </c>
      <c r="H5332">
        <f>IF(B5332,SQRT(-2*LN(F5332))*COS(2*PI()*G5332),"")</f>
        <v/>
      </c>
      <c r="I5332">
        <f>IF(B5332,IF(D5332=0,H5332,Rho*I5331+SQRT(1-Rho^2)*H5332),"")</f>
        <v/>
      </c>
      <c r="J5332">
        <f>IF(B5332,IF(Dist="Normal",DistA+DistB*I5332,DistA+(DistB-DistA)*NORMSDIST(I5332)),"")</f>
        <v/>
      </c>
      <c r="K5332">
        <f>IF(B5332,INDEX(MineScale,C5332),"")</f>
        <v/>
      </c>
      <c r="L5332">
        <f>IF(B5332,INDEX(Dow,1,WEEKDAY(E5332,2)),"")</f>
        <v/>
      </c>
      <c r="M5332">
        <f>IF(B5332,(1+Trend)^D5332,"")</f>
        <v/>
      </c>
      <c r="N5332">
        <f>IF(B5332,EXP(SUMPRODUCT(LN(1+(EvEff-1)*INDEX(Affected,0,C5332)*EXP(-((E5332-EvCenter)^2)/(2*EvSigma^2))))),"")</f>
        <v/>
      </c>
      <c r="O5332">
        <f>IF(B5332,ROUND(MAX(0,J5332*K5332*L5332*M5332*N5332),2),"")</f>
        <v/>
      </c>
    </row>
    <row r="5333">
      <c r="A5333" t="n">
        <v>5332</v>
      </c>
      <c r="B5333">
        <f>A5333&lt;=MineCount*Days</f>
        <v/>
      </c>
      <c r="C5333">
        <f>IF(B5333,INT((A5333-1)/Days)+1,"")</f>
        <v/>
      </c>
      <c r="D5333">
        <f>IF(B5333,MOD(A5333-1,Days),"")</f>
        <v/>
      </c>
      <c r="E5333" s="16">
        <f>IF(B5333,StartDate+D5333,"")</f>
        <v/>
      </c>
      <c r="F5333">
        <f>IF(B5333,MAX(MOD(SIN(Seed*0.1373+C5333*12.9898+D5333*78.233)*43758.5453,1),1E-9),"")</f>
        <v/>
      </c>
      <c r="G5333">
        <f>IF(B5333,MOD(SIN(Seed*0.5917+C5333*39.3468+D5333*11.135)*24634.6345,1),"")</f>
        <v/>
      </c>
      <c r="H5333">
        <f>IF(B5333,SQRT(-2*LN(F5333))*COS(2*PI()*G5333),"")</f>
        <v/>
      </c>
      <c r="I5333">
        <f>IF(B5333,IF(D5333=0,H5333,Rho*I5332+SQRT(1-Rho^2)*H5333),"")</f>
        <v/>
      </c>
      <c r="J5333">
        <f>IF(B5333,IF(Dist="Normal",DistA+DistB*I5333,DistA+(DistB-DistA)*NORMSDIST(I5333)),"")</f>
        <v/>
      </c>
      <c r="K5333">
        <f>IF(B5333,INDEX(MineScale,C5333),"")</f>
        <v/>
      </c>
      <c r="L5333">
        <f>IF(B5333,INDEX(Dow,1,WEEKDAY(E5333,2)),"")</f>
        <v/>
      </c>
      <c r="M5333">
        <f>IF(B5333,(1+Trend)^D5333,"")</f>
        <v/>
      </c>
      <c r="N5333">
        <f>IF(B5333,EXP(SUMPRODUCT(LN(1+(EvEff-1)*INDEX(Affected,0,C5333)*EXP(-((E5333-EvCenter)^2)/(2*EvSigma^2))))),"")</f>
        <v/>
      </c>
      <c r="O5333">
        <f>IF(B5333,ROUND(MAX(0,J5333*K5333*L5333*M5333*N5333),2),"")</f>
        <v/>
      </c>
    </row>
    <row r="5334">
      <c r="A5334" t="n">
        <v>5333</v>
      </c>
      <c r="B5334">
        <f>A5334&lt;=MineCount*Days</f>
        <v/>
      </c>
      <c r="C5334">
        <f>IF(B5334,INT((A5334-1)/Days)+1,"")</f>
        <v/>
      </c>
      <c r="D5334">
        <f>IF(B5334,MOD(A5334-1,Days),"")</f>
        <v/>
      </c>
      <c r="E5334" s="16">
        <f>IF(B5334,StartDate+D5334,"")</f>
        <v/>
      </c>
      <c r="F5334">
        <f>IF(B5334,MAX(MOD(SIN(Seed*0.1373+C5334*12.9898+D5334*78.233)*43758.5453,1),1E-9),"")</f>
        <v/>
      </c>
      <c r="G5334">
        <f>IF(B5334,MOD(SIN(Seed*0.5917+C5334*39.3468+D5334*11.135)*24634.6345,1),"")</f>
        <v/>
      </c>
      <c r="H5334">
        <f>IF(B5334,SQRT(-2*LN(F5334))*COS(2*PI()*G5334),"")</f>
        <v/>
      </c>
      <c r="I5334">
        <f>IF(B5334,IF(D5334=0,H5334,Rho*I5333+SQRT(1-Rho^2)*H5334),"")</f>
        <v/>
      </c>
      <c r="J5334">
        <f>IF(B5334,IF(Dist="Normal",DistA+DistB*I5334,DistA+(DistB-DistA)*NORMSDIST(I5334)),"")</f>
        <v/>
      </c>
      <c r="K5334">
        <f>IF(B5334,INDEX(MineScale,C5334),"")</f>
        <v/>
      </c>
      <c r="L5334">
        <f>IF(B5334,INDEX(Dow,1,WEEKDAY(E5334,2)),"")</f>
        <v/>
      </c>
      <c r="M5334">
        <f>IF(B5334,(1+Trend)^D5334,"")</f>
        <v/>
      </c>
      <c r="N5334">
        <f>IF(B5334,EXP(SUMPRODUCT(LN(1+(EvEff-1)*INDEX(Affected,0,C5334)*EXP(-((E5334-EvCenter)^2)/(2*EvSigma^2))))),"")</f>
        <v/>
      </c>
      <c r="O5334">
        <f>IF(B5334,ROUND(MAX(0,J5334*K5334*L5334*M5334*N5334),2),"")</f>
        <v/>
      </c>
    </row>
    <row r="5335">
      <c r="A5335" t="n">
        <v>5334</v>
      </c>
      <c r="B5335">
        <f>A5335&lt;=MineCount*Days</f>
        <v/>
      </c>
      <c r="C5335">
        <f>IF(B5335,INT((A5335-1)/Days)+1,"")</f>
        <v/>
      </c>
      <c r="D5335">
        <f>IF(B5335,MOD(A5335-1,Days),"")</f>
        <v/>
      </c>
      <c r="E5335" s="16">
        <f>IF(B5335,StartDate+D5335,"")</f>
        <v/>
      </c>
      <c r="F5335">
        <f>IF(B5335,MAX(MOD(SIN(Seed*0.1373+C5335*12.9898+D5335*78.233)*43758.5453,1),1E-9),"")</f>
        <v/>
      </c>
      <c r="G5335">
        <f>IF(B5335,MOD(SIN(Seed*0.5917+C5335*39.3468+D5335*11.135)*24634.6345,1),"")</f>
        <v/>
      </c>
      <c r="H5335">
        <f>IF(B5335,SQRT(-2*LN(F5335))*COS(2*PI()*G5335),"")</f>
        <v/>
      </c>
      <c r="I5335">
        <f>IF(B5335,IF(D5335=0,H5335,Rho*I5334+SQRT(1-Rho^2)*H5335),"")</f>
        <v/>
      </c>
      <c r="J5335">
        <f>IF(B5335,IF(Dist="Normal",DistA+DistB*I5335,DistA+(DistB-DistA)*NORMSDIST(I5335)),"")</f>
        <v/>
      </c>
      <c r="K5335">
        <f>IF(B5335,INDEX(MineScale,C5335),"")</f>
        <v/>
      </c>
      <c r="L5335">
        <f>IF(B5335,INDEX(Dow,1,WEEKDAY(E5335,2)),"")</f>
        <v/>
      </c>
      <c r="M5335">
        <f>IF(B5335,(1+Trend)^D5335,"")</f>
        <v/>
      </c>
      <c r="N5335">
        <f>IF(B5335,EXP(SUMPRODUCT(LN(1+(EvEff-1)*INDEX(Affected,0,C5335)*EXP(-((E5335-EvCenter)^2)/(2*EvSigma^2))))),"")</f>
        <v/>
      </c>
      <c r="O5335">
        <f>IF(B5335,ROUND(MAX(0,J5335*K5335*L5335*M5335*N5335),2),"")</f>
        <v/>
      </c>
    </row>
    <row r="5336">
      <c r="A5336" t="n">
        <v>5335</v>
      </c>
      <c r="B5336">
        <f>A5336&lt;=MineCount*Days</f>
        <v/>
      </c>
      <c r="C5336">
        <f>IF(B5336,INT((A5336-1)/Days)+1,"")</f>
        <v/>
      </c>
      <c r="D5336">
        <f>IF(B5336,MOD(A5336-1,Days),"")</f>
        <v/>
      </c>
      <c r="E5336" s="16">
        <f>IF(B5336,StartDate+D5336,"")</f>
        <v/>
      </c>
      <c r="F5336">
        <f>IF(B5336,MAX(MOD(SIN(Seed*0.1373+C5336*12.9898+D5336*78.233)*43758.5453,1),1E-9),"")</f>
        <v/>
      </c>
      <c r="G5336">
        <f>IF(B5336,MOD(SIN(Seed*0.5917+C5336*39.3468+D5336*11.135)*24634.6345,1),"")</f>
        <v/>
      </c>
      <c r="H5336">
        <f>IF(B5336,SQRT(-2*LN(F5336))*COS(2*PI()*G5336),"")</f>
        <v/>
      </c>
      <c r="I5336">
        <f>IF(B5336,IF(D5336=0,H5336,Rho*I5335+SQRT(1-Rho^2)*H5336),"")</f>
        <v/>
      </c>
      <c r="J5336">
        <f>IF(B5336,IF(Dist="Normal",DistA+DistB*I5336,DistA+(DistB-DistA)*NORMSDIST(I5336)),"")</f>
        <v/>
      </c>
      <c r="K5336">
        <f>IF(B5336,INDEX(MineScale,C5336),"")</f>
        <v/>
      </c>
      <c r="L5336">
        <f>IF(B5336,INDEX(Dow,1,WEEKDAY(E5336,2)),"")</f>
        <v/>
      </c>
      <c r="M5336">
        <f>IF(B5336,(1+Trend)^D5336,"")</f>
        <v/>
      </c>
      <c r="N5336">
        <f>IF(B5336,EXP(SUMPRODUCT(LN(1+(EvEff-1)*INDEX(Affected,0,C5336)*EXP(-((E5336-EvCenter)^2)/(2*EvSigma^2))))),"")</f>
        <v/>
      </c>
      <c r="O5336">
        <f>IF(B5336,ROUND(MAX(0,J5336*K5336*L5336*M5336*N5336),2),"")</f>
        <v/>
      </c>
    </row>
    <row r="5337">
      <c r="A5337" t="n">
        <v>5336</v>
      </c>
      <c r="B5337">
        <f>A5337&lt;=MineCount*Days</f>
        <v/>
      </c>
      <c r="C5337">
        <f>IF(B5337,INT((A5337-1)/Days)+1,"")</f>
        <v/>
      </c>
      <c r="D5337">
        <f>IF(B5337,MOD(A5337-1,Days),"")</f>
        <v/>
      </c>
      <c r="E5337" s="16">
        <f>IF(B5337,StartDate+D5337,"")</f>
        <v/>
      </c>
      <c r="F5337">
        <f>IF(B5337,MAX(MOD(SIN(Seed*0.1373+C5337*12.9898+D5337*78.233)*43758.5453,1),1E-9),"")</f>
        <v/>
      </c>
      <c r="G5337">
        <f>IF(B5337,MOD(SIN(Seed*0.5917+C5337*39.3468+D5337*11.135)*24634.6345,1),"")</f>
        <v/>
      </c>
      <c r="H5337">
        <f>IF(B5337,SQRT(-2*LN(F5337))*COS(2*PI()*G5337),"")</f>
        <v/>
      </c>
      <c r="I5337">
        <f>IF(B5337,IF(D5337=0,H5337,Rho*I5336+SQRT(1-Rho^2)*H5337),"")</f>
        <v/>
      </c>
      <c r="J5337">
        <f>IF(B5337,IF(Dist="Normal",DistA+DistB*I5337,DistA+(DistB-DistA)*NORMSDIST(I5337)),"")</f>
        <v/>
      </c>
      <c r="K5337">
        <f>IF(B5337,INDEX(MineScale,C5337),"")</f>
        <v/>
      </c>
      <c r="L5337">
        <f>IF(B5337,INDEX(Dow,1,WEEKDAY(E5337,2)),"")</f>
        <v/>
      </c>
      <c r="M5337">
        <f>IF(B5337,(1+Trend)^D5337,"")</f>
        <v/>
      </c>
      <c r="N5337">
        <f>IF(B5337,EXP(SUMPRODUCT(LN(1+(EvEff-1)*INDEX(Affected,0,C5337)*EXP(-((E5337-EvCenter)^2)/(2*EvSigma^2))))),"")</f>
        <v/>
      </c>
      <c r="O5337">
        <f>IF(B5337,ROUND(MAX(0,J5337*K5337*L5337*M5337*N5337),2),"")</f>
        <v/>
      </c>
    </row>
    <row r="5338">
      <c r="A5338" t="n">
        <v>5337</v>
      </c>
      <c r="B5338">
        <f>A5338&lt;=MineCount*Days</f>
        <v/>
      </c>
      <c r="C5338">
        <f>IF(B5338,INT((A5338-1)/Days)+1,"")</f>
        <v/>
      </c>
      <c r="D5338">
        <f>IF(B5338,MOD(A5338-1,Days),"")</f>
        <v/>
      </c>
      <c r="E5338" s="16">
        <f>IF(B5338,StartDate+D5338,"")</f>
        <v/>
      </c>
      <c r="F5338">
        <f>IF(B5338,MAX(MOD(SIN(Seed*0.1373+C5338*12.9898+D5338*78.233)*43758.5453,1),1E-9),"")</f>
        <v/>
      </c>
      <c r="G5338">
        <f>IF(B5338,MOD(SIN(Seed*0.5917+C5338*39.3468+D5338*11.135)*24634.6345,1),"")</f>
        <v/>
      </c>
      <c r="H5338">
        <f>IF(B5338,SQRT(-2*LN(F5338))*COS(2*PI()*G5338),"")</f>
        <v/>
      </c>
      <c r="I5338">
        <f>IF(B5338,IF(D5338=0,H5338,Rho*I5337+SQRT(1-Rho^2)*H5338),"")</f>
        <v/>
      </c>
      <c r="J5338">
        <f>IF(B5338,IF(Dist="Normal",DistA+DistB*I5338,DistA+(DistB-DistA)*NORMSDIST(I5338)),"")</f>
        <v/>
      </c>
      <c r="K5338">
        <f>IF(B5338,INDEX(MineScale,C5338),"")</f>
        <v/>
      </c>
      <c r="L5338">
        <f>IF(B5338,INDEX(Dow,1,WEEKDAY(E5338,2)),"")</f>
        <v/>
      </c>
      <c r="M5338">
        <f>IF(B5338,(1+Trend)^D5338,"")</f>
        <v/>
      </c>
      <c r="N5338">
        <f>IF(B5338,EXP(SUMPRODUCT(LN(1+(EvEff-1)*INDEX(Affected,0,C5338)*EXP(-((E5338-EvCenter)^2)/(2*EvSigma^2))))),"")</f>
        <v/>
      </c>
      <c r="O5338">
        <f>IF(B5338,ROUND(MAX(0,J5338*K5338*L5338*M5338*N5338),2),"")</f>
        <v/>
      </c>
    </row>
    <row r="5339">
      <c r="A5339" t="n">
        <v>5338</v>
      </c>
      <c r="B5339">
        <f>A5339&lt;=MineCount*Days</f>
        <v/>
      </c>
      <c r="C5339">
        <f>IF(B5339,INT((A5339-1)/Days)+1,"")</f>
        <v/>
      </c>
      <c r="D5339">
        <f>IF(B5339,MOD(A5339-1,Days),"")</f>
        <v/>
      </c>
      <c r="E5339" s="16">
        <f>IF(B5339,StartDate+D5339,"")</f>
        <v/>
      </c>
      <c r="F5339">
        <f>IF(B5339,MAX(MOD(SIN(Seed*0.1373+C5339*12.9898+D5339*78.233)*43758.5453,1),1E-9),"")</f>
        <v/>
      </c>
      <c r="G5339">
        <f>IF(B5339,MOD(SIN(Seed*0.5917+C5339*39.3468+D5339*11.135)*24634.6345,1),"")</f>
        <v/>
      </c>
      <c r="H5339">
        <f>IF(B5339,SQRT(-2*LN(F5339))*COS(2*PI()*G5339),"")</f>
        <v/>
      </c>
      <c r="I5339">
        <f>IF(B5339,IF(D5339=0,H5339,Rho*I5338+SQRT(1-Rho^2)*H5339),"")</f>
        <v/>
      </c>
      <c r="J5339">
        <f>IF(B5339,IF(Dist="Normal",DistA+DistB*I5339,DistA+(DistB-DistA)*NORMSDIST(I5339)),"")</f>
        <v/>
      </c>
      <c r="K5339">
        <f>IF(B5339,INDEX(MineScale,C5339),"")</f>
        <v/>
      </c>
      <c r="L5339">
        <f>IF(B5339,INDEX(Dow,1,WEEKDAY(E5339,2)),"")</f>
        <v/>
      </c>
      <c r="M5339">
        <f>IF(B5339,(1+Trend)^D5339,"")</f>
        <v/>
      </c>
      <c r="N5339">
        <f>IF(B5339,EXP(SUMPRODUCT(LN(1+(EvEff-1)*INDEX(Affected,0,C5339)*EXP(-((E5339-EvCenter)^2)/(2*EvSigma^2))))),"")</f>
        <v/>
      </c>
      <c r="O5339">
        <f>IF(B5339,ROUND(MAX(0,J5339*K5339*L5339*M5339*N5339),2),"")</f>
        <v/>
      </c>
    </row>
    <row r="5340">
      <c r="A5340" t="n">
        <v>5339</v>
      </c>
      <c r="B5340">
        <f>A5340&lt;=MineCount*Days</f>
        <v/>
      </c>
      <c r="C5340">
        <f>IF(B5340,INT((A5340-1)/Days)+1,"")</f>
        <v/>
      </c>
      <c r="D5340">
        <f>IF(B5340,MOD(A5340-1,Days),"")</f>
        <v/>
      </c>
      <c r="E5340" s="16">
        <f>IF(B5340,StartDate+D5340,"")</f>
        <v/>
      </c>
      <c r="F5340">
        <f>IF(B5340,MAX(MOD(SIN(Seed*0.1373+C5340*12.9898+D5340*78.233)*43758.5453,1),1E-9),"")</f>
        <v/>
      </c>
      <c r="G5340">
        <f>IF(B5340,MOD(SIN(Seed*0.5917+C5340*39.3468+D5340*11.135)*24634.6345,1),"")</f>
        <v/>
      </c>
      <c r="H5340">
        <f>IF(B5340,SQRT(-2*LN(F5340))*COS(2*PI()*G5340),"")</f>
        <v/>
      </c>
      <c r="I5340">
        <f>IF(B5340,IF(D5340=0,H5340,Rho*I5339+SQRT(1-Rho^2)*H5340),"")</f>
        <v/>
      </c>
      <c r="J5340">
        <f>IF(B5340,IF(Dist="Normal",DistA+DistB*I5340,DistA+(DistB-DistA)*NORMSDIST(I5340)),"")</f>
        <v/>
      </c>
      <c r="K5340">
        <f>IF(B5340,INDEX(MineScale,C5340),"")</f>
        <v/>
      </c>
      <c r="L5340">
        <f>IF(B5340,INDEX(Dow,1,WEEKDAY(E5340,2)),"")</f>
        <v/>
      </c>
      <c r="M5340">
        <f>IF(B5340,(1+Trend)^D5340,"")</f>
        <v/>
      </c>
      <c r="N5340">
        <f>IF(B5340,EXP(SUMPRODUCT(LN(1+(EvEff-1)*INDEX(Affected,0,C5340)*EXP(-((E5340-EvCenter)^2)/(2*EvSigma^2))))),"")</f>
        <v/>
      </c>
      <c r="O5340">
        <f>IF(B5340,ROUND(MAX(0,J5340*K5340*L5340*M5340*N5340),2),"")</f>
        <v/>
      </c>
    </row>
    <row r="5341">
      <c r="A5341" t="n">
        <v>5340</v>
      </c>
      <c r="B5341">
        <f>A5341&lt;=MineCount*Days</f>
        <v/>
      </c>
      <c r="C5341">
        <f>IF(B5341,INT((A5341-1)/Days)+1,"")</f>
        <v/>
      </c>
      <c r="D5341">
        <f>IF(B5341,MOD(A5341-1,Days),"")</f>
        <v/>
      </c>
      <c r="E5341" s="16">
        <f>IF(B5341,StartDate+D5341,"")</f>
        <v/>
      </c>
      <c r="F5341">
        <f>IF(B5341,MAX(MOD(SIN(Seed*0.1373+C5341*12.9898+D5341*78.233)*43758.5453,1),1E-9),"")</f>
        <v/>
      </c>
      <c r="G5341">
        <f>IF(B5341,MOD(SIN(Seed*0.5917+C5341*39.3468+D5341*11.135)*24634.6345,1),"")</f>
        <v/>
      </c>
      <c r="H5341">
        <f>IF(B5341,SQRT(-2*LN(F5341))*COS(2*PI()*G5341),"")</f>
        <v/>
      </c>
      <c r="I5341">
        <f>IF(B5341,IF(D5341=0,H5341,Rho*I5340+SQRT(1-Rho^2)*H5341),"")</f>
        <v/>
      </c>
      <c r="J5341">
        <f>IF(B5341,IF(Dist="Normal",DistA+DistB*I5341,DistA+(DistB-DistA)*NORMSDIST(I5341)),"")</f>
        <v/>
      </c>
      <c r="K5341">
        <f>IF(B5341,INDEX(MineScale,C5341),"")</f>
        <v/>
      </c>
      <c r="L5341">
        <f>IF(B5341,INDEX(Dow,1,WEEKDAY(E5341,2)),"")</f>
        <v/>
      </c>
      <c r="M5341">
        <f>IF(B5341,(1+Trend)^D5341,"")</f>
        <v/>
      </c>
      <c r="N5341">
        <f>IF(B5341,EXP(SUMPRODUCT(LN(1+(EvEff-1)*INDEX(Affected,0,C5341)*EXP(-((E5341-EvCenter)^2)/(2*EvSigma^2))))),"")</f>
        <v/>
      </c>
      <c r="O5341">
        <f>IF(B5341,ROUND(MAX(0,J5341*K5341*L5341*M5341*N5341),2),"")</f>
        <v/>
      </c>
    </row>
    <row r="5342">
      <c r="A5342" t="n">
        <v>5341</v>
      </c>
      <c r="B5342">
        <f>A5342&lt;=MineCount*Days</f>
        <v/>
      </c>
      <c r="C5342">
        <f>IF(B5342,INT((A5342-1)/Days)+1,"")</f>
        <v/>
      </c>
      <c r="D5342">
        <f>IF(B5342,MOD(A5342-1,Days),"")</f>
        <v/>
      </c>
      <c r="E5342" s="16">
        <f>IF(B5342,StartDate+D5342,"")</f>
        <v/>
      </c>
      <c r="F5342">
        <f>IF(B5342,MAX(MOD(SIN(Seed*0.1373+C5342*12.9898+D5342*78.233)*43758.5453,1),1E-9),"")</f>
        <v/>
      </c>
      <c r="G5342">
        <f>IF(B5342,MOD(SIN(Seed*0.5917+C5342*39.3468+D5342*11.135)*24634.6345,1),"")</f>
        <v/>
      </c>
      <c r="H5342">
        <f>IF(B5342,SQRT(-2*LN(F5342))*COS(2*PI()*G5342),"")</f>
        <v/>
      </c>
      <c r="I5342">
        <f>IF(B5342,IF(D5342=0,H5342,Rho*I5341+SQRT(1-Rho^2)*H5342),"")</f>
        <v/>
      </c>
      <c r="J5342">
        <f>IF(B5342,IF(Dist="Normal",DistA+DistB*I5342,DistA+(DistB-DistA)*NORMSDIST(I5342)),"")</f>
        <v/>
      </c>
      <c r="K5342">
        <f>IF(B5342,INDEX(MineScale,C5342),"")</f>
        <v/>
      </c>
      <c r="L5342">
        <f>IF(B5342,INDEX(Dow,1,WEEKDAY(E5342,2)),"")</f>
        <v/>
      </c>
      <c r="M5342">
        <f>IF(B5342,(1+Trend)^D5342,"")</f>
        <v/>
      </c>
      <c r="N5342">
        <f>IF(B5342,EXP(SUMPRODUCT(LN(1+(EvEff-1)*INDEX(Affected,0,C5342)*EXP(-((E5342-EvCenter)^2)/(2*EvSigma^2))))),"")</f>
        <v/>
      </c>
      <c r="O5342">
        <f>IF(B5342,ROUND(MAX(0,J5342*K5342*L5342*M5342*N5342),2),"")</f>
        <v/>
      </c>
    </row>
    <row r="5343">
      <c r="A5343" t="n">
        <v>5342</v>
      </c>
      <c r="B5343">
        <f>A5343&lt;=MineCount*Days</f>
        <v/>
      </c>
      <c r="C5343">
        <f>IF(B5343,INT((A5343-1)/Days)+1,"")</f>
        <v/>
      </c>
      <c r="D5343">
        <f>IF(B5343,MOD(A5343-1,Days),"")</f>
        <v/>
      </c>
      <c r="E5343" s="16">
        <f>IF(B5343,StartDate+D5343,"")</f>
        <v/>
      </c>
      <c r="F5343">
        <f>IF(B5343,MAX(MOD(SIN(Seed*0.1373+C5343*12.9898+D5343*78.233)*43758.5453,1),1E-9),"")</f>
        <v/>
      </c>
      <c r="G5343">
        <f>IF(B5343,MOD(SIN(Seed*0.5917+C5343*39.3468+D5343*11.135)*24634.6345,1),"")</f>
        <v/>
      </c>
      <c r="H5343">
        <f>IF(B5343,SQRT(-2*LN(F5343))*COS(2*PI()*G5343),"")</f>
        <v/>
      </c>
      <c r="I5343">
        <f>IF(B5343,IF(D5343=0,H5343,Rho*I5342+SQRT(1-Rho^2)*H5343),"")</f>
        <v/>
      </c>
      <c r="J5343">
        <f>IF(B5343,IF(Dist="Normal",DistA+DistB*I5343,DistA+(DistB-DistA)*NORMSDIST(I5343)),"")</f>
        <v/>
      </c>
      <c r="K5343">
        <f>IF(B5343,INDEX(MineScale,C5343),"")</f>
        <v/>
      </c>
      <c r="L5343">
        <f>IF(B5343,INDEX(Dow,1,WEEKDAY(E5343,2)),"")</f>
        <v/>
      </c>
      <c r="M5343">
        <f>IF(B5343,(1+Trend)^D5343,"")</f>
        <v/>
      </c>
      <c r="N5343">
        <f>IF(B5343,EXP(SUMPRODUCT(LN(1+(EvEff-1)*INDEX(Affected,0,C5343)*EXP(-((E5343-EvCenter)^2)/(2*EvSigma^2))))),"")</f>
        <v/>
      </c>
      <c r="O5343">
        <f>IF(B5343,ROUND(MAX(0,J5343*K5343*L5343*M5343*N5343),2),"")</f>
        <v/>
      </c>
    </row>
    <row r="5344">
      <c r="A5344" t="n">
        <v>5343</v>
      </c>
      <c r="B5344">
        <f>A5344&lt;=MineCount*Days</f>
        <v/>
      </c>
      <c r="C5344">
        <f>IF(B5344,INT((A5344-1)/Days)+1,"")</f>
        <v/>
      </c>
      <c r="D5344">
        <f>IF(B5344,MOD(A5344-1,Days),"")</f>
        <v/>
      </c>
      <c r="E5344" s="16">
        <f>IF(B5344,StartDate+D5344,"")</f>
        <v/>
      </c>
      <c r="F5344">
        <f>IF(B5344,MAX(MOD(SIN(Seed*0.1373+C5344*12.9898+D5344*78.233)*43758.5453,1),1E-9),"")</f>
        <v/>
      </c>
      <c r="G5344">
        <f>IF(B5344,MOD(SIN(Seed*0.5917+C5344*39.3468+D5344*11.135)*24634.6345,1),"")</f>
        <v/>
      </c>
      <c r="H5344">
        <f>IF(B5344,SQRT(-2*LN(F5344))*COS(2*PI()*G5344),"")</f>
        <v/>
      </c>
      <c r="I5344">
        <f>IF(B5344,IF(D5344=0,H5344,Rho*I5343+SQRT(1-Rho^2)*H5344),"")</f>
        <v/>
      </c>
      <c r="J5344">
        <f>IF(B5344,IF(Dist="Normal",DistA+DistB*I5344,DistA+(DistB-DistA)*NORMSDIST(I5344)),"")</f>
        <v/>
      </c>
      <c r="K5344">
        <f>IF(B5344,INDEX(MineScale,C5344),"")</f>
        <v/>
      </c>
      <c r="L5344">
        <f>IF(B5344,INDEX(Dow,1,WEEKDAY(E5344,2)),"")</f>
        <v/>
      </c>
      <c r="M5344">
        <f>IF(B5344,(1+Trend)^D5344,"")</f>
        <v/>
      </c>
      <c r="N5344">
        <f>IF(B5344,EXP(SUMPRODUCT(LN(1+(EvEff-1)*INDEX(Affected,0,C5344)*EXP(-((E5344-EvCenter)^2)/(2*EvSigma^2))))),"")</f>
        <v/>
      </c>
      <c r="O5344">
        <f>IF(B5344,ROUND(MAX(0,J5344*K5344*L5344*M5344*N5344),2),"")</f>
        <v/>
      </c>
    </row>
    <row r="5345">
      <c r="A5345" t="n">
        <v>5344</v>
      </c>
      <c r="B5345">
        <f>A5345&lt;=MineCount*Days</f>
        <v/>
      </c>
      <c r="C5345">
        <f>IF(B5345,INT((A5345-1)/Days)+1,"")</f>
        <v/>
      </c>
      <c r="D5345">
        <f>IF(B5345,MOD(A5345-1,Days),"")</f>
        <v/>
      </c>
      <c r="E5345" s="16">
        <f>IF(B5345,StartDate+D5345,"")</f>
        <v/>
      </c>
      <c r="F5345">
        <f>IF(B5345,MAX(MOD(SIN(Seed*0.1373+C5345*12.9898+D5345*78.233)*43758.5453,1),1E-9),"")</f>
        <v/>
      </c>
      <c r="G5345">
        <f>IF(B5345,MOD(SIN(Seed*0.5917+C5345*39.3468+D5345*11.135)*24634.6345,1),"")</f>
        <v/>
      </c>
      <c r="H5345">
        <f>IF(B5345,SQRT(-2*LN(F5345))*COS(2*PI()*G5345),"")</f>
        <v/>
      </c>
      <c r="I5345">
        <f>IF(B5345,IF(D5345=0,H5345,Rho*I5344+SQRT(1-Rho^2)*H5345),"")</f>
        <v/>
      </c>
      <c r="J5345">
        <f>IF(B5345,IF(Dist="Normal",DistA+DistB*I5345,DistA+(DistB-DistA)*NORMSDIST(I5345)),"")</f>
        <v/>
      </c>
      <c r="K5345">
        <f>IF(B5345,INDEX(MineScale,C5345),"")</f>
        <v/>
      </c>
      <c r="L5345">
        <f>IF(B5345,INDEX(Dow,1,WEEKDAY(E5345,2)),"")</f>
        <v/>
      </c>
      <c r="M5345">
        <f>IF(B5345,(1+Trend)^D5345,"")</f>
        <v/>
      </c>
      <c r="N5345">
        <f>IF(B5345,EXP(SUMPRODUCT(LN(1+(EvEff-1)*INDEX(Affected,0,C5345)*EXP(-((E5345-EvCenter)^2)/(2*EvSigma^2))))),"")</f>
        <v/>
      </c>
      <c r="O5345">
        <f>IF(B5345,ROUND(MAX(0,J5345*K5345*L5345*M5345*N5345),2),"")</f>
        <v/>
      </c>
    </row>
    <row r="5346">
      <c r="A5346" t="n">
        <v>5345</v>
      </c>
      <c r="B5346">
        <f>A5346&lt;=MineCount*Days</f>
        <v/>
      </c>
      <c r="C5346">
        <f>IF(B5346,INT((A5346-1)/Days)+1,"")</f>
        <v/>
      </c>
      <c r="D5346">
        <f>IF(B5346,MOD(A5346-1,Days),"")</f>
        <v/>
      </c>
      <c r="E5346" s="16">
        <f>IF(B5346,StartDate+D5346,"")</f>
        <v/>
      </c>
      <c r="F5346">
        <f>IF(B5346,MAX(MOD(SIN(Seed*0.1373+C5346*12.9898+D5346*78.233)*43758.5453,1),1E-9),"")</f>
        <v/>
      </c>
      <c r="G5346">
        <f>IF(B5346,MOD(SIN(Seed*0.5917+C5346*39.3468+D5346*11.135)*24634.6345,1),"")</f>
        <v/>
      </c>
      <c r="H5346">
        <f>IF(B5346,SQRT(-2*LN(F5346))*COS(2*PI()*G5346),"")</f>
        <v/>
      </c>
      <c r="I5346">
        <f>IF(B5346,IF(D5346=0,H5346,Rho*I5345+SQRT(1-Rho^2)*H5346),"")</f>
        <v/>
      </c>
      <c r="J5346">
        <f>IF(B5346,IF(Dist="Normal",DistA+DistB*I5346,DistA+(DistB-DistA)*NORMSDIST(I5346)),"")</f>
        <v/>
      </c>
      <c r="K5346">
        <f>IF(B5346,INDEX(MineScale,C5346),"")</f>
        <v/>
      </c>
      <c r="L5346">
        <f>IF(B5346,INDEX(Dow,1,WEEKDAY(E5346,2)),"")</f>
        <v/>
      </c>
      <c r="M5346">
        <f>IF(B5346,(1+Trend)^D5346,"")</f>
        <v/>
      </c>
      <c r="N5346">
        <f>IF(B5346,EXP(SUMPRODUCT(LN(1+(EvEff-1)*INDEX(Affected,0,C5346)*EXP(-((E5346-EvCenter)^2)/(2*EvSigma^2))))),"")</f>
        <v/>
      </c>
      <c r="O5346">
        <f>IF(B5346,ROUND(MAX(0,J5346*K5346*L5346*M5346*N5346),2),"")</f>
        <v/>
      </c>
    </row>
    <row r="5347">
      <c r="A5347" t="n">
        <v>5346</v>
      </c>
      <c r="B5347">
        <f>A5347&lt;=MineCount*Days</f>
        <v/>
      </c>
      <c r="C5347">
        <f>IF(B5347,INT((A5347-1)/Days)+1,"")</f>
        <v/>
      </c>
      <c r="D5347">
        <f>IF(B5347,MOD(A5347-1,Days),"")</f>
        <v/>
      </c>
      <c r="E5347" s="16">
        <f>IF(B5347,StartDate+D5347,"")</f>
        <v/>
      </c>
      <c r="F5347">
        <f>IF(B5347,MAX(MOD(SIN(Seed*0.1373+C5347*12.9898+D5347*78.233)*43758.5453,1),1E-9),"")</f>
        <v/>
      </c>
      <c r="G5347">
        <f>IF(B5347,MOD(SIN(Seed*0.5917+C5347*39.3468+D5347*11.135)*24634.6345,1),"")</f>
        <v/>
      </c>
      <c r="H5347">
        <f>IF(B5347,SQRT(-2*LN(F5347))*COS(2*PI()*G5347),"")</f>
        <v/>
      </c>
      <c r="I5347">
        <f>IF(B5347,IF(D5347=0,H5347,Rho*I5346+SQRT(1-Rho^2)*H5347),"")</f>
        <v/>
      </c>
      <c r="J5347">
        <f>IF(B5347,IF(Dist="Normal",DistA+DistB*I5347,DistA+(DistB-DistA)*NORMSDIST(I5347)),"")</f>
        <v/>
      </c>
      <c r="K5347">
        <f>IF(B5347,INDEX(MineScale,C5347),"")</f>
        <v/>
      </c>
      <c r="L5347">
        <f>IF(B5347,INDEX(Dow,1,WEEKDAY(E5347,2)),"")</f>
        <v/>
      </c>
      <c r="M5347">
        <f>IF(B5347,(1+Trend)^D5347,"")</f>
        <v/>
      </c>
      <c r="N5347">
        <f>IF(B5347,EXP(SUMPRODUCT(LN(1+(EvEff-1)*INDEX(Affected,0,C5347)*EXP(-((E5347-EvCenter)^2)/(2*EvSigma^2))))),"")</f>
        <v/>
      </c>
      <c r="O5347">
        <f>IF(B5347,ROUND(MAX(0,J5347*K5347*L5347*M5347*N5347),2),"")</f>
        <v/>
      </c>
    </row>
    <row r="5348">
      <c r="A5348" t="n">
        <v>5347</v>
      </c>
      <c r="B5348">
        <f>A5348&lt;=MineCount*Days</f>
        <v/>
      </c>
      <c r="C5348">
        <f>IF(B5348,INT((A5348-1)/Days)+1,"")</f>
        <v/>
      </c>
      <c r="D5348">
        <f>IF(B5348,MOD(A5348-1,Days),"")</f>
        <v/>
      </c>
      <c r="E5348" s="16">
        <f>IF(B5348,StartDate+D5348,"")</f>
        <v/>
      </c>
      <c r="F5348">
        <f>IF(B5348,MAX(MOD(SIN(Seed*0.1373+C5348*12.9898+D5348*78.233)*43758.5453,1),1E-9),"")</f>
        <v/>
      </c>
      <c r="G5348">
        <f>IF(B5348,MOD(SIN(Seed*0.5917+C5348*39.3468+D5348*11.135)*24634.6345,1),"")</f>
        <v/>
      </c>
      <c r="H5348">
        <f>IF(B5348,SQRT(-2*LN(F5348))*COS(2*PI()*G5348),"")</f>
        <v/>
      </c>
      <c r="I5348">
        <f>IF(B5348,IF(D5348=0,H5348,Rho*I5347+SQRT(1-Rho^2)*H5348),"")</f>
        <v/>
      </c>
      <c r="J5348">
        <f>IF(B5348,IF(Dist="Normal",DistA+DistB*I5348,DistA+(DistB-DistA)*NORMSDIST(I5348)),"")</f>
        <v/>
      </c>
      <c r="K5348">
        <f>IF(B5348,INDEX(MineScale,C5348),"")</f>
        <v/>
      </c>
      <c r="L5348">
        <f>IF(B5348,INDEX(Dow,1,WEEKDAY(E5348,2)),"")</f>
        <v/>
      </c>
      <c r="M5348">
        <f>IF(B5348,(1+Trend)^D5348,"")</f>
        <v/>
      </c>
      <c r="N5348">
        <f>IF(B5348,EXP(SUMPRODUCT(LN(1+(EvEff-1)*INDEX(Affected,0,C5348)*EXP(-((E5348-EvCenter)^2)/(2*EvSigma^2))))),"")</f>
        <v/>
      </c>
      <c r="O5348">
        <f>IF(B5348,ROUND(MAX(0,J5348*K5348*L5348*M5348*N5348),2),"")</f>
        <v/>
      </c>
    </row>
    <row r="5349">
      <c r="A5349" t="n">
        <v>5348</v>
      </c>
      <c r="B5349">
        <f>A5349&lt;=MineCount*Days</f>
        <v/>
      </c>
      <c r="C5349">
        <f>IF(B5349,INT((A5349-1)/Days)+1,"")</f>
        <v/>
      </c>
      <c r="D5349">
        <f>IF(B5349,MOD(A5349-1,Days),"")</f>
        <v/>
      </c>
      <c r="E5349" s="16">
        <f>IF(B5349,StartDate+D5349,"")</f>
        <v/>
      </c>
      <c r="F5349">
        <f>IF(B5349,MAX(MOD(SIN(Seed*0.1373+C5349*12.9898+D5349*78.233)*43758.5453,1),1E-9),"")</f>
        <v/>
      </c>
      <c r="G5349">
        <f>IF(B5349,MOD(SIN(Seed*0.5917+C5349*39.3468+D5349*11.135)*24634.6345,1),"")</f>
        <v/>
      </c>
      <c r="H5349">
        <f>IF(B5349,SQRT(-2*LN(F5349))*COS(2*PI()*G5349),"")</f>
        <v/>
      </c>
      <c r="I5349">
        <f>IF(B5349,IF(D5349=0,H5349,Rho*I5348+SQRT(1-Rho^2)*H5349),"")</f>
        <v/>
      </c>
      <c r="J5349">
        <f>IF(B5349,IF(Dist="Normal",DistA+DistB*I5349,DistA+(DistB-DistA)*NORMSDIST(I5349)),"")</f>
        <v/>
      </c>
      <c r="K5349">
        <f>IF(B5349,INDEX(MineScale,C5349),"")</f>
        <v/>
      </c>
      <c r="L5349">
        <f>IF(B5349,INDEX(Dow,1,WEEKDAY(E5349,2)),"")</f>
        <v/>
      </c>
      <c r="M5349">
        <f>IF(B5349,(1+Trend)^D5349,"")</f>
        <v/>
      </c>
      <c r="N5349">
        <f>IF(B5349,EXP(SUMPRODUCT(LN(1+(EvEff-1)*INDEX(Affected,0,C5349)*EXP(-((E5349-EvCenter)^2)/(2*EvSigma^2))))),"")</f>
        <v/>
      </c>
      <c r="O5349">
        <f>IF(B5349,ROUND(MAX(0,J5349*K5349*L5349*M5349*N5349),2),"")</f>
        <v/>
      </c>
    </row>
    <row r="5350">
      <c r="A5350" t="n">
        <v>5349</v>
      </c>
      <c r="B5350">
        <f>A5350&lt;=MineCount*Days</f>
        <v/>
      </c>
      <c r="C5350">
        <f>IF(B5350,INT((A5350-1)/Days)+1,"")</f>
        <v/>
      </c>
      <c r="D5350">
        <f>IF(B5350,MOD(A5350-1,Days),"")</f>
        <v/>
      </c>
      <c r="E5350" s="16">
        <f>IF(B5350,StartDate+D5350,"")</f>
        <v/>
      </c>
      <c r="F5350">
        <f>IF(B5350,MAX(MOD(SIN(Seed*0.1373+C5350*12.9898+D5350*78.233)*43758.5453,1),1E-9),"")</f>
        <v/>
      </c>
      <c r="G5350">
        <f>IF(B5350,MOD(SIN(Seed*0.5917+C5350*39.3468+D5350*11.135)*24634.6345,1),"")</f>
        <v/>
      </c>
      <c r="H5350">
        <f>IF(B5350,SQRT(-2*LN(F5350))*COS(2*PI()*G5350),"")</f>
        <v/>
      </c>
      <c r="I5350">
        <f>IF(B5350,IF(D5350=0,H5350,Rho*I5349+SQRT(1-Rho^2)*H5350),"")</f>
        <v/>
      </c>
      <c r="J5350">
        <f>IF(B5350,IF(Dist="Normal",DistA+DistB*I5350,DistA+(DistB-DistA)*NORMSDIST(I5350)),"")</f>
        <v/>
      </c>
      <c r="K5350">
        <f>IF(B5350,INDEX(MineScale,C5350),"")</f>
        <v/>
      </c>
      <c r="L5350">
        <f>IF(B5350,INDEX(Dow,1,WEEKDAY(E5350,2)),"")</f>
        <v/>
      </c>
      <c r="M5350">
        <f>IF(B5350,(1+Trend)^D5350,"")</f>
        <v/>
      </c>
      <c r="N5350">
        <f>IF(B5350,EXP(SUMPRODUCT(LN(1+(EvEff-1)*INDEX(Affected,0,C5350)*EXP(-((E5350-EvCenter)^2)/(2*EvSigma^2))))),"")</f>
        <v/>
      </c>
      <c r="O5350">
        <f>IF(B5350,ROUND(MAX(0,J5350*K5350*L5350*M5350*N5350),2),"")</f>
        <v/>
      </c>
    </row>
    <row r="5351">
      <c r="A5351" t="n">
        <v>5350</v>
      </c>
      <c r="B5351">
        <f>A5351&lt;=MineCount*Days</f>
        <v/>
      </c>
      <c r="C5351">
        <f>IF(B5351,INT((A5351-1)/Days)+1,"")</f>
        <v/>
      </c>
      <c r="D5351">
        <f>IF(B5351,MOD(A5351-1,Days),"")</f>
        <v/>
      </c>
      <c r="E5351" s="16">
        <f>IF(B5351,StartDate+D5351,"")</f>
        <v/>
      </c>
      <c r="F5351">
        <f>IF(B5351,MAX(MOD(SIN(Seed*0.1373+C5351*12.9898+D5351*78.233)*43758.5453,1),1E-9),"")</f>
        <v/>
      </c>
      <c r="G5351">
        <f>IF(B5351,MOD(SIN(Seed*0.5917+C5351*39.3468+D5351*11.135)*24634.6345,1),"")</f>
        <v/>
      </c>
      <c r="H5351">
        <f>IF(B5351,SQRT(-2*LN(F5351))*COS(2*PI()*G5351),"")</f>
        <v/>
      </c>
      <c r="I5351">
        <f>IF(B5351,IF(D5351=0,H5351,Rho*I5350+SQRT(1-Rho^2)*H5351),"")</f>
        <v/>
      </c>
      <c r="J5351">
        <f>IF(B5351,IF(Dist="Normal",DistA+DistB*I5351,DistA+(DistB-DistA)*NORMSDIST(I5351)),"")</f>
        <v/>
      </c>
      <c r="K5351">
        <f>IF(B5351,INDEX(MineScale,C5351),"")</f>
        <v/>
      </c>
      <c r="L5351">
        <f>IF(B5351,INDEX(Dow,1,WEEKDAY(E5351,2)),"")</f>
        <v/>
      </c>
      <c r="M5351">
        <f>IF(B5351,(1+Trend)^D5351,"")</f>
        <v/>
      </c>
      <c r="N5351">
        <f>IF(B5351,EXP(SUMPRODUCT(LN(1+(EvEff-1)*INDEX(Affected,0,C5351)*EXP(-((E5351-EvCenter)^2)/(2*EvSigma^2))))),"")</f>
        <v/>
      </c>
      <c r="O5351">
        <f>IF(B5351,ROUND(MAX(0,J5351*K5351*L5351*M5351*N5351),2),"")</f>
        <v/>
      </c>
    </row>
    <row r="5352">
      <c r="A5352" t="n">
        <v>5351</v>
      </c>
      <c r="B5352">
        <f>A5352&lt;=MineCount*Days</f>
        <v/>
      </c>
      <c r="C5352">
        <f>IF(B5352,INT((A5352-1)/Days)+1,"")</f>
        <v/>
      </c>
      <c r="D5352">
        <f>IF(B5352,MOD(A5352-1,Days),"")</f>
        <v/>
      </c>
      <c r="E5352" s="16">
        <f>IF(B5352,StartDate+D5352,"")</f>
        <v/>
      </c>
      <c r="F5352">
        <f>IF(B5352,MAX(MOD(SIN(Seed*0.1373+C5352*12.9898+D5352*78.233)*43758.5453,1),1E-9),"")</f>
        <v/>
      </c>
      <c r="G5352">
        <f>IF(B5352,MOD(SIN(Seed*0.5917+C5352*39.3468+D5352*11.135)*24634.6345,1),"")</f>
        <v/>
      </c>
      <c r="H5352">
        <f>IF(B5352,SQRT(-2*LN(F5352))*COS(2*PI()*G5352),"")</f>
        <v/>
      </c>
      <c r="I5352">
        <f>IF(B5352,IF(D5352=0,H5352,Rho*I5351+SQRT(1-Rho^2)*H5352),"")</f>
        <v/>
      </c>
      <c r="J5352">
        <f>IF(B5352,IF(Dist="Normal",DistA+DistB*I5352,DistA+(DistB-DistA)*NORMSDIST(I5352)),"")</f>
        <v/>
      </c>
      <c r="K5352">
        <f>IF(B5352,INDEX(MineScale,C5352),"")</f>
        <v/>
      </c>
      <c r="L5352">
        <f>IF(B5352,INDEX(Dow,1,WEEKDAY(E5352,2)),"")</f>
        <v/>
      </c>
      <c r="M5352">
        <f>IF(B5352,(1+Trend)^D5352,"")</f>
        <v/>
      </c>
      <c r="N5352">
        <f>IF(B5352,EXP(SUMPRODUCT(LN(1+(EvEff-1)*INDEX(Affected,0,C5352)*EXP(-((E5352-EvCenter)^2)/(2*EvSigma^2))))),"")</f>
        <v/>
      </c>
      <c r="O5352">
        <f>IF(B5352,ROUND(MAX(0,J5352*K5352*L5352*M5352*N5352),2),"")</f>
        <v/>
      </c>
    </row>
    <row r="5353">
      <c r="A5353" t="n">
        <v>5352</v>
      </c>
      <c r="B5353">
        <f>A5353&lt;=MineCount*Days</f>
        <v/>
      </c>
      <c r="C5353">
        <f>IF(B5353,INT((A5353-1)/Days)+1,"")</f>
        <v/>
      </c>
      <c r="D5353">
        <f>IF(B5353,MOD(A5353-1,Days),"")</f>
        <v/>
      </c>
      <c r="E5353" s="16">
        <f>IF(B5353,StartDate+D5353,"")</f>
        <v/>
      </c>
      <c r="F5353">
        <f>IF(B5353,MAX(MOD(SIN(Seed*0.1373+C5353*12.9898+D5353*78.233)*43758.5453,1),1E-9),"")</f>
        <v/>
      </c>
      <c r="G5353">
        <f>IF(B5353,MOD(SIN(Seed*0.5917+C5353*39.3468+D5353*11.135)*24634.6345,1),"")</f>
        <v/>
      </c>
      <c r="H5353">
        <f>IF(B5353,SQRT(-2*LN(F5353))*COS(2*PI()*G5353),"")</f>
        <v/>
      </c>
      <c r="I5353">
        <f>IF(B5353,IF(D5353=0,H5353,Rho*I5352+SQRT(1-Rho^2)*H5353),"")</f>
        <v/>
      </c>
      <c r="J5353">
        <f>IF(B5353,IF(Dist="Normal",DistA+DistB*I5353,DistA+(DistB-DistA)*NORMSDIST(I5353)),"")</f>
        <v/>
      </c>
      <c r="K5353">
        <f>IF(B5353,INDEX(MineScale,C5353),"")</f>
        <v/>
      </c>
      <c r="L5353">
        <f>IF(B5353,INDEX(Dow,1,WEEKDAY(E5353,2)),"")</f>
        <v/>
      </c>
      <c r="M5353">
        <f>IF(B5353,(1+Trend)^D5353,"")</f>
        <v/>
      </c>
      <c r="N5353">
        <f>IF(B5353,EXP(SUMPRODUCT(LN(1+(EvEff-1)*INDEX(Affected,0,C5353)*EXP(-((E5353-EvCenter)^2)/(2*EvSigma^2))))),"")</f>
        <v/>
      </c>
      <c r="O5353">
        <f>IF(B5353,ROUND(MAX(0,J5353*K5353*L5353*M5353*N5353),2),"")</f>
        <v/>
      </c>
    </row>
    <row r="5354">
      <c r="A5354" t="n">
        <v>5353</v>
      </c>
      <c r="B5354">
        <f>A5354&lt;=MineCount*Days</f>
        <v/>
      </c>
      <c r="C5354">
        <f>IF(B5354,INT((A5354-1)/Days)+1,"")</f>
        <v/>
      </c>
      <c r="D5354">
        <f>IF(B5354,MOD(A5354-1,Days),"")</f>
        <v/>
      </c>
      <c r="E5354" s="16">
        <f>IF(B5354,StartDate+D5354,"")</f>
        <v/>
      </c>
      <c r="F5354">
        <f>IF(B5354,MAX(MOD(SIN(Seed*0.1373+C5354*12.9898+D5354*78.233)*43758.5453,1),1E-9),"")</f>
        <v/>
      </c>
      <c r="G5354">
        <f>IF(B5354,MOD(SIN(Seed*0.5917+C5354*39.3468+D5354*11.135)*24634.6345,1),"")</f>
        <v/>
      </c>
      <c r="H5354">
        <f>IF(B5354,SQRT(-2*LN(F5354))*COS(2*PI()*G5354),"")</f>
        <v/>
      </c>
      <c r="I5354">
        <f>IF(B5354,IF(D5354=0,H5354,Rho*I5353+SQRT(1-Rho^2)*H5354),"")</f>
        <v/>
      </c>
      <c r="J5354">
        <f>IF(B5354,IF(Dist="Normal",DistA+DistB*I5354,DistA+(DistB-DistA)*NORMSDIST(I5354)),"")</f>
        <v/>
      </c>
      <c r="K5354">
        <f>IF(B5354,INDEX(MineScale,C5354),"")</f>
        <v/>
      </c>
      <c r="L5354">
        <f>IF(B5354,INDEX(Dow,1,WEEKDAY(E5354,2)),"")</f>
        <v/>
      </c>
      <c r="M5354">
        <f>IF(B5354,(1+Trend)^D5354,"")</f>
        <v/>
      </c>
      <c r="N5354">
        <f>IF(B5354,EXP(SUMPRODUCT(LN(1+(EvEff-1)*INDEX(Affected,0,C5354)*EXP(-((E5354-EvCenter)^2)/(2*EvSigma^2))))),"")</f>
        <v/>
      </c>
      <c r="O5354">
        <f>IF(B5354,ROUND(MAX(0,J5354*K5354*L5354*M5354*N5354),2),"")</f>
        <v/>
      </c>
    </row>
    <row r="5355">
      <c r="A5355" t="n">
        <v>5354</v>
      </c>
      <c r="B5355">
        <f>A5355&lt;=MineCount*Days</f>
        <v/>
      </c>
      <c r="C5355">
        <f>IF(B5355,INT((A5355-1)/Days)+1,"")</f>
        <v/>
      </c>
      <c r="D5355">
        <f>IF(B5355,MOD(A5355-1,Days),"")</f>
        <v/>
      </c>
      <c r="E5355" s="16">
        <f>IF(B5355,StartDate+D5355,"")</f>
        <v/>
      </c>
      <c r="F5355">
        <f>IF(B5355,MAX(MOD(SIN(Seed*0.1373+C5355*12.9898+D5355*78.233)*43758.5453,1),1E-9),"")</f>
        <v/>
      </c>
      <c r="G5355">
        <f>IF(B5355,MOD(SIN(Seed*0.5917+C5355*39.3468+D5355*11.135)*24634.6345,1),"")</f>
        <v/>
      </c>
      <c r="H5355">
        <f>IF(B5355,SQRT(-2*LN(F5355))*COS(2*PI()*G5355),"")</f>
        <v/>
      </c>
      <c r="I5355">
        <f>IF(B5355,IF(D5355=0,H5355,Rho*I5354+SQRT(1-Rho^2)*H5355),"")</f>
        <v/>
      </c>
      <c r="J5355">
        <f>IF(B5355,IF(Dist="Normal",DistA+DistB*I5355,DistA+(DistB-DistA)*NORMSDIST(I5355)),"")</f>
        <v/>
      </c>
      <c r="K5355">
        <f>IF(B5355,INDEX(MineScale,C5355),"")</f>
        <v/>
      </c>
      <c r="L5355">
        <f>IF(B5355,INDEX(Dow,1,WEEKDAY(E5355,2)),"")</f>
        <v/>
      </c>
      <c r="M5355">
        <f>IF(B5355,(1+Trend)^D5355,"")</f>
        <v/>
      </c>
      <c r="N5355">
        <f>IF(B5355,EXP(SUMPRODUCT(LN(1+(EvEff-1)*INDEX(Affected,0,C5355)*EXP(-((E5355-EvCenter)^2)/(2*EvSigma^2))))),"")</f>
        <v/>
      </c>
      <c r="O5355">
        <f>IF(B5355,ROUND(MAX(0,J5355*K5355*L5355*M5355*N5355),2),"")</f>
        <v/>
      </c>
    </row>
    <row r="5356">
      <c r="A5356" t="n">
        <v>5355</v>
      </c>
      <c r="B5356">
        <f>A5356&lt;=MineCount*Days</f>
        <v/>
      </c>
      <c r="C5356">
        <f>IF(B5356,INT((A5356-1)/Days)+1,"")</f>
        <v/>
      </c>
      <c r="D5356">
        <f>IF(B5356,MOD(A5356-1,Days),"")</f>
        <v/>
      </c>
      <c r="E5356" s="16">
        <f>IF(B5356,StartDate+D5356,"")</f>
        <v/>
      </c>
      <c r="F5356">
        <f>IF(B5356,MAX(MOD(SIN(Seed*0.1373+C5356*12.9898+D5356*78.233)*43758.5453,1),1E-9),"")</f>
        <v/>
      </c>
      <c r="G5356">
        <f>IF(B5356,MOD(SIN(Seed*0.5917+C5356*39.3468+D5356*11.135)*24634.6345,1),"")</f>
        <v/>
      </c>
      <c r="H5356">
        <f>IF(B5356,SQRT(-2*LN(F5356))*COS(2*PI()*G5356),"")</f>
        <v/>
      </c>
      <c r="I5356">
        <f>IF(B5356,IF(D5356=0,H5356,Rho*I5355+SQRT(1-Rho^2)*H5356),"")</f>
        <v/>
      </c>
      <c r="J5356">
        <f>IF(B5356,IF(Dist="Normal",DistA+DistB*I5356,DistA+(DistB-DistA)*NORMSDIST(I5356)),"")</f>
        <v/>
      </c>
      <c r="K5356">
        <f>IF(B5356,INDEX(MineScale,C5356),"")</f>
        <v/>
      </c>
      <c r="L5356">
        <f>IF(B5356,INDEX(Dow,1,WEEKDAY(E5356,2)),"")</f>
        <v/>
      </c>
      <c r="M5356">
        <f>IF(B5356,(1+Trend)^D5356,"")</f>
        <v/>
      </c>
      <c r="N5356">
        <f>IF(B5356,EXP(SUMPRODUCT(LN(1+(EvEff-1)*INDEX(Affected,0,C5356)*EXP(-((E5356-EvCenter)^2)/(2*EvSigma^2))))),"")</f>
        <v/>
      </c>
      <c r="O5356">
        <f>IF(B5356,ROUND(MAX(0,J5356*K5356*L5356*M5356*N5356),2),"")</f>
        <v/>
      </c>
    </row>
    <row r="5357">
      <c r="A5357" t="n">
        <v>5356</v>
      </c>
      <c r="B5357">
        <f>A5357&lt;=MineCount*Days</f>
        <v/>
      </c>
      <c r="C5357">
        <f>IF(B5357,INT((A5357-1)/Days)+1,"")</f>
        <v/>
      </c>
      <c r="D5357">
        <f>IF(B5357,MOD(A5357-1,Days),"")</f>
        <v/>
      </c>
      <c r="E5357" s="16">
        <f>IF(B5357,StartDate+D5357,"")</f>
        <v/>
      </c>
      <c r="F5357">
        <f>IF(B5357,MAX(MOD(SIN(Seed*0.1373+C5357*12.9898+D5357*78.233)*43758.5453,1),1E-9),"")</f>
        <v/>
      </c>
      <c r="G5357">
        <f>IF(B5357,MOD(SIN(Seed*0.5917+C5357*39.3468+D5357*11.135)*24634.6345,1),"")</f>
        <v/>
      </c>
      <c r="H5357">
        <f>IF(B5357,SQRT(-2*LN(F5357))*COS(2*PI()*G5357),"")</f>
        <v/>
      </c>
      <c r="I5357">
        <f>IF(B5357,IF(D5357=0,H5357,Rho*I5356+SQRT(1-Rho^2)*H5357),"")</f>
        <v/>
      </c>
      <c r="J5357">
        <f>IF(B5357,IF(Dist="Normal",DistA+DistB*I5357,DistA+(DistB-DistA)*NORMSDIST(I5357)),"")</f>
        <v/>
      </c>
      <c r="K5357">
        <f>IF(B5357,INDEX(MineScale,C5357),"")</f>
        <v/>
      </c>
      <c r="L5357">
        <f>IF(B5357,INDEX(Dow,1,WEEKDAY(E5357,2)),"")</f>
        <v/>
      </c>
      <c r="M5357">
        <f>IF(B5357,(1+Trend)^D5357,"")</f>
        <v/>
      </c>
      <c r="N5357">
        <f>IF(B5357,EXP(SUMPRODUCT(LN(1+(EvEff-1)*INDEX(Affected,0,C5357)*EXP(-((E5357-EvCenter)^2)/(2*EvSigma^2))))),"")</f>
        <v/>
      </c>
      <c r="O5357">
        <f>IF(B5357,ROUND(MAX(0,J5357*K5357*L5357*M5357*N5357),2),"")</f>
        <v/>
      </c>
    </row>
    <row r="5358">
      <c r="A5358" t="n">
        <v>5357</v>
      </c>
      <c r="B5358">
        <f>A5358&lt;=MineCount*Days</f>
        <v/>
      </c>
      <c r="C5358">
        <f>IF(B5358,INT((A5358-1)/Days)+1,"")</f>
        <v/>
      </c>
      <c r="D5358">
        <f>IF(B5358,MOD(A5358-1,Days),"")</f>
        <v/>
      </c>
      <c r="E5358" s="16">
        <f>IF(B5358,StartDate+D5358,"")</f>
        <v/>
      </c>
      <c r="F5358">
        <f>IF(B5358,MAX(MOD(SIN(Seed*0.1373+C5358*12.9898+D5358*78.233)*43758.5453,1),1E-9),"")</f>
        <v/>
      </c>
      <c r="G5358">
        <f>IF(B5358,MOD(SIN(Seed*0.5917+C5358*39.3468+D5358*11.135)*24634.6345,1),"")</f>
        <v/>
      </c>
      <c r="H5358">
        <f>IF(B5358,SQRT(-2*LN(F5358))*COS(2*PI()*G5358),"")</f>
        <v/>
      </c>
      <c r="I5358">
        <f>IF(B5358,IF(D5358=0,H5358,Rho*I5357+SQRT(1-Rho^2)*H5358),"")</f>
        <v/>
      </c>
      <c r="J5358">
        <f>IF(B5358,IF(Dist="Normal",DistA+DistB*I5358,DistA+(DistB-DistA)*NORMSDIST(I5358)),"")</f>
        <v/>
      </c>
      <c r="K5358">
        <f>IF(B5358,INDEX(MineScale,C5358),"")</f>
        <v/>
      </c>
      <c r="L5358">
        <f>IF(B5358,INDEX(Dow,1,WEEKDAY(E5358,2)),"")</f>
        <v/>
      </c>
      <c r="M5358">
        <f>IF(B5358,(1+Trend)^D5358,"")</f>
        <v/>
      </c>
      <c r="N5358">
        <f>IF(B5358,EXP(SUMPRODUCT(LN(1+(EvEff-1)*INDEX(Affected,0,C5358)*EXP(-((E5358-EvCenter)^2)/(2*EvSigma^2))))),"")</f>
        <v/>
      </c>
      <c r="O5358">
        <f>IF(B5358,ROUND(MAX(0,J5358*K5358*L5358*M5358*N5358),2),"")</f>
        <v/>
      </c>
    </row>
    <row r="5359">
      <c r="A5359" t="n">
        <v>5358</v>
      </c>
      <c r="B5359">
        <f>A5359&lt;=MineCount*Days</f>
        <v/>
      </c>
      <c r="C5359">
        <f>IF(B5359,INT((A5359-1)/Days)+1,"")</f>
        <v/>
      </c>
      <c r="D5359">
        <f>IF(B5359,MOD(A5359-1,Days),"")</f>
        <v/>
      </c>
      <c r="E5359" s="16">
        <f>IF(B5359,StartDate+D5359,"")</f>
        <v/>
      </c>
      <c r="F5359">
        <f>IF(B5359,MAX(MOD(SIN(Seed*0.1373+C5359*12.9898+D5359*78.233)*43758.5453,1),1E-9),"")</f>
        <v/>
      </c>
      <c r="G5359">
        <f>IF(B5359,MOD(SIN(Seed*0.5917+C5359*39.3468+D5359*11.135)*24634.6345,1),"")</f>
        <v/>
      </c>
      <c r="H5359">
        <f>IF(B5359,SQRT(-2*LN(F5359))*COS(2*PI()*G5359),"")</f>
        <v/>
      </c>
      <c r="I5359">
        <f>IF(B5359,IF(D5359=0,H5359,Rho*I5358+SQRT(1-Rho^2)*H5359),"")</f>
        <v/>
      </c>
      <c r="J5359">
        <f>IF(B5359,IF(Dist="Normal",DistA+DistB*I5359,DistA+(DistB-DistA)*NORMSDIST(I5359)),"")</f>
        <v/>
      </c>
      <c r="K5359">
        <f>IF(B5359,INDEX(MineScale,C5359),"")</f>
        <v/>
      </c>
      <c r="L5359">
        <f>IF(B5359,INDEX(Dow,1,WEEKDAY(E5359,2)),"")</f>
        <v/>
      </c>
      <c r="M5359">
        <f>IF(B5359,(1+Trend)^D5359,"")</f>
        <v/>
      </c>
      <c r="N5359">
        <f>IF(B5359,EXP(SUMPRODUCT(LN(1+(EvEff-1)*INDEX(Affected,0,C5359)*EXP(-((E5359-EvCenter)^2)/(2*EvSigma^2))))),"")</f>
        <v/>
      </c>
      <c r="O5359">
        <f>IF(B5359,ROUND(MAX(0,J5359*K5359*L5359*M5359*N5359),2),"")</f>
        <v/>
      </c>
    </row>
    <row r="5360">
      <c r="A5360" t="n">
        <v>5359</v>
      </c>
      <c r="B5360">
        <f>A5360&lt;=MineCount*Days</f>
        <v/>
      </c>
      <c r="C5360">
        <f>IF(B5360,INT((A5360-1)/Days)+1,"")</f>
        <v/>
      </c>
      <c r="D5360">
        <f>IF(B5360,MOD(A5360-1,Days),"")</f>
        <v/>
      </c>
      <c r="E5360" s="16">
        <f>IF(B5360,StartDate+D5360,"")</f>
        <v/>
      </c>
      <c r="F5360">
        <f>IF(B5360,MAX(MOD(SIN(Seed*0.1373+C5360*12.9898+D5360*78.233)*43758.5453,1),1E-9),"")</f>
        <v/>
      </c>
      <c r="G5360">
        <f>IF(B5360,MOD(SIN(Seed*0.5917+C5360*39.3468+D5360*11.135)*24634.6345,1),"")</f>
        <v/>
      </c>
      <c r="H5360">
        <f>IF(B5360,SQRT(-2*LN(F5360))*COS(2*PI()*G5360),"")</f>
        <v/>
      </c>
      <c r="I5360">
        <f>IF(B5360,IF(D5360=0,H5360,Rho*I5359+SQRT(1-Rho^2)*H5360),"")</f>
        <v/>
      </c>
      <c r="J5360">
        <f>IF(B5360,IF(Dist="Normal",DistA+DistB*I5360,DistA+(DistB-DistA)*NORMSDIST(I5360)),"")</f>
        <v/>
      </c>
      <c r="K5360">
        <f>IF(B5360,INDEX(MineScale,C5360),"")</f>
        <v/>
      </c>
      <c r="L5360">
        <f>IF(B5360,INDEX(Dow,1,WEEKDAY(E5360,2)),"")</f>
        <v/>
      </c>
      <c r="M5360">
        <f>IF(B5360,(1+Trend)^D5360,"")</f>
        <v/>
      </c>
      <c r="N5360">
        <f>IF(B5360,EXP(SUMPRODUCT(LN(1+(EvEff-1)*INDEX(Affected,0,C5360)*EXP(-((E5360-EvCenter)^2)/(2*EvSigma^2))))),"")</f>
        <v/>
      </c>
      <c r="O5360">
        <f>IF(B5360,ROUND(MAX(0,J5360*K5360*L5360*M5360*N5360),2),"")</f>
        <v/>
      </c>
    </row>
    <row r="5361">
      <c r="A5361" t="n">
        <v>5360</v>
      </c>
      <c r="B5361">
        <f>A5361&lt;=MineCount*Days</f>
        <v/>
      </c>
      <c r="C5361">
        <f>IF(B5361,INT((A5361-1)/Days)+1,"")</f>
        <v/>
      </c>
      <c r="D5361">
        <f>IF(B5361,MOD(A5361-1,Days),"")</f>
        <v/>
      </c>
      <c r="E5361" s="16">
        <f>IF(B5361,StartDate+D5361,"")</f>
        <v/>
      </c>
      <c r="F5361">
        <f>IF(B5361,MAX(MOD(SIN(Seed*0.1373+C5361*12.9898+D5361*78.233)*43758.5453,1),1E-9),"")</f>
        <v/>
      </c>
      <c r="G5361">
        <f>IF(B5361,MOD(SIN(Seed*0.5917+C5361*39.3468+D5361*11.135)*24634.6345,1),"")</f>
        <v/>
      </c>
      <c r="H5361">
        <f>IF(B5361,SQRT(-2*LN(F5361))*COS(2*PI()*G5361),"")</f>
        <v/>
      </c>
      <c r="I5361">
        <f>IF(B5361,IF(D5361=0,H5361,Rho*I5360+SQRT(1-Rho^2)*H5361),"")</f>
        <v/>
      </c>
      <c r="J5361">
        <f>IF(B5361,IF(Dist="Normal",DistA+DistB*I5361,DistA+(DistB-DistA)*NORMSDIST(I5361)),"")</f>
        <v/>
      </c>
      <c r="K5361">
        <f>IF(B5361,INDEX(MineScale,C5361),"")</f>
        <v/>
      </c>
      <c r="L5361">
        <f>IF(B5361,INDEX(Dow,1,WEEKDAY(E5361,2)),"")</f>
        <v/>
      </c>
      <c r="M5361">
        <f>IF(B5361,(1+Trend)^D5361,"")</f>
        <v/>
      </c>
      <c r="N5361">
        <f>IF(B5361,EXP(SUMPRODUCT(LN(1+(EvEff-1)*INDEX(Affected,0,C5361)*EXP(-((E5361-EvCenter)^2)/(2*EvSigma^2))))),"")</f>
        <v/>
      </c>
      <c r="O5361">
        <f>IF(B5361,ROUND(MAX(0,J5361*K5361*L5361*M5361*N5361),2),"")</f>
        <v/>
      </c>
    </row>
    <row r="5362">
      <c r="A5362" t="n">
        <v>5361</v>
      </c>
      <c r="B5362">
        <f>A5362&lt;=MineCount*Days</f>
        <v/>
      </c>
      <c r="C5362">
        <f>IF(B5362,INT((A5362-1)/Days)+1,"")</f>
        <v/>
      </c>
      <c r="D5362">
        <f>IF(B5362,MOD(A5362-1,Days),"")</f>
        <v/>
      </c>
      <c r="E5362" s="16">
        <f>IF(B5362,StartDate+D5362,"")</f>
        <v/>
      </c>
      <c r="F5362">
        <f>IF(B5362,MAX(MOD(SIN(Seed*0.1373+C5362*12.9898+D5362*78.233)*43758.5453,1),1E-9),"")</f>
        <v/>
      </c>
      <c r="G5362">
        <f>IF(B5362,MOD(SIN(Seed*0.5917+C5362*39.3468+D5362*11.135)*24634.6345,1),"")</f>
        <v/>
      </c>
      <c r="H5362">
        <f>IF(B5362,SQRT(-2*LN(F5362))*COS(2*PI()*G5362),"")</f>
        <v/>
      </c>
      <c r="I5362">
        <f>IF(B5362,IF(D5362=0,H5362,Rho*I5361+SQRT(1-Rho^2)*H5362),"")</f>
        <v/>
      </c>
      <c r="J5362">
        <f>IF(B5362,IF(Dist="Normal",DistA+DistB*I5362,DistA+(DistB-DistA)*NORMSDIST(I5362)),"")</f>
        <v/>
      </c>
      <c r="K5362">
        <f>IF(B5362,INDEX(MineScale,C5362),"")</f>
        <v/>
      </c>
      <c r="L5362">
        <f>IF(B5362,INDEX(Dow,1,WEEKDAY(E5362,2)),"")</f>
        <v/>
      </c>
      <c r="M5362">
        <f>IF(B5362,(1+Trend)^D5362,"")</f>
        <v/>
      </c>
      <c r="N5362">
        <f>IF(B5362,EXP(SUMPRODUCT(LN(1+(EvEff-1)*INDEX(Affected,0,C5362)*EXP(-((E5362-EvCenter)^2)/(2*EvSigma^2))))),"")</f>
        <v/>
      </c>
      <c r="O5362">
        <f>IF(B5362,ROUND(MAX(0,J5362*K5362*L5362*M5362*N5362),2),"")</f>
        <v/>
      </c>
    </row>
    <row r="5363">
      <c r="A5363" t="n">
        <v>5362</v>
      </c>
      <c r="B5363">
        <f>A5363&lt;=MineCount*Days</f>
        <v/>
      </c>
      <c r="C5363">
        <f>IF(B5363,INT((A5363-1)/Days)+1,"")</f>
        <v/>
      </c>
      <c r="D5363">
        <f>IF(B5363,MOD(A5363-1,Days),"")</f>
        <v/>
      </c>
      <c r="E5363" s="16">
        <f>IF(B5363,StartDate+D5363,"")</f>
        <v/>
      </c>
      <c r="F5363">
        <f>IF(B5363,MAX(MOD(SIN(Seed*0.1373+C5363*12.9898+D5363*78.233)*43758.5453,1),1E-9),"")</f>
        <v/>
      </c>
      <c r="G5363">
        <f>IF(B5363,MOD(SIN(Seed*0.5917+C5363*39.3468+D5363*11.135)*24634.6345,1),"")</f>
        <v/>
      </c>
      <c r="H5363">
        <f>IF(B5363,SQRT(-2*LN(F5363))*COS(2*PI()*G5363),"")</f>
        <v/>
      </c>
      <c r="I5363">
        <f>IF(B5363,IF(D5363=0,H5363,Rho*I5362+SQRT(1-Rho^2)*H5363),"")</f>
        <v/>
      </c>
      <c r="J5363">
        <f>IF(B5363,IF(Dist="Normal",DistA+DistB*I5363,DistA+(DistB-DistA)*NORMSDIST(I5363)),"")</f>
        <v/>
      </c>
      <c r="K5363">
        <f>IF(B5363,INDEX(MineScale,C5363),"")</f>
        <v/>
      </c>
      <c r="L5363">
        <f>IF(B5363,INDEX(Dow,1,WEEKDAY(E5363,2)),"")</f>
        <v/>
      </c>
      <c r="M5363">
        <f>IF(B5363,(1+Trend)^D5363,"")</f>
        <v/>
      </c>
      <c r="N5363">
        <f>IF(B5363,EXP(SUMPRODUCT(LN(1+(EvEff-1)*INDEX(Affected,0,C5363)*EXP(-((E5363-EvCenter)^2)/(2*EvSigma^2))))),"")</f>
        <v/>
      </c>
      <c r="O5363">
        <f>IF(B5363,ROUND(MAX(0,J5363*K5363*L5363*M5363*N5363),2),"")</f>
        <v/>
      </c>
    </row>
    <row r="5364">
      <c r="A5364" t="n">
        <v>5363</v>
      </c>
      <c r="B5364">
        <f>A5364&lt;=MineCount*Days</f>
        <v/>
      </c>
      <c r="C5364">
        <f>IF(B5364,INT((A5364-1)/Days)+1,"")</f>
        <v/>
      </c>
      <c r="D5364">
        <f>IF(B5364,MOD(A5364-1,Days),"")</f>
        <v/>
      </c>
      <c r="E5364" s="16">
        <f>IF(B5364,StartDate+D5364,"")</f>
        <v/>
      </c>
      <c r="F5364">
        <f>IF(B5364,MAX(MOD(SIN(Seed*0.1373+C5364*12.9898+D5364*78.233)*43758.5453,1),1E-9),"")</f>
        <v/>
      </c>
      <c r="G5364">
        <f>IF(B5364,MOD(SIN(Seed*0.5917+C5364*39.3468+D5364*11.135)*24634.6345,1),"")</f>
        <v/>
      </c>
      <c r="H5364">
        <f>IF(B5364,SQRT(-2*LN(F5364))*COS(2*PI()*G5364),"")</f>
        <v/>
      </c>
      <c r="I5364">
        <f>IF(B5364,IF(D5364=0,H5364,Rho*I5363+SQRT(1-Rho^2)*H5364),"")</f>
        <v/>
      </c>
      <c r="J5364">
        <f>IF(B5364,IF(Dist="Normal",DistA+DistB*I5364,DistA+(DistB-DistA)*NORMSDIST(I5364)),"")</f>
        <v/>
      </c>
      <c r="K5364">
        <f>IF(B5364,INDEX(MineScale,C5364),"")</f>
        <v/>
      </c>
      <c r="L5364">
        <f>IF(B5364,INDEX(Dow,1,WEEKDAY(E5364,2)),"")</f>
        <v/>
      </c>
      <c r="M5364">
        <f>IF(B5364,(1+Trend)^D5364,"")</f>
        <v/>
      </c>
      <c r="N5364">
        <f>IF(B5364,EXP(SUMPRODUCT(LN(1+(EvEff-1)*INDEX(Affected,0,C5364)*EXP(-((E5364-EvCenter)^2)/(2*EvSigma^2))))),"")</f>
        <v/>
      </c>
      <c r="O5364">
        <f>IF(B5364,ROUND(MAX(0,J5364*K5364*L5364*M5364*N5364),2),"")</f>
        <v/>
      </c>
    </row>
    <row r="5365">
      <c r="A5365" t="n">
        <v>5364</v>
      </c>
      <c r="B5365">
        <f>A5365&lt;=MineCount*Days</f>
        <v/>
      </c>
      <c r="C5365">
        <f>IF(B5365,INT((A5365-1)/Days)+1,"")</f>
        <v/>
      </c>
      <c r="D5365">
        <f>IF(B5365,MOD(A5365-1,Days),"")</f>
        <v/>
      </c>
      <c r="E5365" s="16">
        <f>IF(B5365,StartDate+D5365,"")</f>
        <v/>
      </c>
      <c r="F5365">
        <f>IF(B5365,MAX(MOD(SIN(Seed*0.1373+C5365*12.9898+D5365*78.233)*43758.5453,1),1E-9),"")</f>
        <v/>
      </c>
      <c r="G5365">
        <f>IF(B5365,MOD(SIN(Seed*0.5917+C5365*39.3468+D5365*11.135)*24634.6345,1),"")</f>
        <v/>
      </c>
      <c r="H5365">
        <f>IF(B5365,SQRT(-2*LN(F5365))*COS(2*PI()*G5365),"")</f>
        <v/>
      </c>
      <c r="I5365">
        <f>IF(B5365,IF(D5365=0,H5365,Rho*I5364+SQRT(1-Rho^2)*H5365),"")</f>
        <v/>
      </c>
      <c r="J5365">
        <f>IF(B5365,IF(Dist="Normal",DistA+DistB*I5365,DistA+(DistB-DistA)*NORMSDIST(I5365)),"")</f>
        <v/>
      </c>
      <c r="K5365">
        <f>IF(B5365,INDEX(MineScale,C5365),"")</f>
        <v/>
      </c>
      <c r="L5365">
        <f>IF(B5365,INDEX(Dow,1,WEEKDAY(E5365,2)),"")</f>
        <v/>
      </c>
      <c r="M5365">
        <f>IF(B5365,(1+Trend)^D5365,"")</f>
        <v/>
      </c>
      <c r="N5365">
        <f>IF(B5365,EXP(SUMPRODUCT(LN(1+(EvEff-1)*INDEX(Affected,0,C5365)*EXP(-((E5365-EvCenter)^2)/(2*EvSigma^2))))),"")</f>
        <v/>
      </c>
      <c r="O5365">
        <f>IF(B5365,ROUND(MAX(0,J5365*K5365*L5365*M5365*N5365),2),"")</f>
        <v/>
      </c>
    </row>
    <row r="5366">
      <c r="A5366" t="n">
        <v>5365</v>
      </c>
      <c r="B5366">
        <f>A5366&lt;=MineCount*Days</f>
        <v/>
      </c>
      <c r="C5366">
        <f>IF(B5366,INT((A5366-1)/Days)+1,"")</f>
        <v/>
      </c>
      <c r="D5366">
        <f>IF(B5366,MOD(A5366-1,Days),"")</f>
        <v/>
      </c>
      <c r="E5366" s="16">
        <f>IF(B5366,StartDate+D5366,"")</f>
        <v/>
      </c>
      <c r="F5366">
        <f>IF(B5366,MAX(MOD(SIN(Seed*0.1373+C5366*12.9898+D5366*78.233)*43758.5453,1),1E-9),"")</f>
        <v/>
      </c>
      <c r="G5366">
        <f>IF(B5366,MOD(SIN(Seed*0.5917+C5366*39.3468+D5366*11.135)*24634.6345,1),"")</f>
        <v/>
      </c>
      <c r="H5366">
        <f>IF(B5366,SQRT(-2*LN(F5366))*COS(2*PI()*G5366),"")</f>
        <v/>
      </c>
      <c r="I5366">
        <f>IF(B5366,IF(D5366=0,H5366,Rho*I5365+SQRT(1-Rho^2)*H5366),"")</f>
        <v/>
      </c>
      <c r="J5366">
        <f>IF(B5366,IF(Dist="Normal",DistA+DistB*I5366,DistA+(DistB-DistA)*NORMSDIST(I5366)),"")</f>
        <v/>
      </c>
      <c r="K5366">
        <f>IF(B5366,INDEX(MineScale,C5366),"")</f>
        <v/>
      </c>
      <c r="L5366">
        <f>IF(B5366,INDEX(Dow,1,WEEKDAY(E5366,2)),"")</f>
        <v/>
      </c>
      <c r="M5366">
        <f>IF(B5366,(1+Trend)^D5366,"")</f>
        <v/>
      </c>
      <c r="N5366">
        <f>IF(B5366,EXP(SUMPRODUCT(LN(1+(EvEff-1)*INDEX(Affected,0,C5366)*EXP(-((E5366-EvCenter)^2)/(2*EvSigma^2))))),"")</f>
        <v/>
      </c>
      <c r="O5366">
        <f>IF(B5366,ROUND(MAX(0,J5366*K5366*L5366*M5366*N5366),2),"")</f>
        <v/>
      </c>
    </row>
    <row r="5367">
      <c r="A5367" t="n">
        <v>5366</v>
      </c>
      <c r="B5367">
        <f>A5367&lt;=MineCount*Days</f>
        <v/>
      </c>
      <c r="C5367">
        <f>IF(B5367,INT((A5367-1)/Days)+1,"")</f>
        <v/>
      </c>
      <c r="D5367">
        <f>IF(B5367,MOD(A5367-1,Days),"")</f>
        <v/>
      </c>
      <c r="E5367" s="16">
        <f>IF(B5367,StartDate+D5367,"")</f>
        <v/>
      </c>
      <c r="F5367">
        <f>IF(B5367,MAX(MOD(SIN(Seed*0.1373+C5367*12.9898+D5367*78.233)*43758.5453,1),1E-9),"")</f>
        <v/>
      </c>
      <c r="G5367">
        <f>IF(B5367,MOD(SIN(Seed*0.5917+C5367*39.3468+D5367*11.135)*24634.6345,1),"")</f>
        <v/>
      </c>
      <c r="H5367">
        <f>IF(B5367,SQRT(-2*LN(F5367))*COS(2*PI()*G5367),"")</f>
        <v/>
      </c>
      <c r="I5367">
        <f>IF(B5367,IF(D5367=0,H5367,Rho*I5366+SQRT(1-Rho^2)*H5367),"")</f>
        <v/>
      </c>
      <c r="J5367">
        <f>IF(B5367,IF(Dist="Normal",DistA+DistB*I5367,DistA+(DistB-DistA)*NORMSDIST(I5367)),"")</f>
        <v/>
      </c>
      <c r="K5367">
        <f>IF(B5367,INDEX(MineScale,C5367),"")</f>
        <v/>
      </c>
      <c r="L5367">
        <f>IF(B5367,INDEX(Dow,1,WEEKDAY(E5367,2)),"")</f>
        <v/>
      </c>
      <c r="M5367">
        <f>IF(B5367,(1+Trend)^D5367,"")</f>
        <v/>
      </c>
      <c r="N5367">
        <f>IF(B5367,EXP(SUMPRODUCT(LN(1+(EvEff-1)*INDEX(Affected,0,C5367)*EXP(-((E5367-EvCenter)^2)/(2*EvSigma^2))))),"")</f>
        <v/>
      </c>
      <c r="O5367">
        <f>IF(B5367,ROUND(MAX(0,J5367*K5367*L5367*M5367*N5367),2),"")</f>
        <v/>
      </c>
    </row>
    <row r="5368">
      <c r="A5368" t="n">
        <v>5367</v>
      </c>
      <c r="B5368">
        <f>A5368&lt;=MineCount*Days</f>
        <v/>
      </c>
      <c r="C5368">
        <f>IF(B5368,INT((A5368-1)/Days)+1,"")</f>
        <v/>
      </c>
      <c r="D5368">
        <f>IF(B5368,MOD(A5368-1,Days),"")</f>
        <v/>
      </c>
      <c r="E5368" s="16">
        <f>IF(B5368,StartDate+D5368,"")</f>
        <v/>
      </c>
      <c r="F5368">
        <f>IF(B5368,MAX(MOD(SIN(Seed*0.1373+C5368*12.9898+D5368*78.233)*43758.5453,1),1E-9),"")</f>
        <v/>
      </c>
      <c r="G5368">
        <f>IF(B5368,MOD(SIN(Seed*0.5917+C5368*39.3468+D5368*11.135)*24634.6345,1),"")</f>
        <v/>
      </c>
      <c r="H5368">
        <f>IF(B5368,SQRT(-2*LN(F5368))*COS(2*PI()*G5368),"")</f>
        <v/>
      </c>
      <c r="I5368">
        <f>IF(B5368,IF(D5368=0,H5368,Rho*I5367+SQRT(1-Rho^2)*H5368),"")</f>
        <v/>
      </c>
      <c r="J5368">
        <f>IF(B5368,IF(Dist="Normal",DistA+DistB*I5368,DistA+(DistB-DistA)*NORMSDIST(I5368)),"")</f>
        <v/>
      </c>
      <c r="K5368">
        <f>IF(B5368,INDEX(MineScale,C5368),"")</f>
        <v/>
      </c>
      <c r="L5368">
        <f>IF(B5368,INDEX(Dow,1,WEEKDAY(E5368,2)),"")</f>
        <v/>
      </c>
      <c r="M5368">
        <f>IF(B5368,(1+Trend)^D5368,"")</f>
        <v/>
      </c>
      <c r="N5368">
        <f>IF(B5368,EXP(SUMPRODUCT(LN(1+(EvEff-1)*INDEX(Affected,0,C5368)*EXP(-((E5368-EvCenter)^2)/(2*EvSigma^2))))),"")</f>
        <v/>
      </c>
      <c r="O5368">
        <f>IF(B5368,ROUND(MAX(0,J5368*K5368*L5368*M5368*N5368),2),"")</f>
        <v/>
      </c>
    </row>
    <row r="5369">
      <c r="A5369" t="n">
        <v>5368</v>
      </c>
      <c r="B5369">
        <f>A5369&lt;=MineCount*Days</f>
        <v/>
      </c>
      <c r="C5369">
        <f>IF(B5369,INT((A5369-1)/Days)+1,"")</f>
        <v/>
      </c>
      <c r="D5369">
        <f>IF(B5369,MOD(A5369-1,Days),"")</f>
        <v/>
      </c>
      <c r="E5369" s="16">
        <f>IF(B5369,StartDate+D5369,"")</f>
        <v/>
      </c>
      <c r="F5369">
        <f>IF(B5369,MAX(MOD(SIN(Seed*0.1373+C5369*12.9898+D5369*78.233)*43758.5453,1),1E-9),"")</f>
        <v/>
      </c>
      <c r="G5369">
        <f>IF(B5369,MOD(SIN(Seed*0.5917+C5369*39.3468+D5369*11.135)*24634.6345,1),"")</f>
        <v/>
      </c>
      <c r="H5369">
        <f>IF(B5369,SQRT(-2*LN(F5369))*COS(2*PI()*G5369),"")</f>
        <v/>
      </c>
      <c r="I5369">
        <f>IF(B5369,IF(D5369=0,H5369,Rho*I5368+SQRT(1-Rho^2)*H5369),"")</f>
        <v/>
      </c>
      <c r="J5369">
        <f>IF(B5369,IF(Dist="Normal",DistA+DistB*I5369,DistA+(DistB-DistA)*NORMSDIST(I5369)),"")</f>
        <v/>
      </c>
      <c r="K5369">
        <f>IF(B5369,INDEX(MineScale,C5369),"")</f>
        <v/>
      </c>
      <c r="L5369">
        <f>IF(B5369,INDEX(Dow,1,WEEKDAY(E5369,2)),"")</f>
        <v/>
      </c>
      <c r="M5369">
        <f>IF(B5369,(1+Trend)^D5369,"")</f>
        <v/>
      </c>
      <c r="N5369">
        <f>IF(B5369,EXP(SUMPRODUCT(LN(1+(EvEff-1)*INDEX(Affected,0,C5369)*EXP(-((E5369-EvCenter)^2)/(2*EvSigma^2))))),"")</f>
        <v/>
      </c>
      <c r="O5369">
        <f>IF(B5369,ROUND(MAX(0,J5369*K5369*L5369*M5369*N5369),2),"")</f>
        <v/>
      </c>
    </row>
    <row r="5370">
      <c r="A5370" t="n">
        <v>5369</v>
      </c>
      <c r="B5370">
        <f>A5370&lt;=MineCount*Days</f>
        <v/>
      </c>
      <c r="C5370">
        <f>IF(B5370,INT((A5370-1)/Days)+1,"")</f>
        <v/>
      </c>
      <c r="D5370">
        <f>IF(B5370,MOD(A5370-1,Days),"")</f>
        <v/>
      </c>
      <c r="E5370" s="16">
        <f>IF(B5370,StartDate+D5370,"")</f>
        <v/>
      </c>
      <c r="F5370">
        <f>IF(B5370,MAX(MOD(SIN(Seed*0.1373+C5370*12.9898+D5370*78.233)*43758.5453,1),1E-9),"")</f>
        <v/>
      </c>
      <c r="G5370">
        <f>IF(B5370,MOD(SIN(Seed*0.5917+C5370*39.3468+D5370*11.135)*24634.6345,1),"")</f>
        <v/>
      </c>
      <c r="H5370">
        <f>IF(B5370,SQRT(-2*LN(F5370))*COS(2*PI()*G5370),"")</f>
        <v/>
      </c>
      <c r="I5370">
        <f>IF(B5370,IF(D5370=0,H5370,Rho*I5369+SQRT(1-Rho^2)*H5370),"")</f>
        <v/>
      </c>
      <c r="J5370">
        <f>IF(B5370,IF(Dist="Normal",DistA+DistB*I5370,DistA+(DistB-DistA)*NORMSDIST(I5370)),"")</f>
        <v/>
      </c>
      <c r="K5370">
        <f>IF(B5370,INDEX(MineScale,C5370),"")</f>
        <v/>
      </c>
      <c r="L5370">
        <f>IF(B5370,INDEX(Dow,1,WEEKDAY(E5370,2)),"")</f>
        <v/>
      </c>
      <c r="M5370">
        <f>IF(B5370,(1+Trend)^D5370,"")</f>
        <v/>
      </c>
      <c r="N5370">
        <f>IF(B5370,EXP(SUMPRODUCT(LN(1+(EvEff-1)*INDEX(Affected,0,C5370)*EXP(-((E5370-EvCenter)^2)/(2*EvSigma^2))))),"")</f>
        <v/>
      </c>
      <c r="O5370">
        <f>IF(B5370,ROUND(MAX(0,J5370*K5370*L5370*M5370*N5370),2),"")</f>
        <v/>
      </c>
    </row>
    <row r="5371">
      <c r="A5371" t="n">
        <v>5370</v>
      </c>
      <c r="B5371">
        <f>A5371&lt;=MineCount*Days</f>
        <v/>
      </c>
      <c r="C5371">
        <f>IF(B5371,INT((A5371-1)/Days)+1,"")</f>
        <v/>
      </c>
      <c r="D5371">
        <f>IF(B5371,MOD(A5371-1,Days),"")</f>
        <v/>
      </c>
      <c r="E5371" s="16">
        <f>IF(B5371,StartDate+D5371,"")</f>
        <v/>
      </c>
      <c r="F5371">
        <f>IF(B5371,MAX(MOD(SIN(Seed*0.1373+C5371*12.9898+D5371*78.233)*43758.5453,1),1E-9),"")</f>
        <v/>
      </c>
      <c r="G5371">
        <f>IF(B5371,MOD(SIN(Seed*0.5917+C5371*39.3468+D5371*11.135)*24634.6345,1),"")</f>
        <v/>
      </c>
      <c r="H5371">
        <f>IF(B5371,SQRT(-2*LN(F5371))*COS(2*PI()*G5371),"")</f>
        <v/>
      </c>
      <c r="I5371">
        <f>IF(B5371,IF(D5371=0,H5371,Rho*I5370+SQRT(1-Rho^2)*H5371),"")</f>
        <v/>
      </c>
      <c r="J5371">
        <f>IF(B5371,IF(Dist="Normal",DistA+DistB*I5371,DistA+(DistB-DistA)*NORMSDIST(I5371)),"")</f>
        <v/>
      </c>
      <c r="K5371">
        <f>IF(B5371,INDEX(MineScale,C5371),"")</f>
        <v/>
      </c>
      <c r="L5371">
        <f>IF(B5371,INDEX(Dow,1,WEEKDAY(E5371,2)),"")</f>
        <v/>
      </c>
      <c r="M5371">
        <f>IF(B5371,(1+Trend)^D5371,"")</f>
        <v/>
      </c>
      <c r="N5371">
        <f>IF(B5371,EXP(SUMPRODUCT(LN(1+(EvEff-1)*INDEX(Affected,0,C5371)*EXP(-((E5371-EvCenter)^2)/(2*EvSigma^2))))),"")</f>
        <v/>
      </c>
      <c r="O5371">
        <f>IF(B5371,ROUND(MAX(0,J5371*K5371*L5371*M5371*N5371),2),"")</f>
        <v/>
      </c>
    </row>
    <row r="5372">
      <c r="A5372" t="n">
        <v>5371</v>
      </c>
      <c r="B5372">
        <f>A5372&lt;=MineCount*Days</f>
        <v/>
      </c>
      <c r="C5372">
        <f>IF(B5372,INT((A5372-1)/Days)+1,"")</f>
        <v/>
      </c>
      <c r="D5372">
        <f>IF(B5372,MOD(A5372-1,Days),"")</f>
        <v/>
      </c>
      <c r="E5372" s="16">
        <f>IF(B5372,StartDate+D5372,"")</f>
        <v/>
      </c>
      <c r="F5372">
        <f>IF(B5372,MAX(MOD(SIN(Seed*0.1373+C5372*12.9898+D5372*78.233)*43758.5453,1),1E-9),"")</f>
        <v/>
      </c>
      <c r="G5372">
        <f>IF(B5372,MOD(SIN(Seed*0.5917+C5372*39.3468+D5372*11.135)*24634.6345,1),"")</f>
        <v/>
      </c>
      <c r="H5372">
        <f>IF(B5372,SQRT(-2*LN(F5372))*COS(2*PI()*G5372),"")</f>
        <v/>
      </c>
      <c r="I5372">
        <f>IF(B5372,IF(D5372=0,H5372,Rho*I5371+SQRT(1-Rho^2)*H5372),"")</f>
        <v/>
      </c>
      <c r="J5372">
        <f>IF(B5372,IF(Dist="Normal",DistA+DistB*I5372,DistA+(DistB-DistA)*NORMSDIST(I5372)),"")</f>
        <v/>
      </c>
      <c r="K5372">
        <f>IF(B5372,INDEX(MineScale,C5372),"")</f>
        <v/>
      </c>
      <c r="L5372">
        <f>IF(B5372,INDEX(Dow,1,WEEKDAY(E5372,2)),"")</f>
        <v/>
      </c>
      <c r="M5372">
        <f>IF(B5372,(1+Trend)^D5372,"")</f>
        <v/>
      </c>
      <c r="N5372">
        <f>IF(B5372,EXP(SUMPRODUCT(LN(1+(EvEff-1)*INDEX(Affected,0,C5372)*EXP(-((E5372-EvCenter)^2)/(2*EvSigma^2))))),"")</f>
        <v/>
      </c>
      <c r="O5372">
        <f>IF(B5372,ROUND(MAX(0,J5372*K5372*L5372*M5372*N5372),2),"")</f>
        <v/>
      </c>
    </row>
    <row r="5373">
      <c r="A5373" t="n">
        <v>5372</v>
      </c>
      <c r="B5373">
        <f>A5373&lt;=MineCount*Days</f>
        <v/>
      </c>
      <c r="C5373">
        <f>IF(B5373,INT((A5373-1)/Days)+1,"")</f>
        <v/>
      </c>
      <c r="D5373">
        <f>IF(B5373,MOD(A5373-1,Days),"")</f>
        <v/>
      </c>
      <c r="E5373" s="16">
        <f>IF(B5373,StartDate+D5373,"")</f>
        <v/>
      </c>
      <c r="F5373">
        <f>IF(B5373,MAX(MOD(SIN(Seed*0.1373+C5373*12.9898+D5373*78.233)*43758.5453,1),1E-9),"")</f>
        <v/>
      </c>
      <c r="G5373">
        <f>IF(B5373,MOD(SIN(Seed*0.5917+C5373*39.3468+D5373*11.135)*24634.6345,1),"")</f>
        <v/>
      </c>
      <c r="H5373">
        <f>IF(B5373,SQRT(-2*LN(F5373))*COS(2*PI()*G5373),"")</f>
        <v/>
      </c>
      <c r="I5373">
        <f>IF(B5373,IF(D5373=0,H5373,Rho*I5372+SQRT(1-Rho^2)*H5373),"")</f>
        <v/>
      </c>
      <c r="J5373">
        <f>IF(B5373,IF(Dist="Normal",DistA+DistB*I5373,DistA+(DistB-DistA)*NORMSDIST(I5373)),"")</f>
        <v/>
      </c>
      <c r="K5373">
        <f>IF(B5373,INDEX(MineScale,C5373),"")</f>
        <v/>
      </c>
      <c r="L5373">
        <f>IF(B5373,INDEX(Dow,1,WEEKDAY(E5373,2)),"")</f>
        <v/>
      </c>
      <c r="M5373">
        <f>IF(B5373,(1+Trend)^D5373,"")</f>
        <v/>
      </c>
      <c r="N5373">
        <f>IF(B5373,EXP(SUMPRODUCT(LN(1+(EvEff-1)*INDEX(Affected,0,C5373)*EXP(-((E5373-EvCenter)^2)/(2*EvSigma^2))))),"")</f>
        <v/>
      </c>
      <c r="O5373">
        <f>IF(B5373,ROUND(MAX(0,J5373*K5373*L5373*M5373*N5373),2),"")</f>
        <v/>
      </c>
    </row>
    <row r="5374">
      <c r="A5374" t="n">
        <v>5373</v>
      </c>
      <c r="B5374">
        <f>A5374&lt;=MineCount*Days</f>
        <v/>
      </c>
      <c r="C5374">
        <f>IF(B5374,INT((A5374-1)/Days)+1,"")</f>
        <v/>
      </c>
      <c r="D5374">
        <f>IF(B5374,MOD(A5374-1,Days),"")</f>
        <v/>
      </c>
      <c r="E5374" s="16">
        <f>IF(B5374,StartDate+D5374,"")</f>
        <v/>
      </c>
      <c r="F5374">
        <f>IF(B5374,MAX(MOD(SIN(Seed*0.1373+C5374*12.9898+D5374*78.233)*43758.5453,1),1E-9),"")</f>
        <v/>
      </c>
      <c r="G5374">
        <f>IF(B5374,MOD(SIN(Seed*0.5917+C5374*39.3468+D5374*11.135)*24634.6345,1),"")</f>
        <v/>
      </c>
      <c r="H5374">
        <f>IF(B5374,SQRT(-2*LN(F5374))*COS(2*PI()*G5374),"")</f>
        <v/>
      </c>
      <c r="I5374">
        <f>IF(B5374,IF(D5374=0,H5374,Rho*I5373+SQRT(1-Rho^2)*H5374),"")</f>
        <v/>
      </c>
      <c r="J5374">
        <f>IF(B5374,IF(Dist="Normal",DistA+DistB*I5374,DistA+(DistB-DistA)*NORMSDIST(I5374)),"")</f>
        <v/>
      </c>
      <c r="K5374">
        <f>IF(B5374,INDEX(MineScale,C5374),"")</f>
        <v/>
      </c>
      <c r="L5374">
        <f>IF(B5374,INDEX(Dow,1,WEEKDAY(E5374,2)),"")</f>
        <v/>
      </c>
      <c r="M5374">
        <f>IF(B5374,(1+Trend)^D5374,"")</f>
        <v/>
      </c>
      <c r="N5374">
        <f>IF(B5374,EXP(SUMPRODUCT(LN(1+(EvEff-1)*INDEX(Affected,0,C5374)*EXP(-((E5374-EvCenter)^2)/(2*EvSigma^2))))),"")</f>
        <v/>
      </c>
      <c r="O5374">
        <f>IF(B5374,ROUND(MAX(0,J5374*K5374*L5374*M5374*N5374),2),"")</f>
        <v/>
      </c>
    </row>
    <row r="5375">
      <c r="A5375" t="n">
        <v>5374</v>
      </c>
      <c r="B5375">
        <f>A5375&lt;=MineCount*Days</f>
        <v/>
      </c>
      <c r="C5375">
        <f>IF(B5375,INT((A5375-1)/Days)+1,"")</f>
        <v/>
      </c>
      <c r="D5375">
        <f>IF(B5375,MOD(A5375-1,Days),"")</f>
        <v/>
      </c>
      <c r="E5375" s="16">
        <f>IF(B5375,StartDate+D5375,"")</f>
        <v/>
      </c>
      <c r="F5375">
        <f>IF(B5375,MAX(MOD(SIN(Seed*0.1373+C5375*12.9898+D5375*78.233)*43758.5453,1),1E-9),"")</f>
        <v/>
      </c>
      <c r="G5375">
        <f>IF(B5375,MOD(SIN(Seed*0.5917+C5375*39.3468+D5375*11.135)*24634.6345,1),"")</f>
        <v/>
      </c>
      <c r="H5375">
        <f>IF(B5375,SQRT(-2*LN(F5375))*COS(2*PI()*G5375),"")</f>
        <v/>
      </c>
      <c r="I5375">
        <f>IF(B5375,IF(D5375=0,H5375,Rho*I5374+SQRT(1-Rho^2)*H5375),"")</f>
        <v/>
      </c>
      <c r="J5375">
        <f>IF(B5375,IF(Dist="Normal",DistA+DistB*I5375,DistA+(DistB-DistA)*NORMSDIST(I5375)),"")</f>
        <v/>
      </c>
      <c r="K5375">
        <f>IF(B5375,INDEX(MineScale,C5375),"")</f>
        <v/>
      </c>
      <c r="L5375">
        <f>IF(B5375,INDEX(Dow,1,WEEKDAY(E5375,2)),"")</f>
        <v/>
      </c>
      <c r="M5375">
        <f>IF(B5375,(1+Trend)^D5375,"")</f>
        <v/>
      </c>
      <c r="N5375">
        <f>IF(B5375,EXP(SUMPRODUCT(LN(1+(EvEff-1)*INDEX(Affected,0,C5375)*EXP(-((E5375-EvCenter)^2)/(2*EvSigma^2))))),"")</f>
        <v/>
      </c>
      <c r="O5375">
        <f>IF(B5375,ROUND(MAX(0,J5375*K5375*L5375*M5375*N5375),2),"")</f>
        <v/>
      </c>
    </row>
    <row r="5376">
      <c r="A5376" t="n">
        <v>5375</v>
      </c>
      <c r="B5376">
        <f>A5376&lt;=MineCount*Days</f>
        <v/>
      </c>
      <c r="C5376">
        <f>IF(B5376,INT((A5376-1)/Days)+1,"")</f>
        <v/>
      </c>
      <c r="D5376">
        <f>IF(B5376,MOD(A5376-1,Days),"")</f>
        <v/>
      </c>
      <c r="E5376" s="16">
        <f>IF(B5376,StartDate+D5376,"")</f>
        <v/>
      </c>
      <c r="F5376">
        <f>IF(B5376,MAX(MOD(SIN(Seed*0.1373+C5376*12.9898+D5376*78.233)*43758.5453,1),1E-9),"")</f>
        <v/>
      </c>
      <c r="G5376">
        <f>IF(B5376,MOD(SIN(Seed*0.5917+C5376*39.3468+D5376*11.135)*24634.6345,1),"")</f>
        <v/>
      </c>
      <c r="H5376">
        <f>IF(B5376,SQRT(-2*LN(F5376))*COS(2*PI()*G5376),"")</f>
        <v/>
      </c>
      <c r="I5376">
        <f>IF(B5376,IF(D5376=0,H5376,Rho*I5375+SQRT(1-Rho^2)*H5376),"")</f>
        <v/>
      </c>
      <c r="J5376">
        <f>IF(B5376,IF(Dist="Normal",DistA+DistB*I5376,DistA+(DistB-DistA)*NORMSDIST(I5376)),"")</f>
        <v/>
      </c>
      <c r="K5376">
        <f>IF(B5376,INDEX(MineScale,C5376),"")</f>
        <v/>
      </c>
      <c r="L5376">
        <f>IF(B5376,INDEX(Dow,1,WEEKDAY(E5376,2)),"")</f>
        <v/>
      </c>
      <c r="M5376">
        <f>IF(B5376,(1+Trend)^D5376,"")</f>
        <v/>
      </c>
      <c r="N5376">
        <f>IF(B5376,EXP(SUMPRODUCT(LN(1+(EvEff-1)*INDEX(Affected,0,C5376)*EXP(-((E5376-EvCenter)^2)/(2*EvSigma^2))))),"")</f>
        <v/>
      </c>
      <c r="O5376">
        <f>IF(B5376,ROUND(MAX(0,J5376*K5376*L5376*M5376*N5376),2),"")</f>
        <v/>
      </c>
    </row>
    <row r="5377">
      <c r="A5377" t="n">
        <v>5376</v>
      </c>
      <c r="B5377">
        <f>A5377&lt;=MineCount*Days</f>
        <v/>
      </c>
      <c r="C5377">
        <f>IF(B5377,INT((A5377-1)/Days)+1,"")</f>
        <v/>
      </c>
      <c r="D5377">
        <f>IF(B5377,MOD(A5377-1,Days),"")</f>
        <v/>
      </c>
      <c r="E5377" s="16">
        <f>IF(B5377,StartDate+D5377,"")</f>
        <v/>
      </c>
      <c r="F5377">
        <f>IF(B5377,MAX(MOD(SIN(Seed*0.1373+C5377*12.9898+D5377*78.233)*43758.5453,1),1E-9),"")</f>
        <v/>
      </c>
      <c r="G5377">
        <f>IF(B5377,MOD(SIN(Seed*0.5917+C5377*39.3468+D5377*11.135)*24634.6345,1),"")</f>
        <v/>
      </c>
      <c r="H5377">
        <f>IF(B5377,SQRT(-2*LN(F5377))*COS(2*PI()*G5377),"")</f>
        <v/>
      </c>
      <c r="I5377">
        <f>IF(B5377,IF(D5377=0,H5377,Rho*I5376+SQRT(1-Rho^2)*H5377),"")</f>
        <v/>
      </c>
      <c r="J5377">
        <f>IF(B5377,IF(Dist="Normal",DistA+DistB*I5377,DistA+(DistB-DistA)*NORMSDIST(I5377)),"")</f>
        <v/>
      </c>
      <c r="K5377">
        <f>IF(B5377,INDEX(MineScale,C5377),"")</f>
        <v/>
      </c>
      <c r="L5377">
        <f>IF(B5377,INDEX(Dow,1,WEEKDAY(E5377,2)),"")</f>
        <v/>
      </c>
      <c r="M5377">
        <f>IF(B5377,(1+Trend)^D5377,"")</f>
        <v/>
      </c>
      <c r="N5377">
        <f>IF(B5377,EXP(SUMPRODUCT(LN(1+(EvEff-1)*INDEX(Affected,0,C5377)*EXP(-((E5377-EvCenter)^2)/(2*EvSigma^2))))),"")</f>
        <v/>
      </c>
      <c r="O5377">
        <f>IF(B5377,ROUND(MAX(0,J5377*K5377*L5377*M5377*N5377),2),"")</f>
        <v/>
      </c>
    </row>
    <row r="5378">
      <c r="A5378" t="n">
        <v>5377</v>
      </c>
      <c r="B5378">
        <f>A5378&lt;=MineCount*Days</f>
        <v/>
      </c>
      <c r="C5378">
        <f>IF(B5378,INT((A5378-1)/Days)+1,"")</f>
        <v/>
      </c>
      <c r="D5378">
        <f>IF(B5378,MOD(A5378-1,Days),"")</f>
        <v/>
      </c>
      <c r="E5378" s="16">
        <f>IF(B5378,StartDate+D5378,"")</f>
        <v/>
      </c>
      <c r="F5378">
        <f>IF(B5378,MAX(MOD(SIN(Seed*0.1373+C5378*12.9898+D5378*78.233)*43758.5453,1),1E-9),"")</f>
        <v/>
      </c>
      <c r="G5378">
        <f>IF(B5378,MOD(SIN(Seed*0.5917+C5378*39.3468+D5378*11.135)*24634.6345,1),"")</f>
        <v/>
      </c>
      <c r="H5378">
        <f>IF(B5378,SQRT(-2*LN(F5378))*COS(2*PI()*G5378),"")</f>
        <v/>
      </c>
      <c r="I5378">
        <f>IF(B5378,IF(D5378=0,H5378,Rho*I5377+SQRT(1-Rho^2)*H5378),"")</f>
        <v/>
      </c>
      <c r="J5378">
        <f>IF(B5378,IF(Dist="Normal",DistA+DistB*I5378,DistA+(DistB-DistA)*NORMSDIST(I5378)),"")</f>
        <v/>
      </c>
      <c r="K5378">
        <f>IF(B5378,INDEX(MineScale,C5378),"")</f>
        <v/>
      </c>
      <c r="L5378">
        <f>IF(B5378,INDEX(Dow,1,WEEKDAY(E5378,2)),"")</f>
        <v/>
      </c>
      <c r="M5378">
        <f>IF(B5378,(1+Trend)^D5378,"")</f>
        <v/>
      </c>
      <c r="N5378">
        <f>IF(B5378,EXP(SUMPRODUCT(LN(1+(EvEff-1)*INDEX(Affected,0,C5378)*EXP(-((E5378-EvCenter)^2)/(2*EvSigma^2))))),"")</f>
        <v/>
      </c>
      <c r="O5378">
        <f>IF(B5378,ROUND(MAX(0,J5378*K5378*L5378*M5378*N5378),2),"")</f>
        <v/>
      </c>
    </row>
    <row r="5379">
      <c r="A5379" t="n">
        <v>5378</v>
      </c>
      <c r="B5379">
        <f>A5379&lt;=MineCount*Days</f>
        <v/>
      </c>
      <c r="C5379">
        <f>IF(B5379,INT((A5379-1)/Days)+1,"")</f>
        <v/>
      </c>
      <c r="D5379">
        <f>IF(B5379,MOD(A5379-1,Days),"")</f>
        <v/>
      </c>
      <c r="E5379" s="16">
        <f>IF(B5379,StartDate+D5379,"")</f>
        <v/>
      </c>
      <c r="F5379">
        <f>IF(B5379,MAX(MOD(SIN(Seed*0.1373+C5379*12.9898+D5379*78.233)*43758.5453,1),1E-9),"")</f>
        <v/>
      </c>
      <c r="G5379">
        <f>IF(B5379,MOD(SIN(Seed*0.5917+C5379*39.3468+D5379*11.135)*24634.6345,1),"")</f>
        <v/>
      </c>
      <c r="H5379">
        <f>IF(B5379,SQRT(-2*LN(F5379))*COS(2*PI()*G5379),"")</f>
        <v/>
      </c>
      <c r="I5379">
        <f>IF(B5379,IF(D5379=0,H5379,Rho*I5378+SQRT(1-Rho^2)*H5379),"")</f>
        <v/>
      </c>
      <c r="J5379">
        <f>IF(B5379,IF(Dist="Normal",DistA+DistB*I5379,DistA+(DistB-DistA)*NORMSDIST(I5379)),"")</f>
        <v/>
      </c>
      <c r="K5379">
        <f>IF(B5379,INDEX(MineScale,C5379),"")</f>
        <v/>
      </c>
      <c r="L5379">
        <f>IF(B5379,INDEX(Dow,1,WEEKDAY(E5379,2)),"")</f>
        <v/>
      </c>
      <c r="M5379">
        <f>IF(B5379,(1+Trend)^D5379,"")</f>
        <v/>
      </c>
      <c r="N5379">
        <f>IF(B5379,EXP(SUMPRODUCT(LN(1+(EvEff-1)*INDEX(Affected,0,C5379)*EXP(-((E5379-EvCenter)^2)/(2*EvSigma^2))))),"")</f>
        <v/>
      </c>
      <c r="O5379">
        <f>IF(B5379,ROUND(MAX(0,J5379*K5379*L5379*M5379*N5379),2),"")</f>
        <v/>
      </c>
    </row>
    <row r="5380">
      <c r="A5380" t="n">
        <v>5379</v>
      </c>
      <c r="B5380">
        <f>A5380&lt;=MineCount*Days</f>
        <v/>
      </c>
      <c r="C5380">
        <f>IF(B5380,INT((A5380-1)/Days)+1,"")</f>
        <v/>
      </c>
      <c r="D5380">
        <f>IF(B5380,MOD(A5380-1,Days),"")</f>
        <v/>
      </c>
      <c r="E5380" s="16">
        <f>IF(B5380,StartDate+D5380,"")</f>
        <v/>
      </c>
      <c r="F5380">
        <f>IF(B5380,MAX(MOD(SIN(Seed*0.1373+C5380*12.9898+D5380*78.233)*43758.5453,1),1E-9),"")</f>
        <v/>
      </c>
      <c r="G5380">
        <f>IF(B5380,MOD(SIN(Seed*0.5917+C5380*39.3468+D5380*11.135)*24634.6345,1),"")</f>
        <v/>
      </c>
      <c r="H5380">
        <f>IF(B5380,SQRT(-2*LN(F5380))*COS(2*PI()*G5380),"")</f>
        <v/>
      </c>
      <c r="I5380">
        <f>IF(B5380,IF(D5380=0,H5380,Rho*I5379+SQRT(1-Rho^2)*H5380),"")</f>
        <v/>
      </c>
      <c r="J5380">
        <f>IF(B5380,IF(Dist="Normal",DistA+DistB*I5380,DistA+(DistB-DistA)*NORMSDIST(I5380)),"")</f>
        <v/>
      </c>
      <c r="K5380">
        <f>IF(B5380,INDEX(MineScale,C5380),"")</f>
        <v/>
      </c>
      <c r="L5380">
        <f>IF(B5380,INDEX(Dow,1,WEEKDAY(E5380,2)),"")</f>
        <v/>
      </c>
      <c r="M5380">
        <f>IF(B5380,(1+Trend)^D5380,"")</f>
        <v/>
      </c>
      <c r="N5380">
        <f>IF(B5380,EXP(SUMPRODUCT(LN(1+(EvEff-1)*INDEX(Affected,0,C5380)*EXP(-((E5380-EvCenter)^2)/(2*EvSigma^2))))),"")</f>
        <v/>
      </c>
      <c r="O5380">
        <f>IF(B5380,ROUND(MAX(0,J5380*K5380*L5380*M5380*N5380),2),"")</f>
        <v/>
      </c>
    </row>
    <row r="5381">
      <c r="A5381" t="n">
        <v>5380</v>
      </c>
      <c r="B5381">
        <f>A5381&lt;=MineCount*Days</f>
        <v/>
      </c>
      <c r="C5381">
        <f>IF(B5381,INT((A5381-1)/Days)+1,"")</f>
        <v/>
      </c>
      <c r="D5381">
        <f>IF(B5381,MOD(A5381-1,Days),"")</f>
        <v/>
      </c>
      <c r="E5381" s="16">
        <f>IF(B5381,StartDate+D5381,"")</f>
        <v/>
      </c>
      <c r="F5381">
        <f>IF(B5381,MAX(MOD(SIN(Seed*0.1373+C5381*12.9898+D5381*78.233)*43758.5453,1),1E-9),"")</f>
        <v/>
      </c>
      <c r="G5381">
        <f>IF(B5381,MOD(SIN(Seed*0.5917+C5381*39.3468+D5381*11.135)*24634.6345,1),"")</f>
        <v/>
      </c>
      <c r="H5381">
        <f>IF(B5381,SQRT(-2*LN(F5381))*COS(2*PI()*G5381),"")</f>
        <v/>
      </c>
      <c r="I5381">
        <f>IF(B5381,IF(D5381=0,H5381,Rho*I5380+SQRT(1-Rho^2)*H5381),"")</f>
        <v/>
      </c>
      <c r="J5381">
        <f>IF(B5381,IF(Dist="Normal",DistA+DistB*I5381,DistA+(DistB-DistA)*NORMSDIST(I5381)),"")</f>
        <v/>
      </c>
      <c r="K5381">
        <f>IF(B5381,INDEX(MineScale,C5381),"")</f>
        <v/>
      </c>
      <c r="L5381">
        <f>IF(B5381,INDEX(Dow,1,WEEKDAY(E5381,2)),"")</f>
        <v/>
      </c>
      <c r="M5381">
        <f>IF(B5381,(1+Trend)^D5381,"")</f>
        <v/>
      </c>
      <c r="N5381">
        <f>IF(B5381,EXP(SUMPRODUCT(LN(1+(EvEff-1)*INDEX(Affected,0,C5381)*EXP(-((E5381-EvCenter)^2)/(2*EvSigma^2))))),"")</f>
        <v/>
      </c>
      <c r="O5381">
        <f>IF(B5381,ROUND(MAX(0,J5381*K5381*L5381*M5381*N5381),2),"")</f>
        <v/>
      </c>
    </row>
    <row r="5382">
      <c r="A5382" t="n">
        <v>5381</v>
      </c>
      <c r="B5382">
        <f>A5382&lt;=MineCount*Days</f>
        <v/>
      </c>
      <c r="C5382">
        <f>IF(B5382,INT((A5382-1)/Days)+1,"")</f>
        <v/>
      </c>
      <c r="D5382">
        <f>IF(B5382,MOD(A5382-1,Days),"")</f>
        <v/>
      </c>
      <c r="E5382" s="16">
        <f>IF(B5382,StartDate+D5382,"")</f>
        <v/>
      </c>
      <c r="F5382">
        <f>IF(B5382,MAX(MOD(SIN(Seed*0.1373+C5382*12.9898+D5382*78.233)*43758.5453,1),1E-9),"")</f>
        <v/>
      </c>
      <c r="G5382">
        <f>IF(B5382,MOD(SIN(Seed*0.5917+C5382*39.3468+D5382*11.135)*24634.6345,1),"")</f>
        <v/>
      </c>
      <c r="H5382">
        <f>IF(B5382,SQRT(-2*LN(F5382))*COS(2*PI()*G5382),"")</f>
        <v/>
      </c>
      <c r="I5382">
        <f>IF(B5382,IF(D5382=0,H5382,Rho*I5381+SQRT(1-Rho^2)*H5382),"")</f>
        <v/>
      </c>
      <c r="J5382">
        <f>IF(B5382,IF(Dist="Normal",DistA+DistB*I5382,DistA+(DistB-DistA)*NORMSDIST(I5382)),"")</f>
        <v/>
      </c>
      <c r="K5382">
        <f>IF(B5382,INDEX(MineScale,C5382),"")</f>
        <v/>
      </c>
      <c r="L5382">
        <f>IF(B5382,INDEX(Dow,1,WEEKDAY(E5382,2)),"")</f>
        <v/>
      </c>
      <c r="M5382">
        <f>IF(B5382,(1+Trend)^D5382,"")</f>
        <v/>
      </c>
      <c r="N5382">
        <f>IF(B5382,EXP(SUMPRODUCT(LN(1+(EvEff-1)*INDEX(Affected,0,C5382)*EXP(-((E5382-EvCenter)^2)/(2*EvSigma^2))))),"")</f>
        <v/>
      </c>
      <c r="O5382">
        <f>IF(B5382,ROUND(MAX(0,J5382*K5382*L5382*M5382*N5382),2),"")</f>
        <v/>
      </c>
    </row>
    <row r="5383">
      <c r="A5383" t="n">
        <v>5382</v>
      </c>
      <c r="B5383">
        <f>A5383&lt;=MineCount*Days</f>
        <v/>
      </c>
      <c r="C5383">
        <f>IF(B5383,INT((A5383-1)/Days)+1,"")</f>
        <v/>
      </c>
      <c r="D5383">
        <f>IF(B5383,MOD(A5383-1,Days),"")</f>
        <v/>
      </c>
      <c r="E5383" s="16">
        <f>IF(B5383,StartDate+D5383,"")</f>
        <v/>
      </c>
      <c r="F5383">
        <f>IF(B5383,MAX(MOD(SIN(Seed*0.1373+C5383*12.9898+D5383*78.233)*43758.5453,1),1E-9),"")</f>
        <v/>
      </c>
      <c r="G5383">
        <f>IF(B5383,MOD(SIN(Seed*0.5917+C5383*39.3468+D5383*11.135)*24634.6345,1),"")</f>
        <v/>
      </c>
      <c r="H5383">
        <f>IF(B5383,SQRT(-2*LN(F5383))*COS(2*PI()*G5383),"")</f>
        <v/>
      </c>
      <c r="I5383">
        <f>IF(B5383,IF(D5383=0,H5383,Rho*I5382+SQRT(1-Rho^2)*H5383),"")</f>
        <v/>
      </c>
      <c r="J5383">
        <f>IF(B5383,IF(Dist="Normal",DistA+DistB*I5383,DistA+(DistB-DistA)*NORMSDIST(I5383)),"")</f>
        <v/>
      </c>
      <c r="K5383">
        <f>IF(B5383,INDEX(MineScale,C5383),"")</f>
        <v/>
      </c>
      <c r="L5383">
        <f>IF(B5383,INDEX(Dow,1,WEEKDAY(E5383,2)),"")</f>
        <v/>
      </c>
      <c r="M5383">
        <f>IF(B5383,(1+Trend)^D5383,"")</f>
        <v/>
      </c>
      <c r="N5383">
        <f>IF(B5383,EXP(SUMPRODUCT(LN(1+(EvEff-1)*INDEX(Affected,0,C5383)*EXP(-((E5383-EvCenter)^2)/(2*EvSigma^2))))),"")</f>
        <v/>
      </c>
      <c r="O5383">
        <f>IF(B5383,ROUND(MAX(0,J5383*K5383*L5383*M5383*N5383),2),"")</f>
        <v/>
      </c>
    </row>
    <row r="5384">
      <c r="A5384" t="n">
        <v>5383</v>
      </c>
      <c r="B5384">
        <f>A5384&lt;=MineCount*Days</f>
        <v/>
      </c>
      <c r="C5384">
        <f>IF(B5384,INT((A5384-1)/Days)+1,"")</f>
        <v/>
      </c>
      <c r="D5384">
        <f>IF(B5384,MOD(A5384-1,Days),"")</f>
        <v/>
      </c>
      <c r="E5384" s="16">
        <f>IF(B5384,StartDate+D5384,"")</f>
        <v/>
      </c>
      <c r="F5384">
        <f>IF(B5384,MAX(MOD(SIN(Seed*0.1373+C5384*12.9898+D5384*78.233)*43758.5453,1),1E-9),"")</f>
        <v/>
      </c>
      <c r="G5384">
        <f>IF(B5384,MOD(SIN(Seed*0.5917+C5384*39.3468+D5384*11.135)*24634.6345,1),"")</f>
        <v/>
      </c>
      <c r="H5384">
        <f>IF(B5384,SQRT(-2*LN(F5384))*COS(2*PI()*G5384),"")</f>
        <v/>
      </c>
      <c r="I5384">
        <f>IF(B5384,IF(D5384=0,H5384,Rho*I5383+SQRT(1-Rho^2)*H5384),"")</f>
        <v/>
      </c>
      <c r="J5384">
        <f>IF(B5384,IF(Dist="Normal",DistA+DistB*I5384,DistA+(DistB-DistA)*NORMSDIST(I5384)),"")</f>
        <v/>
      </c>
      <c r="K5384">
        <f>IF(B5384,INDEX(MineScale,C5384),"")</f>
        <v/>
      </c>
      <c r="L5384">
        <f>IF(B5384,INDEX(Dow,1,WEEKDAY(E5384,2)),"")</f>
        <v/>
      </c>
      <c r="M5384">
        <f>IF(B5384,(1+Trend)^D5384,"")</f>
        <v/>
      </c>
      <c r="N5384">
        <f>IF(B5384,EXP(SUMPRODUCT(LN(1+(EvEff-1)*INDEX(Affected,0,C5384)*EXP(-((E5384-EvCenter)^2)/(2*EvSigma^2))))),"")</f>
        <v/>
      </c>
      <c r="O5384">
        <f>IF(B5384,ROUND(MAX(0,J5384*K5384*L5384*M5384*N5384),2),"")</f>
        <v/>
      </c>
    </row>
    <row r="5385">
      <c r="A5385" t="n">
        <v>5384</v>
      </c>
      <c r="B5385">
        <f>A5385&lt;=MineCount*Days</f>
        <v/>
      </c>
      <c r="C5385">
        <f>IF(B5385,INT((A5385-1)/Days)+1,"")</f>
        <v/>
      </c>
      <c r="D5385">
        <f>IF(B5385,MOD(A5385-1,Days),"")</f>
        <v/>
      </c>
      <c r="E5385" s="16">
        <f>IF(B5385,StartDate+D5385,"")</f>
        <v/>
      </c>
      <c r="F5385">
        <f>IF(B5385,MAX(MOD(SIN(Seed*0.1373+C5385*12.9898+D5385*78.233)*43758.5453,1),1E-9),"")</f>
        <v/>
      </c>
      <c r="G5385">
        <f>IF(B5385,MOD(SIN(Seed*0.5917+C5385*39.3468+D5385*11.135)*24634.6345,1),"")</f>
        <v/>
      </c>
      <c r="H5385">
        <f>IF(B5385,SQRT(-2*LN(F5385))*COS(2*PI()*G5385),"")</f>
        <v/>
      </c>
      <c r="I5385">
        <f>IF(B5385,IF(D5385=0,H5385,Rho*I5384+SQRT(1-Rho^2)*H5385),"")</f>
        <v/>
      </c>
      <c r="J5385">
        <f>IF(B5385,IF(Dist="Normal",DistA+DistB*I5385,DistA+(DistB-DistA)*NORMSDIST(I5385)),"")</f>
        <v/>
      </c>
      <c r="K5385">
        <f>IF(B5385,INDEX(MineScale,C5385),"")</f>
        <v/>
      </c>
      <c r="L5385">
        <f>IF(B5385,INDEX(Dow,1,WEEKDAY(E5385,2)),"")</f>
        <v/>
      </c>
      <c r="M5385">
        <f>IF(B5385,(1+Trend)^D5385,"")</f>
        <v/>
      </c>
      <c r="N5385">
        <f>IF(B5385,EXP(SUMPRODUCT(LN(1+(EvEff-1)*INDEX(Affected,0,C5385)*EXP(-((E5385-EvCenter)^2)/(2*EvSigma^2))))),"")</f>
        <v/>
      </c>
      <c r="O5385">
        <f>IF(B5385,ROUND(MAX(0,J5385*K5385*L5385*M5385*N5385),2),"")</f>
        <v/>
      </c>
    </row>
    <row r="5386">
      <c r="A5386" t="n">
        <v>5385</v>
      </c>
      <c r="B5386">
        <f>A5386&lt;=MineCount*Days</f>
        <v/>
      </c>
      <c r="C5386">
        <f>IF(B5386,INT((A5386-1)/Days)+1,"")</f>
        <v/>
      </c>
      <c r="D5386">
        <f>IF(B5386,MOD(A5386-1,Days),"")</f>
        <v/>
      </c>
      <c r="E5386" s="16">
        <f>IF(B5386,StartDate+D5386,"")</f>
        <v/>
      </c>
      <c r="F5386">
        <f>IF(B5386,MAX(MOD(SIN(Seed*0.1373+C5386*12.9898+D5386*78.233)*43758.5453,1),1E-9),"")</f>
        <v/>
      </c>
      <c r="G5386">
        <f>IF(B5386,MOD(SIN(Seed*0.5917+C5386*39.3468+D5386*11.135)*24634.6345,1),"")</f>
        <v/>
      </c>
      <c r="H5386">
        <f>IF(B5386,SQRT(-2*LN(F5386))*COS(2*PI()*G5386),"")</f>
        <v/>
      </c>
      <c r="I5386">
        <f>IF(B5386,IF(D5386=0,H5386,Rho*I5385+SQRT(1-Rho^2)*H5386),"")</f>
        <v/>
      </c>
      <c r="J5386">
        <f>IF(B5386,IF(Dist="Normal",DistA+DistB*I5386,DistA+(DistB-DistA)*NORMSDIST(I5386)),"")</f>
        <v/>
      </c>
      <c r="K5386">
        <f>IF(B5386,INDEX(MineScale,C5386),"")</f>
        <v/>
      </c>
      <c r="L5386">
        <f>IF(B5386,INDEX(Dow,1,WEEKDAY(E5386,2)),"")</f>
        <v/>
      </c>
      <c r="M5386">
        <f>IF(B5386,(1+Trend)^D5386,"")</f>
        <v/>
      </c>
      <c r="N5386">
        <f>IF(B5386,EXP(SUMPRODUCT(LN(1+(EvEff-1)*INDEX(Affected,0,C5386)*EXP(-((E5386-EvCenter)^2)/(2*EvSigma^2))))),"")</f>
        <v/>
      </c>
      <c r="O5386">
        <f>IF(B5386,ROUND(MAX(0,J5386*K5386*L5386*M5386*N5386),2),"")</f>
        <v/>
      </c>
    </row>
    <row r="5387">
      <c r="A5387" t="n">
        <v>5386</v>
      </c>
      <c r="B5387">
        <f>A5387&lt;=MineCount*Days</f>
        <v/>
      </c>
      <c r="C5387">
        <f>IF(B5387,INT((A5387-1)/Days)+1,"")</f>
        <v/>
      </c>
      <c r="D5387">
        <f>IF(B5387,MOD(A5387-1,Days),"")</f>
        <v/>
      </c>
      <c r="E5387" s="16">
        <f>IF(B5387,StartDate+D5387,"")</f>
        <v/>
      </c>
      <c r="F5387">
        <f>IF(B5387,MAX(MOD(SIN(Seed*0.1373+C5387*12.9898+D5387*78.233)*43758.5453,1),1E-9),"")</f>
        <v/>
      </c>
      <c r="G5387">
        <f>IF(B5387,MOD(SIN(Seed*0.5917+C5387*39.3468+D5387*11.135)*24634.6345,1),"")</f>
        <v/>
      </c>
      <c r="H5387">
        <f>IF(B5387,SQRT(-2*LN(F5387))*COS(2*PI()*G5387),"")</f>
        <v/>
      </c>
      <c r="I5387">
        <f>IF(B5387,IF(D5387=0,H5387,Rho*I5386+SQRT(1-Rho^2)*H5387),"")</f>
        <v/>
      </c>
      <c r="J5387">
        <f>IF(B5387,IF(Dist="Normal",DistA+DistB*I5387,DistA+(DistB-DistA)*NORMSDIST(I5387)),"")</f>
        <v/>
      </c>
      <c r="K5387">
        <f>IF(B5387,INDEX(MineScale,C5387),"")</f>
        <v/>
      </c>
      <c r="L5387">
        <f>IF(B5387,INDEX(Dow,1,WEEKDAY(E5387,2)),"")</f>
        <v/>
      </c>
      <c r="M5387">
        <f>IF(B5387,(1+Trend)^D5387,"")</f>
        <v/>
      </c>
      <c r="N5387">
        <f>IF(B5387,EXP(SUMPRODUCT(LN(1+(EvEff-1)*INDEX(Affected,0,C5387)*EXP(-((E5387-EvCenter)^2)/(2*EvSigma^2))))),"")</f>
        <v/>
      </c>
      <c r="O5387">
        <f>IF(B5387,ROUND(MAX(0,J5387*K5387*L5387*M5387*N5387),2),"")</f>
        <v/>
      </c>
    </row>
    <row r="5388">
      <c r="A5388" t="n">
        <v>5387</v>
      </c>
      <c r="B5388">
        <f>A5388&lt;=MineCount*Days</f>
        <v/>
      </c>
      <c r="C5388">
        <f>IF(B5388,INT((A5388-1)/Days)+1,"")</f>
        <v/>
      </c>
      <c r="D5388">
        <f>IF(B5388,MOD(A5388-1,Days),"")</f>
        <v/>
      </c>
      <c r="E5388" s="16">
        <f>IF(B5388,StartDate+D5388,"")</f>
        <v/>
      </c>
      <c r="F5388">
        <f>IF(B5388,MAX(MOD(SIN(Seed*0.1373+C5388*12.9898+D5388*78.233)*43758.5453,1),1E-9),"")</f>
        <v/>
      </c>
      <c r="G5388">
        <f>IF(B5388,MOD(SIN(Seed*0.5917+C5388*39.3468+D5388*11.135)*24634.6345,1),"")</f>
        <v/>
      </c>
      <c r="H5388">
        <f>IF(B5388,SQRT(-2*LN(F5388))*COS(2*PI()*G5388),"")</f>
        <v/>
      </c>
      <c r="I5388">
        <f>IF(B5388,IF(D5388=0,H5388,Rho*I5387+SQRT(1-Rho^2)*H5388),"")</f>
        <v/>
      </c>
      <c r="J5388">
        <f>IF(B5388,IF(Dist="Normal",DistA+DistB*I5388,DistA+(DistB-DistA)*NORMSDIST(I5388)),"")</f>
        <v/>
      </c>
      <c r="K5388">
        <f>IF(B5388,INDEX(MineScale,C5388),"")</f>
        <v/>
      </c>
      <c r="L5388">
        <f>IF(B5388,INDEX(Dow,1,WEEKDAY(E5388,2)),"")</f>
        <v/>
      </c>
      <c r="M5388">
        <f>IF(B5388,(1+Trend)^D5388,"")</f>
        <v/>
      </c>
      <c r="N5388">
        <f>IF(B5388,EXP(SUMPRODUCT(LN(1+(EvEff-1)*INDEX(Affected,0,C5388)*EXP(-((E5388-EvCenter)^2)/(2*EvSigma^2))))),"")</f>
        <v/>
      </c>
      <c r="O5388">
        <f>IF(B5388,ROUND(MAX(0,J5388*K5388*L5388*M5388*N5388),2),"")</f>
        <v/>
      </c>
    </row>
    <row r="5389">
      <c r="A5389" t="n">
        <v>5388</v>
      </c>
      <c r="B5389">
        <f>A5389&lt;=MineCount*Days</f>
        <v/>
      </c>
      <c r="C5389">
        <f>IF(B5389,INT((A5389-1)/Days)+1,"")</f>
        <v/>
      </c>
      <c r="D5389">
        <f>IF(B5389,MOD(A5389-1,Days),"")</f>
        <v/>
      </c>
      <c r="E5389" s="16">
        <f>IF(B5389,StartDate+D5389,"")</f>
        <v/>
      </c>
      <c r="F5389">
        <f>IF(B5389,MAX(MOD(SIN(Seed*0.1373+C5389*12.9898+D5389*78.233)*43758.5453,1),1E-9),"")</f>
        <v/>
      </c>
      <c r="G5389">
        <f>IF(B5389,MOD(SIN(Seed*0.5917+C5389*39.3468+D5389*11.135)*24634.6345,1),"")</f>
        <v/>
      </c>
      <c r="H5389">
        <f>IF(B5389,SQRT(-2*LN(F5389))*COS(2*PI()*G5389),"")</f>
        <v/>
      </c>
      <c r="I5389">
        <f>IF(B5389,IF(D5389=0,H5389,Rho*I5388+SQRT(1-Rho^2)*H5389),"")</f>
        <v/>
      </c>
      <c r="J5389">
        <f>IF(B5389,IF(Dist="Normal",DistA+DistB*I5389,DistA+(DistB-DistA)*NORMSDIST(I5389)),"")</f>
        <v/>
      </c>
      <c r="K5389">
        <f>IF(B5389,INDEX(MineScale,C5389),"")</f>
        <v/>
      </c>
      <c r="L5389">
        <f>IF(B5389,INDEX(Dow,1,WEEKDAY(E5389,2)),"")</f>
        <v/>
      </c>
      <c r="M5389">
        <f>IF(B5389,(1+Trend)^D5389,"")</f>
        <v/>
      </c>
      <c r="N5389">
        <f>IF(B5389,EXP(SUMPRODUCT(LN(1+(EvEff-1)*INDEX(Affected,0,C5389)*EXP(-((E5389-EvCenter)^2)/(2*EvSigma^2))))),"")</f>
        <v/>
      </c>
      <c r="O5389">
        <f>IF(B5389,ROUND(MAX(0,J5389*K5389*L5389*M5389*N5389),2),"")</f>
        <v/>
      </c>
    </row>
    <row r="5390">
      <c r="A5390" t="n">
        <v>5389</v>
      </c>
      <c r="B5390">
        <f>A5390&lt;=MineCount*Days</f>
        <v/>
      </c>
      <c r="C5390">
        <f>IF(B5390,INT((A5390-1)/Days)+1,"")</f>
        <v/>
      </c>
      <c r="D5390">
        <f>IF(B5390,MOD(A5390-1,Days),"")</f>
        <v/>
      </c>
      <c r="E5390" s="16">
        <f>IF(B5390,StartDate+D5390,"")</f>
        <v/>
      </c>
      <c r="F5390">
        <f>IF(B5390,MAX(MOD(SIN(Seed*0.1373+C5390*12.9898+D5390*78.233)*43758.5453,1),1E-9),"")</f>
        <v/>
      </c>
      <c r="G5390">
        <f>IF(B5390,MOD(SIN(Seed*0.5917+C5390*39.3468+D5390*11.135)*24634.6345,1),"")</f>
        <v/>
      </c>
      <c r="H5390">
        <f>IF(B5390,SQRT(-2*LN(F5390))*COS(2*PI()*G5390),"")</f>
        <v/>
      </c>
      <c r="I5390">
        <f>IF(B5390,IF(D5390=0,H5390,Rho*I5389+SQRT(1-Rho^2)*H5390),"")</f>
        <v/>
      </c>
      <c r="J5390">
        <f>IF(B5390,IF(Dist="Normal",DistA+DistB*I5390,DistA+(DistB-DistA)*NORMSDIST(I5390)),"")</f>
        <v/>
      </c>
      <c r="K5390">
        <f>IF(B5390,INDEX(MineScale,C5390),"")</f>
        <v/>
      </c>
      <c r="L5390">
        <f>IF(B5390,INDEX(Dow,1,WEEKDAY(E5390,2)),"")</f>
        <v/>
      </c>
      <c r="M5390">
        <f>IF(B5390,(1+Trend)^D5390,"")</f>
        <v/>
      </c>
      <c r="N5390">
        <f>IF(B5390,EXP(SUMPRODUCT(LN(1+(EvEff-1)*INDEX(Affected,0,C5390)*EXP(-((E5390-EvCenter)^2)/(2*EvSigma^2))))),"")</f>
        <v/>
      </c>
      <c r="O5390">
        <f>IF(B5390,ROUND(MAX(0,J5390*K5390*L5390*M5390*N5390),2),"")</f>
        <v/>
      </c>
    </row>
    <row r="5391">
      <c r="A5391" t="n">
        <v>5390</v>
      </c>
      <c r="B5391">
        <f>A5391&lt;=MineCount*Days</f>
        <v/>
      </c>
      <c r="C5391">
        <f>IF(B5391,INT((A5391-1)/Days)+1,"")</f>
        <v/>
      </c>
      <c r="D5391">
        <f>IF(B5391,MOD(A5391-1,Days),"")</f>
        <v/>
      </c>
      <c r="E5391" s="16">
        <f>IF(B5391,StartDate+D5391,"")</f>
        <v/>
      </c>
      <c r="F5391">
        <f>IF(B5391,MAX(MOD(SIN(Seed*0.1373+C5391*12.9898+D5391*78.233)*43758.5453,1),1E-9),"")</f>
        <v/>
      </c>
      <c r="G5391">
        <f>IF(B5391,MOD(SIN(Seed*0.5917+C5391*39.3468+D5391*11.135)*24634.6345,1),"")</f>
        <v/>
      </c>
      <c r="H5391">
        <f>IF(B5391,SQRT(-2*LN(F5391))*COS(2*PI()*G5391),"")</f>
        <v/>
      </c>
      <c r="I5391">
        <f>IF(B5391,IF(D5391=0,H5391,Rho*I5390+SQRT(1-Rho^2)*H5391),"")</f>
        <v/>
      </c>
      <c r="J5391">
        <f>IF(B5391,IF(Dist="Normal",DistA+DistB*I5391,DistA+(DistB-DistA)*NORMSDIST(I5391)),"")</f>
        <v/>
      </c>
      <c r="K5391">
        <f>IF(B5391,INDEX(MineScale,C5391),"")</f>
        <v/>
      </c>
      <c r="L5391">
        <f>IF(B5391,INDEX(Dow,1,WEEKDAY(E5391,2)),"")</f>
        <v/>
      </c>
      <c r="M5391">
        <f>IF(B5391,(1+Trend)^D5391,"")</f>
        <v/>
      </c>
      <c r="N5391">
        <f>IF(B5391,EXP(SUMPRODUCT(LN(1+(EvEff-1)*INDEX(Affected,0,C5391)*EXP(-((E5391-EvCenter)^2)/(2*EvSigma^2))))),"")</f>
        <v/>
      </c>
      <c r="O5391">
        <f>IF(B5391,ROUND(MAX(0,J5391*K5391*L5391*M5391*N5391),2),"")</f>
        <v/>
      </c>
    </row>
    <row r="5392">
      <c r="A5392" t="n">
        <v>5391</v>
      </c>
      <c r="B5392">
        <f>A5392&lt;=MineCount*Days</f>
        <v/>
      </c>
      <c r="C5392">
        <f>IF(B5392,INT((A5392-1)/Days)+1,"")</f>
        <v/>
      </c>
      <c r="D5392">
        <f>IF(B5392,MOD(A5392-1,Days),"")</f>
        <v/>
      </c>
      <c r="E5392" s="16">
        <f>IF(B5392,StartDate+D5392,"")</f>
        <v/>
      </c>
      <c r="F5392">
        <f>IF(B5392,MAX(MOD(SIN(Seed*0.1373+C5392*12.9898+D5392*78.233)*43758.5453,1),1E-9),"")</f>
        <v/>
      </c>
      <c r="G5392">
        <f>IF(B5392,MOD(SIN(Seed*0.5917+C5392*39.3468+D5392*11.135)*24634.6345,1),"")</f>
        <v/>
      </c>
      <c r="H5392">
        <f>IF(B5392,SQRT(-2*LN(F5392))*COS(2*PI()*G5392),"")</f>
        <v/>
      </c>
      <c r="I5392">
        <f>IF(B5392,IF(D5392=0,H5392,Rho*I5391+SQRT(1-Rho^2)*H5392),"")</f>
        <v/>
      </c>
      <c r="J5392">
        <f>IF(B5392,IF(Dist="Normal",DistA+DistB*I5392,DistA+(DistB-DistA)*NORMSDIST(I5392)),"")</f>
        <v/>
      </c>
      <c r="K5392">
        <f>IF(B5392,INDEX(MineScale,C5392),"")</f>
        <v/>
      </c>
      <c r="L5392">
        <f>IF(B5392,INDEX(Dow,1,WEEKDAY(E5392,2)),"")</f>
        <v/>
      </c>
      <c r="M5392">
        <f>IF(B5392,(1+Trend)^D5392,"")</f>
        <v/>
      </c>
      <c r="N5392">
        <f>IF(B5392,EXP(SUMPRODUCT(LN(1+(EvEff-1)*INDEX(Affected,0,C5392)*EXP(-((E5392-EvCenter)^2)/(2*EvSigma^2))))),"")</f>
        <v/>
      </c>
      <c r="O5392">
        <f>IF(B5392,ROUND(MAX(0,J5392*K5392*L5392*M5392*N5392),2),"")</f>
        <v/>
      </c>
    </row>
    <row r="5393">
      <c r="A5393" t="n">
        <v>5392</v>
      </c>
      <c r="B5393">
        <f>A5393&lt;=MineCount*Days</f>
        <v/>
      </c>
      <c r="C5393">
        <f>IF(B5393,INT((A5393-1)/Days)+1,"")</f>
        <v/>
      </c>
      <c r="D5393">
        <f>IF(B5393,MOD(A5393-1,Days),"")</f>
        <v/>
      </c>
      <c r="E5393" s="16">
        <f>IF(B5393,StartDate+D5393,"")</f>
        <v/>
      </c>
      <c r="F5393">
        <f>IF(B5393,MAX(MOD(SIN(Seed*0.1373+C5393*12.9898+D5393*78.233)*43758.5453,1),1E-9),"")</f>
        <v/>
      </c>
      <c r="G5393">
        <f>IF(B5393,MOD(SIN(Seed*0.5917+C5393*39.3468+D5393*11.135)*24634.6345,1),"")</f>
        <v/>
      </c>
      <c r="H5393">
        <f>IF(B5393,SQRT(-2*LN(F5393))*COS(2*PI()*G5393),"")</f>
        <v/>
      </c>
      <c r="I5393">
        <f>IF(B5393,IF(D5393=0,H5393,Rho*I5392+SQRT(1-Rho^2)*H5393),"")</f>
        <v/>
      </c>
      <c r="J5393">
        <f>IF(B5393,IF(Dist="Normal",DistA+DistB*I5393,DistA+(DistB-DistA)*NORMSDIST(I5393)),"")</f>
        <v/>
      </c>
      <c r="K5393">
        <f>IF(B5393,INDEX(MineScale,C5393),"")</f>
        <v/>
      </c>
      <c r="L5393">
        <f>IF(B5393,INDEX(Dow,1,WEEKDAY(E5393,2)),"")</f>
        <v/>
      </c>
      <c r="M5393">
        <f>IF(B5393,(1+Trend)^D5393,"")</f>
        <v/>
      </c>
      <c r="N5393">
        <f>IF(B5393,EXP(SUMPRODUCT(LN(1+(EvEff-1)*INDEX(Affected,0,C5393)*EXP(-((E5393-EvCenter)^2)/(2*EvSigma^2))))),"")</f>
        <v/>
      </c>
      <c r="O5393">
        <f>IF(B5393,ROUND(MAX(0,J5393*K5393*L5393*M5393*N5393),2),"")</f>
        <v/>
      </c>
    </row>
    <row r="5394">
      <c r="A5394" t="n">
        <v>5393</v>
      </c>
      <c r="B5394">
        <f>A5394&lt;=MineCount*Days</f>
        <v/>
      </c>
      <c r="C5394">
        <f>IF(B5394,INT((A5394-1)/Days)+1,"")</f>
        <v/>
      </c>
      <c r="D5394">
        <f>IF(B5394,MOD(A5394-1,Days),"")</f>
        <v/>
      </c>
      <c r="E5394" s="16">
        <f>IF(B5394,StartDate+D5394,"")</f>
        <v/>
      </c>
      <c r="F5394">
        <f>IF(B5394,MAX(MOD(SIN(Seed*0.1373+C5394*12.9898+D5394*78.233)*43758.5453,1),1E-9),"")</f>
        <v/>
      </c>
      <c r="G5394">
        <f>IF(B5394,MOD(SIN(Seed*0.5917+C5394*39.3468+D5394*11.135)*24634.6345,1),"")</f>
        <v/>
      </c>
      <c r="H5394">
        <f>IF(B5394,SQRT(-2*LN(F5394))*COS(2*PI()*G5394),"")</f>
        <v/>
      </c>
      <c r="I5394">
        <f>IF(B5394,IF(D5394=0,H5394,Rho*I5393+SQRT(1-Rho^2)*H5394),"")</f>
        <v/>
      </c>
      <c r="J5394">
        <f>IF(B5394,IF(Dist="Normal",DistA+DistB*I5394,DistA+(DistB-DistA)*NORMSDIST(I5394)),"")</f>
        <v/>
      </c>
      <c r="K5394">
        <f>IF(B5394,INDEX(MineScale,C5394),"")</f>
        <v/>
      </c>
      <c r="L5394">
        <f>IF(B5394,INDEX(Dow,1,WEEKDAY(E5394,2)),"")</f>
        <v/>
      </c>
      <c r="M5394">
        <f>IF(B5394,(1+Trend)^D5394,"")</f>
        <v/>
      </c>
      <c r="N5394">
        <f>IF(B5394,EXP(SUMPRODUCT(LN(1+(EvEff-1)*INDEX(Affected,0,C5394)*EXP(-((E5394-EvCenter)^2)/(2*EvSigma^2))))),"")</f>
        <v/>
      </c>
      <c r="O5394">
        <f>IF(B5394,ROUND(MAX(0,J5394*K5394*L5394*M5394*N5394),2),"")</f>
        <v/>
      </c>
    </row>
    <row r="5395">
      <c r="A5395" t="n">
        <v>5394</v>
      </c>
      <c r="B5395">
        <f>A5395&lt;=MineCount*Days</f>
        <v/>
      </c>
      <c r="C5395">
        <f>IF(B5395,INT((A5395-1)/Days)+1,"")</f>
        <v/>
      </c>
      <c r="D5395">
        <f>IF(B5395,MOD(A5395-1,Days),"")</f>
        <v/>
      </c>
      <c r="E5395" s="16">
        <f>IF(B5395,StartDate+D5395,"")</f>
        <v/>
      </c>
      <c r="F5395">
        <f>IF(B5395,MAX(MOD(SIN(Seed*0.1373+C5395*12.9898+D5395*78.233)*43758.5453,1),1E-9),"")</f>
        <v/>
      </c>
      <c r="G5395">
        <f>IF(B5395,MOD(SIN(Seed*0.5917+C5395*39.3468+D5395*11.135)*24634.6345,1),"")</f>
        <v/>
      </c>
      <c r="H5395">
        <f>IF(B5395,SQRT(-2*LN(F5395))*COS(2*PI()*G5395),"")</f>
        <v/>
      </c>
      <c r="I5395">
        <f>IF(B5395,IF(D5395=0,H5395,Rho*I5394+SQRT(1-Rho^2)*H5395),"")</f>
        <v/>
      </c>
      <c r="J5395">
        <f>IF(B5395,IF(Dist="Normal",DistA+DistB*I5395,DistA+(DistB-DistA)*NORMSDIST(I5395)),"")</f>
        <v/>
      </c>
      <c r="K5395">
        <f>IF(B5395,INDEX(MineScale,C5395),"")</f>
        <v/>
      </c>
      <c r="L5395">
        <f>IF(B5395,INDEX(Dow,1,WEEKDAY(E5395,2)),"")</f>
        <v/>
      </c>
      <c r="M5395">
        <f>IF(B5395,(1+Trend)^D5395,"")</f>
        <v/>
      </c>
      <c r="N5395">
        <f>IF(B5395,EXP(SUMPRODUCT(LN(1+(EvEff-1)*INDEX(Affected,0,C5395)*EXP(-((E5395-EvCenter)^2)/(2*EvSigma^2))))),"")</f>
        <v/>
      </c>
      <c r="O5395">
        <f>IF(B5395,ROUND(MAX(0,J5395*K5395*L5395*M5395*N5395),2),"")</f>
        <v/>
      </c>
    </row>
    <row r="5396">
      <c r="A5396" t="n">
        <v>5395</v>
      </c>
      <c r="B5396">
        <f>A5396&lt;=MineCount*Days</f>
        <v/>
      </c>
      <c r="C5396">
        <f>IF(B5396,INT((A5396-1)/Days)+1,"")</f>
        <v/>
      </c>
      <c r="D5396">
        <f>IF(B5396,MOD(A5396-1,Days),"")</f>
        <v/>
      </c>
      <c r="E5396" s="16">
        <f>IF(B5396,StartDate+D5396,"")</f>
        <v/>
      </c>
      <c r="F5396">
        <f>IF(B5396,MAX(MOD(SIN(Seed*0.1373+C5396*12.9898+D5396*78.233)*43758.5453,1),1E-9),"")</f>
        <v/>
      </c>
      <c r="G5396">
        <f>IF(B5396,MOD(SIN(Seed*0.5917+C5396*39.3468+D5396*11.135)*24634.6345,1),"")</f>
        <v/>
      </c>
      <c r="H5396">
        <f>IF(B5396,SQRT(-2*LN(F5396))*COS(2*PI()*G5396),"")</f>
        <v/>
      </c>
      <c r="I5396">
        <f>IF(B5396,IF(D5396=0,H5396,Rho*I5395+SQRT(1-Rho^2)*H5396),"")</f>
        <v/>
      </c>
      <c r="J5396">
        <f>IF(B5396,IF(Dist="Normal",DistA+DistB*I5396,DistA+(DistB-DistA)*NORMSDIST(I5396)),"")</f>
        <v/>
      </c>
      <c r="K5396">
        <f>IF(B5396,INDEX(MineScale,C5396),"")</f>
        <v/>
      </c>
      <c r="L5396">
        <f>IF(B5396,INDEX(Dow,1,WEEKDAY(E5396,2)),"")</f>
        <v/>
      </c>
      <c r="M5396">
        <f>IF(B5396,(1+Trend)^D5396,"")</f>
        <v/>
      </c>
      <c r="N5396">
        <f>IF(B5396,EXP(SUMPRODUCT(LN(1+(EvEff-1)*INDEX(Affected,0,C5396)*EXP(-((E5396-EvCenter)^2)/(2*EvSigma^2))))),"")</f>
        <v/>
      </c>
      <c r="O5396">
        <f>IF(B5396,ROUND(MAX(0,J5396*K5396*L5396*M5396*N5396),2),"")</f>
        <v/>
      </c>
    </row>
    <row r="5397">
      <c r="A5397" t="n">
        <v>5396</v>
      </c>
      <c r="B5397">
        <f>A5397&lt;=MineCount*Days</f>
        <v/>
      </c>
      <c r="C5397">
        <f>IF(B5397,INT((A5397-1)/Days)+1,"")</f>
        <v/>
      </c>
      <c r="D5397">
        <f>IF(B5397,MOD(A5397-1,Days),"")</f>
        <v/>
      </c>
      <c r="E5397" s="16">
        <f>IF(B5397,StartDate+D5397,"")</f>
        <v/>
      </c>
      <c r="F5397">
        <f>IF(B5397,MAX(MOD(SIN(Seed*0.1373+C5397*12.9898+D5397*78.233)*43758.5453,1),1E-9),"")</f>
        <v/>
      </c>
      <c r="G5397">
        <f>IF(B5397,MOD(SIN(Seed*0.5917+C5397*39.3468+D5397*11.135)*24634.6345,1),"")</f>
        <v/>
      </c>
      <c r="H5397">
        <f>IF(B5397,SQRT(-2*LN(F5397))*COS(2*PI()*G5397),"")</f>
        <v/>
      </c>
      <c r="I5397">
        <f>IF(B5397,IF(D5397=0,H5397,Rho*I5396+SQRT(1-Rho^2)*H5397),"")</f>
        <v/>
      </c>
      <c r="J5397">
        <f>IF(B5397,IF(Dist="Normal",DistA+DistB*I5397,DistA+(DistB-DistA)*NORMSDIST(I5397)),"")</f>
        <v/>
      </c>
      <c r="K5397">
        <f>IF(B5397,INDEX(MineScale,C5397),"")</f>
        <v/>
      </c>
      <c r="L5397">
        <f>IF(B5397,INDEX(Dow,1,WEEKDAY(E5397,2)),"")</f>
        <v/>
      </c>
      <c r="M5397">
        <f>IF(B5397,(1+Trend)^D5397,"")</f>
        <v/>
      </c>
      <c r="N5397">
        <f>IF(B5397,EXP(SUMPRODUCT(LN(1+(EvEff-1)*INDEX(Affected,0,C5397)*EXP(-((E5397-EvCenter)^2)/(2*EvSigma^2))))),"")</f>
        <v/>
      </c>
      <c r="O5397">
        <f>IF(B5397,ROUND(MAX(0,J5397*K5397*L5397*M5397*N5397),2),"")</f>
        <v/>
      </c>
    </row>
    <row r="5398">
      <c r="A5398" t="n">
        <v>5397</v>
      </c>
      <c r="B5398">
        <f>A5398&lt;=MineCount*Days</f>
        <v/>
      </c>
      <c r="C5398">
        <f>IF(B5398,INT((A5398-1)/Days)+1,"")</f>
        <v/>
      </c>
      <c r="D5398">
        <f>IF(B5398,MOD(A5398-1,Days),"")</f>
        <v/>
      </c>
      <c r="E5398" s="16">
        <f>IF(B5398,StartDate+D5398,"")</f>
        <v/>
      </c>
      <c r="F5398">
        <f>IF(B5398,MAX(MOD(SIN(Seed*0.1373+C5398*12.9898+D5398*78.233)*43758.5453,1),1E-9),"")</f>
        <v/>
      </c>
      <c r="G5398">
        <f>IF(B5398,MOD(SIN(Seed*0.5917+C5398*39.3468+D5398*11.135)*24634.6345,1),"")</f>
        <v/>
      </c>
      <c r="H5398">
        <f>IF(B5398,SQRT(-2*LN(F5398))*COS(2*PI()*G5398),"")</f>
        <v/>
      </c>
      <c r="I5398">
        <f>IF(B5398,IF(D5398=0,H5398,Rho*I5397+SQRT(1-Rho^2)*H5398),"")</f>
        <v/>
      </c>
      <c r="J5398">
        <f>IF(B5398,IF(Dist="Normal",DistA+DistB*I5398,DistA+(DistB-DistA)*NORMSDIST(I5398)),"")</f>
        <v/>
      </c>
      <c r="K5398">
        <f>IF(B5398,INDEX(MineScale,C5398),"")</f>
        <v/>
      </c>
      <c r="L5398">
        <f>IF(B5398,INDEX(Dow,1,WEEKDAY(E5398,2)),"")</f>
        <v/>
      </c>
      <c r="M5398">
        <f>IF(B5398,(1+Trend)^D5398,"")</f>
        <v/>
      </c>
      <c r="N5398">
        <f>IF(B5398,EXP(SUMPRODUCT(LN(1+(EvEff-1)*INDEX(Affected,0,C5398)*EXP(-((E5398-EvCenter)^2)/(2*EvSigma^2))))),"")</f>
        <v/>
      </c>
      <c r="O5398">
        <f>IF(B5398,ROUND(MAX(0,J5398*K5398*L5398*M5398*N5398),2),"")</f>
        <v/>
      </c>
    </row>
    <row r="5399">
      <c r="A5399" t="n">
        <v>5398</v>
      </c>
      <c r="B5399">
        <f>A5399&lt;=MineCount*Days</f>
        <v/>
      </c>
      <c r="C5399">
        <f>IF(B5399,INT((A5399-1)/Days)+1,"")</f>
        <v/>
      </c>
      <c r="D5399">
        <f>IF(B5399,MOD(A5399-1,Days),"")</f>
        <v/>
      </c>
      <c r="E5399" s="16">
        <f>IF(B5399,StartDate+D5399,"")</f>
        <v/>
      </c>
      <c r="F5399">
        <f>IF(B5399,MAX(MOD(SIN(Seed*0.1373+C5399*12.9898+D5399*78.233)*43758.5453,1),1E-9),"")</f>
        <v/>
      </c>
      <c r="G5399">
        <f>IF(B5399,MOD(SIN(Seed*0.5917+C5399*39.3468+D5399*11.135)*24634.6345,1),"")</f>
        <v/>
      </c>
      <c r="H5399">
        <f>IF(B5399,SQRT(-2*LN(F5399))*COS(2*PI()*G5399),"")</f>
        <v/>
      </c>
      <c r="I5399">
        <f>IF(B5399,IF(D5399=0,H5399,Rho*I5398+SQRT(1-Rho^2)*H5399),"")</f>
        <v/>
      </c>
      <c r="J5399">
        <f>IF(B5399,IF(Dist="Normal",DistA+DistB*I5399,DistA+(DistB-DistA)*NORMSDIST(I5399)),"")</f>
        <v/>
      </c>
      <c r="K5399">
        <f>IF(B5399,INDEX(MineScale,C5399),"")</f>
        <v/>
      </c>
      <c r="L5399">
        <f>IF(B5399,INDEX(Dow,1,WEEKDAY(E5399,2)),"")</f>
        <v/>
      </c>
      <c r="M5399">
        <f>IF(B5399,(1+Trend)^D5399,"")</f>
        <v/>
      </c>
      <c r="N5399">
        <f>IF(B5399,EXP(SUMPRODUCT(LN(1+(EvEff-1)*INDEX(Affected,0,C5399)*EXP(-((E5399-EvCenter)^2)/(2*EvSigma^2))))),"")</f>
        <v/>
      </c>
      <c r="O5399">
        <f>IF(B5399,ROUND(MAX(0,J5399*K5399*L5399*M5399*N5399),2),"")</f>
        <v/>
      </c>
    </row>
    <row r="5400">
      <c r="A5400" t="n">
        <v>5399</v>
      </c>
      <c r="B5400">
        <f>A5400&lt;=MineCount*Days</f>
        <v/>
      </c>
      <c r="C5400">
        <f>IF(B5400,INT((A5400-1)/Days)+1,"")</f>
        <v/>
      </c>
      <c r="D5400">
        <f>IF(B5400,MOD(A5400-1,Days),"")</f>
        <v/>
      </c>
      <c r="E5400" s="16">
        <f>IF(B5400,StartDate+D5400,"")</f>
        <v/>
      </c>
      <c r="F5400">
        <f>IF(B5400,MAX(MOD(SIN(Seed*0.1373+C5400*12.9898+D5400*78.233)*43758.5453,1),1E-9),"")</f>
        <v/>
      </c>
      <c r="G5400">
        <f>IF(B5400,MOD(SIN(Seed*0.5917+C5400*39.3468+D5400*11.135)*24634.6345,1),"")</f>
        <v/>
      </c>
      <c r="H5400">
        <f>IF(B5400,SQRT(-2*LN(F5400))*COS(2*PI()*G5400),"")</f>
        <v/>
      </c>
      <c r="I5400">
        <f>IF(B5400,IF(D5400=0,H5400,Rho*I5399+SQRT(1-Rho^2)*H5400),"")</f>
        <v/>
      </c>
      <c r="J5400">
        <f>IF(B5400,IF(Dist="Normal",DistA+DistB*I5400,DistA+(DistB-DistA)*NORMSDIST(I5400)),"")</f>
        <v/>
      </c>
      <c r="K5400">
        <f>IF(B5400,INDEX(MineScale,C5400),"")</f>
        <v/>
      </c>
      <c r="L5400">
        <f>IF(B5400,INDEX(Dow,1,WEEKDAY(E5400,2)),"")</f>
        <v/>
      </c>
      <c r="M5400">
        <f>IF(B5400,(1+Trend)^D5400,"")</f>
        <v/>
      </c>
      <c r="N5400">
        <f>IF(B5400,EXP(SUMPRODUCT(LN(1+(EvEff-1)*INDEX(Affected,0,C5400)*EXP(-((E5400-EvCenter)^2)/(2*EvSigma^2))))),"")</f>
        <v/>
      </c>
      <c r="O5400">
        <f>IF(B5400,ROUND(MAX(0,J5400*K5400*L5400*M5400*N5400),2),"")</f>
        <v/>
      </c>
    </row>
    <row r="5401">
      <c r="A5401" t="n">
        <v>5400</v>
      </c>
      <c r="B5401">
        <f>A5401&lt;=MineCount*Days</f>
        <v/>
      </c>
      <c r="C5401">
        <f>IF(B5401,INT((A5401-1)/Days)+1,"")</f>
        <v/>
      </c>
      <c r="D5401">
        <f>IF(B5401,MOD(A5401-1,Days),"")</f>
        <v/>
      </c>
      <c r="E5401" s="16">
        <f>IF(B5401,StartDate+D5401,"")</f>
        <v/>
      </c>
      <c r="F5401">
        <f>IF(B5401,MAX(MOD(SIN(Seed*0.1373+C5401*12.9898+D5401*78.233)*43758.5453,1),1E-9),"")</f>
        <v/>
      </c>
      <c r="G5401">
        <f>IF(B5401,MOD(SIN(Seed*0.5917+C5401*39.3468+D5401*11.135)*24634.6345,1),"")</f>
        <v/>
      </c>
      <c r="H5401">
        <f>IF(B5401,SQRT(-2*LN(F5401))*COS(2*PI()*G5401),"")</f>
        <v/>
      </c>
      <c r="I5401">
        <f>IF(B5401,IF(D5401=0,H5401,Rho*I5400+SQRT(1-Rho^2)*H5401),"")</f>
        <v/>
      </c>
      <c r="J5401">
        <f>IF(B5401,IF(Dist="Normal",DistA+DistB*I5401,DistA+(DistB-DistA)*NORMSDIST(I5401)),"")</f>
        <v/>
      </c>
      <c r="K5401">
        <f>IF(B5401,INDEX(MineScale,C5401),"")</f>
        <v/>
      </c>
      <c r="L5401">
        <f>IF(B5401,INDEX(Dow,1,WEEKDAY(E5401,2)),"")</f>
        <v/>
      </c>
      <c r="M5401">
        <f>IF(B5401,(1+Trend)^D5401,"")</f>
        <v/>
      </c>
      <c r="N5401">
        <f>IF(B5401,EXP(SUMPRODUCT(LN(1+(EvEff-1)*INDEX(Affected,0,C5401)*EXP(-((E5401-EvCenter)^2)/(2*EvSigma^2))))),"")</f>
        <v/>
      </c>
      <c r="O5401">
        <f>IF(B5401,ROUND(MAX(0,J5401*K5401*L5401*M5401*N5401),2),"")</f>
        <v/>
      </c>
    </row>
    <row r="5402">
      <c r="A5402" t="n">
        <v>5401</v>
      </c>
      <c r="B5402">
        <f>A5402&lt;=MineCount*Days</f>
        <v/>
      </c>
      <c r="C5402">
        <f>IF(B5402,INT((A5402-1)/Days)+1,"")</f>
        <v/>
      </c>
      <c r="D5402">
        <f>IF(B5402,MOD(A5402-1,Days),"")</f>
        <v/>
      </c>
      <c r="E5402" s="16">
        <f>IF(B5402,StartDate+D5402,"")</f>
        <v/>
      </c>
      <c r="F5402">
        <f>IF(B5402,MAX(MOD(SIN(Seed*0.1373+C5402*12.9898+D5402*78.233)*43758.5453,1),1E-9),"")</f>
        <v/>
      </c>
      <c r="G5402">
        <f>IF(B5402,MOD(SIN(Seed*0.5917+C5402*39.3468+D5402*11.135)*24634.6345,1),"")</f>
        <v/>
      </c>
      <c r="H5402">
        <f>IF(B5402,SQRT(-2*LN(F5402))*COS(2*PI()*G5402),"")</f>
        <v/>
      </c>
      <c r="I5402">
        <f>IF(B5402,IF(D5402=0,H5402,Rho*I5401+SQRT(1-Rho^2)*H5402),"")</f>
        <v/>
      </c>
      <c r="J5402">
        <f>IF(B5402,IF(Dist="Normal",DistA+DistB*I5402,DistA+(DistB-DistA)*NORMSDIST(I5402)),"")</f>
        <v/>
      </c>
      <c r="K5402">
        <f>IF(B5402,INDEX(MineScale,C5402),"")</f>
        <v/>
      </c>
      <c r="L5402">
        <f>IF(B5402,INDEX(Dow,1,WEEKDAY(E5402,2)),"")</f>
        <v/>
      </c>
      <c r="M5402">
        <f>IF(B5402,(1+Trend)^D5402,"")</f>
        <v/>
      </c>
      <c r="N5402">
        <f>IF(B5402,EXP(SUMPRODUCT(LN(1+(EvEff-1)*INDEX(Affected,0,C5402)*EXP(-((E5402-EvCenter)^2)/(2*EvSigma^2))))),"")</f>
        <v/>
      </c>
      <c r="O5402">
        <f>IF(B5402,ROUND(MAX(0,J5402*K5402*L5402*M5402*N5402),2),"")</f>
        <v/>
      </c>
    </row>
    <row r="5403">
      <c r="A5403" t="n">
        <v>5402</v>
      </c>
      <c r="B5403">
        <f>A5403&lt;=MineCount*Days</f>
        <v/>
      </c>
      <c r="C5403">
        <f>IF(B5403,INT((A5403-1)/Days)+1,"")</f>
        <v/>
      </c>
      <c r="D5403">
        <f>IF(B5403,MOD(A5403-1,Days),"")</f>
        <v/>
      </c>
      <c r="E5403" s="16">
        <f>IF(B5403,StartDate+D5403,"")</f>
        <v/>
      </c>
      <c r="F5403">
        <f>IF(B5403,MAX(MOD(SIN(Seed*0.1373+C5403*12.9898+D5403*78.233)*43758.5453,1),1E-9),"")</f>
        <v/>
      </c>
      <c r="G5403">
        <f>IF(B5403,MOD(SIN(Seed*0.5917+C5403*39.3468+D5403*11.135)*24634.6345,1),"")</f>
        <v/>
      </c>
      <c r="H5403">
        <f>IF(B5403,SQRT(-2*LN(F5403))*COS(2*PI()*G5403),"")</f>
        <v/>
      </c>
      <c r="I5403">
        <f>IF(B5403,IF(D5403=0,H5403,Rho*I5402+SQRT(1-Rho^2)*H5403),"")</f>
        <v/>
      </c>
      <c r="J5403">
        <f>IF(B5403,IF(Dist="Normal",DistA+DistB*I5403,DistA+(DistB-DistA)*NORMSDIST(I5403)),"")</f>
        <v/>
      </c>
      <c r="K5403">
        <f>IF(B5403,INDEX(MineScale,C5403),"")</f>
        <v/>
      </c>
      <c r="L5403">
        <f>IF(B5403,INDEX(Dow,1,WEEKDAY(E5403,2)),"")</f>
        <v/>
      </c>
      <c r="M5403">
        <f>IF(B5403,(1+Trend)^D5403,"")</f>
        <v/>
      </c>
      <c r="N5403">
        <f>IF(B5403,EXP(SUMPRODUCT(LN(1+(EvEff-1)*INDEX(Affected,0,C5403)*EXP(-((E5403-EvCenter)^2)/(2*EvSigma^2))))),"")</f>
        <v/>
      </c>
      <c r="O5403">
        <f>IF(B5403,ROUND(MAX(0,J5403*K5403*L5403*M5403*N5403),2),"")</f>
        <v/>
      </c>
    </row>
    <row r="5404">
      <c r="A5404" t="n">
        <v>5403</v>
      </c>
      <c r="B5404">
        <f>A5404&lt;=MineCount*Days</f>
        <v/>
      </c>
      <c r="C5404">
        <f>IF(B5404,INT((A5404-1)/Days)+1,"")</f>
        <v/>
      </c>
      <c r="D5404">
        <f>IF(B5404,MOD(A5404-1,Days),"")</f>
        <v/>
      </c>
      <c r="E5404" s="16">
        <f>IF(B5404,StartDate+D5404,"")</f>
        <v/>
      </c>
      <c r="F5404">
        <f>IF(B5404,MAX(MOD(SIN(Seed*0.1373+C5404*12.9898+D5404*78.233)*43758.5453,1),1E-9),"")</f>
        <v/>
      </c>
      <c r="G5404">
        <f>IF(B5404,MOD(SIN(Seed*0.5917+C5404*39.3468+D5404*11.135)*24634.6345,1),"")</f>
        <v/>
      </c>
      <c r="H5404">
        <f>IF(B5404,SQRT(-2*LN(F5404))*COS(2*PI()*G5404),"")</f>
        <v/>
      </c>
      <c r="I5404">
        <f>IF(B5404,IF(D5404=0,H5404,Rho*I5403+SQRT(1-Rho^2)*H5404),"")</f>
        <v/>
      </c>
      <c r="J5404">
        <f>IF(B5404,IF(Dist="Normal",DistA+DistB*I5404,DistA+(DistB-DistA)*NORMSDIST(I5404)),"")</f>
        <v/>
      </c>
      <c r="K5404">
        <f>IF(B5404,INDEX(MineScale,C5404),"")</f>
        <v/>
      </c>
      <c r="L5404">
        <f>IF(B5404,INDEX(Dow,1,WEEKDAY(E5404,2)),"")</f>
        <v/>
      </c>
      <c r="M5404">
        <f>IF(B5404,(1+Trend)^D5404,"")</f>
        <v/>
      </c>
      <c r="N5404">
        <f>IF(B5404,EXP(SUMPRODUCT(LN(1+(EvEff-1)*INDEX(Affected,0,C5404)*EXP(-((E5404-EvCenter)^2)/(2*EvSigma^2))))),"")</f>
        <v/>
      </c>
      <c r="O5404">
        <f>IF(B5404,ROUND(MAX(0,J5404*K5404*L5404*M5404*N5404),2),"")</f>
        <v/>
      </c>
    </row>
    <row r="5405">
      <c r="A5405" t="n">
        <v>5404</v>
      </c>
      <c r="B5405">
        <f>A5405&lt;=MineCount*Days</f>
        <v/>
      </c>
      <c r="C5405">
        <f>IF(B5405,INT((A5405-1)/Days)+1,"")</f>
        <v/>
      </c>
      <c r="D5405">
        <f>IF(B5405,MOD(A5405-1,Days),"")</f>
        <v/>
      </c>
      <c r="E5405" s="16">
        <f>IF(B5405,StartDate+D5405,"")</f>
        <v/>
      </c>
      <c r="F5405">
        <f>IF(B5405,MAX(MOD(SIN(Seed*0.1373+C5405*12.9898+D5405*78.233)*43758.5453,1),1E-9),"")</f>
        <v/>
      </c>
      <c r="G5405">
        <f>IF(B5405,MOD(SIN(Seed*0.5917+C5405*39.3468+D5405*11.135)*24634.6345,1),"")</f>
        <v/>
      </c>
      <c r="H5405">
        <f>IF(B5405,SQRT(-2*LN(F5405))*COS(2*PI()*G5405),"")</f>
        <v/>
      </c>
      <c r="I5405">
        <f>IF(B5405,IF(D5405=0,H5405,Rho*I5404+SQRT(1-Rho^2)*H5405),"")</f>
        <v/>
      </c>
      <c r="J5405">
        <f>IF(B5405,IF(Dist="Normal",DistA+DistB*I5405,DistA+(DistB-DistA)*NORMSDIST(I5405)),"")</f>
        <v/>
      </c>
      <c r="K5405">
        <f>IF(B5405,INDEX(MineScale,C5405),"")</f>
        <v/>
      </c>
      <c r="L5405">
        <f>IF(B5405,INDEX(Dow,1,WEEKDAY(E5405,2)),"")</f>
        <v/>
      </c>
      <c r="M5405">
        <f>IF(B5405,(1+Trend)^D5405,"")</f>
        <v/>
      </c>
      <c r="N5405">
        <f>IF(B5405,EXP(SUMPRODUCT(LN(1+(EvEff-1)*INDEX(Affected,0,C5405)*EXP(-((E5405-EvCenter)^2)/(2*EvSigma^2))))),"")</f>
        <v/>
      </c>
      <c r="O5405">
        <f>IF(B5405,ROUND(MAX(0,J5405*K5405*L5405*M5405*N5405),2),"")</f>
        <v/>
      </c>
    </row>
    <row r="5406">
      <c r="A5406" t="n">
        <v>5405</v>
      </c>
      <c r="B5406">
        <f>A5406&lt;=MineCount*Days</f>
        <v/>
      </c>
      <c r="C5406">
        <f>IF(B5406,INT((A5406-1)/Days)+1,"")</f>
        <v/>
      </c>
      <c r="D5406">
        <f>IF(B5406,MOD(A5406-1,Days),"")</f>
        <v/>
      </c>
      <c r="E5406" s="16">
        <f>IF(B5406,StartDate+D5406,"")</f>
        <v/>
      </c>
      <c r="F5406">
        <f>IF(B5406,MAX(MOD(SIN(Seed*0.1373+C5406*12.9898+D5406*78.233)*43758.5453,1),1E-9),"")</f>
        <v/>
      </c>
      <c r="G5406">
        <f>IF(B5406,MOD(SIN(Seed*0.5917+C5406*39.3468+D5406*11.135)*24634.6345,1),"")</f>
        <v/>
      </c>
      <c r="H5406">
        <f>IF(B5406,SQRT(-2*LN(F5406))*COS(2*PI()*G5406),"")</f>
        <v/>
      </c>
      <c r="I5406">
        <f>IF(B5406,IF(D5406=0,H5406,Rho*I5405+SQRT(1-Rho^2)*H5406),"")</f>
        <v/>
      </c>
      <c r="J5406">
        <f>IF(B5406,IF(Dist="Normal",DistA+DistB*I5406,DistA+(DistB-DistA)*NORMSDIST(I5406)),"")</f>
        <v/>
      </c>
      <c r="K5406">
        <f>IF(B5406,INDEX(MineScale,C5406),"")</f>
        <v/>
      </c>
      <c r="L5406">
        <f>IF(B5406,INDEX(Dow,1,WEEKDAY(E5406,2)),"")</f>
        <v/>
      </c>
      <c r="M5406">
        <f>IF(B5406,(1+Trend)^D5406,"")</f>
        <v/>
      </c>
      <c r="N5406">
        <f>IF(B5406,EXP(SUMPRODUCT(LN(1+(EvEff-1)*INDEX(Affected,0,C5406)*EXP(-((E5406-EvCenter)^2)/(2*EvSigma^2))))),"")</f>
        <v/>
      </c>
      <c r="O5406">
        <f>IF(B5406,ROUND(MAX(0,J5406*K5406*L5406*M5406*N5406),2),"")</f>
        <v/>
      </c>
    </row>
    <row r="5407">
      <c r="A5407" t="n">
        <v>5406</v>
      </c>
      <c r="B5407">
        <f>A5407&lt;=MineCount*Days</f>
        <v/>
      </c>
      <c r="C5407">
        <f>IF(B5407,INT((A5407-1)/Days)+1,"")</f>
        <v/>
      </c>
      <c r="D5407">
        <f>IF(B5407,MOD(A5407-1,Days),"")</f>
        <v/>
      </c>
      <c r="E5407" s="16">
        <f>IF(B5407,StartDate+D5407,"")</f>
        <v/>
      </c>
      <c r="F5407">
        <f>IF(B5407,MAX(MOD(SIN(Seed*0.1373+C5407*12.9898+D5407*78.233)*43758.5453,1),1E-9),"")</f>
        <v/>
      </c>
      <c r="G5407">
        <f>IF(B5407,MOD(SIN(Seed*0.5917+C5407*39.3468+D5407*11.135)*24634.6345,1),"")</f>
        <v/>
      </c>
      <c r="H5407">
        <f>IF(B5407,SQRT(-2*LN(F5407))*COS(2*PI()*G5407),"")</f>
        <v/>
      </c>
      <c r="I5407">
        <f>IF(B5407,IF(D5407=0,H5407,Rho*I5406+SQRT(1-Rho^2)*H5407),"")</f>
        <v/>
      </c>
      <c r="J5407">
        <f>IF(B5407,IF(Dist="Normal",DistA+DistB*I5407,DistA+(DistB-DistA)*NORMSDIST(I5407)),"")</f>
        <v/>
      </c>
      <c r="K5407">
        <f>IF(B5407,INDEX(MineScale,C5407),"")</f>
        <v/>
      </c>
      <c r="L5407">
        <f>IF(B5407,INDEX(Dow,1,WEEKDAY(E5407,2)),"")</f>
        <v/>
      </c>
      <c r="M5407">
        <f>IF(B5407,(1+Trend)^D5407,"")</f>
        <v/>
      </c>
      <c r="N5407">
        <f>IF(B5407,EXP(SUMPRODUCT(LN(1+(EvEff-1)*INDEX(Affected,0,C5407)*EXP(-((E5407-EvCenter)^2)/(2*EvSigma^2))))),"")</f>
        <v/>
      </c>
      <c r="O5407">
        <f>IF(B5407,ROUND(MAX(0,J5407*K5407*L5407*M5407*N5407),2),"")</f>
        <v/>
      </c>
    </row>
    <row r="5408">
      <c r="A5408" t="n">
        <v>5407</v>
      </c>
      <c r="B5408">
        <f>A5408&lt;=MineCount*Days</f>
        <v/>
      </c>
      <c r="C5408">
        <f>IF(B5408,INT((A5408-1)/Days)+1,"")</f>
        <v/>
      </c>
      <c r="D5408">
        <f>IF(B5408,MOD(A5408-1,Days),"")</f>
        <v/>
      </c>
      <c r="E5408" s="16">
        <f>IF(B5408,StartDate+D5408,"")</f>
        <v/>
      </c>
      <c r="F5408">
        <f>IF(B5408,MAX(MOD(SIN(Seed*0.1373+C5408*12.9898+D5408*78.233)*43758.5453,1),1E-9),"")</f>
        <v/>
      </c>
      <c r="G5408">
        <f>IF(B5408,MOD(SIN(Seed*0.5917+C5408*39.3468+D5408*11.135)*24634.6345,1),"")</f>
        <v/>
      </c>
      <c r="H5408">
        <f>IF(B5408,SQRT(-2*LN(F5408))*COS(2*PI()*G5408),"")</f>
        <v/>
      </c>
      <c r="I5408">
        <f>IF(B5408,IF(D5408=0,H5408,Rho*I5407+SQRT(1-Rho^2)*H5408),"")</f>
        <v/>
      </c>
      <c r="J5408">
        <f>IF(B5408,IF(Dist="Normal",DistA+DistB*I5408,DistA+(DistB-DistA)*NORMSDIST(I5408)),"")</f>
        <v/>
      </c>
      <c r="K5408">
        <f>IF(B5408,INDEX(MineScale,C5408),"")</f>
        <v/>
      </c>
      <c r="L5408">
        <f>IF(B5408,INDEX(Dow,1,WEEKDAY(E5408,2)),"")</f>
        <v/>
      </c>
      <c r="M5408">
        <f>IF(B5408,(1+Trend)^D5408,"")</f>
        <v/>
      </c>
      <c r="N5408">
        <f>IF(B5408,EXP(SUMPRODUCT(LN(1+(EvEff-1)*INDEX(Affected,0,C5408)*EXP(-((E5408-EvCenter)^2)/(2*EvSigma^2))))),"")</f>
        <v/>
      </c>
      <c r="O5408">
        <f>IF(B5408,ROUND(MAX(0,J5408*K5408*L5408*M5408*N5408),2),"")</f>
        <v/>
      </c>
    </row>
    <row r="5409">
      <c r="A5409" t="n">
        <v>5408</v>
      </c>
      <c r="B5409">
        <f>A5409&lt;=MineCount*Days</f>
        <v/>
      </c>
      <c r="C5409">
        <f>IF(B5409,INT((A5409-1)/Days)+1,"")</f>
        <v/>
      </c>
      <c r="D5409">
        <f>IF(B5409,MOD(A5409-1,Days),"")</f>
        <v/>
      </c>
      <c r="E5409" s="16">
        <f>IF(B5409,StartDate+D5409,"")</f>
        <v/>
      </c>
      <c r="F5409">
        <f>IF(B5409,MAX(MOD(SIN(Seed*0.1373+C5409*12.9898+D5409*78.233)*43758.5453,1),1E-9),"")</f>
        <v/>
      </c>
      <c r="G5409">
        <f>IF(B5409,MOD(SIN(Seed*0.5917+C5409*39.3468+D5409*11.135)*24634.6345,1),"")</f>
        <v/>
      </c>
      <c r="H5409">
        <f>IF(B5409,SQRT(-2*LN(F5409))*COS(2*PI()*G5409),"")</f>
        <v/>
      </c>
      <c r="I5409">
        <f>IF(B5409,IF(D5409=0,H5409,Rho*I5408+SQRT(1-Rho^2)*H5409),"")</f>
        <v/>
      </c>
      <c r="J5409">
        <f>IF(B5409,IF(Dist="Normal",DistA+DistB*I5409,DistA+(DistB-DistA)*NORMSDIST(I5409)),"")</f>
        <v/>
      </c>
      <c r="K5409">
        <f>IF(B5409,INDEX(MineScale,C5409),"")</f>
        <v/>
      </c>
      <c r="L5409">
        <f>IF(B5409,INDEX(Dow,1,WEEKDAY(E5409,2)),"")</f>
        <v/>
      </c>
      <c r="M5409">
        <f>IF(B5409,(1+Trend)^D5409,"")</f>
        <v/>
      </c>
      <c r="N5409">
        <f>IF(B5409,EXP(SUMPRODUCT(LN(1+(EvEff-1)*INDEX(Affected,0,C5409)*EXP(-((E5409-EvCenter)^2)/(2*EvSigma^2))))),"")</f>
        <v/>
      </c>
      <c r="O5409">
        <f>IF(B5409,ROUND(MAX(0,J5409*K5409*L5409*M5409*N5409),2),"")</f>
        <v/>
      </c>
    </row>
    <row r="5410">
      <c r="A5410" t="n">
        <v>5409</v>
      </c>
      <c r="B5410">
        <f>A5410&lt;=MineCount*Days</f>
        <v/>
      </c>
      <c r="C5410">
        <f>IF(B5410,INT((A5410-1)/Days)+1,"")</f>
        <v/>
      </c>
      <c r="D5410">
        <f>IF(B5410,MOD(A5410-1,Days),"")</f>
        <v/>
      </c>
      <c r="E5410" s="16">
        <f>IF(B5410,StartDate+D5410,"")</f>
        <v/>
      </c>
      <c r="F5410">
        <f>IF(B5410,MAX(MOD(SIN(Seed*0.1373+C5410*12.9898+D5410*78.233)*43758.5453,1),1E-9),"")</f>
        <v/>
      </c>
      <c r="G5410">
        <f>IF(B5410,MOD(SIN(Seed*0.5917+C5410*39.3468+D5410*11.135)*24634.6345,1),"")</f>
        <v/>
      </c>
      <c r="H5410">
        <f>IF(B5410,SQRT(-2*LN(F5410))*COS(2*PI()*G5410),"")</f>
        <v/>
      </c>
      <c r="I5410">
        <f>IF(B5410,IF(D5410=0,H5410,Rho*I5409+SQRT(1-Rho^2)*H5410),"")</f>
        <v/>
      </c>
      <c r="J5410">
        <f>IF(B5410,IF(Dist="Normal",DistA+DistB*I5410,DistA+(DistB-DistA)*NORMSDIST(I5410)),"")</f>
        <v/>
      </c>
      <c r="K5410">
        <f>IF(B5410,INDEX(MineScale,C5410),"")</f>
        <v/>
      </c>
      <c r="L5410">
        <f>IF(B5410,INDEX(Dow,1,WEEKDAY(E5410,2)),"")</f>
        <v/>
      </c>
      <c r="M5410">
        <f>IF(B5410,(1+Trend)^D5410,"")</f>
        <v/>
      </c>
      <c r="N5410">
        <f>IF(B5410,EXP(SUMPRODUCT(LN(1+(EvEff-1)*INDEX(Affected,0,C5410)*EXP(-((E5410-EvCenter)^2)/(2*EvSigma^2))))),"")</f>
        <v/>
      </c>
      <c r="O5410">
        <f>IF(B5410,ROUND(MAX(0,J5410*K5410*L5410*M5410*N5410),2),"")</f>
        <v/>
      </c>
    </row>
    <row r="5411">
      <c r="A5411" t="n">
        <v>5410</v>
      </c>
      <c r="B5411">
        <f>A5411&lt;=MineCount*Days</f>
        <v/>
      </c>
      <c r="C5411">
        <f>IF(B5411,INT((A5411-1)/Days)+1,"")</f>
        <v/>
      </c>
      <c r="D5411">
        <f>IF(B5411,MOD(A5411-1,Days),"")</f>
        <v/>
      </c>
      <c r="E5411" s="16">
        <f>IF(B5411,StartDate+D5411,"")</f>
        <v/>
      </c>
      <c r="F5411">
        <f>IF(B5411,MAX(MOD(SIN(Seed*0.1373+C5411*12.9898+D5411*78.233)*43758.5453,1),1E-9),"")</f>
        <v/>
      </c>
      <c r="G5411">
        <f>IF(B5411,MOD(SIN(Seed*0.5917+C5411*39.3468+D5411*11.135)*24634.6345,1),"")</f>
        <v/>
      </c>
      <c r="H5411">
        <f>IF(B5411,SQRT(-2*LN(F5411))*COS(2*PI()*G5411),"")</f>
        <v/>
      </c>
      <c r="I5411">
        <f>IF(B5411,IF(D5411=0,H5411,Rho*I5410+SQRT(1-Rho^2)*H5411),"")</f>
        <v/>
      </c>
      <c r="J5411">
        <f>IF(B5411,IF(Dist="Normal",DistA+DistB*I5411,DistA+(DistB-DistA)*NORMSDIST(I5411)),"")</f>
        <v/>
      </c>
      <c r="K5411">
        <f>IF(B5411,INDEX(MineScale,C5411),"")</f>
        <v/>
      </c>
      <c r="L5411">
        <f>IF(B5411,INDEX(Dow,1,WEEKDAY(E5411,2)),"")</f>
        <v/>
      </c>
      <c r="M5411">
        <f>IF(B5411,(1+Trend)^D5411,"")</f>
        <v/>
      </c>
      <c r="N5411">
        <f>IF(B5411,EXP(SUMPRODUCT(LN(1+(EvEff-1)*INDEX(Affected,0,C5411)*EXP(-((E5411-EvCenter)^2)/(2*EvSigma^2))))),"")</f>
        <v/>
      </c>
      <c r="O5411">
        <f>IF(B5411,ROUND(MAX(0,J5411*K5411*L5411*M5411*N5411),2),"")</f>
        <v/>
      </c>
    </row>
    <row r="5412">
      <c r="A5412" t="n">
        <v>5411</v>
      </c>
      <c r="B5412">
        <f>A5412&lt;=MineCount*Days</f>
        <v/>
      </c>
      <c r="C5412">
        <f>IF(B5412,INT((A5412-1)/Days)+1,"")</f>
        <v/>
      </c>
      <c r="D5412">
        <f>IF(B5412,MOD(A5412-1,Days),"")</f>
        <v/>
      </c>
      <c r="E5412" s="16">
        <f>IF(B5412,StartDate+D5412,"")</f>
        <v/>
      </c>
      <c r="F5412">
        <f>IF(B5412,MAX(MOD(SIN(Seed*0.1373+C5412*12.9898+D5412*78.233)*43758.5453,1),1E-9),"")</f>
        <v/>
      </c>
      <c r="G5412">
        <f>IF(B5412,MOD(SIN(Seed*0.5917+C5412*39.3468+D5412*11.135)*24634.6345,1),"")</f>
        <v/>
      </c>
      <c r="H5412">
        <f>IF(B5412,SQRT(-2*LN(F5412))*COS(2*PI()*G5412),"")</f>
        <v/>
      </c>
      <c r="I5412">
        <f>IF(B5412,IF(D5412=0,H5412,Rho*I5411+SQRT(1-Rho^2)*H5412),"")</f>
        <v/>
      </c>
      <c r="J5412">
        <f>IF(B5412,IF(Dist="Normal",DistA+DistB*I5412,DistA+(DistB-DistA)*NORMSDIST(I5412)),"")</f>
        <v/>
      </c>
      <c r="K5412">
        <f>IF(B5412,INDEX(MineScale,C5412),"")</f>
        <v/>
      </c>
      <c r="L5412">
        <f>IF(B5412,INDEX(Dow,1,WEEKDAY(E5412,2)),"")</f>
        <v/>
      </c>
      <c r="M5412">
        <f>IF(B5412,(1+Trend)^D5412,"")</f>
        <v/>
      </c>
      <c r="N5412">
        <f>IF(B5412,EXP(SUMPRODUCT(LN(1+(EvEff-1)*INDEX(Affected,0,C5412)*EXP(-((E5412-EvCenter)^2)/(2*EvSigma^2))))),"")</f>
        <v/>
      </c>
      <c r="O5412">
        <f>IF(B5412,ROUND(MAX(0,J5412*K5412*L5412*M5412*N5412),2),"")</f>
        <v/>
      </c>
    </row>
    <row r="5413">
      <c r="A5413" t="n">
        <v>5412</v>
      </c>
      <c r="B5413">
        <f>A5413&lt;=MineCount*Days</f>
        <v/>
      </c>
      <c r="C5413">
        <f>IF(B5413,INT((A5413-1)/Days)+1,"")</f>
        <v/>
      </c>
      <c r="D5413">
        <f>IF(B5413,MOD(A5413-1,Days),"")</f>
        <v/>
      </c>
      <c r="E5413" s="16">
        <f>IF(B5413,StartDate+D5413,"")</f>
        <v/>
      </c>
      <c r="F5413">
        <f>IF(B5413,MAX(MOD(SIN(Seed*0.1373+C5413*12.9898+D5413*78.233)*43758.5453,1),1E-9),"")</f>
        <v/>
      </c>
      <c r="G5413">
        <f>IF(B5413,MOD(SIN(Seed*0.5917+C5413*39.3468+D5413*11.135)*24634.6345,1),"")</f>
        <v/>
      </c>
      <c r="H5413">
        <f>IF(B5413,SQRT(-2*LN(F5413))*COS(2*PI()*G5413),"")</f>
        <v/>
      </c>
      <c r="I5413">
        <f>IF(B5413,IF(D5413=0,H5413,Rho*I5412+SQRT(1-Rho^2)*H5413),"")</f>
        <v/>
      </c>
      <c r="J5413">
        <f>IF(B5413,IF(Dist="Normal",DistA+DistB*I5413,DistA+(DistB-DistA)*NORMSDIST(I5413)),"")</f>
        <v/>
      </c>
      <c r="K5413">
        <f>IF(B5413,INDEX(MineScale,C5413),"")</f>
        <v/>
      </c>
      <c r="L5413">
        <f>IF(B5413,INDEX(Dow,1,WEEKDAY(E5413,2)),"")</f>
        <v/>
      </c>
      <c r="M5413">
        <f>IF(B5413,(1+Trend)^D5413,"")</f>
        <v/>
      </c>
      <c r="N5413">
        <f>IF(B5413,EXP(SUMPRODUCT(LN(1+(EvEff-1)*INDEX(Affected,0,C5413)*EXP(-((E5413-EvCenter)^2)/(2*EvSigma^2))))),"")</f>
        <v/>
      </c>
      <c r="O5413">
        <f>IF(B5413,ROUND(MAX(0,J5413*K5413*L5413*M5413*N5413),2),"")</f>
        <v/>
      </c>
    </row>
    <row r="5414">
      <c r="A5414" t="n">
        <v>5413</v>
      </c>
      <c r="B5414">
        <f>A5414&lt;=MineCount*Days</f>
        <v/>
      </c>
      <c r="C5414">
        <f>IF(B5414,INT((A5414-1)/Days)+1,"")</f>
        <v/>
      </c>
      <c r="D5414">
        <f>IF(B5414,MOD(A5414-1,Days),"")</f>
        <v/>
      </c>
      <c r="E5414" s="16">
        <f>IF(B5414,StartDate+D5414,"")</f>
        <v/>
      </c>
      <c r="F5414">
        <f>IF(B5414,MAX(MOD(SIN(Seed*0.1373+C5414*12.9898+D5414*78.233)*43758.5453,1),1E-9),"")</f>
        <v/>
      </c>
      <c r="G5414">
        <f>IF(B5414,MOD(SIN(Seed*0.5917+C5414*39.3468+D5414*11.135)*24634.6345,1),"")</f>
        <v/>
      </c>
      <c r="H5414">
        <f>IF(B5414,SQRT(-2*LN(F5414))*COS(2*PI()*G5414),"")</f>
        <v/>
      </c>
      <c r="I5414">
        <f>IF(B5414,IF(D5414=0,H5414,Rho*I5413+SQRT(1-Rho^2)*H5414),"")</f>
        <v/>
      </c>
      <c r="J5414">
        <f>IF(B5414,IF(Dist="Normal",DistA+DistB*I5414,DistA+(DistB-DistA)*NORMSDIST(I5414)),"")</f>
        <v/>
      </c>
      <c r="K5414">
        <f>IF(B5414,INDEX(MineScale,C5414),"")</f>
        <v/>
      </c>
      <c r="L5414">
        <f>IF(B5414,INDEX(Dow,1,WEEKDAY(E5414,2)),"")</f>
        <v/>
      </c>
      <c r="M5414">
        <f>IF(B5414,(1+Trend)^D5414,"")</f>
        <v/>
      </c>
      <c r="N5414">
        <f>IF(B5414,EXP(SUMPRODUCT(LN(1+(EvEff-1)*INDEX(Affected,0,C5414)*EXP(-((E5414-EvCenter)^2)/(2*EvSigma^2))))),"")</f>
        <v/>
      </c>
      <c r="O5414">
        <f>IF(B5414,ROUND(MAX(0,J5414*K5414*L5414*M5414*N5414),2),"")</f>
        <v/>
      </c>
    </row>
    <row r="5415">
      <c r="A5415" t="n">
        <v>5414</v>
      </c>
      <c r="B5415">
        <f>A5415&lt;=MineCount*Days</f>
        <v/>
      </c>
      <c r="C5415">
        <f>IF(B5415,INT((A5415-1)/Days)+1,"")</f>
        <v/>
      </c>
      <c r="D5415">
        <f>IF(B5415,MOD(A5415-1,Days),"")</f>
        <v/>
      </c>
      <c r="E5415" s="16">
        <f>IF(B5415,StartDate+D5415,"")</f>
        <v/>
      </c>
      <c r="F5415">
        <f>IF(B5415,MAX(MOD(SIN(Seed*0.1373+C5415*12.9898+D5415*78.233)*43758.5453,1),1E-9),"")</f>
        <v/>
      </c>
      <c r="G5415">
        <f>IF(B5415,MOD(SIN(Seed*0.5917+C5415*39.3468+D5415*11.135)*24634.6345,1),"")</f>
        <v/>
      </c>
      <c r="H5415">
        <f>IF(B5415,SQRT(-2*LN(F5415))*COS(2*PI()*G5415),"")</f>
        <v/>
      </c>
      <c r="I5415">
        <f>IF(B5415,IF(D5415=0,H5415,Rho*I5414+SQRT(1-Rho^2)*H5415),"")</f>
        <v/>
      </c>
      <c r="J5415">
        <f>IF(B5415,IF(Dist="Normal",DistA+DistB*I5415,DistA+(DistB-DistA)*NORMSDIST(I5415)),"")</f>
        <v/>
      </c>
      <c r="K5415">
        <f>IF(B5415,INDEX(MineScale,C5415),"")</f>
        <v/>
      </c>
      <c r="L5415">
        <f>IF(B5415,INDEX(Dow,1,WEEKDAY(E5415,2)),"")</f>
        <v/>
      </c>
      <c r="M5415">
        <f>IF(B5415,(1+Trend)^D5415,"")</f>
        <v/>
      </c>
      <c r="N5415">
        <f>IF(B5415,EXP(SUMPRODUCT(LN(1+(EvEff-1)*INDEX(Affected,0,C5415)*EXP(-((E5415-EvCenter)^2)/(2*EvSigma^2))))),"")</f>
        <v/>
      </c>
      <c r="O5415">
        <f>IF(B5415,ROUND(MAX(0,J5415*K5415*L5415*M5415*N5415),2),"")</f>
        <v/>
      </c>
    </row>
    <row r="5416">
      <c r="A5416" t="n">
        <v>5415</v>
      </c>
      <c r="B5416">
        <f>A5416&lt;=MineCount*Days</f>
        <v/>
      </c>
      <c r="C5416">
        <f>IF(B5416,INT((A5416-1)/Days)+1,"")</f>
        <v/>
      </c>
      <c r="D5416">
        <f>IF(B5416,MOD(A5416-1,Days),"")</f>
        <v/>
      </c>
      <c r="E5416" s="16">
        <f>IF(B5416,StartDate+D5416,"")</f>
        <v/>
      </c>
      <c r="F5416">
        <f>IF(B5416,MAX(MOD(SIN(Seed*0.1373+C5416*12.9898+D5416*78.233)*43758.5453,1),1E-9),"")</f>
        <v/>
      </c>
      <c r="G5416">
        <f>IF(B5416,MOD(SIN(Seed*0.5917+C5416*39.3468+D5416*11.135)*24634.6345,1),"")</f>
        <v/>
      </c>
      <c r="H5416">
        <f>IF(B5416,SQRT(-2*LN(F5416))*COS(2*PI()*G5416),"")</f>
        <v/>
      </c>
      <c r="I5416">
        <f>IF(B5416,IF(D5416=0,H5416,Rho*I5415+SQRT(1-Rho^2)*H5416),"")</f>
        <v/>
      </c>
      <c r="J5416">
        <f>IF(B5416,IF(Dist="Normal",DistA+DistB*I5416,DistA+(DistB-DistA)*NORMSDIST(I5416)),"")</f>
        <v/>
      </c>
      <c r="K5416">
        <f>IF(B5416,INDEX(MineScale,C5416),"")</f>
        <v/>
      </c>
      <c r="L5416">
        <f>IF(B5416,INDEX(Dow,1,WEEKDAY(E5416,2)),"")</f>
        <v/>
      </c>
      <c r="M5416">
        <f>IF(B5416,(1+Trend)^D5416,"")</f>
        <v/>
      </c>
      <c r="N5416">
        <f>IF(B5416,EXP(SUMPRODUCT(LN(1+(EvEff-1)*INDEX(Affected,0,C5416)*EXP(-((E5416-EvCenter)^2)/(2*EvSigma^2))))),"")</f>
        <v/>
      </c>
      <c r="O5416">
        <f>IF(B5416,ROUND(MAX(0,J5416*K5416*L5416*M5416*N5416),2),"")</f>
        <v/>
      </c>
    </row>
    <row r="5417">
      <c r="A5417" t="n">
        <v>5416</v>
      </c>
      <c r="B5417">
        <f>A5417&lt;=MineCount*Days</f>
        <v/>
      </c>
      <c r="C5417">
        <f>IF(B5417,INT((A5417-1)/Days)+1,"")</f>
        <v/>
      </c>
      <c r="D5417">
        <f>IF(B5417,MOD(A5417-1,Days),"")</f>
        <v/>
      </c>
      <c r="E5417" s="16">
        <f>IF(B5417,StartDate+D5417,"")</f>
        <v/>
      </c>
      <c r="F5417">
        <f>IF(B5417,MAX(MOD(SIN(Seed*0.1373+C5417*12.9898+D5417*78.233)*43758.5453,1),1E-9),"")</f>
        <v/>
      </c>
      <c r="G5417">
        <f>IF(B5417,MOD(SIN(Seed*0.5917+C5417*39.3468+D5417*11.135)*24634.6345,1),"")</f>
        <v/>
      </c>
      <c r="H5417">
        <f>IF(B5417,SQRT(-2*LN(F5417))*COS(2*PI()*G5417),"")</f>
        <v/>
      </c>
      <c r="I5417">
        <f>IF(B5417,IF(D5417=0,H5417,Rho*I5416+SQRT(1-Rho^2)*H5417),"")</f>
        <v/>
      </c>
      <c r="J5417">
        <f>IF(B5417,IF(Dist="Normal",DistA+DistB*I5417,DistA+(DistB-DistA)*NORMSDIST(I5417)),"")</f>
        <v/>
      </c>
      <c r="K5417">
        <f>IF(B5417,INDEX(MineScale,C5417),"")</f>
        <v/>
      </c>
      <c r="L5417">
        <f>IF(B5417,INDEX(Dow,1,WEEKDAY(E5417,2)),"")</f>
        <v/>
      </c>
      <c r="M5417">
        <f>IF(B5417,(1+Trend)^D5417,"")</f>
        <v/>
      </c>
      <c r="N5417">
        <f>IF(B5417,EXP(SUMPRODUCT(LN(1+(EvEff-1)*INDEX(Affected,0,C5417)*EXP(-((E5417-EvCenter)^2)/(2*EvSigma^2))))),"")</f>
        <v/>
      </c>
      <c r="O5417">
        <f>IF(B5417,ROUND(MAX(0,J5417*K5417*L5417*M5417*N5417),2),"")</f>
        <v/>
      </c>
    </row>
    <row r="5418">
      <c r="A5418" t="n">
        <v>5417</v>
      </c>
      <c r="B5418">
        <f>A5418&lt;=MineCount*Days</f>
        <v/>
      </c>
      <c r="C5418">
        <f>IF(B5418,INT((A5418-1)/Days)+1,"")</f>
        <v/>
      </c>
      <c r="D5418">
        <f>IF(B5418,MOD(A5418-1,Days),"")</f>
        <v/>
      </c>
      <c r="E5418" s="16">
        <f>IF(B5418,StartDate+D5418,"")</f>
        <v/>
      </c>
      <c r="F5418">
        <f>IF(B5418,MAX(MOD(SIN(Seed*0.1373+C5418*12.9898+D5418*78.233)*43758.5453,1),1E-9),"")</f>
        <v/>
      </c>
      <c r="G5418">
        <f>IF(B5418,MOD(SIN(Seed*0.5917+C5418*39.3468+D5418*11.135)*24634.6345,1),"")</f>
        <v/>
      </c>
      <c r="H5418">
        <f>IF(B5418,SQRT(-2*LN(F5418))*COS(2*PI()*G5418),"")</f>
        <v/>
      </c>
      <c r="I5418">
        <f>IF(B5418,IF(D5418=0,H5418,Rho*I5417+SQRT(1-Rho^2)*H5418),"")</f>
        <v/>
      </c>
      <c r="J5418">
        <f>IF(B5418,IF(Dist="Normal",DistA+DistB*I5418,DistA+(DistB-DistA)*NORMSDIST(I5418)),"")</f>
        <v/>
      </c>
      <c r="K5418">
        <f>IF(B5418,INDEX(MineScale,C5418),"")</f>
        <v/>
      </c>
      <c r="L5418">
        <f>IF(B5418,INDEX(Dow,1,WEEKDAY(E5418,2)),"")</f>
        <v/>
      </c>
      <c r="M5418">
        <f>IF(B5418,(1+Trend)^D5418,"")</f>
        <v/>
      </c>
      <c r="N5418">
        <f>IF(B5418,EXP(SUMPRODUCT(LN(1+(EvEff-1)*INDEX(Affected,0,C5418)*EXP(-((E5418-EvCenter)^2)/(2*EvSigma^2))))),"")</f>
        <v/>
      </c>
      <c r="O5418">
        <f>IF(B5418,ROUND(MAX(0,J5418*K5418*L5418*M5418*N5418),2),"")</f>
        <v/>
      </c>
    </row>
    <row r="5419">
      <c r="A5419" t="n">
        <v>5418</v>
      </c>
      <c r="B5419">
        <f>A5419&lt;=MineCount*Days</f>
        <v/>
      </c>
      <c r="C5419">
        <f>IF(B5419,INT((A5419-1)/Days)+1,"")</f>
        <v/>
      </c>
      <c r="D5419">
        <f>IF(B5419,MOD(A5419-1,Days),"")</f>
        <v/>
      </c>
      <c r="E5419" s="16">
        <f>IF(B5419,StartDate+D5419,"")</f>
        <v/>
      </c>
      <c r="F5419">
        <f>IF(B5419,MAX(MOD(SIN(Seed*0.1373+C5419*12.9898+D5419*78.233)*43758.5453,1),1E-9),"")</f>
        <v/>
      </c>
      <c r="G5419">
        <f>IF(B5419,MOD(SIN(Seed*0.5917+C5419*39.3468+D5419*11.135)*24634.6345,1),"")</f>
        <v/>
      </c>
      <c r="H5419">
        <f>IF(B5419,SQRT(-2*LN(F5419))*COS(2*PI()*G5419),"")</f>
        <v/>
      </c>
      <c r="I5419">
        <f>IF(B5419,IF(D5419=0,H5419,Rho*I5418+SQRT(1-Rho^2)*H5419),"")</f>
        <v/>
      </c>
      <c r="J5419">
        <f>IF(B5419,IF(Dist="Normal",DistA+DistB*I5419,DistA+(DistB-DistA)*NORMSDIST(I5419)),"")</f>
        <v/>
      </c>
      <c r="K5419">
        <f>IF(B5419,INDEX(MineScale,C5419),"")</f>
        <v/>
      </c>
      <c r="L5419">
        <f>IF(B5419,INDEX(Dow,1,WEEKDAY(E5419,2)),"")</f>
        <v/>
      </c>
      <c r="M5419">
        <f>IF(B5419,(1+Trend)^D5419,"")</f>
        <v/>
      </c>
      <c r="N5419">
        <f>IF(B5419,EXP(SUMPRODUCT(LN(1+(EvEff-1)*INDEX(Affected,0,C5419)*EXP(-((E5419-EvCenter)^2)/(2*EvSigma^2))))),"")</f>
        <v/>
      </c>
      <c r="O5419">
        <f>IF(B5419,ROUND(MAX(0,J5419*K5419*L5419*M5419*N5419),2),"")</f>
        <v/>
      </c>
    </row>
    <row r="5420">
      <c r="A5420" t="n">
        <v>5419</v>
      </c>
      <c r="B5420">
        <f>A5420&lt;=MineCount*Days</f>
        <v/>
      </c>
      <c r="C5420">
        <f>IF(B5420,INT((A5420-1)/Days)+1,"")</f>
        <v/>
      </c>
      <c r="D5420">
        <f>IF(B5420,MOD(A5420-1,Days),"")</f>
        <v/>
      </c>
      <c r="E5420" s="16">
        <f>IF(B5420,StartDate+D5420,"")</f>
        <v/>
      </c>
      <c r="F5420">
        <f>IF(B5420,MAX(MOD(SIN(Seed*0.1373+C5420*12.9898+D5420*78.233)*43758.5453,1),1E-9),"")</f>
        <v/>
      </c>
      <c r="G5420">
        <f>IF(B5420,MOD(SIN(Seed*0.5917+C5420*39.3468+D5420*11.135)*24634.6345,1),"")</f>
        <v/>
      </c>
      <c r="H5420">
        <f>IF(B5420,SQRT(-2*LN(F5420))*COS(2*PI()*G5420),"")</f>
        <v/>
      </c>
      <c r="I5420">
        <f>IF(B5420,IF(D5420=0,H5420,Rho*I5419+SQRT(1-Rho^2)*H5420),"")</f>
        <v/>
      </c>
      <c r="J5420">
        <f>IF(B5420,IF(Dist="Normal",DistA+DistB*I5420,DistA+(DistB-DistA)*NORMSDIST(I5420)),"")</f>
        <v/>
      </c>
      <c r="K5420">
        <f>IF(B5420,INDEX(MineScale,C5420),"")</f>
        <v/>
      </c>
      <c r="L5420">
        <f>IF(B5420,INDEX(Dow,1,WEEKDAY(E5420,2)),"")</f>
        <v/>
      </c>
      <c r="M5420">
        <f>IF(B5420,(1+Trend)^D5420,"")</f>
        <v/>
      </c>
      <c r="N5420">
        <f>IF(B5420,EXP(SUMPRODUCT(LN(1+(EvEff-1)*INDEX(Affected,0,C5420)*EXP(-((E5420-EvCenter)^2)/(2*EvSigma^2))))),"")</f>
        <v/>
      </c>
      <c r="O5420">
        <f>IF(B5420,ROUND(MAX(0,J5420*K5420*L5420*M5420*N5420),2),"")</f>
        <v/>
      </c>
    </row>
    <row r="5421">
      <c r="A5421" t="n">
        <v>5420</v>
      </c>
      <c r="B5421">
        <f>A5421&lt;=MineCount*Days</f>
        <v/>
      </c>
      <c r="C5421">
        <f>IF(B5421,INT((A5421-1)/Days)+1,"")</f>
        <v/>
      </c>
      <c r="D5421">
        <f>IF(B5421,MOD(A5421-1,Days),"")</f>
        <v/>
      </c>
      <c r="E5421" s="16">
        <f>IF(B5421,StartDate+D5421,"")</f>
        <v/>
      </c>
      <c r="F5421">
        <f>IF(B5421,MAX(MOD(SIN(Seed*0.1373+C5421*12.9898+D5421*78.233)*43758.5453,1),1E-9),"")</f>
        <v/>
      </c>
      <c r="G5421">
        <f>IF(B5421,MOD(SIN(Seed*0.5917+C5421*39.3468+D5421*11.135)*24634.6345,1),"")</f>
        <v/>
      </c>
      <c r="H5421">
        <f>IF(B5421,SQRT(-2*LN(F5421))*COS(2*PI()*G5421),"")</f>
        <v/>
      </c>
      <c r="I5421">
        <f>IF(B5421,IF(D5421=0,H5421,Rho*I5420+SQRT(1-Rho^2)*H5421),"")</f>
        <v/>
      </c>
      <c r="J5421">
        <f>IF(B5421,IF(Dist="Normal",DistA+DistB*I5421,DistA+(DistB-DistA)*NORMSDIST(I5421)),"")</f>
        <v/>
      </c>
      <c r="K5421">
        <f>IF(B5421,INDEX(MineScale,C5421),"")</f>
        <v/>
      </c>
      <c r="L5421">
        <f>IF(B5421,INDEX(Dow,1,WEEKDAY(E5421,2)),"")</f>
        <v/>
      </c>
      <c r="M5421">
        <f>IF(B5421,(1+Trend)^D5421,"")</f>
        <v/>
      </c>
      <c r="N5421">
        <f>IF(B5421,EXP(SUMPRODUCT(LN(1+(EvEff-1)*INDEX(Affected,0,C5421)*EXP(-((E5421-EvCenter)^2)/(2*EvSigma^2))))),"")</f>
        <v/>
      </c>
      <c r="O5421">
        <f>IF(B5421,ROUND(MAX(0,J5421*K5421*L5421*M5421*N5421),2),"")</f>
        <v/>
      </c>
    </row>
    <row r="5422">
      <c r="A5422" t="n">
        <v>5421</v>
      </c>
      <c r="B5422">
        <f>A5422&lt;=MineCount*Days</f>
        <v/>
      </c>
      <c r="C5422">
        <f>IF(B5422,INT((A5422-1)/Days)+1,"")</f>
        <v/>
      </c>
      <c r="D5422">
        <f>IF(B5422,MOD(A5422-1,Days),"")</f>
        <v/>
      </c>
      <c r="E5422" s="16">
        <f>IF(B5422,StartDate+D5422,"")</f>
        <v/>
      </c>
      <c r="F5422">
        <f>IF(B5422,MAX(MOD(SIN(Seed*0.1373+C5422*12.9898+D5422*78.233)*43758.5453,1),1E-9),"")</f>
        <v/>
      </c>
      <c r="G5422">
        <f>IF(B5422,MOD(SIN(Seed*0.5917+C5422*39.3468+D5422*11.135)*24634.6345,1),"")</f>
        <v/>
      </c>
      <c r="H5422">
        <f>IF(B5422,SQRT(-2*LN(F5422))*COS(2*PI()*G5422),"")</f>
        <v/>
      </c>
      <c r="I5422">
        <f>IF(B5422,IF(D5422=0,H5422,Rho*I5421+SQRT(1-Rho^2)*H5422),"")</f>
        <v/>
      </c>
      <c r="J5422">
        <f>IF(B5422,IF(Dist="Normal",DistA+DistB*I5422,DistA+(DistB-DistA)*NORMSDIST(I5422)),"")</f>
        <v/>
      </c>
      <c r="K5422">
        <f>IF(B5422,INDEX(MineScale,C5422),"")</f>
        <v/>
      </c>
      <c r="L5422">
        <f>IF(B5422,INDEX(Dow,1,WEEKDAY(E5422,2)),"")</f>
        <v/>
      </c>
      <c r="M5422">
        <f>IF(B5422,(1+Trend)^D5422,"")</f>
        <v/>
      </c>
      <c r="N5422">
        <f>IF(B5422,EXP(SUMPRODUCT(LN(1+(EvEff-1)*INDEX(Affected,0,C5422)*EXP(-((E5422-EvCenter)^2)/(2*EvSigma^2))))),"")</f>
        <v/>
      </c>
      <c r="O5422">
        <f>IF(B5422,ROUND(MAX(0,J5422*K5422*L5422*M5422*N5422),2),"")</f>
        <v/>
      </c>
    </row>
    <row r="5423">
      <c r="A5423" t="n">
        <v>5422</v>
      </c>
      <c r="B5423">
        <f>A5423&lt;=MineCount*Days</f>
        <v/>
      </c>
      <c r="C5423">
        <f>IF(B5423,INT((A5423-1)/Days)+1,"")</f>
        <v/>
      </c>
      <c r="D5423">
        <f>IF(B5423,MOD(A5423-1,Days),"")</f>
        <v/>
      </c>
      <c r="E5423" s="16">
        <f>IF(B5423,StartDate+D5423,"")</f>
        <v/>
      </c>
      <c r="F5423">
        <f>IF(B5423,MAX(MOD(SIN(Seed*0.1373+C5423*12.9898+D5423*78.233)*43758.5453,1),1E-9),"")</f>
        <v/>
      </c>
      <c r="G5423">
        <f>IF(B5423,MOD(SIN(Seed*0.5917+C5423*39.3468+D5423*11.135)*24634.6345,1),"")</f>
        <v/>
      </c>
      <c r="H5423">
        <f>IF(B5423,SQRT(-2*LN(F5423))*COS(2*PI()*G5423),"")</f>
        <v/>
      </c>
      <c r="I5423">
        <f>IF(B5423,IF(D5423=0,H5423,Rho*I5422+SQRT(1-Rho^2)*H5423),"")</f>
        <v/>
      </c>
      <c r="J5423">
        <f>IF(B5423,IF(Dist="Normal",DistA+DistB*I5423,DistA+(DistB-DistA)*NORMSDIST(I5423)),"")</f>
        <v/>
      </c>
      <c r="K5423">
        <f>IF(B5423,INDEX(MineScale,C5423),"")</f>
        <v/>
      </c>
      <c r="L5423">
        <f>IF(B5423,INDEX(Dow,1,WEEKDAY(E5423,2)),"")</f>
        <v/>
      </c>
      <c r="M5423">
        <f>IF(B5423,(1+Trend)^D5423,"")</f>
        <v/>
      </c>
      <c r="N5423">
        <f>IF(B5423,EXP(SUMPRODUCT(LN(1+(EvEff-1)*INDEX(Affected,0,C5423)*EXP(-((E5423-EvCenter)^2)/(2*EvSigma^2))))),"")</f>
        <v/>
      </c>
      <c r="O5423">
        <f>IF(B5423,ROUND(MAX(0,J5423*K5423*L5423*M5423*N5423),2),"")</f>
        <v/>
      </c>
    </row>
    <row r="5424">
      <c r="A5424" t="n">
        <v>5423</v>
      </c>
      <c r="B5424">
        <f>A5424&lt;=MineCount*Days</f>
        <v/>
      </c>
      <c r="C5424">
        <f>IF(B5424,INT((A5424-1)/Days)+1,"")</f>
        <v/>
      </c>
      <c r="D5424">
        <f>IF(B5424,MOD(A5424-1,Days),"")</f>
        <v/>
      </c>
      <c r="E5424" s="16">
        <f>IF(B5424,StartDate+D5424,"")</f>
        <v/>
      </c>
      <c r="F5424">
        <f>IF(B5424,MAX(MOD(SIN(Seed*0.1373+C5424*12.9898+D5424*78.233)*43758.5453,1),1E-9),"")</f>
        <v/>
      </c>
      <c r="G5424">
        <f>IF(B5424,MOD(SIN(Seed*0.5917+C5424*39.3468+D5424*11.135)*24634.6345,1),"")</f>
        <v/>
      </c>
      <c r="H5424">
        <f>IF(B5424,SQRT(-2*LN(F5424))*COS(2*PI()*G5424),"")</f>
        <v/>
      </c>
      <c r="I5424">
        <f>IF(B5424,IF(D5424=0,H5424,Rho*I5423+SQRT(1-Rho^2)*H5424),"")</f>
        <v/>
      </c>
      <c r="J5424">
        <f>IF(B5424,IF(Dist="Normal",DistA+DistB*I5424,DistA+(DistB-DistA)*NORMSDIST(I5424)),"")</f>
        <v/>
      </c>
      <c r="K5424">
        <f>IF(B5424,INDEX(MineScale,C5424),"")</f>
        <v/>
      </c>
      <c r="L5424">
        <f>IF(B5424,INDEX(Dow,1,WEEKDAY(E5424,2)),"")</f>
        <v/>
      </c>
      <c r="M5424">
        <f>IF(B5424,(1+Trend)^D5424,"")</f>
        <v/>
      </c>
      <c r="N5424">
        <f>IF(B5424,EXP(SUMPRODUCT(LN(1+(EvEff-1)*INDEX(Affected,0,C5424)*EXP(-((E5424-EvCenter)^2)/(2*EvSigma^2))))),"")</f>
        <v/>
      </c>
      <c r="O5424">
        <f>IF(B5424,ROUND(MAX(0,J5424*K5424*L5424*M5424*N5424),2),"")</f>
        <v/>
      </c>
    </row>
    <row r="5425">
      <c r="A5425" t="n">
        <v>5424</v>
      </c>
      <c r="B5425">
        <f>A5425&lt;=MineCount*Days</f>
        <v/>
      </c>
      <c r="C5425">
        <f>IF(B5425,INT((A5425-1)/Days)+1,"")</f>
        <v/>
      </c>
      <c r="D5425">
        <f>IF(B5425,MOD(A5425-1,Days),"")</f>
        <v/>
      </c>
      <c r="E5425" s="16">
        <f>IF(B5425,StartDate+D5425,"")</f>
        <v/>
      </c>
      <c r="F5425">
        <f>IF(B5425,MAX(MOD(SIN(Seed*0.1373+C5425*12.9898+D5425*78.233)*43758.5453,1),1E-9),"")</f>
        <v/>
      </c>
      <c r="G5425">
        <f>IF(B5425,MOD(SIN(Seed*0.5917+C5425*39.3468+D5425*11.135)*24634.6345,1),"")</f>
        <v/>
      </c>
      <c r="H5425">
        <f>IF(B5425,SQRT(-2*LN(F5425))*COS(2*PI()*G5425),"")</f>
        <v/>
      </c>
      <c r="I5425">
        <f>IF(B5425,IF(D5425=0,H5425,Rho*I5424+SQRT(1-Rho^2)*H5425),"")</f>
        <v/>
      </c>
      <c r="J5425">
        <f>IF(B5425,IF(Dist="Normal",DistA+DistB*I5425,DistA+(DistB-DistA)*NORMSDIST(I5425)),"")</f>
        <v/>
      </c>
      <c r="K5425">
        <f>IF(B5425,INDEX(MineScale,C5425),"")</f>
        <v/>
      </c>
      <c r="L5425">
        <f>IF(B5425,INDEX(Dow,1,WEEKDAY(E5425,2)),"")</f>
        <v/>
      </c>
      <c r="M5425">
        <f>IF(B5425,(1+Trend)^D5425,"")</f>
        <v/>
      </c>
      <c r="N5425">
        <f>IF(B5425,EXP(SUMPRODUCT(LN(1+(EvEff-1)*INDEX(Affected,0,C5425)*EXP(-((E5425-EvCenter)^2)/(2*EvSigma^2))))),"")</f>
        <v/>
      </c>
      <c r="O5425">
        <f>IF(B5425,ROUND(MAX(0,J5425*K5425*L5425*M5425*N5425),2),"")</f>
        <v/>
      </c>
    </row>
    <row r="5426">
      <c r="A5426" t="n">
        <v>5425</v>
      </c>
      <c r="B5426">
        <f>A5426&lt;=MineCount*Days</f>
        <v/>
      </c>
      <c r="C5426">
        <f>IF(B5426,INT((A5426-1)/Days)+1,"")</f>
        <v/>
      </c>
      <c r="D5426">
        <f>IF(B5426,MOD(A5426-1,Days),"")</f>
        <v/>
      </c>
      <c r="E5426" s="16">
        <f>IF(B5426,StartDate+D5426,"")</f>
        <v/>
      </c>
      <c r="F5426">
        <f>IF(B5426,MAX(MOD(SIN(Seed*0.1373+C5426*12.9898+D5426*78.233)*43758.5453,1),1E-9),"")</f>
        <v/>
      </c>
      <c r="G5426">
        <f>IF(B5426,MOD(SIN(Seed*0.5917+C5426*39.3468+D5426*11.135)*24634.6345,1),"")</f>
        <v/>
      </c>
      <c r="H5426">
        <f>IF(B5426,SQRT(-2*LN(F5426))*COS(2*PI()*G5426),"")</f>
        <v/>
      </c>
      <c r="I5426">
        <f>IF(B5426,IF(D5426=0,H5426,Rho*I5425+SQRT(1-Rho^2)*H5426),"")</f>
        <v/>
      </c>
      <c r="J5426">
        <f>IF(B5426,IF(Dist="Normal",DistA+DistB*I5426,DistA+(DistB-DistA)*NORMSDIST(I5426)),"")</f>
        <v/>
      </c>
      <c r="K5426">
        <f>IF(B5426,INDEX(MineScale,C5426),"")</f>
        <v/>
      </c>
      <c r="L5426">
        <f>IF(B5426,INDEX(Dow,1,WEEKDAY(E5426,2)),"")</f>
        <v/>
      </c>
      <c r="M5426">
        <f>IF(B5426,(1+Trend)^D5426,"")</f>
        <v/>
      </c>
      <c r="N5426">
        <f>IF(B5426,EXP(SUMPRODUCT(LN(1+(EvEff-1)*INDEX(Affected,0,C5426)*EXP(-((E5426-EvCenter)^2)/(2*EvSigma^2))))),"")</f>
        <v/>
      </c>
      <c r="O5426">
        <f>IF(B5426,ROUND(MAX(0,J5426*K5426*L5426*M5426*N5426),2),"")</f>
        <v/>
      </c>
    </row>
    <row r="5427">
      <c r="A5427" t="n">
        <v>5426</v>
      </c>
      <c r="B5427">
        <f>A5427&lt;=MineCount*Days</f>
        <v/>
      </c>
      <c r="C5427">
        <f>IF(B5427,INT((A5427-1)/Days)+1,"")</f>
        <v/>
      </c>
      <c r="D5427">
        <f>IF(B5427,MOD(A5427-1,Days),"")</f>
        <v/>
      </c>
      <c r="E5427" s="16">
        <f>IF(B5427,StartDate+D5427,"")</f>
        <v/>
      </c>
      <c r="F5427">
        <f>IF(B5427,MAX(MOD(SIN(Seed*0.1373+C5427*12.9898+D5427*78.233)*43758.5453,1),1E-9),"")</f>
        <v/>
      </c>
      <c r="G5427">
        <f>IF(B5427,MOD(SIN(Seed*0.5917+C5427*39.3468+D5427*11.135)*24634.6345,1),"")</f>
        <v/>
      </c>
      <c r="H5427">
        <f>IF(B5427,SQRT(-2*LN(F5427))*COS(2*PI()*G5427),"")</f>
        <v/>
      </c>
      <c r="I5427">
        <f>IF(B5427,IF(D5427=0,H5427,Rho*I5426+SQRT(1-Rho^2)*H5427),"")</f>
        <v/>
      </c>
      <c r="J5427">
        <f>IF(B5427,IF(Dist="Normal",DistA+DistB*I5427,DistA+(DistB-DistA)*NORMSDIST(I5427)),"")</f>
        <v/>
      </c>
      <c r="K5427">
        <f>IF(B5427,INDEX(MineScale,C5427),"")</f>
        <v/>
      </c>
      <c r="L5427">
        <f>IF(B5427,INDEX(Dow,1,WEEKDAY(E5427,2)),"")</f>
        <v/>
      </c>
      <c r="M5427">
        <f>IF(B5427,(1+Trend)^D5427,"")</f>
        <v/>
      </c>
      <c r="N5427">
        <f>IF(B5427,EXP(SUMPRODUCT(LN(1+(EvEff-1)*INDEX(Affected,0,C5427)*EXP(-((E5427-EvCenter)^2)/(2*EvSigma^2))))),"")</f>
        <v/>
      </c>
      <c r="O5427">
        <f>IF(B5427,ROUND(MAX(0,J5427*K5427*L5427*M5427*N5427),2),"")</f>
        <v/>
      </c>
    </row>
    <row r="5428">
      <c r="A5428" t="n">
        <v>5427</v>
      </c>
      <c r="B5428">
        <f>A5428&lt;=MineCount*Days</f>
        <v/>
      </c>
      <c r="C5428">
        <f>IF(B5428,INT((A5428-1)/Days)+1,"")</f>
        <v/>
      </c>
      <c r="D5428">
        <f>IF(B5428,MOD(A5428-1,Days),"")</f>
        <v/>
      </c>
      <c r="E5428" s="16">
        <f>IF(B5428,StartDate+D5428,"")</f>
        <v/>
      </c>
      <c r="F5428">
        <f>IF(B5428,MAX(MOD(SIN(Seed*0.1373+C5428*12.9898+D5428*78.233)*43758.5453,1),1E-9),"")</f>
        <v/>
      </c>
      <c r="G5428">
        <f>IF(B5428,MOD(SIN(Seed*0.5917+C5428*39.3468+D5428*11.135)*24634.6345,1),"")</f>
        <v/>
      </c>
      <c r="H5428">
        <f>IF(B5428,SQRT(-2*LN(F5428))*COS(2*PI()*G5428),"")</f>
        <v/>
      </c>
      <c r="I5428">
        <f>IF(B5428,IF(D5428=0,H5428,Rho*I5427+SQRT(1-Rho^2)*H5428),"")</f>
        <v/>
      </c>
      <c r="J5428">
        <f>IF(B5428,IF(Dist="Normal",DistA+DistB*I5428,DistA+(DistB-DistA)*NORMSDIST(I5428)),"")</f>
        <v/>
      </c>
      <c r="K5428">
        <f>IF(B5428,INDEX(MineScale,C5428),"")</f>
        <v/>
      </c>
      <c r="L5428">
        <f>IF(B5428,INDEX(Dow,1,WEEKDAY(E5428,2)),"")</f>
        <v/>
      </c>
      <c r="M5428">
        <f>IF(B5428,(1+Trend)^D5428,"")</f>
        <v/>
      </c>
      <c r="N5428">
        <f>IF(B5428,EXP(SUMPRODUCT(LN(1+(EvEff-1)*INDEX(Affected,0,C5428)*EXP(-((E5428-EvCenter)^2)/(2*EvSigma^2))))),"")</f>
        <v/>
      </c>
      <c r="O5428">
        <f>IF(B5428,ROUND(MAX(0,J5428*K5428*L5428*M5428*N5428),2),"")</f>
        <v/>
      </c>
    </row>
    <row r="5429">
      <c r="A5429" t="n">
        <v>5428</v>
      </c>
      <c r="B5429">
        <f>A5429&lt;=MineCount*Days</f>
        <v/>
      </c>
      <c r="C5429">
        <f>IF(B5429,INT((A5429-1)/Days)+1,"")</f>
        <v/>
      </c>
      <c r="D5429">
        <f>IF(B5429,MOD(A5429-1,Days),"")</f>
        <v/>
      </c>
      <c r="E5429" s="16">
        <f>IF(B5429,StartDate+D5429,"")</f>
        <v/>
      </c>
      <c r="F5429">
        <f>IF(B5429,MAX(MOD(SIN(Seed*0.1373+C5429*12.9898+D5429*78.233)*43758.5453,1),1E-9),"")</f>
        <v/>
      </c>
      <c r="G5429">
        <f>IF(B5429,MOD(SIN(Seed*0.5917+C5429*39.3468+D5429*11.135)*24634.6345,1),"")</f>
        <v/>
      </c>
      <c r="H5429">
        <f>IF(B5429,SQRT(-2*LN(F5429))*COS(2*PI()*G5429),"")</f>
        <v/>
      </c>
      <c r="I5429">
        <f>IF(B5429,IF(D5429=0,H5429,Rho*I5428+SQRT(1-Rho^2)*H5429),"")</f>
        <v/>
      </c>
      <c r="J5429">
        <f>IF(B5429,IF(Dist="Normal",DistA+DistB*I5429,DistA+(DistB-DistA)*NORMSDIST(I5429)),"")</f>
        <v/>
      </c>
      <c r="K5429">
        <f>IF(B5429,INDEX(MineScale,C5429),"")</f>
        <v/>
      </c>
      <c r="L5429">
        <f>IF(B5429,INDEX(Dow,1,WEEKDAY(E5429,2)),"")</f>
        <v/>
      </c>
      <c r="M5429">
        <f>IF(B5429,(1+Trend)^D5429,"")</f>
        <v/>
      </c>
      <c r="N5429">
        <f>IF(B5429,EXP(SUMPRODUCT(LN(1+(EvEff-1)*INDEX(Affected,0,C5429)*EXP(-((E5429-EvCenter)^2)/(2*EvSigma^2))))),"")</f>
        <v/>
      </c>
      <c r="O5429">
        <f>IF(B5429,ROUND(MAX(0,J5429*K5429*L5429*M5429*N5429),2),"")</f>
        <v/>
      </c>
    </row>
    <row r="5430">
      <c r="A5430" t="n">
        <v>5429</v>
      </c>
      <c r="B5430">
        <f>A5430&lt;=MineCount*Days</f>
        <v/>
      </c>
      <c r="C5430">
        <f>IF(B5430,INT((A5430-1)/Days)+1,"")</f>
        <v/>
      </c>
      <c r="D5430">
        <f>IF(B5430,MOD(A5430-1,Days),"")</f>
        <v/>
      </c>
      <c r="E5430" s="16">
        <f>IF(B5430,StartDate+D5430,"")</f>
        <v/>
      </c>
      <c r="F5430">
        <f>IF(B5430,MAX(MOD(SIN(Seed*0.1373+C5430*12.9898+D5430*78.233)*43758.5453,1),1E-9),"")</f>
        <v/>
      </c>
      <c r="G5430">
        <f>IF(B5430,MOD(SIN(Seed*0.5917+C5430*39.3468+D5430*11.135)*24634.6345,1),"")</f>
        <v/>
      </c>
      <c r="H5430">
        <f>IF(B5430,SQRT(-2*LN(F5430))*COS(2*PI()*G5430),"")</f>
        <v/>
      </c>
      <c r="I5430">
        <f>IF(B5430,IF(D5430=0,H5430,Rho*I5429+SQRT(1-Rho^2)*H5430),"")</f>
        <v/>
      </c>
      <c r="J5430">
        <f>IF(B5430,IF(Dist="Normal",DistA+DistB*I5430,DistA+(DistB-DistA)*NORMSDIST(I5430)),"")</f>
        <v/>
      </c>
      <c r="K5430">
        <f>IF(B5430,INDEX(MineScale,C5430),"")</f>
        <v/>
      </c>
      <c r="L5430">
        <f>IF(B5430,INDEX(Dow,1,WEEKDAY(E5430,2)),"")</f>
        <v/>
      </c>
      <c r="M5430">
        <f>IF(B5430,(1+Trend)^D5430,"")</f>
        <v/>
      </c>
      <c r="N5430">
        <f>IF(B5430,EXP(SUMPRODUCT(LN(1+(EvEff-1)*INDEX(Affected,0,C5430)*EXP(-((E5430-EvCenter)^2)/(2*EvSigma^2))))),"")</f>
        <v/>
      </c>
      <c r="O5430">
        <f>IF(B5430,ROUND(MAX(0,J5430*K5430*L5430*M5430*N5430),2),"")</f>
        <v/>
      </c>
    </row>
    <row r="5431">
      <c r="A5431" t="n">
        <v>5430</v>
      </c>
      <c r="B5431">
        <f>A5431&lt;=MineCount*Days</f>
        <v/>
      </c>
      <c r="C5431">
        <f>IF(B5431,INT((A5431-1)/Days)+1,"")</f>
        <v/>
      </c>
      <c r="D5431">
        <f>IF(B5431,MOD(A5431-1,Days),"")</f>
        <v/>
      </c>
      <c r="E5431" s="16">
        <f>IF(B5431,StartDate+D5431,"")</f>
        <v/>
      </c>
      <c r="F5431">
        <f>IF(B5431,MAX(MOD(SIN(Seed*0.1373+C5431*12.9898+D5431*78.233)*43758.5453,1),1E-9),"")</f>
        <v/>
      </c>
      <c r="G5431">
        <f>IF(B5431,MOD(SIN(Seed*0.5917+C5431*39.3468+D5431*11.135)*24634.6345,1),"")</f>
        <v/>
      </c>
      <c r="H5431">
        <f>IF(B5431,SQRT(-2*LN(F5431))*COS(2*PI()*G5431),"")</f>
        <v/>
      </c>
      <c r="I5431">
        <f>IF(B5431,IF(D5431=0,H5431,Rho*I5430+SQRT(1-Rho^2)*H5431),"")</f>
        <v/>
      </c>
      <c r="J5431">
        <f>IF(B5431,IF(Dist="Normal",DistA+DistB*I5431,DistA+(DistB-DistA)*NORMSDIST(I5431)),"")</f>
        <v/>
      </c>
      <c r="K5431">
        <f>IF(B5431,INDEX(MineScale,C5431),"")</f>
        <v/>
      </c>
      <c r="L5431">
        <f>IF(B5431,INDEX(Dow,1,WEEKDAY(E5431,2)),"")</f>
        <v/>
      </c>
      <c r="M5431">
        <f>IF(B5431,(1+Trend)^D5431,"")</f>
        <v/>
      </c>
      <c r="N5431">
        <f>IF(B5431,EXP(SUMPRODUCT(LN(1+(EvEff-1)*INDEX(Affected,0,C5431)*EXP(-((E5431-EvCenter)^2)/(2*EvSigma^2))))),"")</f>
        <v/>
      </c>
      <c r="O5431">
        <f>IF(B5431,ROUND(MAX(0,J5431*K5431*L5431*M5431*N5431),2),"")</f>
        <v/>
      </c>
    </row>
    <row r="5432">
      <c r="A5432" t="n">
        <v>5431</v>
      </c>
      <c r="B5432">
        <f>A5432&lt;=MineCount*Days</f>
        <v/>
      </c>
      <c r="C5432">
        <f>IF(B5432,INT((A5432-1)/Days)+1,"")</f>
        <v/>
      </c>
      <c r="D5432">
        <f>IF(B5432,MOD(A5432-1,Days),"")</f>
        <v/>
      </c>
      <c r="E5432" s="16">
        <f>IF(B5432,StartDate+D5432,"")</f>
        <v/>
      </c>
      <c r="F5432">
        <f>IF(B5432,MAX(MOD(SIN(Seed*0.1373+C5432*12.9898+D5432*78.233)*43758.5453,1),1E-9),"")</f>
        <v/>
      </c>
      <c r="G5432">
        <f>IF(B5432,MOD(SIN(Seed*0.5917+C5432*39.3468+D5432*11.135)*24634.6345,1),"")</f>
        <v/>
      </c>
      <c r="H5432">
        <f>IF(B5432,SQRT(-2*LN(F5432))*COS(2*PI()*G5432),"")</f>
        <v/>
      </c>
      <c r="I5432">
        <f>IF(B5432,IF(D5432=0,H5432,Rho*I5431+SQRT(1-Rho^2)*H5432),"")</f>
        <v/>
      </c>
      <c r="J5432">
        <f>IF(B5432,IF(Dist="Normal",DistA+DistB*I5432,DistA+(DistB-DistA)*NORMSDIST(I5432)),"")</f>
        <v/>
      </c>
      <c r="K5432">
        <f>IF(B5432,INDEX(MineScale,C5432),"")</f>
        <v/>
      </c>
      <c r="L5432">
        <f>IF(B5432,INDEX(Dow,1,WEEKDAY(E5432,2)),"")</f>
        <v/>
      </c>
      <c r="M5432">
        <f>IF(B5432,(1+Trend)^D5432,"")</f>
        <v/>
      </c>
      <c r="N5432">
        <f>IF(B5432,EXP(SUMPRODUCT(LN(1+(EvEff-1)*INDEX(Affected,0,C5432)*EXP(-((E5432-EvCenter)^2)/(2*EvSigma^2))))),"")</f>
        <v/>
      </c>
      <c r="O5432">
        <f>IF(B5432,ROUND(MAX(0,J5432*K5432*L5432*M5432*N5432),2),"")</f>
        <v/>
      </c>
    </row>
    <row r="5433">
      <c r="A5433" t="n">
        <v>5432</v>
      </c>
      <c r="B5433">
        <f>A5433&lt;=MineCount*Days</f>
        <v/>
      </c>
      <c r="C5433">
        <f>IF(B5433,INT((A5433-1)/Days)+1,"")</f>
        <v/>
      </c>
      <c r="D5433">
        <f>IF(B5433,MOD(A5433-1,Days),"")</f>
        <v/>
      </c>
      <c r="E5433" s="16">
        <f>IF(B5433,StartDate+D5433,"")</f>
        <v/>
      </c>
      <c r="F5433">
        <f>IF(B5433,MAX(MOD(SIN(Seed*0.1373+C5433*12.9898+D5433*78.233)*43758.5453,1),1E-9),"")</f>
        <v/>
      </c>
      <c r="G5433">
        <f>IF(B5433,MOD(SIN(Seed*0.5917+C5433*39.3468+D5433*11.135)*24634.6345,1),"")</f>
        <v/>
      </c>
      <c r="H5433">
        <f>IF(B5433,SQRT(-2*LN(F5433))*COS(2*PI()*G5433),"")</f>
        <v/>
      </c>
      <c r="I5433">
        <f>IF(B5433,IF(D5433=0,H5433,Rho*I5432+SQRT(1-Rho^2)*H5433),"")</f>
        <v/>
      </c>
      <c r="J5433">
        <f>IF(B5433,IF(Dist="Normal",DistA+DistB*I5433,DistA+(DistB-DistA)*NORMSDIST(I5433)),"")</f>
        <v/>
      </c>
      <c r="K5433">
        <f>IF(B5433,INDEX(MineScale,C5433),"")</f>
        <v/>
      </c>
      <c r="L5433">
        <f>IF(B5433,INDEX(Dow,1,WEEKDAY(E5433,2)),"")</f>
        <v/>
      </c>
      <c r="M5433">
        <f>IF(B5433,(1+Trend)^D5433,"")</f>
        <v/>
      </c>
      <c r="N5433">
        <f>IF(B5433,EXP(SUMPRODUCT(LN(1+(EvEff-1)*INDEX(Affected,0,C5433)*EXP(-((E5433-EvCenter)^2)/(2*EvSigma^2))))),"")</f>
        <v/>
      </c>
      <c r="O5433">
        <f>IF(B5433,ROUND(MAX(0,J5433*K5433*L5433*M5433*N5433),2),"")</f>
        <v/>
      </c>
    </row>
    <row r="5434">
      <c r="A5434" t="n">
        <v>5433</v>
      </c>
      <c r="B5434">
        <f>A5434&lt;=MineCount*Days</f>
        <v/>
      </c>
      <c r="C5434">
        <f>IF(B5434,INT((A5434-1)/Days)+1,"")</f>
        <v/>
      </c>
      <c r="D5434">
        <f>IF(B5434,MOD(A5434-1,Days),"")</f>
        <v/>
      </c>
      <c r="E5434" s="16">
        <f>IF(B5434,StartDate+D5434,"")</f>
        <v/>
      </c>
      <c r="F5434">
        <f>IF(B5434,MAX(MOD(SIN(Seed*0.1373+C5434*12.9898+D5434*78.233)*43758.5453,1),1E-9),"")</f>
        <v/>
      </c>
      <c r="G5434">
        <f>IF(B5434,MOD(SIN(Seed*0.5917+C5434*39.3468+D5434*11.135)*24634.6345,1),"")</f>
        <v/>
      </c>
      <c r="H5434">
        <f>IF(B5434,SQRT(-2*LN(F5434))*COS(2*PI()*G5434),"")</f>
        <v/>
      </c>
      <c r="I5434">
        <f>IF(B5434,IF(D5434=0,H5434,Rho*I5433+SQRT(1-Rho^2)*H5434),"")</f>
        <v/>
      </c>
      <c r="J5434">
        <f>IF(B5434,IF(Dist="Normal",DistA+DistB*I5434,DistA+(DistB-DistA)*NORMSDIST(I5434)),"")</f>
        <v/>
      </c>
      <c r="K5434">
        <f>IF(B5434,INDEX(MineScale,C5434),"")</f>
        <v/>
      </c>
      <c r="L5434">
        <f>IF(B5434,INDEX(Dow,1,WEEKDAY(E5434,2)),"")</f>
        <v/>
      </c>
      <c r="M5434">
        <f>IF(B5434,(1+Trend)^D5434,"")</f>
        <v/>
      </c>
      <c r="N5434">
        <f>IF(B5434,EXP(SUMPRODUCT(LN(1+(EvEff-1)*INDEX(Affected,0,C5434)*EXP(-((E5434-EvCenter)^2)/(2*EvSigma^2))))),"")</f>
        <v/>
      </c>
      <c r="O5434">
        <f>IF(B5434,ROUND(MAX(0,J5434*K5434*L5434*M5434*N5434),2),"")</f>
        <v/>
      </c>
    </row>
    <row r="5435">
      <c r="A5435" t="n">
        <v>5434</v>
      </c>
      <c r="B5435">
        <f>A5435&lt;=MineCount*Days</f>
        <v/>
      </c>
      <c r="C5435">
        <f>IF(B5435,INT((A5435-1)/Days)+1,"")</f>
        <v/>
      </c>
      <c r="D5435">
        <f>IF(B5435,MOD(A5435-1,Days),"")</f>
        <v/>
      </c>
      <c r="E5435" s="16">
        <f>IF(B5435,StartDate+D5435,"")</f>
        <v/>
      </c>
      <c r="F5435">
        <f>IF(B5435,MAX(MOD(SIN(Seed*0.1373+C5435*12.9898+D5435*78.233)*43758.5453,1),1E-9),"")</f>
        <v/>
      </c>
      <c r="G5435">
        <f>IF(B5435,MOD(SIN(Seed*0.5917+C5435*39.3468+D5435*11.135)*24634.6345,1),"")</f>
        <v/>
      </c>
      <c r="H5435">
        <f>IF(B5435,SQRT(-2*LN(F5435))*COS(2*PI()*G5435),"")</f>
        <v/>
      </c>
      <c r="I5435">
        <f>IF(B5435,IF(D5435=0,H5435,Rho*I5434+SQRT(1-Rho^2)*H5435),"")</f>
        <v/>
      </c>
      <c r="J5435">
        <f>IF(B5435,IF(Dist="Normal",DistA+DistB*I5435,DistA+(DistB-DistA)*NORMSDIST(I5435)),"")</f>
        <v/>
      </c>
      <c r="K5435">
        <f>IF(B5435,INDEX(MineScale,C5435),"")</f>
        <v/>
      </c>
      <c r="L5435">
        <f>IF(B5435,INDEX(Dow,1,WEEKDAY(E5435,2)),"")</f>
        <v/>
      </c>
      <c r="M5435">
        <f>IF(B5435,(1+Trend)^D5435,"")</f>
        <v/>
      </c>
      <c r="N5435">
        <f>IF(B5435,EXP(SUMPRODUCT(LN(1+(EvEff-1)*INDEX(Affected,0,C5435)*EXP(-((E5435-EvCenter)^2)/(2*EvSigma^2))))),"")</f>
        <v/>
      </c>
      <c r="O5435">
        <f>IF(B5435,ROUND(MAX(0,J5435*K5435*L5435*M5435*N5435),2),"")</f>
        <v/>
      </c>
    </row>
    <row r="5436">
      <c r="A5436" t="n">
        <v>5435</v>
      </c>
      <c r="B5436">
        <f>A5436&lt;=MineCount*Days</f>
        <v/>
      </c>
      <c r="C5436">
        <f>IF(B5436,INT((A5436-1)/Days)+1,"")</f>
        <v/>
      </c>
      <c r="D5436">
        <f>IF(B5436,MOD(A5436-1,Days),"")</f>
        <v/>
      </c>
      <c r="E5436" s="16">
        <f>IF(B5436,StartDate+D5436,"")</f>
        <v/>
      </c>
      <c r="F5436">
        <f>IF(B5436,MAX(MOD(SIN(Seed*0.1373+C5436*12.9898+D5436*78.233)*43758.5453,1),1E-9),"")</f>
        <v/>
      </c>
      <c r="G5436">
        <f>IF(B5436,MOD(SIN(Seed*0.5917+C5436*39.3468+D5436*11.135)*24634.6345,1),"")</f>
        <v/>
      </c>
      <c r="H5436">
        <f>IF(B5436,SQRT(-2*LN(F5436))*COS(2*PI()*G5436),"")</f>
        <v/>
      </c>
      <c r="I5436">
        <f>IF(B5436,IF(D5436=0,H5436,Rho*I5435+SQRT(1-Rho^2)*H5436),"")</f>
        <v/>
      </c>
      <c r="J5436">
        <f>IF(B5436,IF(Dist="Normal",DistA+DistB*I5436,DistA+(DistB-DistA)*NORMSDIST(I5436)),"")</f>
        <v/>
      </c>
      <c r="K5436">
        <f>IF(B5436,INDEX(MineScale,C5436),"")</f>
        <v/>
      </c>
      <c r="L5436">
        <f>IF(B5436,INDEX(Dow,1,WEEKDAY(E5436,2)),"")</f>
        <v/>
      </c>
      <c r="M5436">
        <f>IF(B5436,(1+Trend)^D5436,"")</f>
        <v/>
      </c>
      <c r="N5436">
        <f>IF(B5436,EXP(SUMPRODUCT(LN(1+(EvEff-1)*INDEX(Affected,0,C5436)*EXP(-((E5436-EvCenter)^2)/(2*EvSigma^2))))),"")</f>
        <v/>
      </c>
      <c r="O5436">
        <f>IF(B5436,ROUND(MAX(0,J5436*K5436*L5436*M5436*N5436),2),"")</f>
        <v/>
      </c>
    </row>
    <row r="5437">
      <c r="A5437" t="n">
        <v>5436</v>
      </c>
      <c r="B5437">
        <f>A5437&lt;=MineCount*Days</f>
        <v/>
      </c>
      <c r="C5437">
        <f>IF(B5437,INT((A5437-1)/Days)+1,"")</f>
        <v/>
      </c>
      <c r="D5437">
        <f>IF(B5437,MOD(A5437-1,Days),"")</f>
        <v/>
      </c>
      <c r="E5437" s="16">
        <f>IF(B5437,StartDate+D5437,"")</f>
        <v/>
      </c>
      <c r="F5437">
        <f>IF(B5437,MAX(MOD(SIN(Seed*0.1373+C5437*12.9898+D5437*78.233)*43758.5453,1),1E-9),"")</f>
        <v/>
      </c>
      <c r="G5437">
        <f>IF(B5437,MOD(SIN(Seed*0.5917+C5437*39.3468+D5437*11.135)*24634.6345,1),"")</f>
        <v/>
      </c>
      <c r="H5437">
        <f>IF(B5437,SQRT(-2*LN(F5437))*COS(2*PI()*G5437),"")</f>
        <v/>
      </c>
      <c r="I5437">
        <f>IF(B5437,IF(D5437=0,H5437,Rho*I5436+SQRT(1-Rho^2)*H5437),"")</f>
        <v/>
      </c>
      <c r="J5437">
        <f>IF(B5437,IF(Dist="Normal",DistA+DistB*I5437,DistA+(DistB-DistA)*NORMSDIST(I5437)),"")</f>
        <v/>
      </c>
      <c r="K5437">
        <f>IF(B5437,INDEX(MineScale,C5437),"")</f>
        <v/>
      </c>
      <c r="L5437">
        <f>IF(B5437,INDEX(Dow,1,WEEKDAY(E5437,2)),"")</f>
        <v/>
      </c>
      <c r="M5437">
        <f>IF(B5437,(1+Trend)^D5437,"")</f>
        <v/>
      </c>
      <c r="N5437">
        <f>IF(B5437,EXP(SUMPRODUCT(LN(1+(EvEff-1)*INDEX(Affected,0,C5437)*EXP(-((E5437-EvCenter)^2)/(2*EvSigma^2))))),"")</f>
        <v/>
      </c>
      <c r="O5437">
        <f>IF(B5437,ROUND(MAX(0,J5437*K5437*L5437*M5437*N5437),2),"")</f>
        <v/>
      </c>
    </row>
    <row r="5438">
      <c r="A5438" t="n">
        <v>5437</v>
      </c>
      <c r="B5438">
        <f>A5438&lt;=MineCount*Days</f>
        <v/>
      </c>
      <c r="C5438">
        <f>IF(B5438,INT((A5438-1)/Days)+1,"")</f>
        <v/>
      </c>
      <c r="D5438">
        <f>IF(B5438,MOD(A5438-1,Days),"")</f>
        <v/>
      </c>
      <c r="E5438" s="16">
        <f>IF(B5438,StartDate+D5438,"")</f>
        <v/>
      </c>
      <c r="F5438">
        <f>IF(B5438,MAX(MOD(SIN(Seed*0.1373+C5438*12.9898+D5438*78.233)*43758.5453,1),1E-9),"")</f>
        <v/>
      </c>
      <c r="G5438">
        <f>IF(B5438,MOD(SIN(Seed*0.5917+C5438*39.3468+D5438*11.135)*24634.6345,1),"")</f>
        <v/>
      </c>
      <c r="H5438">
        <f>IF(B5438,SQRT(-2*LN(F5438))*COS(2*PI()*G5438),"")</f>
        <v/>
      </c>
      <c r="I5438">
        <f>IF(B5438,IF(D5438=0,H5438,Rho*I5437+SQRT(1-Rho^2)*H5438),"")</f>
        <v/>
      </c>
      <c r="J5438">
        <f>IF(B5438,IF(Dist="Normal",DistA+DistB*I5438,DistA+(DistB-DistA)*NORMSDIST(I5438)),"")</f>
        <v/>
      </c>
      <c r="K5438">
        <f>IF(B5438,INDEX(MineScale,C5438),"")</f>
        <v/>
      </c>
      <c r="L5438">
        <f>IF(B5438,INDEX(Dow,1,WEEKDAY(E5438,2)),"")</f>
        <v/>
      </c>
      <c r="M5438">
        <f>IF(B5438,(1+Trend)^D5438,"")</f>
        <v/>
      </c>
      <c r="N5438">
        <f>IF(B5438,EXP(SUMPRODUCT(LN(1+(EvEff-1)*INDEX(Affected,0,C5438)*EXP(-((E5438-EvCenter)^2)/(2*EvSigma^2))))),"")</f>
        <v/>
      </c>
      <c r="O5438">
        <f>IF(B5438,ROUND(MAX(0,J5438*K5438*L5438*M5438*N5438),2),"")</f>
        <v/>
      </c>
    </row>
    <row r="5439">
      <c r="A5439" t="n">
        <v>5438</v>
      </c>
      <c r="B5439">
        <f>A5439&lt;=MineCount*Days</f>
        <v/>
      </c>
      <c r="C5439">
        <f>IF(B5439,INT((A5439-1)/Days)+1,"")</f>
        <v/>
      </c>
      <c r="D5439">
        <f>IF(B5439,MOD(A5439-1,Days),"")</f>
        <v/>
      </c>
      <c r="E5439" s="16">
        <f>IF(B5439,StartDate+D5439,"")</f>
        <v/>
      </c>
      <c r="F5439">
        <f>IF(B5439,MAX(MOD(SIN(Seed*0.1373+C5439*12.9898+D5439*78.233)*43758.5453,1),1E-9),"")</f>
        <v/>
      </c>
      <c r="G5439">
        <f>IF(B5439,MOD(SIN(Seed*0.5917+C5439*39.3468+D5439*11.135)*24634.6345,1),"")</f>
        <v/>
      </c>
      <c r="H5439">
        <f>IF(B5439,SQRT(-2*LN(F5439))*COS(2*PI()*G5439),"")</f>
        <v/>
      </c>
      <c r="I5439">
        <f>IF(B5439,IF(D5439=0,H5439,Rho*I5438+SQRT(1-Rho^2)*H5439),"")</f>
        <v/>
      </c>
      <c r="J5439">
        <f>IF(B5439,IF(Dist="Normal",DistA+DistB*I5439,DistA+(DistB-DistA)*NORMSDIST(I5439)),"")</f>
        <v/>
      </c>
      <c r="K5439">
        <f>IF(B5439,INDEX(MineScale,C5439),"")</f>
        <v/>
      </c>
      <c r="L5439">
        <f>IF(B5439,INDEX(Dow,1,WEEKDAY(E5439,2)),"")</f>
        <v/>
      </c>
      <c r="M5439">
        <f>IF(B5439,(1+Trend)^D5439,"")</f>
        <v/>
      </c>
      <c r="N5439">
        <f>IF(B5439,EXP(SUMPRODUCT(LN(1+(EvEff-1)*INDEX(Affected,0,C5439)*EXP(-((E5439-EvCenter)^2)/(2*EvSigma^2))))),"")</f>
        <v/>
      </c>
      <c r="O5439">
        <f>IF(B5439,ROUND(MAX(0,J5439*K5439*L5439*M5439*N5439),2),"")</f>
        <v/>
      </c>
    </row>
    <row r="5440">
      <c r="A5440" t="n">
        <v>5439</v>
      </c>
      <c r="B5440">
        <f>A5440&lt;=MineCount*Days</f>
        <v/>
      </c>
      <c r="C5440">
        <f>IF(B5440,INT((A5440-1)/Days)+1,"")</f>
        <v/>
      </c>
      <c r="D5440">
        <f>IF(B5440,MOD(A5440-1,Days),"")</f>
        <v/>
      </c>
      <c r="E5440" s="16">
        <f>IF(B5440,StartDate+D5440,"")</f>
        <v/>
      </c>
      <c r="F5440">
        <f>IF(B5440,MAX(MOD(SIN(Seed*0.1373+C5440*12.9898+D5440*78.233)*43758.5453,1),1E-9),"")</f>
        <v/>
      </c>
      <c r="G5440">
        <f>IF(B5440,MOD(SIN(Seed*0.5917+C5440*39.3468+D5440*11.135)*24634.6345,1),"")</f>
        <v/>
      </c>
      <c r="H5440">
        <f>IF(B5440,SQRT(-2*LN(F5440))*COS(2*PI()*G5440),"")</f>
        <v/>
      </c>
      <c r="I5440">
        <f>IF(B5440,IF(D5440=0,H5440,Rho*I5439+SQRT(1-Rho^2)*H5440),"")</f>
        <v/>
      </c>
      <c r="J5440">
        <f>IF(B5440,IF(Dist="Normal",DistA+DistB*I5440,DistA+(DistB-DistA)*NORMSDIST(I5440)),"")</f>
        <v/>
      </c>
      <c r="K5440">
        <f>IF(B5440,INDEX(MineScale,C5440),"")</f>
        <v/>
      </c>
      <c r="L5440">
        <f>IF(B5440,INDEX(Dow,1,WEEKDAY(E5440,2)),"")</f>
        <v/>
      </c>
      <c r="M5440">
        <f>IF(B5440,(1+Trend)^D5440,"")</f>
        <v/>
      </c>
      <c r="N5440">
        <f>IF(B5440,EXP(SUMPRODUCT(LN(1+(EvEff-1)*INDEX(Affected,0,C5440)*EXP(-((E5440-EvCenter)^2)/(2*EvSigma^2))))),"")</f>
        <v/>
      </c>
      <c r="O5440">
        <f>IF(B5440,ROUND(MAX(0,J5440*K5440*L5440*M5440*N5440),2),"")</f>
        <v/>
      </c>
    </row>
    <row r="5441">
      <c r="A5441" t="n">
        <v>5440</v>
      </c>
      <c r="B5441">
        <f>A5441&lt;=MineCount*Days</f>
        <v/>
      </c>
      <c r="C5441">
        <f>IF(B5441,INT((A5441-1)/Days)+1,"")</f>
        <v/>
      </c>
      <c r="D5441">
        <f>IF(B5441,MOD(A5441-1,Days),"")</f>
        <v/>
      </c>
      <c r="E5441" s="16">
        <f>IF(B5441,StartDate+D5441,"")</f>
        <v/>
      </c>
      <c r="F5441">
        <f>IF(B5441,MAX(MOD(SIN(Seed*0.1373+C5441*12.9898+D5441*78.233)*43758.5453,1),1E-9),"")</f>
        <v/>
      </c>
      <c r="G5441">
        <f>IF(B5441,MOD(SIN(Seed*0.5917+C5441*39.3468+D5441*11.135)*24634.6345,1),"")</f>
        <v/>
      </c>
      <c r="H5441">
        <f>IF(B5441,SQRT(-2*LN(F5441))*COS(2*PI()*G5441),"")</f>
        <v/>
      </c>
      <c r="I5441">
        <f>IF(B5441,IF(D5441=0,H5441,Rho*I5440+SQRT(1-Rho^2)*H5441),"")</f>
        <v/>
      </c>
      <c r="J5441">
        <f>IF(B5441,IF(Dist="Normal",DistA+DistB*I5441,DistA+(DistB-DistA)*NORMSDIST(I5441)),"")</f>
        <v/>
      </c>
      <c r="K5441">
        <f>IF(B5441,INDEX(MineScale,C5441),"")</f>
        <v/>
      </c>
      <c r="L5441">
        <f>IF(B5441,INDEX(Dow,1,WEEKDAY(E5441,2)),"")</f>
        <v/>
      </c>
      <c r="M5441">
        <f>IF(B5441,(1+Trend)^D5441,"")</f>
        <v/>
      </c>
      <c r="N5441">
        <f>IF(B5441,EXP(SUMPRODUCT(LN(1+(EvEff-1)*INDEX(Affected,0,C5441)*EXP(-((E5441-EvCenter)^2)/(2*EvSigma^2))))),"")</f>
        <v/>
      </c>
      <c r="O5441">
        <f>IF(B5441,ROUND(MAX(0,J5441*K5441*L5441*M5441*N5441),2),"")</f>
        <v/>
      </c>
    </row>
    <row r="5442">
      <c r="A5442" t="n">
        <v>5441</v>
      </c>
      <c r="B5442">
        <f>A5442&lt;=MineCount*Days</f>
        <v/>
      </c>
      <c r="C5442">
        <f>IF(B5442,INT((A5442-1)/Days)+1,"")</f>
        <v/>
      </c>
      <c r="D5442">
        <f>IF(B5442,MOD(A5442-1,Days),"")</f>
        <v/>
      </c>
      <c r="E5442" s="16">
        <f>IF(B5442,StartDate+D5442,"")</f>
        <v/>
      </c>
      <c r="F5442">
        <f>IF(B5442,MAX(MOD(SIN(Seed*0.1373+C5442*12.9898+D5442*78.233)*43758.5453,1),1E-9),"")</f>
        <v/>
      </c>
      <c r="G5442">
        <f>IF(B5442,MOD(SIN(Seed*0.5917+C5442*39.3468+D5442*11.135)*24634.6345,1),"")</f>
        <v/>
      </c>
      <c r="H5442">
        <f>IF(B5442,SQRT(-2*LN(F5442))*COS(2*PI()*G5442),"")</f>
        <v/>
      </c>
      <c r="I5442">
        <f>IF(B5442,IF(D5442=0,H5442,Rho*I5441+SQRT(1-Rho^2)*H5442),"")</f>
        <v/>
      </c>
      <c r="J5442">
        <f>IF(B5442,IF(Dist="Normal",DistA+DistB*I5442,DistA+(DistB-DistA)*NORMSDIST(I5442)),"")</f>
        <v/>
      </c>
      <c r="K5442">
        <f>IF(B5442,INDEX(MineScale,C5442),"")</f>
        <v/>
      </c>
      <c r="L5442">
        <f>IF(B5442,INDEX(Dow,1,WEEKDAY(E5442,2)),"")</f>
        <v/>
      </c>
      <c r="M5442">
        <f>IF(B5442,(1+Trend)^D5442,"")</f>
        <v/>
      </c>
      <c r="N5442">
        <f>IF(B5442,EXP(SUMPRODUCT(LN(1+(EvEff-1)*INDEX(Affected,0,C5442)*EXP(-((E5442-EvCenter)^2)/(2*EvSigma^2))))),"")</f>
        <v/>
      </c>
      <c r="O5442">
        <f>IF(B5442,ROUND(MAX(0,J5442*K5442*L5442*M5442*N5442),2),"")</f>
        <v/>
      </c>
    </row>
    <row r="5443">
      <c r="A5443" t="n">
        <v>5442</v>
      </c>
      <c r="B5443">
        <f>A5443&lt;=MineCount*Days</f>
        <v/>
      </c>
      <c r="C5443">
        <f>IF(B5443,INT((A5443-1)/Days)+1,"")</f>
        <v/>
      </c>
      <c r="D5443">
        <f>IF(B5443,MOD(A5443-1,Days),"")</f>
        <v/>
      </c>
      <c r="E5443" s="16">
        <f>IF(B5443,StartDate+D5443,"")</f>
        <v/>
      </c>
      <c r="F5443">
        <f>IF(B5443,MAX(MOD(SIN(Seed*0.1373+C5443*12.9898+D5443*78.233)*43758.5453,1),1E-9),"")</f>
        <v/>
      </c>
      <c r="G5443">
        <f>IF(B5443,MOD(SIN(Seed*0.5917+C5443*39.3468+D5443*11.135)*24634.6345,1),"")</f>
        <v/>
      </c>
      <c r="H5443">
        <f>IF(B5443,SQRT(-2*LN(F5443))*COS(2*PI()*G5443),"")</f>
        <v/>
      </c>
      <c r="I5443">
        <f>IF(B5443,IF(D5443=0,H5443,Rho*I5442+SQRT(1-Rho^2)*H5443),"")</f>
        <v/>
      </c>
      <c r="J5443">
        <f>IF(B5443,IF(Dist="Normal",DistA+DistB*I5443,DistA+(DistB-DistA)*NORMSDIST(I5443)),"")</f>
        <v/>
      </c>
      <c r="K5443">
        <f>IF(B5443,INDEX(MineScale,C5443),"")</f>
        <v/>
      </c>
      <c r="L5443">
        <f>IF(B5443,INDEX(Dow,1,WEEKDAY(E5443,2)),"")</f>
        <v/>
      </c>
      <c r="M5443">
        <f>IF(B5443,(1+Trend)^D5443,"")</f>
        <v/>
      </c>
      <c r="N5443">
        <f>IF(B5443,EXP(SUMPRODUCT(LN(1+(EvEff-1)*INDEX(Affected,0,C5443)*EXP(-((E5443-EvCenter)^2)/(2*EvSigma^2))))),"")</f>
        <v/>
      </c>
      <c r="O5443">
        <f>IF(B5443,ROUND(MAX(0,J5443*K5443*L5443*M5443*N5443),2),"")</f>
        <v/>
      </c>
    </row>
    <row r="5444">
      <c r="A5444" t="n">
        <v>5443</v>
      </c>
      <c r="B5444">
        <f>A5444&lt;=MineCount*Days</f>
        <v/>
      </c>
      <c r="C5444">
        <f>IF(B5444,INT((A5444-1)/Days)+1,"")</f>
        <v/>
      </c>
      <c r="D5444">
        <f>IF(B5444,MOD(A5444-1,Days),"")</f>
        <v/>
      </c>
      <c r="E5444" s="16">
        <f>IF(B5444,StartDate+D5444,"")</f>
        <v/>
      </c>
      <c r="F5444">
        <f>IF(B5444,MAX(MOD(SIN(Seed*0.1373+C5444*12.9898+D5444*78.233)*43758.5453,1),1E-9),"")</f>
        <v/>
      </c>
      <c r="G5444">
        <f>IF(B5444,MOD(SIN(Seed*0.5917+C5444*39.3468+D5444*11.135)*24634.6345,1),"")</f>
        <v/>
      </c>
      <c r="H5444">
        <f>IF(B5444,SQRT(-2*LN(F5444))*COS(2*PI()*G5444),"")</f>
        <v/>
      </c>
      <c r="I5444">
        <f>IF(B5444,IF(D5444=0,H5444,Rho*I5443+SQRT(1-Rho^2)*H5444),"")</f>
        <v/>
      </c>
      <c r="J5444">
        <f>IF(B5444,IF(Dist="Normal",DistA+DistB*I5444,DistA+(DistB-DistA)*NORMSDIST(I5444)),"")</f>
        <v/>
      </c>
      <c r="K5444">
        <f>IF(B5444,INDEX(MineScale,C5444),"")</f>
        <v/>
      </c>
      <c r="L5444">
        <f>IF(B5444,INDEX(Dow,1,WEEKDAY(E5444,2)),"")</f>
        <v/>
      </c>
      <c r="M5444">
        <f>IF(B5444,(1+Trend)^D5444,"")</f>
        <v/>
      </c>
      <c r="N5444">
        <f>IF(B5444,EXP(SUMPRODUCT(LN(1+(EvEff-1)*INDEX(Affected,0,C5444)*EXP(-((E5444-EvCenter)^2)/(2*EvSigma^2))))),"")</f>
        <v/>
      </c>
      <c r="O5444">
        <f>IF(B5444,ROUND(MAX(0,J5444*K5444*L5444*M5444*N5444),2),"")</f>
        <v/>
      </c>
    </row>
    <row r="5445">
      <c r="A5445" t="n">
        <v>5444</v>
      </c>
      <c r="B5445">
        <f>A5445&lt;=MineCount*Days</f>
        <v/>
      </c>
      <c r="C5445">
        <f>IF(B5445,INT((A5445-1)/Days)+1,"")</f>
        <v/>
      </c>
      <c r="D5445">
        <f>IF(B5445,MOD(A5445-1,Days),"")</f>
        <v/>
      </c>
      <c r="E5445" s="16">
        <f>IF(B5445,StartDate+D5445,"")</f>
        <v/>
      </c>
      <c r="F5445">
        <f>IF(B5445,MAX(MOD(SIN(Seed*0.1373+C5445*12.9898+D5445*78.233)*43758.5453,1),1E-9),"")</f>
        <v/>
      </c>
      <c r="G5445">
        <f>IF(B5445,MOD(SIN(Seed*0.5917+C5445*39.3468+D5445*11.135)*24634.6345,1),"")</f>
        <v/>
      </c>
      <c r="H5445">
        <f>IF(B5445,SQRT(-2*LN(F5445))*COS(2*PI()*G5445),"")</f>
        <v/>
      </c>
      <c r="I5445">
        <f>IF(B5445,IF(D5445=0,H5445,Rho*I5444+SQRT(1-Rho^2)*H5445),"")</f>
        <v/>
      </c>
      <c r="J5445">
        <f>IF(B5445,IF(Dist="Normal",DistA+DistB*I5445,DistA+(DistB-DistA)*NORMSDIST(I5445)),"")</f>
        <v/>
      </c>
      <c r="K5445">
        <f>IF(B5445,INDEX(MineScale,C5445),"")</f>
        <v/>
      </c>
      <c r="L5445">
        <f>IF(B5445,INDEX(Dow,1,WEEKDAY(E5445,2)),"")</f>
        <v/>
      </c>
      <c r="M5445">
        <f>IF(B5445,(1+Trend)^D5445,"")</f>
        <v/>
      </c>
      <c r="N5445">
        <f>IF(B5445,EXP(SUMPRODUCT(LN(1+(EvEff-1)*INDEX(Affected,0,C5445)*EXP(-((E5445-EvCenter)^2)/(2*EvSigma^2))))),"")</f>
        <v/>
      </c>
      <c r="O5445">
        <f>IF(B5445,ROUND(MAX(0,J5445*K5445*L5445*M5445*N5445),2),"")</f>
        <v/>
      </c>
    </row>
    <row r="5446">
      <c r="A5446" t="n">
        <v>5445</v>
      </c>
      <c r="B5446">
        <f>A5446&lt;=MineCount*Days</f>
        <v/>
      </c>
      <c r="C5446">
        <f>IF(B5446,INT((A5446-1)/Days)+1,"")</f>
        <v/>
      </c>
      <c r="D5446">
        <f>IF(B5446,MOD(A5446-1,Days),"")</f>
        <v/>
      </c>
      <c r="E5446" s="16">
        <f>IF(B5446,StartDate+D5446,"")</f>
        <v/>
      </c>
      <c r="F5446">
        <f>IF(B5446,MAX(MOD(SIN(Seed*0.1373+C5446*12.9898+D5446*78.233)*43758.5453,1),1E-9),"")</f>
        <v/>
      </c>
      <c r="G5446">
        <f>IF(B5446,MOD(SIN(Seed*0.5917+C5446*39.3468+D5446*11.135)*24634.6345,1),"")</f>
        <v/>
      </c>
      <c r="H5446">
        <f>IF(B5446,SQRT(-2*LN(F5446))*COS(2*PI()*G5446),"")</f>
        <v/>
      </c>
      <c r="I5446">
        <f>IF(B5446,IF(D5446=0,H5446,Rho*I5445+SQRT(1-Rho^2)*H5446),"")</f>
        <v/>
      </c>
      <c r="J5446">
        <f>IF(B5446,IF(Dist="Normal",DistA+DistB*I5446,DistA+(DistB-DistA)*NORMSDIST(I5446)),"")</f>
        <v/>
      </c>
      <c r="K5446">
        <f>IF(B5446,INDEX(MineScale,C5446),"")</f>
        <v/>
      </c>
      <c r="L5446">
        <f>IF(B5446,INDEX(Dow,1,WEEKDAY(E5446,2)),"")</f>
        <v/>
      </c>
      <c r="M5446">
        <f>IF(B5446,(1+Trend)^D5446,"")</f>
        <v/>
      </c>
      <c r="N5446">
        <f>IF(B5446,EXP(SUMPRODUCT(LN(1+(EvEff-1)*INDEX(Affected,0,C5446)*EXP(-((E5446-EvCenter)^2)/(2*EvSigma^2))))),"")</f>
        <v/>
      </c>
      <c r="O5446">
        <f>IF(B5446,ROUND(MAX(0,J5446*K5446*L5446*M5446*N5446),2),"")</f>
        <v/>
      </c>
    </row>
    <row r="5447">
      <c r="A5447" t="n">
        <v>5446</v>
      </c>
      <c r="B5447">
        <f>A5447&lt;=MineCount*Days</f>
        <v/>
      </c>
      <c r="C5447">
        <f>IF(B5447,INT((A5447-1)/Days)+1,"")</f>
        <v/>
      </c>
      <c r="D5447">
        <f>IF(B5447,MOD(A5447-1,Days),"")</f>
        <v/>
      </c>
      <c r="E5447" s="16">
        <f>IF(B5447,StartDate+D5447,"")</f>
        <v/>
      </c>
      <c r="F5447">
        <f>IF(B5447,MAX(MOD(SIN(Seed*0.1373+C5447*12.9898+D5447*78.233)*43758.5453,1),1E-9),"")</f>
        <v/>
      </c>
      <c r="G5447">
        <f>IF(B5447,MOD(SIN(Seed*0.5917+C5447*39.3468+D5447*11.135)*24634.6345,1),"")</f>
        <v/>
      </c>
      <c r="H5447">
        <f>IF(B5447,SQRT(-2*LN(F5447))*COS(2*PI()*G5447),"")</f>
        <v/>
      </c>
      <c r="I5447">
        <f>IF(B5447,IF(D5447=0,H5447,Rho*I5446+SQRT(1-Rho^2)*H5447),"")</f>
        <v/>
      </c>
      <c r="J5447">
        <f>IF(B5447,IF(Dist="Normal",DistA+DistB*I5447,DistA+(DistB-DistA)*NORMSDIST(I5447)),"")</f>
        <v/>
      </c>
      <c r="K5447">
        <f>IF(B5447,INDEX(MineScale,C5447),"")</f>
        <v/>
      </c>
      <c r="L5447">
        <f>IF(B5447,INDEX(Dow,1,WEEKDAY(E5447,2)),"")</f>
        <v/>
      </c>
      <c r="M5447">
        <f>IF(B5447,(1+Trend)^D5447,"")</f>
        <v/>
      </c>
      <c r="N5447">
        <f>IF(B5447,EXP(SUMPRODUCT(LN(1+(EvEff-1)*INDEX(Affected,0,C5447)*EXP(-((E5447-EvCenter)^2)/(2*EvSigma^2))))),"")</f>
        <v/>
      </c>
      <c r="O5447">
        <f>IF(B5447,ROUND(MAX(0,J5447*K5447*L5447*M5447*N5447),2),"")</f>
        <v/>
      </c>
    </row>
    <row r="5448">
      <c r="A5448" t="n">
        <v>5447</v>
      </c>
      <c r="B5448">
        <f>A5448&lt;=MineCount*Days</f>
        <v/>
      </c>
      <c r="C5448">
        <f>IF(B5448,INT((A5448-1)/Days)+1,"")</f>
        <v/>
      </c>
      <c r="D5448">
        <f>IF(B5448,MOD(A5448-1,Days),"")</f>
        <v/>
      </c>
      <c r="E5448" s="16">
        <f>IF(B5448,StartDate+D5448,"")</f>
        <v/>
      </c>
      <c r="F5448">
        <f>IF(B5448,MAX(MOD(SIN(Seed*0.1373+C5448*12.9898+D5448*78.233)*43758.5453,1),1E-9),"")</f>
        <v/>
      </c>
      <c r="G5448">
        <f>IF(B5448,MOD(SIN(Seed*0.5917+C5448*39.3468+D5448*11.135)*24634.6345,1),"")</f>
        <v/>
      </c>
      <c r="H5448">
        <f>IF(B5448,SQRT(-2*LN(F5448))*COS(2*PI()*G5448),"")</f>
        <v/>
      </c>
      <c r="I5448">
        <f>IF(B5448,IF(D5448=0,H5448,Rho*I5447+SQRT(1-Rho^2)*H5448),"")</f>
        <v/>
      </c>
      <c r="J5448">
        <f>IF(B5448,IF(Dist="Normal",DistA+DistB*I5448,DistA+(DistB-DistA)*NORMSDIST(I5448)),"")</f>
        <v/>
      </c>
      <c r="K5448">
        <f>IF(B5448,INDEX(MineScale,C5448),"")</f>
        <v/>
      </c>
      <c r="L5448">
        <f>IF(B5448,INDEX(Dow,1,WEEKDAY(E5448,2)),"")</f>
        <v/>
      </c>
      <c r="M5448">
        <f>IF(B5448,(1+Trend)^D5448,"")</f>
        <v/>
      </c>
      <c r="N5448">
        <f>IF(B5448,EXP(SUMPRODUCT(LN(1+(EvEff-1)*INDEX(Affected,0,C5448)*EXP(-((E5448-EvCenter)^2)/(2*EvSigma^2))))),"")</f>
        <v/>
      </c>
      <c r="O5448">
        <f>IF(B5448,ROUND(MAX(0,J5448*K5448*L5448*M5448*N5448),2),"")</f>
        <v/>
      </c>
    </row>
    <row r="5449">
      <c r="A5449" t="n">
        <v>5448</v>
      </c>
      <c r="B5449">
        <f>A5449&lt;=MineCount*Days</f>
        <v/>
      </c>
      <c r="C5449">
        <f>IF(B5449,INT((A5449-1)/Days)+1,"")</f>
        <v/>
      </c>
      <c r="D5449">
        <f>IF(B5449,MOD(A5449-1,Days),"")</f>
        <v/>
      </c>
      <c r="E5449" s="16">
        <f>IF(B5449,StartDate+D5449,"")</f>
        <v/>
      </c>
      <c r="F5449">
        <f>IF(B5449,MAX(MOD(SIN(Seed*0.1373+C5449*12.9898+D5449*78.233)*43758.5453,1),1E-9),"")</f>
        <v/>
      </c>
      <c r="G5449">
        <f>IF(B5449,MOD(SIN(Seed*0.5917+C5449*39.3468+D5449*11.135)*24634.6345,1),"")</f>
        <v/>
      </c>
      <c r="H5449">
        <f>IF(B5449,SQRT(-2*LN(F5449))*COS(2*PI()*G5449),"")</f>
        <v/>
      </c>
      <c r="I5449">
        <f>IF(B5449,IF(D5449=0,H5449,Rho*I5448+SQRT(1-Rho^2)*H5449),"")</f>
        <v/>
      </c>
      <c r="J5449">
        <f>IF(B5449,IF(Dist="Normal",DistA+DistB*I5449,DistA+(DistB-DistA)*NORMSDIST(I5449)),"")</f>
        <v/>
      </c>
      <c r="K5449">
        <f>IF(B5449,INDEX(MineScale,C5449),"")</f>
        <v/>
      </c>
      <c r="L5449">
        <f>IF(B5449,INDEX(Dow,1,WEEKDAY(E5449,2)),"")</f>
        <v/>
      </c>
      <c r="M5449">
        <f>IF(B5449,(1+Trend)^D5449,"")</f>
        <v/>
      </c>
      <c r="N5449">
        <f>IF(B5449,EXP(SUMPRODUCT(LN(1+(EvEff-1)*INDEX(Affected,0,C5449)*EXP(-((E5449-EvCenter)^2)/(2*EvSigma^2))))),"")</f>
        <v/>
      </c>
      <c r="O5449">
        <f>IF(B5449,ROUND(MAX(0,J5449*K5449*L5449*M5449*N5449),2),"")</f>
        <v/>
      </c>
    </row>
    <row r="5450">
      <c r="A5450" t="n">
        <v>5449</v>
      </c>
      <c r="B5450">
        <f>A5450&lt;=MineCount*Days</f>
        <v/>
      </c>
      <c r="C5450">
        <f>IF(B5450,INT((A5450-1)/Days)+1,"")</f>
        <v/>
      </c>
      <c r="D5450">
        <f>IF(B5450,MOD(A5450-1,Days),"")</f>
        <v/>
      </c>
      <c r="E5450" s="16">
        <f>IF(B5450,StartDate+D5450,"")</f>
        <v/>
      </c>
      <c r="F5450">
        <f>IF(B5450,MAX(MOD(SIN(Seed*0.1373+C5450*12.9898+D5450*78.233)*43758.5453,1),1E-9),"")</f>
        <v/>
      </c>
      <c r="G5450">
        <f>IF(B5450,MOD(SIN(Seed*0.5917+C5450*39.3468+D5450*11.135)*24634.6345,1),"")</f>
        <v/>
      </c>
      <c r="H5450">
        <f>IF(B5450,SQRT(-2*LN(F5450))*COS(2*PI()*G5450),"")</f>
        <v/>
      </c>
      <c r="I5450">
        <f>IF(B5450,IF(D5450=0,H5450,Rho*I5449+SQRT(1-Rho^2)*H5450),"")</f>
        <v/>
      </c>
      <c r="J5450">
        <f>IF(B5450,IF(Dist="Normal",DistA+DistB*I5450,DistA+(DistB-DistA)*NORMSDIST(I5450)),"")</f>
        <v/>
      </c>
      <c r="K5450">
        <f>IF(B5450,INDEX(MineScale,C5450),"")</f>
        <v/>
      </c>
      <c r="L5450">
        <f>IF(B5450,INDEX(Dow,1,WEEKDAY(E5450,2)),"")</f>
        <v/>
      </c>
      <c r="M5450">
        <f>IF(B5450,(1+Trend)^D5450,"")</f>
        <v/>
      </c>
      <c r="N5450">
        <f>IF(B5450,EXP(SUMPRODUCT(LN(1+(EvEff-1)*INDEX(Affected,0,C5450)*EXP(-((E5450-EvCenter)^2)/(2*EvSigma^2))))),"")</f>
        <v/>
      </c>
      <c r="O5450">
        <f>IF(B5450,ROUND(MAX(0,J5450*K5450*L5450*M5450*N5450),2),"")</f>
        <v/>
      </c>
    </row>
    <row r="5451">
      <c r="A5451" t="n">
        <v>5450</v>
      </c>
      <c r="B5451">
        <f>A5451&lt;=MineCount*Days</f>
        <v/>
      </c>
      <c r="C5451">
        <f>IF(B5451,INT((A5451-1)/Days)+1,"")</f>
        <v/>
      </c>
      <c r="D5451">
        <f>IF(B5451,MOD(A5451-1,Days),"")</f>
        <v/>
      </c>
      <c r="E5451" s="16">
        <f>IF(B5451,StartDate+D5451,"")</f>
        <v/>
      </c>
      <c r="F5451">
        <f>IF(B5451,MAX(MOD(SIN(Seed*0.1373+C5451*12.9898+D5451*78.233)*43758.5453,1),1E-9),"")</f>
        <v/>
      </c>
      <c r="G5451">
        <f>IF(B5451,MOD(SIN(Seed*0.5917+C5451*39.3468+D5451*11.135)*24634.6345,1),"")</f>
        <v/>
      </c>
      <c r="H5451">
        <f>IF(B5451,SQRT(-2*LN(F5451))*COS(2*PI()*G5451),"")</f>
        <v/>
      </c>
      <c r="I5451">
        <f>IF(B5451,IF(D5451=0,H5451,Rho*I5450+SQRT(1-Rho^2)*H5451),"")</f>
        <v/>
      </c>
      <c r="J5451">
        <f>IF(B5451,IF(Dist="Normal",DistA+DistB*I5451,DistA+(DistB-DistA)*NORMSDIST(I5451)),"")</f>
        <v/>
      </c>
      <c r="K5451">
        <f>IF(B5451,INDEX(MineScale,C5451),"")</f>
        <v/>
      </c>
      <c r="L5451">
        <f>IF(B5451,INDEX(Dow,1,WEEKDAY(E5451,2)),"")</f>
        <v/>
      </c>
      <c r="M5451">
        <f>IF(B5451,(1+Trend)^D5451,"")</f>
        <v/>
      </c>
      <c r="N5451">
        <f>IF(B5451,EXP(SUMPRODUCT(LN(1+(EvEff-1)*INDEX(Affected,0,C5451)*EXP(-((E5451-EvCenter)^2)/(2*EvSigma^2))))),"")</f>
        <v/>
      </c>
      <c r="O5451">
        <f>IF(B5451,ROUND(MAX(0,J5451*K5451*L5451*M5451*N5451),2),"")</f>
        <v/>
      </c>
    </row>
    <row r="5452">
      <c r="A5452" t="n">
        <v>5451</v>
      </c>
      <c r="B5452">
        <f>A5452&lt;=MineCount*Days</f>
        <v/>
      </c>
      <c r="C5452">
        <f>IF(B5452,INT((A5452-1)/Days)+1,"")</f>
        <v/>
      </c>
      <c r="D5452">
        <f>IF(B5452,MOD(A5452-1,Days),"")</f>
        <v/>
      </c>
      <c r="E5452" s="16">
        <f>IF(B5452,StartDate+D5452,"")</f>
        <v/>
      </c>
      <c r="F5452">
        <f>IF(B5452,MAX(MOD(SIN(Seed*0.1373+C5452*12.9898+D5452*78.233)*43758.5453,1),1E-9),"")</f>
        <v/>
      </c>
      <c r="G5452">
        <f>IF(B5452,MOD(SIN(Seed*0.5917+C5452*39.3468+D5452*11.135)*24634.6345,1),"")</f>
        <v/>
      </c>
      <c r="H5452">
        <f>IF(B5452,SQRT(-2*LN(F5452))*COS(2*PI()*G5452),"")</f>
        <v/>
      </c>
      <c r="I5452">
        <f>IF(B5452,IF(D5452=0,H5452,Rho*I5451+SQRT(1-Rho^2)*H5452),"")</f>
        <v/>
      </c>
      <c r="J5452">
        <f>IF(B5452,IF(Dist="Normal",DistA+DistB*I5452,DistA+(DistB-DistA)*NORMSDIST(I5452)),"")</f>
        <v/>
      </c>
      <c r="K5452">
        <f>IF(B5452,INDEX(MineScale,C5452),"")</f>
        <v/>
      </c>
      <c r="L5452">
        <f>IF(B5452,INDEX(Dow,1,WEEKDAY(E5452,2)),"")</f>
        <v/>
      </c>
      <c r="M5452">
        <f>IF(B5452,(1+Trend)^D5452,"")</f>
        <v/>
      </c>
      <c r="N5452">
        <f>IF(B5452,EXP(SUMPRODUCT(LN(1+(EvEff-1)*INDEX(Affected,0,C5452)*EXP(-((E5452-EvCenter)^2)/(2*EvSigma^2))))),"")</f>
        <v/>
      </c>
      <c r="O5452">
        <f>IF(B5452,ROUND(MAX(0,J5452*K5452*L5452*M5452*N5452),2),"")</f>
        <v/>
      </c>
    </row>
    <row r="5453">
      <c r="A5453" t="n">
        <v>5452</v>
      </c>
      <c r="B5453">
        <f>A5453&lt;=MineCount*Days</f>
        <v/>
      </c>
      <c r="C5453">
        <f>IF(B5453,INT((A5453-1)/Days)+1,"")</f>
        <v/>
      </c>
      <c r="D5453">
        <f>IF(B5453,MOD(A5453-1,Days),"")</f>
        <v/>
      </c>
      <c r="E5453" s="16">
        <f>IF(B5453,StartDate+D5453,"")</f>
        <v/>
      </c>
      <c r="F5453">
        <f>IF(B5453,MAX(MOD(SIN(Seed*0.1373+C5453*12.9898+D5453*78.233)*43758.5453,1),1E-9),"")</f>
        <v/>
      </c>
      <c r="G5453">
        <f>IF(B5453,MOD(SIN(Seed*0.5917+C5453*39.3468+D5453*11.135)*24634.6345,1),"")</f>
        <v/>
      </c>
      <c r="H5453">
        <f>IF(B5453,SQRT(-2*LN(F5453))*COS(2*PI()*G5453),"")</f>
        <v/>
      </c>
      <c r="I5453">
        <f>IF(B5453,IF(D5453=0,H5453,Rho*I5452+SQRT(1-Rho^2)*H5453),"")</f>
        <v/>
      </c>
      <c r="J5453">
        <f>IF(B5453,IF(Dist="Normal",DistA+DistB*I5453,DistA+(DistB-DistA)*NORMSDIST(I5453)),"")</f>
        <v/>
      </c>
      <c r="K5453">
        <f>IF(B5453,INDEX(MineScale,C5453),"")</f>
        <v/>
      </c>
      <c r="L5453">
        <f>IF(B5453,INDEX(Dow,1,WEEKDAY(E5453,2)),"")</f>
        <v/>
      </c>
      <c r="M5453">
        <f>IF(B5453,(1+Trend)^D5453,"")</f>
        <v/>
      </c>
      <c r="N5453">
        <f>IF(B5453,EXP(SUMPRODUCT(LN(1+(EvEff-1)*INDEX(Affected,0,C5453)*EXP(-((E5453-EvCenter)^2)/(2*EvSigma^2))))),"")</f>
        <v/>
      </c>
      <c r="O5453">
        <f>IF(B5453,ROUND(MAX(0,J5453*K5453*L5453*M5453*N5453),2),"")</f>
        <v/>
      </c>
    </row>
    <row r="5454">
      <c r="A5454" t="n">
        <v>5453</v>
      </c>
      <c r="B5454">
        <f>A5454&lt;=MineCount*Days</f>
        <v/>
      </c>
      <c r="C5454">
        <f>IF(B5454,INT((A5454-1)/Days)+1,"")</f>
        <v/>
      </c>
      <c r="D5454">
        <f>IF(B5454,MOD(A5454-1,Days),"")</f>
        <v/>
      </c>
      <c r="E5454" s="16">
        <f>IF(B5454,StartDate+D5454,"")</f>
        <v/>
      </c>
      <c r="F5454">
        <f>IF(B5454,MAX(MOD(SIN(Seed*0.1373+C5454*12.9898+D5454*78.233)*43758.5453,1),1E-9),"")</f>
        <v/>
      </c>
      <c r="G5454">
        <f>IF(B5454,MOD(SIN(Seed*0.5917+C5454*39.3468+D5454*11.135)*24634.6345,1),"")</f>
        <v/>
      </c>
      <c r="H5454">
        <f>IF(B5454,SQRT(-2*LN(F5454))*COS(2*PI()*G5454),"")</f>
        <v/>
      </c>
      <c r="I5454">
        <f>IF(B5454,IF(D5454=0,H5454,Rho*I5453+SQRT(1-Rho^2)*H5454),"")</f>
        <v/>
      </c>
      <c r="J5454">
        <f>IF(B5454,IF(Dist="Normal",DistA+DistB*I5454,DistA+(DistB-DistA)*NORMSDIST(I5454)),"")</f>
        <v/>
      </c>
      <c r="K5454">
        <f>IF(B5454,INDEX(MineScale,C5454),"")</f>
        <v/>
      </c>
      <c r="L5454">
        <f>IF(B5454,INDEX(Dow,1,WEEKDAY(E5454,2)),"")</f>
        <v/>
      </c>
      <c r="M5454">
        <f>IF(B5454,(1+Trend)^D5454,"")</f>
        <v/>
      </c>
      <c r="N5454">
        <f>IF(B5454,EXP(SUMPRODUCT(LN(1+(EvEff-1)*INDEX(Affected,0,C5454)*EXP(-((E5454-EvCenter)^2)/(2*EvSigma^2))))),"")</f>
        <v/>
      </c>
      <c r="O5454">
        <f>IF(B5454,ROUND(MAX(0,J5454*K5454*L5454*M5454*N5454),2),"")</f>
        <v/>
      </c>
    </row>
    <row r="5455">
      <c r="A5455" t="n">
        <v>5454</v>
      </c>
      <c r="B5455">
        <f>A5455&lt;=MineCount*Days</f>
        <v/>
      </c>
      <c r="C5455">
        <f>IF(B5455,INT((A5455-1)/Days)+1,"")</f>
        <v/>
      </c>
      <c r="D5455">
        <f>IF(B5455,MOD(A5455-1,Days),"")</f>
        <v/>
      </c>
      <c r="E5455" s="16">
        <f>IF(B5455,StartDate+D5455,"")</f>
        <v/>
      </c>
      <c r="F5455">
        <f>IF(B5455,MAX(MOD(SIN(Seed*0.1373+C5455*12.9898+D5455*78.233)*43758.5453,1),1E-9),"")</f>
        <v/>
      </c>
      <c r="G5455">
        <f>IF(B5455,MOD(SIN(Seed*0.5917+C5455*39.3468+D5455*11.135)*24634.6345,1),"")</f>
        <v/>
      </c>
      <c r="H5455">
        <f>IF(B5455,SQRT(-2*LN(F5455))*COS(2*PI()*G5455),"")</f>
        <v/>
      </c>
      <c r="I5455">
        <f>IF(B5455,IF(D5455=0,H5455,Rho*I5454+SQRT(1-Rho^2)*H5455),"")</f>
        <v/>
      </c>
      <c r="J5455">
        <f>IF(B5455,IF(Dist="Normal",DistA+DistB*I5455,DistA+(DistB-DistA)*NORMSDIST(I5455)),"")</f>
        <v/>
      </c>
      <c r="K5455">
        <f>IF(B5455,INDEX(MineScale,C5455),"")</f>
        <v/>
      </c>
      <c r="L5455">
        <f>IF(B5455,INDEX(Dow,1,WEEKDAY(E5455,2)),"")</f>
        <v/>
      </c>
      <c r="M5455">
        <f>IF(B5455,(1+Trend)^D5455,"")</f>
        <v/>
      </c>
      <c r="N5455">
        <f>IF(B5455,EXP(SUMPRODUCT(LN(1+(EvEff-1)*INDEX(Affected,0,C5455)*EXP(-((E5455-EvCenter)^2)/(2*EvSigma^2))))),"")</f>
        <v/>
      </c>
      <c r="O5455">
        <f>IF(B5455,ROUND(MAX(0,J5455*K5455*L5455*M5455*N5455),2),"")</f>
        <v/>
      </c>
    </row>
    <row r="5456">
      <c r="A5456" t="n">
        <v>5455</v>
      </c>
      <c r="B5456">
        <f>A5456&lt;=MineCount*Days</f>
        <v/>
      </c>
      <c r="C5456">
        <f>IF(B5456,INT((A5456-1)/Days)+1,"")</f>
        <v/>
      </c>
      <c r="D5456">
        <f>IF(B5456,MOD(A5456-1,Days),"")</f>
        <v/>
      </c>
      <c r="E5456" s="16">
        <f>IF(B5456,StartDate+D5456,"")</f>
        <v/>
      </c>
      <c r="F5456">
        <f>IF(B5456,MAX(MOD(SIN(Seed*0.1373+C5456*12.9898+D5456*78.233)*43758.5453,1),1E-9),"")</f>
        <v/>
      </c>
      <c r="G5456">
        <f>IF(B5456,MOD(SIN(Seed*0.5917+C5456*39.3468+D5456*11.135)*24634.6345,1),"")</f>
        <v/>
      </c>
      <c r="H5456">
        <f>IF(B5456,SQRT(-2*LN(F5456))*COS(2*PI()*G5456),"")</f>
        <v/>
      </c>
      <c r="I5456">
        <f>IF(B5456,IF(D5456=0,H5456,Rho*I5455+SQRT(1-Rho^2)*H5456),"")</f>
        <v/>
      </c>
      <c r="J5456">
        <f>IF(B5456,IF(Dist="Normal",DistA+DistB*I5456,DistA+(DistB-DistA)*NORMSDIST(I5456)),"")</f>
        <v/>
      </c>
      <c r="K5456">
        <f>IF(B5456,INDEX(MineScale,C5456),"")</f>
        <v/>
      </c>
      <c r="L5456">
        <f>IF(B5456,INDEX(Dow,1,WEEKDAY(E5456,2)),"")</f>
        <v/>
      </c>
      <c r="M5456">
        <f>IF(B5456,(1+Trend)^D5456,"")</f>
        <v/>
      </c>
      <c r="N5456">
        <f>IF(B5456,EXP(SUMPRODUCT(LN(1+(EvEff-1)*INDEX(Affected,0,C5456)*EXP(-((E5456-EvCenter)^2)/(2*EvSigma^2))))),"")</f>
        <v/>
      </c>
      <c r="O5456">
        <f>IF(B5456,ROUND(MAX(0,J5456*K5456*L5456*M5456*N5456),2),"")</f>
        <v/>
      </c>
    </row>
    <row r="5457">
      <c r="A5457" t="n">
        <v>5456</v>
      </c>
      <c r="B5457">
        <f>A5457&lt;=MineCount*Days</f>
        <v/>
      </c>
      <c r="C5457">
        <f>IF(B5457,INT((A5457-1)/Days)+1,"")</f>
        <v/>
      </c>
      <c r="D5457">
        <f>IF(B5457,MOD(A5457-1,Days),"")</f>
        <v/>
      </c>
      <c r="E5457" s="16">
        <f>IF(B5457,StartDate+D5457,"")</f>
        <v/>
      </c>
      <c r="F5457">
        <f>IF(B5457,MAX(MOD(SIN(Seed*0.1373+C5457*12.9898+D5457*78.233)*43758.5453,1),1E-9),"")</f>
        <v/>
      </c>
      <c r="G5457">
        <f>IF(B5457,MOD(SIN(Seed*0.5917+C5457*39.3468+D5457*11.135)*24634.6345,1),"")</f>
        <v/>
      </c>
      <c r="H5457">
        <f>IF(B5457,SQRT(-2*LN(F5457))*COS(2*PI()*G5457),"")</f>
        <v/>
      </c>
      <c r="I5457">
        <f>IF(B5457,IF(D5457=0,H5457,Rho*I5456+SQRT(1-Rho^2)*H5457),"")</f>
        <v/>
      </c>
      <c r="J5457">
        <f>IF(B5457,IF(Dist="Normal",DistA+DistB*I5457,DistA+(DistB-DistA)*NORMSDIST(I5457)),"")</f>
        <v/>
      </c>
      <c r="K5457">
        <f>IF(B5457,INDEX(MineScale,C5457),"")</f>
        <v/>
      </c>
      <c r="L5457">
        <f>IF(B5457,INDEX(Dow,1,WEEKDAY(E5457,2)),"")</f>
        <v/>
      </c>
      <c r="M5457">
        <f>IF(B5457,(1+Trend)^D5457,"")</f>
        <v/>
      </c>
      <c r="N5457">
        <f>IF(B5457,EXP(SUMPRODUCT(LN(1+(EvEff-1)*INDEX(Affected,0,C5457)*EXP(-((E5457-EvCenter)^2)/(2*EvSigma^2))))),"")</f>
        <v/>
      </c>
      <c r="O5457">
        <f>IF(B5457,ROUND(MAX(0,J5457*K5457*L5457*M5457*N5457),2),"")</f>
        <v/>
      </c>
    </row>
    <row r="5458">
      <c r="A5458" t="n">
        <v>5457</v>
      </c>
      <c r="B5458">
        <f>A5458&lt;=MineCount*Days</f>
        <v/>
      </c>
      <c r="C5458">
        <f>IF(B5458,INT((A5458-1)/Days)+1,"")</f>
        <v/>
      </c>
      <c r="D5458">
        <f>IF(B5458,MOD(A5458-1,Days),"")</f>
        <v/>
      </c>
      <c r="E5458" s="16">
        <f>IF(B5458,StartDate+D5458,"")</f>
        <v/>
      </c>
      <c r="F5458">
        <f>IF(B5458,MAX(MOD(SIN(Seed*0.1373+C5458*12.9898+D5458*78.233)*43758.5453,1),1E-9),"")</f>
        <v/>
      </c>
      <c r="G5458">
        <f>IF(B5458,MOD(SIN(Seed*0.5917+C5458*39.3468+D5458*11.135)*24634.6345,1),"")</f>
        <v/>
      </c>
      <c r="H5458">
        <f>IF(B5458,SQRT(-2*LN(F5458))*COS(2*PI()*G5458),"")</f>
        <v/>
      </c>
      <c r="I5458">
        <f>IF(B5458,IF(D5458=0,H5458,Rho*I5457+SQRT(1-Rho^2)*H5458),"")</f>
        <v/>
      </c>
      <c r="J5458">
        <f>IF(B5458,IF(Dist="Normal",DistA+DistB*I5458,DistA+(DistB-DistA)*NORMSDIST(I5458)),"")</f>
        <v/>
      </c>
      <c r="K5458">
        <f>IF(B5458,INDEX(MineScale,C5458),"")</f>
        <v/>
      </c>
      <c r="L5458">
        <f>IF(B5458,INDEX(Dow,1,WEEKDAY(E5458,2)),"")</f>
        <v/>
      </c>
      <c r="M5458">
        <f>IF(B5458,(1+Trend)^D5458,"")</f>
        <v/>
      </c>
      <c r="N5458">
        <f>IF(B5458,EXP(SUMPRODUCT(LN(1+(EvEff-1)*INDEX(Affected,0,C5458)*EXP(-((E5458-EvCenter)^2)/(2*EvSigma^2))))),"")</f>
        <v/>
      </c>
      <c r="O5458">
        <f>IF(B5458,ROUND(MAX(0,J5458*K5458*L5458*M5458*N5458),2),"")</f>
        <v/>
      </c>
    </row>
    <row r="5459">
      <c r="A5459" t="n">
        <v>5458</v>
      </c>
      <c r="B5459">
        <f>A5459&lt;=MineCount*Days</f>
        <v/>
      </c>
      <c r="C5459">
        <f>IF(B5459,INT((A5459-1)/Days)+1,"")</f>
        <v/>
      </c>
      <c r="D5459">
        <f>IF(B5459,MOD(A5459-1,Days),"")</f>
        <v/>
      </c>
      <c r="E5459" s="16">
        <f>IF(B5459,StartDate+D5459,"")</f>
        <v/>
      </c>
      <c r="F5459">
        <f>IF(B5459,MAX(MOD(SIN(Seed*0.1373+C5459*12.9898+D5459*78.233)*43758.5453,1),1E-9),"")</f>
        <v/>
      </c>
      <c r="G5459">
        <f>IF(B5459,MOD(SIN(Seed*0.5917+C5459*39.3468+D5459*11.135)*24634.6345,1),"")</f>
        <v/>
      </c>
      <c r="H5459">
        <f>IF(B5459,SQRT(-2*LN(F5459))*COS(2*PI()*G5459),"")</f>
        <v/>
      </c>
      <c r="I5459">
        <f>IF(B5459,IF(D5459=0,H5459,Rho*I5458+SQRT(1-Rho^2)*H5459),"")</f>
        <v/>
      </c>
      <c r="J5459">
        <f>IF(B5459,IF(Dist="Normal",DistA+DistB*I5459,DistA+(DistB-DistA)*NORMSDIST(I5459)),"")</f>
        <v/>
      </c>
      <c r="K5459">
        <f>IF(B5459,INDEX(MineScale,C5459),"")</f>
        <v/>
      </c>
      <c r="L5459">
        <f>IF(B5459,INDEX(Dow,1,WEEKDAY(E5459,2)),"")</f>
        <v/>
      </c>
      <c r="M5459">
        <f>IF(B5459,(1+Trend)^D5459,"")</f>
        <v/>
      </c>
      <c r="N5459">
        <f>IF(B5459,EXP(SUMPRODUCT(LN(1+(EvEff-1)*INDEX(Affected,0,C5459)*EXP(-((E5459-EvCenter)^2)/(2*EvSigma^2))))),"")</f>
        <v/>
      </c>
      <c r="O5459">
        <f>IF(B5459,ROUND(MAX(0,J5459*K5459*L5459*M5459*N5459),2),"")</f>
        <v/>
      </c>
    </row>
    <row r="5460">
      <c r="A5460" t="n">
        <v>5459</v>
      </c>
      <c r="B5460">
        <f>A5460&lt;=MineCount*Days</f>
        <v/>
      </c>
      <c r="C5460">
        <f>IF(B5460,INT((A5460-1)/Days)+1,"")</f>
        <v/>
      </c>
      <c r="D5460">
        <f>IF(B5460,MOD(A5460-1,Days),"")</f>
        <v/>
      </c>
      <c r="E5460" s="16">
        <f>IF(B5460,StartDate+D5460,"")</f>
        <v/>
      </c>
      <c r="F5460">
        <f>IF(B5460,MAX(MOD(SIN(Seed*0.1373+C5460*12.9898+D5460*78.233)*43758.5453,1),1E-9),"")</f>
        <v/>
      </c>
      <c r="G5460">
        <f>IF(B5460,MOD(SIN(Seed*0.5917+C5460*39.3468+D5460*11.135)*24634.6345,1),"")</f>
        <v/>
      </c>
      <c r="H5460">
        <f>IF(B5460,SQRT(-2*LN(F5460))*COS(2*PI()*G5460),"")</f>
        <v/>
      </c>
      <c r="I5460">
        <f>IF(B5460,IF(D5460=0,H5460,Rho*I5459+SQRT(1-Rho^2)*H5460),"")</f>
        <v/>
      </c>
      <c r="J5460">
        <f>IF(B5460,IF(Dist="Normal",DistA+DistB*I5460,DistA+(DistB-DistA)*NORMSDIST(I5460)),"")</f>
        <v/>
      </c>
      <c r="K5460">
        <f>IF(B5460,INDEX(MineScale,C5460),"")</f>
        <v/>
      </c>
      <c r="L5460">
        <f>IF(B5460,INDEX(Dow,1,WEEKDAY(E5460,2)),"")</f>
        <v/>
      </c>
      <c r="M5460">
        <f>IF(B5460,(1+Trend)^D5460,"")</f>
        <v/>
      </c>
      <c r="N5460">
        <f>IF(B5460,EXP(SUMPRODUCT(LN(1+(EvEff-1)*INDEX(Affected,0,C5460)*EXP(-((E5460-EvCenter)^2)/(2*EvSigma^2))))),"")</f>
        <v/>
      </c>
      <c r="O5460">
        <f>IF(B5460,ROUND(MAX(0,J5460*K5460*L5460*M5460*N5460),2),"")</f>
        <v/>
      </c>
    </row>
    <row r="5461">
      <c r="A5461" t="n">
        <v>5460</v>
      </c>
      <c r="B5461">
        <f>A5461&lt;=MineCount*Days</f>
        <v/>
      </c>
      <c r="C5461">
        <f>IF(B5461,INT((A5461-1)/Days)+1,"")</f>
        <v/>
      </c>
      <c r="D5461">
        <f>IF(B5461,MOD(A5461-1,Days),"")</f>
        <v/>
      </c>
      <c r="E5461" s="16">
        <f>IF(B5461,StartDate+D5461,"")</f>
        <v/>
      </c>
      <c r="F5461">
        <f>IF(B5461,MAX(MOD(SIN(Seed*0.1373+C5461*12.9898+D5461*78.233)*43758.5453,1),1E-9),"")</f>
        <v/>
      </c>
      <c r="G5461">
        <f>IF(B5461,MOD(SIN(Seed*0.5917+C5461*39.3468+D5461*11.135)*24634.6345,1),"")</f>
        <v/>
      </c>
      <c r="H5461">
        <f>IF(B5461,SQRT(-2*LN(F5461))*COS(2*PI()*G5461),"")</f>
        <v/>
      </c>
      <c r="I5461">
        <f>IF(B5461,IF(D5461=0,H5461,Rho*I5460+SQRT(1-Rho^2)*H5461),"")</f>
        <v/>
      </c>
      <c r="J5461">
        <f>IF(B5461,IF(Dist="Normal",DistA+DistB*I5461,DistA+(DistB-DistA)*NORMSDIST(I5461)),"")</f>
        <v/>
      </c>
      <c r="K5461">
        <f>IF(B5461,INDEX(MineScale,C5461),"")</f>
        <v/>
      </c>
      <c r="L5461">
        <f>IF(B5461,INDEX(Dow,1,WEEKDAY(E5461,2)),"")</f>
        <v/>
      </c>
      <c r="M5461">
        <f>IF(B5461,(1+Trend)^D5461,"")</f>
        <v/>
      </c>
      <c r="N5461">
        <f>IF(B5461,EXP(SUMPRODUCT(LN(1+(EvEff-1)*INDEX(Affected,0,C5461)*EXP(-((E5461-EvCenter)^2)/(2*EvSigma^2))))),"")</f>
        <v/>
      </c>
      <c r="O5461">
        <f>IF(B5461,ROUND(MAX(0,J5461*K5461*L5461*M5461*N5461),2),"")</f>
        <v/>
      </c>
    </row>
    <row r="5462">
      <c r="A5462" t="n">
        <v>5461</v>
      </c>
      <c r="B5462">
        <f>A5462&lt;=MineCount*Days</f>
        <v/>
      </c>
      <c r="C5462">
        <f>IF(B5462,INT((A5462-1)/Days)+1,"")</f>
        <v/>
      </c>
      <c r="D5462">
        <f>IF(B5462,MOD(A5462-1,Days),"")</f>
        <v/>
      </c>
      <c r="E5462" s="16">
        <f>IF(B5462,StartDate+D5462,"")</f>
        <v/>
      </c>
      <c r="F5462">
        <f>IF(B5462,MAX(MOD(SIN(Seed*0.1373+C5462*12.9898+D5462*78.233)*43758.5453,1),1E-9),"")</f>
        <v/>
      </c>
      <c r="G5462">
        <f>IF(B5462,MOD(SIN(Seed*0.5917+C5462*39.3468+D5462*11.135)*24634.6345,1),"")</f>
        <v/>
      </c>
      <c r="H5462">
        <f>IF(B5462,SQRT(-2*LN(F5462))*COS(2*PI()*G5462),"")</f>
        <v/>
      </c>
      <c r="I5462">
        <f>IF(B5462,IF(D5462=0,H5462,Rho*I5461+SQRT(1-Rho^2)*H5462),"")</f>
        <v/>
      </c>
      <c r="J5462">
        <f>IF(B5462,IF(Dist="Normal",DistA+DistB*I5462,DistA+(DistB-DistA)*NORMSDIST(I5462)),"")</f>
        <v/>
      </c>
      <c r="K5462">
        <f>IF(B5462,INDEX(MineScale,C5462),"")</f>
        <v/>
      </c>
      <c r="L5462">
        <f>IF(B5462,INDEX(Dow,1,WEEKDAY(E5462,2)),"")</f>
        <v/>
      </c>
      <c r="M5462">
        <f>IF(B5462,(1+Trend)^D5462,"")</f>
        <v/>
      </c>
      <c r="N5462">
        <f>IF(B5462,EXP(SUMPRODUCT(LN(1+(EvEff-1)*INDEX(Affected,0,C5462)*EXP(-((E5462-EvCenter)^2)/(2*EvSigma^2))))),"")</f>
        <v/>
      </c>
      <c r="O5462">
        <f>IF(B5462,ROUND(MAX(0,J5462*K5462*L5462*M5462*N5462),2),"")</f>
        <v/>
      </c>
    </row>
    <row r="5463">
      <c r="A5463" t="n">
        <v>5462</v>
      </c>
      <c r="B5463">
        <f>A5463&lt;=MineCount*Days</f>
        <v/>
      </c>
      <c r="C5463">
        <f>IF(B5463,INT((A5463-1)/Days)+1,"")</f>
        <v/>
      </c>
      <c r="D5463">
        <f>IF(B5463,MOD(A5463-1,Days),"")</f>
        <v/>
      </c>
      <c r="E5463" s="16">
        <f>IF(B5463,StartDate+D5463,"")</f>
        <v/>
      </c>
      <c r="F5463">
        <f>IF(B5463,MAX(MOD(SIN(Seed*0.1373+C5463*12.9898+D5463*78.233)*43758.5453,1),1E-9),"")</f>
        <v/>
      </c>
      <c r="G5463">
        <f>IF(B5463,MOD(SIN(Seed*0.5917+C5463*39.3468+D5463*11.135)*24634.6345,1),"")</f>
        <v/>
      </c>
      <c r="H5463">
        <f>IF(B5463,SQRT(-2*LN(F5463))*COS(2*PI()*G5463),"")</f>
        <v/>
      </c>
      <c r="I5463">
        <f>IF(B5463,IF(D5463=0,H5463,Rho*I5462+SQRT(1-Rho^2)*H5463),"")</f>
        <v/>
      </c>
      <c r="J5463">
        <f>IF(B5463,IF(Dist="Normal",DistA+DistB*I5463,DistA+(DistB-DistA)*NORMSDIST(I5463)),"")</f>
        <v/>
      </c>
      <c r="K5463">
        <f>IF(B5463,INDEX(MineScale,C5463),"")</f>
        <v/>
      </c>
      <c r="L5463">
        <f>IF(B5463,INDEX(Dow,1,WEEKDAY(E5463,2)),"")</f>
        <v/>
      </c>
      <c r="M5463">
        <f>IF(B5463,(1+Trend)^D5463,"")</f>
        <v/>
      </c>
      <c r="N5463">
        <f>IF(B5463,EXP(SUMPRODUCT(LN(1+(EvEff-1)*INDEX(Affected,0,C5463)*EXP(-((E5463-EvCenter)^2)/(2*EvSigma^2))))),"")</f>
        <v/>
      </c>
      <c r="O5463">
        <f>IF(B5463,ROUND(MAX(0,J5463*K5463*L5463*M5463*N5463),2),"")</f>
        <v/>
      </c>
    </row>
    <row r="5464">
      <c r="A5464" t="n">
        <v>5463</v>
      </c>
      <c r="B5464">
        <f>A5464&lt;=MineCount*Days</f>
        <v/>
      </c>
      <c r="C5464">
        <f>IF(B5464,INT((A5464-1)/Days)+1,"")</f>
        <v/>
      </c>
      <c r="D5464">
        <f>IF(B5464,MOD(A5464-1,Days),"")</f>
        <v/>
      </c>
      <c r="E5464" s="16">
        <f>IF(B5464,StartDate+D5464,"")</f>
        <v/>
      </c>
      <c r="F5464">
        <f>IF(B5464,MAX(MOD(SIN(Seed*0.1373+C5464*12.9898+D5464*78.233)*43758.5453,1),1E-9),"")</f>
        <v/>
      </c>
      <c r="G5464">
        <f>IF(B5464,MOD(SIN(Seed*0.5917+C5464*39.3468+D5464*11.135)*24634.6345,1),"")</f>
        <v/>
      </c>
      <c r="H5464">
        <f>IF(B5464,SQRT(-2*LN(F5464))*COS(2*PI()*G5464),"")</f>
        <v/>
      </c>
      <c r="I5464">
        <f>IF(B5464,IF(D5464=0,H5464,Rho*I5463+SQRT(1-Rho^2)*H5464),"")</f>
        <v/>
      </c>
      <c r="J5464">
        <f>IF(B5464,IF(Dist="Normal",DistA+DistB*I5464,DistA+(DistB-DistA)*NORMSDIST(I5464)),"")</f>
        <v/>
      </c>
      <c r="K5464">
        <f>IF(B5464,INDEX(MineScale,C5464),"")</f>
        <v/>
      </c>
      <c r="L5464">
        <f>IF(B5464,INDEX(Dow,1,WEEKDAY(E5464,2)),"")</f>
        <v/>
      </c>
      <c r="M5464">
        <f>IF(B5464,(1+Trend)^D5464,"")</f>
        <v/>
      </c>
      <c r="N5464">
        <f>IF(B5464,EXP(SUMPRODUCT(LN(1+(EvEff-1)*INDEX(Affected,0,C5464)*EXP(-((E5464-EvCenter)^2)/(2*EvSigma^2))))),"")</f>
        <v/>
      </c>
      <c r="O5464">
        <f>IF(B5464,ROUND(MAX(0,J5464*K5464*L5464*M5464*N5464),2),"")</f>
        <v/>
      </c>
    </row>
    <row r="5465">
      <c r="A5465" t="n">
        <v>5464</v>
      </c>
      <c r="B5465">
        <f>A5465&lt;=MineCount*Days</f>
        <v/>
      </c>
      <c r="C5465">
        <f>IF(B5465,INT((A5465-1)/Days)+1,"")</f>
        <v/>
      </c>
      <c r="D5465">
        <f>IF(B5465,MOD(A5465-1,Days),"")</f>
        <v/>
      </c>
      <c r="E5465" s="16">
        <f>IF(B5465,StartDate+D5465,"")</f>
        <v/>
      </c>
      <c r="F5465">
        <f>IF(B5465,MAX(MOD(SIN(Seed*0.1373+C5465*12.9898+D5465*78.233)*43758.5453,1),1E-9),"")</f>
        <v/>
      </c>
      <c r="G5465">
        <f>IF(B5465,MOD(SIN(Seed*0.5917+C5465*39.3468+D5465*11.135)*24634.6345,1),"")</f>
        <v/>
      </c>
      <c r="H5465">
        <f>IF(B5465,SQRT(-2*LN(F5465))*COS(2*PI()*G5465),"")</f>
        <v/>
      </c>
      <c r="I5465">
        <f>IF(B5465,IF(D5465=0,H5465,Rho*I5464+SQRT(1-Rho^2)*H5465),"")</f>
        <v/>
      </c>
      <c r="J5465">
        <f>IF(B5465,IF(Dist="Normal",DistA+DistB*I5465,DistA+(DistB-DistA)*NORMSDIST(I5465)),"")</f>
        <v/>
      </c>
      <c r="K5465">
        <f>IF(B5465,INDEX(MineScale,C5465),"")</f>
        <v/>
      </c>
      <c r="L5465">
        <f>IF(B5465,INDEX(Dow,1,WEEKDAY(E5465,2)),"")</f>
        <v/>
      </c>
      <c r="M5465">
        <f>IF(B5465,(1+Trend)^D5465,"")</f>
        <v/>
      </c>
      <c r="N5465">
        <f>IF(B5465,EXP(SUMPRODUCT(LN(1+(EvEff-1)*INDEX(Affected,0,C5465)*EXP(-((E5465-EvCenter)^2)/(2*EvSigma^2))))),"")</f>
        <v/>
      </c>
      <c r="O5465">
        <f>IF(B5465,ROUND(MAX(0,J5465*K5465*L5465*M5465*N5465),2),"")</f>
        <v/>
      </c>
    </row>
    <row r="5466">
      <c r="A5466" t="n">
        <v>5465</v>
      </c>
      <c r="B5466">
        <f>A5466&lt;=MineCount*Days</f>
        <v/>
      </c>
      <c r="C5466">
        <f>IF(B5466,INT((A5466-1)/Days)+1,"")</f>
        <v/>
      </c>
      <c r="D5466">
        <f>IF(B5466,MOD(A5466-1,Days),"")</f>
        <v/>
      </c>
      <c r="E5466" s="16">
        <f>IF(B5466,StartDate+D5466,"")</f>
        <v/>
      </c>
      <c r="F5466">
        <f>IF(B5466,MAX(MOD(SIN(Seed*0.1373+C5466*12.9898+D5466*78.233)*43758.5453,1),1E-9),"")</f>
        <v/>
      </c>
      <c r="G5466">
        <f>IF(B5466,MOD(SIN(Seed*0.5917+C5466*39.3468+D5466*11.135)*24634.6345,1),"")</f>
        <v/>
      </c>
      <c r="H5466">
        <f>IF(B5466,SQRT(-2*LN(F5466))*COS(2*PI()*G5466),"")</f>
        <v/>
      </c>
      <c r="I5466">
        <f>IF(B5466,IF(D5466=0,H5466,Rho*I5465+SQRT(1-Rho^2)*H5466),"")</f>
        <v/>
      </c>
      <c r="J5466">
        <f>IF(B5466,IF(Dist="Normal",DistA+DistB*I5466,DistA+(DistB-DistA)*NORMSDIST(I5466)),"")</f>
        <v/>
      </c>
      <c r="K5466">
        <f>IF(B5466,INDEX(MineScale,C5466),"")</f>
        <v/>
      </c>
      <c r="L5466">
        <f>IF(B5466,INDEX(Dow,1,WEEKDAY(E5466,2)),"")</f>
        <v/>
      </c>
      <c r="M5466">
        <f>IF(B5466,(1+Trend)^D5466,"")</f>
        <v/>
      </c>
      <c r="N5466">
        <f>IF(B5466,EXP(SUMPRODUCT(LN(1+(EvEff-1)*INDEX(Affected,0,C5466)*EXP(-((E5466-EvCenter)^2)/(2*EvSigma^2))))),"")</f>
        <v/>
      </c>
      <c r="O5466">
        <f>IF(B5466,ROUND(MAX(0,J5466*K5466*L5466*M5466*N5466),2),"")</f>
        <v/>
      </c>
    </row>
    <row r="5467">
      <c r="A5467" t="n">
        <v>5466</v>
      </c>
      <c r="B5467">
        <f>A5467&lt;=MineCount*Days</f>
        <v/>
      </c>
      <c r="C5467">
        <f>IF(B5467,INT((A5467-1)/Days)+1,"")</f>
        <v/>
      </c>
      <c r="D5467">
        <f>IF(B5467,MOD(A5467-1,Days),"")</f>
        <v/>
      </c>
      <c r="E5467" s="16">
        <f>IF(B5467,StartDate+D5467,"")</f>
        <v/>
      </c>
      <c r="F5467">
        <f>IF(B5467,MAX(MOD(SIN(Seed*0.1373+C5467*12.9898+D5467*78.233)*43758.5453,1),1E-9),"")</f>
        <v/>
      </c>
      <c r="G5467">
        <f>IF(B5467,MOD(SIN(Seed*0.5917+C5467*39.3468+D5467*11.135)*24634.6345,1),"")</f>
        <v/>
      </c>
      <c r="H5467">
        <f>IF(B5467,SQRT(-2*LN(F5467))*COS(2*PI()*G5467),"")</f>
        <v/>
      </c>
      <c r="I5467">
        <f>IF(B5467,IF(D5467=0,H5467,Rho*I5466+SQRT(1-Rho^2)*H5467),"")</f>
        <v/>
      </c>
      <c r="J5467">
        <f>IF(B5467,IF(Dist="Normal",DistA+DistB*I5467,DistA+(DistB-DistA)*NORMSDIST(I5467)),"")</f>
        <v/>
      </c>
      <c r="K5467">
        <f>IF(B5467,INDEX(MineScale,C5467),"")</f>
        <v/>
      </c>
      <c r="L5467">
        <f>IF(B5467,INDEX(Dow,1,WEEKDAY(E5467,2)),"")</f>
        <v/>
      </c>
      <c r="M5467">
        <f>IF(B5467,(1+Trend)^D5467,"")</f>
        <v/>
      </c>
      <c r="N5467">
        <f>IF(B5467,EXP(SUMPRODUCT(LN(1+(EvEff-1)*INDEX(Affected,0,C5467)*EXP(-((E5467-EvCenter)^2)/(2*EvSigma^2))))),"")</f>
        <v/>
      </c>
      <c r="O5467">
        <f>IF(B5467,ROUND(MAX(0,J5467*K5467*L5467*M5467*N5467),2),"")</f>
        <v/>
      </c>
    </row>
    <row r="5468">
      <c r="A5468" t="n">
        <v>5467</v>
      </c>
      <c r="B5468">
        <f>A5468&lt;=MineCount*Days</f>
        <v/>
      </c>
      <c r="C5468">
        <f>IF(B5468,INT((A5468-1)/Days)+1,"")</f>
        <v/>
      </c>
      <c r="D5468">
        <f>IF(B5468,MOD(A5468-1,Days),"")</f>
        <v/>
      </c>
      <c r="E5468" s="16">
        <f>IF(B5468,StartDate+D5468,"")</f>
        <v/>
      </c>
      <c r="F5468">
        <f>IF(B5468,MAX(MOD(SIN(Seed*0.1373+C5468*12.9898+D5468*78.233)*43758.5453,1),1E-9),"")</f>
        <v/>
      </c>
      <c r="G5468">
        <f>IF(B5468,MOD(SIN(Seed*0.5917+C5468*39.3468+D5468*11.135)*24634.6345,1),"")</f>
        <v/>
      </c>
      <c r="H5468">
        <f>IF(B5468,SQRT(-2*LN(F5468))*COS(2*PI()*G5468),"")</f>
        <v/>
      </c>
      <c r="I5468">
        <f>IF(B5468,IF(D5468=0,H5468,Rho*I5467+SQRT(1-Rho^2)*H5468),"")</f>
        <v/>
      </c>
      <c r="J5468">
        <f>IF(B5468,IF(Dist="Normal",DistA+DistB*I5468,DistA+(DistB-DistA)*NORMSDIST(I5468)),"")</f>
        <v/>
      </c>
      <c r="K5468">
        <f>IF(B5468,INDEX(MineScale,C5468),"")</f>
        <v/>
      </c>
      <c r="L5468">
        <f>IF(B5468,INDEX(Dow,1,WEEKDAY(E5468,2)),"")</f>
        <v/>
      </c>
      <c r="M5468">
        <f>IF(B5468,(1+Trend)^D5468,"")</f>
        <v/>
      </c>
      <c r="N5468">
        <f>IF(B5468,EXP(SUMPRODUCT(LN(1+(EvEff-1)*INDEX(Affected,0,C5468)*EXP(-((E5468-EvCenter)^2)/(2*EvSigma^2))))),"")</f>
        <v/>
      </c>
      <c r="O5468">
        <f>IF(B5468,ROUND(MAX(0,J5468*K5468*L5468*M5468*N5468),2),"")</f>
        <v/>
      </c>
    </row>
    <row r="5469">
      <c r="A5469" t="n">
        <v>5468</v>
      </c>
      <c r="B5469">
        <f>A5469&lt;=MineCount*Days</f>
        <v/>
      </c>
      <c r="C5469">
        <f>IF(B5469,INT((A5469-1)/Days)+1,"")</f>
        <v/>
      </c>
      <c r="D5469">
        <f>IF(B5469,MOD(A5469-1,Days),"")</f>
        <v/>
      </c>
      <c r="E5469" s="16">
        <f>IF(B5469,StartDate+D5469,"")</f>
        <v/>
      </c>
      <c r="F5469">
        <f>IF(B5469,MAX(MOD(SIN(Seed*0.1373+C5469*12.9898+D5469*78.233)*43758.5453,1),1E-9),"")</f>
        <v/>
      </c>
      <c r="G5469">
        <f>IF(B5469,MOD(SIN(Seed*0.5917+C5469*39.3468+D5469*11.135)*24634.6345,1),"")</f>
        <v/>
      </c>
      <c r="H5469">
        <f>IF(B5469,SQRT(-2*LN(F5469))*COS(2*PI()*G5469),"")</f>
        <v/>
      </c>
      <c r="I5469">
        <f>IF(B5469,IF(D5469=0,H5469,Rho*I5468+SQRT(1-Rho^2)*H5469),"")</f>
        <v/>
      </c>
      <c r="J5469">
        <f>IF(B5469,IF(Dist="Normal",DistA+DistB*I5469,DistA+(DistB-DistA)*NORMSDIST(I5469)),"")</f>
        <v/>
      </c>
      <c r="K5469">
        <f>IF(B5469,INDEX(MineScale,C5469),"")</f>
        <v/>
      </c>
      <c r="L5469">
        <f>IF(B5469,INDEX(Dow,1,WEEKDAY(E5469,2)),"")</f>
        <v/>
      </c>
      <c r="M5469">
        <f>IF(B5469,(1+Trend)^D5469,"")</f>
        <v/>
      </c>
      <c r="N5469">
        <f>IF(B5469,EXP(SUMPRODUCT(LN(1+(EvEff-1)*INDEX(Affected,0,C5469)*EXP(-((E5469-EvCenter)^2)/(2*EvSigma^2))))),"")</f>
        <v/>
      </c>
      <c r="O5469">
        <f>IF(B5469,ROUND(MAX(0,J5469*K5469*L5469*M5469*N5469),2),"")</f>
        <v/>
      </c>
    </row>
    <row r="5470">
      <c r="A5470" t="n">
        <v>5469</v>
      </c>
      <c r="B5470">
        <f>A5470&lt;=MineCount*Days</f>
        <v/>
      </c>
      <c r="C5470">
        <f>IF(B5470,INT((A5470-1)/Days)+1,"")</f>
        <v/>
      </c>
      <c r="D5470">
        <f>IF(B5470,MOD(A5470-1,Days),"")</f>
        <v/>
      </c>
      <c r="E5470" s="16">
        <f>IF(B5470,StartDate+D5470,"")</f>
        <v/>
      </c>
      <c r="F5470">
        <f>IF(B5470,MAX(MOD(SIN(Seed*0.1373+C5470*12.9898+D5470*78.233)*43758.5453,1),1E-9),"")</f>
        <v/>
      </c>
      <c r="G5470">
        <f>IF(B5470,MOD(SIN(Seed*0.5917+C5470*39.3468+D5470*11.135)*24634.6345,1),"")</f>
        <v/>
      </c>
      <c r="H5470">
        <f>IF(B5470,SQRT(-2*LN(F5470))*COS(2*PI()*G5470),"")</f>
        <v/>
      </c>
      <c r="I5470">
        <f>IF(B5470,IF(D5470=0,H5470,Rho*I5469+SQRT(1-Rho^2)*H5470),"")</f>
        <v/>
      </c>
      <c r="J5470">
        <f>IF(B5470,IF(Dist="Normal",DistA+DistB*I5470,DistA+(DistB-DistA)*NORMSDIST(I5470)),"")</f>
        <v/>
      </c>
      <c r="K5470">
        <f>IF(B5470,INDEX(MineScale,C5470),"")</f>
        <v/>
      </c>
      <c r="L5470">
        <f>IF(B5470,INDEX(Dow,1,WEEKDAY(E5470,2)),"")</f>
        <v/>
      </c>
      <c r="M5470">
        <f>IF(B5470,(1+Trend)^D5470,"")</f>
        <v/>
      </c>
      <c r="N5470">
        <f>IF(B5470,EXP(SUMPRODUCT(LN(1+(EvEff-1)*INDEX(Affected,0,C5470)*EXP(-((E5470-EvCenter)^2)/(2*EvSigma^2))))),"")</f>
        <v/>
      </c>
      <c r="O5470">
        <f>IF(B5470,ROUND(MAX(0,J5470*K5470*L5470*M5470*N5470),2),"")</f>
        <v/>
      </c>
    </row>
    <row r="5471">
      <c r="A5471" t="n">
        <v>5470</v>
      </c>
      <c r="B5471">
        <f>A5471&lt;=MineCount*Days</f>
        <v/>
      </c>
      <c r="C5471">
        <f>IF(B5471,INT((A5471-1)/Days)+1,"")</f>
        <v/>
      </c>
      <c r="D5471">
        <f>IF(B5471,MOD(A5471-1,Days),"")</f>
        <v/>
      </c>
      <c r="E5471" s="16">
        <f>IF(B5471,StartDate+D5471,"")</f>
        <v/>
      </c>
      <c r="F5471">
        <f>IF(B5471,MAX(MOD(SIN(Seed*0.1373+C5471*12.9898+D5471*78.233)*43758.5453,1),1E-9),"")</f>
        <v/>
      </c>
      <c r="G5471">
        <f>IF(B5471,MOD(SIN(Seed*0.5917+C5471*39.3468+D5471*11.135)*24634.6345,1),"")</f>
        <v/>
      </c>
      <c r="H5471">
        <f>IF(B5471,SQRT(-2*LN(F5471))*COS(2*PI()*G5471),"")</f>
        <v/>
      </c>
      <c r="I5471">
        <f>IF(B5471,IF(D5471=0,H5471,Rho*I5470+SQRT(1-Rho^2)*H5471),"")</f>
        <v/>
      </c>
      <c r="J5471">
        <f>IF(B5471,IF(Dist="Normal",DistA+DistB*I5471,DistA+(DistB-DistA)*NORMSDIST(I5471)),"")</f>
        <v/>
      </c>
      <c r="K5471">
        <f>IF(B5471,INDEX(MineScale,C5471),"")</f>
        <v/>
      </c>
      <c r="L5471">
        <f>IF(B5471,INDEX(Dow,1,WEEKDAY(E5471,2)),"")</f>
        <v/>
      </c>
      <c r="M5471">
        <f>IF(B5471,(1+Trend)^D5471,"")</f>
        <v/>
      </c>
      <c r="N5471">
        <f>IF(B5471,EXP(SUMPRODUCT(LN(1+(EvEff-1)*INDEX(Affected,0,C5471)*EXP(-((E5471-EvCenter)^2)/(2*EvSigma^2))))),"")</f>
        <v/>
      </c>
      <c r="O5471">
        <f>IF(B5471,ROUND(MAX(0,J5471*K5471*L5471*M5471*N5471),2),"")</f>
        <v/>
      </c>
    </row>
    <row r="5472">
      <c r="A5472" t="n">
        <v>5471</v>
      </c>
      <c r="B5472">
        <f>A5472&lt;=MineCount*Days</f>
        <v/>
      </c>
      <c r="C5472">
        <f>IF(B5472,INT((A5472-1)/Days)+1,"")</f>
        <v/>
      </c>
      <c r="D5472">
        <f>IF(B5472,MOD(A5472-1,Days),"")</f>
        <v/>
      </c>
      <c r="E5472" s="16">
        <f>IF(B5472,StartDate+D5472,"")</f>
        <v/>
      </c>
      <c r="F5472">
        <f>IF(B5472,MAX(MOD(SIN(Seed*0.1373+C5472*12.9898+D5472*78.233)*43758.5453,1),1E-9),"")</f>
        <v/>
      </c>
      <c r="G5472">
        <f>IF(B5472,MOD(SIN(Seed*0.5917+C5472*39.3468+D5472*11.135)*24634.6345,1),"")</f>
        <v/>
      </c>
      <c r="H5472">
        <f>IF(B5472,SQRT(-2*LN(F5472))*COS(2*PI()*G5472),"")</f>
        <v/>
      </c>
      <c r="I5472">
        <f>IF(B5472,IF(D5472=0,H5472,Rho*I5471+SQRT(1-Rho^2)*H5472),"")</f>
        <v/>
      </c>
      <c r="J5472">
        <f>IF(B5472,IF(Dist="Normal",DistA+DistB*I5472,DistA+(DistB-DistA)*NORMSDIST(I5472)),"")</f>
        <v/>
      </c>
      <c r="K5472">
        <f>IF(B5472,INDEX(MineScale,C5472),"")</f>
        <v/>
      </c>
      <c r="L5472">
        <f>IF(B5472,INDEX(Dow,1,WEEKDAY(E5472,2)),"")</f>
        <v/>
      </c>
      <c r="M5472">
        <f>IF(B5472,(1+Trend)^D5472,"")</f>
        <v/>
      </c>
      <c r="N5472">
        <f>IF(B5472,EXP(SUMPRODUCT(LN(1+(EvEff-1)*INDEX(Affected,0,C5472)*EXP(-((E5472-EvCenter)^2)/(2*EvSigma^2))))),"")</f>
        <v/>
      </c>
      <c r="O5472">
        <f>IF(B5472,ROUND(MAX(0,J5472*K5472*L5472*M5472*N5472),2),"")</f>
        <v/>
      </c>
    </row>
    <row r="5473">
      <c r="A5473" t="n">
        <v>5472</v>
      </c>
      <c r="B5473">
        <f>A5473&lt;=MineCount*Days</f>
        <v/>
      </c>
      <c r="C5473">
        <f>IF(B5473,INT((A5473-1)/Days)+1,"")</f>
        <v/>
      </c>
      <c r="D5473">
        <f>IF(B5473,MOD(A5473-1,Days),"")</f>
        <v/>
      </c>
      <c r="E5473" s="16">
        <f>IF(B5473,StartDate+D5473,"")</f>
        <v/>
      </c>
      <c r="F5473">
        <f>IF(B5473,MAX(MOD(SIN(Seed*0.1373+C5473*12.9898+D5473*78.233)*43758.5453,1),1E-9),"")</f>
        <v/>
      </c>
      <c r="G5473">
        <f>IF(B5473,MOD(SIN(Seed*0.5917+C5473*39.3468+D5473*11.135)*24634.6345,1),"")</f>
        <v/>
      </c>
      <c r="H5473">
        <f>IF(B5473,SQRT(-2*LN(F5473))*COS(2*PI()*G5473),"")</f>
        <v/>
      </c>
      <c r="I5473">
        <f>IF(B5473,IF(D5473=0,H5473,Rho*I5472+SQRT(1-Rho^2)*H5473),"")</f>
        <v/>
      </c>
      <c r="J5473">
        <f>IF(B5473,IF(Dist="Normal",DistA+DistB*I5473,DistA+(DistB-DistA)*NORMSDIST(I5473)),"")</f>
        <v/>
      </c>
      <c r="K5473">
        <f>IF(B5473,INDEX(MineScale,C5473),"")</f>
        <v/>
      </c>
      <c r="L5473">
        <f>IF(B5473,INDEX(Dow,1,WEEKDAY(E5473,2)),"")</f>
        <v/>
      </c>
      <c r="M5473">
        <f>IF(B5473,(1+Trend)^D5473,"")</f>
        <v/>
      </c>
      <c r="N5473">
        <f>IF(B5473,EXP(SUMPRODUCT(LN(1+(EvEff-1)*INDEX(Affected,0,C5473)*EXP(-((E5473-EvCenter)^2)/(2*EvSigma^2))))),"")</f>
        <v/>
      </c>
      <c r="O5473">
        <f>IF(B5473,ROUND(MAX(0,J5473*K5473*L5473*M5473*N5473),2),"")</f>
        <v/>
      </c>
    </row>
    <row r="5474">
      <c r="A5474" t="n">
        <v>5473</v>
      </c>
      <c r="B5474">
        <f>A5474&lt;=MineCount*Days</f>
        <v/>
      </c>
      <c r="C5474">
        <f>IF(B5474,INT((A5474-1)/Days)+1,"")</f>
        <v/>
      </c>
      <c r="D5474">
        <f>IF(B5474,MOD(A5474-1,Days),"")</f>
        <v/>
      </c>
      <c r="E5474" s="16">
        <f>IF(B5474,StartDate+D5474,"")</f>
        <v/>
      </c>
      <c r="F5474">
        <f>IF(B5474,MAX(MOD(SIN(Seed*0.1373+C5474*12.9898+D5474*78.233)*43758.5453,1),1E-9),"")</f>
        <v/>
      </c>
      <c r="G5474">
        <f>IF(B5474,MOD(SIN(Seed*0.5917+C5474*39.3468+D5474*11.135)*24634.6345,1),"")</f>
        <v/>
      </c>
      <c r="H5474">
        <f>IF(B5474,SQRT(-2*LN(F5474))*COS(2*PI()*G5474),"")</f>
        <v/>
      </c>
      <c r="I5474">
        <f>IF(B5474,IF(D5474=0,H5474,Rho*I5473+SQRT(1-Rho^2)*H5474),"")</f>
        <v/>
      </c>
      <c r="J5474">
        <f>IF(B5474,IF(Dist="Normal",DistA+DistB*I5474,DistA+(DistB-DistA)*NORMSDIST(I5474)),"")</f>
        <v/>
      </c>
      <c r="K5474">
        <f>IF(B5474,INDEX(MineScale,C5474),"")</f>
        <v/>
      </c>
      <c r="L5474">
        <f>IF(B5474,INDEX(Dow,1,WEEKDAY(E5474,2)),"")</f>
        <v/>
      </c>
      <c r="M5474">
        <f>IF(B5474,(1+Trend)^D5474,"")</f>
        <v/>
      </c>
      <c r="N5474">
        <f>IF(B5474,EXP(SUMPRODUCT(LN(1+(EvEff-1)*INDEX(Affected,0,C5474)*EXP(-((E5474-EvCenter)^2)/(2*EvSigma^2))))),"")</f>
        <v/>
      </c>
      <c r="O5474">
        <f>IF(B5474,ROUND(MAX(0,J5474*K5474*L5474*M5474*N5474),2),"")</f>
        <v/>
      </c>
    </row>
    <row r="5475">
      <c r="A5475" t="n">
        <v>5474</v>
      </c>
      <c r="B5475">
        <f>A5475&lt;=MineCount*Days</f>
        <v/>
      </c>
      <c r="C5475">
        <f>IF(B5475,INT((A5475-1)/Days)+1,"")</f>
        <v/>
      </c>
      <c r="D5475">
        <f>IF(B5475,MOD(A5475-1,Days),"")</f>
        <v/>
      </c>
      <c r="E5475" s="16">
        <f>IF(B5475,StartDate+D5475,"")</f>
        <v/>
      </c>
      <c r="F5475">
        <f>IF(B5475,MAX(MOD(SIN(Seed*0.1373+C5475*12.9898+D5475*78.233)*43758.5453,1),1E-9),"")</f>
        <v/>
      </c>
      <c r="G5475">
        <f>IF(B5475,MOD(SIN(Seed*0.5917+C5475*39.3468+D5475*11.135)*24634.6345,1),"")</f>
        <v/>
      </c>
      <c r="H5475">
        <f>IF(B5475,SQRT(-2*LN(F5475))*COS(2*PI()*G5475),"")</f>
        <v/>
      </c>
      <c r="I5475">
        <f>IF(B5475,IF(D5475=0,H5475,Rho*I5474+SQRT(1-Rho^2)*H5475),"")</f>
        <v/>
      </c>
      <c r="J5475">
        <f>IF(B5475,IF(Dist="Normal",DistA+DistB*I5475,DistA+(DistB-DistA)*NORMSDIST(I5475)),"")</f>
        <v/>
      </c>
      <c r="K5475">
        <f>IF(B5475,INDEX(MineScale,C5475),"")</f>
        <v/>
      </c>
      <c r="L5475">
        <f>IF(B5475,INDEX(Dow,1,WEEKDAY(E5475,2)),"")</f>
        <v/>
      </c>
      <c r="M5475">
        <f>IF(B5475,(1+Trend)^D5475,"")</f>
        <v/>
      </c>
      <c r="N5475">
        <f>IF(B5475,EXP(SUMPRODUCT(LN(1+(EvEff-1)*INDEX(Affected,0,C5475)*EXP(-((E5475-EvCenter)^2)/(2*EvSigma^2))))),"")</f>
        <v/>
      </c>
      <c r="O5475">
        <f>IF(B5475,ROUND(MAX(0,J5475*K5475*L5475*M5475*N5475),2),"")</f>
        <v/>
      </c>
    </row>
    <row r="5476">
      <c r="A5476" t="n">
        <v>5475</v>
      </c>
      <c r="B5476">
        <f>A5476&lt;=MineCount*Days</f>
        <v/>
      </c>
      <c r="C5476">
        <f>IF(B5476,INT((A5476-1)/Days)+1,"")</f>
        <v/>
      </c>
      <c r="D5476">
        <f>IF(B5476,MOD(A5476-1,Days),"")</f>
        <v/>
      </c>
      <c r="E5476" s="16">
        <f>IF(B5476,StartDate+D5476,"")</f>
        <v/>
      </c>
      <c r="F5476">
        <f>IF(B5476,MAX(MOD(SIN(Seed*0.1373+C5476*12.9898+D5476*78.233)*43758.5453,1),1E-9),"")</f>
        <v/>
      </c>
      <c r="G5476">
        <f>IF(B5476,MOD(SIN(Seed*0.5917+C5476*39.3468+D5476*11.135)*24634.6345,1),"")</f>
        <v/>
      </c>
      <c r="H5476">
        <f>IF(B5476,SQRT(-2*LN(F5476))*COS(2*PI()*G5476),"")</f>
        <v/>
      </c>
      <c r="I5476">
        <f>IF(B5476,IF(D5476=0,H5476,Rho*I5475+SQRT(1-Rho^2)*H5476),"")</f>
        <v/>
      </c>
      <c r="J5476">
        <f>IF(B5476,IF(Dist="Normal",DistA+DistB*I5476,DistA+(DistB-DistA)*NORMSDIST(I5476)),"")</f>
        <v/>
      </c>
      <c r="K5476">
        <f>IF(B5476,INDEX(MineScale,C5476),"")</f>
        <v/>
      </c>
      <c r="L5476">
        <f>IF(B5476,INDEX(Dow,1,WEEKDAY(E5476,2)),"")</f>
        <v/>
      </c>
      <c r="M5476">
        <f>IF(B5476,(1+Trend)^D5476,"")</f>
        <v/>
      </c>
      <c r="N5476">
        <f>IF(B5476,EXP(SUMPRODUCT(LN(1+(EvEff-1)*INDEX(Affected,0,C5476)*EXP(-((E5476-EvCenter)^2)/(2*EvSigma^2))))),"")</f>
        <v/>
      </c>
      <c r="O5476">
        <f>IF(B5476,ROUND(MAX(0,J5476*K5476*L5476*M5476*N5476),2),"")</f>
        <v/>
      </c>
    </row>
    <row r="5477">
      <c r="A5477" t="n">
        <v>5476</v>
      </c>
      <c r="B5477">
        <f>A5477&lt;=MineCount*Days</f>
        <v/>
      </c>
      <c r="C5477">
        <f>IF(B5477,INT((A5477-1)/Days)+1,"")</f>
        <v/>
      </c>
      <c r="D5477">
        <f>IF(B5477,MOD(A5477-1,Days),"")</f>
        <v/>
      </c>
      <c r="E5477" s="16">
        <f>IF(B5477,StartDate+D5477,"")</f>
        <v/>
      </c>
      <c r="F5477">
        <f>IF(B5477,MAX(MOD(SIN(Seed*0.1373+C5477*12.9898+D5477*78.233)*43758.5453,1),1E-9),"")</f>
        <v/>
      </c>
      <c r="G5477">
        <f>IF(B5477,MOD(SIN(Seed*0.5917+C5477*39.3468+D5477*11.135)*24634.6345,1),"")</f>
        <v/>
      </c>
      <c r="H5477">
        <f>IF(B5477,SQRT(-2*LN(F5477))*COS(2*PI()*G5477),"")</f>
        <v/>
      </c>
      <c r="I5477">
        <f>IF(B5477,IF(D5477=0,H5477,Rho*I5476+SQRT(1-Rho^2)*H5477),"")</f>
        <v/>
      </c>
      <c r="J5477">
        <f>IF(B5477,IF(Dist="Normal",DistA+DistB*I5477,DistA+(DistB-DistA)*NORMSDIST(I5477)),"")</f>
        <v/>
      </c>
      <c r="K5477">
        <f>IF(B5477,INDEX(MineScale,C5477),"")</f>
        <v/>
      </c>
      <c r="L5477">
        <f>IF(B5477,INDEX(Dow,1,WEEKDAY(E5477,2)),"")</f>
        <v/>
      </c>
      <c r="M5477">
        <f>IF(B5477,(1+Trend)^D5477,"")</f>
        <v/>
      </c>
      <c r="N5477">
        <f>IF(B5477,EXP(SUMPRODUCT(LN(1+(EvEff-1)*INDEX(Affected,0,C5477)*EXP(-((E5477-EvCenter)^2)/(2*EvSigma^2))))),"")</f>
        <v/>
      </c>
      <c r="O5477">
        <f>IF(B5477,ROUND(MAX(0,J5477*K5477*L5477*M5477*N5477),2),"")</f>
        <v/>
      </c>
    </row>
    <row r="5478">
      <c r="A5478" t="n">
        <v>5477</v>
      </c>
      <c r="B5478">
        <f>A5478&lt;=MineCount*Days</f>
        <v/>
      </c>
      <c r="C5478">
        <f>IF(B5478,INT((A5478-1)/Days)+1,"")</f>
        <v/>
      </c>
      <c r="D5478">
        <f>IF(B5478,MOD(A5478-1,Days),"")</f>
        <v/>
      </c>
      <c r="E5478" s="16">
        <f>IF(B5478,StartDate+D5478,"")</f>
        <v/>
      </c>
      <c r="F5478">
        <f>IF(B5478,MAX(MOD(SIN(Seed*0.1373+C5478*12.9898+D5478*78.233)*43758.5453,1),1E-9),"")</f>
        <v/>
      </c>
      <c r="G5478">
        <f>IF(B5478,MOD(SIN(Seed*0.5917+C5478*39.3468+D5478*11.135)*24634.6345,1),"")</f>
        <v/>
      </c>
      <c r="H5478">
        <f>IF(B5478,SQRT(-2*LN(F5478))*COS(2*PI()*G5478),"")</f>
        <v/>
      </c>
      <c r="I5478">
        <f>IF(B5478,IF(D5478=0,H5478,Rho*I5477+SQRT(1-Rho^2)*H5478),"")</f>
        <v/>
      </c>
      <c r="J5478">
        <f>IF(B5478,IF(Dist="Normal",DistA+DistB*I5478,DistA+(DistB-DistA)*NORMSDIST(I5478)),"")</f>
        <v/>
      </c>
      <c r="K5478">
        <f>IF(B5478,INDEX(MineScale,C5478),"")</f>
        <v/>
      </c>
      <c r="L5478">
        <f>IF(B5478,INDEX(Dow,1,WEEKDAY(E5478,2)),"")</f>
        <v/>
      </c>
      <c r="M5478">
        <f>IF(B5478,(1+Trend)^D5478,"")</f>
        <v/>
      </c>
      <c r="N5478">
        <f>IF(B5478,EXP(SUMPRODUCT(LN(1+(EvEff-1)*INDEX(Affected,0,C5478)*EXP(-((E5478-EvCenter)^2)/(2*EvSigma^2))))),"")</f>
        <v/>
      </c>
      <c r="O5478">
        <f>IF(B5478,ROUND(MAX(0,J5478*K5478*L5478*M5478*N5478),2),"")</f>
        <v/>
      </c>
    </row>
    <row r="5479">
      <c r="A5479" t="n">
        <v>5478</v>
      </c>
      <c r="B5479">
        <f>A5479&lt;=MineCount*Days</f>
        <v/>
      </c>
      <c r="C5479">
        <f>IF(B5479,INT((A5479-1)/Days)+1,"")</f>
        <v/>
      </c>
      <c r="D5479">
        <f>IF(B5479,MOD(A5479-1,Days),"")</f>
        <v/>
      </c>
      <c r="E5479" s="16">
        <f>IF(B5479,StartDate+D5479,"")</f>
        <v/>
      </c>
      <c r="F5479">
        <f>IF(B5479,MAX(MOD(SIN(Seed*0.1373+C5479*12.9898+D5479*78.233)*43758.5453,1),1E-9),"")</f>
        <v/>
      </c>
      <c r="G5479">
        <f>IF(B5479,MOD(SIN(Seed*0.5917+C5479*39.3468+D5479*11.135)*24634.6345,1),"")</f>
        <v/>
      </c>
      <c r="H5479">
        <f>IF(B5479,SQRT(-2*LN(F5479))*COS(2*PI()*G5479),"")</f>
        <v/>
      </c>
      <c r="I5479">
        <f>IF(B5479,IF(D5479=0,H5479,Rho*I5478+SQRT(1-Rho^2)*H5479),"")</f>
        <v/>
      </c>
      <c r="J5479">
        <f>IF(B5479,IF(Dist="Normal",DistA+DistB*I5479,DistA+(DistB-DistA)*NORMSDIST(I5479)),"")</f>
        <v/>
      </c>
      <c r="K5479">
        <f>IF(B5479,INDEX(MineScale,C5479),"")</f>
        <v/>
      </c>
      <c r="L5479">
        <f>IF(B5479,INDEX(Dow,1,WEEKDAY(E5479,2)),"")</f>
        <v/>
      </c>
      <c r="M5479">
        <f>IF(B5479,(1+Trend)^D5479,"")</f>
        <v/>
      </c>
      <c r="N5479">
        <f>IF(B5479,EXP(SUMPRODUCT(LN(1+(EvEff-1)*INDEX(Affected,0,C5479)*EXP(-((E5479-EvCenter)^2)/(2*EvSigma^2))))),"")</f>
        <v/>
      </c>
      <c r="O5479">
        <f>IF(B5479,ROUND(MAX(0,J5479*K5479*L5479*M5479*N5479),2),"")</f>
        <v/>
      </c>
    </row>
    <row r="5480">
      <c r="A5480" t="n">
        <v>5479</v>
      </c>
      <c r="B5480">
        <f>A5480&lt;=MineCount*Days</f>
        <v/>
      </c>
      <c r="C5480">
        <f>IF(B5480,INT((A5480-1)/Days)+1,"")</f>
        <v/>
      </c>
      <c r="D5480">
        <f>IF(B5480,MOD(A5480-1,Days),"")</f>
        <v/>
      </c>
      <c r="E5480" s="16">
        <f>IF(B5480,StartDate+D5480,"")</f>
        <v/>
      </c>
      <c r="F5480">
        <f>IF(B5480,MAX(MOD(SIN(Seed*0.1373+C5480*12.9898+D5480*78.233)*43758.5453,1),1E-9),"")</f>
        <v/>
      </c>
      <c r="G5480">
        <f>IF(B5480,MOD(SIN(Seed*0.5917+C5480*39.3468+D5480*11.135)*24634.6345,1),"")</f>
        <v/>
      </c>
      <c r="H5480">
        <f>IF(B5480,SQRT(-2*LN(F5480))*COS(2*PI()*G5480),"")</f>
        <v/>
      </c>
      <c r="I5480">
        <f>IF(B5480,IF(D5480=0,H5480,Rho*I5479+SQRT(1-Rho^2)*H5480),"")</f>
        <v/>
      </c>
      <c r="J5480">
        <f>IF(B5480,IF(Dist="Normal",DistA+DistB*I5480,DistA+(DistB-DistA)*NORMSDIST(I5480)),"")</f>
        <v/>
      </c>
      <c r="K5480">
        <f>IF(B5480,INDEX(MineScale,C5480),"")</f>
        <v/>
      </c>
      <c r="L5480">
        <f>IF(B5480,INDEX(Dow,1,WEEKDAY(E5480,2)),"")</f>
        <v/>
      </c>
      <c r="M5480">
        <f>IF(B5480,(1+Trend)^D5480,"")</f>
        <v/>
      </c>
      <c r="N5480">
        <f>IF(B5480,EXP(SUMPRODUCT(LN(1+(EvEff-1)*INDEX(Affected,0,C5480)*EXP(-((E5480-EvCenter)^2)/(2*EvSigma^2))))),"")</f>
        <v/>
      </c>
      <c r="O5480">
        <f>IF(B5480,ROUND(MAX(0,J5480*K5480*L5480*M5480*N5480),2),"")</f>
        <v/>
      </c>
    </row>
    <row r="5481">
      <c r="A5481" t="n">
        <v>5480</v>
      </c>
      <c r="B5481">
        <f>A5481&lt;=MineCount*Days</f>
        <v/>
      </c>
      <c r="C5481">
        <f>IF(B5481,INT((A5481-1)/Days)+1,"")</f>
        <v/>
      </c>
      <c r="D5481">
        <f>IF(B5481,MOD(A5481-1,Days),"")</f>
        <v/>
      </c>
      <c r="E5481" s="16">
        <f>IF(B5481,StartDate+D5481,"")</f>
        <v/>
      </c>
      <c r="F5481">
        <f>IF(B5481,MAX(MOD(SIN(Seed*0.1373+C5481*12.9898+D5481*78.233)*43758.5453,1),1E-9),"")</f>
        <v/>
      </c>
      <c r="G5481">
        <f>IF(B5481,MOD(SIN(Seed*0.5917+C5481*39.3468+D5481*11.135)*24634.6345,1),"")</f>
        <v/>
      </c>
      <c r="H5481">
        <f>IF(B5481,SQRT(-2*LN(F5481))*COS(2*PI()*G5481),"")</f>
        <v/>
      </c>
      <c r="I5481">
        <f>IF(B5481,IF(D5481=0,H5481,Rho*I5480+SQRT(1-Rho^2)*H5481),"")</f>
        <v/>
      </c>
      <c r="J5481">
        <f>IF(B5481,IF(Dist="Normal",DistA+DistB*I5481,DistA+(DistB-DistA)*NORMSDIST(I5481)),"")</f>
        <v/>
      </c>
      <c r="K5481">
        <f>IF(B5481,INDEX(MineScale,C5481),"")</f>
        <v/>
      </c>
      <c r="L5481">
        <f>IF(B5481,INDEX(Dow,1,WEEKDAY(E5481,2)),"")</f>
        <v/>
      </c>
      <c r="M5481">
        <f>IF(B5481,(1+Trend)^D5481,"")</f>
        <v/>
      </c>
      <c r="N5481">
        <f>IF(B5481,EXP(SUMPRODUCT(LN(1+(EvEff-1)*INDEX(Affected,0,C5481)*EXP(-((E5481-EvCenter)^2)/(2*EvSigma^2))))),"")</f>
        <v/>
      </c>
      <c r="O5481">
        <f>IF(B5481,ROUND(MAX(0,J5481*K5481*L5481*M5481*N5481),2),"")</f>
        <v/>
      </c>
    </row>
    <row r="5482">
      <c r="A5482" t="n">
        <v>5481</v>
      </c>
      <c r="B5482">
        <f>A5482&lt;=MineCount*Days</f>
        <v/>
      </c>
      <c r="C5482">
        <f>IF(B5482,INT((A5482-1)/Days)+1,"")</f>
        <v/>
      </c>
      <c r="D5482">
        <f>IF(B5482,MOD(A5482-1,Days),"")</f>
        <v/>
      </c>
      <c r="E5482" s="16">
        <f>IF(B5482,StartDate+D5482,"")</f>
        <v/>
      </c>
      <c r="F5482">
        <f>IF(B5482,MAX(MOD(SIN(Seed*0.1373+C5482*12.9898+D5482*78.233)*43758.5453,1),1E-9),"")</f>
        <v/>
      </c>
      <c r="G5482">
        <f>IF(B5482,MOD(SIN(Seed*0.5917+C5482*39.3468+D5482*11.135)*24634.6345,1),"")</f>
        <v/>
      </c>
      <c r="H5482">
        <f>IF(B5482,SQRT(-2*LN(F5482))*COS(2*PI()*G5482),"")</f>
        <v/>
      </c>
      <c r="I5482">
        <f>IF(B5482,IF(D5482=0,H5482,Rho*I5481+SQRT(1-Rho^2)*H5482),"")</f>
        <v/>
      </c>
      <c r="J5482">
        <f>IF(B5482,IF(Dist="Normal",DistA+DistB*I5482,DistA+(DistB-DistA)*NORMSDIST(I5482)),"")</f>
        <v/>
      </c>
      <c r="K5482">
        <f>IF(B5482,INDEX(MineScale,C5482),"")</f>
        <v/>
      </c>
      <c r="L5482">
        <f>IF(B5482,INDEX(Dow,1,WEEKDAY(E5482,2)),"")</f>
        <v/>
      </c>
      <c r="M5482">
        <f>IF(B5482,(1+Trend)^D5482,"")</f>
        <v/>
      </c>
      <c r="N5482">
        <f>IF(B5482,EXP(SUMPRODUCT(LN(1+(EvEff-1)*INDEX(Affected,0,C5482)*EXP(-((E5482-EvCenter)^2)/(2*EvSigma^2))))),"")</f>
        <v/>
      </c>
      <c r="O5482">
        <f>IF(B5482,ROUND(MAX(0,J5482*K5482*L5482*M5482*N5482),2),"")</f>
        <v/>
      </c>
    </row>
    <row r="5483">
      <c r="A5483" t="n">
        <v>5482</v>
      </c>
      <c r="B5483">
        <f>A5483&lt;=MineCount*Days</f>
        <v/>
      </c>
      <c r="C5483">
        <f>IF(B5483,INT((A5483-1)/Days)+1,"")</f>
        <v/>
      </c>
      <c r="D5483">
        <f>IF(B5483,MOD(A5483-1,Days),"")</f>
        <v/>
      </c>
      <c r="E5483" s="16">
        <f>IF(B5483,StartDate+D5483,"")</f>
        <v/>
      </c>
      <c r="F5483">
        <f>IF(B5483,MAX(MOD(SIN(Seed*0.1373+C5483*12.9898+D5483*78.233)*43758.5453,1),1E-9),"")</f>
        <v/>
      </c>
      <c r="G5483">
        <f>IF(B5483,MOD(SIN(Seed*0.5917+C5483*39.3468+D5483*11.135)*24634.6345,1),"")</f>
        <v/>
      </c>
      <c r="H5483">
        <f>IF(B5483,SQRT(-2*LN(F5483))*COS(2*PI()*G5483),"")</f>
        <v/>
      </c>
      <c r="I5483">
        <f>IF(B5483,IF(D5483=0,H5483,Rho*I5482+SQRT(1-Rho^2)*H5483),"")</f>
        <v/>
      </c>
      <c r="J5483">
        <f>IF(B5483,IF(Dist="Normal",DistA+DistB*I5483,DistA+(DistB-DistA)*NORMSDIST(I5483)),"")</f>
        <v/>
      </c>
      <c r="K5483">
        <f>IF(B5483,INDEX(MineScale,C5483),"")</f>
        <v/>
      </c>
      <c r="L5483">
        <f>IF(B5483,INDEX(Dow,1,WEEKDAY(E5483,2)),"")</f>
        <v/>
      </c>
      <c r="M5483">
        <f>IF(B5483,(1+Trend)^D5483,"")</f>
        <v/>
      </c>
      <c r="N5483">
        <f>IF(B5483,EXP(SUMPRODUCT(LN(1+(EvEff-1)*INDEX(Affected,0,C5483)*EXP(-((E5483-EvCenter)^2)/(2*EvSigma^2))))),"")</f>
        <v/>
      </c>
      <c r="O5483">
        <f>IF(B5483,ROUND(MAX(0,J5483*K5483*L5483*M5483*N5483),2),"")</f>
        <v/>
      </c>
    </row>
    <row r="5484">
      <c r="A5484" t="n">
        <v>5483</v>
      </c>
      <c r="B5484">
        <f>A5484&lt;=MineCount*Days</f>
        <v/>
      </c>
      <c r="C5484">
        <f>IF(B5484,INT((A5484-1)/Days)+1,"")</f>
        <v/>
      </c>
      <c r="D5484">
        <f>IF(B5484,MOD(A5484-1,Days),"")</f>
        <v/>
      </c>
      <c r="E5484" s="16">
        <f>IF(B5484,StartDate+D5484,"")</f>
        <v/>
      </c>
      <c r="F5484">
        <f>IF(B5484,MAX(MOD(SIN(Seed*0.1373+C5484*12.9898+D5484*78.233)*43758.5453,1),1E-9),"")</f>
        <v/>
      </c>
      <c r="G5484">
        <f>IF(B5484,MOD(SIN(Seed*0.5917+C5484*39.3468+D5484*11.135)*24634.6345,1),"")</f>
        <v/>
      </c>
      <c r="H5484">
        <f>IF(B5484,SQRT(-2*LN(F5484))*COS(2*PI()*G5484),"")</f>
        <v/>
      </c>
      <c r="I5484">
        <f>IF(B5484,IF(D5484=0,H5484,Rho*I5483+SQRT(1-Rho^2)*H5484),"")</f>
        <v/>
      </c>
      <c r="J5484">
        <f>IF(B5484,IF(Dist="Normal",DistA+DistB*I5484,DistA+(DistB-DistA)*NORMSDIST(I5484)),"")</f>
        <v/>
      </c>
      <c r="K5484">
        <f>IF(B5484,INDEX(MineScale,C5484),"")</f>
        <v/>
      </c>
      <c r="L5484">
        <f>IF(B5484,INDEX(Dow,1,WEEKDAY(E5484,2)),"")</f>
        <v/>
      </c>
      <c r="M5484">
        <f>IF(B5484,(1+Trend)^D5484,"")</f>
        <v/>
      </c>
      <c r="N5484">
        <f>IF(B5484,EXP(SUMPRODUCT(LN(1+(EvEff-1)*INDEX(Affected,0,C5484)*EXP(-((E5484-EvCenter)^2)/(2*EvSigma^2))))),"")</f>
        <v/>
      </c>
      <c r="O5484">
        <f>IF(B5484,ROUND(MAX(0,J5484*K5484*L5484*M5484*N5484),2),"")</f>
        <v/>
      </c>
    </row>
    <row r="5485">
      <c r="A5485" t="n">
        <v>5484</v>
      </c>
      <c r="B5485">
        <f>A5485&lt;=MineCount*Days</f>
        <v/>
      </c>
      <c r="C5485">
        <f>IF(B5485,INT((A5485-1)/Days)+1,"")</f>
        <v/>
      </c>
      <c r="D5485">
        <f>IF(B5485,MOD(A5485-1,Days),"")</f>
        <v/>
      </c>
      <c r="E5485" s="16">
        <f>IF(B5485,StartDate+D5485,"")</f>
        <v/>
      </c>
      <c r="F5485">
        <f>IF(B5485,MAX(MOD(SIN(Seed*0.1373+C5485*12.9898+D5485*78.233)*43758.5453,1),1E-9),"")</f>
        <v/>
      </c>
      <c r="G5485">
        <f>IF(B5485,MOD(SIN(Seed*0.5917+C5485*39.3468+D5485*11.135)*24634.6345,1),"")</f>
        <v/>
      </c>
      <c r="H5485">
        <f>IF(B5485,SQRT(-2*LN(F5485))*COS(2*PI()*G5485),"")</f>
        <v/>
      </c>
      <c r="I5485">
        <f>IF(B5485,IF(D5485=0,H5485,Rho*I5484+SQRT(1-Rho^2)*H5485),"")</f>
        <v/>
      </c>
      <c r="J5485">
        <f>IF(B5485,IF(Dist="Normal",DistA+DistB*I5485,DistA+(DistB-DistA)*NORMSDIST(I5485)),"")</f>
        <v/>
      </c>
      <c r="K5485">
        <f>IF(B5485,INDEX(MineScale,C5485),"")</f>
        <v/>
      </c>
      <c r="L5485">
        <f>IF(B5485,INDEX(Dow,1,WEEKDAY(E5485,2)),"")</f>
        <v/>
      </c>
      <c r="M5485">
        <f>IF(B5485,(1+Trend)^D5485,"")</f>
        <v/>
      </c>
      <c r="N5485">
        <f>IF(B5485,EXP(SUMPRODUCT(LN(1+(EvEff-1)*INDEX(Affected,0,C5485)*EXP(-((E5485-EvCenter)^2)/(2*EvSigma^2))))),"")</f>
        <v/>
      </c>
      <c r="O5485">
        <f>IF(B5485,ROUND(MAX(0,J5485*K5485*L5485*M5485*N5485),2),"")</f>
        <v/>
      </c>
    </row>
    <row r="5486">
      <c r="A5486" t="n">
        <v>5485</v>
      </c>
      <c r="B5486">
        <f>A5486&lt;=MineCount*Days</f>
        <v/>
      </c>
      <c r="C5486">
        <f>IF(B5486,INT((A5486-1)/Days)+1,"")</f>
        <v/>
      </c>
      <c r="D5486">
        <f>IF(B5486,MOD(A5486-1,Days),"")</f>
        <v/>
      </c>
      <c r="E5486" s="16">
        <f>IF(B5486,StartDate+D5486,"")</f>
        <v/>
      </c>
      <c r="F5486">
        <f>IF(B5486,MAX(MOD(SIN(Seed*0.1373+C5486*12.9898+D5486*78.233)*43758.5453,1),1E-9),"")</f>
        <v/>
      </c>
      <c r="G5486">
        <f>IF(B5486,MOD(SIN(Seed*0.5917+C5486*39.3468+D5486*11.135)*24634.6345,1),"")</f>
        <v/>
      </c>
      <c r="H5486">
        <f>IF(B5486,SQRT(-2*LN(F5486))*COS(2*PI()*G5486),"")</f>
        <v/>
      </c>
      <c r="I5486">
        <f>IF(B5486,IF(D5486=0,H5486,Rho*I5485+SQRT(1-Rho^2)*H5486),"")</f>
        <v/>
      </c>
      <c r="J5486">
        <f>IF(B5486,IF(Dist="Normal",DistA+DistB*I5486,DistA+(DistB-DistA)*NORMSDIST(I5486)),"")</f>
        <v/>
      </c>
      <c r="K5486">
        <f>IF(B5486,INDEX(MineScale,C5486),"")</f>
        <v/>
      </c>
      <c r="L5486">
        <f>IF(B5486,INDEX(Dow,1,WEEKDAY(E5486,2)),"")</f>
        <v/>
      </c>
      <c r="M5486">
        <f>IF(B5486,(1+Trend)^D5486,"")</f>
        <v/>
      </c>
      <c r="N5486">
        <f>IF(B5486,EXP(SUMPRODUCT(LN(1+(EvEff-1)*INDEX(Affected,0,C5486)*EXP(-((E5486-EvCenter)^2)/(2*EvSigma^2))))),"")</f>
        <v/>
      </c>
      <c r="O5486">
        <f>IF(B5486,ROUND(MAX(0,J5486*K5486*L5486*M5486*N5486),2),"")</f>
        <v/>
      </c>
    </row>
    <row r="5487">
      <c r="A5487" t="n">
        <v>5486</v>
      </c>
      <c r="B5487">
        <f>A5487&lt;=MineCount*Days</f>
        <v/>
      </c>
      <c r="C5487">
        <f>IF(B5487,INT((A5487-1)/Days)+1,"")</f>
        <v/>
      </c>
      <c r="D5487">
        <f>IF(B5487,MOD(A5487-1,Days),"")</f>
        <v/>
      </c>
      <c r="E5487" s="16">
        <f>IF(B5487,StartDate+D5487,"")</f>
        <v/>
      </c>
      <c r="F5487">
        <f>IF(B5487,MAX(MOD(SIN(Seed*0.1373+C5487*12.9898+D5487*78.233)*43758.5453,1),1E-9),"")</f>
        <v/>
      </c>
      <c r="G5487">
        <f>IF(B5487,MOD(SIN(Seed*0.5917+C5487*39.3468+D5487*11.135)*24634.6345,1),"")</f>
        <v/>
      </c>
      <c r="H5487">
        <f>IF(B5487,SQRT(-2*LN(F5487))*COS(2*PI()*G5487),"")</f>
        <v/>
      </c>
      <c r="I5487">
        <f>IF(B5487,IF(D5487=0,H5487,Rho*I5486+SQRT(1-Rho^2)*H5487),"")</f>
        <v/>
      </c>
      <c r="J5487">
        <f>IF(B5487,IF(Dist="Normal",DistA+DistB*I5487,DistA+(DistB-DistA)*NORMSDIST(I5487)),"")</f>
        <v/>
      </c>
      <c r="K5487">
        <f>IF(B5487,INDEX(MineScale,C5487),"")</f>
        <v/>
      </c>
      <c r="L5487">
        <f>IF(B5487,INDEX(Dow,1,WEEKDAY(E5487,2)),"")</f>
        <v/>
      </c>
      <c r="M5487">
        <f>IF(B5487,(1+Trend)^D5487,"")</f>
        <v/>
      </c>
      <c r="N5487">
        <f>IF(B5487,EXP(SUMPRODUCT(LN(1+(EvEff-1)*INDEX(Affected,0,C5487)*EXP(-((E5487-EvCenter)^2)/(2*EvSigma^2))))),"")</f>
        <v/>
      </c>
      <c r="O5487">
        <f>IF(B5487,ROUND(MAX(0,J5487*K5487*L5487*M5487*N5487),2),"")</f>
        <v/>
      </c>
    </row>
    <row r="5488">
      <c r="A5488" t="n">
        <v>5487</v>
      </c>
      <c r="B5488">
        <f>A5488&lt;=MineCount*Days</f>
        <v/>
      </c>
      <c r="C5488">
        <f>IF(B5488,INT((A5488-1)/Days)+1,"")</f>
        <v/>
      </c>
      <c r="D5488">
        <f>IF(B5488,MOD(A5488-1,Days),"")</f>
        <v/>
      </c>
      <c r="E5488" s="16">
        <f>IF(B5488,StartDate+D5488,"")</f>
        <v/>
      </c>
      <c r="F5488">
        <f>IF(B5488,MAX(MOD(SIN(Seed*0.1373+C5488*12.9898+D5488*78.233)*43758.5453,1),1E-9),"")</f>
        <v/>
      </c>
      <c r="G5488">
        <f>IF(B5488,MOD(SIN(Seed*0.5917+C5488*39.3468+D5488*11.135)*24634.6345,1),"")</f>
        <v/>
      </c>
      <c r="H5488">
        <f>IF(B5488,SQRT(-2*LN(F5488))*COS(2*PI()*G5488),"")</f>
        <v/>
      </c>
      <c r="I5488">
        <f>IF(B5488,IF(D5488=0,H5488,Rho*I5487+SQRT(1-Rho^2)*H5488),"")</f>
        <v/>
      </c>
      <c r="J5488">
        <f>IF(B5488,IF(Dist="Normal",DistA+DistB*I5488,DistA+(DistB-DistA)*NORMSDIST(I5488)),"")</f>
        <v/>
      </c>
      <c r="K5488">
        <f>IF(B5488,INDEX(MineScale,C5488),"")</f>
        <v/>
      </c>
      <c r="L5488">
        <f>IF(B5488,INDEX(Dow,1,WEEKDAY(E5488,2)),"")</f>
        <v/>
      </c>
      <c r="M5488">
        <f>IF(B5488,(1+Trend)^D5488,"")</f>
        <v/>
      </c>
      <c r="N5488">
        <f>IF(B5488,EXP(SUMPRODUCT(LN(1+(EvEff-1)*INDEX(Affected,0,C5488)*EXP(-((E5488-EvCenter)^2)/(2*EvSigma^2))))),"")</f>
        <v/>
      </c>
      <c r="O5488">
        <f>IF(B5488,ROUND(MAX(0,J5488*K5488*L5488*M5488*N5488),2),"")</f>
        <v/>
      </c>
    </row>
    <row r="5489">
      <c r="A5489" t="n">
        <v>5488</v>
      </c>
      <c r="B5489">
        <f>A5489&lt;=MineCount*Days</f>
        <v/>
      </c>
      <c r="C5489">
        <f>IF(B5489,INT((A5489-1)/Days)+1,"")</f>
        <v/>
      </c>
      <c r="D5489">
        <f>IF(B5489,MOD(A5489-1,Days),"")</f>
        <v/>
      </c>
      <c r="E5489" s="16">
        <f>IF(B5489,StartDate+D5489,"")</f>
        <v/>
      </c>
      <c r="F5489">
        <f>IF(B5489,MAX(MOD(SIN(Seed*0.1373+C5489*12.9898+D5489*78.233)*43758.5453,1),1E-9),"")</f>
        <v/>
      </c>
      <c r="G5489">
        <f>IF(B5489,MOD(SIN(Seed*0.5917+C5489*39.3468+D5489*11.135)*24634.6345,1),"")</f>
        <v/>
      </c>
      <c r="H5489">
        <f>IF(B5489,SQRT(-2*LN(F5489))*COS(2*PI()*G5489),"")</f>
        <v/>
      </c>
      <c r="I5489">
        <f>IF(B5489,IF(D5489=0,H5489,Rho*I5488+SQRT(1-Rho^2)*H5489),"")</f>
        <v/>
      </c>
      <c r="J5489">
        <f>IF(B5489,IF(Dist="Normal",DistA+DistB*I5489,DistA+(DistB-DistA)*NORMSDIST(I5489)),"")</f>
        <v/>
      </c>
      <c r="K5489">
        <f>IF(B5489,INDEX(MineScale,C5489),"")</f>
        <v/>
      </c>
      <c r="L5489">
        <f>IF(B5489,INDEX(Dow,1,WEEKDAY(E5489,2)),"")</f>
        <v/>
      </c>
      <c r="M5489">
        <f>IF(B5489,(1+Trend)^D5489,"")</f>
        <v/>
      </c>
      <c r="N5489">
        <f>IF(B5489,EXP(SUMPRODUCT(LN(1+(EvEff-1)*INDEX(Affected,0,C5489)*EXP(-((E5489-EvCenter)^2)/(2*EvSigma^2))))),"")</f>
        <v/>
      </c>
      <c r="O5489">
        <f>IF(B5489,ROUND(MAX(0,J5489*K5489*L5489*M5489*N5489),2),"")</f>
        <v/>
      </c>
    </row>
    <row r="5490">
      <c r="A5490" t="n">
        <v>5489</v>
      </c>
      <c r="B5490">
        <f>A5490&lt;=MineCount*Days</f>
        <v/>
      </c>
      <c r="C5490">
        <f>IF(B5490,INT((A5490-1)/Days)+1,"")</f>
        <v/>
      </c>
      <c r="D5490">
        <f>IF(B5490,MOD(A5490-1,Days),"")</f>
        <v/>
      </c>
      <c r="E5490" s="16">
        <f>IF(B5490,StartDate+D5490,"")</f>
        <v/>
      </c>
      <c r="F5490">
        <f>IF(B5490,MAX(MOD(SIN(Seed*0.1373+C5490*12.9898+D5490*78.233)*43758.5453,1),1E-9),"")</f>
        <v/>
      </c>
      <c r="G5490">
        <f>IF(B5490,MOD(SIN(Seed*0.5917+C5490*39.3468+D5490*11.135)*24634.6345,1),"")</f>
        <v/>
      </c>
      <c r="H5490">
        <f>IF(B5490,SQRT(-2*LN(F5490))*COS(2*PI()*G5490),"")</f>
        <v/>
      </c>
      <c r="I5490">
        <f>IF(B5490,IF(D5490=0,H5490,Rho*I5489+SQRT(1-Rho^2)*H5490),"")</f>
        <v/>
      </c>
      <c r="J5490">
        <f>IF(B5490,IF(Dist="Normal",DistA+DistB*I5490,DistA+(DistB-DistA)*NORMSDIST(I5490)),"")</f>
        <v/>
      </c>
      <c r="K5490">
        <f>IF(B5490,INDEX(MineScale,C5490),"")</f>
        <v/>
      </c>
      <c r="L5490">
        <f>IF(B5490,INDEX(Dow,1,WEEKDAY(E5490,2)),"")</f>
        <v/>
      </c>
      <c r="M5490">
        <f>IF(B5490,(1+Trend)^D5490,"")</f>
        <v/>
      </c>
      <c r="N5490">
        <f>IF(B5490,EXP(SUMPRODUCT(LN(1+(EvEff-1)*INDEX(Affected,0,C5490)*EXP(-((E5490-EvCenter)^2)/(2*EvSigma^2))))),"")</f>
        <v/>
      </c>
      <c r="O5490">
        <f>IF(B5490,ROUND(MAX(0,J5490*K5490*L5490*M5490*N5490),2),"")</f>
        <v/>
      </c>
    </row>
    <row r="5491">
      <c r="A5491" t="n">
        <v>5490</v>
      </c>
      <c r="B5491">
        <f>A5491&lt;=MineCount*Days</f>
        <v/>
      </c>
      <c r="C5491">
        <f>IF(B5491,INT((A5491-1)/Days)+1,"")</f>
        <v/>
      </c>
      <c r="D5491">
        <f>IF(B5491,MOD(A5491-1,Days),"")</f>
        <v/>
      </c>
      <c r="E5491" s="16">
        <f>IF(B5491,StartDate+D5491,"")</f>
        <v/>
      </c>
      <c r="F5491">
        <f>IF(B5491,MAX(MOD(SIN(Seed*0.1373+C5491*12.9898+D5491*78.233)*43758.5453,1),1E-9),"")</f>
        <v/>
      </c>
      <c r="G5491">
        <f>IF(B5491,MOD(SIN(Seed*0.5917+C5491*39.3468+D5491*11.135)*24634.6345,1),"")</f>
        <v/>
      </c>
      <c r="H5491">
        <f>IF(B5491,SQRT(-2*LN(F5491))*COS(2*PI()*G5491),"")</f>
        <v/>
      </c>
      <c r="I5491">
        <f>IF(B5491,IF(D5491=0,H5491,Rho*I5490+SQRT(1-Rho^2)*H5491),"")</f>
        <v/>
      </c>
      <c r="J5491">
        <f>IF(B5491,IF(Dist="Normal",DistA+DistB*I5491,DistA+(DistB-DistA)*NORMSDIST(I5491)),"")</f>
        <v/>
      </c>
      <c r="K5491">
        <f>IF(B5491,INDEX(MineScale,C5491),"")</f>
        <v/>
      </c>
      <c r="L5491">
        <f>IF(B5491,INDEX(Dow,1,WEEKDAY(E5491,2)),"")</f>
        <v/>
      </c>
      <c r="M5491">
        <f>IF(B5491,(1+Trend)^D5491,"")</f>
        <v/>
      </c>
      <c r="N5491">
        <f>IF(B5491,EXP(SUMPRODUCT(LN(1+(EvEff-1)*INDEX(Affected,0,C5491)*EXP(-((E5491-EvCenter)^2)/(2*EvSigma^2))))),"")</f>
        <v/>
      </c>
      <c r="O5491">
        <f>IF(B5491,ROUND(MAX(0,J5491*K5491*L5491*M5491*N5491),2),"")</f>
        <v/>
      </c>
    </row>
    <row r="5492">
      <c r="A5492" t="n">
        <v>5491</v>
      </c>
      <c r="B5492">
        <f>A5492&lt;=MineCount*Days</f>
        <v/>
      </c>
      <c r="C5492">
        <f>IF(B5492,INT((A5492-1)/Days)+1,"")</f>
        <v/>
      </c>
      <c r="D5492">
        <f>IF(B5492,MOD(A5492-1,Days),"")</f>
        <v/>
      </c>
      <c r="E5492" s="16">
        <f>IF(B5492,StartDate+D5492,"")</f>
        <v/>
      </c>
      <c r="F5492">
        <f>IF(B5492,MAX(MOD(SIN(Seed*0.1373+C5492*12.9898+D5492*78.233)*43758.5453,1),1E-9),"")</f>
        <v/>
      </c>
      <c r="G5492">
        <f>IF(B5492,MOD(SIN(Seed*0.5917+C5492*39.3468+D5492*11.135)*24634.6345,1),"")</f>
        <v/>
      </c>
      <c r="H5492">
        <f>IF(B5492,SQRT(-2*LN(F5492))*COS(2*PI()*G5492),"")</f>
        <v/>
      </c>
      <c r="I5492">
        <f>IF(B5492,IF(D5492=0,H5492,Rho*I5491+SQRT(1-Rho^2)*H5492),"")</f>
        <v/>
      </c>
      <c r="J5492">
        <f>IF(B5492,IF(Dist="Normal",DistA+DistB*I5492,DistA+(DistB-DistA)*NORMSDIST(I5492)),"")</f>
        <v/>
      </c>
      <c r="K5492">
        <f>IF(B5492,INDEX(MineScale,C5492),"")</f>
        <v/>
      </c>
      <c r="L5492">
        <f>IF(B5492,INDEX(Dow,1,WEEKDAY(E5492,2)),"")</f>
        <v/>
      </c>
      <c r="M5492">
        <f>IF(B5492,(1+Trend)^D5492,"")</f>
        <v/>
      </c>
      <c r="N5492">
        <f>IF(B5492,EXP(SUMPRODUCT(LN(1+(EvEff-1)*INDEX(Affected,0,C5492)*EXP(-((E5492-EvCenter)^2)/(2*EvSigma^2))))),"")</f>
        <v/>
      </c>
      <c r="O5492">
        <f>IF(B5492,ROUND(MAX(0,J5492*K5492*L5492*M5492*N5492),2),"")</f>
        <v/>
      </c>
    </row>
    <row r="5493">
      <c r="A5493" t="n">
        <v>5492</v>
      </c>
      <c r="B5493">
        <f>A5493&lt;=MineCount*Days</f>
        <v/>
      </c>
      <c r="C5493">
        <f>IF(B5493,INT((A5493-1)/Days)+1,"")</f>
        <v/>
      </c>
      <c r="D5493">
        <f>IF(B5493,MOD(A5493-1,Days),"")</f>
        <v/>
      </c>
      <c r="E5493" s="16">
        <f>IF(B5493,StartDate+D5493,"")</f>
        <v/>
      </c>
      <c r="F5493">
        <f>IF(B5493,MAX(MOD(SIN(Seed*0.1373+C5493*12.9898+D5493*78.233)*43758.5453,1),1E-9),"")</f>
        <v/>
      </c>
      <c r="G5493">
        <f>IF(B5493,MOD(SIN(Seed*0.5917+C5493*39.3468+D5493*11.135)*24634.6345,1),"")</f>
        <v/>
      </c>
      <c r="H5493">
        <f>IF(B5493,SQRT(-2*LN(F5493))*COS(2*PI()*G5493),"")</f>
        <v/>
      </c>
      <c r="I5493">
        <f>IF(B5493,IF(D5493=0,H5493,Rho*I5492+SQRT(1-Rho^2)*H5493),"")</f>
        <v/>
      </c>
      <c r="J5493">
        <f>IF(B5493,IF(Dist="Normal",DistA+DistB*I5493,DistA+(DistB-DistA)*NORMSDIST(I5493)),"")</f>
        <v/>
      </c>
      <c r="K5493">
        <f>IF(B5493,INDEX(MineScale,C5493),"")</f>
        <v/>
      </c>
      <c r="L5493">
        <f>IF(B5493,INDEX(Dow,1,WEEKDAY(E5493,2)),"")</f>
        <v/>
      </c>
      <c r="M5493">
        <f>IF(B5493,(1+Trend)^D5493,"")</f>
        <v/>
      </c>
      <c r="N5493">
        <f>IF(B5493,EXP(SUMPRODUCT(LN(1+(EvEff-1)*INDEX(Affected,0,C5493)*EXP(-((E5493-EvCenter)^2)/(2*EvSigma^2))))),"")</f>
        <v/>
      </c>
      <c r="O5493">
        <f>IF(B5493,ROUND(MAX(0,J5493*K5493*L5493*M5493*N5493),2),"")</f>
        <v/>
      </c>
    </row>
    <row r="5494">
      <c r="A5494" t="n">
        <v>5493</v>
      </c>
      <c r="B5494">
        <f>A5494&lt;=MineCount*Days</f>
        <v/>
      </c>
      <c r="C5494">
        <f>IF(B5494,INT((A5494-1)/Days)+1,"")</f>
        <v/>
      </c>
      <c r="D5494">
        <f>IF(B5494,MOD(A5494-1,Days),"")</f>
        <v/>
      </c>
      <c r="E5494" s="16">
        <f>IF(B5494,StartDate+D5494,"")</f>
        <v/>
      </c>
      <c r="F5494">
        <f>IF(B5494,MAX(MOD(SIN(Seed*0.1373+C5494*12.9898+D5494*78.233)*43758.5453,1),1E-9),"")</f>
        <v/>
      </c>
      <c r="G5494">
        <f>IF(B5494,MOD(SIN(Seed*0.5917+C5494*39.3468+D5494*11.135)*24634.6345,1),"")</f>
        <v/>
      </c>
      <c r="H5494">
        <f>IF(B5494,SQRT(-2*LN(F5494))*COS(2*PI()*G5494),"")</f>
        <v/>
      </c>
      <c r="I5494">
        <f>IF(B5494,IF(D5494=0,H5494,Rho*I5493+SQRT(1-Rho^2)*H5494),"")</f>
        <v/>
      </c>
      <c r="J5494">
        <f>IF(B5494,IF(Dist="Normal",DistA+DistB*I5494,DistA+(DistB-DistA)*NORMSDIST(I5494)),"")</f>
        <v/>
      </c>
      <c r="K5494">
        <f>IF(B5494,INDEX(MineScale,C5494),"")</f>
        <v/>
      </c>
      <c r="L5494">
        <f>IF(B5494,INDEX(Dow,1,WEEKDAY(E5494,2)),"")</f>
        <v/>
      </c>
      <c r="M5494">
        <f>IF(B5494,(1+Trend)^D5494,"")</f>
        <v/>
      </c>
      <c r="N5494">
        <f>IF(B5494,EXP(SUMPRODUCT(LN(1+(EvEff-1)*INDEX(Affected,0,C5494)*EXP(-((E5494-EvCenter)^2)/(2*EvSigma^2))))),"")</f>
        <v/>
      </c>
      <c r="O5494">
        <f>IF(B5494,ROUND(MAX(0,J5494*K5494*L5494*M5494*N5494),2),"")</f>
        <v/>
      </c>
    </row>
    <row r="5495">
      <c r="A5495" t="n">
        <v>5494</v>
      </c>
      <c r="B5495">
        <f>A5495&lt;=MineCount*Days</f>
        <v/>
      </c>
      <c r="C5495">
        <f>IF(B5495,INT((A5495-1)/Days)+1,"")</f>
        <v/>
      </c>
      <c r="D5495">
        <f>IF(B5495,MOD(A5495-1,Days),"")</f>
        <v/>
      </c>
      <c r="E5495" s="16">
        <f>IF(B5495,StartDate+D5495,"")</f>
        <v/>
      </c>
      <c r="F5495">
        <f>IF(B5495,MAX(MOD(SIN(Seed*0.1373+C5495*12.9898+D5495*78.233)*43758.5453,1),1E-9),"")</f>
        <v/>
      </c>
      <c r="G5495">
        <f>IF(B5495,MOD(SIN(Seed*0.5917+C5495*39.3468+D5495*11.135)*24634.6345,1),"")</f>
        <v/>
      </c>
      <c r="H5495">
        <f>IF(B5495,SQRT(-2*LN(F5495))*COS(2*PI()*G5495),"")</f>
        <v/>
      </c>
      <c r="I5495">
        <f>IF(B5495,IF(D5495=0,H5495,Rho*I5494+SQRT(1-Rho^2)*H5495),"")</f>
        <v/>
      </c>
      <c r="J5495">
        <f>IF(B5495,IF(Dist="Normal",DistA+DistB*I5495,DistA+(DistB-DistA)*NORMSDIST(I5495)),"")</f>
        <v/>
      </c>
      <c r="K5495">
        <f>IF(B5495,INDEX(MineScale,C5495),"")</f>
        <v/>
      </c>
      <c r="L5495">
        <f>IF(B5495,INDEX(Dow,1,WEEKDAY(E5495,2)),"")</f>
        <v/>
      </c>
      <c r="M5495">
        <f>IF(B5495,(1+Trend)^D5495,"")</f>
        <v/>
      </c>
      <c r="N5495">
        <f>IF(B5495,EXP(SUMPRODUCT(LN(1+(EvEff-1)*INDEX(Affected,0,C5495)*EXP(-((E5495-EvCenter)^2)/(2*EvSigma^2))))),"")</f>
        <v/>
      </c>
      <c r="O5495">
        <f>IF(B5495,ROUND(MAX(0,J5495*K5495*L5495*M5495*N5495),2),"")</f>
        <v/>
      </c>
    </row>
    <row r="5496">
      <c r="A5496" t="n">
        <v>5495</v>
      </c>
      <c r="B5496">
        <f>A5496&lt;=MineCount*Days</f>
        <v/>
      </c>
      <c r="C5496">
        <f>IF(B5496,INT((A5496-1)/Days)+1,"")</f>
        <v/>
      </c>
      <c r="D5496">
        <f>IF(B5496,MOD(A5496-1,Days),"")</f>
        <v/>
      </c>
      <c r="E5496" s="16">
        <f>IF(B5496,StartDate+D5496,"")</f>
        <v/>
      </c>
      <c r="F5496">
        <f>IF(B5496,MAX(MOD(SIN(Seed*0.1373+C5496*12.9898+D5496*78.233)*43758.5453,1),1E-9),"")</f>
        <v/>
      </c>
      <c r="G5496">
        <f>IF(B5496,MOD(SIN(Seed*0.5917+C5496*39.3468+D5496*11.135)*24634.6345,1),"")</f>
        <v/>
      </c>
      <c r="H5496">
        <f>IF(B5496,SQRT(-2*LN(F5496))*COS(2*PI()*G5496),"")</f>
        <v/>
      </c>
      <c r="I5496">
        <f>IF(B5496,IF(D5496=0,H5496,Rho*I5495+SQRT(1-Rho^2)*H5496),"")</f>
        <v/>
      </c>
      <c r="J5496">
        <f>IF(B5496,IF(Dist="Normal",DistA+DistB*I5496,DistA+(DistB-DistA)*NORMSDIST(I5496)),"")</f>
        <v/>
      </c>
      <c r="K5496">
        <f>IF(B5496,INDEX(MineScale,C5496),"")</f>
        <v/>
      </c>
      <c r="L5496">
        <f>IF(B5496,INDEX(Dow,1,WEEKDAY(E5496,2)),"")</f>
        <v/>
      </c>
      <c r="M5496">
        <f>IF(B5496,(1+Trend)^D5496,"")</f>
        <v/>
      </c>
      <c r="N5496">
        <f>IF(B5496,EXP(SUMPRODUCT(LN(1+(EvEff-1)*INDEX(Affected,0,C5496)*EXP(-((E5496-EvCenter)^2)/(2*EvSigma^2))))),"")</f>
        <v/>
      </c>
      <c r="O5496">
        <f>IF(B5496,ROUND(MAX(0,J5496*K5496*L5496*M5496*N5496),2),"")</f>
        <v/>
      </c>
    </row>
    <row r="5497">
      <c r="A5497" t="n">
        <v>5496</v>
      </c>
      <c r="B5497">
        <f>A5497&lt;=MineCount*Days</f>
        <v/>
      </c>
      <c r="C5497">
        <f>IF(B5497,INT((A5497-1)/Days)+1,"")</f>
        <v/>
      </c>
      <c r="D5497">
        <f>IF(B5497,MOD(A5497-1,Days),"")</f>
        <v/>
      </c>
      <c r="E5497" s="16">
        <f>IF(B5497,StartDate+D5497,"")</f>
        <v/>
      </c>
      <c r="F5497">
        <f>IF(B5497,MAX(MOD(SIN(Seed*0.1373+C5497*12.9898+D5497*78.233)*43758.5453,1),1E-9),"")</f>
        <v/>
      </c>
      <c r="G5497">
        <f>IF(B5497,MOD(SIN(Seed*0.5917+C5497*39.3468+D5497*11.135)*24634.6345,1),"")</f>
        <v/>
      </c>
      <c r="H5497">
        <f>IF(B5497,SQRT(-2*LN(F5497))*COS(2*PI()*G5497),"")</f>
        <v/>
      </c>
      <c r="I5497">
        <f>IF(B5497,IF(D5497=0,H5497,Rho*I5496+SQRT(1-Rho^2)*H5497),"")</f>
        <v/>
      </c>
      <c r="J5497">
        <f>IF(B5497,IF(Dist="Normal",DistA+DistB*I5497,DistA+(DistB-DistA)*NORMSDIST(I5497)),"")</f>
        <v/>
      </c>
      <c r="K5497">
        <f>IF(B5497,INDEX(MineScale,C5497),"")</f>
        <v/>
      </c>
      <c r="L5497">
        <f>IF(B5497,INDEX(Dow,1,WEEKDAY(E5497,2)),"")</f>
        <v/>
      </c>
      <c r="M5497">
        <f>IF(B5497,(1+Trend)^D5497,"")</f>
        <v/>
      </c>
      <c r="N5497">
        <f>IF(B5497,EXP(SUMPRODUCT(LN(1+(EvEff-1)*INDEX(Affected,0,C5497)*EXP(-((E5497-EvCenter)^2)/(2*EvSigma^2))))),"")</f>
        <v/>
      </c>
      <c r="O5497">
        <f>IF(B5497,ROUND(MAX(0,J5497*K5497*L5497*M5497*N5497),2),"")</f>
        <v/>
      </c>
    </row>
    <row r="5498">
      <c r="A5498" t="n">
        <v>5497</v>
      </c>
      <c r="B5498">
        <f>A5498&lt;=MineCount*Days</f>
        <v/>
      </c>
      <c r="C5498">
        <f>IF(B5498,INT((A5498-1)/Days)+1,"")</f>
        <v/>
      </c>
      <c r="D5498">
        <f>IF(B5498,MOD(A5498-1,Days),"")</f>
        <v/>
      </c>
      <c r="E5498" s="16">
        <f>IF(B5498,StartDate+D5498,"")</f>
        <v/>
      </c>
      <c r="F5498">
        <f>IF(B5498,MAX(MOD(SIN(Seed*0.1373+C5498*12.9898+D5498*78.233)*43758.5453,1),1E-9),"")</f>
        <v/>
      </c>
      <c r="G5498">
        <f>IF(B5498,MOD(SIN(Seed*0.5917+C5498*39.3468+D5498*11.135)*24634.6345,1),"")</f>
        <v/>
      </c>
      <c r="H5498">
        <f>IF(B5498,SQRT(-2*LN(F5498))*COS(2*PI()*G5498),"")</f>
        <v/>
      </c>
      <c r="I5498">
        <f>IF(B5498,IF(D5498=0,H5498,Rho*I5497+SQRT(1-Rho^2)*H5498),"")</f>
        <v/>
      </c>
      <c r="J5498">
        <f>IF(B5498,IF(Dist="Normal",DistA+DistB*I5498,DistA+(DistB-DistA)*NORMSDIST(I5498)),"")</f>
        <v/>
      </c>
      <c r="K5498">
        <f>IF(B5498,INDEX(MineScale,C5498),"")</f>
        <v/>
      </c>
      <c r="L5498">
        <f>IF(B5498,INDEX(Dow,1,WEEKDAY(E5498,2)),"")</f>
        <v/>
      </c>
      <c r="M5498">
        <f>IF(B5498,(1+Trend)^D5498,"")</f>
        <v/>
      </c>
      <c r="N5498">
        <f>IF(B5498,EXP(SUMPRODUCT(LN(1+(EvEff-1)*INDEX(Affected,0,C5498)*EXP(-((E5498-EvCenter)^2)/(2*EvSigma^2))))),"")</f>
        <v/>
      </c>
      <c r="O5498">
        <f>IF(B5498,ROUND(MAX(0,J5498*K5498*L5498*M5498*N5498),2),"")</f>
        <v/>
      </c>
    </row>
    <row r="5499">
      <c r="A5499" t="n">
        <v>5498</v>
      </c>
      <c r="B5499">
        <f>A5499&lt;=MineCount*Days</f>
        <v/>
      </c>
      <c r="C5499">
        <f>IF(B5499,INT((A5499-1)/Days)+1,"")</f>
        <v/>
      </c>
      <c r="D5499">
        <f>IF(B5499,MOD(A5499-1,Days),"")</f>
        <v/>
      </c>
      <c r="E5499" s="16">
        <f>IF(B5499,StartDate+D5499,"")</f>
        <v/>
      </c>
      <c r="F5499">
        <f>IF(B5499,MAX(MOD(SIN(Seed*0.1373+C5499*12.9898+D5499*78.233)*43758.5453,1),1E-9),"")</f>
        <v/>
      </c>
      <c r="G5499">
        <f>IF(B5499,MOD(SIN(Seed*0.5917+C5499*39.3468+D5499*11.135)*24634.6345,1),"")</f>
        <v/>
      </c>
      <c r="H5499">
        <f>IF(B5499,SQRT(-2*LN(F5499))*COS(2*PI()*G5499),"")</f>
        <v/>
      </c>
      <c r="I5499">
        <f>IF(B5499,IF(D5499=0,H5499,Rho*I5498+SQRT(1-Rho^2)*H5499),"")</f>
        <v/>
      </c>
      <c r="J5499">
        <f>IF(B5499,IF(Dist="Normal",DistA+DistB*I5499,DistA+(DistB-DistA)*NORMSDIST(I5499)),"")</f>
        <v/>
      </c>
      <c r="K5499">
        <f>IF(B5499,INDEX(MineScale,C5499),"")</f>
        <v/>
      </c>
      <c r="L5499">
        <f>IF(B5499,INDEX(Dow,1,WEEKDAY(E5499,2)),"")</f>
        <v/>
      </c>
      <c r="M5499">
        <f>IF(B5499,(1+Trend)^D5499,"")</f>
        <v/>
      </c>
      <c r="N5499">
        <f>IF(B5499,EXP(SUMPRODUCT(LN(1+(EvEff-1)*INDEX(Affected,0,C5499)*EXP(-((E5499-EvCenter)^2)/(2*EvSigma^2))))),"")</f>
        <v/>
      </c>
      <c r="O5499">
        <f>IF(B5499,ROUND(MAX(0,J5499*K5499*L5499*M5499*N5499),2),"")</f>
        <v/>
      </c>
    </row>
    <row r="5500">
      <c r="A5500" t="n">
        <v>5499</v>
      </c>
      <c r="B5500">
        <f>A5500&lt;=MineCount*Days</f>
        <v/>
      </c>
      <c r="C5500">
        <f>IF(B5500,INT((A5500-1)/Days)+1,"")</f>
        <v/>
      </c>
      <c r="D5500">
        <f>IF(B5500,MOD(A5500-1,Days),"")</f>
        <v/>
      </c>
      <c r="E5500" s="16">
        <f>IF(B5500,StartDate+D5500,"")</f>
        <v/>
      </c>
      <c r="F5500">
        <f>IF(B5500,MAX(MOD(SIN(Seed*0.1373+C5500*12.9898+D5500*78.233)*43758.5453,1),1E-9),"")</f>
        <v/>
      </c>
      <c r="G5500">
        <f>IF(B5500,MOD(SIN(Seed*0.5917+C5500*39.3468+D5500*11.135)*24634.6345,1),"")</f>
        <v/>
      </c>
      <c r="H5500">
        <f>IF(B5500,SQRT(-2*LN(F5500))*COS(2*PI()*G5500),"")</f>
        <v/>
      </c>
      <c r="I5500">
        <f>IF(B5500,IF(D5500=0,H5500,Rho*I5499+SQRT(1-Rho^2)*H5500),"")</f>
        <v/>
      </c>
      <c r="J5500">
        <f>IF(B5500,IF(Dist="Normal",DistA+DistB*I5500,DistA+(DistB-DistA)*NORMSDIST(I5500)),"")</f>
        <v/>
      </c>
      <c r="K5500">
        <f>IF(B5500,INDEX(MineScale,C5500),"")</f>
        <v/>
      </c>
      <c r="L5500">
        <f>IF(B5500,INDEX(Dow,1,WEEKDAY(E5500,2)),"")</f>
        <v/>
      </c>
      <c r="M5500">
        <f>IF(B5500,(1+Trend)^D5500,"")</f>
        <v/>
      </c>
      <c r="N5500">
        <f>IF(B5500,EXP(SUMPRODUCT(LN(1+(EvEff-1)*INDEX(Affected,0,C5500)*EXP(-((E5500-EvCenter)^2)/(2*EvSigma^2))))),"")</f>
        <v/>
      </c>
      <c r="O5500">
        <f>IF(B5500,ROUND(MAX(0,J5500*K5500*L5500*M5500*N5500),2),"")</f>
        <v/>
      </c>
    </row>
    <row r="5501">
      <c r="A5501" t="n">
        <v>5500</v>
      </c>
      <c r="B5501">
        <f>A5501&lt;=MineCount*Days</f>
        <v/>
      </c>
      <c r="C5501">
        <f>IF(B5501,INT((A5501-1)/Days)+1,"")</f>
        <v/>
      </c>
      <c r="D5501">
        <f>IF(B5501,MOD(A5501-1,Days),"")</f>
        <v/>
      </c>
      <c r="E5501" s="16">
        <f>IF(B5501,StartDate+D5501,"")</f>
        <v/>
      </c>
      <c r="F5501">
        <f>IF(B5501,MAX(MOD(SIN(Seed*0.1373+C5501*12.9898+D5501*78.233)*43758.5453,1),1E-9),"")</f>
        <v/>
      </c>
      <c r="G5501">
        <f>IF(B5501,MOD(SIN(Seed*0.5917+C5501*39.3468+D5501*11.135)*24634.6345,1),"")</f>
        <v/>
      </c>
      <c r="H5501">
        <f>IF(B5501,SQRT(-2*LN(F5501))*COS(2*PI()*G5501),"")</f>
        <v/>
      </c>
      <c r="I5501">
        <f>IF(B5501,IF(D5501=0,H5501,Rho*I5500+SQRT(1-Rho^2)*H5501),"")</f>
        <v/>
      </c>
      <c r="J5501">
        <f>IF(B5501,IF(Dist="Normal",DistA+DistB*I5501,DistA+(DistB-DistA)*NORMSDIST(I5501)),"")</f>
        <v/>
      </c>
      <c r="K5501">
        <f>IF(B5501,INDEX(MineScale,C5501),"")</f>
        <v/>
      </c>
      <c r="L5501">
        <f>IF(B5501,INDEX(Dow,1,WEEKDAY(E5501,2)),"")</f>
        <v/>
      </c>
      <c r="M5501">
        <f>IF(B5501,(1+Trend)^D5501,"")</f>
        <v/>
      </c>
      <c r="N5501">
        <f>IF(B5501,EXP(SUMPRODUCT(LN(1+(EvEff-1)*INDEX(Affected,0,C5501)*EXP(-((E5501-EvCenter)^2)/(2*EvSigma^2))))),"")</f>
        <v/>
      </c>
      <c r="O5501">
        <f>IF(B5501,ROUND(MAX(0,J5501*K5501*L5501*M5501*N5501),2),"")</f>
        <v/>
      </c>
    </row>
    <row r="5502">
      <c r="A5502" t="n">
        <v>5501</v>
      </c>
      <c r="B5502">
        <f>A5502&lt;=MineCount*Days</f>
        <v/>
      </c>
      <c r="C5502">
        <f>IF(B5502,INT((A5502-1)/Days)+1,"")</f>
        <v/>
      </c>
      <c r="D5502">
        <f>IF(B5502,MOD(A5502-1,Days),"")</f>
        <v/>
      </c>
      <c r="E5502" s="16">
        <f>IF(B5502,StartDate+D5502,"")</f>
        <v/>
      </c>
      <c r="F5502">
        <f>IF(B5502,MAX(MOD(SIN(Seed*0.1373+C5502*12.9898+D5502*78.233)*43758.5453,1),1E-9),"")</f>
        <v/>
      </c>
      <c r="G5502">
        <f>IF(B5502,MOD(SIN(Seed*0.5917+C5502*39.3468+D5502*11.135)*24634.6345,1),"")</f>
        <v/>
      </c>
      <c r="H5502">
        <f>IF(B5502,SQRT(-2*LN(F5502))*COS(2*PI()*G5502),"")</f>
        <v/>
      </c>
      <c r="I5502">
        <f>IF(B5502,IF(D5502=0,H5502,Rho*I5501+SQRT(1-Rho^2)*H5502),"")</f>
        <v/>
      </c>
      <c r="J5502">
        <f>IF(B5502,IF(Dist="Normal",DistA+DistB*I5502,DistA+(DistB-DistA)*NORMSDIST(I5502)),"")</f>
        <v/>
      </c>
      <c r="K5502">
        <f>IF(B5502,INDEX(MineScale,C5502),"")</f>
        <v/>
      </c>
      <c r="L5502">
        <f>IF(B5502,INDEX(Dow,1,WEEKDAY(E5502,2)),"")</f>
        <v/>
      </c>
      <c r="M5502">
        <f>IF(B5502,(1+Trend)^D5502,"")</f>
        <v/>
      </c>
      <c r="N5502">
        <f>IF(B5502,EXP(SUMPRODUCT(LN(1+(EvEff-1)*INDEX(Affected,0,C5502)*EXP(-((E5502-EvCenter)^2)/(2*EvSigma^2))))),"")</f>
        <v/>
      </c>
      <c r="O5502">
        <f>IF(B5502,ROUND(MAX(0,J5502*K5502*L5502*M5502*N5502),2),"")</f>
        <v/>
      </c>
    </row>
    <row r="5503">
      <c r="A5503" t="n">
        <v>5502</v>
      </c>
      <c r="B5503">
        <f>A5503&lt;=MineCount*Days</f>
        <v/>
      </c>
      <c r="C5503">
        <f>IF(B5503,INT((A5503-1)/Days)+1,"")</f>
        <v/>
      </c>
      <c r="D5503">
        <f>IF(B5503,MOD(A5503-1,Days),"")</f>
        <v/>
      </c>
      <c r="E5503" s="16">
        <f>IF(B5503,StartDate+D5503,"")</f>
        <v/>
      </c>
      <c r="F5503">
        <f>IF(B5503,MAX(MOD(SIN(Seed*0.1373+C5503*12.9898+D5503*78.233)*43758.5453,1),1E-9),"")</f>
        <v/>
      </c>
      <c r="G5503">
        <f>IF(B5503,MOD(SIN(Seed*0.5917+C5503*39.3468+D5503*11.135)*24634.6345,1),"")</f>
        <v/>
      </c>
      <c r="H5503">
        <f>IF(B5503,SQRT(-2*LN(F5503))*COS(2*PI()*G5503),"")</f>
        <v/>
      </c>
      <c r="I5503">
        <f>IF(B5503,IF(D5503=0,H5503,Rho*I5502+SQRT(1-Rho^2)*H5503),"")</f>
        <v/>
      </c>
      <c r="J5503">
        <f>IF(B5503,IF(Dist="Normal",DistA+DistB*I5503,DistA+(DistB-DistA)*NORMSDIST(I5503)),"")</f>
        <v/>
      </c>
      <c r="K5503">
        <f>IF(B5503,INDEX(MineScale,C5503),"")</f>
        <v/>
      </c>
      <c r="L5503">
        <f>IF(B5503,INDEX(Dow,1,WEEKDAY(E5503,2)),"")</f>
        <v/>
      </c>
      <c r="M5503">
        <f>IF(B5503,(1+Trend)^D5503,"")</f>
        <v/>
      </c>
      <c r="N5503">
        <f>IF(B5503,EXP(SUMPRODUCT(LN(1+(EvEff-1)*INDEX(Affected,0,C5503)*EXP(-((E5503-EvCenter)^2)/(2*EvSigma^2))))),"")</f>
        <v/>
      </c>
      <c r="O5503">
        <f>IF(B5503,ROUND(MAX(0,J5503*K5503*L5503*M5503*N5503),2),"")</f>
        <v/>
      </c>
    </row>
    <row r="5504">
      <c r="A5504" t="n">
        <v>5503</v>
      </c>
      <c r="B5504">
        <f>A5504&lt;=MineCount*Days</f>
        <v/>
      </c>
      <c r="C5504">
        <f>IF(B5504,INT((A5504-1)/Days)+1,"")</f>
        <v/>
      </c>
      <c r="D5504">
        <f>IF(B5504,MOD(A5504-1,Days),"")</f>
        <v/>
      </c>
      <c r="E5504" s="16">
        <f>IF(B5504,StartDate+D5504,"")</f>
        <v/>
      </c>
      <c r="F5504">
        <f>IF(B5504,MAX(MOD(SIN(Seed*0.1373+C5504*12.9898+D5504*78.233)*43758.5453,1),1E-9),"")</f>
        <v/>
      </c>
      <c r="G5504">
        <f>IF(B5504,MOD(SIN(Seed*0.5917+C5504*39.3468+D5504*11.135)*24634.6345,1),"")</f>
        <v/>
      </c>
      <c r="H5504">
        <f>IF(B5504,SQRT(-2*LN(F5504))*COS(2*PI()*G5504),"")</f>
        <v/>
      </c>
      <c r="I5504">
        <f>IF(B5504,IF(D5504=0,H5504,Rho*I5503+SQRT(1-Rho^2)*H5504),"")</f>
        <v/>
      </c>
      <c r="J5504">
        <f>IF(B5504,IF(Dist="Normal",DistA+DistB*I5504,DistA+(DistB-DistA)*NORMSDIST(I5504)),"")</f>
        <v/>
      </c>
      <c r="K5504">
        <f>IF(B5504,INDEX(MineScale,C5504),"")</f>
        <v/>
      </c>
      <c r="L5504">
        <f>IF(B5504,INDEX(Dow,1,WEEKDAY(E5504,2)),"")</f>
        <v/>
      </c>
      <c r="M5504">
        <f>IF(B5504,(1+Trend)^D5504,"")</f>
        <v/>
      </c>
      <c r="N5504">
        <f>IF(B5504,EXP(SUMPRODUCT(LN(1+(EvEff-1)*INDEX(Affected,0,C5504)*EXP(-((E5504-EvCenter)^2)/(2*EvSigma^2))))),"")</f>
        <v/>
      </c>
      <c r="O5504">
        <f>IF(B5504,ROUND(MAX(0,J5504*K5504*L5504*M5504*N5504),2),"")</f>
        <v/>
      </c>
    </row>
    <row r="5505">
      <c r="A5505" t="n">
        <v>5504</v>
      </c>
      <c r="B5505">
        <f>A5505&lt;=MineCount*Days</f>
        <v/>
      </c>
      <c r="C5505">
        <f>IF(B5505,INT((A5505-1)/Days)+1,"")</f>
        <v/>
      </c>
      <c r="D5505">
        <f>IF(B5505,MOD(A5505-1,Days),"")</f>
        <v/>
      </c>
      <c r="E5505" s="16">
        <f>IF(B5505,StartDate+D5505,"")</f>
        <v/>
      </c>
      <c r="F5505">
        <f>IF(B5505,MAX(MOD(SIN(Seed*0.1373+C5505*12.9898+D5505*78.233)*43758.5453,1),1E-9),"")</f>
        <v/>
      </c>
      <c r="G5505">
        <f>IF(B5505,MOD(SIN(Seed*0.5917+C5505*39.3468+D5505*11.135)*24634.6345,1),"")</f>
        <v/>
      </c>
      <c r="H5505">
        <f>IF(B5505,SQRT(-2*LN(F5505))*COS(2*PI()*G5505),"")</f>
        <v/>
      </c>
      <c r="I5505">
        <f>IF(B5505,IF(D5505=0,H5505,Rho*I5504+SQRT(1-Rho^2)*H5505),"")</f>
        <v/>
      </c>
      <c r="J5505">
        <f>IF(B5505,IF(Dist="Normal",DistA+DistB*I5505,DistA+(DistB-DistA)*NORMSDIST(I5505)),"")</f>
        <v/>
      </c>
      <c r="K5505">
        <f>IF(B5505,INDEX(MineScale,C5505),"")</f>
        <v/>
      </c>
      <c r="L5505">
        <f>IF(B5505,INDEX(Dow,1,WEEKDAY(E5505,2)),"")</f>
        <v/>
      </c>
      <c r="M5505">
        <f>IF(B5505,(1+Trend)^D5505,"")</f>
        <v/>
      </c>
      <c r="N5505">
        <f>IF(B5505,EXP(SUMPRODUCT(LN(1+(EvEff-1)*INDEX(Affected,0,C5505)*EXP(-((E5505-EvCenter)^2)/(2*EvSigma^2))))),"")</f>
        <v/>
      </c>
      <c r="O5505">
        <f>IF(B5505,ROUND(MAX(0,J5505*K5505*L5505*M5505*N5505),2),"")</f>
        <v/>
      </c>
    </row>
    <row r="5506">
      <c r="A5506" t="n">
        <v>5505</v>
      </c>
      <c r="B5506">
        <f>A5506&lt;=MineCount*Days</f>
        <v/>
      </c>
      <c r="C5506">
        <f>IF(B5506,INT((A5506-1)/Days)+1,"")</f>
        <v/>
      </c>
      <c r="D5506">
        <f>IF(B5506,MOD(A5506-1,Days),"")</f>
        <v/>
      </c>
      <c r="E5506" s="16">
        <f>IF(B5506,StartDate+D5506,"")</f>
        <v/>
      </c>
      <c r="F5506">
        <f>IF(B5506,MAX(MOD(SIN(Seed*0.1373+C5506*12.9898+D5506*78.233)*43758.5453,1),1E-9),"")</f>
        <v/>
      </c>
      <c r="G5506">
        <f>IF(B5506,MOD(SIN(Seed*0.5917+C5506*39.3468+D5506*11.135)*24634.6345,1),"")</f>
        <v/>
      </c>
      <c r="H5506">
        <f>IF(B5506,SQRT(-2*LN(F5506))*COS(2*PI()*G5506),"")</f>
        <v/>
      </c>
      <c r="I5506">
        <f>IF(B5506,IF(D5506=0,H5506,Rho*I5505+SQRT(1-Rho^2)*H5506),"")</f>
        <v/>
      </c>
      <c r="J5506">
        <f>IF(B5506,IF(Dist="Normal",DistA+DistB*I5506,DistA+(DistB-DistA)*NORMSDIST(I5506)),"")</f>
        <v/>
      </c>
      <c r="K5506">
        <f>IF(B5506,INDEX(MineScale,C5506),"")</f>
        <v/>
      </c>
      <c r="L5506">
        <f>IF(B5506,INDEX(Dow,1,WEEKDAY(E5506,2)),"")</f>
        <v/>
      </c>
      <c r="M5506">
        <f>IF(B5506,(1+Trend)^D5506,"")</f>
        <v/>
      </c>
      <c r="N5506">
        <f>IF(B5506,EXP(SUMPRODUCT(LN(1+(EvEff-1)*INDEX(Affected,0,C5506)*EXP(-((E5506-EvCenter)^2)/(2*EvSigma^2))))),"")</f>
        <v/>
      </c>
      <c r="O5506">
        <f>IF(B5506,ROUND(MAX(0,J5506*K5506*L5506*M5506*N5506),2),"")</f>
        <v/>
      </c>
    </row>
    <row r="5507">
      <c r="A5507" t="n">
        <v>5506</v>
      </c>
      <c r="B5507">
        <f>A5507&lt;=MineCount*Days</f>
        <v/>
      </c>
      <c r="C5507">
        <f>IF(B5507,INT((A5507-1)/Days)+1,"")</f>
        <v/>
      </c>
      <c r="D5507">
        <f>IF(B5507,MOD(A5507-1,Days),"")</f>
        <v/>
      </c>
      <c r="E5507" s="16">
        <f>IF(B5507,StartDate+D5507,"")</f>
        <v/>
      </c>
      <c r="F5507">
        <f>IF(B5507,MAX(MOD(SIN(Seed*0.1373+C5507*12.9898+D5507*78.233)*43758.5453,1),1E-9),"")</f>
        <v/>
      </c>
      <c r="G5507">
        <f>IF(B5507,MOD(SIN(Seed*0.5917+C5507*39.3468+D5507*11.135)*24634.6345,1),"")</f>
        <v/>
      </c>
      <c r="H5507">
        <f>IF(B5507,SQRT(-2*LN(F5507))*COS(2*PI()*G5507),"")</f>
        <v/>
      </c>
      <c r="I5507">
        <f>IF(B5507,IF(D5507=0,H5507,Rho*I5506+SQRT(1-Rho^2)*H5507),"")</f>
        <v/>
      </c>
      <c r="J5507">
        <f>IF(B5507,IF(Dist="Normal",DistA+DistB*I5507,DistA+(DistB-DistA)*NORMSDIST(I5507)),"")</f>
        <v/>
      </c>
      <c r="K5507">
        <f>IF(B5507,INDEX(MineScale,C5507),"")</f>
        <v/>
      </c>
      <c r="L5507">
        <f>IF(B5507,INDEX(Dow,1,WEEKDAY(E5507,2)),"")</f>
        <v/>
      </c>
      <c r="M5507">
        <f>IF(B5507,(1+Trend)^D5507,"")</f>
        <v/>
      </c>
      <c r="N5507">
        <f>IF(B5507,EXP(SUMPRODUCT(LN(1+(EvEff-1)*INDEX(Affected,0,C5507)*EXP(-((E5507-EvCenter)^2)/(2*EvSigma^2))))),"")</f>
        <v/>
      </c>
      <c r="O5507">
        <f>IF(B5507,ROUND(MAX(0,J5507*K5507*L5507*M5507*N5507),2),"")</f>
        <v/>
      </c>
    </row>
    <row r="5508">
      <c r="A5508" t="n">
        <v>5507</v>
      </c>
      <c r="B5508">
        <f>A5508&lt;=MineCount*Days</f>
        <v/>
      </c>
      <c r="C5508">
        <f>IF(B5508,INT((A5508-1)/Days)+1,"")</f>
        <v/>
      </c>
      <c r="D5508">
        <f>IF(B5508,MOD(A5508-1,Days),"")</f>
        <v/>
      </c>
      <c r="E5508" s="16">
        <f>IF(B5508,StartDate+D5508,"")</f>
        <v/>
      </c>
      <c r="F5508">
        <f>IF(B5508,MAX(MOD(SIN(Seed*0.1373+C5508*12.9898+D5508*78.233)*43758.5453,1),1E-9),"")</f>
        <v/>
      </c>
      <c r="G5508">
        <f>IF(B5508,MOD(SIN(Seed*0.5917+C5508*39.3468+D5508*11.135)*24634.6345,1),"")</f>
        <v/>
      </c>
      <c r="H5508">
        <f>IF(B5508,SQRT(-2*LN(F5508))*COS(2*PI()*G5508),"")</f>
        <v/>
      </c>
      <c r="I5508">
        <f>IF(B5508,IF(D5508=0,H5508,Rho*I5507+SQRT(1-Rho^2)*H5508),"")</f>
        <v/>
      </c>
      <c r="J5508">
        <f>IF(B5508,IF(Dist="Normal",DistA+DistB*I5508,DistA+(DistB-DistA)*NORMSDIST(I5508)),"")</f>
        <v/>
      </c>
      <c r="K5508">
        <f>IF(B5508,INDEX(MineScale,C5508),"")</f>
        <v/>
      </c>
      <c r="L5508">
        <f>IF(B5508,INDEX(Dow,1,WEEKDAY(E5508,2)),"")</f>
        <v/>
      </c>
      <c r="M5508">
        <f>IF(B5508,(1+Trend)^D5508,"")</f>
        <v/>
      </c>
      <c r="N5508">
        <f>IF(B5508,EXP(SUMPRODUCT(LN(1+(EvEff-1)*INDEX(Affected,0,C5508)*EXP(-((E5508-EvCenter)^2)/(2*EvSigma^2))))),"")</f>
        <v/>
      </c>
      <c r="O5508">
        <f>IF(B5508,ROUND(MAX(0,J5508*K5508*L5508*M5508*N5508),2),"")</f>
        <v/>
      </c>
    </row>
    <row r="5509">
      <c r="A5509" t="n">
        <v>5508</v>
      </c>
      <c r="B5509">
        <f>A5509&lt;=MineCount*Days</f>
        <v/>
      </c>
      <c r="C5509">
        <f>IF(B5509,INT((A5509-1)/Days)+1,"")</f>
        <v/>
      </c>
      <c r="D5509">
        <f>IF(B5509,MOD(A5509-1,Days),"")</f>
        <v/>
      </c>
      <c r="E5509" s="16">
        <f>IF(B5509,StartDate+D5509,"")</f>
        <v/>
      </c>
      <c r="F5509">
        <f>IF(B5509,MAX(MOD(SIN(Seed*0.1373+C5509*12.9898+D5509*78.233)*43758.5453,1),1E-9),"")</f>
        <v/>
      </c>
      <c r="G5509">
        <f>IF(B5509,MOD(SIN(Seed*0.5917+C5509*39.3468+D5509*11.135)*24634.6345,1),"")</f>
        <v/>
      </c>
      <c r="H5509">
        <f>IF(B5509,SQRT(-2*LN(F5509))*COS(2*PI()*G5509),"")</f>
        <v/>
      </c>
      <c r="I5509">
        <f>IF(B5509,IF(D5509=0,H5509,Rho*I5508+SQRT(1-Rho^2)*H5509),"")</f>
        <v/>
      </c>
      <c r="J5509">
        <f>IF(B5509,IF(Dist="Normal",DistA+DistB*I5509,DistA+(DistB-DistA)*NORMSDIST(I5509)),"")</f>
        <v/>
      </c>
      <c r="K5509">
        <f>IF(B5509,INDEX(MineScale,C5509),"")</f>
        <v/>
      </c>
      <c r="L5509">
        <f>IF(B5509,INDEX(Dow,1,WEEKDAY(E5509,2)),"")</f>
        <v/>
      </c>
      <c r="M5509">
        <f>IF(B5509,(1+Trend)^D5509,"")</f>
        <v/>
      </c>
      <c r="N5509">
        <f>IF(B5509,EXP(SUMPRODUCT(LN(1+(EvEff-1)*INDEX(Affected,0,C5509)*EXP(-((E5509-EvCenter)^2)/(2*EvSigma^2))))),"")</f>
        <v/>
      </c>
      <c r="O5509">
        <f>IF(B5509,ROUND(MAX(0,J5509*K5509*L5509*M5509*N5509),2),"")</f>
        <v/>
      </c>
    </row>
    <row r="5510">
      <c r="A5510" t="n">
        <v>5509</v>
      </c>
      <c r="B5510">
        <f>A5510&lt;=MineCount*Days</f>
        <v/>
      </c>
      <c r="C5510">
        <f>IF(B5510,INT((A5510-1)/Days)+1,"")</f>
        <v/>
      </c>
      <c r="D5510">
        <f>IF(B5510,MOD(A5510-1,Days),"")</f>
        <v/>
      </c>
      <c r="E5510" s="16">
        <f>IF(B5510,StartDate+D5510,"")</f>
        <v/>
      </c>
      <c r="F5510">
        <f>IF(B5510,MAX(MOD(SIN(Seed*0.1373+C5510*12.9898+D5510*78.233)*43758.5453,1),1E-9),"")</f>
        <v/>
      </c>
      <c r="G5510">
        <f>IF(B5510,MOD(SIN(Seed*0.5917+C5510*39.3468+D5510*11.135)*24634.6345,1),"")</f>
        <v/>
      </c>
      <c r="H5510">
        <f>IF(B5510,SQRT(-2*LN(F5510))*COS(2*PI()*G5510),"")</f>
        <v/>
      </c>
      <c r="I5510">
        <f>IF(B5510,IF(D5510=0,H5510,Rho*I5509+SQRT(1-Rho^2)*H5510),"")</f>
        <v/>
      </c>
      <c r="J5510">
        <f>IF(B5510,IF(Dist="Normal",DistA+DistB*I5510,DistA+(DistB-DistA)*NORMSDIST(I5510)),"")</f>
        <v/>
      </c>
      <c r="K5510">
        <f>IF(B5510,INDEX(MineScale,C5510),"")</f>
        <v/>
      </c>
      <c r="L5510">
        <f>IF(B5510,INDEX(Dow,1,WEEKDAY(E5510,2)),"")</f>
        <v/>
      </c>
      <c r="M5510">
        <f>IF(B5510,(1+Trend)^D5510,"")</f>
        <v/>
      </c>
      <c r="N5510">
        <f>IF(B5510,EXP(SUMPRODUCT(LN(1+(EvEff-1)*INDEX(Affected,0,C5510)*EXP(-((E5510-EvCenter)^2)/(2*EvSigma^2))))),"")</f>
        <v/>
      </c>
      <c r="O5510">
        <f>IF(B5510,ROUND(MAX(0,J5510*K5510*L5510*M5510*N5510),2),"")</f>
        <v/>
      </c>
    </row>
    <row r="5511">
      <c r="A5511" t="n">
        <v>5510</v>
      </c>
      <c r="B5511">
        <f>A5511&lt;=MineCount*Days</f>
        <v/>
      </c>
      <c r="C5511">
        <f>IF(B5511,INT((A5511-1)/Days)+1,"")</f>
        <v/>
      </c>
      <c r="D5511">
        <f>IF(B5511,MOD(A5511-1,Days),"")</f>
        <v/>
      </c>
      <c r="E5511" s="16">
        <f>IF(B5511,StartDate+D5511,"")</f>
        <v/>
      </c>
      <c r="F5511">
        <f>IF(B5511,MAX(MOD(SIN(Seed*0.1373+C5511*12.9898+D5511*78.233)*43758.5453,1),1E-9),"")</f>
        <v/>
      </c>
      <c r="G5511">
        <f>IF(B5511,MOD(SIN(Seed*0.5917+C5511*39.3468+D5511*11.135)*24634.6345,1),"")</f>
        <v/>
      </c>
      <c r="H5511">
        <f>IF(B5511,SQRT(-2*LN(F5511))*COS(2*PI()*G5511),"")</f>
        <v/>
      </c>
      <c r="I5511">
        <f>IF(B5511,IF(D5511=0,H5511,Rho*I5510+SQRT(1-Rho^2)*H5511),"")</f>
        <v/>
      </c>
      <c r="J5511">
        <f>IF(B5511,IF(Dist="Normal",DistA+DistB*I5511,DistA+(DistB-DistA)*NORMSDIST(I5511)),"")</f>
        <v/>
      </c>
      <c r="K5511">
        <f>IF(B5511,INDEX(MineScale,C5511),"")</f>
        <v/>
      </c>
      <c r="L5511">
        <f>IF(B5511,INDEX(Dow,1,WEEKDAY(E5511,2)),"")</f>
        <v/>
      </c>
      <c r="M5511">
        <f>IF(B5511,(1+Trend)^D5511,"")</f>
        <v/>
      </c>
      <c r="N5511">
        <f>IF(B5511,EXP(SUMPRODUCT(LN(1+(EvEff-1)*INDEX(Affected,0,C5511)*EXP(-((E5511-EvCenter)^2)/(2*EvSigma^2))))),"")</f>
        <v/>
      </c>
      <c r="O5511">
        <f>IF(B5511,ROUND(MAX(0,J5511*K5511*L5511*M5511*N5511),2),"")</f>
        <v/>
      </c>
    </row>
    <row r="5512">
      <c r="A5512" t="n">
        <v>5511</v>
      </c>
      <c r="B5512">
        <f>A5512&lt;=MineCount*Days</f>
        <v/>
      </c>
      <c r="C5512">
        <f>IF(B5512,INT((A5512-1)/Days)+1,"")</f>
        <v/>
      </c>
      <c r="D5512">
        <f>IF(B5512,MOD(A5512-1,Days),"")</f>
        <v/>
      </c>
      <c r="E5512" s="16">
        <f>IF(B5512,StartDate+D5512,"")</f>
        <v/>
      </c>
      <c r="F5512">
        <f>IF(B5512,MAX(MOD(SIN(Seed*0.1373+C5512*12.9898+D5512*78.233)*43758.5453,1),1E-9),"")</f>
        <v/>
      </c>
      <c r="G5512">
        <f>IF(B5512,MOD(SIN(Seed*0.5917+C5512*39.3468+D5512*11.135)*24634.6345,1),"")</f>
        <v/>
      </c>
      <c r="H5512">
        <f>IF(B5512,SQRT(-2*LN(F5512))*COS(2*PI()*G5512),"")</f>
        <v/>
      </c>
      <c r="I5512">
        <f>IF(B5512,IF(D5512=0,H5512,Rho*I5511+SQRT(1-Rho^2)*H5512),"")</f>
        <v/>
      </c>
      <c r="J5512">
        <f>IF(B5512,IF(Dist="Normal",DistA+DistB*I5512,DistA+(DistB-DistA)*NORMSDIST(I5512)),"")</f>
        <v/>
      </c>
      <c r="K5512">
        <f>IF(B5512,INDEX(MineScale,C5512),"")</f>
        <v/>
      </c>
      <c r="L5512">
        <f>IF(B5512,INDEX(Dow,1,WEEKDAY(E5512,2)),"")</f>
        <v/>
      </c>
      <c r="M5512">
        <f>IF(B5512,(1+Trend)^D5512,"")</f>
        <v/>
      </c>
      <c r="N5512">
        <f>IF(B5512,EXP(SUMPRODUCT(LN(1+(EvEff-1)*INDEX(Affected,0,C5512)*EXP(-((E5512-EvCenter)^2)/(2*EvSigma^2))))),"")</f>
        <v/>
      </c>
      <c r="O5512">
        <f>IF(B5512,ROUND(MAX(0,J5512*K5512*L5512*M5512*N5512),2),"")</f>
        <v/>
      </c>
    </row>
    <row r="5513">
      <c r="A5513" t="n">
        <v>5512</v>
      </c>
      <c r="B5513">
        <f>A5513&lt;=MineCount*Days</f>
        <v/>
      </c>
      <c r="C5513">
        <f>IF(B5513,INT((A5513-1)/Days)+1,"")</f>
        <v/>
      </c>
      <c r="D5513">
        <f>IF(B5513,MOD(A5513-1,Days),"")</f>
        <v/>
      </c>
      <c r="E5513" s="16">
        <f>IF(B5513,StartDate+D5513,"")</f>
        <v/>
      </c>
      <c r="F5513">
        <f>IF(B5513,MAX(MOD(SIN(Seed*0.1373+C5513*12.9898+D5513*78.233)*43758.5453,1),1E-9),"")</f>
        <v/>
      </c>
      <c r="G5513">
        <f>IF(B5513,MOD(SIN(Seed*0.5917+C5513*39.3468+D5513*11.135)*24634.6345,1),"")</f>
        <v/>
      </c>
      <c r="H5513">
        <f>IF(B5513,SQRT(-2*LN(F5513))*COS(2*PI()*G5513),"")</f>
        <v/>
      </c>
      <c r="I5513">
        <f>IF(B5513,IF(D5513=0,H5513,Rho*I5512+SQRT(1-Rho^2)*H5513),"")</f>
        <v/>
      </c>
      <c r="J5513">
        <f>IF(B5513,IF(Dist="Normal",DistA+DistB*I5513,DistA+(DistB-DistA)*NORMSDIST(I5513)),"")</f>
        <v/>
      </c>
      <c r="K5513">
        <f>IF(B5513,INDEX(MineScale,C5513),"")</f>
        <v/>
      </c>
      <c r="L5513">
        <f>IF(B5513,INDEX(Dow,1,WEEKDAY(E5513,2)),"")</f>
        <v/>
      </c>
      <c r="M5513">
        <f>IF(B5513,(1+Trend)^D5513,"")</f>
        <v/>
      </c>
      <c r="N5513">
        <f>IF(B5513,EXP(SUMPRODUCT(LN(1+(EvEff-1)*INDEX(Affected,0,C5513)*EXP(-((E5513-EvCenter)^2)/(2*EvSigma^2))))),"")</f>
        <v/>
      </c>
      <c r="O5513">
        <f>IF(B5513,ROUND(MAX(0,J5513*K5513*L5513*M5513*N5513),2),"")</f>
        <v/>
      </c>
    </row>
    <row r="5514">
      <c r="A5514" t="n">
        <v>5513</v>
      </c>
      <c r="B5514">
        <f>A5514&lt;=MineCount*Days</f>
        <v/>
      </c>
      <c r="C5514">
        <f>IF(B5514,INT((A5514-1)/Days)+1,"")</f>
        <v/>
      </c>
      <c r="D5514">
        <f>IF(B5514,MOD(A5514-1,Days),"")</f>
        <v/>
      </c>
      <c r="E5514" s="16">
        <f>IF(B5514,StartDate+D5514,"")</f>
        <v/>
      </c>
      <c r="F5514">
        <f>IF(B5514,MAX(MOD(SIN(Seed*0.1373+C5514*12.9898+D5514*78.233)*43758.5453,1),1E-9),"")</f>
        <v/>
      </c>
      <c r="G5514">
        <f>IF(B5514,MOD(SIN(Seed*0.5917+C5514*39.3468+D5514*11.135)*24634.6345,1),"")</f>
        <v/>
      </c>
      <c r="H5514">
        <f>IF(B5514,SQRT(-2*LN(F5514))*COS(2*PI()*G5514),"")</f>
        <v/>
      </c>
      <c r="I5514">
        <f>IF(B5514,IF(D5514=0,H5514,Rho*I5513+SQRT(1-Rho^2)*H5514),"")</f>
        <v/>
      </c>
      <c r="J5514">
        <f>IF(B5514,IF(Dist="Normal",DistA+DistB*I5514,DistA+(DistB-DistA)*NORMSDIST(I5514)),"")</f>
        <v/>
      </c>
      <c r="K5514">
        <f>IF(B5514,INDEX(MineScale,C5514),"")</f>
        <v/>
      </c>
      <c r="L5514">
        <f>IF(B5514,INDEX(Dow,1,WEEKDAY(E5514,2)),"")</f>
        <v/>
      </c>
      <c r="M5514">
        <f>IF(B5514,(1+Trend)^D5514,"")</f>
        <v/>
      </c>
      <c r="N5514">
        <f>IF(B5514,EXP(SUMPRODUCT(LN(1+(EvEff-1)*INDEX(Affected,0,C5514)*EXP(-((E5514-EvCenter)^2)/(2*EvSigma^2))))),"")</f>
        <v/>
      </c>
      <c r="O5514">
        <f>IF(B5514,ROUND(MAX(0,J5514*K5514*L5514*M5514*N5514),2),"")</f>
        <v/>
      </c>
    </row>
    <row r="5515">
      <c r="A5515" t="n">
        <v>5514</v>
      </c>
      <c r="B5515">
        <f>A5515&lt;=MineCount*Days</f>
        <v/>
      </c>
      <c r="C5515">
        <f>IF(B5515,INT((A5515-1)/Days)+1,"")</f>
        <v/>
      </c>
      <c r="D5515">
        <f>IF(B5515,MOD(A5515-1,Days),"")</f>
        <v/>
      </c>
      <c r="E5515" s="16">
        <f>IF(B5515,StartDate+D5515,"")</f>
        <v/>
      </c>
      <c r="F5515">
        <f>IF(B5515,MAX(MOD(SIN(Seed*0.1373+C5515*12.9898+D5515*78.233)*43758.5453,1),1E-9),"")</f>
        <v/>
      </c>
      <c r="G5515">
        <f>IF(B5515,MOD(SIN(Seed*0.5917+C5515*39.3468+D5515*11.135)*24634.6345,1),"")</f>
        <v/>
      </c>
      <c r="H5515">
        <f>IF(B5515,SQRT(-2*LN(F5515))*COS(2*PI()*G5515),"")</f>
        <v/>
      </c>
      <c r="I5515">
        <f>IF(B5515,IF(D5515=0,H5515,Rho*I5514+SQRT(1-Rho^2)*H5515),"")</f>
        <v/>
      </c>
      <c r="J5515">
        <f>IF(B5515,IF(Dist="Normal",DistA+DistB*I5515,DistA+(DistB-DistA)*NORMSDIST(I5515)),"")</f>
        <v/>
      </c>
      <c r="K5515">
        <f>IF(B5515,INDEX(MineScale,C5515),"")</f>
        <v/>
      </c>
      <c r="L5515">
        <f>IF(B5515,INDEX(Dow,1,WEEKDAY(E5515,2)),"")</f>
        <v/>
      </c>
      <c r="M5515">
        <f>IF(B5515,(1+Trend)^D5515,"")</f>
        <v/>
      </c>
      <c r="N5515">
        <f>IF(B5515,EXP(SUMPRODUCT(LN(1+(EvEff-1)*INDEX(Affected,0,C5515)*EXP(-((E5515-EvCenter)^2)/(2*EvSigma^2))))),"")</f>
        <v/>
      </c>
      <c r="O5515">
        <f>IF(B5515,ROUND(MAX(0,J5515*K5515*L5515*M5515*N5515),2),"")</f>
        <v/>
      </c>
    </row>
    <row r="5516">
      <c r="A5516" t="n">
        <v>5515</v>
      </c>
      <c r="B5516">
        <f>A5516&lt;=MineCount*Days</f>
        <v/>
      </c>
      <c r="C5516">
        <f>IF(B5516,INT((A5516-1)/Days)+1,"")</f>
        <v/>
      </c>
      <c r="D5516">
        <f>IF(B5516,MOD(A5516-1,Days),"")</f>
        <v/>
      </c>
      <c r="E5516" s="16">
        <f>IF(B5516,StartDate+D5516,"")</f>
        <v/>
      </c>
      <c r="F5516">
        <f>IF(B5516,MAX(MOD(SIN(Seed*0.1373+C5516*12.9898+D5516*78.233)*43758.5453,1),1E-9),"")</f>
        <v/>
      </c>
      <c r="G5516">
        <f>IF(B5516,MOD(SIN(Seed*0.5917+C5516*39.3468+D5516*11.135)*24634.6345,1),"")</f>
        <v/>
      </c>
      <c r="H5516">
        <f>IF(B5516,SQRT(-2*LN(F5516))*COS(2*PI()*G5516),"")</f>
        <v/>
      </c>
      <c r="I5516">
        <f>IF(B5516,IF(D5516=0,H5516,Rho*I5515+SQRT(1-Rho^2)*H5516),"")</f>
        <v/>
      </c>
      <c r="J5516">
        <f>IF(B5516,IF(Dist="Normal",DistA+DistB*I5516,DistA+(DistB-DistA)*NORMSDIST(I5516)),"")</f>
        <v/>
      </c>
      <c r="K5516">
        <f>IF(B5516,INDEX(MineScale,C5516),"")</f>
        <v/>
      </c>
      <c r="L5516">
        <f>IF(B5516,INDEX(Dow,1,WEEKDAY(E5516,2)),"")</f>
        <v/>
      </c>
      <c r="M5516">
        <f>IF(B5516,(1+Trend)^D5516,"")</f>
        <v/>
      </c>
      <c r="N5516">
        <f>IF(B5516,EXP(SUMPRODUCT(LN(1+(EvEff-1)*INDEX(Affected,0,C5516)*EXP(-((E5516-EvCenter)^2)/(2*EvSigma^2))))),"")</f>
        <v/>
      </c>
      <c r="O5516">
        <f>IF(B5516,ROUND(MAX(0,J5516*K5516*L5516*M5516*N5516),2),"")</f>
        <v/>
      </c>
    </row>
    <row r="5517">
      <c r="A5517" t="n">
        <v>5516</v>
      </c>
      <c r="B5517">
        <f>A5517&lt;=MineCount*Days</f>
        <v/>
      </c>
      <c r="C5517">
        <f>IF(B5517,INT((A5517-1)/Days)+1,"")</f>
        <v/>
      </c>
      <c r="D5517">
        <f>IF(B5517,MOD(A5517-1,Days),"")</f>
        <v/>
      </c>
      <c r="E5517" s="16">
        <f>IF(B5517,StartDate+D5517,"")</f>
        <v/>
      </c>
      <c r="F5517">
        <f>IF(B5517,MAX(MOD(SIN(Seed*0.1373+C5517*12.9898+D5517*78.233)*43758.5453,1),1E-9),"")</f>
        <v/>
      </c>
      <c r="G5517">
        <f>IF(B5517,MOD(SIN(Seed*0.5917+C5517*39.3468+D5517*11.135)*24634.6345,1),"")</f>
        <v/>
      </c>
      <c r="H5517">
        <f>IF(B5517,SQRT(-2*LN(F5517))*COS(2*PI()*G5517),"")</f>
        <v/>
      </c>
      <c r="I5517">
        <f>IF(B5517,IF(D5517=0,H5517,Rho*I5516+SQRT(1-Rho^2)*H5517),"")</f>
        <v/>
      </c>
      <c r="J5517">
        <f>IF(B5517,IF(Dist="Normal",DistA+DistB*I5517,DistA+(DistB-DistA)*NORMSDIST(I5517)),"")</f>
        <v/>
      </c>
      <c r="K5517">
        <f>IF(B5517,INDEX(MineScale,C5517),"")</f>
        <v/>
      </c>
      <c r="L5517">
        <f>IF(B5517,INDEX(Dow,1,WEEKDAY(E5517,2)),"")</f>
        <v/>
      </c>
      <c r="M5517">
        <f>IF(B5517,(1+Trend)^D5517,"")</f>
        <v/>
      </c>
      <c r="N5517">
        <f>IF(B5517,EXP(SUMPRODUCT(LN(1+(EvEff-1)*INDEX(Affected,0,C5517)*EXP(-((E5517-EvCenter)^2)/(2*EvSigma^2))))),"")</f>
        <v/>
      </c>
      <c r="O5517">
        <f>IF(B5517,ROUND(MAX(0,J5517*K5517*L5517*M5517*N5517),2),"")</f>
        <v/>
      </c>
    </row>
    <row r="5518">
      <c r="A5518" t="n">
        <v>5517</v>
      </c>
      <c r="B5518">
        <f>A5518&lt;=MineCount*Days</f>
        <v/>
      </c>
      <c r="C5518">
        <f>IF(B5518,INT((A5518-1)/Days)+1,"")</f>
        <v/>
      </c>
      <c r="D5518">
        <f>IF(B5518,MOD(A5518-1,Days),"")</f>
        <v/>
      </c>
      <c r="E5518" s="16">
        <f>IF(B5518,StartDate+D5518,"")</f>
        <v/>
      </c>
      <c r="F5518">
        <f>IF(B5518,MAX(MOD(SIN(Seed*0.1373+C5518*12.9898+D5518*78.233)*43758.5453,1),1E-9),"")</f>
        <v/>
      </c>
      <c r="G5518">
        <f>IF(B5518,MOD(SIN(Seed*0.5917+C5518*39.3468+D5518*11.135)*24634.6345,1),"")</f>
        <v/>
      </c>
      <c r="H5518">
        <f>IF(B5518,SQRT(-2*LN(F5518))*COS(2*PI()*G5518),"")</f>
        <v/>
      </c>
      <c r="I5518">
        <f>IF(B5518,IF(D5518=0,H5518,Rho*I5517+SQRT(1-Rho^2)*H5518),"")</f>
        <v/>
      </c>
      <c r="J5518">
        <f>IF(B5518,IF(Dist="Normal",DistA+DistB*I5518,DistA+(DistB-DistA)*NORMSDIST(I5518)),"")</f>
        <v/>
      </c>
      <c r="K5518">
        <f>IF(B5518,INDEX(MineScale,C5518),"")</f>
        <v/>
      </c>
      <c r="L5518">
        <f>IF(B5518,INDEX(Dow,1,WEEKDAY(E5518,2)),"")</f>
        <v/>
      </c>
      <c r="M5518">
        <f>IF(B5518,(1+Trend)^D5518,"")</f>
        <v/>
      </c>
      <c r="N5518">
        <f>IF(B5518,EXP(SUMPRODUCT(LN(1+(EvEff-1)*INDEX(Affected,0,C5518)*EXP(-((E5518-EvCenter)^2)/(2*EvSigma^2))))),"")</f>
        <v/>
      </c>
      <c r="O5518">
        <f>IF(B5518,ROUND(MAX(0,J5518*K5518*L5518*M5518*N5518),2),"")</f>
        <v/>
      </c>
    </row>
    <row r="5519">
      <c r="A5519" t="n">
        <v>5518</v>
      </c>
      <c r="B5519">
        <f>A5519&lt;=MineCount*Days</f>
        <v/>
      </c>
      <c r="C5519">
        <f>IF(B5519,INT((A5519-1)/Days)+1,"")</f>
        <v/>
      </c>
      <c r="D5519">
        <f>IF(B5519,MOD(A5519-1,Days),"")</f>
        <v/>
      </c>
      <c r="E5519" s="16">
        <f>IF(B5519,StartDate+D5519,"")</f>
        <v/>
      </c>
      <c r="F5519">
        <f>IF(B5519,MAX(MOD(SIN(Seed*0.1373+C5519*12.9898+D5519*78.233)*43758.5453,1),1E-9),"")</f>
        <v/>
      </c>
      <c r="G5519">
        <f>IF(B5519,MOD(SIN(Seed*0.5917+C5519*39.3468+D5519*11.135)*24634.6345,1),"")</f>
        <v/>
      </c>
      <c r="H5519">
        <f>IF(B5519,SQRT(-2*LN(F5519))*COS(2*PI()*G5519),"")</f>
        <v/>
      </c>
      <c r="I5519">
        <f>IF(B5519,IF(D5519=0,H5519,Rho*I5518+SQRT(1-Rho^2)*H5519),"")</f>
        <v/>
      </c>
      <c r="J5519">
        <f>IF(B5519,IF(Dist="Normal",DistA+DistB*I5519,DistA+(DistB-DistA)*NORMSDIST(I5519)),"")</f>
        <v/>
      </c>
      <c r="K5519">
        <f>IF(B5519,INDEX(MineScale,C5519),"")</f>
        <v/>
      </c>
      <c r="L5519">
        <f>IF(B5519,INDEX(Dow,1,WEEKDAY(E5519,2)),"")</f>
        <v/>
      </c>
      <c r="M5519">
        <f>IF(B5519,(1+Trend)^D5519,"")</f>
        <v/>
      </c>
      <c r="N5519">
        <f>IF(B5519,EXP(SUMPRODUCT(LN(1+(EvEff-1)*INDEX(Affected,0,C5519)*EXP(-((E5519-EvCenter)^2)/(2*EvSigma^2))))),"")</f>
        <v/>
      </c>
      <c r="O5519">
        <f>IF(B5519,ROUND(MAX(0,J5519*K5519*L5519*M5519*N5519),2),"")</f>
        <v/>
      </c>
    </row>
    <row r="5520">
      <c r="A5520" t="n">
        <v>5519</v>
      </c>
      <c r="B5520">
        <f>A5520&lt;=MineCount*Days</f>
        <v/>
      </c>
      <c r="C5520">
        <f>IF(B5520,INT((A5520-1)/Days)+1,"")</f>
        <v/>
      </c>
      <c r="D5520">
        <f>IF(B5520,MOD(A5520-1,Days),"")</f>
        <v/>
      </c>
      <c r="E5520" s="16">
        <f>IF(B5520,StartDate+D5520,"")</f>
        <v/>
      </c>
      <c r="F5520">
        <f>IF(B5520,MAX(MOD(SIN(Seed*0.1373+C5520*12.9898+D5520*78.233)*43758.5453,1),1E-9),"")</f>
        <v/>
      </c>
      <c r="G5520">
        <f>IF(B5520,MOD(SIN(Seed*0.5917+C5520*39.3468+D5520*11.135)*24634.6345,1),"")</f>
        <v/>
      </c>
      <c r="H5520">
        <f>IF(B5520,SQRT(-2*LN(F5520))*COS(2*PI()*G5520),"")</f>
        <v/>
      </c>
      <c r="I5520">
        <f>IF(B5520,IF(D5520=0,H5520,Rho*I5519+SQRT(1-Rho^2)*H5520),"")</f>
        <v/>
      </c>
      <c r="J5520">
        <f>IF(B5520,IF(Dist="Normal",DistA+DistB*I5520,DistA+(DistB-DistA)*NORMSDIST(I5520)),"")</f>
        <v/>
      </c>
      <c r="K5520">
        <f>IF(B5520,INDEX(MineScale,C5520),"")</f>
        <v/>
      </c>
      <c r="L5520">
        <f>IF(B5520,INDEX(Dow,1,WEEKDAY(E5520,2)),"")</f>
        <v/>
      </c>
      <c r="M5520">
        <f>IF(B5520,(1+Trend)^D5520,"")</f>
        <v/>
      </c>
      <c r="N5520">
        <f>IF(B5520,EXP(SUMPRODUCT(LN(1+(EvEff-1)*INDEX(Affected,0,C5520)*EXP(-((E5520-EvCenter)^2)/(2*EvSigma^2))))),"")</f>
        <v/>
      </c>
      <c r="O5520">
        <f>IF(B5520,ROUND(MAX(0,J5520*K5520*L5520*M5520*N5520),2),"")</f>
        <v/>
      </c>
    </row>
    <row r="5521">
      <c r="A5521" t="n">
        <v>5520</v>
      </c>
      <c r="B5521">
        <f>A5521&lt;=MineCount*Days</f>
        <v/>
      </c>
      <c r="C5521">
        <f>IF(B5521,INT((A5521-1)/Days)+1,"")</f>
        <v/>
      </c>
      <c r="D5521">
        <f>IF(B5521,MOD(A5521-1,Days),"")</f>
        <v/>
      </c>
      <c r="E5521" s="16">
        <f>IF(B5521,StartDate+D5521,"")</f>
        <v/>
      </c>
      <c r="F5521">
        <f>IF(B5521,MAX(MOD(SIN(Seed*0.1373+C5521*12.9898+D5521*78.233)*43758.5453,1),1E-9),"")</f>
        <v/>
      </c>
      <c r="G5521">
        <f>IF(B5521,MOD(SIN(Seed*0.5917+C5521*39.3468+D5521*11.135)*24634.6345,1),"")</f>
        <v/>
      </c>
      <c r="H5521">
        <f>IF(B5521,SQRT(-2*LN(F5521))*COS(2*PI()*G5521),"")</f>
        <v/>
      </c>
      <c r="I5521">
        <f>IF(B5521,IF(D5521=0,H5521,Rho*I5520+SQRT(1-Rho^2)*H5521),"")</f>
        <v/>
      </c>
      <c r="J5521">
        <f>IF(B5521,IF(Dist="Normal",DistA+DistB*I5521,DistA+(DistB-DistA)*NORMSDIST(I5521)),"")</f>
        <v/>
      </c>
      <c r="K5521">
        <f>IF(B5521,INDEX(MineScale,C5521),"")</f>
        <v/>
      </c>
      <c r="L5521">
        <f>IF(B5521,INDEX(Dow,1,WEEKDAY(E5521,2)),"")</f>
        <v/>
      </c>
      <c r="M5521">
        <f>IF(B5521,(1+Trend)^D5521,"")</f>
        <v/>
      </c>
      <c r="N5521">
        <f>IF(B5521,EXP(SUMPRODUCT(LN(1+(EvEff-1)*INDEX(Affected,0,C5521)*EXP(-((E5521-EvCenter)^2)/(2*EvSigma^2))))),"")</f>
        <v/>
      </c>
      <c r="O5521">
        <f>IF(B5521,ROUND(MAX(0,J5521*K5521*L5521*M5521*N5521),2),"")</f>
        <v/>
      </c>
    </row>
    <row r="5522">
      <c r="A5522" t="n">
        <v>5521</v>
      </c>
      <c r="B5522">
        <f>A5522&lt;=MineCount*Days</f>
        <v/>
      </c>
      <c r="C5522">
        <f>IF(B5522,INT((A5522-1)/Days)+1,"")</f>
        <v/>
      </c>
      <c r="D5522">
        <f>IF(B5522,MOD(A5522-1,Days),"")</f>
        <v/>
      </c>
      <c r="E5522" s="16">
        <f>IF(B5522,StartDate+D5522,"")</f>
        <v/>
      </c>
      <c r="F5522">
        <f>IF(B5522,MAX(MOD(SIN(Seed*0.1373+C5522*12.9898+D5522*78.233)*43758.5453,1),1E-9),"")</f>
        <v/>
      </c>
      <c r="G5522">
        <f>IF(B5522,MOD(SIN(Seed*0.5917+C5522*39.3468+D5522*11.135)*24634.6345,1),"")</f>
        <v/>
      </c>
      <c r="H5522">
        <f>IF(B5522,SQRT(-2*LN(F5522))*COS(2*PI()*G5522),"")</f>
        <v/>
      </c>
      <c r="I5522">
        <f>IF(B5522,IF(D5522=0,H5522,Rho*I5521+SQRT(1-Rho^2)*H5522),"")</f>
        <v/>
      </c>
      <c r="J5522">
        <f>IF(B5522,IF(Dist="Normal",DistA+DistB*I5522,DistA+(DistB-DistA)*NORMSDIST(I5522)),"")</f>
        <v/>
      </c>
      <c r="K5522">
        <f>IF(B5522,INDEX(MineScale,C5522),"")</f>
        <v/>
      </c>
      <c r="L5522">
        <f>IF(B5522,INDEX(Dow,1,WEEKDAY(E5522,2)),"")</f>
        <v/>
      </c>
      <c r="M5522">
        <f>IF(B5522,(1+Trend)^D5522,"")</f>
        <v/>
      </c>
      <c r="N5522">
        <f>IF(B5522,EXP(SUMPRODUCT(LN(1+(EvEff-1)*INDEX(Affected,0,C5522)*EXP(-((E5522-EvCenter)^2)/(2*EvSigma^2))))),"")</f>
        <v/>
      </c>
      <c r="O5522">
        <f>IF(B5522,ROUND(MAX(0,J5522*K5522*L5522*M5522*N5522),2),"")</f>
        <v/>
      </c>
    </row>
    <row r="5523">
      <c r="A5523" t="n">
        <v>5522</v>
      </c>
      <c r="B5523">
        <f>A5523&lt;=MineCount*Days</f>
        <v/>
      </c>
      <c r="C5523">
        <f>IF(B5523,INT((A5523-1)/Days)+1,"")</f>
        <v/>
      </c>
      <c r="D5523">
        <f>IF(B5523,MOD(A5523-1,Days),"")</f>
        <v/>
      </c>
      <c r="E5523" s="16">
        <f>IF(B5523,StartDate+D5523,"")</f>
        <v/>
      </c>
      <c r="F5523">
        <f>IF(B5523,MAX(MOD(SIN(Seed*0.1373+C5523*12.9898+D5523*78.233)*43758.5453,1),1E-9),"")</f>
        <v/>
      </c>
      <c r="G5523">
        <f>IF(B5523,MOD(SIN(Seed*0.5917+C5523*39.3468+D5523*11.135)*24634.6345,1),"")</f>
        <v/>
      </c>
      <c r="H5523">
        <f>IF(B5523,SQRT(-2*LN(F5523))*COS(2*PI()*G5523),"")</f>
        <v/>
      </c>
      <c r="I5523">
        <f>IF(B5523,IF(D5523=0,H5523,Rho*I5522+SQRT(1-Rho^2)*H5523),"")</f>
        <v/>
      </c>
      <c r="J5523">
        <f>IF(B5523,IF(Dist="Normal",DistA+DistB*I5523,DistA+(DistB-DistA)*NORMSDIST(I5523)),"")</f>
        <v/>
      </c>
      <c r="K5523">
        <f>IF(B5523,INDEX(MineScale,C5523),"")</f>
        <v/>
      </c>
      <c r="L5523">
        <f>IF(B5523,INDEX(Dow,1,WEEKDAY(E5523,2)),"")</f>
        <v/>
      </c>
      <c r="M5523">
        <f>IF(B5523,(1+Trend)^D5523,"")</f>
        <v/>
      </c>
      <c r="N5523">
        <f>IF(B5523,EXP(SUMPRODUCT(LN(1+(EvEff-1)*INDEX(Affected,0,C5523)*EXP(-((E5523-EvCenter)^2)/(2*EvSigma^2))))),"")</f>
        <v/>
      </c>
      <c r="O5523">
        <f>IF(B5523,ROUND(MAX(0,J5523*K5523*L5523*M5523*N5523),2),"")</f>
        <v/>
      </c>
    </row>
    <row r="5524">
      <c r="A5524" t="n">
        <v>5523</v>
      </c>
      <c r="B5524">
        <f>A5524&lt;=MineCount*Days</f>
        <v/>
      </c>
      <c r="C5524">
        <f>IF(B5524,INT((A5524-1)/Days)+1,"")</f>
        <v/>
      </c>
      <c r="D5524">
        <f>IF(B5524,MOD(A5524-1,Days),"")</f>
        <v/>
      </c>
      <c r="E5524" s="16">
        <f>IF(B5524,StartDate+D5524,"")</f>
        <v/>
      </c>
      <c r="F5524">
        <f>IF(B5524,MAX(MOD(SIN(Seed*0.1373+C5524*12.9898+D5524*78.233)*43758.5453,1),1E-9),"")</f>
        <v/>
      </c>
      <c r="G5524">
        <f>IF(B5524,MOD(SIN(Seed*0.5917+C5524*39.3468+D5524*11.135)*24634.6345,1),"")</f>
        <v/>
      </c>
      <c r="H5524">
        <f>IF(B5524,SQRT(-2*LN(F5524))*COS(2*PI()*G5524),"")</f>
        <v/>
      </c>
      <c r="I5524">
        <f>IF(B5524,IF(D5524=0,H5524,Rho*I5523+SQRT(1-Rho^2)*H5524),"")</f>
        <v/>
      </c>
      <c r="J5524">
        <f>IF(B5524,IF(Dist="Normal",DistA+DistB*I5524,DistA+(DistB-DistA)*NORMSDIST(I5524)),"")</f>
        <v/>
      </c>
      <c r="K5524">
        <f>IF(B5524,INDEX(MineScale,C5524),"")</f>
        <v/>
      </c>
      <c r="L5524">
        <f>IF(B5524,INDEX(Dow,1,WEEKDAY(E5524,2)),"")</f>
        <v/>
      </c>
      <c r="M5524">
        <f>IF(B5524,(1+Trend)^D5524,"")</f>
        <v/>
      </c>
      <c r="N5524">
        <f>IF(B5524,EXP(SUMPRODUCT(LN(1+(EvEff-1)*INDEX(Affected,0,C5524)*EXP(-((E5524-EvCenter)^2)/(2*EvSigma^2))))),"")</f>
        <v/>
      </c>
      <c r="O5524">
        <f>IF(B5524,ROUND(MAX(0,J5524*K5524*L5524*M5524*N5524),2),"")</f>
        <v/>
      </c>
    </row>
    <row r="5525">
      <c r="A5525" t="n">
        <v>5524</v>
      </c>
      <c r="B5525">
        <f>A5525&lt;=MineCount*Days</f>
        <v/>
      </c>
      <c r="C5525">
        <f>IF(B5525,INT((A5525-1)/Days)+1,"")</f>
        <v/>
      </c>
      <c r="D5525">
        <f>IF(B5525,MOD(A5525-1,Days),"")</f>
        <v/>
      </c>
      <c r="E5525" s="16">
        <f>IF(B5525,StartDate+D5525,"")</f>
        <v/>
      </c>
      <c r="F5525">
        <f>IF(B5525,MAX(MOD(SIN(Seed*0.1373+C5525*12.9898+D5525*78.233)*43758.5453,1),1E-9),"")</f>
        <v/>
      </c>
      <c r="G5525">
        <f>IF(B5525,MOD(SIN(Seed*0.5917+C5525*39.3468+D5525*11.135)*24634.6345,1),"")</f>
        <v/>
      </c>
      <c r="H5525">
        <f>IF(B5525,SQRT(-2*LN(F5525))*COS(2*PI()*G5525),"")</f>
        <v/>
      </c>
      <c r="I5525">
        <f>IF(B5525,IF(D5525=0,H5525,Rho*I5524+SQRT(1-Rho^2)*H5525),"")</f>
        <v/>
      </c>
      <c r="J5525">
        <f>IF(B5525,IF(Dist="Normal",DistA+DistB*I5525,DistA+(DistB-DistA)*NORMSDIST(I5525)),"")</f>
        <v/>
      </c>
      <c r="K5525">
        <f>IF(B5525,INDEX(MineScale,C5525),"")</f>
        <v/>
      </c>
      <c r="L5525">
        <f>IF(B5525,INDEX(Dow,1,WEEKDAY(E5525,2)),"")</f>
        <v/>
      </c>
      <c r="M5525">
        <f>IF(B5525,(1+Trend)^D5525,"")</f>
        <v/>
      </c>
      <c r="N5525">
        <f>IF(B5525,EXP(SUMPRODUCT(LN(1+(EvEff-1)*INDEX(Affected,0,C5525)*EXP(-((E5525-EvCenter)^2)/(2*EvSigma^2))))),"")</f>
        <v/>
      </c>
      <c r="O5525">
        <f>IF(B5525,ROUND(MAX(0,J5525*K5525*L5525*M5525*N5525),2),"")</f>
        <v/>
      </c>
    </row>
    <row r="5526">
      <c r="A5526" t="n">
        <v>5525</v>
      </c>
      <c r="B5526">
        <f>A5526&lt;=MineCount*Days</f>
        <v/>
      </c>
      <c r="C5526">
        <f>IF(B5526,INT((A5526-1)/Days)+1,"")</f>
        <v/>
      </c>
      <c r="D5526">
        <f>IF(B5526,MOD(A5526-1,Days),"")</f>
        <v/>
      </c>
      <c r="E5526" s="16">
        <f>IF(B5526,StartDate+D5526,"")</f>
        <v/>
      </c>
      <c r="F5526">
        <f>IF(B5526,MAX(MOD(SIN(Seed*0.1373+C5526*12.9898+D5526*78.233)*43758.5453,1),1E-9),"")</f>
        <v/>
      </c>
      <c r="G5526">
        <f>IF(B5526,MOD(SIN(Seed*0.5917+C5526*39.3468+D5526*11.135)*24634.6345,1),"")</f>
        <v/>
      </c>
      <c r="H5526">
        <f>IF(B5526,SQRT(-2*LN(F5526))*COS(2*PI()*G5526),"")</f>
        <v/>
      </c>
      <c r="I5526">
        <f>IF(B5526,IF(D5526=0,H5526,Rho*I5525+SQRT(1-Rho^2)*H5526),"")</f>
        <v/>
      </c>
      <c r="J5526">
        <f>IF(B5526,IF(Dist="Normal",DistA+DistB*I5526,DistA+(DistB-DistA)*NORMSDIST(I5526)),"")</f>
        <v/>
      </c>
      <c r="K5526">
        <f>IF(B5526,INDEX(MineScale,C5526),"")</f>
        <v/>
      </c>
      <c r="L5526">
        <f>IF(B5526,INDEX(Dow,1,WEEKDAY(E5526,2)),"")</f>
        <v/>
      </c>
      <c r="M5526">
        <f>IF(B5526,(1+Trend)^D5526,"")</f>
        <v/>
      </c>
      <c r="N5526">
        <f>IF(B5526,EXP(SUMPRODUCT(LN(1+(EvEff-1)*INDEX(Affected,0,C5526)*EXP(-((E5526-EvCenter)^2)/(2*EvSigma^2))))),"")</f>
        <v/>
      </c>
      <c r="O5526">
        <f>IF(B5526,ROUND(MAX(0,J5526*K5526*L5526*M5526*N5526),2),"")</f>
        <v/>
      </c>
    </row>
    <row r="5527">
      <c r="A5527" t="n">
        <v>5526</v>
      </c>
      <c r="B5527">
        <f>A5527&lt;=MineCount*Days</f>
        <v/>
      </c>
      <c r="C5527">
        <f>IF(B5527,INT((A5527-1)/Days)+1,"")</f>
        <v/>
      </c>
      <c r="D5527">
        <f>IF(B5527,MOD(A5527-1,Days),"")</f>
        <v/>
      </c>
      <c r="E5527" s="16">
        <f>IF(B5527,StartDate+D5527,"")</f>
        <v/>
      </c>
      <c r="F5527">
        <f>IF(B5527,MAX(MOD(SIN(Seed*0.1373+C5527*12.9898+D5527*78.233)*43758.5453,1),1E-9),"")</f>
        <v/>
      </c>
      <c r="G5527">
        <f>IF(B5527,MOD(SIN(Seed*0.5917+C5527*39.3468+D5527*11.135)*24634.6345,1),"")</f>
        <v/>
      </c>
      <c r="H5527">
        <f>IF(B5527,SQRT(-2*LN(F5527))*COS(2*PI()*G5527),"")</f>
        <v/>
      </c>
      <c r="I5527">
        <f>IF(B5527,IF(D5527=0,H5527,Rho*I5526+SQRT(1-Rho^2)*H5527),"")</f>
        <v/>
      </c>
      <c r="J5527">
        <f>IF(B5527,IF(Dist="Normal",DistA+DistB*I5527,DistA+(DistB-DistA)*NORMSDIST(I5527)),"")</f>
        <v/>
      </c>
      <c r="K5527">
        <f>IF(B5527,INDEX(MineScale,C5527),"")</f>
        <v/>
      </c>
      <c r="L5527">
        <f>IF(B5527,INDEX(Dow,1,WEEKDAY(E5527,2)),"")</f>
        <v/>
      </c>
      <c r="M5527">
        <f>IF(B5527,(1+Trend)^D5527,"")</f>
        <v/>
      </c>
      <c r="N5527">
        <f>IF(B5527,EXP(SUMPRODUCT(LN(1+(EvEff-1)*INDEX(Affected,0,C5527)*EXP(-((E5527-EvCenter)^2)/(2*EvSigma^2))))),"")</f>
        <v/>
      </c>
      <c r="O5527">
        <f>IF(B5527,ROUND(MAX(0,J5527*K5527*L5527*M5527*N5527),2),"")</f>
        <v/>
      </c>
    </row>
    <row r="5528">
      <c r="A5528" t="n">
        <v>5527</v>
      </c>
      <c r="B5528">
        <f>A5528&lt;=MineCount*Days</f>
        <v/>
      </c>
      <c r="C5528">
        <f>IF(B5528,INT((A5528-1)/Days)+1,"")</f>
        <v/>
      </c>
      <c r="D5528">
        <f>IF(B5528,MOD(A5528-1,Days),"")</f>
        <v/>
      </c>
      <c r="E5528" s="16">
        <f>IF(B5528,StartDate+D5528,"")</f>
        <v/>
      </c>
      <c r="F5528">
        <f>IF(B5528,MAX(MOD(SIN(Seed*0.1373+C5528*12.9898+D5528*78.233)*43758.5453,1),1E-9),"")</f>
        <v/>
      </c>
      <c r="G5528">
        <f>IF(B5528,MOD(SIN(Seed*0.5917+C5528*39.3468+D5528*11.135)*24634.6345,1),"")</f>
        <v/>
      </c>
      <c r="H5528">
        <f>IF(B5528,SQRT(-2*LN(F5528))*COS(2*PI()*G5528),"")</f>
        <v/>
      </c>
      <c r="I5528">
        <f>IF(B5528,IF(D5528=0,H5528,Rho*I5527+SQRT(1-Rho^2)*H5528),"")</f>
        <v/>
      </c>
      <c r="J5528">
        <f>IF(B5528,IF(Dist="Normal",DistA+DistB*I5528,DistA+(DistB-DistA)*NORMSDIST(I5528)),"")</f>
        <v/>
      </c>
      <c r="K5528">
        <f>IF(B5528,INDEX(MineScale,C5528),"")</f>
        <v/>
      </c>
      <c r="L5528">
        <f>IF(B5528,INDEX(Dow,1,WEEKDAY(E5528,2)),"")</f>
        <v/>
      </c>
      <c r="M5528">
        <f>IF(B5528,(1+Trend)^D5528,"")</f>
        <v/>
      </c>
      <c r="N5528">
        <f>IF(B5528,EXP(SUMPRODUCT(LN(1+(EvEff-1)*INDEX(Affected,0,C5528)*EXP(-((E5528-EvCenter)^2)/(2*EvSigma^2))))),"")</f>
        <v/>
      </c>
      <c r="O5528">
        <f>IF(B5528,ROUND(MAX(0,J5528*K5528*L5528*M5528*N5528),2),"")</f>
        <v/>
      </c>
    </row>
    <row r="5529">
      <c r="A5529" t="n">
        <v>5528</v>
      </c>
      <c r="B5529">
        <f>A5529&lt;=MineCount*Days</f>
        <v/>
      </c>
      <c r="C5529">
        <f>IF(B5529,INT((A5529-1)/Days)+1,"")</f>
        <v/>
      </c>
      <c r="D5529">
        <f>IF(B5529,MOD(A5529-1,Days),"")</f>
        <v/>
      </c>
      <c r="E5529" s="16">
        <f>IF(B5529,StartDate+D5529,"")</f>
        <v/>
      </c>
      <c r="F5529">
        <f>IF(B5529,MAX(MOD(SIN(Seed*0.1373+C5529*12.9898+D5529*78.233)*43758.5453,1),1E-9),"")</f>
        <v/>
      </c>
      <c r="G5529">
        <f>IF(B5529,MOD(SIN(Seed*0.5917+C5529*39.3468+D5529*11.135)*24634.6345,1),"")</f>
        <v/>
      </c>
      <c r="H5529">
        <f>IF(B5529,SQRT(-2*LN(F5529))*COS(2*PI()*G5529),"")</f>
        <v/>
      </c>
      <c r="I5529">
        <f>IF(B5529,IF(D5529=0,H5529,Rho*I5528+SQRT(1-Rho^2)*H5529),"")</f>
        <v/>
      </c>
      <c r="J5529">
        <f>IF(B5529,IF(Dist="Normal",DistA+DistB*I5529,DistA+(DistB-DistA)*NORMSDIST(I5529)),"")</f>
        <v/>
      </c>
      <c r="K5529">
        <f>IF(B5529,INDEX(MineScale,C5529),"")</f>
        <v/>
      </c>
      <c r="L5529">
        <f>IF(B5529,INDEX(Dow,1,WEEKDAY(E5529,2)),"")</f>
        <v/>
      </c>
      <c r="M5529">
        <f>IF(B5529,(1+Trend)^D5529,"")</f>
        <v/>
      </c>
      <c r="N5529">
        <f>IF(B5529,EXP(SUMPRODUCT(LN(1+(EvEff-1)*INDEX(Affected,0,C5529)*EXP(-((E5529-EvCenter)^2)/(2*EvSigma^2))))),"")</f>
        <v/>
      </c>
      <c r="O5529">
        <f>IF(B5529,ROUND(MAX(0,J5529*K5529*L5529*M5529*N5529),2),"")</f>
        <v/>
      </c>
    </row>
    <row r="5530">
      <c r="A5530" t="n">
        <v>5529</v>
      </c>
      <c r="B5530">
        <f>A5530&lt;=MineCount*Days</f>
        <v/>
      </c>
      <c r="C5530">
        <f>IF(B5530,INT((A5530-1)/Days)+1,"")</f>
        <v/>
      </c>
      <c r="D5530">
        <f>IF(B5530,MOD(A5530-1,Days),"")</f>
        <v/>
      </c>
      <c r="E5530" s="16">
        <f>IF(B5530,StartDate+D5530,"")</f>
        <v/>
      </c>
      <c r="F5530">
        <f>IF(B5530,MAX(MOD(SIN(Seed*0.1373+C5530*12.9898+D5530*78.233)*43758.5453,1),1E-9),"")</f>
        <v/>
      </c>
      <c r="G5530">
        <f>IF(B5530,MOD(SIN(Seed*0.5917+C5530*39.3468+D5530*11.135)*24634.6345,1),"")</f>
        <v/>
      </c>
      <c r="H5530">
        <f>IF(B5530,SQRT(-2*LN(F5530))*COS(2*PI()*G5530),"")</f>
        <v/>
      </c>
      <c r="I5530">
        <f>IF(B5530,IF(D5530=0,H5530,Rho*I5529+SQRT(1-Rho^2)*H5530),"")</f>
        <v/>
      </c>
      <c r="J5530">
        <f>IF(B5530,IF(Dist="Normal",DistA+DistB*I5530,DistA+(DistB-DistA)*NORMSDIST(I5530)),"")</f>
        <v/>
      </c>
      <c r="K5530">
        <f>IF(B5530,INDEX(MineScale,C5530),"")</f>
        <v/>
      </c>
      <c r="L5530">
        <f>IF(B5530,INDEX(Dow,1,WEEKDAY(E5530,2)),"")</f>
        <v/>
      </c>
      <c r="M5530">
        <f>IF(B5530,(1+Trend)^D5530,"")</f>
        <v/>
      </c>
      <c r="N5530">
        <f>IF(B5530,EXP(SUMPRODUCT(LN(1+(EvEff-1)*INDEX(Affected,0,C5530)*EXP(-((E5530-EvCenter)^2)/(2*EvSigma^2))))),"")</f>
        <v/>
      </c>
      <c r="O5530">
        <f>IF(B5530,ROUND(MAX(0,J5530*K5530*L5530*M5530*N5530),2),"")</f>
        <v/>
      </c>
    </row>
    <row r="5531">
      <c r="A5531" t="n">
        <v>5530</v>
      </c>
      <c r="B5531">
        <f>A5531&lt;=MineCount*Days</f>
        <v/>
      </c>
      <c r="C5531">
        <f>IF(B5531,INT((A5531-1)/Days)+1,"")</f>
        <v/>
      </c>
      <c r="D5531">
        <f>IF(B5531,MOD(A5531-1,Days),"")</f>
        <v/>
      </c>
      <c r="E5531" s="16">
        <f>IF(B5531,StartDate+D5531,"")</f>
        <v/>
      </c>
      <c r="F5531">
        <f>IF(B5531,MAX(MOD(SIN(Seed*0.1373+C5531*12.9898+D5531*78.233)*43758.5453,1),1E-9),"")</f>
        <v/>
      </c>
      <c r="G5531">
        <f>IF(B5531,MOD(SIN(Seed*0.5917+C5531*39.3468+D5531*11.135)*24634.6345,1),"")</f>
        <v/>
      </c>
      <c r="H5531">
        <f>IF(B5531,SQRT(-2*LN(F5531))*COS(2*PI()*G5531),"")</f>
        <v/>
      </c>
      <c r="I5531">
        <f>IF(B5531,IF(D5531=0,H5531,Rho*I5530+SQRT(1-Rho^2)*H5531),"")</f>
        <v/>
      </c>
      <c r="J5531">
        <f>IF(B5531,IF(Dist="Normal",DistA+DistB*I5531,DistA+(DistB-DistA)*NORMSDIST(I5531)),"")</f>
        <v/>
      </c>
      <c r="K5531">
        <f>IF(B5531,INDEX(MineScale,C5531),"")</f>
        <v/>
      </c>
      <c r="L5531">
        <f>IF(B5531,INDEX(Dow,1,WEEKDAY(E5531,2)),"")</f>
        <v/>
      </c>
      <c r="M5531">
        <f>IF(B5531,(1+Trend)^D5531,"")</f>
        <v/>
      </c>
      <c r="N5531">
        <f>IF(B5531,EXP(SUMPRODUCT(LN(1+(EvEff-1)*INDEX(Affected,0,C5531)*EXP(-((E5531-EvCenter)^2)/(2*EvSigma^2))))),"")</f>
        <v/>
      </c>
      <c r="O5531">
        <f>IF(B5531,ROUND(MAX(0,J5531*K5531*L5531*M5531*N5531),2),"")</f>
        <v/>
      </c>
    </row>
    <row r="5532">
      <c r="A5532" t="n">
        <v>5531</v>
      </c>
      <c r="B5532">
        <f>A5532&lt;=MineCount*Days</f>
        <v/>
      </c>
      <c r="C5532">
        <f>IF(B5532,INT((A5532-1)/Days)+1,"")</f>
        <v/>
      </c>
      <c r="D5532">
        <f>IF(B5532,MOD(A5532-1,Days),"")</f>
        <v/>
      </c>
      <c r="E5532" s="16">
        <f>IF(B5532,StartDate+D5532,"")</f>
        <v/>
      </c>
      <c r="F5532">
        <f>IF(B5532,MAX(MOD(SIN(Seed*0.1373+C5532*12.9898+D5532*78.233)*43758.5453,1),1E-9),"")</f>
        <v/>
      </c>
      <c r="G5532">
        <f>IF(B5532,MOD(SIN(Seed*0.5917+C5532*39.3468+D5532*11.135)*24634.6345,1),"")</f>
        <v/>
      </c>
      <c r="H5532">
        <f>IF(B5532,SQRT(-2*LN(F5532))*COS(2*PI()*G5532),"")</f>
        <v/>
      </c>
      <c r="I5532">
        <f>IF(B5532,IF(D5532=0,H5532,Rho*I5531+SQRT(1-Rho^2)*H5532),"")</f>
        <v/>
      </c>
      <c r="J5532">
        <f>IF(B5532,IF(Dist="Normal",DistA+DistB*I5532,DistA+(DistB-DistA)*NORMSDIST(I5532)),"")</f>
        <v/>
      </c>
      <c r="K5532">
        <f>IF(B5532,INDEX(MineScale,C5532),"")</f>
        <v/>
      </c>
      <c r="L5532">
        <f>IF(B5532,INDEX(Dow,1,WEEKDAY(E5532,2)),"")</f>
        <v/>
      </c>
      <c r="M5532">
        <f>IF(B5532,(1+Trend)^D5532,"")</f>
        <v/>
      </c>
      <c r="N5532">
        <f>IF(B5532,EXP(SUMPRODUCT(LN(1+(EvEff-1)*INDEX(Affected,0,C5532)*EXP(-((E5532-EvCenter)^2)/(2*EvSigma^2))))),"")</f>
        <v/>
      </c>
      <c r="O5532">
        <f>IF(B5532,ROUND(MAX(0,J5532*K5532*L5532*M5532*N5532),2),"")</f>
        <v/>
      </c>
    </row>
    <row r="5533">
      <c r="A5533" t="n">
        <v>5532</v>
      </c>
      <c r="B5533">
        <f>A5533&lt;=MineCount*Days</f>
        <v/>
      </c>
      <c r="C5533">
        <f>IF(B5533,INT((A5533-1)/Days)+1,"")</f>
        <v/>
      </c>
      <c r="D5533">
        <f>IF(B5533,MOD(A5533-1,Days),"")</f>
        <v/>
      </c>
      <c r="E5533" s="16">
        <f>IF(B5533,StartDate+D5533,"")</f>
        <v/>
      </c>
      <c r="F5533">
        <f>IF(B5533,MAX(MOD(SIN(Seed*0.1373+C5533*12.9898+D5533*78.233)*43758.5453,1),1E-9),"")</f>
        <v/>
      </c>
      <c r="G5533">
        <f>IF(B5533,MOD(SIN(Seed*0.5917+C5533*39.3468+D5533*11.135)*24634.6345,1),"")</f>
        <v/>
      </c>
      <c r="H5533">
        <f>IF(B5533,SQRT(-2*LN(F5533))*COS(2*PI()*G5533),"")</f>
        <v/>
      </c>
      <c r="I5533">
        <f>IF(B5533,IF(D5533=0,H5533,Rho*I5532+SQRT(1-Rho^2)*H5533),"")</f>
        <v/>
      </c>
      <c r="J5533">
        <f>IF(B5533,IF(Dist="Normal",DistA+DistB*I5533,DistA+(DistB-DistA)*NORMSDIST(I5533)),"")</f>
        <v/>
      </c>
      <c r="K5533">
        <f>IF(B5533,INDEX(MineScale,C5533),"")</f>
        <v/>
      </c>
      <c r="L5533">
        <f>IF(B5533,INDEX(Dow,1,WEEKDAY(E5533,2)),"")</f>
        <v/>
      </c>
      <c r="M5533">
        <f>IF(B5533,(1+Trend)^D5533,"")</f>
        <v/>
      </c>
      <c r="N5533">
        <f>IF(B5533,EXP(SUMPRODUCT(LN(1+(EvEff-1)*INDEX(Affected,0,C5533)*EXP(-((E5533-EvCenter)^2)/(2*EvSigma^2))))),"")</f>
        <v/>
      </c>
      <c r="O5533">
        <f>IF(B5533,ROUND(MAX(0,J5533*K5533*L5533*M5533*N5533),2),"")</f>
        <v/>
      </c>
    </row>
    <row r="5534">
      <c r="A5534" t="n">
        <v>5533</v>
      </c>
      <c r="B5534">
        <f>A5534&lt;=MineCount*Days</f>
        <v/>
      </c>
      <c r="C5534">
        <f>IF(B5534,INT((A5534-1)/Days)+1,"")</f>
        <v/>
      </c>
      <c r="D5534">
        <f>IF(B5534,MOD(A5534-1,Days),"")</f>
        <v/>
      </c>
      <c r="E5534" s="16">
        <f>IF(B5534,StartDate+D5534,"")</f>
        <v/>
      </c>
      <c r="F5534">
        <f>IF(B5534,MAX(MOD(SIN(Seed*0.1373+C5534*12.9898+D5534*78.233)*43758.5453,1),1E-9),"")</f>
        <v/>
      </c>
      <c r="G5534">
        <f>IF(B5534,MOD(SIN(Seed*0.5917+C5534*39.3468+D5534*11.135)*24634.6345,1),"")</f>
        <v/>
      </c>
      <c r="H5534">
        <f>IF(B5534,SQRT(-2*LN(F5534))*COS(2*PI()*G5534),"")</f>
        <v/>
      </c>
      <c r="I5534">
        <f>IF(B5534,IF(D5534=0,H5534,Rho*I5533+SQRT(1-Rho^2)*H5534),"")</f>
        <v/>
      </c>
      <c r="J5534">
        <f>IF(B5534,IF(Dist="Normal",DistA+DistB*I5534,DistA+(DistB-DistA)*NORMSDIST(I5534)),"")</f>
        <v/>
      </c>
      <c r="K5534">
        <f>IF(B5534,INDEX(MineScale,C5534),"")</f>
        <v/>
      </c>
      <c r="L5534">
        <f>IF(B5534,INDEX(Dow,1,WEEKDAY(E5534,2)),"")</f>
        <v/>
      </c>
      <c r="M5534">
        <f>IF(B5534,(1+Trend)^D5534,"")</f>
        <v/>
      </c>
      <c r="N5534">
        <f>IF(B5534,EXP(SUMPRODUCT(LN(1+(EvEff-1)*INDEX(Affected,0,C5534)*EXP(-((E5534-EvCenter)^2)/(2*EvSigma^2))))),"")</f>
        <v/>
      </c>
      <c r="O5534">
        <f>IF(B5534,ROUND(MAX(0,J5534*K5534*L5534*M5534*N5534),2),"")</f>
        <v/>
      </c>
    </row>
    <row r="5535">
      <c r="A5535" t="n">
        <v>5534</v>
      </c>
      <c r="B5535">
        <f>A5535&lt;=MineCount*Days</f>
        <v/>
      </c>
      <c r="C5535">
        <f>IF(B5535,INT((A5535-1)/Days)+1,"")</f>
        <v/>
      </c>
      <c r="D5535">
        <f>IF(B5535,MOD(A5535-1,Days),"")</f>
        <v/>
      </c>
      <c r="E5535" s="16">
        <f>IF(B5535,StartDate+D5535,"")</f>
        <v/>
      </c>
      <c r="F5535">
        <f>IF(B5535,MAX(MOD(SIN(Seed*0.1373+C5535*12.9898+D5535*78.233)*43758.5453,1),1E-9),"")</f>
        <v/>
      </c>
      <c r="G5535">
        <f>IF(B5535,MOD(SIN(Seed*0.5917+C5535*39.3468+D5535*11.135)*24634.6345,1),"")</f>
        <v/>
      </c>
      <c r="H5535">
        <f>IF(B5535,SQRT(-2*LN(F5535))*COS(2*PI()*G5535),"")</f>
        <v/>
      </c>
      <c r="I5535">
        <f>IF(B5535,IF(D5535=0,H5535,Rho*I5534+SQRT(1-Rho^2)*H5535),"")</f>
        <v/>
      </c>
      <c r="J5535">
        <f>IF(B5535,IF(Dist="Normal",DistA+DistB*I5535,DistA+(DistB-DistA)*NORMSDIST(I5535)),"")</f>
        <v/>
      </c>
      <c r="K5535">
        <f>IF(B5535,INDEX(MineScale,C5535),"")</f>
        <v/>
      </c>
      <c r="L5535">
        <f>IF(B5535,INDEX(Dow,1,WEEKDAY(E5535,2)),"")</f>
        <v/>
      </c>
      <c r="M5535">
        <f>IF(B5535,(1+Trend)^D5535,"")</f>
        <v/>
      </c>
      <c r="N5535">
        <f>IF(B5535,EXP(SUMPRODUCT(LN(1+(EvEff-1)*INDEX(Affected,0,C5535)*EXP(-((E5535-EvCenter)^2)/(2*EvSigma^2))))),"")</f>
        <v/>
      </c>
      <c r="O5535">
        <f>IF(B5535,ROUND(MAX(0,J5535*K5535*L5535*M5535*N5535),2),"")</f>
        <v/>
      </c>
    </row>
    <row r="5536">
      <c r="A5536" t="n">
        <v>5535</v>
      </c>
      <c r="B5536">
        <f>A5536&lt;=MineCount*Days</f>
        <v/>
      </c>
      <c r="C5536">
        <f>IF(B5536,INT((A5536-1)/Days)+1,"")</f>
        <v/>
      </c>
      <c r="D5536">
        <f>IF(B5536,MOD(A5536-1,Days),"")</f>
        <v/>
      </c>
      <c r="E5536" s="16">
        <f>IF(B5536,StartDate+D5536,"")</f>
        <v/>
      </c>
      <c r="F5536">
        <f>IF(B5536,MAX(MOD(SIN(Seed*0.1373+C5536*12.9898+D5536*78.233)*43758.5453,1),1E-9),"")</f>
        <v/>
      </c>
      <c r="G5536">
        <f>IF(B5536,MOD(SIN(Seed*0.5917+C5536*39.3468+D5536*11.135)*24634.6345,1),"")</f>
        <v/>
      </c>
      <c r="H5536">
        <f>IF(B5536,SQRT(-2*LN(F5536))*COS(2*PI()*G5536),"")</f>
        <v/>
      </c>
      <c r="I5536">
        <f>IF(B5536,IF(D5536=0,H5536,Rho*I5535+SQRT(1-Rho^2)*H5536),"")</f>
        <v/>
      </c>
      <c r="J5536">
        <f>IF(B5536,IF(Dist="Normal",DistA+DistB*I5536,DistA+(DistB-DistA)*NORMSDIST(I5536)),"")</f>
        <v/>
      </c>
      <c r="K5536">
        <f>IF(B5536,INDEX(MineScale,C5536),"")</f>
        <v/>
      </c>
      <c r="L5536">
        <f>IF(B5536,INDEX(Dow,1,WEEKDAY(E5536,2)),"")</f>
        <v/>
      </c>
      <c r="M5536">
        <f>IF(B5536,(1+Trend)^D5536,"")</f>
        <v/>
      </c>
      <c r="N5536">
        <f>IF(B5536,EXP(SUMPRODUCT(LN(1+(EvEff-1)*INDEX(Affected,0,C5536)*EXP(-((E5536-EvCenter)^2)/(2*EvSigma^2))))),"")</f>
        <v/>
      </c>
      <c r="O5536">
        <f>IF(B5536,ROUND(MAX(0,J5536*K5536*L5536*M5536*N5536),2),"")</f>
        <v/>
      </c>
    </row>
    <row r="5537">
      <c r="A5537" t="n">
        <v>5536</v>
      </c>
      <c r="B5537">
        <f>A5537&lt;=MineCount*Days</f>
        <v/>
      </c>
      <c r="C5537">
        <f>IF(B5537,INT((A5537-1)/Days)+1,"")</f>
        <v/>
      </c>
      <c r="D5537">
        <f>IF(B5537,MOD(A5537-1,Days),"")</f>
        <v/>
      </c>
      <c r="E5537" s="16">
        <f>IF(B5537,StartDate+D5537,"")</f>
        <v/>
      </c>
      <c r="F5537">
        <f>IF(B5537,MAX(MOD(SIN(Seed*0.1373+C5537*12.9898+D5537*78.233)*43758.5453,1),1E-9),"")</f>
        <v/>
      </c>
      <c r="G5537">
        <f>IF(B5537,MOD(SIN(Seed*0.5917+C5537*39.3468+D5537*11.135)*24634.6345,1),"")</f>
        <v/>
      </c>
      <c r="H5537">
        <f>IF(B5537,SQRT(-2*LN(F5537))*COS(2*PI()*G5537),"")</f>
        <v/>
      </c>
      <c r="I5537">
        <f>IF(B5537,IF(D5537=0,H5537,Rho*I5536+SQRT(1-Rho^2)*H5537),"")</f>
        <v/>
      </c>
      <c r="J5537">
        <f>IF(B5537,IF(Dist="Normal",DistA+DistB*I5537,DistA+(DistB-DistA)*NORMSDIST(I5537)),"")</f>
        <v/>
      </c>
      <c r="K5537">
        <f>IF(B5537,INDEX(MineScale,C5537),"")</f>
        <v/>
      </c>
      <c r="L5537">
        <f>IF(B5537,INDEX(Dow,1,WEEKDAY(E5537,2)),"")</f>
        <v/>
      </c>
      <c r="M5537">
        <f>IF(B5537,(1+Trend)^D5537,"")</f>
        <v/>
      </c>
      <c r="N5537">
        <f>IF(B5537,EXP(SUMPRODUCT(LN(1+(EvEff-1)*INDEX(Affected,0,C5537)*EXP(-((E5537-EvCenter)^2)/(2*EvSigma^2))))),"")</f>
        <v/>
      </c>
      <c r="O5537">
        <f>IF(B5537,ROUND(MAX(0,J5537*K5537*L5537*M5537*N5537),2),"")</f>
        <v/>
      </c>
    </row>
    <row r="5538">
      <c r="A5538" t="n">
        <v>5537</v>
      </c>
      <c r="B5538">
        <f>A5538&lt;=MineCount*Days</f>
        <v/>
      </c>
      <c r="C5538">
        <f>IF(B5538,INT((A5538-1)/Days)+1,"")</f>
        <v/>
      </c>
      <c r="D5538">
        <f>IF(B5538,MOD(A5538-1,Days),"")</f>
        <v/>
      </c>
      <c r="E5538" s="16">
        <f>IF(B5538,StartDate+D5538,"")</f>
        <v/>
      </c>
      <c r="F5538">
        <f>IF(B5538,MAX(MOD(SIN(Seed*0.1373+C5538*12.9898+D5538*78.233)*43758.5453,1),1E-9),"")</f>
        <v/>
      </c>
      <c r="G5538">
        <f>IF(B5538,MOD(SIN(Seed*0.5917+C5538*39.3468+D5538*11.135)*24634.6345,1),"")</f>
        <v/>
      </c>
      <c r="H5538">
        <f>IF(B5538,SQRT(-2*LN(F5538))*COS(2*PI()*G5538),"")</f>
        <v/>
      </c>
      <c r="I5538">
        <f>IF(B5538,IF(D5538=0,H5538,Rho*I5537+SQRT(1-Rho^2)*H5538),"")</f>
        <v/>
      </c>
      <c r="J5538">
        <f>IF(B5538,IF(Dist="Normal",DistA+DistB*I5538,DistA+(DistB-DistA)*NORMSDIST(I5538)),"")</f>
        <v/>
      </c>
      <c r="K5538">
        <f>IF(B5538,INDEX(MineScale,C5538),"")</f>
        <v/>
      </c>
      <c r="L5538">
        <f>IF(B5538,INDEX(Dow,1,WEEKDAY(E5538,2)),"")</f>
        <v/>
      </c>
      <c r="M5538">
        <f>IF(B5538,(1+Trend)^D5538,"")</f>
        <v/>
      </c>
      <c r="N5538">
        <f>IF(B5538,EXP(SUMPRODUCT(LN(1+(EvEff-1)*INDEX(Affected,0,C5538)*EXP(-((E5538-EvCenter)^2)/(2*EvSigma^2))))),"")</f>
        <v/>
      </c>
      <c r="O5538">
        <f>IF(B5538,ROUND(MAX(0,J5538*K5538*L5538*M5538*N5538),2),"")</f>
        <v/>
      </c>
    </row>
    <row r="5539">
      <c r="A5539" t="n">
        <v>5538</v>
      </c>
      <c r="B5539">
        <f>A5539&lt;=MineCount*Days</f>
        <v/>
      </c>
      <c r="C5539">
        <f>IF(B5539,INT((A5539-1)/Days)+1,"")</f>
        <v/>
      </c>
      <c r="D5539">
        <f>IF(B5539,MOD(A5539-1,Days),"")</f>
        <v/>
      </c>
      <c r="E5539" s="16">
        <f>IF(B5539,StartDate+D5539,"")</f>
        <v/>
      </c>
      <c r="F5539">
        <f>IF(B5539,MAX(MOD(SIN(Seed*0.1373+C5539*12.9898+D5539*78.233)*43758.5453,1),1E-9),"")</f>
        <v/>
      </c>
      <c r="G5539">
        <f>IF(B5539,MOD(SIN(Seed*0.5917+C5539*39.3468+D5539*11.135)*24634.6345,1),"")</f>
        <v/>
      </c>
      <c r="H5539">
        <f>IF(B5539,SQRT(-2*LN(F5539))*COS(2*PI()*G5539),"")</f>
        <v/>
      </c>
      <c r="I5539">
        <f>IF(B5539,IF(D5539=0,H5539,Rho*I5538+SQRT(1-Rho^2)*H5539),"")</f>
        <v/>
      </c>
      <c r="J5539">
        <f>IF(B5539,IF(Dist="Normal",DistA+DistB*I5539,DistA+(DistB-DistA)*NORMSDIST(I5539)),"")</f>
        <v/>
      </c>
      <c r="K5539">
        <f>IF(B5539,INDEX(MineScale,C5539),"")</f>
        <v/>
      </c>
      <c r="L5539">
        <f>IF(B5539,INDEX(Dow,1,WEEKDAY(E5539,2)),"")</f>
        <v/>
      </c>
      <c r="M5539">
        <f>IF(B5539,(1+Trend)^D5539,"")</f>
        <v/>
      </c>
      <c r="N5539">
        <f>IF(B5539,EXP(SUMPRODUCT(LN(1+(EvEff-1)*INDEX(Affected,0,C5539)*EXP(-((E5539-EvCenter)^2)/(2*EvSigma^2))))),"")</f>
        <v/>
      </c>
      <c r="O5539">
        <f>IF(B5539,ROUND(MAX(0,J5539*K5539*L5539*M5539*N5539),2),"")</f>
        <v/>
      </c>
    </row>
    <row r="5540">
      <c r="A5540" t="n">
        <v>5539</v>
      </c>
      <c r="B5540">
        <f>A5540&lt;=MineCount*Days</f>
        <v/>
      </c>
      <c r="C5540">
        <f>IF(B5540,INT((A5540-1)/Days)+1,"")</f>
        <v/>
      </c>
      <c r="D5540">
        <f>IF(B5540,MOD(A5540-1,Days),"")</f>
        <v/>
      </c>
      <c r="E5540" s="16">
        <f>IF(B5540,StartDate+D5540,"")</f>
        <v/>
      </c>
      <c r="F5540">
        <f>IF(B5540,MAX(MOD(SIN(Seed*0.1373+C5540*12.9898+D5540*78.233)*43758.5453,1),1E-9),"")</f>
        <v/>
      </c>
      <c r="G5540">
        <f>IF(B5540,MOD(SIN(Seed*0.5917+C5540*39.3468+D5540*11.135)*24634.6345,1),"")</f>
        <v/>
      </c>
      <c r="H5540">
        <f>IF(B5540,SQRT(-2*LN(F5540))*COS(2*PI()*G5540),"")</f>
        <v/>
      </c>
      <c r="I5540">
        <f>IF(B5540,IF(D5540=0,H5540,Rho*I5539+SQRT(1-Rho^2)*H5540),"")</f>
        <v/>
      </c>
      <c r="J5540">
        <f>IF(B5540,IF(Dist="Normal",DistA+DistB*I5540,DistA+(DistB-DistA)*NORMSDIST(I5540)),"")</f>
        <v/>
      </c>
      <c r="K5540">
        <f>IF(B5540,INDEX(MineScale,C5540),"")</f>
        <v/>
      </c>
      <c r="L5540">
        <f>IF(B5540,INDEX(Dow,1,WEEKDAY(E5540,2)),"")</f>
        <v/>
      </c>
      <c r="M5540">
        <f>IF(B5540,(1+Trend)^D5540,"")</f>
        <v/>
      </c>
      <c r="N5540">
        <f>IF(B5540,EXP(SUMPRODUCT(LN(1+(EvEff-1)*INDEX(Affected,0,C5540)*EXP(-((E5540-EvCenter)^2)/(2*EvSigma^2))))),"")</f>
        <v/>
      </c>
      <c r="O5540">
        <f>IF(B5540,ROUND(MAX(0,J5540*K5540*L5540*M5540*N5540),2),"")</f>
        <v/>
      </c>
    </row>
    <row r="5541">
      <c r="A5541" t="n">
        <v>5540</v>
      </c>
      <c r="B5541">
        <f>A5541&lt;=MineCount*Days</f>
        <v/>
      </c>
      <c r="C5541">
        <f>IF(B5541,INT((A5541-1)/Days)+1,"")</f>
        <v/>
      </c>
      <c r="D5541">
        <f>IF(B5541,MOD(A5541-1,Days),"")</f>
        <v/>
      </c>
      <c r="E5541" s="16">
        <f>IF(B5541,StartDate+D5541,"")</f>
        <v/>
      </c>
      <c r="F5541">
        <f>IF(B5541,MAX(MOD(SIN(Seed*0.1373+C5541*12.9898+D5541*78.233)*43758.5453,1),1E-9),"")</f>
        <v/>
      </c>
      <c r="G5541">
        <f>IF(B5541,MOD(SIN(Seed*0.5917+C5541*39.3468+D5541*11.135)*24634.6345,1),"")</f>
        <v/>
      </c>
      <c r="H5541">
        <f>IF(B5541,SQRT(-2*LN(F5541))*COS(2*PI()*G5541),"")</f>
        <v/>
      </c>
      <c r="I5541">
        <f>IF(B5541,IF(D5541=0,H5541,Rho*I5540+SQRT(1-Rho^2)*H5541),"")</f>
        <v/>
      </c>
      <c r="J5541">
        <f>IF(B5541,IF(Dist="Normal",DistA+DistB*I5541,DistA+(DistB-DistA)*NORMSDIST(I5541)),"")</f>
        <v/>
      </c>
      <c r="K5541">
        <f>IF(B5541,INDEX(MineScale,C5541),"")</f>
        <v/>
      </c>
      <c r="L5541">
        <f>IF(B5541,INDEX(Dow,1,WEEKDAY(E5541,2)),"")</f>
        <v/>
      </c>
      <c r="M5541">
        <f>IF(B5541,(1+Trend)^D5541,"")</f>
        <v/>
      </c>
      <c r="N5541">
        <f>IF(B5541,EXP(SUMPRODUCT(LN(1+(EvEff-1)*INDEX(Affected,0,C5541)*EXP(-((E5541-EvCenter)^2)/(2*EvSigma^2))))),"")</f>
        <v/>
      </c>
      <c r="O5541">
        <f>IF(B5541,ROUND(MAX(0,J5541*K5541*L5541*M5541*N5541),2),"")</f>
        <v/>
      </c>
    </row>
    <row r="5542">
      <c r="A5542" t="n">
        <v>5541</v>
      </c>
      <c r="B5542">
        <f>A5542&lt;=MineCount*Days</f>
        <v/>
      </c>
      <c r="C5542">
        <f>IF(B5542,INT((A5542-1)/Days)+1,"")</f>
        <v/>
      </c>
      <c r="D5542">
        <f>IF(B5542,MOD(A5542-1,Days),"")</f>
        <v/>
      </c>
      <c r="E5542" s="16">
        <f>IF(B5542,StartDate+D5542,"")</f>
        <v/>
      </c>
      <c r="F5542">
        <f>IF(B5542,MAX(MOD(SIN(Seed*0.1373+C5542*12.9898+D5542*78.233)*43758.5453,1),1E-9),"")</f>
        <v/>
      </c>
      <c r="G5542">
        <f>IF(B5542,MOD(SIN(Seed*0.5917+C5542*39.3468+D5542*11.135)*24634.6345,1),"")</f>
        <v/>
      </c>
      <c r="H5542">
        <f>IF(B5542,SQRT(-2*LN(F5542))*COS(2*PI()*G5542),"")</f>
        <v/>
      </c>
      <c r="I5542">
        <f>IF(B5542,IF(D5542=0,H5542,Rho*I5541+SQRT(1-Rho^2)*H5542),"")</f>
        <v/>
      </c>
      <c r="J5542">
        <f>IF(B5542,IF(Dist="Normal",DistA+DistB*I5542,DistA+(DistB-DistA)*NORMSDIST(I5542)),"")</f>
        <v/>
      </c>
      <c r="K5542">
        <f>IF(B5542,INDEX(MineScale,C5542),"")</f>
        <v/>
      </c>
      <c r="L5542">
        <f>IF(B5542,INDEX(Dow,1,WEEKDAY(E5542,2)),"")</f>
        <v/>
      </c>
      <c r="M5542">
        <f>IF(B5542,(1+Trend)^D5542,"")</f>
        <v/>
      </c>
      <c r="N5542">
        <f>IF(B5542,EXP(SUMPRODUCT(LN(1+(EvEff-1)*INDEX(Affected,0,C5542)*EXP(-((E5542-EvCenter)^2)/(2*EvSigma^2))))),"")</f>
        <v/>
      </c>
      <c r="O5542">
        <f>IF(B5542,ROUND(MAX(0,J5542*K5542*L5542*M5542*N5542),2),"")</f>
        <v/>
      </c>
    </row>
    <row r="5543">
      <c r="A5543" t="n">
        <v>5542</v>
      </c>
      <c r="B5543">
        <f>A5543&lt;=MineCount*Days</f>
        <v/>
      </c>
      <c r="C5543">
        <f>IF(B5543,INT((A5543-1)/Days)+1,"")</f>
        <v/>
      </c>
      <c r="D5543">
        <f>IF(B5543,MOD(A5543-1,Days),"")</f>
        <v/>
      </c>
      <c r="E5543" s="16">
        <f>IF(B5543,StartDate+D5543,"")</f>
        <v/>
      </c>
      <c r="F5543">
        <f>IF(B5543,MAX(MOD(SIN(Seed*0.1373+C5543*12.9898+D5543*78.233)*43758.5453,1),1E-9),"")</f>
        <v/>
      </c>
      <c r="G5543">
        <f>IF(B5543,MOD(SIN(Seed*0.5917+C5543*39.3468+D5543*11.135)*24634.6345,1),"")</f>
        <v/>
      </c>
      <c r="H5543">
        <f>IF(B5543,SQRT(-2*LN(F5543))*COS(2*PI()*G5543),"")</f>
        <v/>
      </c>
      <c r="I5543">
        <f>IF(B5543,IF(D5543=0,H5543,Rho*I5542+SQRT(1-Rho^2)*H5543),"")</f>
        <v/>
      </c>
      <c r="J5543">
        <f>IF(B5543,IF(Dist="Normal",DistA+DistB*I5543,DistA+(DistB-DistA)*NORMSDIST(I5543)),"")</f>
        <v/>
      </c>
      <c r="K5543">
        <f>IF(B5543,INDEX(MineScale,C5543),"")</f>
        <v/>
      </c>
      <c r="L5543">
        <f>IF(B5543,INDEX(Dow,1,WEEKDAY(E5543,2)),"")</f>
        <v/>
      </c>
      <c r="M5543">
        <f>IF(B5543,(1+Trend)^D5543,"")</f>
        <v/>
      </c>
      <c r="N5543">
        <f>IF(B5543,EXP(SUMPRODUCT(LN(1+(EvEff-1)*INDEX(Affected,0,C5543)*EXP(-((E5543-EvCenter)^2)/(2*EvSigma^2))))),"")</f>
        <v/>
      </c>
      <c r="O5543">
        <f>IF(B5543,ROUND(MAX(0,J5543*K5543*L5543*M5543*N5543),2),"")</f>
        <v/>
      </c>
    </row>
    <row r="5544">
      <c r="A5544" t="n">
        <v>5543</v>
      </c>
      <c r="B5544">
        <f>A5544&lt;=MineCount*Days</f>
        <v/>
      </c>
      <c r="C5544">
        <f>IF(B5544,INT((A5544-1)/Days)+1,"")</f>
        <v/>
      </c>
      <c r="D5544">
        <f>IF(B5544,MOD(A5544-1,Days),"")</f>
        <v/>
      </c>
      <c r="E5544" s="16">
        <f>IF(B5544,StartDate+D5544,"")</f>
        <v/>
      </c>
      <c r="F5544">
        <f>IF(B5544,MAX(MOD(SIN(Seed*0.1373+C5544*12.9898+D5544*78.233)*43758.5453,1),1E-9),"")</f>
        <v/>
      </c>
      <c r="G5544">
        <f>IF(B5544,MOD(SIN(Seed*0.5917+C5544*39.3468+D5544*11.135)*24634.6345,1),"")</f>
        <v/>
      </c>
      <c r="H5544">
        <f>IF(B5544,SQRT(-2*LN(F5544))*COS(2*PI()*G5544),"")</f>
        <v/>
      </c>
      <c r="I5544">
        <f>IF(B5544,IF(D5544=0,H5544,Rho*I5543+SQRT(1-Rho^2)*H5544),"")</f>
        <v/>
      </c>
      <c r="J5544">
        <f>IF(B5544,IF(Dist="Normal",DistA+DistB*I5544,DistA+(DistB-DistA)*NORMSDIST(I5544)),"")</f>
        <v/>
      </c>
      <c r="K5544">
        <f>IF(B5544,INDEX(MineScale,C5544),"")</f>
        <v/>
      </c>
      <c r="L5544">
        <f>IF(B5544,INDEX(Dow,1,WEEKDAY(E5544,2)),"")</f>
        <v/>
      </c>
      <c r="M5544">
        <f>IF(B5544,(1+Trend)^D5544,"")</f>
        <v/>
      </c>
      <c r="N5544">
        <f>IF(B5544,EXP(SUMPRODUCT(LN(1+(EvEff-1)*INDEX(Affected,0,C5544)*EXP(-((E5544-EvCenter)^2)/(2*EvSigma^2))))),"")</f>
        <v/>
      </c>
      <c r="O5544">
        <f>IF(B5544,ROUND(MAX(0,J5544*K5544*L5544*M5544*N5544),2),"")</f>
        <v/>
      </c>
    </row>
    <row r="5545">
      <c r="A5545" t="n">
        <v>5544</v>
      </c>
      <c r="B5545">
        <f>A5545&lt;=MineCount*Days</f>
        <v/>
      </c>
      <c r="C5545">
        <f>IF(B5545,INT((A5545-1)/Days)+1,"")</f>
        <v/>
      </c>
      <c r="D5545">
        <f>IF(B5545,MOD(A5545-1,Days),"")</f>
        <v/>
      </c>
      <c r="E5545" s="16">
        <f>IF(B5545,StartDate+D5545,"")</f>
        <v/>
      </c>
      <c r="F5545">
        <f>IF(B5545,MAX(MOD(SIN(Seed*0.1373+C5545*12.9898+D5545*78.233)*43758.5453,1),1E-9),"")</f>
        <v/>
      </c>
      <c r="G5545">
        <f>IF(B5545,MOD(SIN(Seed*0.5917+C5545*39.3468+D5545*11.135)*24634.6345,1),"")</f>
        <v/>
      </c>
      <c r="H5545">
        <f>IF(B5545,SQRT(-2*LN(F5545))*COS(2*PI()*G5545),"")</f>
        <v/>
      </c>
      <c r="I5545">
        <f>IF(B5545,IF(D5545=0,H5545,Rho*I5544+SQRT(1-Rho^2)*H5545),"")</f>
        <v/>
      </c>
      <c r="J5545">
        <f>IF(B5545,IF(Dist="Normal",DistA+DistB*I5545,DistA+(DistB-DistA)*NORMSDIST(I5545)),"")</f>
        <v/>
      </c>
      <c r="K5545">
        <f>IF(B5545,INDEX(MineScale,C5545),"")</f>
        <v/>
      </c>
      <c r="L5545">
        <f>IF(B5545,INDEX(Dow,1,WEEKDAY(E5545,2)),"")</f>
        <v/>
      </c>
      <c r="M5545">
        <f>IF(B5545,(1+Trend)^D5545,"")</f>
        <v/>
      </c>
      <c r="N5545">
        <f>IF(B5545,EXP(SUMPRODUCT(LN(1+(EvEff-1)*INDEX(Affected,0,C5545)*EXP(-((E5545-EvCenter)^2)/(2*EvSigma^2))))),"")</f>
        <v/>
      </c>
      <c r="O5545">
        <f>IF(B5545,ROUND(MAX(0,J5545*K5545*L5545*M5545*N5545),2),"")</f>
        <v/>
      </c>
    </row>
    <row r="5546">
      <c r="A5546" t="n">
        <v>5545</v>
      </c>
      <c r="B5546">
        <f>A5546&lt;=MineCount*Days</f>
        <v/>
      </c>
      <c r="C5546">
        <f>IF(B5546,INT((A5546-1)/Days)+1,"")</f>
        <v/>
      </c>
      <c r="D5546">
        <f>IF(B5546,MOD(A5546-1,Days),"")</f>
        <v/>
      </c>
      <c r="E5546" s="16">
        <f>IF(B5546,StartDate+D5546,"")</f>
        <v/>
      </c>
      <c r="F5546">
        <f>IF(B5546,MAX(MOD(SIN(Seed*0.1373+C5546*12.9898+D5546*78.233)*43758.5453,1),1E-9),"")</f>
        <v/>
      </c>
      <c r="G5546">
        <f>IF(B5546,MOD(SIN(Seed*0.5917+C5546*39.3468+D5546*11.135)*24634.6345,1),"")</f>
        <v/>
      </c>
      <c r="H5546">
        <f>IF(B5546,SQRT(-2*LN(F5546))*COS(2*PI()*G5546),"")</f>
        <v/>
      </c>
      <c r="I5546">
        <f>IF(B5546,IF(D5546=0,H5546,Rho*I5545+SQRT(1-Rho^2)*H5546),"")</f>
        <v/>
      </c>
      <c r="J5546">
        <f>IF(B5546,IF(Dist="Normal",DistA+DistB*I5546,DistA+(DistB-DistA)*NORMSDIST(I5546)),"")</f>
        <v/>
      </c>
      <c r="K5546">
        <f>IF(B5546,INDEX(MineScale,C5546),"")</f>
        <v/>
      </c>
      <c r="L5546">
        <f>IF(B5546,INDEX(Dow,1,WEEKDAY(E5546,2)),"")</f>
        <v/>
      </c>
      <c r="M5546">
        <f>IF(B5546,(1+Trend)^D5546,"")</f>
        <v/>
      </c>
      <c r="N5546">
        <f>IF(B5546,EXP(SUMPRODUCT(LN(1+(EvEff-1)*INDEX(Affected,0,C5546)*EXP(-((E5546-EvCenter)^2)/(2*EvSigma^2))))),"")</f>
        <v/>
      </c>
      <c r="O5546">
        <f>IF(B5546,ROUND(MAX(0,J5546*K5546*L5546*M5546*N5546),2),"")</f>
        <v/>
      </c>
    </row>
    <row r="5547">
      <c r="A5547" t="n">
        <v>5546</v>
      </c>
      <c r="B5547">
        <f>A5547&lt;=MineCount*Days</f>
        <v/>
      </c>
      <c r="C5547">
        <f>IF(B5547,INT((A5547-1)/Days)+1,"")</f>
        <v/>
      </c>
      <c r="D5547">
        <f>IF(B5547,MOD(A5547-1,Days),"")</f>
        <v/>
      </c>
      <c r="E5547" s="16">
        <f>IF(B5547,StartDate+D5547,"")</f>
        <v/>
      </c>
      <c r="F5547">
        <f>IF(B5547,MAX(MOD(SIN(Seed*0.1373+C5547*12.9898+D5547*78.233)*43758.5453,1),1E-9),"")</f>
        <v/>
      </c>
      <c r="G5547">
        <f>IF(B5547,MOD(SIN(Seed*0.5917+C5547*39.3468+D5547*11.135)*24634.6345,1),"")</f>
        <v/>
      </c>
      <c r="H5547">
        <f>IF(B5547,SQRT(-2*LN(F5547))*COS(2*PI()*G5547),"")</f>
        <v/>
      </c>
      <c r="I5547">
        <f>IF(B5547,IF(D5547=0,H5547,Rho*I5546+SQRT(1-Rho^2)*H5547),"")</f>
        <v/>
      </c>
      <c r="J5547">
        <f>IF(B5547,IF(Dist="Normal",DistA+DistB*I5547,DistA+(DistB-DistA)*NORMSDIST(I5547)),"")</f>
        <v/>
      </c>
      <c r="K5547">
        <f>IF(B5547,INDEX(MineScale,C5547),"")</f>
        <v/>
      </c>
      <c r="L5547">
        <f>IF(B5547,INDEX(Dow,1,WEEKDAY(E5547,2)),"")</f>
        <v/>
      </c>
      <c r="M5547">
        <f>IF(B5547,(1+Trend)^D5547,"")</f>
        <v/>
      </c>
      <c r="N5547">
        <f>IF(B5547,EXP(SUMPRODUCT(LN(1+(EvEff-1)*INDEX(Affected,0,C5547)*EXP(-((E5547-EvCenter)^2)/(2*EvSigma^2))))),"")</f>
        <v/>
      </c>
      <c r="O5547">
        <f>IF(B5547,ROUND(MAX(0,J5547*K5547*L5547*M5547*N5547),2),"")</f>
        <v/>
      </c>
    </row>
    <row r="5548">
      <c r="A5548" t="n">
        <v>5547</v>
      </c>
      <c r="B5548">
        <f>A5548&lt;=MineCount*Days</f>
        <v/>
      </c>
      <c r="C5548">
        <f>IF(B5548,INT((A5548-1)/Days)+1,"")</f>
        <v/>
      </c>
      <c r="D5548">
        <f>IF(B5548,MOD(A5548-1,Days),"")</f>
        <v/>
      </c>
      <c r="E5548" s="16">
        <f>IF(B5548,StartDate+D5548,"")</f>
        <v/>
      </c>
      <c r="F5548">
        <f>IF(B5548,MAX(MOD(SIN(Seed*0.1373+C5548*12.9898+D5548*78.233)*43758.5453,1),1E-9),"")</f>
        <v/>
      </c>
      <c r="G5548">
        <f>IF(B5548,MOD(SIN(Seed*0.5917+C5548*39.3468+D5548*11.135)*24634.6345,1),"")</f>
        <v/>
      </c>
      <c r="H5548">
        <f>IF(B5548,SQRT(-2*LN(F5548))*COS(2*PI()*G5548),"")</f>
        <v/>
      </c>
      <c r="I5548">
        <f>IF(B5548,IF(D5548=0,H5548,Rho*I5547+SQRT(1-Rho^2)*H5548),"")</f>
        <v/>
      </c>
      <c r="J5548">
        <f>IF(B5548,IF(Dist="Normal",DistA+DistB*I5548,DistA+(DistB-DistA)*NORMSDIST(I5548)),"")</f>
        <v/>
      </c>
      <c r="K5548">
        <f>IF(B5548,INDEX(MineScale,C5548),"")</f>
        <v/>
      </c>
      <c r="L5548">
        <f>IF(B5548,INDEX(Dow,1,WEEKDAY(E5548,2)),"")</f>
        <v/>
      </c>
      <c r="M5548">
        <f>IF(B5548,(1+Trend)^D5548,"")</f>
        <v/>
      </c>
      <c r="N5548">
        <f>IF(B5548,EXP(SUMPRODUCT(LN(1+(EvEff-1)*INDEX(Affected,0,C5548)*EXP(-((E5548-EvCenter)^2)/(2*EvSigma^2))))),"")</f>
        <v/>
      </c>
      <c r="O5548">
        <f>IF(B5548,ROUND(MAX(0,J5548*K5548*L5548*M5548*N5548),2),"")</f>
        <v/>
      </c>
    </row>
    <row r="5549">
      <c r="A5549" t="n">
        <v>5548</v>
      </c>
      <c r="B5549">
        <f>A5549&lt;=MineCount*Days</f>
        <v/>
      </c>
      <c r="C5549">
        <f>IF(B5549,INT((A5549-1)/Days)+1,"")</f>
        <v/>
      </c>
      <c r="D5549">
        <f>IF(B5549,MOD(A5549-1,Days),"")</f>
        <v/>
      </c>
      <c r="E5549" s="16">
        <f>IF(B5549,StartDate+D5549,"")</f>
        <v/>
      </c>
      <c r="F5549">
        <f>IF(B5549,MAX(MOD(SIN(Seed*0.1373+C5549*12.9898+D5549*78.233)*43758.5453,1),1E-9),"")</f>
        <v/>
      </c>
      <c r="G5549">
        <f>IF(B5549,MOD(SIN(Seed*0.5917+C5549*39.3468+D5549*11.135)*24634.6345,1),"")</f>
        <v/>
      </c>
      <c r="H5549">
        <f>IF(B5549,SQRT(-2*LN(F5549))*COS(2*PI()*G5549),"")</f>
        <v/>
      </c>
      <c r="I5549">
        <f>IF(B5549,IF(D5549=0,H5549,Rho*I5548+SQRT(1-Rho^2)*H5549),"")</f>
        <v/>
      </c>
      <c r="J5549">
        <f>IF(B5549,IF(Dist="Normal",DistA+DistB*I5549,DistA+(DistB-DistA)*NORMSDIST(I5549)),"")</f>
        <v/>
      </c>
      <c r="K5549">
        <f>IF(B5549,INDEX(MineScale,C5549),"")</f>
        <v/>
      </c>
      <c r="L5549">
        <f>IF(B5549,INDEX(Dow,1,WEEKDAY(E5549,2)),"")</f>
        <v/>
      </c>
      <c r="M5549">
        <f>IF(B5549,(1+Trend)^D5549,"")</f>
        <v/>
      </c>
      <c r="N5549">
        <f>IF(B5549,EXP(SUMPRODUCT(LN(1+(EvEff-1)*INDEX(Affected,0,C5549)*EXP(-((E5549-EvCenter)^2)/(2*EvSigma^2))))),"")</f>
        <v/>
      </c>
      <c r="O5549">
        <f>IF(B5549,ROUND(MAX(0,J5549*K5549*L5549*M5549*N5549),2),"")</f>
        <v/>
      </c>
    </row>
    <row r="5550">
      <c r="A5550" t="n">
        <v>5549</v>
      </c>
      <c r="B5550">
        <f>A5550&lt;=MineCount*Days</f>
        <v/>
      </c>
      <c r="C5550">
        <f>IF(B5550,INT((A5550-1)/Days)+1,"")</f>
        <v/>
      </c>
      <c r="D5550">
        <f>IF(B5550,MOD(A5550-1,Days),"")</f>
        <v/>
      </c>
      <c r="E5550" s="16">
        <f>IF(B5550,StartDate+D5550,"")</f>
        <v/>
      </c>
      <c r="F5550">
        <f>IF(B5550,MAX(MOD(SIN(Seed*0.1373+C5550*12.9898+D5550*78.233)*43758.5453,1),1E-9),"")</f>
        <v/>
      </c>
      <c r="G5550">
        <f>IF(B5550,MOD(SIN(Seed*0.5917+C5550*39.3468+D5550*11.135)*24634.6345,1),"")</f>
        <v/>
      </c>
      <c r="H5550">
        <f>IF(B5550,SQRT(-2*LN(F5550))*COS(2*PI()*G5550),"")</f>
        <v/>
      </c>
      <c r="I5550">
        <f>IF(B5550,IF(D5550=0,H5550,Rho*I5549+SQRT(1-Rho^2)*H5550),"")</f>
        <v/>
      </c>
      <c r="J5550">
        <f>IF(B5550,IF(Dist="Normal",DistA+DistB*I5550,DistA+(DistB-DistA)*NORMSDIST(I5550)),"")</f>
        <v/>
      </c>
      <c r="K5550">
        <f>IF(B5550,INDEX(MineScale,C5550),"")</f>
        <v/>
      </c>
      <c r="L5550">
        <f>IF(B5550,INDEX(Dow,1,WEEKDAY(E5550,2)),"")</f>
        <v/>
      </c>
      <c r="M5550">
        <f>IF(B5550,(1+Trend)^D5550,"")</f>
        <v/>
      </c>
      <c r="N5550">
        <f>IF(B5550,EXP(SUMPRODUCT(LN(1+(EvEff-1)*INDEX(Affected,0,C5550)*EXP(-((E5550-EvCenter)^2)/(2*EvSigma^2))))),"")</f>
        <v/>
      </c>
      <c r="O5550">
        <f>IF(B5550,ROUND(MAX(0,J5550*K5550*L5550*M5550*N5550),2),"")</f>
        <v/>
      </c>
    </row>
    <row r="5551">
      <c r="A5551" t="n">
        <v>5550</v>
      </c>
      <c r="B5551">
        <f>A5551&lt;=MineCount*Days</f>
        <v/>
      </c>
      <c r="C5551">
        <f>IF(B5551,INT((A5551-1)/Days)+1,"")</f>
        <v/>
      </c>
      <c r="D5551">
        <f>IF(B5551,MOD(A5551-1,Days),"")</f>
        <v/>
      </c>
      <c r="E5551" s="16">
        <f>IF(B5551,StartDate+D5551,"")</f>
        <v/>
      </c>
      <c r="F5551">
        <f>IF(B5551,MAX(MOD(SIN(Seed*0.1373+C5551*12.9898+D5551*78.233)*43758.5453,1),1E-9),"")</f>
        <v/>
      </c>
      <c r="G5551">
        <f>IF(B5551,MOD(SIN(Seed*0.5917+C5551*39.3468+D5551*11.135)*24634.6345,1),"")</f>
        <v/>
      </c>
      <c r="H5551">
        <f>IF(B5551,SQRT(-2*LN(F5551))*COS(2*PI()*G5551),"")</f>
        <v/>
      </c>
      <c r="I5551">
        <f>IF(B5551,IF(D5551=0,H5551,Rho*I5550+SQRT(1-Rho^2)*H5551),"")</f>
        <v/>
      </c>
      <c r="J5551">
        <f>IF(B5551,IF(Dist="Normal",DistA+DistB*I5551,DistA+(DistB-DistA)*NORMSDIST(I5551)),"")</f>
        <v/>
      </c>
      <c r="K5551">
        <f>IF(B5551,INDEX(MineScale,C5551),"")</f>
        <v/>
      </c>
      <c r="L5551">
        <f>IF(B5551,INDEX(Dow,1,WEEKDAY(E5551,2)),"")</f>
        <v/>
      </c>
      <c r="M5551">
        <f>IF(B5551,(1+Trend)^D5551,"")</f>
        <v/>
      </c>
      <c r="N5551">
        <f>IF(B5551,EXP(SUMPRODUCT(LN(1+(EvEff-1)*INDEX(Affected,0,C5551)*EXP(-((E5551-EvCenter)^2)/(2*EvSigma^2))))),"")</f>
        <v/>
      </c>
      <c r="O5551">
        <f>IF(B5551,ROUND(MAX(0,J5551*K5551*L5551*M5551*N5551),2),"")</f>
        <v/>
      </c>
    </row>
    <row r="5552">
      <c r="A5552" t="n">
        <v>5551</v>
      </c>
      <c r="B5552">
        <f>A5552&lt;=MineCount*Days</f>
        <v/>
      </c>
      <c r="C5552">
        <f>IF(B5552,INT((A5552-1)/Days)+1,"")</f>
        <v/>
      </c>
      <c r="D5552">
        <f>IF(B5552,MOD(A5552-1,Days),"")</f>
        <v/>
      </c>
      <c r="E5552" s="16">
        <f>IF(B5552,StartDate+D5552,"")</f>
        <v/>
      </c>
      <c r="F5552">
        <f>IF(B5552,MAX(MOD(SIN(Seed*0.1373+C5552*12.9898+D5552*78.233)*43758.5453,1),1E-9),"")</f>
        <v/>
      </c>
      <c r="G5552">
        <f>IF(B5552,MOD(SIN(Seed*0.5917+C5552*39.3468+D5552*11.135)*24634.6345,1),"")</f>
        <v/>
      </c>
      <c r="H5552">
        <f>IF(B5552,SQRT(-2*LN(F5552))*COS(2*PI()*G5552),"")</f>
        <v/>
      </c>
      <c r="I5552">
        <f>IF(B5552,IF(D5552=0,H5552,Rho*I5551+SQRT(1-Rho^2)*H5552),"")</f>
        <v/>
      </c>
      <c r="J5552">
        <f>IF(B5552,IF(Dist="Normal",DistA+DistB*I5552,DistA+(DistB-DistA)*NORMSDIST(I5552)),"")</f>
        <v/>
      </c>
      <c r="K5552">
        <f>IF(B5552,INDEX(MineScale,C5552),"")</f>
        <v/>
      </c>
      <c r="L5552">
        <f>IF(B5552,INDEX(Dow,1,WEEKDAY(E5552,2)),"")</f>
        <v/>
      </c>
      <c r="M5552">
        <f>IF(B5552,(1+Trend)^D5552,"")</f>
        <v/>
      </c>
      <c r="N5552">
        <f>IF(B5552,EXP(SUMPRODUCT(LN(1+(EvEff-1)*INDEX(Affected,0,C5552)*EXP(-((E5552-EvCenter)^2)/(2*EvSigma^2))))),"")</f>
        <v/>
      </c>
      <c r="O5552">
        <f>IF(B5552,ROUND(MAX(0,J5552*K5552*L5552*M5552*N5552),2),"")</f>
        <v/>
      </c>
    </row>
    <row r="5553">
      <c r="A5553" t="n">
        <v>5552</v>
      </c>
      <c r="B5553">
        <f>A5553&lt;=MineCount*Days</f>
        <v/>
      </c>
      <c r="C5553">
        <f>IF(B5553,INT((A5553-1)/Days)+1,"")</f>
        <v/>
      </c>
      <c r="D5553">
        <f>IF(B5553,MOD(A5553-1,Days),"")</f>
        <v/>
      </c>
      <c r="E5553" s="16">
        <f>IF(B5553,StartDate+D5553,"")</f>
        <v/>
      </c>
      <c r="F5553">
        <f>IF(B5553,MAX(MOD(SIN(Seed*0.1373+C5553*12.9898+D5553*78.233)*43758.5453,1),1E-9),"")</f>
        <v/>
      </c>
      <c r="G5553">
        <f>IF(B5553,MOD(SIN(Seed*0.5917+C5553*39.3468+D5553*11.135)*24634.6345,1),"")</f>
        <v/>
      </c>
      <c r="H5553">
        <f>IF(B5553,SQRT(-2*LN(F5553))*COS(2*PI()*G5553),"")</f>
        <v/>
      </c>
      <c r="I5553">
        <f>IF(B5553,IF(D5553=0,H5553,Rho*I5552+SQRT(1-Rho^2)*H5553),"")</f>
        <v/>
      </c>
      <c r="J5553">
        <f>IF(B5553,IF(Dist="Normal",DistA+DistB*I5553,DistA+(DistB-DistA)*NORMSDIST(I5553)),"")</f>
        <v/>
      </c>
      <c r="K5553">
        <f>IF(B5553,INDEX(MineScale,C5553),"")</f>
        <v/>
      </c>
      <c r="L5553">
        <f>IF(B5553,INDEX(Dow,1,WEEKDAY(E5553,2)),"")</f>
        <v/>
      </c>
      <c r="M5553">
        <f>IF(B5553,(1+Trend)^D5553,"")</f>
        <v/>
      </c>
      <c r="N5553">
        <f>IF(B5553,EXP(SUMPRODUCT(LN(1+(EvEff-1)*INDEX(Affected,0,C5553)*EXP(-((E5553-EvCenter)^2)/(2*EvSigma^2))))),"")</f>
        <v/>
      </c>
      <c r="O5553">
        <f>IF(B5553,ROUND(MAX(0,J5553*K5553*L5553*M5553*N5553),2),"")</f>
        <v/>
      </c>
    </row>
    <row r="5554">
      <c r="A5554" t="n">
        <v>5553</v>
      </c>
      <c r="B5554">
        <f>A5554&lt;=MineCount*Days</f>
        <v/>
      </c>
      <c r="C5554">
        <f>IF(B5554,INT((A5554-1)/Days)+1,"")</f>
        <v/>
      </c>
      <c r="D5554">
        <f>IF(B5554,MOD(A5554-1,Days),"")</f>
        <v/>
      </c>
      <c r="E5554" s="16">
        <f>IF(B5554,StartDate+D5554,"")</f>
        <v/>
      </c>
      <c r="F5554">
        <f>IF(B5554,MAX(MOD(SIN(Seed*0.1373+C5554*12.9898+D5554*78.233)*43758.5453,1),1E-9),"")</f>
        <v/>
      </c>
      <c r="G5554">
        <f>IF(B5554,MOD(SIN(Seed*0.5917+C5554*39.3468+D5554*11.135)*24634.6345,1),"")</f>
        <v/>
      </c>
      <c r="H5554">
        <f>IF(B5554,SQRT(-2*LN(F5554))*COS(2*PI()*G5554),"")</f>
        <v/>
      </c>
      <c r="I5554">
        <f>IF(B5554,IF(D5554=0,H5554,Rho*I5553+SQRT(1-Rho^2)*H5554),"")</f>
        <v/>
      </c>
      <c r="J5554">
        <f>IF(B5554,IF(Dist="Normal",DistA+DistB*I5554,DistA+(DistB-DistA)*NORMSDIST(I5554)),"")</f>
        <v/>
      </c>
      <c r="K5554">
        <f>IF(B5554,INDEX(MineScale,C5554),"")</f>
        <v/>
      </c>
      <c r="L5554">
        <f>IF(B5554,INDEX(Dow,1,WEEKDAY(E5554,2)),"")</f>
        <v/>
      </c>
      <c r="M5554">
        <f>IF(B5554,(1+Trend)^D5554,"")</f>
        <v/>
      </c>
      <c r="N5554">
        <f>IF(B5554,EXP(SUMPRODUCT(LN(1+(EvEff-1)*INDEX(Affected,0,C5554)*EXP(-((E5554-EvCenter)^2)/(2*EvSigma^2))))),"")</f>
        <v/>
      </c>
      <c r="O5554">
        <f>IF(B5554,ROUND(MAX(0,J5554*K5554*L5554*M5554*N5554),2),"")</f>
        <v/>
      </c>
    </row>
    <row r="5555">
      <c r="A5555" t="n">
        <v>5554</v>
      </c>
      <c r="B5555">
        <f>A5555&lt;=MineCount*Days</f>
        <v/>
      </c>
      <c r="C5555">
        <f>IF(B5555,INT((A5555-1)/Days)+1,"")</f>
        <v/>
      </c>
      <c r="D5555">
        <f>IF(B5555,MOD(A5555-1,Days),"")</f>
        <v/>
      </c>
      <c r="E5555" s="16">
        <f>IF(B5555,StartDate+D5555,"")</f>
        <v/>
      </c>
      <c r="F5555">
        <f>IF(B5555,MAX(MOD(SIN(Seed*0.1373+C5555*12.9898+D5555*78.233)*43758.5453,1),1E-9),"")</f>
        <v/>
      </c>
      <c r="G5555">
        <f>IF(B5555,MOD(SIN(Seed*0.5917+C5555*39.3468+D5555*11.135)*24634.6345,1),"")</f>
        <v/>
      </c>
      <c r="H5555">
        <f>IF(B5555,SQRT(-2*LN(F5555))*COS(2*PI()*G5555),"")</f>
        <v/>
      </c>
      <c r="I5555">
        <f>IF(B5555,IF(D5555=0,H5555,Rho*I5554+SQRT(1-Rho^2)*H5555),"")</f>
        <v/>
      </c>
      <c r="J5555">
        <f>IF(B5555,IF(Dist="Normal",DistA+DistB*I5555,DistA+(DistB-DistA)*NORMSDIST(I5555)),"")</f>
        <v/>
      </c>
      <c r="K5555">
        <f>IF(B5555,INDEX(MineScale,C5555),"")</f>
        <v/>
      </c>
      <c r="L5555">
        <f>IF(B5555,INDEX(Dow,1,WEEKDAY(E5555,2)),"")</f>
        <v/>
      </c>
      <c r="M5555">
        <f>IF(B5555,(1+Trend)^D5555,"")</f>
        <v/>
      </c>
      <c r="N5555">
        <f>IF(B5555,EXP(SUMPRODUCT(LN(1+(EvEff-1)*INDEX(Affected,0,C5555)*EXP(-((E5555-EvCenter)^2)/(2*EvSigma^2))))),"")</f>
        <v/>
      </c>
      <c r="O5555">
        <f>IF(B5555,ROUND(MAX(0,J5555*K5555*L5555*M5555*N5555),2),"")</f>
        <v/>
      </c>
    </row>
    <row r="5556">
      <c r="A5556" t="n">
        <v>5555</v>
      </c>
      <c r="B5556">
        <f>A5556&lt;=MineCount*Days</f>
        <v/>
      </c>
      <c r="C5556">
        <f>IF(B5556,INT((A5556-1)/Days)+1,"")</f>
        <v/>
      </c>
      <c r="D5556">
        <f>IF(B5556,MOD(A5556-1,Days),"")</f>
        <v/>
      </c>
      <c r="E5556" s="16">
        <f>IF(B5556,StartDate+D5556,"")</f>
        <v/>
      </c>
      <c r="F5556">
        <f>IF(B5556,MAX(MOD(SIN(Seed*0.1373+C5556*12.9898+D5556*78.233)*43758.5453,1),1E-9),"")</f>
        <v/>
      </c>
      <c r="G5556">
        <f>IF(B5556,MOD(SIN(Seed*0.5917+C5556*39.3468+D5556*11.135)*24634.6345,1),"")</f>
        <v/>
      </c>
      <c r="H5556">
        <f>IF(B5556,SQRT(-2*LN(F5556))*COS(2*PI()*G5556),"")</f>
        <v/>
      </c>
      <c r="I5556">
        <f>IF(B5556,IF(D5556=0,H5556,Rho*I5555+SQRT(1-Rho^2)*H5556),"")</f>
        <v/>
      </c>
      <c r="J5556">
        <f>IF(B5556,IF(Dist="Normal",DistA+DistB*I5556,DistA+(DistB-DistA)*NORMSDIST(I5556)),"")</f>
        <v/>
      </c>
      <c r="K5556">
        <f>IF(B5556,INDEX(MineScale,C5556),"")</f>
        <v/>
      </c>
      <c r="L5556">
        <f>IF(B5556,INDEX(Dow,1,WEEKDAY(E5556,2)),"")</f>
        <v/>
      </c>
      <c r="M5556">
        <f>IF(B5556,(1+Trend)^D5556,"")</f>
        <v/>
      </c>
      <c r="N5556">
        <f>IF(B5556,EXP(SUMPRODUCT(LN(1+(EvEff-1)*INDEX(Affected,0,C5556)*EXP(-((E5556-EvCenter)^2)/(2*EvSigma^2))))),"")</f>
        <v/>
      </c>
      <c r="O5556">
        <f>IF(B5556,ROUND(MAX(0,J5556*K5556*L5556*M5556*N5556),2),"")</f>
        <v/>
      </c>
    </row>
    <row r="5557">
      <c r="A5557" t="n">
        <v>5556</v>
      </c>
      <c r="B5557">
        <f>A5557&lt;=MineCount*Days</f>
        <v/>
      </c>
      <c r="C5557">
        <f>IF(B5557,INT((A5557-1)/Days)+1,"")</f>
        <v/>
      </c>
      <c r="D5557">
        <f>IF(B5557,MOD(A5557-1,Days),"")</f>
        <v/>
      </c>
      <c r="E5557" s="16">
        <f>IF(B5557,StartDate+D5557,"")</f>
        <v/>
      </c>
      <c r="F5557">
        <f>IF(B5557,MAX(MOD(SIN(Seed*0.1373+C5557*12.9898+D5557*78.233)*43758.5453,1),1E-9),"")</f>
        <v/>
      </c>
      <c r="G5557">
        <f>IF(B5557,MOD(SIN(Seed*0.5917+C5557*39.3468+D5557*11.135)*24634.6345,1),"")</f>
        <v/>
      </c>
      <c r="H5557">
        <f>IF(B5557,SQRT(-2*LN(F5557))*COS(2*PI()*G5557),"")</f>
        <v/>
      </c>
      <c r="I5557">
        <f>IF(B5557,IF(D5557=0,H5557,Rho*I5556+SQRT(1-Rho^2)*H5557),"")</f>
        <v/>
      </c>
      <c r="J5557">
        <f>IF(B5557,IF(Dist="Normal",DistA+DistB*I5557,DistA+(DistB-DistA)*NORMSDIST(I5557)),"")</f>
        <v/>
      </c>
      <c r="K5557">
        <f>IF(B5557,INDEX(MineScale,C5557),"")</f>
        <v/>
      </c>
      <c r="L5557">
        <f>IF(B5557,INDEX(Dow,1,WEEKDAY(E5557,2)),"")</f>
        <v/>
      </c>
      <c r="M5557">
        <f>IF(B5557,(1+Trend)^D5557,"")</f>
        <v/>
      </c>
      <c r="N5557">
        <f>IF(B5557,EXP(SUMPRODUCT(LN(1+(EvEff-1)*INDEX(Affected,0,C5557)*EXP(-((E5557-EvCenter)^2)/(2*EvSigma^2))))),"")</f>
        <v/>
      </c>
      <c r="O5557">
        <f>IF(B5557,ROUND(MAX(0,J5557*K5557*L5557*M5557*N5557),2),"")</f>
        <v/>
      </c>
    </row>
    <row r="5558">
      <c r="A5558" t="n">
        <v>5557</v>
      </c>
      <c r="B5558">
        <f>A5558&lt;=MineCount*Days</f>
        <v/>
      </c>
      <c r="C5558">
        <f>IF(B5558,INT((A5558-1)/Days)+1,"")</f>
        <v/>
      </c>
      <c r="D5558">
        <f>IF(B5558,MOD(A5558-1,Days),"")</f>
        <v/>
      </c>
      <c r="E5558" s="16">
        <f>IF(B5558,StartDate+D5558,"")</f>
        <v/>
      </c>
      <c r="F5558">
        <f>IF(B5558,MAX(MOD(SIN(Seed*0.1373+C5558*12.9898+D5558*78.233)*43758.5453,1),1E-9),"")</f>
        <v/>
      </c>
      <c r="G5558">
        <f>IF(B5558,MOD(SIN(Seed*0.5917+C5558*39.3468+D5558*11.135)*24634.6345,1),"")</f>
        <v/>
      </c>
      <c r="H5558">
        <f>IF(B5558,SQRT(-2*LN(F5558))*COS(2*PI()*G5558),"")</f>
        <v/>
      </c>
      <c r="I5558">
        <f>IF(B5558,IF(D5558=0,H5558,Rho*I5557+SQRT(1-Rho^2)*H5558),"")</f>
        <v/>
      </c>
      <c r="J5558">
        <f>IF(B5558,IF(Dist="Normal",DistA+DistB*I5558,DistA+(DistB-DistA)*NORMSDIST(I5558)),"")</f>
        <v/>
      </c>
      <c r="K5558">
        <f>IF(B5558,INDEX(MineScale,C5558),"")</f>
        <v/>
      </c>
      <c r="L5558">
        <f>IF(B5558,INDEX(Dow,1,WEEKDAY(E5558,2)),"")</f>
        <v/>
      </c>
      <c r="M5558">
        <f>IF(B5558,(1+Trend)^D5558,"")</f>
        <v/>
      </c>
      <c r="N5558">
        <f>IF(B5558,EXP(SUMPRODUCT(LN(1+(EvEff-1)*INDEX(Affected,0,C5558)*EXP(-((E5558-EvCenter)^2)/(2*EvSigma^2))))),"")</f>
        <v/>
      </c>
      <c r="O5558">
        <f>IF(B5558,ROUND(MAX(0,J5558*K5558*L5558*M5558*N5558),2),"")</f>
        <v/>
      </c>
    </row>
    <row r="5559">
      <c r="A5559" t="n">
        <v>5558</v>
      </c>
      <c r="B5559">
        <f>A5559&lt;=MineCount*Days</f>
        <v/>
      </c>
      <c r="C5559">
        <f>IF(B5559,INT((A5559-1)/Days)+1,"")</f>
        <v/>
      </c>
      <c r="D5559">
        <f>IF(B5559,MOD(A5559-1,Days),"")</f>
        <v/>
      </c>
      <c r="E5559" s="16">
        <f>IF(B5559,StartDate+D5559,"")</f>
        <v/>
      </c>
      <c r="F5559">
        <f>IF(B5559,MAX(MOD(SIN(Seed*0.1373+C5559*12.9898+D5559*78.233)*43758.5453,1),1E-9),"")</f>
        <v/>
      </c>
      <c r="G5559">
        <f>IF(B5559,MOD(SIN(Seed*0.5917+C5559*39.3468+D5559*11.135)*24634.6345,1),"")</f>
        <v/>
      </c>
      <c r="H5559">
        <f>IF(B5559,SQRT(-2*LN(F5559))*COS(2*PI()*G5559),"")</f>
        <v/>
      </c>
      <c r="I5559">
        <f>IF(B5559,IF(D5559=0,H5559,Rho*I5558+SQRT(1-Rho^2)*H5559),"")</f>
        <v/>
      </c>
      <c r="J5559">
        <f>IF(B5559,IF(Dist="Normal",DistA+DistB*I5559,DistA+(DistB-DistA)*NORMSDIST(I5559)),"")</f>
        <v/>
      </c>
      <c r="K5559">
        <f>IF(B5559,INDEX(MineScale,C5559),"")</f>
        <v/>
      </c>
      <c r="L5559">
        <f>IF(B5559,INDEX(Dow,1,WEEKDAY(E5559,2)),"")</f>
        <v/>
      </c>
      <c r="M5559">
        <f>IF(B5559,(1+Trend)^D5559,"")</f>
        <v/>
      </c>
      <c r="N5559">
        <f>IF(B5559,EXP(SUMPRODUCT(LN(1+(EvEff-1)*INDEX(Affected,0,C5559)*EXP(-((E5559-EvCenter)^2)/(2*EvSigma^2))))),"")</f>
        <v/>
      </c>
      <c r="O5559">
        <f>IF(B5559,ROUND(MAX(0,J5559*K5559*L5559*M5559*N5559),2),"")</f>
        <v/>
      </c>
    </row>
    <row r="5560">
      <c r="A5560" t="n">
        <v>5559</v>
      </c>
      <c r="B5560">
        <f>A5560&lt;=MineCount*Days</f>
        <v/>
      </c>
      <c r="C5560">
        <f>IF(B5560,INT((A5560-1)/Days)+1,"")</f>
        <v/>
      </c>
      <c r="D5560">
        <f>IF(B5560,MOD(A5560-1,Days),"")</f>
        <v/>
      </c>
      <c r="E5560" s="16">
        <f>IF(B5560,StartDate+D5560,"")</f>
        <v/>
      </c>
      <c r="F5560">
        <f>IF(B5560,MAX(MOD(SIN(Seed*0.1373+C5560*12.9898+D5560*78.233)*43758.5453,1),1E-9),"")</f>
        <v/>
      </c>
      <c r="G5560">
        <f>IF(B5560,MOD(SIN(Seed*0.5917+C5560*39.3468+D5560*11.135)*24634.6345,1),"")</f>
        <v/>
      </c>
      <c r="H5560">
        <f>IF(B5560,SQRT(-2*LN(F5560))*COS(2*PI()*G5560),"")</f>
        <v/>
      </c>
      <c r="I5560">
        <f>IF(B5560,IF(D5560=0,H5560,Rho*I5559+SQRT(1-Rho^2)*H5560),"")</f>
        <v/>
      </c>
      <c r="J5560">
        <f>IF(B5560,IF(Dist="Normal",DistA+DistB*I5560,DistA+(DistB-DistA)*NORMSDIST(I5560)),"")</f>
        <v/>
      </c>
      <c r="K5560">
        <f>IF(B5560,INDEX(MineScale,C5560),"")</f>
        <v/>
      </c>
      <c r="L5560">
        <f>IF(B5560,INDEX(Dow,1,WEEKDAY(E5560,2)),"")</f>
        <v/>
      </c>
      <c r="M5560">
        <f>IF(B5560,(1+Trend)^D5560,"")</f>
        <v/>
      </c>
      <c r="N5560">
        <f>IF(B5560,EXP(SUMPRODUCT(LN(1+(EvEff-1)*INDEX(Affected,0,C5560)*EXP(-((E5560-EvCenter)^2)/(2*EvSigma^2))))),"")</f>
        <v/>
      </c>
      <c r="O5560">
        <f>IF(B5560,ROUND(MAX(0,J5560*K5560*L5560*M5560*N5560),2),"")</f>
        <v/>
      </c>
    </row>
    <row r="5561">
      <c r="A5561" t="n">
        <v>5560</v>
      </c>
      <c r="B5561">
        <f>A5561&lt;=MineCount*Days</f>
        <v/>
      </c>
      <c r="C5561">
        <f>IF(B5561,INT((A5561-1)/Days)+1,"")</f>
        <v/>
      </c>
      <c r="D5561">
        <f>IF(B5561,MOD(A5561-1,Days),"")</f>
        <v/>
      </c>
      <c r="E5561" s="16">
        <f>IF(B5561,StartDate+D5561,"")</f>
        <v/>
      </c>
      <c r="F5561">
        <f>IF(B5561,MAX(MOD(SIN(Seed*0.1373+C5561*12.9898+D5561*78.233)*43758.5453,1),1E-9),"")</f>
        <v/>
      </c>
      <c r="G5561">
        <f>IF(B5561,MOD(SIN(Seed*0.5917+C5561*39.3468+D5561*11.135)*24634.6345,1),"")</f>
        <v/>
      </c>
      <c r="H5561">
        <f>IF(B5561,SQRT(-2*LN(F5561))*COS(2*PI()*G5561),"")</f>
        <v/>
      </c>
      <c r="I5561">
        <f>IF(B5561,IF(D5561=0,H5561,Rho*I5560+SQRT(1-Rho^2)*H5561),"")</f>
        <v/>
      </c>
      <c r="J5561">
        <f>IF(B5561,IF(Dist="Normal",DistA+DistB*I5561,DistA+(DistB-DistA)*NORMSDIST(I5561)),"")</f>
        <v/>
      </c>
      <c r="K5561">
        <f>IF(B5561,INDEX(MineScale,C5561),"")</f>
        <v/>
      </c>
      <c r="L5561">
        <f>IF(B5561,INDEX(Dow,1,WEEKDAY(E5561,2)),"")</f>
        <v/>
      </c>
      <c r="M5561">
        <f>IF(B5561,(1+Trend)^D5561,"")</f>
        <v/>
      </c>
      <c r="N5561">
        <f>IF(B5561,EXP(SUMPRODUCT(LN(1+(EvEff-1)*INDEX(Affected,0,C5561)*EXP(-((E5561-EvCenter)^2)/(2*EvSigma^2))))),"")</f>
        <v/>
      </c>
      <c r="O5561">
        <f>IF(B5561,ROUND(MAX(0,J5561*K5561*L5561*M5561*N5561),2),"")</f>
        <v/>
      </c>
    </row>
    <row r="5562">
      <c r="A5562" t="n">
        <v>5561</v>
      </c>
      <c r="B5562">
        <f>A5562&lt;=MineCount*Days</f>
        <v/>
      </c>
      <c r="C5562">
        <f>IF(B5562,INT((A5562-1)/Days)+1,"")</f>
        <v/>
      </c>
      <c r="D5562">
        <f>IF(B5562,MOD(A5562-1,Days),"")</f>
        <v/>
      </c>
      <c r="E5562" s="16">
        <f>IF(B5562,StartDate+D5562,"")</f>
        <v/>
      </c>
      <c r="F5562">
        <f>IF(B5562,MAX(MOD(SIN(Seed*0.1373+C5562*12.9898+D5562*78.233)*43758.5453,1),1E-9),"")</f>
        <v/>
      </c>
      <c r="G5562">
        <f>IF(B5562,MOD(SIN(Seed*0.5917+C5562*39.3468+D5562*11.135)*24634.6345,1),"")</f>
        <v/>
      </c>
      <c r="H5562">
        <f>IF(B5562,SQRT(-2*LN(F5562))*COS(2*PI()*G5562),"")</f>
        <v/>
      </c>
      <c r="I5562">
        <f>IF(B5562,IF(D5562=0,H5562,Rho*I5561+SQRT(1-Rho^2)*H5562),"")</f>
        <v/>
      </c>
      <c r="J5562">
        <f>IF(B5562,IF(Dist="Normal",DistA+DistB*I5562,DistA+(DistB-DistA)*NORMSDIST(I5562)),"")</f>
        <v/>
      </c>
      <c r="K5562">
        <f>IF(B5562,INDEX(MineScale,C5562),"")</f>
        <v/>
      </c>
      <c r="L5562">
        <f>IF(B5562,INDEX(Dow,1,WEEKDAY(E5562,2)),"")</f>
        <v/>
      </c>
      <c r="M5562">
        <f>IF(B5562,(1+Trend)^D5562,"")</f>
        <v/>
      </c>
      <c r="N5562">
        <f>IF(B5562,EXP(SUMPRODUCT(LN(1+(EvEff-1)*INDEX(Affected,0,C5562)*EXP(-((E5562-EvCenter)^2)/(2*EvSigma^2))))),"")</f>
        <v/>
      </c>
      <c r="O5562">
        <f>IF(B5562,ROUND(MAX(0,J5562*K5562*L5562*M5562*N5562),2),"")</f>
        <v/>
      </c>
    </row>
    <row r="5563">
      <c r="A5563" t="n">
        <v>5562</v>
      </c>
      <c r="B5563">
        <f>A5563&lt;=MineCount*Days</f>
        <v/>
      </c>
      <c r="C5563">
        <f>IF(B5563,INT((A5563-1)/Days)+1,"")</f>
        <v/>
      </c>
      <c r="D5563">
        <f>IF(B5563,MOD(A5563-1,Days),"")</f>
        <v/>
      </c>
      <c r="E5563" s="16">
        <f>IF(B5563,StartDate+D5563,"")</f>
        <v/>
      </c>
      <c r="F5563">
        <f>IF(B5563,MAX(MOD(SIN(Seed*0.1373+C5563*12.9898+D5563*78.233)*43758.5453,1),1E-9),"")</f>
        <v/>
      </c>
      <c r="G5563">
        <f>IF(B5563,MOD(SIN(Seed*0.5917+C5563*39.3468+D5563*11.135)*24634.6345,1),"")</f>
        <v/>
      </c>
      <c r="H5563">
        <f>IF(B5563,SQRT(-2*LN(F5563))*COS(2*PI()*G5563),"")</f>
        <v/>
      </c>
      <c r="I5563">
        <f>IF(B5563,IF(D5563=0,H5563,Rho*I5562+SQRT(1-Rho^2)*H5563),"")</f>
        <v/>
      </c>
      <c r="J5563">
        <f>IF(B5563,IF(Dist="Normal",DistA+DistB*I5563,DistA+(DistB-DistA)*NORMSDIST(I5563)),"")</f>
        <v/>
      </c>
      <c r="K5563">
        <f>IF(B5563,INDEX(MineScale,C5563),"")</f>
        <v/>
      </c>
      <c r="L5563">
        <f>IF(B5563,INDEX(Dow,1,WEEKDAY(E5563,2)),"")</f>
        <v/>
      </c>
      <c r="M5563">
        <f>IF(B5563,(1+Trend)^D5563,"")</f>
        <v/>
      </c>
      <c r="N5563">
        <f>IF(B5563,EXP(SUMPRODUCT(LN(1+(EvEff-1)*INDEX(Affected,0,C5563)*EXP(-((E5563-EvCenter)^2)/(2*EvSigma^2))))),"")</f>
        <v/>
      </c>
      <c r="O5563">
        <f>IF(B5563,ROUND(MAX(0,J5563*K5563*L5563*M5563*N5563),2),"")</f>
        <v/>
      </c>
    </row>
    <row r="5564">
      <c r="A5564" t="n">
        <v>5563</v>
      </c>
      <c r="B5564">
        <f>A5564&lt;=MineCount*Days</f>
        <v/>
      </c>
      <c r="C5564">
        <f>IF(B5564,INT((A5564-1)/Days)+1,"")</f>
        <v/>
      </c>
      <c r="D5564">
        <f>IF(B5564,MOD(A5564-1,Days),"")</f>
        <v/>
      </c>
      <c r="E5564" s="16">
        <f>IF(B5564,StartDate+D5564,"")</f>
        <v/>
      </c>
      <c r="F5564">
        <f>IF(B5564,MAX(MOD(SIN(Seed*0.1373+C5564*12.9898+D5564*78.233)*43758.5453,1),1E-9),"")</f>
        <v/>
      </c>
      <c r="G5564">
        <f>IF(B5564,MOD(SIN(Seed*0.5917+C5564*39.3468+D5564*11.135)*24634.6345,1),"")</f>
        <v/>
      </c>
      <c r="H5564">
        <f>IF(B5564,SQRT(-2*LN(F5564))*COS(2*PI()*G5564),"")</f>
        <v/>
      </c>
      <c r="I5564">
        <f>IF(B5564,IF(D5564=0,H5564,Rho*I5563+SQRT(1-Rho^2)*H5564),"")</f>
        <v/>
      </c>
      <c r="J5564">
        <f>IF(B5564,IF(Dist="Normal",DistA+DistB*I5564,DistA+(DistB-DistA)*NORMSDIST(I5564)),"")</f>
        <v/>
      </c>
      <c r="K5564">
        <f>IF(B5564,INDEX(MineScale,C5564),"")</f>
        <v/>
      </c>
      <c r="L5564">
        <f>IF(B5564,INDEX(Dow,1,WEEKDAY(E5564,2)),"")</f>
        <v/>
      </c>
      <c r="M5564">
        <f>IF(B5564,(1+Trend)^D5564,"")</f>
        <v/>
      </c>
      <c r="N5564">
        <f>IF(B5564,EXP(SUMPRODUCT(LN(1+(EvEff-1)*INDEX(Affected,0,C5564)*EXP(-((E5564-EvCenter)^2)/(2*EvSigma^2))))),"")</f>
        <v/>
      </c>
      <c r="O5564">
        <f>IF(B5564,ROUND(MAX(0,J5564*K5564*L5564*M5564*N5564),2),"")</f>
        <v/>
      </c>
    </row>
    <row r="5565">
      <c r="A5565" t="n">
        <v>5564</v>
      </c>
      <c r="B5565">
        <f>A5565&lt;=MineCount*Days</f>
        <v/>
      </c>
      <c r="C5565">
        <f>IF(B5565,INT((A5565-1)/Days)+1,"")</f>
        <v/>
      </c>
      <c r="D5565">
        <f>IF(B5565,MOD(A5565-1,Days),"")</f>
        <v/>
      </c>
      <c r="E5565" s="16">
        <f>IF(B5565,StartDate+D5565,"")</f>
        <v/>
      </c>
      <c r="F5565">
        <f>IF(B5565,MAX(MOD(SIN(Seed*0.1373+C5565*12.9898+D5565*78.233)*43758.5453,1),1E-9),"")</f>
        <v/>
      </c>
      <c r="G5565">
        <f>IF(B5565,MOD(SIN(Seed*0.5917+C5565*39.3468+D5565*11.135)*24634.6345,1),"")</f>
        <v/>
      </c>
      <c r="H5565">
        <f>IF(B5565,SQRT(-2*LN(F5565))*COS(2*PI()*G5565),"")</f>
        <v/>
      </c>
      <c r="I5565">
        <f>IF(B5565,IF(D5565=0,H5565,Rho*I5564+SQRT(1-Rho^2)*H5565),"")</f>
        <v/>
      </c>
      <c r="J5565">
        <f>IF(B5565,IF(Dist="Normal",DistA+DistB*I5565,DistA+(DistB-DistA)*NORMSDIST(I5565)),"")</f>
        <v/>
      </c>
      <c r="K5565">
        <f>IF(B5565,INDEX(MineScale,C5565),"")</f>
        <v/>
      </c>
      <c r="L5565">
        <f>IF(B5565,INDEX(Dow,1,WEEKDAY(E5565,2)),"")</f>
        <v/>
      </c>
      <c r="M5565">
        <f>IF(B5565,(1+Trend)^D5565,"")</f>
        <v/>
      </c>
      <c r="N5565">
        <f>IF(B5565,EXP(SUMPRODUCT(LN(1+(EvEff-1)*INDEX(Affected,0,C5565)*EXP(-((E5565-EvCenter)^2)/(2*EvSigma^2))))),"")</f>
        <v/>
      </c>
      <c r="O5565">
        <f>IF(B5565,ROUND(MAX(0,J5565*K5565*L5565*M5565*N5565),2),"")</f>
        <v/>
      </c>
    </row>
    <row r="5566">
      <c r="A5566" t="n">
        <v>5565</v>
      </c>
      <c r="B5566">
        <f>A5566&lt;=MineCount*Days</f>
        <v/>
      </c>
      <c r="C5566">
        <f>IF(B5566,INT((A5566-1)/Days)+1,"")</f>
        <v/>
      </c>
      <c r="D5566">
        <f>IF(B5566,MOD(A5566-1,Days),"")</f>
        <v/>
      </c>
      <c r="E5566" s="16">
        <f>IF(B5566,StartDate+D5566,"")</f>
        <v/>
      </c>
      <c r="F5566">
        <f>IF(B5566,MAX(MOD(SIN(Seed*0.1373+C5566*12.9898+D5566*78.233)*43758.5453,1),1E-9),"")</f>
        <v/>
      </c>
      <c r="G5566">
        <f>IF(B5566,MOD(SIN(Seed*0.5917+C5566*39.3468+D5566*11.135)*24634.6345,1),"")</f>
        <v/>
      </c>
      <c r="H5566">
        <f>IF(B5566,SQRT(-2*LN(F5566))*COS(2*PI()*G5566),"")</f>
        <v/>
      </c>
      <c r="I5566">
        <f>IF(B5566,IF(D5566=0,H5566,Rho*I5565+SQRT(1-Rho^2)*H5566),"")</f>
        <v/>
      </c>
      <c r="J5566">
        <f>IF(B5566,IF(Dist="Normal",DistA+DistB*I5566,DistA+(DistB-DistA)*NORMSDIST(I5566)),"")</f>
        <v/>
      </c>
      <c r="K5566">
        <f>IF(B5566,INDEX(MineScale,C5566),"")</f>
        <v/>
      </c>
      <c r="L5566">
        <f>IF(B5566,INDEX(Dow,1,WEEKDAY(E5566,2)),"")</f>
        <v/>
      </c>
      <c r="M5566">
        <f>IF(B5566,(1+Trend)^D5566,"")</f>
        <v/>
      </c>
      <c r="N5566">
        <f>IF(B5566,EXP(SUMPRODUCT(LN(1+(EvEff-1)*INDEX(Affected,0,C5566)*EXP(-((E5566-EvCenter)^2)/(2*EvSigma^2))))),"")</f>
        <v/>
      </c>
      <c r="O5566">
        <f>IF(B5566,ROUND(MAX(0,J5566*K5566*L5566*M5566*N5566),2),"")</f>
        <v/>
      </c>
    </row>
    <row r="5567">
      <c r="A5567" t="n">
        <v>5566</v>
      </c>
      <c r="B5567">
        <f>A5567&lt;=MineCount*Days</f>
        <v/>
      </c>
      <c r="C5567">
        <f>IF(B5567,INT((A5567-1)/Days)+1,"")</f>
        <v/>
      </c>
      <c r="D5567">
        <f>IF(B5567,MOD(A5567-1,Days),"")</f>
        <v/>
      </c>
      <c r="E5567" s="16">
        <f>IF(B5567,StartDate+D5567,"")</f>
        <v/>
      </c>
      <c r="F5567">
        <f>IF(B5567,MAX(MOD(SIN(Seed*0.1373+C5567*12.9898+D5567*78.233)*43758.5453,1),1E-9),"")</f>
        <v/>
      </c>
      <c r="G5567">
        <f>IF(B5567,MOD(SIN(Seed*0.5917+C5567*39.3468+D5567*11.135)*24634.6345,1),"")</f>
        <v/>
      </c>
      <c r="H5567">
        <f>IF(B5567,SQRT(-2*LN(F5567))*COS(2*PI()*G5567),"")</f>
        <v/>
      </c>
      <c r="I5567">
        <f>IF(B5567,IF(D5567=0,H5567,Rho*I5566+SQRT(1-Rho^2)*H5567),"")</f>
        <v/>
      </c>
      <c r="J5567">
        <f>IF(B5567,IF(Dist="Normal",DistA+DistB*I5567,DistA+(DistB-DistA)*NORMSDIST(I5567)),"")</f>
        <v/>
      </c>
      <c r="K5567">
        <f>IF(B5567,INDEX(MineScale,C5567),"")</f>
        <v/>
      </c>
      <c r="L5567">
        <f>IF(B5567,INDEX(Dow,1,WEEKDAY(E5567,2)),"")</f>
        <v/>
      </c>
      <c r="M5567">
        <f>IF(B5567,(1+Trend)^D5567,"")</f>
        <v/>
      </c>
      <c r="N5567">
        <f>IF(B5567,EXP(SUMPRODUCT(LN(1+(EvEff-1)*INDEX(Affected,0,C5567)*EXP(-((E5567-EvCenter)^2)/(2*EvSigma^2))))),"")</f>
        <v/>
      </c>
      <c r="O5567">
        <f>IF(B5567,ROUND(MAX(0,J5567*K5567*L5567*M5567*N5567),2),"")</f>
        <v/>
      </c>
    </row>
    <row r="5568">
      <c r="A5568" t="n">
        <v>5567</v>
      </c>
      <c r="B5568">
        <f>A5568&lt;=MineCount*Days</f>
        <v/>
      </c>
      <c r="C5568">
        <f>IF(B5568,INT((A5568-1)/Days)+1,"")</f>
        <v/>
      </c>
      <c r="D5568">
        <f>IF(B5568,MOD(A5568-1,Days),"")</f>
        <v/>
      </c>
      <c r="E5568" s="16">
        <f>IF(B5568,StartDate+D5568,"")</f>
        <v/>
      </c>
      <c r="F5568">
        <f>IF(B5568,MAX(MOD(SIN(Seed*0.1373+C5568*12.9898+D5568*78.233)*43758.5453,1),1E-9),"")</f>
        <v/>
      </c>
      <c r="G5568">
        <f>IF(B5568,MOD(SIN(Seed*0.5917+C5568*39.3468+D5568*11.135)*24634.6345,1),"")</f>
        <v/>
      </c>
      <c r="H5568">
        <f>IF(B5568,SQRT(-2*LN(F5568))*COS(2*PI()*G5568),"")</f>
        <v/>
      </c>
      <c r="I5568">
        <f>IF(B5568,IF(D5568=0,H5568,Rho*I5567+SQRT(1-Rho^2)*H5568),"")</f>
        <v/>
      </c>
      <c r="J5568">
        <f>IF(B5568,IF(Dist="Normal",DistA+DistB*I5568,DistA+(DistB-DistA)*NORMSDIST(I5568)),"")</f>
        <v/>
      </c>
      <c r="K5568">
        <f>IF(B5568,INDEX(MineScale,C5568),"")</f>
        <v/>
      </c>
      <c r="L5568">
        <f>IF(B5568,INDEX(Dow,1,WEEKDAY(E5568,2)),"")</f>
        <v/>
      </c>
      <c r="M5568">
        <f>IF(B5568,(1+Trend)^D5568,"")</f>
        <v/>
      </c>
      <c r="N5568">
        <f>IF(B5568,EXP(SUMPRODUCT(LN(1+(EvEff-1)*INDEX(Affected,0,C5568)*EXP(-((E5568-EvCenter)^2)/(2*EvSigma^2))))),"")</f>
        <v/>
      </c>
      <c r="O5568">
        <f>IF(B5568,ROUND(MAX(0,J5568*K5568*L5568*M5568*N5568),2),"")</f>
        <v/>
      </c>
    </row>
    <row r="5569">
      <c r="A5569" t="n">
        <v>5568</v>
      </c>
      <c r="B5569">
        <f>A5569&lt;=MineCount*Days</f>
        <v/>
      </c>
      <c r="C5569">
        <f>IF(B5569,INT((A5569-1)/Days)+1,"")</f>
        <v/>
      </c>
      <c r="D5569">
        <f>IF(B5569,MOD(A5569-1,Days),"")</f>
        <v/>
      </c>
      <c r="E5569" s="16">
        <f>IF(B5569,StartDate+D5569,"")</f>
        <v/>
      </c>
      <c r="F5569">
        <f>IF(B5569,MAX(MOD(SIN(Seed*0.1373+C5569*12.9898+D5569*78.233)*43758.5453,1),1E-9),"")</f>
        <v/>
      </c>
      <c r="G5569">
        <f>IF(B5569,MOD(SIN(Seed*0.5917+C5569*39.3468+D5569*11.135)*24634.6345,1),"")</f>
        <v/>
      </c>
      <c r="H5569">
        <f>IF(B5569,SQRT(-2*LN(F5569))*COS(2*PI()*G5569),"")</f>
        <v/>
      </c>
      <c r="I5569">
        <f>IF(B5569,IF(D5569=0,H5569,Rho*I5568+SQRT(1-Rho^2)*H5569),"")</f>
        <v/>
      </c>
      <c r="J5569">
        <f>IF(B5569,IF(Dist="Normal",DistA+DistB*I5569,DistA+(DistB-DistA)*NORMSDIST(I5569)),"")</f>
        <v/>
      </c>
      <c r="K5569">
        <f>IF(B5569,INDEX(MineScale,C5569),"")</f>
        <v/>
      </c>
      <c r="L5569">
        <f>IF(B5569,INDEX(Dow,1,WEEKDAY(E5569,2)),"")</f>
        <v/>
      </c>
      <c r="M5569">
        <f>IF(B5569,(1+Trend)^D5569,"")</f>
        <v/>
      </c>
      <c r="N5569">
        <f>IF(B5569,EXP(SUMPRODUCT(LN(1+(EvEff-1)*INDEX(Affected,0,C5569)*EXP(-((E5569-EvCenter)^2)/(2*EvSigma^2))))),"")</f>
        <v/>
      </c>
      <c r="O5569">
        <f>IF(B5569,ROUND(MAX(0,J5569*K5569*L5569*M5569*N5569),2),"")</f>
        <v/>
      </c>
    </row>
    <row r="5570">
      <c r="A5570" t="n">
        <v>5569</v>
      </c>
      <c r="B5570">
        <f>A5570&lt;=MineCount*Days</f>
        <v/>
      </c>
      <c r="C5570">
        <f>IF(B5570,INT((A5570-1)/Days)+1,"")</f>
        <v/>
      </c>
      <c r="D5570">
        <f>IF(B5570,MOD(A5570-1,Days),"")</f>
        <v/>
      </c>
      <c r="E5570" s="16">
        <f>IF(B5570,StartDate+D5570,"")</f>
        <v/>
      </c>
      <c r="F5570">
        <f>IF(B5570,MAX(MOD(SIN(Seed*0.1373+C5570*12.9898+D5570*78.233)*43758.5453,1),1E-9),"")</f>
        <v/>
      </c>
      <c r="G5570">
        <f>IF(B5570,MOD(SIN(Seed*0.5917+C5570*39.3468+D5570*11.135)*24634.6345,1),"")</f>
        <v/>
      </c>
      <c r="H5570">
        <f>IF(B5570,SQRT(-2*LN(F5570))*COS(2*PI()*G5570),"")</f>
        <v/>
      </c>
      <c r="I5570">
        <f>IF(B5570,IF(D5570=0,H5570,Rho*I5569+SQRT(1-Rho^2)*H5570),"")</f>
        <v/>
      </c>
      <c r="J5570">
        <f>IF(B5570,IF(Dist="Normal",DistA+DistB*I5570,DistA+(DistB-DistA)*NORMSDIST(I5570)),"")</f>
        <v/>
      </c>
      <c r="K5570">
        <f>IF(B5570,INDEX(MineScale,C5570),"")</f>
        <v/>
      </c>
      <c r="L5570">
        <f>IF(B5570,INDEX(Dow,1,WEEKDAY(E5570,2)),"")</f>
        <v/>
      </c>
      <c r="M5570">
        <f>IF(B5570,(1+Trend)^D5570,"")</f>
        <v/>
      </c>
      <c r="N5570">
        <f>IF(B5570,EXP(SUMPRODUCT(LN(1+(EvEff-1)*INDEX(Affected,0,C5570)*EXP(-((E5570-EvCenter)^2)/(2*EvSigma^2))))),"")</f>
        <v/>
      </c>
      <c r="O5570">
        <f>IF(B5570,ROUND(MAX(0,J5570*K5570*L5570*M5570*N5570),2),"")</f>
        <v/>
      </c>
    </row>
    <row r="5571">
      <c r="A5571" t="n">
        <v>5570</v>
      </c>
      <c r="B5571">
        <f>A5571&lt;=MineCount*Days</f>
        <v/>
      </c>
      <c r="C5571">
        <f>IF(B5571,INT((A5571-1)/Days)+1,"")</f>
        <v/>
      </c>
      <c r="D5571">
        <f>IF(B5571,MOD(A5571-1,Days),"")</f>
        <v/>
      </c>
      <c r="E5571" s="16">
        <f>IF(B5571,StartDate+D5571,"")</f>
        <v/>
      </c>
      <c r="F5571">
        <f>IF(B5571,MAX(MOD(SIN(Seed*0.1373+C5571*12.9898+D5571*78.233)*43758.5453,1),1E-9),"")</f>
        <v/>
      </c>
      <c r="G5571">
        <f>IF(B5571,MOD(SIN(Seed*0.5917+C5571*39.3468+D5571*11.135)*24634.6345,1),"")</f>
        <v/>
      </c>
      <c r="H5571">
        <f>IF(B5571,SQRT(-2*LN(F5571))*COS(2*PI()*G5571),"")</f>
        <v/>
      </c>
      <c r="I5571">
        <f>IF(B5571,IF(D5571=0,H5571,Rho*I5570+SQRT(1-Rho^2)*H5571),"")</f>
        <v/>
      </c>
      <c r="J5571">
        <f>IF(B5571,IF(Dist="Normal",DistA+DistB*I5571,DistA+(DistB-DistA)*NORMSDIST(I5571)),"")</f>
        <v/>
      </c>
      <c r="K5571">
        <f>IF(B5571,INDEX(MineScale,C5571),"")</f>
        <v/>
      </c>
      <c r="L5571">
        <f>IF(B5571,INDEX(Dow,1,WEEKDAY(E5571,2)),"")</f>
        <v/>
      </c>
      <c r="M5571">
        <f>IF(B5571,(1+Trend)^D5571,"")</f>
        <v/>
      </c>
      <c r="N5571">
        <f>IF(B5571,EXP(SUMPRODUCT(LN(1+(EvEff-1)*INDEX(Affected,0,C5571)*EXP(-((E5571-EvCenter)^2)/(2*EvSigma^2))))),"")</f>
        <v/>
      </c>
      <c r="O5571">
        <f>IF(B5571,ROUND(MAX(0,J5571*K5571*L5571*M5571*N5571),2),"")</f>
        <v/>
      </c>
    </row>
    <row r="5572">
      <c r="A5572" t="n">
        <v>5571</v>
      </c>
      <c r="B5572">
        <f>A5572&lt;=MineCount*Days</f>
        <v/>
      </c>
      <c r="C5572">
        <f>IF(B5572,INT((A5572-1)/Days)+1,"")</f>
        <v/>
      </c>
      <c r="D5572">
        <f>IF(B5572,MOD(A5572-1,Days),"")</f>
        <v/>
      </c>
      <c r="E5572" s="16">
        <f>IF(B5572,StartDate+D5572,"")</f>
        <v/>
      </c>
      <c r="F5572">
        <f>IF(B5572,MAX(MOD(SIN(Seed*0.1373+C5572*12.9898+D5572*78.233)*43758.5453,1),1E-9),"")</f>
        <v/>
      </c>
      <c r="G5572">
        <f>IF(B5572,MOD(SIN(Seed*0.5917+C5572*39.3468+D5572*11.135)*24634.6345,1),"")</f>
        <v/>
      </c>
      <c r="H5572">
        <f>IF(B5572,SQRT(-2*LN(F5572))*COS(2*PI()*G5572),"")</f>
        <v/>
      </c>
      <c r="I5572">
        <f>IF(B5572,IF(D5572=0,H5572,Rho*I5571+SQRT(1-Rho^2)*H5572),"")</f>
        <v/>
      </c>
      <c r="J5572">
        <f>IF(B5572,IF(Dist="Normal",DistA+DistB*I5572,DistA+(DistB-DistA)*NORMSDIST(I5572)),"")</f>
        <v/>
      </c>
      <c r="K5572">
        <f>IF(B5572,INDEX(MineScale,C5572),"")</f>
        <v/>
      </c>
      <c r="L5572">
        <f>IF(B5572,INDEX(Dow,1,WEEKDAY(E5572,2)),"")</f>
        <v/>
      </c>
      <c r="M5572">
        <f>IF(B5572,(1+Trend)^D5572,"")</f>
        <v/>
      </c>
      <c r="N5572">
        <f>IF(B5572,EXP(SUMPRODUCT(LN(1+(EvEff-1)*INDEX(Affected,0,C5572)*EXP(-((E5572-EvCenter)^2)/(2*EvSigma^2))))),"")</f>
        <v/>
      </c>
      <c r="O5572">
        <f>IF(B5572,ROUND(MAX(0,J5572*K5572*L5572*M5572*N5572),2),"")</f>
        <v/>
      </c>
    </row>
    <row r="5573">
      <c r="A5573" t="n">
        <v>5572</v>
      </c>
      <c r="B5573">
        <f>A5573&lt;=MineCount*Days</f>
        <v/>
      </c>
      <c r="C5573">
        <f>IF(B5573,INT((A5573-1)/Days)+1,"")</f>
        <v/>
      </c>
      <c r="D5573">
        <f>IF(B5573,MOD(A5573-1,Days),"")</f>
        <v/>
      </c>
      <c r="E5573" s="16">
        <f>IF(B5573,StartDate+D5573,"")</f>
        <v/>
      </c>
      <c r="F5573">
        <f>IF(B5573,MAX(MOD(SIN(Seed*0.1373+C5573*12.9898+D5573*78.233)*43758.5453,1),1E-9),"")</f>
        <v/>
      </c>
      <c r="G5573">
        <f>IF(B5573,MOD(SIN(Seed*0.5917+C5573*39.3468+D5573*11.135)*24634.6345,1),"")</f>
        <v/>
      </c>
      <c r="H5573">
        <f>IF(B5573,SQRT(-2*LN(F5573))*COS(2*PI()*G5573),"")</f>
        <v/>
      </c>
      <c r="I5573">
        <f>IF(B5573,IF(D5573=0,H5573,Rho*I5572+SQRT(1-Rho^2)*H5573),"")</f>
        <v/>
      </c>
      <c r="J5573">
        <f>IF(B5573,IF(Dist="Normal",DistA+DistB*I5573,DistA+(DistB-DistA)*NORMSDIST(I5573)),"")</f>
        <v/>
      </c>
      <c r="K5573">
        <f>IF(B5573,INDEX(MineScale,C5573),"")</f>
        <v/>
      </c>
      <c r="L5573">
        <f>IF(B5573,INDEX(Dow,1,WEEKDAY(E5573,2)),"")</f>
        <v/>
      </c>
      <c r="M5573">
        <f>IF(B5573,(1+Trend)^D5573,"")</f>
        <v/>
      </c>
      <c r="N5573">
        <f>IF(B5573,EXP(SUMPRODUCT(LN(1+(EvEff-1)*INDEX(Affected,0,C5573)*EXP(-((E5573-EvCenter)^2)/(2*EvSigma^2))))),"")</f>
        <v/>
      </c>
      <c r="O5573">
        <f>IF(B5573,ROUND(MAX(0,J5573*K5573*L5573*M5573*N5573),2),"")</f>
        <v/>
      </c>
    </row>
    <row r="5574">
      <c r="A5574" t="n">
        <v>5573</v>
      </c>
      <c r="B5574">
        <f>A5574&lt;=MineCount*Days</f>
        <v/>
      </c>
      <c r="C5574">
        <f>IF(B5574,INT((A5574-1)/Days)+1,"")</f>
        <v/>
      </c>
      <c r="D5574">
        <f>IF(B5574,MOD(A5574-1,Days),"")</f>
        <v/>
      </c>
      <c r="E5574" s="16">
        <f>IF(B5574,StartDate+D5574,"")</f>
        <v/>
      </c>
      <c r="F5574">
        <f>IF(B5574,MAX(MOD(SIN(Seed*0.1373+C5574*12.9898+D5574*78.233)*43758.5453,1),1E-9),"")</f>
        <v/>
      </c>
      <c r="G5574">
        <f>IF(B5574,MOD(SIN(Seed*0.5917+C5574*39.3468+D5574*11.135)*24634.6345,1),"")</f>
        <v/>
      </c>
      <c r="H5574">
        <f>IF(B5574,SQRT(-2*LN(F5574))*COS(2*PI()*G5574),"")</f>
        <v/>
      </c>
      <c r="I5574">
        <f>IF(B5574,IF(D5574=0,H5574,Rho*I5573+SQRT(1-Rho^2)*H5574),"")</f>
        <v/>
      </c>
      <c r="J5574">
        <f>IF(B5574,IF(Dist="Normal",DistA+DistB*I5574,DistA+(DistB-DistA)*NORMSDIST(I5574)),"")</f>
        <v/>
      </c>
      <c r="K5574">
        <f>IF(B5574,INDEX(MineScale,C5574),"")</f>
        <v/>
      </c>
      <c r="L5574">
        <f>IF(B5574,INDEX(Dow,1,WEEKDAY(E5574,2)),"")</f>
        <v/>
      </c>
      <c r="M5574">
        <f>IF(B5574,(1+Trend)^D5574,"")</f>
        <v/>
      </c>
      <c r="N5574">
        <f>IF(B5574,EXP(SUMPRODUCT(LN(1+(EvEff-1)*INDEX(Affected,0,C5574)*EXP(-((E5574-EvCenter)^2)/(2*EvSigma^2))))),"")</f>
        <v/>
      </c>
      <c r="O5574">
        <f>IF(B5574,ROUND(MAX(0,J5574*K5574*L5574*M5574*N5574),2),"")</f>
        <v/>
      </c>
    </row>
    <row r="5575">
      <c r="A5575" t="n">
        <v>5574</v>
      </c>
      <c r="B5575">
        <f>A5575&lt;=MineCount*Days</f>
        <v/>
      </c>
      <c r="C5575">
        <f>IF(B5575,INT((A5575-1)/Days)+1,"")</f>
        <v/>
      </c>
      <c r="D5575">
        <f>IF(B5575,MOD(A5575-1,Days),"")</f>
        <v/>
      </c>
      <c r="E5575" s="16">
        <f>IF(B5575,StartDate+D5575,"")</f>
        <v/>
      </c>
      <c r="F5575">
        <f>IF(B5575,MAX(MOD(SIN(Seed*0.1373+C5575*12.9898+D5575*78.233)*43758.5453,1),1E-9),"")</f>
        <v/>
      </c>
      <c r="G5575">
        <f>IF(B5575,MOD(SIN(Seed*0.5917+C5575*39.3468+D5575*11.135)*24634.6345,1),"")</f>
        <v/>
      </c>
      <c r="H5575">
        <f>IF(B5575,SQRT(-2*LN(F5575))*COS(2*PI()*G5575),"")</f>
        <v/>
      </c>
      <c r="I5575">
        <f>IF(B5575,IF(D5575=0,H5575,Rho*I5574+SQRT(1-Rho^2)*H5575),"")</f>
        <v/>
      </c>
      <c r="J5575">
        <f>IF(B5575,IF(Dist="Normal",DistA+DistB*I5575,DistA+(DistB-DistA)*NORMSDIST(I5575)),"")</f>
        <v/>
      </c>
      <c r="K5575">
        <f>IF(B5575,INDEX(MineScale,C5575),"")</f>
        <v/>
      </c>
      <c r="L5575">
        <f>IF(B5575,INDEX(Dow,1,WEEKDAY(E5575,2)),"")</f>
        <v/>
      </c>
      <c r="M5575">
        <f>IF(B5575,(1+Trend)^D5575,"")</f>
        <v/>
      </c>
      <c r="N5575">
        <f>IF(B5575,EXP(SUMPRODUCT(LN(1+(EvEff-1)*INDEX(Affected,0,C5575)*EXP(-((E5575-EvCenter)^2)/(2*EvSigma^2))))),"")</f>
        <v/>
      </c>
      <c r="O5575">
        <f>IF(B5575,ROUND(MAX(0,J5575*K5575*L5575*M5575*N5575),2),"")</f>
        <v/>
      </c>
    </row>
    <row r="5576">
      <c r="A5576" t="n">
        <v>5575</v>
      </c>
      <c r="B5576">
        <f>A5576&lt;=MineCount*Days</f>
        <v/>
      </c>
      <c r="C5576">
        <f>IF(B5576,INT((A5576-1)/Days)+1,"")</f>
        <v/>
      </c>
      <c r="D5576">
        <f>IF(B5576,MOD(A5576-1,Days),"")</f>
        <v/>
      </c>
      <c r="E5576" s="16">
        <f>IF(B5576,StartDate+D5576,"")</f>
        <v/>
      </c>
      <c r="F5576">
        <f>IF(B5576,MAX(MOD(SIN(Seed*0.1373+C5576*12.9898+D5576*78.233)*43758.5453,1),1E-9),"")</f>
        <v/>
      </c>
      <c r="G5576">
        <f>IF(B5576,MOD(SIN(Seed*0.5917+C5576*39.3468+D5576*11.135)*24634.6345,1),"")</f>
        <v/>
      </c>
      <c r="H5576">
        <f>IF(B5576,SQRT(-2*LN(F5576))*COS(2*PI()*G5576),"")</f>
        <v/>
      </c>
      <c r="I5576">
        <f>IF(B5576,IF(D5576=0,H5576,Rho*I5575+SQRT(1-Rho^2)*H5576),"")</f>
        <v/>
      </c>
      <c r="J5576">
        <f>IF(B5576,IF(Dist="Normal",DistA+DistB*I5576,DistA+(DistB-DistA)*NORMSDIST(I5576)),"")</f>
        <v/>
      </c>
      <c r="K5576">
        <f>IF(B5576,INDEX(MineScale,C5576),"")</f>
        <v/>
      </c>
      <c r="L5576">
        <f>IF(B5576,INDEX(Dow,1,WEEKDAY(E5576,2)),"")</f>
        <v/>
      </c>
      <c r="M5576">
        <f>IF(B5576,(1+Trend)^D5576,"")</f>
        <v/>
      </c>
      <c r="N5576">
        <f>IF(B5576,EXP(SUMPRODUCT(LN(1+(EvEff-1)*INDEX(Affected,0,C5576)*EXP(-((E5576-EvCenter)^2)/(2*EvSigma^2))))),"")</f>
        <v/>
      </c>
      <c r="O5576">
        <f>IF(B5576,ROUND(MAX(0,J5576*K5576*L5576*M5576*N5576),2),"")</f>
        <v/>
      </c>
    </row>
    <row r="5577">
      <c r="A5577" t="n">
        <v>5576</v>
      </c>
      <c r="B5577">
        <f>A5577&lt;=MineCount*Days</f>
        <v/>
      </c>
      <c r="C5577">
        <f>IF(B5577,INT((A5577-1)/Days)+1,"")</f>
        <v/>
      </c>
      <c r="D5577">
        <f>IF(B5577,MOD(A5577-1,Days),"")</f>
        <v/>
      </c>
      <c r="E5577" s="16">
        <f>IF(B5577,StartDate+D5577,"")</f>
        <v/>
      </c>
      <c r="F5577">
        <f>IF(B5577,MAX(MOD(SIN(Seed*0.1373+C5577*12.9898+D5577*78.233)*43758.5453,1),1E-9),"")</f>
        <v/>
      </c>
      <c r="G5577">
        <f>IF(B5577,MOD(SIN(Seed*0.5917+C5577*39.3468+D5577*11.135)*24634.6345,1),"")</f>
        <v/>
      </c>
      <c r="H5577">
        <f>IF(B5577,SQRT(-2*LN(F5577))*COS(2*PI()*G5577),"")</f>
        <v/>
      </c>
      <c r="I5577">
        <f>IF(B5577,IF(D5577=0,H5577,Rho*I5576+SQRT(1-Rho^2)*H5577),"")</f>
        <v/>
      </c>
      <c r="J5577">
        <f>IF(B5577,IF(Dist="Normal",DistA+DistB*I5577,DistA+(DistB-DistA)*NORMSDIST(I5577)),"")</f>
        <v/>
      </c>
      <c r="K5577">
        <f>IF(B5577,INDEX(MineScale,C5577),"")</f>
        <v/>
      </c>
      <c r="L5577">
        <f>IF(B5577,INDEX(Dow,1,WEEKDAY(E5577,2)),"")</f>
        <v/>
      </c>
      <c r="M5577">
        <f>IF(B5577,(1+Trend)^D5577,"")</f>
        <v/>
      </c>
      <c r="N5577">
        <f>IF(B5577,EXP(SUMPRODUCT(LN(1+(EvEff-1)*INDEX(Affected,0,C5577)*EXP(-((E5577-EvCenter)^2)/(2*EvSigma^2))))),"")</f>
        <v/>
      </c>
      <c r="O5577">
        <f>IF(B5577,ROUND(MAX(0,J5577*K5577*L5577*M5577*N5577),2),"")</f>
        <v/>
      </c>
    </row>
    <row r="5578">
      <c r="A5578" t="n">
        <v>5577</v>
      </c>
      <c r="B5578">
        <f>A5578&lt;=MineCount*Days</f>
        <v/>
      </c>
      <c r="C5578">
        <f>IF(B5578,INT((A5578-1)/Days)+1,"")</f>
        <v/>
      </c>
      <c r="D5578">
        <f>IF(B5578,MOD(A5578-1,Days),"")</f>
        <v/>
      </c>
      <c r="E5578" s="16">
        <f>IF(B5578,StartDate+D5578,"")</f>
        <v/>
      </c>
      <c r="F5578">
        <f>IF(B5578,MAX(MOD(SIN(Seed*0.1373+C5578*12.9898+D5578*78.233)*43758.5453,1),1E-9),"")</f>
        <v/>
      </c>
      <c r="G5578">
        <f>IF(B5578,MOD(SIN(Seed*0.5917+C5578*39.3468+D5578*11.135)*24634.6345,1),"")</f>
        <v/>
      </c>
      <c r="H5578">
        <f>IF(B5578,SQRT(-2*LN(F5578))*COS(2*PI()*G5578),"")</f>
        <v/>
      </c>
      <c r="I5578">
        <f>IF(B5578,IF(D5578=0,H5578,Rho*I5577+SQRT(1-Rho^2)*H5578),"")</f>
        <v/>
      </c>
      <c r="J5578">
        <f>IF(B5578,IF(Dist="Normal",DistA+DistB*I5578,DistA+(DistB-DistA)*NORMSDIST(I5578)),"")</f>
        <v/>
      </c>
      <c r="K5578">
        <f>IF(B5578,INDEX(MineScale,C5578),"")</f>
        <v/>
      </c>
      <c r="L5578">
        <f>IF(B5578,INDEX(Dow,1,WEEKDAY(E5578,2)),"")</f>
        <v/>
      </c>
      <c r="M5578">
        <f>IF(B5578,(1+Trend)^D5578,"")</f>
        <v/>
      </c>
      <c r="N5578">
        <f>IF(B5578,EXP(SUMPRODUCT(LN(1+(EvEff-1)*INDEX(Affected,0,C5578)*EXP(-((E5578-EvCenter)^2)/(2*EvSigma^2))))),"")</f>
        <v/>
      </c>
      <c r="O5578">
        <f>IF(B5578,ROUND(MAX(0,J5578*K5578*L5578*M5578*N5578),2),"")</f>
        <v/>
      </c>
    </row>
    <row r="5579">
      <c r="A5579" t="n">
        <v>5578</v>
      </c>
      <c r="B5579">
        <f>A5579&lt;=MineCount*Days</f>
        <v/>
      </c>
      <c r="C5579">
        <f>IF(B5579,INT((A5579-1)/Days)+1,"")</f>
        <v/>
      </c>
      <c r="D5579">
        <f>IF(B5579,MOD(A5579-1,Days),"")</f>
        <v/>
      </c>
      <c r="E5579" s="16">
        <f>IF(B5579,StartDate+D5579,"")</f>
        <v/>
      </c>
      <c r="F5579">
        <f>IF(B5579,MAX(MOD(SIN(Seed*0.1373+C5579*12.9898+D5579*78.233)*43758.5453,1),1E-9),"")</f>
        <v/>
      </c>
      <c r="G5579">
        <f>IF(B5579,MOD(SIN(Seed*0.5917+C5579*39.3468+D5579*11.135)*24634.6345,1),"")</f>
        <v/>
      </c>
      <c r="H5579">
        <f>IF(B5579,SQRT(-2*LN(F5579))*COS(2*PI()*G5579),"")</f>
        <v/>
      </c>
      <c r="I5579">
        <f>IF(B5579,IF(D5579=0,H5579,Rho*I5578+SQRT(1-Rho^2)*H5579),"")</f>
        <v/>
      </c>
      <c r="J5579">
        <f>IF(B5579,IF(Dist="Normal",DistA+DistB*I5579,DistA+(DistB-DistA)*NORMSDIST(I5579)),"")</f>
        <v/>
      </c>
      <c r="K5579">
        <f>IF(B5579,INDEX(MineScale,C5579),"")</f>
        <v/>
      </c>
      <c r="L5579">
        <f>IF(B5579,INDEX(Dow,1,WEEKDAY(E5579,2)),"")</f>
        <v/>
      </c>
      <c r="M5579">
        <f>IF(B5579,(1+Trend)^D5579,"")</f>
        <v/>
      </c>
      <c r="N5579">
        <f>IF(B5579,EXP(SUMPRODUCT(LN(1+(EvEff-1)*INDEX(Affected,0,C5579)*EXP(-((E5579-EvCenter)^2)/(2*EvSigma^2))))),"")</f>
        <v/>
      </c>
      <c r="O5579">
        <f>IF(B5579,ROUND(MAX(0,J5579*K5579*L5579*M5579*N5579),2),"")</f>
        <v/>
      </c>
    </row>
    <row r="5580">
      <c r="A5580" t="n">
        <v>5579</v>
      </c>
      <c r="B5580">
        <f>A5580&lt;=MineCount*Days</f>
        <v/>
      </c>
      <c r="C5580">
        <f>IF(B5580,INT((A5580-1)/Days)+1,"")</f>
        <v/>
      </c>
      <c r="D5580">
        <f>IF(B5580,MOD(A5580-1,Days),"")</f>
        <v/>
      </c>
      <c r="E5580" s="16">
        <f>IF(B5580,StartDate+D5580,"")</f>
        <v/>
      </c>
      <c r="F5580">
        <f>IF(B5580,MAX(MOD(SIN(Seed*0.1373+C5580*12.9898+D5580*78.233)*43758.5453,1),1E-9),"")</f>
        <v/>
      </c>
      <c r="G5580">
        <f>IF(B5580,MOD(SIN(Seed*0.5917+C5580*39.3468+D5580*11.135)*24634.6345,1),"")</f>
        <v/>
      </c>
      <c r="H5580">
        <f>IF(B5580,SQRT(-2*LN(F5580))*COS(2*PI()*G5580),"")</f>
        <v/>
      </c>
      <c r="I5580">
        <f>IF(B5580,IF(D5580=0,H5580,Rho*I5579+SQRT(1-Rho^2)*H5580),"")</f>
        <v/>
      </c>
      <c r="J5580">
        <f>IF(B5580,IF(Dist="Normal",DistA+DistB*I5580,DistA+(DistB-DistA)*NORMSDIST(I5580)),"")</f>
        <v/>
      </c>
      <c r="K5580">
        <f>IF(B5580,INDEX(MineScale,C5580),"")</f>
        <v/>
      </c>
      <c r="L5580">
        <f>IF(B5580,INDEX(Dow,1,WEEKDAY(E5580,2)),"")</f>
        <v/>
      </c>
      <c r="M5580">
        <f>IF(B5580,(1+Trend)^D5580,"")</f>
        <v/>
      </c>
      <c r="N5580">
        <f>IF(B5580,EXP(SUMPRODUCT(LN(1+(EvEff-1)*INDEX(Affected,0,C5580)*EXP(-((E5580-EvCenter)^2)/(2*EvSigma^2))))),"")</f>
        <v/>
      </c>
      <c r="O5580">
        <f>IF(B5580,ROUND(MAX(0,J5580*K5580*L5580*M5580*N5580),2),"")</f>
        <v/>
      </c>
    </row>
    <row r="5581">
      <c r="A5581" t="n">
        <v>5580</v>
      </c>
      <c r="B5581">
        <f>A5581&lt;=MineCount*Days</f>
        <v/>
      </c>
      <c r="C5581">
        <f>IF(B5581,INT((A5581-1)/Days)+1,"")</f>
        <v/>
      </c>
      <c r="D5581">
        <f>IF(B5581,MOD(A5581-1,Days),"")</f>
        <v/>
      </c>
      <c r="E5581" s="16">
        <f>IF(B5581,StartDate+D5581,"")</f>
        <v/>
      </c>
      <c r="F5581">
        <f>IF(B5581,MAX(MOD(SIN(Seed*0.1373+C5581*12.9898+D5581*78.233)*43758.5453,1),1E-9),"")</f>
        <v/>
      </c>
      <c r="G5581">
        <f>IF(B5581,MOD(SIN(Seed*0.5917+C5581*39.3468+D5581*11.135)*24634.6345,1),"")</f>
        <v/>
      </c>
      <c r="H5581">
        <f>IF(B5581,SQRT(-2*LN(F5581))*COS(2*PI()*G5581),"")</f>
        <v/>
      </c>
      <c r="I5581">
        <f>IF(B5581,IF(D5581=0,H5581,Rho*I5580+SQRT(1-Rho^2)*H5581),"")</f>
        <v/>
      </c>
      <c r="J5581">
        <f>IF(B5581,IF(Dist="Normal",DistA+DistB*I5581,DistA+(DistB-DistA)*NORMSDIST(I5581)),"")</f>
        <v/>
      </c>
      <c r="K5581">
        <f>IF(B5581,INDEX(MineScale,C5581),"")</f>
        <v/>
      </c>
      <c r="L5581">
        <f>IF(B5581,INDEX(Dow,1,WEEKDAY(E5581,2)),"")</f>
        <v/>
      </c>
      <c r="M5581">
        <f>IF(B5581,(1+Trend)^D5581,"")</f>
        <v/>
      </c>
      <c r="N5581">
        <f>IF(B5581,EXP(SUMPRODUCT(LN(1+(EvEff-1)*INDEX(Affected,0,C5581)*EXP(-((E5581-EvCenter)^2)/(2*EvSigma^2))))),"")</f>
        <v/>
      </c>
      <c r="O5581">
        <f>IF(B5581,ROUND(MAX(0,J5581*K5581*L5581*M5581*N5581),2),"")</f>
        <v/>
      </c>
    </row>
    <row r="5582">
      <c r="A5582" t="n">
        <v>5581</v>
      </c>
      <c r="B5582">
        <f>A5582&lt;=MineCount*Days</f>
        <v/>
      </c>
      <c r="C5582">
        <f>IF(B5582,INT((A5582-1)/Days)+1,"")</f>
        <v/>
      </c>
      <c r="D5582">
        <f>IF(B5582,MOD(A5582-1,Days),"")</f>
        <v/>
      </c>
      <c r="E5582" s="16">
        <f>IF(B5582,StartDate+D5582,"")</f>
        <v/>
      </c>
      <c r="F5582">
        <f>IF(B5582,MAX(MOD(SIN(Seed*0.1373+C5582*12.9898+D5582*78.233)*43758.5453,1),1E-9),"")</f>
        <v/>
      </c>
      <c r="G5582">
        <f>IF(B5582,MOD(SIN(Seed*0.5917+C5582*39.3468+D5582*11.135)*24634.6345,1),"")</f>
        <v/>
      </c>
      <c r="H5582">
        <f>IF(B5582,SQRT(-2*LN(F5582))*COS(2*PI()*G5582),"")</f>
        <v/>
      </c>
      <c r="I5582">
        <f>IF(B5582,IF(D5582=0,H5582,Rho*I5581+SQRT(1-Rho^2)*H5582),"")</f>
        <v/>
      </c>
      <c r="J5582">
        <f>IF(B5582,IF(Dist="Normal",DistA+DistB*I5582,DistA+(DistB-DistA)*NORMSDIST(I5582)),"")</f>
        <v/>
      </c>
      <c r="K5582">
        <f>IF(B5582,INDEX(MineScale,C5582),"")</f>
        <v/>
      </c>
      <c r="L5582">
        <f>IF(B5582,INDEX(Dow,1,WEEKDAY(E5582,2)),"")</f>
        <v/>
      </c>
      <c r="M5582">
        <f>IF(B5582,(1+Trend)^D5582,"")</f>
        <v/>
      </c>
      <c r="N5582">
        <f>IF(B5582,EXP(SUMPRODUCT(LN(1+(EvEff-1)*INDEX(Affected,0,C5582)*EXP(-((E5582-EvCenter)^2)/(2*EvSigma^2))))),"")</f>
        <v/>
      </c>
      <c r="O5582">
        <f>IF(B5582,ROUND(MAX(0,J5582*K5582*L5582*M5582*N5582),2),"")</f>
        <v/>
      </c>
    </row>
    <row r="5583">
      <c r="A5583" t="n">
        <v>5582</v>
      </c>
      <c r="B5583">
        <f>A5583&lt;=MineCount*Days</f>
        <v/>
      </c>
      <c r="C5583">
        <f>IF(B5583,INT((A5583-1)/Days)+1,"")</f>
        <v/>
      </c>
      <c r="D5583">
        <f>IF(B5583,MOD(A5583-1,Days),"")</f>
        <v/>
      </c>
      <c r="E5583" s="16">
        <f>IF(B5583,StartDate+D5583,"")</f>
        <v/>
      </c>
      <c r="F5583">
        <f>IF(B5583,MAX(MOD(SIN(Seed*0.1373+C5583*12.9898+D5583*78.233)*43758.5453,1),1E-9),"")</f>
        <v/>
      </c>
      <c r="G5583">
        <f>IF(B5583,MOD(SIN(Seed*0.5917+C5583*39.3468+D5583*11.135)*24634.6345,1),"")</f>
        <v/>
      </c>
      <c r="H5583">
        <f>IF(B5583,SQRT(-2*LN(F5583))*COS(2*PI()*G5583),"")</f>
        <v/>
      </c>
      <c r="I5583">
        <f>IF(B5583,IF(D5583=0,H5583,Rho*I5582+SQRT(1-Rho^2)*H5583),"")</f>
        <v/>
      </c>
      <c r="J5583">
        <f>IF(B5583,IF(Dist="Normal",DistA+DistB*I5583,DistA+(DistB-DistA)*NORMSDIST(I5583)),"")</f>
        <v/>
      </c>
      <c r="K5583">
        <f>IF(B5583,INDEX(MineScale,C5583),"")</f>
        <v/>
      </c>
      <c r="L5583">
        <f>IF(B5583,INDEX(Dow,1,WEEKDAY(E5583,2)),"")</f>
        <v/>
      </c>
      <c r="M5583">
        <f>IF(B5583,(1+Trend)^D5583,"")</f>
        <v/>
      </c>
      <c r="N5583">
        <f>IF(B5583,EXP(SUMPRODUCT(LN(1+(EvEff-1)*INDEX(Affected,0,C5583)*EXP(-((E5583-EvCenter)^2)/(2*EvSigma^2))))),"")</f>
        <v/>
      </c>
      <c r="O5583">
        <f>IF(B5583,ROUND(MAX(0,J5583*K5583*L5583*M5583*N5583),2),"")</f>
        <v/>
      </c>
    </row>
    <row r="5584">
      <c r="A5584" t="n">
        <v>5583</v>
      </c>
      <c r="B5584">
        <f>A5584&lt;=MineCount*Days</f>
        <v/>
      </c>
      <c r="C5584">
        <f>IF(B5584,INT((A5584-1)/Days)+1,"")</f>
        <v/>
      </c>
      <c r="D5584">
        <f>IF(B5584,MOD(A5584-1,Days),"")</f>
        <v/>
      </c>
      <c r="E5584" s="16">
        <f>IF(B5584,StartDate+D5584,"")</f>
        <v/>
      </c>
      <c r="F5584">
        <f>IF(B5584,MAX(MOD(SIN(Seed*0.1373+C5584*12.9898+D5584*78.233)*43758.5453,1),1E-9),"")</f>
        <v/>
      </c>
      <c r="G5584">
        <f>IF(B5584,MOD(SIN(Seed*0.5917+C5584*39.3468+D5584*11.135)*24634.6345,1),"")</f>
        <v/>
      </c>
      <c r="H5584">
        <f>IF(B5584,SQRT(-2*LN(F5584))*COS(2*PI()*G5584),"")</f>
        <v/>
      </c>
      <c r="I5584">
        <f>IF(B5584,IF(D5584=0,H5584,Rho*I5583+SQRT(1-Rho^2)*H5584),"")</f>
        <v/>
      </c>
      <c r="J5584">
        <f>IF(B5584,IF(Dist="Normal",DistA+DistB*I5584,DistA+(DistB-DistA)*NORMSDIST(I5584)),"")</f>
        <v/>
      </c>
      <c r="K5584">
        <f>IF(B5584,INDEX(MineScale,C5584),"")</f>
        <v/>
      </c>
      <c r="L5584">
        <f>IF(B5584,INDEX(Dow,1,WEEKDAY(E5584,2)),"")</f>
        <v/>
      </c>
      <c r="M5584">
        <f>IF(B5584,(1+Trend)^D5584,"")</f>
        <v/>
      </c>
      <c r="N5584">
        <f>IF(B5584,EXP(SUMPRODUCT(LN(1+(EvEff-1)*INDEX(Affected,0,C5584)*EXP(-((E5584-EvCenter)^2)/(2*EvSigma^2))))),"")</f>
        <v/>
      </c>
      <c r="O5584">
        <f>IF(B5584,ROUND(MAX(0,J5584*K5584*L5584*M5584*N5584),2),"")</f>
        <v/>
      </c>
    </row>
    <row r="5585">
      <c r="A5585" t="n">
        <v>5584</v>
      </c>
      <c r="B5585">
        <f>A5585&lt;=MineCount*Days</f>
        <v/>
      </c>
      <c r="C5585">
        <f>IF(B5585,INT((A5585-1)/Days)+1,"")</f>
        <v/>
      </c>
      <c r="D5585">
        <f>IF(B5585,MOD(A5585-1,Days),"")</f>
        <v/>
      </c>
      <c r="E5585" s="16">
        <f>IF(B5585,StartDate+D5585,"")</f>
        <v/>
      </c>
      <c r="F5585">
        <f>IF(B5585,MAX(MOD(SIN(Seed*0.1373+C5585*12.9898+D5585*78.233)*43758.5453,1),1E-9),"")</f>
        <v/>
      </c>
      <c r="G5585">
        <f>IF(B5585,MOD(SIN(Seed*0.5917+C5585*39.3468+D5585*11.135)*24634.6345,1),"")</f>
        <v/>
      </c>
      <c r="H5585">
        <f>IF(B5585,SQRT(-2*LN(F5585))*COS(2*PI()*G5585),"")</f>
        <v/>
      </c>
      <c r="I5585">
        <f>IF(B5585,IF(D5585=0,H5585,Rho*I5584+SQRT(1-Rho^2)*H5585),"")</f>
        <v/>
      </c>
      <c r="J5585">
        <f>IF(B5585,IF(Dist="Normal",DistA+DistB*I5585,DistA+(DistB-DistA)*NORMSDIST(I5585)),"")</f>
        <v/>
      </c>
      <c r="K5585">
        <f>IF(B5585,INDEX(MineScale,C5585),"")</f>
        <v/>
      </c>
      <c r="L5585">
        <f>IF(B5585,INDEX(Dow,1,WEEKDAY(E5585,2)),"")</f>
        <v/>
      </c>
      <c r="M5585">
        <f>IF(B5585,(1+Trend)^D5585,"")</f>
        <v/>
      </c>
      <c r="N5585">
        <f>IF(B5585,EXP(SUMPRODUCT(LN(1+(EvEff-1)*INDEX(Affected,0,C5585)*EXP(-((E5585-EvCenter)^2)/(2*EvSigma^2))))),"")</f>
        <v/>
      </c>
      <c r="O5585">
        <f>IF(B5585,ROUND(MAX(0,J5585*K5585*L5585*M5585*N5585),2),"")</f>
        <v/>
      </c>
    </row>
    <row r="5586">
      <c r="A5586" t="n">
        <v>5585</v>
      </c>
      <c r="B5586">
        <f>A5586&lt;=MineCount*Days</f>
        <v/>
      </c>
      <c r="C5586">
        <f>IF(B5586,INT((A5586-1)/Days)+1,"")</f>
        <v/>
      </c>
      <c r="D5586">
        <f>IF(B5586,MOD(A5586-1,Days),"")</f>
        <v/>
      </c>
      <c r="E5586" s="16">
        <f>IF(B5586,StartDate+D5586,"")</f>
        <v/>
      </c>
      <c r="F5586">
        <f>IF(B5586,MAX(MOD(SIN(Seed*0.1373+C5586*12.9898+D5586*78.233)*43758.5453,1),1E-9),"")</f>
        <v/>
      </c>
      <c r="G5586">
        <f>IF(B5586,MOD(SIN(Seed*0.5917+C5586*39.3468+D5586*11.135)*24634.6345,1),"")</f>
        <v/>
      </c>
      <c r="H5586">
        <f>IF(B5586,SQRT(-2*LN(F5586))*COS(2*PI()*G5586),"")</f>
        <v/>
      </c>
      <c r="I5586">
        <f>IF(B5586,IF(D5586=0,H5586,Rho*I5585+SQRT(1-Rho^2)*H5586),"")</f>
        <v/>
      </c>
      <c r="J5586">
        <f>IF(B5586,IF(Dist="Normal",DistA+DistB*I5586,DistA+(DistB-DistA)*NORMSDIST(I5586)),"")</f>
        <v/>
      </c>
      <c r="K5586">
        <f>IF(B5586,INDEX(MineScale,C5586),"")</f>
        <v/>
      </c>
      <c r="L5586">
        <f>IF(B5586,INDEX(Dow,1,WEEKDAY(E5586,2)),"")</f>
        <v/>
      </c>
      <c r="M5586">
        <f>IF(B5586,(1+Trend)^D5586,"")</f>
        <v/>
      </c>
      <c r="N5586">
        <f>IF(B5586,EXP(SUMPRODUCT(LN(1+(EvEff-1)*INDEX(Affected,0,C5586)*EXP(-((E5586-EvCenter)^2)/(2*EvSigma^2))))),"")</f>
        <v/>
      </c>
      <c r="O5586">
        <f>IF(B5586,ROUND(MAX(0,J5586*K5586*L5586*M5586*N5586),2),"")</f>
        <v/>
      </c>
    </row>
    <row r="5587">
      <c r="A5587" t="n">
        <v>5586</v>
      </c>
      <c r="B5587">
        <f>A5587&lt;=MineCount*Days</f>
        <v/>
      </c>
      <c r="C5587">
        <f>IF(B5587,INT((A5587-1)/Days)+1,"")</f>
        <v/>
      </c>
      <c r="D5587">
        <f>IF(B5587,MOD(A5587-1,Days),"")</f>
        <v/>
      </c>
      <c r="E5587" s="16">
        <f>IF(B5587,StartDate+D5587,"")</f>
        <v/>
      </c>
      <c r="F5587">
        <f>IF(B5587,MAX(MOD(SIN(Seed*0.1373+C5587*12.9898+D5587*78.233)*43758.5453,1),1E-9),"")</f>
        <v/>
      </c>
      <c r="G5587">
        <f>IF(B5587,MOD(SIN(Seed*0.5917+C5587*39.3468+D5587*11.135)*24634.6345,1),"")</f>
        <v/>
      </c>
      <c r="H5587">
        <f>IF(B5587,SQRT(-2*LN(F5587))*COS(2*PI()*G5587),"")</f>
        <v/>
      </c>
      <c r="I5587">
        <f>IF(B5587,IF(D5587=0,H5587,Rho*I5586+SQRT(1-Rho^2)*H5587),"")</f>
        <v/>
      </c>
      <c r="J5587">
        <f>IF(B5587,IF(Dist="Normal",DistA+DistB*I5587,DistA+(DistB-DistA)*NORMSDIST(I5587)),"")</f>
        <v/>
      </c>
      <c r="K5587">
        <f>IF(B5587,INDEX(MineScale,C5587),"")</f>
        <v/>
      </c>
      <c r="L5587">
        <f>IF(B5587,INDEX(Dow,1,WEEKDAY(E5587,2)),"")</f>
        <v/>
      </c>
      <c r="M5587">
        <f>IF(B5587,(1+Trend)^D5587,"")</f>
        <v/>
      </c>
      <c r="N5587">
        <f>IF(B5587,EXP(SUMPRODUCT(LN(1+(EvEff-1)*INDEX(Affected,0,C5587)*EXP(-((E5587-EvCenter)^2)/(2*EvSigma^2))))),"")</f>
        <v/>
      </c>
      <c r="O5587">
        <f>IF(B5587,ROUND(MAX(0,J5587*K5587*L5587*M5587*N5587),2),"")</f>
        <v/>
      </c>
    </row>
    <row r="5588">
      <c r="A5588" t="n">
        <v>5587</v>
      </c>
      <c r="B5588">
        <f>A5588&lt;=MineCount*Days</f>
        <v/>
      </c>
      <c r="C5588">
        <f>IF(B5588,INT((A5588-1)/Days)+1,"")</f>
        <v/>
      </c>
      <c r="D5588">
        <f>IF(B5588,MOD(A5588-1,Days),"")</f>
        <v/>
      </c>
      <c r="E5588" s="16">
        <f>IF(B5588,StartDate+D5588,"")</f>
        <v/>
      </c>
      <c r="F5588">
        <f>IF(B5588,MAX(MOD(SIN(Seed*0.1373+C5588*12.9898+D5588*78.233)*43758.5453,1),1E-9),"")</f>
        <v/>
      </c>
      <c r="G5588">
        <f>IF(B5588,MOD(SIN(Seed*0.5917+C5588*39.3468+D5588*11.135)*24634.6345,1),"")</f>
        <v/>
      </c>
      <c r="H5588">
        <f>IF(B5588,SQRT(-2*LN(F5588))*COS(2*PI()*G5588),"")</f>
        <v/>
      </c>
      <c r="I5588">
        <f>IF(B5588,IF(D5588=0,H5588,Rho*I5587+SQRT(1-Rho^2)*H5588),"")</f>
        <v/>
      </c>
      <c r="J5588">
        <f>IF(B5588,IF(Dist="Normal",DistA+DistB*I5588,DistA+(DistB-DistA)*NORMSDIST(I5588)),"")</f>
        <v/>
      </c>
      <c r="K5588">
        <f>IF(B5588,INDEX(MineScale,C5588),"")</f>
        <v/>
      </c>
      <c r="L5588">
        <f>IF(B5588,INDEX(Dow,1,WEEKDAY(E5588,2)),"")</f>
        <v/>
      </c>
      <c r="M5588">
        <f>IF(B5588,(1+Trend)^D5588,"")</f>
        <v/>
      </c>
      <c r="N5588">
        <f>IF(B5588,EXP(SUMPRODUCT(LN(1+(EvEff-1)*INDEX(Affected,0,C5588)*EXP(-((E5588-EvCenter)^2)/(2*EvSigma^2))))),"")</f>
        <v/>
      </c>
      <c r="O5588">
        <f>IF(B5588,ROUND(MAX(0,J5588*K5588*L5588*M5588*N5588),2),"")</f>
        <v/>
      </c>
    </row>
    <row r="5589">
      <c r="A5589" t="n">
        <v>5588</v>
      </c>
      <c r="B5589">
        <f>A5589&lt;=MineCount*Days</f>
        <v/>
      </c>
      <c r="C5589">
        <f>IF(B5589,INT((A5589-1)/Days)+1,"")</f>
        <v/>
      </c>
      <c r="D5589">
        <f>IF(B5589,MOD(A5589-1,Days),"")</f>
        <v/>
      </c>
      <c r="E5589" s="16">
        <f>IF(B5589,StartDate+D5589,"")</f>
        <v/>
      </c>
      <c r="F5589">
        <f>IF(B5589,MAX(MOD(SIN(Seed*0.1373+C5589*12.9898+D5589*78.233)*43758.5453,1),1E-9),"")</f>
        <v/>
      </c>
      <c r="G5589">
        <f>IF(B5589,MOD(SIN(Seed*0.5917+C5589*39.3468+D5589*11.135)*24634.6345,1),"")</f>
        <v/>
      </c>
      <c r="H5589">
        <f>IF(B5589,SQRT(-2*LN(F5589))*COS(2*PI()*G5589),"")</f>
        <v/>
      </c>
      <c r="I5589">
        <f>IF(B5589,IF(D5589=0,H5589,Rho*I5588+SQRT(1-Rho^2)*H5589),"")</f>
        <v/>
      </c>
      <c r="J5589">
        <f>IF(B5589,IF(Dist="Normal",DistA+DistB*I5589,DistA+(DistB-DistA)*NORMSDIST(I5589)),"")</f>
        <v/>
      </c>
      <c r="K5589">
        <f>IF(B5589,INDEX(MineScale,C5589),"")</f>
        <v/>
      </c>
      <c r="L5589">
        <f>IF(B5589,INDEX(Dow,1,WEEKDAY(E5589,2)),"")</f>
        <v/>
      </c>
      <c r="M5589">
        <f>IF(B5589,(1+Trend)^D5589,"")</f>
        <v/>
      </c>
      <c r="N5589">
        <f>IF(B5589,EXP(SUMPRODUCT(LN(1+(EvEff-1)*INDEX(Affected,0,C5589)*EXP(-((E5589-EvCenter)^2)/(2*EvSigma^2))))),"")</f>
        <v/>
      </c>
      <c r="O5589">
        <f>IF(B5589,ROUND(MAX(0,J5589*K5589*L5589*M5589*N5589),2),"")</f>
        <v/>
      </c>
    </row>
    <row r="5590">
      <c r="A5590" t="n">
        <v>5589</v>
      </c>
      <c r="B5590">
        <f>A5590&lt;=MineCount*Days</f>
        <v/>
      </c>
      <c r="C5590">
        <f>IF(B5590,INT((A5590-1)/Days)+1,"")</f>
        <v/>
      </c>
      <c r="D5590">
        <f>IF(B5590,MOD(A5590-1,Days),"")</f>
        <v/>
      </c>
      <c r="E5590" s="16">
        <f>IF(B5590,StartDate+D5590,"")</f>
        <v/>
      </c>
      <c r="F5590">
        <f>IF(B5590,MAX(MOD(SIN(Seed*0.1373+C5590*12.9898+D5590*78.233)*43758.5453,1),1E-9),"")</f>
        <v/>
      </c>
      <c r="G5590">
        <f>IF(B5590,MOD(SIN(Seed*0.5917+C5590*39.3468+D5590*11.135)*24634.6345,1),"")</f>
        <v/>
      </c>
      <c r="H5590">
        <f>IF(B5590,SQRT(-2*LN(F5590))*COS(2*PI()*G5590),"")</f>
        <v/>
      </c>
      <c r="I5590">
        <f>IF(B5590,IF(D5590=0,H5590,Rho*I5589+SQRT(1-Rho^2)*H5590),"")</f>
        <v/>
      </c>
      <c r="J5590">
        <f>IF(B5590,IF(Dist="Normal",DistA+DistB*I5590,DistA+(DistB-DistA)*NORMSDIST(I5590)),"")</f>
        <v/>
      </c>
      <c r="K5590">
        <f>IF(B5590,INDEX(MineScale,C5590),"")</f>
        <v/>
      </c>
      <c r="L5590">
        <f>IF(B5590,INDEX(Dow,1,WEEKDAY(E5590,2)),"")</f>
        <v/>
      </c>
      <c r="M5590">
        <f>IF(B5590,(1+Trend)^D5590,"")</f>
        <v/>
      </c>
      <c r="N5590">
        <f>IF(B5590,EXP(SUMPRODUCT(LN(1+(EvEff-1)*INDEX(Affected,0,C5590)*EXP(-((E5590-EvCenter)^2)/(2*EvSigma^2))))),"")</f>
        <v/>
      </c>
      <c r="O5590">
        <f>IF(B5590,ROUND(MAX(0,J5590*K5590*L5590*M5590*N5590),2),"")</f>
        <v/>
      </c>
    </row>
    <row r="5591">
      <c r="A5591" t="n">
        <v>5590</v>
      </c>
      <c r="B5591">
        <f>A5591&lt;=MineCount*Days</f>
        <v/>
      </c>
      <c r="C5591">
        <f>IF(B5591,INT((A5591-1)/Days)+1,"")</f>
        <v/>
      </c>
      <c r="D5591">
        <f>IF(B5591,MOD(A5591-1,Days),"")</f>
        <v/>
      </c>
      <c r="E5591" s="16">
        <f>IF(B5591,StartDate+D5591,"")</f>
        <v/>
      </c>
      <c r="F5591">
        <f>IF(B5591,MAX(MOD(SIN(Seed*0.1373+C5591*12.9898+D5591*78.233)*43758.5453,1),1E-9),"")</f>
        <v/>
      </c>
      <c r="G5591">
        <f>IF(B5591,MOD(SIN(Seed*0.5917+C5591*39.3468+D5591*11.135)*24634.6345,1),"")</f>
        <v/>
      </c>
      <c r="H5591">
        <f>IF(B5591,SQRT(-2*LN(F5591))*COS(2*PI()*G5591),"")</f>
        <v/>
      </c>
      <c r="I5591">
        <f>IF(B5591,IF(D5591=0,H5591,Rho*I5590+SQRT(1-Rho^2)*H5591),"")</f>
        <v/>
      </c>
      <c r="J5591">
        <f>IF(B5591,IF(Dist="Normal",DistA+DistB*I5591,DistA+(DistB-DistA)*NORMSDIST(I5591)),"")</f>
        <v/>
      </c>
      <c r="K5591">
        <f>IF(B5591,INDEX(MineScale,C5591),"")</f>
        <v/>
      </c>
      <c r="L5591">
        <f>IF(B5591,INDEX(Dow,1,WEEKDAY(E5591,2)),"")</f>
        <v/>
      </c>
      <c r="M5591">
        <f>IF(B5591,(1+Trend)^D5591,"")</f>
        <v/>
      </c>
      <c r="N5591">
        <f>IF(B5591,EXP(SUMPRODUCT(LN(1+(EvEff-1)*INDEX(Affected,0,C5591)*EXP(-((E5591-EvCenter)^2)/(2*EvSigma^2))))),"")</f>
        <v/>
      </c>
      <c r="O5591">
        <f>IF(B5591,ROUND(MAX(0,J5591*K5591*L5591*M5591*N5591),2),"")</f>
        <v/>
      </c>
    </row>
    <row r="5592">
      <c r="A5592" t="n">
        <v>5591</v>
      </c>
      <c r="B5592">
        <f>A5592&lt;=MineCount*Days</f>
        <v/>
      </c>
      <c r="C5592">
        <f>IF(B5592,INT((A5592-1)/Days)+1,"")</f>
        <v/>
      </c>
      <c r="D5592">
        <f>IF(B5592,MOD(A5592-1,Days),"")</f>
        <v/>
      </c>
      <c r="E5592" s="16">
        <f>IF(B5592,StartDate+D5592,"")</f>
        <v/>
      </c>
      <c r="F5592">
        <f>IF(B5592,MAX(MOD(SIN(Seed*0.1373+C5592*12.9898+D5592*78.233)*43758.5453,1),1E-9),"")</f>
        <v/>
      </c>
      <c r="G5592">
        <f>IF(B5592,MOD(SIN(Seed*0.5917+C5592*39.3468+D5592*11.135)*24634.6345,1),"")</f>
        <v/>
      </c>
      <c r="H5592">
        <f>IF(B5592,SQRT(-2*LN(F5592))*COS(2*PI()*G5592),"")</f>
        <v/>
      </c>
      <c r="I5592">
        <f>IF(B5592,IF(D5592=0,H5592,Rho*I5591+SQRT(1-Rho^2)*H5592),"")</f>
        <v/>
      </c>
      <c r="J5592">
        <f>IF(B5592,IF(Dist="Normal",DistA+DistB*I5592,DistA+(DistB-DistA)*NORMSDIST(I5592)),"")</f>
        <v/>
      </c>
      <c r="K5592">
        <f>IF(B5592,INDEX(MineScale,C5592),"")</f>
        <v/>
      </c>
      <c r="L5592">
        <f>IF(B5592,INDEX(Dow,1,WEEKDAY(E5592,2)),"")</f>
        <v/>
      </c>
      <c r="M5592">
        <f>IF(B5592,(1+Trend)^D5592,"")</f>
        <v/>
      </c>
      <c r="N5592">
        <f>IF(B5592,EXP(SUMPRODUCT(LN(1+(EvEff-1)*INDEX(Affected,0,C5592)*EXP(-((E5592-EvCenter)^2)/(2*EvSigma^2))))),"")</f>
        <v/>
      </c>
      <c r="O5592">
        <f>IF(B5592,ROUND(MAX(0,J5592*K5592*L5592*M5592*N5592),2),"")</f>
        <v/>
      </c>
    </row>
    <row r="5593">
      <c r="A5593" t="n">
        <v>5592</v>
      </c>
      <c r="B5593">
        <f>A5593&lt;=MineCount*Days</f>
        <v/>
      </c>
      <c r="C5593">
        <f>IF(B5593,INT((A5593-1)/Days)+1,"")</f>
        <v/>
      </c>
      <c r="D5593">
        <f>IF(B5593,MOD(A5593-1,Days),"")</f>
        <v/>
      </c>
      <c r="E5593" s="16">
        <f>IF(B5593,StartDate+D5593,"")</f>
        <v/>
      </c>
      <c r="F5593">
        <f>IF(B5593,MAX(MOD(SIN(Seed*0.1373+C5593*12.9898+D5593*78.233)*43758.5453,1),1E-9),"")</f>
        <v/>
      </c>
      <c r="G5593">
        <f>IF(B5593,MOD(SIN(Seed*0.5917+C5593*39.3468+D5593*11.135)*24634.6345,1),"")</f>
        <v/>
      </c>
      <c r="H5593">
        <f>IF(B5593,SQRT(-2*LN(F5593))*COS(2*PI()*G5593),"")</f>
        <v/>
      </c>
      <c r="I5593">
        <f>IF(B5593,IF(D5593=0,H5593,Rho*I5592+SQRT(1-Rho^2)*H5593),"")</f>
        <v/>
      </c>
      <c r="J5593">
        <f>IF(B5593,IF(Dist="Normal",DistA+DistB*I5593,DistA+(DistB-DistA)*NORMSDIST(I5593)),"")</f>
        <v/>
      </c>
      <c r="K5593">
        <f>IF(B5593,INDEX(MineScale,C5593),"")</f>
        <v/>
      </c>
      <c r="L5593">
        <f>IF(B5593,INDEX(Dow,1,WEEKDAY(E5593,2)),"")</f>
        <v/>
      </c>
      <c r="M5593">
        <f>IF(B5593,(1+Trend)^D5593,"")</f>
        <v/>
      </c>
      <c r="N5593">
        <f>IF(B5593,EXP(SUMPRODUCT(LN(1+(EvEff-1)*INDEX(Affected,0,C5593)*EXP(-((E5593-EvCenter)^2)/(2*EvSigma^2))))),"")</f>
        <v/>
      </c>
      <c r="O5593">
        <f>IF(B5593,ROUND(MAX(0,J5593*K5593*L5593*M5593*N5593),2),"")</f>
        <v/>
      </c>
    </row>
    <row r="5594">
      <c r="A5594" t="n">
        <v>5593</v>
      </c>
      <c r="B5594">
        <f>A5594&lt;=MineCount*Days</f>
        <v/>
      </c>
      <c r="C5594">
        <f>IF(B5594,INT((A5594-1)/Days)+1,"")</f>
        <v/>
      </c>
      <c r="D5594">
        <f>IF(B5594,MOD(A5594-1,Days),"")</f>
        <v/>
      </c>
      <c r="E5594" s="16">
        <f>IF(B5594,StartDate+D5594,"")</f>
        <v/>
      </c>
      <c r="F5594">
        <f>IF(B5594,MAX(MOD(SIN(Seed*0.1373+C5594*12.9898+D5594*78.233)*43758.5453,1),1E-9),"")</f>
        <v/>
      </c>
      <c r="G5594">
        <f>IF(B5594,MOD(SIN(Seed*0.5917+C5594*39.3468+D5594*11.135)*24634.6345,1),"")</f>
        <v/>
      </c>
      <c r="H5594">
        <f>IF(B5594,SQRT(-2*LN(F5594))*COS(2*PI()*G5594),"")</f>
        <v/>
      </c>
      <c r="I5594">
        <f>IF(B5594,IF(D5594=0,H5594,Rho*I5593+SQRT(1-Rho^2)*H5594),"")</f>
        <v/>
      </c>
      <c r="J5594">
        <f>IF(B5594,IF(Dist="Normal",DistA+DistB*I5594,DistA+(DistB-DistA)*NORMSDIST(I5594)),"")</f>
        <v/>
      </c>
      <c r="K5594">
        <f>IF(B5594,INDEX(MineScale,C5594),"")</f>
        <v/>
      </c>
      <c r="L5594">
        <f>IF(B5594,INDEX(Dow,1,WEEKDAY(E5594,2)),"")</f>
        <v/>
      </c>
      <c r="M5594">
        <f>IF(B5594,(1+Trend)^D5594,"")</f>
        <v/>
      </c>
      <c r="N5594">
        <f>IF(B5594,EXP(SUMPRODUCT(LN(1+(EvEff-1)*INDEX(Affected,0,C5594)*EXP(-((E5594-EvCenter)^2)/(2*EvSigma^2))))),"")</f>
        <v/>
      </c>
      <c r="O5594">
        <f>IF(B5594,ROUND(MAX(0,J5594*K5594*L5594*M5594*N5594),2),"")</f>
        <v/>
      </c>
    </row>
    <row r="5595">
      <c r="A5595" t="n">
        <v>5594</v>
      </c>
      <c r="B5595">
        <f>A5595&lt;=MineCount*Days</f>
        <v/>
      </c>
      <c r="C5595">
        <f>IF(B5595,INT((A5595-1)/Days)+1,"")</f>
        <v/>
      </c>
      <c r="D5595">
        <f>IF(B5595,MOD(A5595-1,Days),"")</f>
        <v/>
      </c>
      <c r="E5595" s="16">
        <f>IF(B5595,StartDate+D5595,"")</f>
        <v/>
      </c>
      <c r="F5595">
        <f>IF(B5595,MAX(MOD(SIN(Seed*0.1373+C5595*12.9898+D5595*78.233)*43758.5453,1),1E-9),"")</f>
        <v/>
      </c>
      <c r="G5595">
        <f>IF(B5595,MOD(SIN(Seed*0.5917+C5595*39.3468+D5595*11.135)*24634.6345,1),"")</f>
        <v/>
      </c>
      <c r="H5595">
        <f>IF(B5595,SQRT(-2*LN(F5595))*COS(2*PI()*G5595),"")</f>
        <v/>
      </c>
      <c r="I5595">
        <f>IF(B5595,IF(D5595=0,H5595,Rho*I5594+SQRT(1-Rho^2)*H5595),"")</f>
        <v/>
      </c>
      <c r="J5595">
        <f>IF(B5595,IF(Dist="Normal",DistA+DistB*I5595,DistA+(DistB-DistA)*NORMSDIST(I5595)),"")</f>
        <v/>
      </c>
      <c r="K5595">
        <f>IF(B5595,INDEX(MineScale,C5595),"")</f>
        <v/>
      </c>
      <c r="L5595">
        <f>IF(B5595,INDEX(Dow,1,WEEKDAY(E5595,2)),"")</f>
        <v/>
      </c>
      <c r="M5595">
        <f>IF(B5595,(1+Trend)^D5595,"")</f>
        <v/>
      </c>
      <c r="N5595">
        <f>IF(B5595,EXP(SUMPRODUCT(LN(1+(EvEff-1)*INDEX(Affected,0,C5595)*EXP(-((E5595-EvCenter)^2)/(2*EvSigma^2))))),"")</f>
        <v/>
      </c>
      <c r="O5595">
        <f>IF(B5595,ROUND(MAX(0,J5595*K5595*L5595*M5595*N5595),2),"")</f>
        <v/>
      </c>
    </row>
    <row r="5596">
      <c r="A5596" t="n">
        <v>5595</v>
      </c>
      <c r="B5596">
        <f>A5596&lt;=MineCount*Days</f>
        <v/>
      </c>
      <c r="C5596">
        <f>IF(B5596,INT((A5596-1)/Days)+1,"")</f>
        <v/>
      </c>
      <c r="D5596">
        <f>IF(B5596,MOD(A5596-1,Days),"")</f>
        <v/>
      </c>
      <c r="E5596" s="16">
        <f>IF(B5596,StartDate+D5596,"")</f>
        <v/>
      </c>
      <c r="F5596">
        <f>IF(B5596,MAX(MOD(SIN(Seed*0.1373+C5596*12.9898+D5596*78.233)*43758.5453,1),1E-9),"")</f>
        <v/>
      </c>
      <c r="G5596">
        <f>IF(B5596,MOD(SIN(Seed*0.5917+C5596*39.3468+D5596*11.135)*24634.6345,1),"")</f>
        <v/>
      </c>
      <c r="H5596">
        <f>IF(B5596,SQRT(-2*LN(F5596))*COS(2*PI()*G5596),"")</f>
        <v/>
      </c>
      <c r="I5596">
        <f>IF(B5596,IF(D5596=0,H5596,Rho*I5595+SQRT(1-Rho^2)*H5596),"")</f>
        <v/>
      </c>
      <c r="J5596">
        <f>IF(B5596,IF(Dist="Normal",DistA+DistB*I5596,DistA+(DistB-DistA)*NORMSDIST(I5596)),"")</f>
        <v/>
      </c>
      <c r="K5596">
        <f>IF(B5596,INDEX(MineScale,C5596),"")</f>
        <v/>
      </c>
      <c r="L5596">
        <f>IF(B5596,INDEX(Dow,1,WEEKDAY(E5596,2)),"")</f>
        <v/>
      </c>
      <c r="M5596">
        <f>IF(B5596,(1+Trend)^D5596,"")</f>
        <v/>
      </c>
      <c r="N5596">
        <f>IF(B5596,EXP(SUMPRODUCT(LN(1+(EvEff-1)*INDEX(Affected,0,C5596)*EXP(-((E5596-EvCenter)^2)/(2*EvSigma^2))))),"")</f>
        <v/>
      </c>
      <c r="O5596">
        <f>IF(B5596,ROUND(MAX(0,J5596*K5596*L5596*M5596*N5596),2),"")</f>
        <v/>
      </c>
    </row>
    <row r="5597">
      <c r="A5597" t="n">
        <v>5596</v>
      </c>
      <c r="B5597">
        <f>A5597&lt;=MineCount*Days</f>
        <v/>
      </c>
      <c r="C5597">
        <f>IF(B5597,INT((A5597-1)/Days)+1,"")</f>
        <v/>
      </c>
      <c r="D5597">
        <f>IF(B5597,MOD(A5597-1,Days),"")</f>
        <v/>
      </c>
      <c r="E5597" s="16">
        <f>IF(B5597,StartDate+D5597,"")</f>
        <v/>
      </c>
      <c r="F5597">
        <f>IF(B5597,MAX(MOD(SIN(Seed*0.1373+C5597*12.9898+D5597*78.233)*43758.5453,1),1E-9),"")</f>
        <v/>
      </c>
      <c r="G5597">
        <f>IF(B5597,MOD(SIN(Seed*0.5917+C5597*39.3468+D5597*11.135)*24634.6345,1),"")</f>
        <v/>
      </c>
      <c r="H5597">
        <f>IF(B5597,SQRT(-2*LN(F5597))*COS(2*PI()*G5597),"")</f>
        <v/>
      </c>
      <c r="I5597">
        <f>IF(B5597,IF(D5597=0,H5597,Rho*I5596+SQRT(1-Rho^2)*H5597),"")</f>
        <v/>
      </c>
      <c r="J5597">
        <f>IF(B5597,IF(Dist="Normal",DistA+DistB*I5597,DistA+(DistB-DistA)*NORMSDIST(I5597)),"")</f>
        <v/>
      </c>
      <c r="K5597">
        <f>IF(B5597,INDEX(MineScale,C5597),"")</f>
        <v/>
      </c>
      <c r="L5597">
        <f>IF(B5597,INDEX(Dow,1,WEEKDAY(E5597,2)),"")</f>
        <v/>
      </c>
      <c r="M5597">
        <f>IF(B5597,(1+Trend)^D5597,"")</f>
        <v/>
      </c>
      <c r="N5597">
        <f>IF(B5597,EXP(SUMPRODUCT(LN(1+(EvEff-1)*INDEX(Affected,0,C5597)*EXP(-((E5597-EvCenter)^2)/(2*EvSigma^2))))),"")</f>
        <v/>
      </c>
      <c r="O5597">
        <f>IF(B5597,ROUND(MAX(0,J5597*K5597*L5597*M5597*N5597),2),"")</f>
        <v/>
      </c>
    </row>
    <row r="5598">
      <c r="A5598" t="n">
        <v>5597</v>
      </c>
      <c r="B5598">
        <f>A5598&lt;=MineCount*Days</f>
        <v/>
      </c>
      <c r="C5598">
        <f>IF(B5598,INT((A5598-1)/Days)+1,"")</f>
        <v/>
      </c>
      <c r="D5598">
        <f>IF(B5598,MOD(A5598-1,Days),"")</f>
        <v/>
      </c>
      <c r="E5598" s="16">
        <f>IF(B5598,StartDate+D5598,"")</f>
        <v/>
      </c>
      <c r="F5598">
        <f>IF(B5598,MAX(MOD(SIN(Seed*0.1373+C5598*12.9898+D5598*78.233)*43758.5453,1),1E-9),"")</f>
        <v/>
      </c>
      <c r="G5598">
        <f>IF(B5598,MOD(SIN(Seed*0.5917+C5598*39.3468+D5598*11.135)*24634.6345,1),"")</f>
        <v/>
      </c>
      <c r="H5598">
        <f>IF(B5598,SQRT(-2*LN(F5598))*COS(2*PI()*G5598),"")</f>
        <v/>
      </c>
      <c r="I5598">
        <f>IF(B5598,IF(D5598=0,H5598,Rho*I5597+SQRT(1-Rho^2)*H5598),"")</f>
        <v/>
      </c>
      <c r="J5598">
        <f>IF(B5598,IF(Dist="Normal",DistA+DistB*I5598,DistA+(DistB-DistA)*NORMSDIST(I5598)),"")</f>
        <v/>
      </c>
      <c r="K5598">
        <f>IF(B5598,INDEX(MineScale,C5598),"")</f>
        <v/>
      </c>
      <c r="L5598">
        <f>IF(B5598,INDEX(Dow,1,WEEKDAY(E5598,2)),"")</f>
        <v/>
      </c>
      <c r="M5598">
        <f>IF(B5598,(1+Trend)^D5598,"")</f>
        <v/>
      </c>
      <c r="N5598">
        <f>IF(B5598,EXP(SUMPRODUCT(LN(1+(EvEff-1)*INDEX(Affected,0,C5598)*EXP(-((E5598-EvCenter)^2)/(2*EvSigma^2))))),"")</f>
        <v/>
      </c>
      <c r="O5598">
        <f>IF(B5598,ROUND(MAX(0,J5598*K5598*L5598*M5598*N5598),2),"")</f>
        <v/>
      </c>
    </row>
    <row r="5599">
      <c r="A5599" t="n">
        <v>5598</v>
      </c>
      <c r="B5599">
        <f>A5599&lt;=MineCount*Days</f>
        <v/>
      </c>
      <c r="C5599">
        <f>IF(B5599,INT((A5599-1)/Days)+1,"")</f>
        <v/>
      </c>
      <c r="D5599">
        <f>IF(B5599,MOD(A5599-1,Days),"")</f>
        <v/>
      </c>
      <c r="E5599" s="16">
        <f>IF(B5599,StartDate+D5599,"")</f>
        <v/>
      </c>
      <c r="F5599">
        <f>IF(B5599,MAX(MOD(SIN(Seed*0.1373+C5599*12.9898+D5599*78.233)*43758.5453,1),1E-9),"")</f>
        <v/>
      </c>
      <c r="G5599">
        <f>IF(B5599,MOD(SIN(Seed*0.5917+C5599*39.3468+D5599*11.135)*24634.6345,1),"")</f>
        <v/>
      </c>
      <c r="H5599">
        <f>IF(B5599,SQRT(-2*LN(F5599))*COS(2*PI()*G5599),"")</f>
        <v/>
      </c>
      <c r="I5599">
        <f>IF(B5599,IF(D5599=0,H5599,Rho*I5598+SQRT(1-Rho^2)*H5599),"")</f>
        <v/>
      </c>
      <c r="J5599">
        <f>IF(B5599,IF(Dist="Normal",DistA+DistB*I5599,DistA+(DistB-DistA)*NORMSDIST(I5599)),"")</f>
        <v/>
      </c>
      <c r="K5599">
        <f>IF(B5599,INDEX(MineScale,C5599),"")</f>
        <v/>
      </c>
      <c r="L5599">
        <f>IF(B5599,INDEX(Dow,1,WEEKDAY(E5599,2)),"")</f>
        <v/>
      </c>
      <c r="M5599">
        <f>IF(B5599,(1+Trend)^D5599,"")</f>
        <v/>
      </c>
      <c r="N5599">
        <f>IF(B5599,EXP(SUMPRODUCT(LN(1+(EvEff-1)*INDEX(Affected,0,C5599)*EXP(-((E5599-EvCenter)^2)/(2*EvSigma^2))))),"")</f>
        <v/>
      </c>
      <c r="O5599">
        <f>IF(B5599,ROUND(MAX(0,J5599*K5599*L5599*M5599*N5599),2),"")</f>
        <v/>
      </c>
    </row>
    <row r="5600">
      <c r="A5600" t="n">
        <v>5599</v>
      </c>
      <c r="B5600">
        <f>A5600&lt;=MineCount*Days</f>
        <v/>
      </c>
      <c r="C5600">
        <f>IF(B5600,INT((A5600-1)/Days)+1,"")</f>
        <v/>
      </c>
      <c r="D5600">
        <f>IF(B5600,MOD(A5600-1,Days),"")</f>
        <v/>
      </c>
      <c r="E5600" s="16">
        <f>IF(B5600,StartDate+D5600,"")</f>
        <v/>
      </c>
      <c r="F5600">
        <f>IF(B5600,MAX(MOD(SIN(Seed*0.1373+C5600*12.9898+D5600*78.233)*43758.5453,1),1E-9),"")</f>
        <v/>
      </c>
      <c r="G5600">
        <f>IF(B5600,MOD(SIN(Seed*0.5917+C5600*39.3468+D5600*11.135)*24634.6345,1),"")</f>
        <v/>
      </c>
      <c r="H5600">
        <f>IF(B5600,SQRT(-2*LN(F5600))*COS(2*PI()*G5600),"")</f>
        <v/>
      </c>
      <c r="I5600">
        <f>IF(B5600,IF(D5600=0,H5600,Rho*I5599+SQRT(1-Rho^2)*H5600),"")</f>
        <v/>
      </c>
      <c r="J5600">
        <f>IF(B5600,IF(Dist="Normal",DistA+DistB*I5600,DistA+(DistB-DistA)*NORMSDIST(I5600)),"")</f>
        <v/>
      </c>
      <c r="K5600">
        <f>IF(B5600,INDEX(MineScale,C5600),"")</f>
        <v/>
      </c>
      <c r="L5600">
        <f>IF(B5600,INDEX(Dow,1,WEEKDAY(E5600,2)),"")</f>
        <v/>
      </c>
      <c r="M5600">
        <f>IF(B5600,(1+Trend)^D5600,"")</f>
        <v/>
      </c>
      <c r="N5600">
        <f>IF(B5600,EXP(SUMPRODUCT(LN(1+(EvEff-1)*INDEX(Affected,0,C5600)*EXP(-((E5600-EvCenter)^2)/(2*EvSigma^2))))),"")</f>
        <v/>
      </c>
      <c r="O5600">
        <f>IF(B5600,ROUND(MAX(0,J5600*K5600*L5600*M5600*N5600),2),"")</f>
        <v/>
      </c>
    </row>
    <row r="5601">
      <c r="A5601" t="n">
        <v>5600</v>
      </c>
      <c r="B5601">
        <f>A5601&lt;=MineCount*Days</f>
        <v/>
      </c>
      <c r="C5601">
        <f>IF(B5601,INT((A5601-1)/Days)+1,"")</f>
        <v/>
      </c>
      <c r="D5601">
        <f>IF(B5601,MOD(A5601-1,Days),"")</f>
        <v/>
      </c>
      <c r="E5601" s="16">
        <f>IF(B5601,StartDate+D5601,"")</f>
        <v/>
      </c>
      <c r="F5601">
        <f>IF(B5601,MAX(MOD(SIN(Seed*0.1373+C5601*12.9898+D5601*78.233)*43758.5453,1),1E-9),"")</f>
        <v/>
      </c>
      <c r="G5601">
        <f>IF(B5601,MOD(SIN(Seed*0.5917+C5601*39.3468+D5601*11.135)*24634.6345,1),"")</f>
        <v/>
      </c>
      <c r="H5601">
        <f>IF(B5601,SQRT(-2*LN(F5601))*COS(2*PI()*G5601),"")</f>
        <v/>
      </c>
      <c r="I5601">
        <f>IF(B5601,IF(D5601=0,H5601,Rho*I5600+SQRT(1-Rho^2)*H5601),"")</f>
        <v/>
      </c>
      <c r="J5601">
        <f>IF(B5601,IF(Dist="Normal",DistA+DistB*I5601,DistA+(DistB-DistA)*NORMSDIST(I5601)),"")</f>
        <v/>
      </c>
      <c r="K5601">
        <f>IF(B5601,INDEX(MineScale,C5601),"")</f>
        <v/>
      </c>
      <c r="L5601">
        <f>IF(B5601,INDEX(Dow,1,WEEKDAY(E5601,2)),"")</f>
        <v/>
      </c>
      <c r="M5601">
        <f>IF(B5601,(1+Trend)^D5601,"")</f>
        <v/>
      </c>
      <c r="N5601">
        <f>IF(B5601,EXP(SUMPRODUCT(LN(1+(EvEff-1)*INDEX(Affected,0,C5601)*EXP(-((E5601-EvCenter)^2)/(2*EvSigma^2))))),"")</f>
        <v/>
      </c>
      <c r="O5601">
        <f>IF(B5601,ROUND(MAX(0,J5601*K5601*L5601*M5601*N5601),2),"")</f>
        <v/>
      </c>
    </row>
    <row r="5602">
      <c r="A5602" t="n">
        <v>5601</v>
      </c>
      <c r="B5602">
        <f>A5602&lt;=MineCount*Days</f>
        <v/>
      </c>
      <c r="C5602">
        <f>IF(B5602,INT((A5602-1)/Days)+1,"")</f>
        <v/>
      </c>
      <c r="D5602">
        <f>IF(B5602,MOD(A5602-1,Days),"")</f>
        <v/>
      </c>
      <c r="E5602" s="16">
        <f>IF(B5602,StartDate+D5602,"")</f>
        <v/>
      </c>
      <c r="F5602">
        <f>IF(B5602,MAX(MOD(SIN(Seed*0.1373+C5602*12.9898+D5602*78.233)*43758.5453,1),1E-9),"")</f>
        <v/>
      </c>
      <c r="G5602">
        <f>IF(B5602,MOD(SIN(Seed*0.5917+C5602*39.3468+D5602*11.135)*24634.6345,1),"")</f>
        <v/>
      </c>
      <c r="H5602">
        <f>IF(B5602,SQRT(-2*LN(F5602))*COS(2*PI()*G5602),"")</f>
        <v/>
      </c>
      <c r="I5602">
        <f>IF(B5602,IF(D5602=0,H5602,Rho*I5601+SQRT(1-Rho^2)*H5602),"")</f>
        <v/>
      </c>
      <c r="J5602">
        <f>IF(B5602,IF(Dist="Normal",DistA+DistB*I5602,DistA+(DistB-DistA)*NORMSDIST(I5602)),"")</f>
        <v/>
      </c>
      <c r="K5602">
        <f>IF(B5602,INDEX(MineScale,C5602),"")</f>
        <v/>
      </c>
      <c r="L5602">
        <f>IF(B5602,INDEX(Dow,1,WEEKDAY(E5602,2)),"")</f>
        <v/>
      </c>
      <c r="M5602">
        <f>IF(B5602,(1+Trend)^D5602,"")</f>
        <v/>
      </c>
      <c r="N5602">
        <f>IF(B5602,EXP(SUMPRODUCT(LN(1+(EvEff-1)*INDEX(Affected,0,C5602)*EXP(-((E5602-EvCenter)^2)/(2*EvSigma^2))))),"")</f>
        <v/>
      </c>
      <c r="O5602">
        <f>IF(B5602,ROUND(MAX(0,J5602*K5602*L5602*M5602*N5602),2),"")</f>
        <v/>
      </c>
    </row>
    <row r="5603">
      <c r="A5603" t="n">
        <v>5602</v>
      </c>
      <c r="B5603">
        <f>A5603&lt;=MineCount*Days</f>
        <v/>
      </c>
      <c r="C5603">
        <f>IF(B5603,INT((A5603-1)/Days)+1,"")</f>
        <v/>
      </c>
      <c r="D5603">
        <f>IF(B5603,MOD(A5603-1,Days),"")</f>
        <v/>
      </c>
      <c r="E5603" s="16">
        <f>IF(B5603,StartDate+D5603,"")</f>
        <v/>
      </c>
      <c r="F5603">
        <f>IF(B5603,MAX(MOD(SIN(Seed*0.1373+C5603*12.9898+D5603*78.233)*43758.5453,1),1E-9),"")</f>
        <v/>
      </c>
      <c r="G5603">
        <f>IF(B5603,MOD(SIN(Seed*0.5917+C5603*39.3468+D5603*11.135)*24634.6345,1),"")</f>
        <v/>
      </c>
      <c r="H5603">
        <f>IF(B5603,SQRT(-2*LN(F5603))*COS(2*PI()*G5603),"")</f>
        <v/>
      </c>
      <c r="I5603">
        <f>IF(B5603,IF(D5603=0,H5603,Rho*I5602+SQRT(1-Rho^2)*H5603),"")</f>
        <v/>
      </c>
      <c r="J5603">
        <f>IF(B5603,IF(Dist="Normal",DistA+DistB*I5603,DistA+(DistB-DistA)*NORMSDIST(I5603)),"")</f>
        <v/>
      </c>
      <c r="K5603">
        <f>IF(B5603,INDEX(MineScale,C5603),"")</f>
        <v/>
      </c>
      <c r="L5603">
        <f>IF(B5603,INDEX(Dow,1,WEEKDAY(E5603,2)),"")</f>
        <v/>
      </c>
      <c r="M5603">
        <f>IF(B5603,(1+Trend)^D5603,"")</f>
        <v/>
      </c>
      <c r="N5603">
        <f>IF(B5603,EXP(SUMPRODUCT(LN(1+(EvEff-1)*INDEX(Affected,0,C5603)*EXP(-((E5603-EvCenter)^2)/(2*EvSigma^2))))),"")</f>
        <v/>
      </c>
      <c r="O5603">
        <f>IF(B5603,ROUND(MAX(0,J5603*K5603*L5603*M5603*N5603),2),"")</f>
        <v/>
      </c>
    </row>
    <row r="5604">
      <c r="A5604" t="n">
        <v>5603</v>
      </c>
      <c r="B5604">
        <f>A5604&lt;=MineCount*Days</f>
        <v/>
      </c>
      <c r="C5604">
        <f>IF(B5604,INT((A5604-1)/Days)+1,"")</f>
        <v/>
      </c>
      <c r="D5604">
        <f>IF(B5604,MOD(A5604-1,Days),"")</f>
        <v/>
      </c>
      <c r="E5604" s="16">
        <f>IF(B5604,StartDate+D5604,"")</f>
        <v/>
      </c>
      <c r="F5604">
        <f>IF(B5604,MAX(MOD(SIN(Seed*0.1373+C5604*12.9898+D5604*78.233)*43758.5453,1),1E-9),"")</f>
        <v/>
      </c>
      <c r="G5604">
        <f>IF(B5604,MOD(SIN(Seed*0.5917+C5604*39.3468+D5604*11.135)*24634.6345,1),"")</f>
        <v/>
      </c>
      <c r="H5604">
        <f>IF(B5604,SQRT(-2*LN(F5604))*COS(2*PI()*G5604),"")</f>
        <v/>
      </c>
      <c r="I5604">
        <f>IF(B5604,IF(D5604=0,H5604,Rho*I5603+SQRT(1-Rho^2)*H5604),"")</f>
        <v/>
      </c>
      <c r="J5604">
        <f>IF(B5604,IF(Dist="Normal",DistA+DistB*I5604,DistA+(DistB-DistA)*NORMSDIST(I5604)),"")</f>
        <v/>
      </c>
      <c r="K5604">
        <f>IF(B5604,INDEX(MineScale,C5604),"")</f>
        <v/>
      </c>
      <c r="L5604">
        <f>IF(B5604,INDEX(Dow,1,WEEKDAY(E5604,2)),"")</f>
        <v/>
      </c>
      <c r="M5604">
        <f>IF(B5604,(1+Trend)^D5604,"")</f>
        <v/>
      </c>
      <c r="N5604">
        <f>IF(B5604,EXP(SUMPRODUCT(LN(1+(EvEff-1)*INDEX(Affected,0,C5604)*EXP(-((E5604-EvCenter)^2)/(2*EvSigma^2))))),"")</f>
        <v/>
      </c>
      <c r="O5604">
        <f>IF(B5604,ROUND(MAX(0,J5604*K5604*L5604*M5604*N5604),2),"")</f>
        <v/>
      </c>
    </row>
    <row r="5605">
      <c r="A5605" t="n">
        <v>5604</v>
      </c>
      <c r="B5605">
        <f>A5605&lt;=MineCount*Days</f>
        <v/>
      </c>
      <c r="C5605">
        <f>IF(B5605,INT((A5605-1)/Days)+1,"")</f>
        <v/>
      </c>
      <c r="D5605">
        <f>IF(B5605,MOD(A5605-1,Days),"")</f>
        <v/>
      </c>
      <c r="E5605" s="16">
        <f>IF(B5605,StartDate+D5605,"")</f>
        <v/>
      </c>
      <c r="F5605">
        <f>IF(B5605,MAX(MOD(SIN(Seed*0.1373+C5605*12.9898+D5605*78.233)*43758.5453,1),1E-9),"")</f>
        <v/>
      </c>
      <c r="G5605">
        <f>IF(B5605,MOD(SIN(Seed*0.5917+C5605*39.3468+D5605*11.135)*24634.6345,1),"")</f>
        <v/>
      </c>
      <c r="H5605">
        <f>IF(B5605,SQRT(-2*LN(F5605))*COS(2*PI()*G5605),"")</f>
        <v/>
      </c>
      <c r="I5605">
        <f>IF(B5605,IF(D5605=0,H5605,Rho*I5604+SQRT(1-Rho^2)*H5605),"")</f>
        <v/>
      </c>
      <c r="J5605">
        <f>IF(B5605,IF(Dist="Normal",DistA+DistB*I5605,DistA+(DistB-DistA)*NORMSDIST(I5605)),"")</f>
        <v/>
      </c>
      <c r="K5605">
        <f>IF(B5605,INDEX(MineScale,C5605),"")</f>
        <v/>
      </c>
      <c r="L5605">
        <f>IF(B5605,INDEX(Dow,1,WEEKDAY(E5605,2)),"")</f>
        <v/>
      </c>
      <c r="M5605">
        <f>IF(B5605,(1+Trend)^D5605,"")</f>
        <v/>
      </c>
      <c r="N5605">
        <f>IF(B5605,EXP(SUMPRODUCT(LN(1+(EvEff-1)*INDEX(Affected,0,C5605)*EXP(-((E5605-EvCenter)^2)/(2*EvSigma^2))))),"")</f>
        <v/>
      </c>
      <c r="O5605">
        <f>IF(B5605,ROUND(MAX(0,J5605*K5605*L5605*M5605*N5605),2),"")</f>
        <v/>
      </c>
    </row>
    <row r="5606">
      <c r="A5606" t="n">
        <v>5605</v>
      </c>
      <c r="B5606">
        <f>A5606&lt;=MineCount*Days</f>
        <v/>
      </c>
      <c r="C5606">
        <f>IF(B5606,INT((A5606-1)/Days)+1,"")</f>
        <v/>
      </c>
      <c r="D5606">
        <f>IF(B5606,MOD(A5606-1,Days),"")</f>
        <v/>
      </c>
      <c r="E5606" s="16">
        <f>IF(B5606,StartDate+D5606,"")</f>
        <v/>
      </c>
      <c r="F5606">
        <f>IF(B5606,MAX(MOD(SIN(Seed*0.1373+C5606*12.9898+D5606*78.233)*43758.5453,1),1E-9),"")</f>
        <v/>
      </c>
      <c r="G5606">
        <f>IF(B5606,MOD(SIN(Seed*0.5917+C5606*39.3468+D5606*11.135)*24634.6345,1),"")</f>
        <v/>
      </c>
      <c r="H5606">
        <f>IF(B5606,SQRT(-2*LN(F5606))*COS(2*PI()*G5606),"")</f>
        <v/>
      </c>
      <c r="I5606">
        <f>IF(B5606,IF(D5606=0,H5606,Rho*I5605+SQRT(1-Rho^2)*H5606),"")</f>
        <v/>
      </c>
      <c r="J5606">
        <f>IF(B5606,IF(Dist="Normal",DistA+DistB*I5606,DistA+(DistB-DistA)*NORMSDIST(I5606)),"")</f>
        <v/>
      </c>
      <c r="K5606">
        <f>IF(B5606,INDEX(MineScale,C5606),"")</f>
        <v/>
      </c>
      <c r="L5606">
        <f>IF(B5606,INDEX(Dow,1,WEEKDAY(E5606,2)),"")</f>
        <v/>
      </c>
      <c r="M5606">
        <f>IF(B5606,(1+Trend)^D5606,"")</f>
        <v/>
      </c>
      <c r="N5606">
        <f>IF(B5606,EXP(SUMPRODUCT(LN(1+(EvEff-1)*INDEX(Affected,0,C5606)*EXP(-((E5606-EvCenter)^2)/(2*EvSigma^2))))),"")</f>
        <v/>
      </c>
      <c r="O5606">
        <f>IF(B5606,ROUND(MAX(0,J5606*K5606*L5606*M5606*N5606),2),"")</f>
        <v/>
      </c>
    </row>
    <row r="5607">
      <c r="A5607" t="n">
        <v>5606</v>
      </c>
      <c r="B5607">
        <f>A5607&lt;=MineCount*Days</f>
        <v/>
      </c>
      <c r="C5607">
        <f>IF(B5607,INT((A5607-1)/Days)+1,"")</f>
        <v/>
      </c>
      <c r="D5607">
        <f>IF(B5607,MOD(A5607-1,Days),"")</f>
        <v/>
      </c>
      <c r="E5607" s="16">
        <f>IF(B5607,StartDate+D5607,"")</f>
        <v/>
      </c>
      <c r="F5607">
        <f>IF(B5607,MAX(MOD(SIN(Seed*0.1373+C5607*12.9898+D5607*78.233)*43758.5453,1),1E-9),"")</f>
        <v/>
      </c>
      <c r="G5607">
        <f>IF(B5607,MOD(SIN(Seed*0.5917+C5607*39.3468+D5607*11.135)*24634.6345,1),"")</f>
        <v/>
      </c>
      <c r="H5607">
        <f>IF(B5607,SQRT(-2*LN(F5607))*COS(2*PI()*G5607),"")</f>
        <v/>
      </c>
      <c r="I5607">
        <f>IF(B5607,IF(D5607=0,H5607,Rho*I5606+SQRT(1-Rho^2)*H5607),"")</f>
        <v/>
      </c>
      <c r="J5607">
        <f>IF(B5607,IF(Dist="Normal",DistA+DistB*I5607,DistA+(DistB-DistA)*NORMSDIST(I5607)),"")</f>
        <v/>
      </c>
      <c r="K5607">
        <f>IF(B5607,INDEX(MineScale,C5607),"")</f>
        <v/>
      </c>
      <c r="L5607">
        <f>IF(B5607,INDEX(Dow,1,WEEKDAY(E5607,2)),"")</f>
        <v/>
      </c>
      <c r="M5607">
        <f>IF(B5607,(1+Trend)^D5607,"")</f>
        <v/>
      </c>
      <c r="N5607">
        <f>IF(B5607,EXP(SUMPRODUCT(LN(1+(EvEff-1)*INDEX(Affected,0,C5607)*EXP(-((E5607-EvCenter)^2)/(2*EvSigma^2))))),"")</f>
        <v/>
      </c>
      <c r="O5607">
        <f>IF(B5607,ROUND(MAX(0,J5607*K5607*L5607*M5607*N5607),2),"")</f>
        <v/>
      </c>
    </row>
    <row r="5608">
      <c r="A5608" t="n">
        <v>5607</v>
      </c>
      <c r="B5608">
        <f>A5608&lt;=MineCount*Days</f>
        <v/>
      </c>
      <c r="C5608">
        <f>IF(B5608,INT((A5608-1)/Days)+1,"")</f>
        <v/>
      </c>
      <c r="D5608">
        <f>IF(B5608,MOD(A5608-1,Days),"")</f>
        <v/>
      </c>
      <c r="E5608" s="16">
        <f>IF(B5608,StartDate+D5608,"")</f>
        <v/>
      </c>
      <c r="F5608">
        <f>IF(B5608,MAX(MOD(SIN(Seed*0.1373+C5608*12.9898+D5608*78.233)*43758.5453,1),1E-9),"")</f>
        <v/>
      </c>
      <c r="G5608">
        <f>IF(B5608,MOD(SIN(Seed*0.5917+C5608*39.3468+D5608*11.135)*24634.6345,1),"")</f>
        <v/>
      </c>
      <c r="H5608">
        <f>IF(B5608,SQRT(-2*LN(F5608))*COS(2*PI()*G5608),"")</f>
        <v/>
      </c>
      <c r="I5608">
        <f>IF(B5608,IF(D5608=0,H5608,Rho*I5607+SQRT(1-Rho^2)*H5608),"")</f>
        <v/>
      </c>
      <c r="J5608">
        <f>IF(B5608,IF(Dist="Normal",DistA+DistB*I5608,DistA+(DistB-DistA)*NORMSDIST(I5608)),"")</f>
        <v/>
      </c>
      <c r="K5608">
        <f>IF(B5608,INDEX(MineScale,C5608),"")</f>
        <v/>
      </c>
      <c r="L5608">
        <f>IF(B5608,INDEX(Dow,1,WEEKDAY(E5608,2)),"")</f>
        <v/>
      </c>
      <c r="M5608">
        <f>IF(B5608,(1+Trend)^D5608,"")</f>
        <v/>
      </c>
      <c r="N5608">
        <f>IF(B5608,EXP(SUMPRODUCT(LN(1+(EvEff-1)*INDEX(Affected,0,C5608)*EXP(-((E5608-EvCenter)^2)/(2*EvSigma^2))))),"")</f>
        <v/>
      </c>
      <c r="O5608">
        <f>IF(B5608,ROUND(MAX(0,J5608*K5608*L5608*M5608*N5608),2),"")</f>
        <v/>
      </c>
    </row>
    <row r="5609">
      <c r="A5609" t="n">
        <v>5608</v>
      </c>
      <c r="B5609">
        <f>A5609&lt;=MineCount*Days</f>
        <v/>
      </c>
      <c r="C5609">
        <f>IF(B5609,INT((A5609-1)/Days)+1,"")</f>
        <v/>
      </c>
      <c r="D5609">
        <f>IF(B5609,MOD(A5609-1,Days),"")</f>
        <v/>
      </c>
      <c r="E5609" s="16">
        <f>IF(B5609,StartDate+D5609,"")</f>
        <v/>
      </c>
      <c r="F5609">
        <f>IF(B5609,MAX(MOD(SIN(Seed*0.1373+C5609*12.9898+D5609*78.233)*43758.5453,1),1E-9),"")</f>
        <v/>
      </c>
      <c r="G5609">
        <f>IF(B5609,MOD(SIN(Seed*0.5917+C5609*39.3468+D5609*11.135)*24634.6345,1),"")</f>
        <v/>
      </c>
      <c r="H5609">
        <f>IF(B5609,SQRT(-2*LN(F5609))*COS(2*PI()*G5609),"")</f>
        <v/>
      </c>
      <c r="I5609">
        <f>IF(B5609,IF(D5609=0,H5609,Rho*I5608+SQRT(1-Rho^2)*H5609),"")</f>
        <v/>
      </c>
      <c r="J5609">
        <f>IF(B5609,IF(Dist="Normal",DistA+DistB*I5609,DistA+(DistB-DistA)*NORMSDIST(I5609)),"")</f>
        <v/>
      </c>
      <c r="K5609">
        <f>IF(B5609,INDEX(MineScale,C5609),"")</f>
        <v/>
      </c>
      <c r="L5609">
        <f>IF(B5609,INDEX(Dow,1,WEEKDAY(E5609,2)),"")</f>
        <v/>
      </c>
      <c r="M5609">
        <f>IF(B5609,(1+Trend)^D5609,"")</f>
        <v/>
      </c>
      <c r="N5609">
        <f>IF(B5609,EXP(SUMPRODUCT(LN(1+(EvEff-1)*INDEX(Affected,0,C5609)*EXP(-((E5609-EvCenter)^2)/(2*EvSigma^2))))),"")</f>
        <v/>
      </c>
      <c r="O5609">
        <f>IF(B5609,ROUND(MAX(0,J5609*K5609*L5609*M5609*N5609),2),"")</f>
        <v/>
      </c>
    </row>
    <row r="5610">
      <c r="A5610" t="n">
        <v>5609</v>
      </c>
      <c r="B5610">
        <f>A5610&lt;=MineCount*Days</f>
        <v/>
      </c>
      <c r="C5610">
        <f>IF(B5610,INT((A5610-1)/Days)+1,"")</f>
        <v/>
      </c>
      <c r="D5610">
        <f>IF(B5610,MOD(A5610-1,Days),"")</f>
        <v/>
      </c>
      <c r="E5610" s="16">
        <f>IF(B5610,StartDate+D5610,"")</f>
        <v/>
      </c>
      <c r="F5610">
        <f>IF(B5610,MAX(MOD(SIN(Seed*0.1373+C5610*12.9898+D5610*78.233)*43758.5453,1),1E-9),"")</f>
        <v/>
      </c>
      <c r="G5610">
        <f>IF(B5610,MOD(SIN(Seed*0.5917+C5610*39.3468+D5610*11.135)*24634.6345,1),"")</f>
        <v/>
      </c>
      <c r="H5610">
        <f>IF(B5610,SQRT(-2*LN(F5610))*COS(2*PI()*G5610),"")</f>
        <v/>
      </c>
      <c r="I5610">
        <f>IF(B5610,IF(D5610=0,H5610,Rho*I5609+SQRT(1-Rho^2)*H5610),"")</f>
        <v/>
      </c>
      <c r="J5610">
        <f>IF(B5610,IF(Dist="Normal",DistA+DistB*I5610,DistA+(DistB-DistA)*NORMSDIST(I5610)),"")</f>
        <v/>
      </c>
      <c r="K5610">
        <f>IF(B5610,INDEX(MineScale,C5610),"")</f>
        <v/>
      </c>
      <c r="L5610">
        <f>IF(B5610,INDEX(Dow,1,WEEKDAY(E5610,2)),"")</f>
        <v/>
      </c>
      <c r="M5610">
        <f>IF(B5610,(1+Trend)^D5610,"")</f>
        <v/>
      </c>
      <c r="N5610">
        <f>IF(B5610,EXP(SUMPRODUCT(LN(1+(EvEff-1)*INDEX(Affected,0,C5610)*EXP(-((E5610-EvCenter)^2)/(2*EvSigma^2))))),"")</f>
        <v/>
      </c>
      <c r="O5610">
        <f>IF(B5610,ROUND(MAX(0,J5610*K5610*L5610*M5610*N5610),2),"")</f>
        <v/>
      </c>
    </row>
    <row r="5611">
      <c r="A5611" t="n">
        <v>5610</v>
      </c>
      <c r="B5611">
        <f>A5611&lt;=MineCount*Days</f>
        <v/>
      </c>
      <c r="C5611">
        <f>IF(B5611,INT((A5611-1)/Days)+1,"")</f>
        <v/>
      </c>
      <c r="D5611">
        <f>IF(B5611,MOD(A5611-1,Days),"")</f>
        <v/>
      </c>
      <c r="E5611" s="16">
        <f>IF(B5611,StartDate+D5611,"")</f>
        <v/>
      </c>
      <c r="F5611">
        <f>IF(B5611,MAX(MOD(SIN(Seed*0.1373+C5611*12.9898+D5611*78.233)*43758.5453,1),1E-9),"")</f>
        <v/>
      </c>
      <c r="G5611">
        <f>IF(B5611,MOD(SIN(Seed*0.5917+C5611*39.3468+D5611*11.135)*24634.6345,1),"")</f>
        <v/>
      </c>
      <c r="H5611">
        <f>IF(B5611,SQRT(-2*LN(F5611))*COS(2*PI()*G5611),"")</f>
        <v/>
      </c>
      <c r="I5611">
        <f>IF(B5611,IF(D5611=0,H5611,Rho*I5610+SQRT(1-Rho^2)*H5611),"")</f>
        <v/>
      </c>
      <c r="J5611">
        <f>IF(B5611,IF(Dist="Normal",DistA+DistB*I5611,DistA+(DistB-DistA)*NORMSDIST(I5611)),"")</f>
        <v/>
      </c>
      <c r="K5611">
        <f>IF(B5611,INDEX(MineScale,C5611),"")</f>
        <v/>
      </c>
      <c r="L5611">
        <f>IF(B5611,INDEX(Dow,1,WEEKDAY(E5611,2)),"")</f>
        <v/>
      </c>
      <c r="M5611">
        <f>IF(B5611,(1+Trend)^D5611,"")</f>
        <v/>
      </c>
      <c r="N5611">
        <f>IF(B5611,EXP(SUMPRODUCT(LN(1+(EvEff-1)*INDEX(Affected,0,C5611)*EXP(-((E5611-EvCenter)^2)/(2*EvSigma^2))))),"")</f>
        <v/>
      </c>
      <c r="O5611">
        <f>IF(B5611,ROUND(MAX(0,J5611*K5611*L5611*M5611*N5611),2),"")</f>
        <v/>
      </c>
    </row>
    <row r="5612">
      <c r="A5612" t="n">
        <v>5611</v>
      </c>
      <c r="B5612">
        <f>A5612&lt;=MineCount*Days</f>
        <v/>
      </c>
      <c r="C5612">
        <f>IF(B5612,INT((A5612-1)/Days)+1,"")</f>
        <v/>
      </c>
      <c r="D5612">
        <f>IF(B5612,MOD(A5612-1,Days),"")</f>
        <v/>
      </c>
      <c r="E5612" s="16">
        <f>IF(B5612,StartDate+D5612,"")</f>
        <v/>
      </c>
      <c r="F5612">
        <f>IF(B5612,MAX(MOD(SIN(Seed*0.1373+C5612*12.9898+D5612*78.233)*43758.5453,1),1E-9),"")</f>
        <v/>
      </c>
      <c r="G5612">
        <f>IF(B5612,MOD(SIN(Seed*0.5917+C5612*39.3468+D5612*11.135)*24634.6345,1),"")</f>
        <v/>
      </c>
      <c r="H5612">
        <f>IF(B5612,SQRT(-2*LN(F5612))*COS(2*PI()*G5612),"")</f>
        <v/>
      </c>
      <c r="I5612">
        <f>IF(B5612,IF(D5612=0,H5612,Rho*I5611+SQRT(1-Rho^2)*H5612),"")</f>
        <v/>
      </c>
      <c r="J5612">
        <f>IF(B5612,IF(Dist="Normal",DistA+DistB*I5612,DistA+(DistB-DistA)*NORMSDIST(I5612)),"")</f>
        <v/>
      </c>
      <c r="K5612">
        <f>IF(B5612,INDEX(MineScale,C5612),"")</f>
        <v/>
      </c>
      <c r="L5612">
        <f>IF(B5612,INDEX(Dow,1,WEEKDAY(E5612,2)),"")</f>
        <v/>
      </c>
      <c r="M5612">
        <f>IF(B5612,(1+Trend)^D5612,"")</f>
        <v/>
      </c>
      <c r="N5612">
        <f>IF(B5612,EXP(SUMPRODUCT(LN(1+(EvEff-1)*INDEX(Affected,0,C5612)*EXP(-((E5612-EvCenter)^2)/(2*EvSigma^2))))),"")</f>
        <v/>
      </c>
      <c r="O5612">
        <f>IF(B5612,ROUND(MAX(0,J5612*K5612*L5612*M5612*N5612),2),"")</f>
        <v/>
      </c>
    </row>
    <row r="5613">
      <c r="A5613" t="n">
        <v>5612</v>
      </c>
      <c r="B5613">
        <f>A5613&lt;=MineCount*Days</f>
        <v/>
      </c>
      <c r="C5613">
        <f>IF(B5613,INT((A5613-1)/Days)+1,"")</f>
        <v/>
      </c>
      <c r="D5613">
        <f>IF(B5613,MOD(A5613-1,Days),"")</f>
        <v/>
      </c>
      <c r="E5613" s="16">
        <f>IF(B5613,StartDate+D5613,"")</f>
        <v/>
      </c>
      <c r="F5613">
        <f>IF(B5613,MAX(MOD(SIN(Seed*0.1373+C5613*12.9898+D5613*78.233)*43758.5453,1),1E-9),"")</f>
        <v/>
      </c>
      <c r="G5613">
        <f>IF(B5613,MOD(SIN(Seed*0.5917+C5613*39.3468+D5613*11.135)*24634.6345,1),"")</f>
        <v/>
      </c>
      <c r="H5613">
        <f>IF(B5613,SQRT(-2*LN(F5613))*COS(2*PI()*G5613),"")</f>
        <v/>
      </c>
      <c r="I5613">
        <f>IF(B5613,IF(D5613=0,H5613,Rho*I5612+SQRT(1-Rho^2)*H5613),"")</f>
        <v/>
      </c>
      <c r="J5613">
        <f>IF(B5613,IF(Dist="Normal",DistA+DistB*I5613,DistA+(DistB-DistA)*NORMSDIST(I5613)),"")</f>
        <v/>
      </c>
      <c r="K5613">
        <f>IF(B5613,INDEX(MineScale,C5613),"")</f>
        <v/>
      </c>
      <c r="L5613">
        <f>IF(B5613,INDEX(Dow,1,WEEKDAY(E5613,2)),"")</f>
        <v/>
      </c>
      <c r="M5613">
        <f>IF(B5613,(1+Trend)^D5613,"")</f>
        <v/>
      </c>
      <c r="N5613">
        <f>IF(B5613,EXP(SUMPRODUCT(LN(1+(EvEff-1)*INDEX(Affected,0,C5613)*EXP(-((E5613-EvCenter)^2)/(2*EvSigma^2))))),"")</f>
        <v/>
      </c>
      <c r="O5613">
        <f>IF(B5613,ROUND(MAX(0,J5613*K5613*L5613*M5613*N5613),2),"")</f>
        <v/>
      </c>
    </row>
    <row r="5614">
      <c r="A5614" t="n">
        <v>5613</v>
      </c>
      <c r="B5614">
        <f>A5614&lt;=MineCount*Days</f>
        <v/>
      </c>
      <c r="C5614">
        <f>IF(B5614,INT((A5614-1)/Days)+1,"")</f>
        <v/>
      </c>
      <c r="D5614">
        <f>IF(B5614,MOD(A5614-1,Days),"")</f>
        <v/>
      </c>
      <c r="E5614" s="16">
        <f>IF(B5614,StartDate+D5614,"")</f>
        <v/>
      </c>
      <c r="F5614">
        <f>IF(B5614,MAX(MOD(SIN(Seed*0.1373+C5614*12.9898+D5614*78.233)*43758.5453,1),1E-9),"")</f>
        <v/>
      </c>
      <c r="G5614">
        <f>IF(B5614,MOD(SIN(Seed*0.5917+C5614*39.3468+D5614*11.135)*24634.6345,1),"")</f>
        <v/>
      </c>
      <c r="H5614">
        <f>IF(B5614,SQRT(-2*LN(F5614))*COS(2*PI()*G5614),"")</f>
        <v/>
      </c>
      <c r="I5614">
        <f>IF(B5614,IF(D5614=0,H5614,Rho*I5613+SQRT(1-Rho^2)*H5614),"")</f>
        <v/>
      </c>
      <c r="J5614">
        <f>IF(B5614,IF(Dist="Normal",DistA+DistB*I5614,DistA+(DistB-DistA)*NORMSDIST(I5614)),"")</f>
        <v/>
      </c>
      <c r="K5614">
        <f>IF(B5614,INDEX(MineScale,C5614),"")</f>
        <v/>
      </c>
      <c r="L5614">
        <f>IF(B5614,INDEX(Dow,1,WEEKDAY(E5614,2)),"")</f>
        <v/>
      </c>
      <c r="M5614">
        <f>IF(B5614,(1+Trend)^D5614,"")</f>
        <v/>
      </c>
      <c r="N5614">
        <f>IF(B5614,EXP(SUMPRODUCT(LN(1+(EvEff-1)*INDEX(Affected,0,C5614)*EXP(-((E5614-EvCenter)^2)/(2*EvSigma^2))))),"")</f>
        <v/>
      </c>
      <c r="O5614">
        <f>IF(B5614,ROUND(MAX(0,J5614*K5614*L5614*M5614*N5614),2),"")</f>
        <v/>
      </c>
    </row>
    <row r="5615">
      <c r="A5615" t="n">
        <v>5614</v>
      </c>
      <c r="B5615">
        <f>A5615&lt;=MineCount*Days</f>
        <v/>
      </c>
      <c r="C5615">
        <f>IF(B5615,INT((A5615-1)/Days)+1,"")</f>
        <v/>
      </c>
      <c r="D5615">
        <f>IF(B5615,MOD(A5615-1,Days),"")</f>
        <v/>
      </c>
      <c r="E5615" s="16">
        <f>IF(B5615,StartDate+D5615,"")</f>
        <v/>
      </c>
      <c r="F5615">
        <f>IF(B5615,MAX(MOD(SIN(Seed*0.1373+C5615*12.9898+D5615*78.233)*43758.5453,1),1E-9),"")</f>
        <v/>
      </c>
      <c r="G5615">
        <f>IF(B5615,MOD(SIN(Seed*0.5917+C5615*39.3468+D5615*11.135)*24634.6345,1),"")</f>
        <v/>
      </c>
      <c r="H5615">
        <f>IF(B5615,SQRT(-2*LN(F5615))*COS(2*PI()*G5615),"")</f>
        <v/>
      </c>
      <c r="I5615">
        <f>IF(B5615,IF(D5615=0,H5615,Rho*I5614+SQRT(1-Rho^2)*H5615),"")</f>
        <v/>
      </c>
      <c r="J5615">
        <f>IF(B5615,IF(Dist="Normal",DistA+DistB*I5615,DistA+(DistB-DistA)*NORMSDIST(I5615)),"")</f>
        <v/>
      </c>
      <c r="K5615">
        <f>IF(B5615,INDEX(MineScale,C5615),"")</f>
        <v/>
      </c>
      <c r="L5615">
        <f>IF(B5615,INDEX(Dow,1,WEEKDAY(E5615,2)),"")</f>
        <v/>
      </c>
      <c r="M5615">
        <f>IF(B5615,(1+Trend)^D5615,"")</f>
        <v/>
      </c>
      <c r="N5615">
        <f>IF(B5615,EXP(SUMPRODUCT(LN(1+(EvEff-1)*INDEX(Affected,0,C5615)*EXP(-((E5615-EvCenter)^2)/(2*EvSigma^2))))),"")</f>
        <v/>
      </c>
      <c r="O5615">
        <f>IF(B5615,ROUND(MAX(0,J5615*K5615*L5615*M5615*N5615),2),"")</f>
        <v/>
      </c>
    </row>
    <row r="5616">
      <c r="A5616" t="n">
        <v>5615</v>
      </c>
      <c r="B5616">
        <f>A5616&lt;=MineCount*Days</f>
        <v/>
      </c>
      <c r="C5616">
        <f>IF(B5616,INT((A5616-1)/Days)+1,"")</f>
        <v/>
      </c>
      <c r="D5616">
        <f>IF(B5616,MOD(A5616-1,Days),"")</f>
        <v/>
      </c>
      <c r="E5616" s="16">
        <f>IF(B5616,StartDate+D5616,"")</f>
        <v/>
      </c>
      <c r="F5616">
        <f>IF(B5616,MAX(MOD(SIN(Seed*0.1373+C5616*12.9898+D5616*78.233)*43758.5453,1),1E-9),"")</f>
        <v/>
      </c>
      <c r="G5616">
        <f>IF(B5616,MOD(SIN(Seed*0.5917+C5616*39.3468+D5616*11.135)*24634.6345,1),"")</f>
        <v/>
      </c>
      <c r="H5616">
        <f>IF(B5616,SQRT(-2*LN(F5616))*COS(2*PI()*G5616),"")</f>
        <v/>
      </c>
      <c r="I5616">
        <f>IF(B5616,IF(D5616=0,H5616,Rho*I5615+SQRT(1-Rho^2)*H5616),"")</f>
        <v/>
      </c>
      <c r="J5616">
        <f>IF(B5616,IF(Dist="Normal",DistA+DistB*I5616,DistA+(DistB-DistA)*NORMSDIST(I5616)),"")</f>
        <v/>
      </c>
      <c r="K5616">
        <f>IF(B5616,INDEX(MineScale,C5616),"")</f>
        <v/>
      </c>
      <c r="L5616">
        <f>IF(B5616,INDEX(Dow,1,WEEKDAY(E5616,2)),"")</f>
        <v/>
      </c>
      <c r="M5616">
        <f>IF(B5616,(1+Trend)^D5616,"")</f>
        <v/>
      </c>
      <c r="N5616">
        <f>IF(B5616,EXP(SUMPRODUCT(LN(1+(EvEff-1)*INDEX(Affected,0,C5616)*EXP(-((E5616-EvCenter)^2)/(2*EvSigma^2))))),"")</f>
        <v/>
      </c>
      <c r="O5616">
        <f>IF(B5616,ROUND(MAX(0,J5616*K5616*L5616*M5616*N5616),2),"")</f>
        <v/>
      </c>
    </row>
    <row r="5617">
      <c r="A5617" t="n">
        <v>5616</v>
      </c>
      <c r="B5617">
        <f>A5617&lt;=MineCount*Days</f>
        <v/>
      </c>
      <c r="C5617">
        <f>IF(B5617,INT((A5617-1)/Days)+1,"")</f>
        <v/>
      </c>
      <c r="D5617">
        <f>IF(B5617,MOD(A5617-1,Days),"")</f>
        <v/>
      </c>
      <c r="E5617" s="16">
        <f>IF(B5617,StartDate+D5617,"")</f>
        <v/>
      </c>
      <c r="F5617">
        <f>IF(B5617,MAX(MOD(SIN(Seed*0.1373+C5617*12.9898+D5617*78.233)*43758.5453,1),1E-9),"")</f>
        <v/>
      </c>
      <c r="G5617">
        <f>IF(B5617,MOD(SIN(Seed*0.5917+C5617*39.3468+D5617*11.135)*24634.6345,1),"")</f>
        <v/>
      </c>
      <c r="H5617">
        <f>IF(B5617,SQRT(-2*LN(F5617))*COS(2*PI()*G5617),"")</f>
        <v/>
      </c>
      <c r="I5617">
        <f>IF(B5617,IF(D5617=0,H5617,Rho*I5616+SQRT(1-Rho^2)*H5617),"")</f>
        <v/>
      </c>
      <c r="J5617">
        <f>IF(B5617,IF(Dist="Normal",DistA+DistB*I5617,DistA+(DistB-DistA)*NORMSDIST(I5617)),"")</f>
        <v/>
      </c>
      <c r="K5617">
        <f>IF(B5617,INDEX(MineScale,C5617),"")</f>
        <v/>
      </c>
      <c r="L5617">
        <f>IF(B5617,INDEX(Dow,1,WEEKDAY(E5617,2)),"")</f>
        <v/>
      </c>
      <c r="M5617">
        <f>IF(B5617,(1+Trend)^D5617,"")</f>
        <v/>
      </c>
      <c r="N5617">
        <f>IF(B5617,EXP(SUMPRODUCT(LN(1+(EvEff-1)*INDEX(Affected,0,C5617)*EXP(-((E5617-EvCenter)^2)/(2*EvSigma^2))))),"")</f>
        <v/>
      </c>
      <c r="O5617">
        <f>IF(B5617,ROUND(MAX(0,J5617*K5617*L5617*M5617*N5617),2),"")</f>
        <v/>
      </c>
    </row>
    <row r="5618">
      <c r="A5618" t="n">
        <v>5617</v>
      </c>
      <c r="B5618">
        <f>A5618&lt;=MineCount*Days</f>
        <v/>
      </c>
      <c r="C5618">
        <f>IF(B5618,INT((A5618-1)/Days)+1,"")</f>
        <v/>
      </c>
      <c r="D5618">
        <f>IF(B5618,MOD(A5618-1,Days),"")</f>
        <v/>
      </c>
      <c r="E5618" s="16">
        <f>IF(B5618,StartDate+D5618,"")</f>
        <v/>
      </c>
      <c r="F5618">
        <f>IF(B5618,MAX(MOD(SIN(Seed*0.1373+C5618*12.9898+D5618*78.233)*43758.5453,1),1E-9),"")</f>
        <v/>
      </c>
      <c r="G5618">
        <f>IF(B5618,MOD(SIN(Seed*0.5917+C5618*39.3468+D5618*11.135)*24634.6345,1),"")</f>
        <v/>
      </c>
      <c r="H5618">
        <f>IF(B5618,SQRT(-2*LN(F5618))*COS(2*PI()*G5618),"")</f>
        <v/>
      </c>
      <c r="I5618">
        <f>IF(B5618,IF(D5618=0,H5618,Rho*I5617+SQRT(1-Rho^2)*H5618),"")</f>
        <v/>
      </c>
      <c r="J5618">
        <f>IF(B5618,IF(Dist="Normal",DistA+DistB*I5618,DistA+(DistB-DistA)*NORMSDIST(I5618)),"")</f>
        <v/>
      </c>
      <c r="K5618">
        <f>IF(B5618,INDEX(MineScale,C5618),"")</f>
        <v/>
      </c>
      <c r="L5618">
        <f>IF(B5618,INDEX(Dow,1,WEEKDAY(E5618,2)),"")</f>
        <v/>
      </c>
      <c r="M5618">
        <f>IF(B5618,(1+Trend)^D5618,"")</f>
        <v/>
      </c>
      <c r="N5618">
        <f>IF(B5618,EXP(SUMPRODUCT(LN(1+(EvEff-1)*INDEX(Affected,0,C5618)*EXP(-((E5618-EvCenter)^2)/(2*EvSigma^2))))),"")</f>
        <v/>
      </c>
      <c r="O5618">
        <f>IF(B5618,ROUND(MAX(0,J5618*K5618*L5618*M5618*N5618),2),"")</f>
        <v/>
      </c>
    </row>
    <row r="5619">
      <c r="A5619" t="n">
        <v>5618</v>
      </c>
      <c r="B5619">
        <f>A5619&lt;=MineCount*Days</f>
        <v/>
      </c>
      <c r="C5619">
        <f>IF(B5619,INT((A5619-1)/Days)+1,"")</f>
        <v/>
      </c>
      <c r="D5619">
        <f>IF(B5619,MOD(A5619-1,Days),"")</f>
        <v/>
      </c>
      <c r="E5619" s="16">
        <f>IF(B5619,StartDate+D5619,"")</f>
        <v/>
      </c>
      <c r="F5619">
        <f>IF(B5619,MAX(MOD(SIN(Seed*0.1373+C5619*12.9898+D5619*78.233)*43758.5453,1),1E-9),"")</f>
        <v/>
      </c>
      <c r="G5619">
        <f>IF(B5619,MOD(SIN(Seed*0.5917+C5619*39.3468+D5619*11.135)*24634.6345,1),"")</f>
        <v/>
      </c>
      <c r="H5619">
        <f>IF(B5619,SQRT(-2*LN(F5619))*COS(2*PI()*G5619),"")</f>
        <v/>
      </c>
      <c r="I5619">
        <f>IF(B5619,IF(D5619=0,H5619,Rho*I5618+SQRT(1-Rho^2)*H5619),"")</f>
        <v/>
      </c>
      <c r="J5619">
        <f>IF(B5619,IF(Dist="Normal",DistA+DistB*I5619,DistA+(DistB-DistA)*NORMSDIST(I5619)),"")</f>
        <v/>
      </c>
      <c r="K5619">
        <f>IF(B5619,INDEX(MineScale,C5619),"")</f>
        <v/>
      </c>
      <c r="L5619">
        <f>IF(B5619,INDEX(Dow,1,WEEKDAY(E5619,2)),"")</f>
        <v/>
      </c>
      <c r="M5619">
        <f>IF(B5619,(1+Trend)^D5619,"")</f>
        <v/>
      </c>
      <c r="N5619">
        <f>IF(B5619,EXP(SUMPRODUCT(LN(1+(EvEff-1)*INDEX(Affected,0,C5619)*EXP(-((E5619-EvCenter)^2)/(2*EvSigma^2))))),"")</f>
        <v/>
      </c>
      <c r="O5619">
        <f>IF(B5619,ROUND(MAX(0,J5619*K5619*L5619*M5619*N5619),2),"")</f>
        <v/>
      </c>
    </row>
    <row r="5620">
      <c r="A5620" t="n">
        <v>5619</v>
      </c>
      <c r="B5620">
        <f>A5620&lt;=MineCount*Days</f>
        <v/>
      </c>
      <c r="C5620">
        <f>IF(B5620,INT((A5620-1)/Days)+1,"")</f>
        <v/>
      </c>
      <c r="D5620">
        <f>IF(B5620,MOD(A5620-1,Days),"")</f>
        <v/>
      </c>
      <c r="E5620" s="16">
        <f>IF(B5620,StartDate+D5620,"")</f>
        <v/>
      </c>
      <c r="F5620">
        <f>IF(B5620,MAX(MOD(SIN(Seed*0.1373+C5620*12.9898+D5620*78.233)*43758.5453,1),1E-9),"")</f>
        <v/>
      </c>
      <c r="G5620">
        <f>IF(B5620,MOD(SIN(Seed*0.5917+C5620*39.3468+D5620*11.135)*24634.6345,1),"")</f>
        <v/>
      </c>
      <c r="H5620">
        <f>IF(B5620,SQRT(-2*LN(F5620))*COS(2*PI()*G5620),"")</f>
        <v/>
      </c>
      <c r="I5620">
        <f>IF(B5620,IF(D5620=0,H5620,Rho*I5619+SQRT(1-Rho^2)*H5620),"")</f>
        <v/>
      </c>
      <c r="J5620">
        <f>IF(B5620,IF(Dist="Normal",DistA+DistB*I5620,DistA+(DistB-DistA)*NORMSDIST(I5620)),"")</f>
        <v/>
      </c>
      <c r="K5620">
        <f>IF(B5620,INDEX(MineScale,C5620),"")</f>
        <v/>
      </c>
      <c r="L5620">
        <f>IF(B5620,INDEX(Dow,1,WEEKDAY(E5620,2)),"")</f>
        <v/>
      </c>
      <c r="M5620">
        <f>IF(B5620,(1+Trend)^D5620,"")</f>
        <v/>
      </c>
      <c r="N5620">
        <f>IF(B5620,EXP(SUMPRODUCT(LN(1+(EvEff-1)*INDEX(Affected,0,C5620)*EXP(-((E5620-EvCenter)^2)/(2*EvSigma^2))))),"")</f>
        <v/>
      </c>
      <c r="O5620">
        <f>IF(B5620,ROUND(MAX(0,J5620*K5620*L5620*M5620*N5620),2),"")</f>
        <v/>
      </c>
    </row>
    <row r="5621">
      <c r="A5621" t="n">
        <v>5620</v>
      </c>
      <c r="B5621">
        <f>A5621&lt;=MineCount*Days</f>
        <v/>
      </c>
      <c r="C5621">
        <f>IF(B5621,INT((A5621-1)/Days)+1,"")</f>
        <v/>
      </c>
      <c r="D5621">
        <f>IF(B5621,MOD(A5621-1,Days),"")</f>
        <v/>
      </c>
      <c r="E5621" s="16">
        <f>IF(B5621,StartDate+D5621,"")</f>
        <v/>
      </c>
      <c r="F5621">
        <f>IF(B5621,MAX(MOD(SIN(Seed*0.1373+C5621*12.9898+D5621*78.233)*43758.5453,1),1E-9),"")</f>
        <v/>
      </c>
      <c r="G5621">
        <f>IF(B5621,MOD(SIN(Seed*0.5917+C5621*39.3468+D5621*11.135)*24634.6345,1),"")</f>
        <v/>
      </c>
      <c r="H5621">
        <f>IF(B5621,SQRT(-2*LN(F5621))*COS(2*PI()*G5621),"")</f>
        <v/>
      </c>
      <c r="I5621">
        <f>IF(B5621,IF(D5621=0,H5621,Rho*I5620+SQRT(1-Rho^2)*H5621),"")</f>
        <v/>
      </c>
      <c r="J5621">
        <f>IF(B5621,IF(Dist="Normal",DistA+DistB*I5621,DistA+(DistB-DistA)*NORMSDIST(I5621)),"")</f>
        <v/>
      </c>
      <c r="K5621">
        <f>IF(B5621,INDEX(MineScale,C5621),"")</f>
        <v/>
      </c>
      <c r="L5621">
        <f>IF(B5621,INDEX(Dow,1,WEEKDAY(E5621,2)),"")</f>
        <v/>
      </c>
      <c r="M5621">
        <f>IF(B5621,(1+Trend)^D5621,"")</f>
        <v/>
      </c>
      <c r="N5621">
        <f>IF(B5621,EXP(SUMPRODUCT(LN(1+(EvEff-1)*INDEX(Affected,0,C5621)*EXP(-((E5621-EvCenter)^2)/(2*EvSigma^2))))),"")</f>
        <v/>
      </c>
      <c r="O5621">
        <f>IF(B5621,ROUND(MAX(0,J5621*K5621*L5621*M5621*N5621),2),"")</f>
        <v/>
      </c>
    </row>
    <row r="5622">
      <c r="A5622" t="n">
        <v>5621</v>
      </c>
      <c r="B5622">
        <f>A5622&lt;=MineCount*Days</f>
        <v/>
      </c>
      <c r="C5622">
        <f>IF(B5622,INT((A5622-1)/Days)+1,"")</f>
        <v/>
      </c>
      <c r="D5622">
        <f>IF(B5622,MOD(A5622-1,Days),"")</f>
        <v/>
      </c>
      <c r="E5622" s="16">
        <f>IF(B5622,StartDate+D5622,"")</f>
        <v/>
      </c>
      <c r="F5622">
        <f>IF(B5622,MAX(MOD(SIN(Seed*0.1373+C5622*12.9898+D5622*78.233)*43758.5453,1),1E-9),"")</f>
        <v/>
      </c>
      <c r="G5622">
        <f>IF(B5622,MOD(SIN(Seed*0.5917+C5622*39.3468+D5622*11.135)*24634.6345,1),"")</f>
        <v/>
      </c>
      <c r="H5622">
        <f>IF(B5622,SQRT(-2*LN(F5622))*COS(2*PI()*G5622),"")</f>
        <v/>
      </c>
      <c r="I5622">
        <f>IF(B5622,IF(D5622=0,H5622,Rho*I5621+SQRT(1-Rho^2)*H5622),"")</f>
        <v/>
      </c>
      <c r="J5622">
        <f>IF(B5622,IF(Dist="Normal",DistA+DistB*I5622,DistA+(DistB-DistA)*NORMSDIST(I5622)),"")</f>
        <v/>
      </c>
      <c r="K5622">
        <f>IF(B5622,INDEX(MineScale,C5622),"")</f>
        <v/>
      </c>
      <c r="L5622">
        <f>IF(B5622,INDEX(Dow,1,WEEKDAY(E5622,2)),"")</f>
        <v/>
      </c>
      <c r="M5622">
        <f>IF(B5622,(1+Trend)^D5622,"")</f>
        <v/>
      </c>
      <c r="N5622">
        <f>IF(B5622,EXP(SUMPRODUCT(LN(1+(EvEff-1)*INDEX(Affected,0,C5622)*EXP(-((E5622-EvCenter)^2)/(2*EvSigma^2))))),"")</f>
        <v/>
      </c>
      <c r="O5622">
        <f>IF(B5622,ROUND(MAX(0,J5622*K5622*L5622*M5622*N5622),2),"")</f>
        <v/>
      </c>
    </row>
    <row r="5623">
      <c r="A5623" t="n">
        <v>5622</v>
      </c>
      <c r="B5623">
        <f>A5623&lt;=MineCount*Days</f>
        <v/>
      </c>
      <c r="C5623">
        <f>IF(B5623,INT((A5623-1)/Days)+1,"")</f>
        <v/>
      </c>
      <c r="D5623">
        <f>IF(B5623,MOD(A5623-1,Days),"")</f>
        <v/>
      </c>
      <c r="E5623" s="16">
        <f>IF(B5623,StartDate+D5623,"")</f>
        <v/>
      </c>
      <c r="F5623">
        <f>IF(B5623,MAX(MOD(SIN(Seed*0.1373+C5623*12.9898+D5623*78.233)*43758.5453,1),1E-9),"")</f>
        <v/>
      </c>
      <c r="G5623">
        <f>IF(B5623,MOD(SIN(Seed*0.5917+C5623*39.3468+D5623*11.135)*24634.6345,1),"")</f>
        <v/>
      </c>
      <c r="H5623">
        <f>IF(B5623,SQRT(-2*LN(F5623))*COS(2*PI()*G5623),"")</f>
        <v/>
      </c>
      <c r="I5623">
        <f>IF(B5623,IF(D5623=0,H5623,Rho*I5622+SQRT(1-Rho^2)*H5623),"")</f>
        <v/>
      </c>
      <c r="J5623">
        <f>IF(B5623,IF(Dist="Normal",DistA+DistB*I5623,DistA+(DistB-DistA)*NORMSDIST(I5623)),"")</f>
        <v/>
      </c>
      <c r="K5623">
        <f>IF(B5623,INDEX(MineScale,C5623),"")</f>
        <v/>
      </c>
      <c r="L5623">
        <f>IF(B5623,INDEX(Dow,1,WEEKDAY(E5623,2)),"")</f>
        <v/>
      </c>
      <c r="M5623">
        <f>IF(B5623,(1+Trend)^D5623,"")</f>
        <v/>
      </c>
      <c r="N5623">
        <f>IF(B5623,EXP(SUMPRODUCT(LN(1+(EvEff-1)*INDEX(Affected,0,C5623)*EXP(-((E5623-EvCenter)^2)/(2*EvSigma^2))))),"")</f>
        <v/>
      </c>
      <c r="O5623">
        <f>IF(B5623,ROUND(MAX(0,J5623*K5623*L5623*M5623*N5623),2),"")</f>
        <v/>
      </c>
    </row>
    <row r="5624">
      <c r="A5624" t="n">
        <v>5623</v>
      </c>
      <c r="B5624">
        <f>A5624&lt;=MineCount*Days</f>
        <v/>
      </c>
      <c r="C5624">
        <f>IF(B5624,INT((A5624-1)/Days)+1,"")</f>
        <v/>
      </c>
      <c r="D5624">
        <f>IF(B5624,MOD(A5624-1,Days),"")</f>
        <v/>
      </c>
      <c r="E5624" s="16">
        <f>IF(B5624,StartDate+D5624,"")</f>
        <v/>
      </c>
      <c r="F5624">
        <f>IF(B5624,MAX(MOD(SIN(Seed*0.1373+C5624*12.9898+D5624*78.233)*43758.5453,1),1E-9),"")</f>
        <v/>
      </c>
      <c r="G5624">
        <f>IF(B5624,MOD(SIN(Seed*0.5917+C5624*39.3468+D5624*11.135)*24634.6345,1),"")</f>
        <v/>
      </c>
      <c r="H5624">
        <f>IF(B5624,SQRT(-2*LN(F5624))*COS(2*PI()*G5624),"")</f>
        <v/>
      </c>
      <c r="I5624">
        <f>IF(B5624,IF(D5624=0,H5624,Rho*I5623+SQRT(1-Rho^2)*H5624),"")</f>
        <v/>
      </c>
      <c r="J5624">
        <f>IF(B5624,IF(Dist="Normal",DistA+DistB*I5624,DistA+(DistB-DistA)*NORMSDIST(I5624)),"")</f>
        <v/>
      </c>
      <c r="K5624">
        <f>IF(B5624,INDEX(MineScale,C5624),"")</f>
        <v/>
      </c>
      <c r="L5624">
        <f>IF(B5624,INDEX(Dow,1,WEEKDAY(E5624,2)),"")</f>
        <v/>
      </c>
      <c r="M5624">
        <f>IF(B5624,(1+Trend)^D5624,"")</f>
        <v/>
      </c>
      <c r="N5624">
        <f>IF(B5624,EXP(SUMPRODUCT(LN(1+(EvEff-1)*INDEX(Affected,0,C5624)*EXP(-((E5624-EvCenter)^2)/(2*EvSigma^2))))),"")</f>
        <v/>
      </c>
      <c r="O5624">
        <f>IF(B5624,ROUND(MAX(0,J5624*K5624*L5624*M5624*N5624),2),"")</f>
        <v/>
      </c>
    </row>
    <row r="5625">
      <c r="A5625" t="n">
        <v>5624</v>
      </c>
      <c r="B5625">
        <f>A5625&lt;=MineCount*Days</f>
        <v/>
      </c>
      <c r="C5625">
        <f>IF(B5625,INT((A5625-1)/Days)+1,"")</f>
        <v/>
      </c>
      <c r="D5625">
        <f>IF(B5625,MOD(A5625-1,Days),"")</f>
        <v/>
      </c>
      <c r="E5625" s="16">
        <f>IF(B5625,StartDate+D5625,"")</f>
        <v/>
      </c>
      <c r="F5625">
        <f>IF(B5625,MAX(MOD(SIN(Seed*0.1373+C5625*12.9898+D5625*78.233)*43758.5453,1),1E-9),"")</f>
        <v/>
      </c>
      <c r="G5625">
        <f>IF(B5625,MOD(SIN(Seed*0.5917+C5625*39.3468+D5625*11.135)*24634.6345,1),"")</f>
        <v/>
      </c>
      <c r="H5625">
        <f>IF(B5625,SQRT(-2*LN(F5625))*COS(2*PI()*G5625),"")</f>
        <v/>
      </c>
      <c r="I5625">
        <f>IF(B5625,IF(D5625=0,H5625,Rho*I5624+SQRT(1-Rho^2)*H5625),"")</f>
        <v/>
      </c>
      <c r="J5625">
        <f>IF(B5625,IF(Dist="Normal",DistA+DistB*I5625,DistA+(DistB-DistA)*NORMSDIST(I5625)),"")</f>
        <v/>
      </c>
      <c r="K5625">
        <f>IF(B5625,INDEX(MineScale,C5625),"")</f>
        <v/>
      </c>
      <c r="L5625">
        <f>IF(B5625,INDEX(Dow,1,WEEKDAY(E5625,2)),"")</f>
        <v/>
      </c>
      <c r="M5625">
        <f>IF(B5625,(1+Trend)^D5625,"")</f>
        <v/>
      </c>
      <c r="N5625">
        <f>IF(B5625,EXP(SUMPRODUCT(LN(1+(EvEff-1)*INDEX(Affected,0,C5625)*EXP(-((E5625-EvCenter)^2)/(2*EvSigma^2))))),"")</f>
        <v/>
      </c>
      <c r="O5625">
        <f>IF(B5625,ROUND(MAX(0,J5625*K5625*L5625*M5625*N5625),2),"")</f>
        <v/>
      </c>
    </row>
    <row r="5626">
      <c r="A5626" t="n">
        <v>5625</v>
      </c>
      <c r="B5626">
        <f>A5626&lt;=MineCount*Days</f>
        <v/>
      </c>
      <c r="C5626">
        <f>IF(B5626,INT((A5626-1)/Days)+1,"")</f>
        <v/>
      </c>
      <c r="D5626">
        <f>IF(B5626,MOD(A5626-1,Days),"")</f>
        <v/>
      </c>
      <c r="E5626" s="16">
        <f>IF(B5626,StartDate+D5626,"")</f>
        <v/>
      </c>
      <c r="F5626">
        <f>IF(B5626,MAX(MOD(SIN(Seed*0.1373+C5626*12.9898+D5626*78.233)*43758.5453,1),1E-9),"")</f>
        <v/>
      </c>
      <c r="G5626">
        <f>IF(B5626,MOD(SIN(Seed*0.5917+C5626*39.3468+D5626*11.135)*24634.6345,1),"")</f>
        <v/>
      </c>
      <c r="H5626">
        <f>IF(B5626,SQRT(-2*LN(F5626))*COS(2*PI()*G5626),"")</f>
        <v/>
      </c>
      <c r="I5626">
        <f>IF(B5626,IF(D5626=0,H5626,Rho*I5625+SQRT(1-Rho^2)*H5626),"")</f>
        <v/>
      </c>
      <c r="J5626">
        <f>IF(B5626,IF(Dist="Normal",DistA+DistB*I5626,DistA+(DistB-DistA)*NORMSDIST(I5626)),"")</f>
        <v/>
      </c>
      <c r="K5626">
        <f>IF(B5626,INDEX(MineScale,C5626),"")</f>
        <v/>
      </c>
      <c r="L5626">
        <f>IF(B5626,INDEX(Dow,1,WEEKDAY(E5626,2)),"")</f>
        <v/>
      </c>
      <c r="M5626">
        <f>IF(B5626,(1+Trend)^D5626,"")</f>
        <v/>
      </c>
      <c r="N5626">
        <f>IF(B5626,EXP(SUMPRODUCT(LN(1+(EvEff-1)*INDEX(Affected,0,C5626)*EXP(-((E5626-EvCenter)^2)/(2*EvSigma^2))))),"")</f>
        <v/>
      </c>
      <c r="O5626">
        <f>IF(B5626,ROUND(MAX(0,J5626*K5626*L5626*M5626*N5626),2),"")</f>
        <v/>
      </c>
    </row>
    <row r="5627">
      <c r="A5627" t="n">
        <v>5626</v>
      </c>
      <c r="B5627">
        <f>A5627&lt;=MineCount*Days</f>
        <v/>
      </c>
      <c r="C5627">
        <f>IF(B5627,INT((A5627-1)/Days)+1,"")</f>
        <v/>
      </c>
      <c r="D5627">
        <f>IF(B5627,MOD(A5627-1,Days),"")</f>
        <v/>
      </c>
      <c r="E5627" s="16">
        <f>IF(B5627,StartDate+D5627,"")</f>
        <v/>
      </c>
      <c r="F5627">
        <f>IF(B5627,MAX(MOD(SIN(Seed*0.1373+C5627*12.9898+D5627*78.233)*43758.5453,1),1E-9),"")</f>
        <v/>
      </c>
      <c r="G5627">
        <f>IF(B5627,MOD(SIN(Seed*0.5917+C5627*39.3468+D5627*11.135)*24634.6345,1),"")</f>
        <v/>
      </c>
      <c r="H5627">
        <f>IF(B5627,SQRT(-2*LN(F5627))*COS(2*PI()*G5627),"")</f>
        <v/>
      </c>
      <c r="I5627">
        <f>IF(B5627,IF(D5627=0,H5627,Rho*I5626+SQRT(1-Rho^2)*H5627),"")</f>
        <v/>
      </c>
      <c r="J5627">
        <f>IF(B5627,IF(Dist="Normal",DistA+DistB*I5627,DistA+(DistB-DistA)*NORMSDIST(I5627)),"")</f>
        <v/>
      </c>
      <c r="K5627">
        <f>IF(B5627,INDEX(MineScale,C5627),"")</f>
        <v/>
      </c>
      <c r="L5627">
        <f>IF(B5627,INDEX(Dow,1,WEEKDAY(E5627,2)),"")</f>
        <v/>
      </c>
      <c r="M5627">
        <f>IF(B5627,(1+Trend)^D5627,"")</f>
        <v/>
      </c>
      <c r="N5627">
        <f>IF(B5627,EXP(SUMPRODUCT(LN(1+(EvEff-1)*INDEX(Affected,0,C5627)*EXP(-((E5627-EvCenter)^2)/(2*EvSigma^2))))),"")</f>
        <v/>
      </c>
      <c r="O5627">
        <f>IF(B5627,ROUND(MAX(0,J5627*K5627*L5627*M5627*N5627),2),"")</f>
        <v/>
      </c>
    </row>
    <row r="5628">
      <c r="A5628" t="n">
        <v>5627</v>
      </c>
      <c r="B5628">
        <f>A5628&lt;=MineCount*Days</f>
        <v/>
      </c>
      <c r="C5628">
        <f>IF(B5628,INT((A5628-1)/Days)+1,"")</f>
        <v/>
      </c>
      <c r="D5628">
        <f>IF(B5628,MOD(A5628-1,Days),"")</f>
        <v/>
      </c>
      <c r="E5628" s="16">
        <f>IF(B5628,StartDate+D5628,"")</f>
        <v/>
      </c>
      <c r="F5628">
        <f>IF(B5628,MAX(MOD(SIN(Seed*0.1373+C5628*12.9898+D5628*78.233)*43758.5453,1),1E-9),"")</f>
        <v/>
      </c>
      <c r="G5628">
        <f>IF(B5628,MOD(SIN(Seed*0.5917+C5628*39.3468+D5628*11.135)*24634.6345,1),"")</f>
        <v/>
      </c>
      <c r="H5628">
        <f>IF(B5628,SQRT(-2*LN(F5628))*COS(2*PI()*G5628),"")</f>
        <v/>
      </c>
      <c r="I5628">
        <f>IF(B5628,IF(D5628=0,H5628,Rho*I5627+SQRT(1-Rho^2)*H5628),"")</f>
        <v/>
      </c>
      <c r="J5628">
        <f>IF(B5628,IF(Dist="Normal",DistA+DistB*I5628,DistA+(DistB-DistA)*NORMSDIST(I5628)),"")</f>
        <v/>
      </c>
      <c r="K5628">
        <f>IF(B5628,INDEX(MineScale,C5628),"")</f>
        <v/>
      </c>
      <c r="L5628">
        <f>IF(B5628,INDEX(Dow,1,WEEKDAY(E5628,2)),"")</f>
        <v/>
      </c>
      <c r="M5628">
        <f>IF(B5628,(1+Trend)^D5628,"")</f>
        <v/>
      </c>
      <c r="N5628">
        <f>IF(B5628,EXP(SUMPRODUCT(LN(1+(EvEff-1)*INDEX(Affected,0,C5628)*EXP(-((E5628-EvCenter)^2)/(2*EvSigma^2))))),"")</f>
        <v/>
      </c>
      <c r="O5628">
        <f>IF(B5628,ROUND(MAX(0,J5628*K5628*L5628*M5628*N5628),2),"")</f>
        <v/>
      </c>
    </row>
    <row r="5629">
      <c r="A5629" t="n">
        <v>5628</v>
      </c>
      <c r="B5629">
        <f>A5629&lt;=MineCount*Days</f>
        <v/>
      </c>
      <c r="C5629">
        <f>IF(B5629,INT((A5629-1)/Days)+1,"")</f>
        <v/>
      </c>
      <c r="D5629">
        <f>IF(B5629,MOD(A5629-1,Days),"")</f>
        <v/>
      </c>
      <c r="E5629" s="16">
        <f>IF(B5629,StartDate+D5629,"")</f>
        <v/>
      </c>
      <c r="F5629">
        <f>IF(B5629,MAX(MOD(SIN(Seed*0.1373+C5629*12.9898+D5629*78.233)*43758.5453,1),1E-9),"")</f>
        <v/>
      </c>
      <c r="G5629">
        <f>IF(B5629,MOD(SIN(Seed*0.5917+C5629*39.3468+D5629*11.135)*24634.6345,1),"")</f>
        <v/>
      </c>
      <c r="H5629">
        <f>IF(B5629,SQRT(-2*LN(F5629))*COS(2*PI()*G5629),"")</f>
        <v/>
      </c>
      <c r="I5629">
        <f>IF(B5629,IF(D5629=0,H5629,Rho*I5628+SQRT(1-Rho^2)*H5629),"")</f>
        <v/>
      </c>
      <c r="J5629">
        <f>IF(B5629,IF(Dist="Normal",DistA+DistB*I5629,DistA+(DistB-DistA)*NORMSDIST(I5629)),"")</f>
        <v/>
      </c>
      <c r="K5629">
        <f>IF(B5629,INDEX(MineScale,C5629),"")</f>
        <v/>
      </c>
      <c r="L5629">
        <f>IF(B5629,INDEX(Dow,1,WEEKDAY(E5629,2)),"")</f>
        <v/>
      </c>
      <c r="M5629">
        <f>IF(B5629,(1+Trend)^D5629,"")</f>
        <v/>
      </c>
      <c r="N5629">
        <f>IF(B5629,EXP(SUMPRODUCT(LN(1+(EvEff-1)*INDEX(Affected,0,C5629)*EXP(-((E5629-EvCenter)^2)/(2*EvSigma^2))))),"")</f>
        <v/>
      </c>
      <c r="O5629">
        <f>IF(B5629,ROUND(MAX(0,J5629*K5629*L5629*M5629*N5629),2),"")</f>
        <v/>
      </c>
    </row>
    <row r="5630">
      <c r="A5630" t="n">
        <v>5629</v>
      </c>
      <c r="B5630">
        <f>A5630&lt;=MineCount*Days</f>
        <v/>
      </c>
      <c r="C5630">
        <f>IF(B5630,INT((A5630-1)/Days)+1,"")</f>
        <v/>
      </c>
      <c r="D5630">
        <f>IF(B5630,MOD(A5630-1,Days),"")</f>
        <v/>
      </c>
      <c r="E5630" s="16">
        <f>IF(B5630,StartDate+D5630,"")</f>
        <v/>
      </c>
      <c r="F5630">
        <f>IF(B5630,MAX(MOD(SIN(Seed*0.1373+C5630*12.9898+D5630*78.233)*43758.5453,1),1E-9),"")</f>
        <v/>
      </c>
      <c r="G5630">
        <f>IF(B5630,MOD(SIN(Seed*0.5917+C5630*39.3468+D5630*11.135)*24634.6345,1),"")</f>
        <v/>
      </c>
      <c r="H5630">
        <f>IF(B5630,SQRT(-2*LN(F5630))*COS(2*PI()*G5630),"")</f>
        <v/>
      </c>
      <c r="I5630">
        <f>IF(B5630,IF(D5630=0,H5630,Rho*I5629+SQRT(1-Rho^2)*H5630),"")</f>
        <v/>
      </c>
      <c r="J5630">
        <f>IF(B5630,IF(Dist="Normal",DistA+DistB*I5630,DistA+(DistB-DistA)*NORMSDIST(I5630)),"")</f>
        <v/>
      </c>
      <c r="K5630">
        <f>IF(B5630,INDEX(MineScale,C5630),"")</f>
        <v/>
      </c>
      <c r="L5630">
        <f>IF(B5630,INDEX(Dow,1,WEEKDAY(E5630,2)),"")</f>
        <v/>
      </c>
      <c r="M5630">
        <f>IF(B5630,(1+Trend)^D5630,"")</f>
        <v/>
      </c>
      <c r="N5630">
        <f>IF(B5630,EXP(SUMPRODUCT(LN(1+(EvEff-1)*INDEX(Affected,0,C5630)*EXP(-((E5630-EvCenter)^2)/(2*EvSigma^2))))),"")</f>
        <v/>
      </c>
      <c r="O5630">
        <f>IF(B5630,ROUND(MAX(0,J5630*K5630*L5630*M5630*N5630),2),"")</f>
        <v/>
      </c>
    </row>
    <row r="5631">
      <c r="A5631" t="n">
        <v>5630</v>
      </c>
      <c r="B5631">
        <f>A5631&lt;=MineCount*Days</f>
        <v/>
      </c>
      <c r="C5631">
        <f>IF(B5631,INT((A5631-1)/Days)+1,"")</f>
        <v/>
      </c>
      <c r="D5631">
        <f>IF(B5631,MOD(A5631-1,Days),"")</f>
        <v/>
      </c>
      <c r="E5631" s="16">
        <f>IF(B5631,StartDate+D5631,"")</f>
        <v/>
      </c>
      <c r="F5631">
        <f>IF(B5631,MAX(MOD(SIN(Seed*0.1373+C5631*12.9898+D5631*78.233)*43758.5453,1),1E-9),"")</f>
        <v/>
      </c>
      <c r="G5631">
        <f>IF(B5631,MOD(SIN(Seed*0.5917+C5631*39.3468+D5631*11.135)*24634.6345,1),"")</f>
        <v/>
      </c>
      <c r="H5631">
        <f>IF(B5631,SQRT(-2*LN(F5631))*COS(2*PI()*G5631),"")</f>
        <v/>
      </c>
      <c r="I5631">
        <f>IF(B5631,IF(D5631=0,H5631,Rho*I5630+SQRT(1-Rho^2)*H5631),"")</f>
        <v/>
      </c>
      <c r="J5631">
        <f>IF(B5631,IF(Dist="Normal",DistA+DistB*I5631,DistA+(DistB-DistA)*NORMSDIST(I5631)),"")</f>
        <v/>
      </c>
      <c r="K5631">
        <f>IF(B5631,INDEX(MineScale,C5631),"")</f>
        <v/>
      </c>
      <c r="L5631">
        <f>IF(B5631,INDEX(Dow,1,WEEKDAY(E5631,2)),"")</f>
        <v/>
      </c>
      <c r="M5631">
        <f>IF(B5631,(1+Trend)^D5631,"")</f>
        <v/>
      </c>
      <c r="N5631">
        <f>IF(B5631,EXP(SUMPRODUCT(LN(1+(EvEff-1)*INDEX(Affected,0,C5631)*EXP(-((E5631-EvCenter)^2)/(2*EvSigma^2))))),"")</f>
        <v/>
      </c>
      <c r="O5631">
        <f>IF(B5631,ROUND(MAX(0,J5631*K5631*L5631*M5631*N5631),2),"")</f>
        <v/>
      </c>
    </row>
    <row r="5632">
      <c r="A5632" t="n">
        <v>5631</v>
      </c>
      <c r="B5632">
        <f>A5632&lt;=MineCount*Days</f>
        <v/>
      </c>
      <c r="C5632">
        <f>IF(B5632,INT((A5632-1)/Days)+1,"")</f>
        <v/>
      </c>
      <c r="D5632">
        <f>IF(B5632,MOD(A5632-1,Days),"")</f>
        <v/>
      </c>
      <c r="E5632" s="16">
        <f>IF(B5632,StartDate+D5632,"")</f>
        <v/>
      </c>
      <c r="F5632">
        <f>IF(B5632,MAX(MOD(SIN(Seed*0.1373+C5632*12.9898+D5632*78.233)*43758.5453,1),1E-9),"")</f>
        <v/>
      </c>
      <c r="G5632">
        <f>IF(B5632,MOD(SIN(Seed*0.5917+C5632*39.3468+D5632*11.135)*24634.6345,1),"")</f>
        <v/>
      </c>
      <c r="H5632">
        <f>IF(B5632,SQRT(-2*LN(F5632))*COS(2*PI()*G5632),"")</f>
        <v/>
      </c>
      <c r="I5632">
        <f>IF(B5632,IF(D5632=0,H5632,Rho*I5631+SQRT(1-Rho^2)*H5632),"")</f>
        <v/>
      </c>
      <c r="J5632">
        <f>IF(B5632,IF(Dist="Normal",DistA+DistB*I5632,DistA+(DistB-DistA)*NORMSDIST(I5632)),"")</f>
        <v/>
      </c>
      <c r="K5632">
        <f>IF(B5632,INDEX(MineScale,C5632),"")</f>
        <v/>
      </c>
      <c r="L5632">
        <f>IF(B5632,INDEX(Dow,1,WEEKDAY(E5632,2)),"")</f>
        <v/>
      </c>
      <c r="M5632">
        <f>IF(B5632,(1+Trend)^D5632,"")</f>
        <v/>
      </c>
      <c r="N5632">
        <f>IF(B5632,EXP(SUMPRODUCT(LN(1+(EvEff-1)*INDEX(Affected,0,C5632)*EXP(-((E5632-EvCenter)^2)/(2*EvSigma^2))))),"")</f>
        <v/>
      </c>
      <c r="O5632">
        <f>IF(B5632,ROUND(MAX(0,J5632*K5632*L5632*M5632*N5632),2),"")</f>
        <v/>
      </c>
    </row>
    <row r="5633">
      <c r="A5633" t="n">
        <v>5632</v>
      </c>
      <c r="B5633">
        <f>A5633&lt;=MineCount*Days</f>
        <v/>
      </c>
      <c r="C5633">
        <f>IF(B5633,INT((A5633-1)/Days)+1,"")</f>
        <v/>
      </c>
      <c r="D5633">
        <f>IF(B5633,MOD(A5633-1,Days),"")</f>
        <v/>
      </c>
      <c r="E5633" s="16">
        <f>IF(B5633,StartDate+D5633,"")</f>
        <v/>
      </c>
      <c r="F5633">
        <f>IF(B5633,MAX(MOD(SIN(Seed*0.1373+C5633*12.9898+D5633*78.233)*43758.5453,1),1E-9),"")</f>
        <v/>
      </c>
      <c r="G5633">
        <f>IF(B5633,MOD(SIN(Seed*0.5917+C5633*39.3468+D5633*11.135)*24634.6345,1),"")</f>
        <v/>
      </c>
      <c r="H5633">
        <f>IF(B5633,SQRT(-2*LN(F5633))*COS(2*PI()*G5633),"")</f>
        <v/>
      </c>
      <c r="I5633">
        <f>IF(B5633,IF(D5633=0,H5633,Rho*I5632+SQRT(1-Rho^2)*H5633),"")</f>
        <v/>
      </c>
      <c r="J5633">
        <f>IF(B5633,IF(Dist="Normal",DistA+DistB*I5633,DistA+(DistB-DistA)*NORMSDIST(I5633)),"")</f>
        <v/>
      </c>
      <c r="K5633">
        <f>IF(B5633,INDEX(MineScale,C5633),"")</f>
        <v/>
      </c>
      <c r="L5633">
        <f>IF(B5633,INDEX(Dow,1,WEEKDAY(E5633,2)),"")</f>
        <v/>
      </c>
      <c r="M5633">
        <f>IF(B5633,(1+Trend)^D5633,"")</f>
        <v/>
      </c>
      <c r="N5633">
        <f>IF(B5633,EXP(SUMPRODUCT(LN(1+(EvEff-1)*INDEX(Affected,0,C5633)*EXP(-((E5633-EvCenter)^2)/(2*EvSigma^2))))),"")</f>
        <v/>
      </c>
      <c r="O5633">
        <f>IF(B5633,ROUND(MAX(0,J5633*K5633*L5633*M5633*N5633),2),"")</f>
        <v/>
      </c>
    </row>
    <row r="5634">
      <c r="A5634" t="n">
        <v>5633</v>
      </c>
      <c r="B5634">
        <f>A5634&lt;=MineCount*Days</f>
        <v/>
      </c>
      <c r="C5634">
        <f>IF(B5634,INT((A5634-1)/Days)+1,"")</f>
        <v/>
      </c>
      <c r="D5634">
        <f>IF(B5634,MOD(A5634-1,Days),"")</f>
        <v/>
      </c>
      <c r="E5634" s="16">
        <f>IF(B5634,StartDate+D5634,"")</f>
        <v/>
      </c>
      <c r="F5634">
        <f>IF(B5634,MAX(MOD(SIN(Seed*0.1373+C5634*12.9898+D5634*78.233)*43758.5453,1),1E-9),"")</f>
        <v/>
      </c>
      <c r="G5634">
        <f>IF(B5634,MOD(SIN(Seed*0.5917+C5634*39.3468+D5634*11.135)*24634.6345,1),"")</f>
        <v/>
      </c>
      <c r="H5634">
        <f>IF(B5634,SQRT(-2*LN(F5634))*COS(2*PI()*G5634),"")</f>
        <v/>
      </c>
      <c r="I5634">
        <f>IF(B5634,IF(D5634=0,H5634,Rho*I5633+SQRT(1-Rho^2)*H5634),"")</f>
        <v/>
      </c>
      <c r="J5634">
        <f>IF(B5634,IF(Dist="Normal",DistA+DistB*I5634,DistA+(DistB-DistA)*NORMSDIST(I5634)),"")</f>
        <v/>
      </c>
      <c r="K5634">
        <f>IF(B5634,INDEX(MineScale,C5634),"")</f>
        <v/>
      </c>
      <c r="L5634">
        <f>IF(B5634,INDEX(Dow,1,WEEKDAY(E5634,2)),"")</f>
        <v/>
      </c>
      <c r="M5634">
        <f>IF(B5634,(1+Trend)^D5634,"")</f>
        <v/>
      </c>
      <c r="N5634">
        <f>IF(B5634,EXP(SUMPRODUCT(LN(1+(EvEff-1)*INDEX(Affected,0,C5634)*EXP(-((E5634-EvCenter)^2)/(2*EvSigma^2))))),"")</f>
        <v/>
      </c>
      <c r="O5634">
        <f>IF(B5634,ROUND(MAX(0,J5634*K5634*L5634*M5634*N5634),2),"")</f>
        <v/>
      </c>
    </row>
    <row r="5635">
      <c r="A5635" t="n">
        <v>5634</v>
      </c>
      <c r="B5635">
        <f>A5635&lt;=MineCount*Days</f>
        <v/>
      </c>
      <c r="C5635">
        <f>IF(B5635,INT((A5635-1)/Days)+1,"")</f>
        <v/>
      </c>
      <c r="D5635">
        <f>IF(B5635,MOD(A5635-1,Days),"")</f>
        <v/>
      </c>
      <c r="E5635" s="16">
        <f>IF(B5635,StartDate+D5635,"")</f>
        <v/>
      </c>
      <c r="F5635">
        <f>IF(B5635,MAX(MOD(SIN(Seed*0.1373+C5635*12.9898+D5635*78.233)*43758.5453,1),1E-9),"")</f>
        <v/>
      </c>
      <c r="G5635">
        <f>IF(B5635,MOD(SIN(Seed*0.5917+C5635*39.3468+D5635*11.135)*24634.6345,1),"")</f>
        <v/>
      </c>
      <c r="H5635">
        <f>IF(B5635,SQRT(-2*LN(F5635))*COS(2*PI()*G5635),"")</f>
        <v/>
      </c>
      <c r="I5635">
        <f>IF(B5635,IF(D5635=0,H5635,Rho*I5634+SQRT(1-Rho^2)*H5635),"")</f>
        <v/>
      </c>
      <c r="J5635">
        <f>IF(B5635,IF(Dist="Normal",DistA+DistB*I5635,DistA+(DistB-DistA)*NORMSDIST(I5635)),"")</f>
        <v/>
      </c>
      <c r="K5635">
        <f>IF(B5635,INDEX(MineScale,C5635),"")</f>
        <v/>
      </c>
      <c r="L5635">
        <f>IF(B5635,INDEX(Dow,1,WEEKDAY(E5635,2)),"")</f>
        <v/>
      </c>
      <c r="M5635">
        <f>IF(B5635,(1+Trend)^D5635,"")</f>
        <v/>
      </c>
      <c r="N5635">
        <f>IF(B5635,EXP(SUMPRODUCT(LN(1+(EvEff-1)*INDEX(Affected,0,C5635)*EXP(-((E5635-EvCenter)^2)/(2*EvSigma^2))))),"")</f>
        <v/>
      </c>
      <c r="O5635">
        <f>IF(B5635,ROUND(MAX(0,J5635*K5635*L5635*M5635*N5635),2),"")</f>
        <v/>
      </c>
    </row>
    <row r="5636">
      <c r="A5636" t="n">
        <v>5635</v>
      </c>
      <c r="B5636">
        <f>A5636&lt;=MineCount*Days</f>
        <v/>
      </c>
      <c r="C5636">
        <f>IF(B5636,INT((A5636-1)/Days)+1,"")</f>
        <v/>
      </c>
      <c r="D5636">
        <f>IF(B5636,MOD(A5636-1,Days),"")</f>
        <v/>
      </c>
      <c r="E5636" s="16">
        <f>IF(B5636,StartDate+D5636,"")</f>
        <v/>
      </c>
      <c r="F5636">
        <f>IF(B5636,MAX(MOD(SIN(Seed*0.1373+C5636*12.9898+D5636*78.233)*43758.5453,1),1E-9),"")</f>
        <v/>
      </c>
      <c r="G5636">
        <f>IF(B5636,MOD(SIN(Seed*0.5917+C5636*39.3468+D5636*11.135)*24634.6345,1),"")</f>
        <v/>
      </c>
      <c r="H5636">
        <f>IF(B5636,SQRT(-2*LN(F5636))*COS(2*PI()*G5636),"")</f>
        <v/>
      </c>
      <c r="I5636">
        <f>IF(B5636,IF(D5636=0,H5636,Rho*I5635+SQRT(1-Rho^2)*H5636),"")</f>
        <v/>
      </c>
      <c r="J5636">
        <f>IF(B5636,IF(Dist="Normal",DistA+DistB*I5636,DistA+(DistB-DistA)*NORMSDIST(I5636)),"")</f>
        <v/>
      </c>
      <c r="K5636">
        <f>IF(B5636,INDEX(MineScale,C5636),"")</f>
        <v/>
      </c>
      <c r="L5636">
        <f>IF(B5636,INDEX(Dow,1,WEEKDAY(E5636,2)),"")</f>
        <v/>
      </c>
      <c r="M5636">
        <f>IF(B5636,(1+Trend)^D5636,"")</f>
        <v/>
      </c>
      <c r="N5636">
        <f>IF(B5636,EXP(SUMPRODUCT(LN(1+(EvEff-1)*INDEX(Affected,0,C5636)*EXP(-((E5636-EvCenter)^2)/(2*EvSigma^2))))),"")</f>
        <v/>
      </c>
      <c r="O5636">
        <f>IF(B5636,ROUND(MAX(0,J5636*K5636*L5636*M5636*N5636),2),"")</f>
        <v/>
      </c>
    </row>
    <row r="5637">
      <c r="A5637" t="n">
        <v>5636</v>
      </c>
      <c r="B5637">
        <f>A5637&lt;=MineCount*Days</f>
        <v/>
      </c>
      <c r="C5637">
        <f>IF(B5637,INT((A5637-1)/Days)+1,"")</f>
        <v/>
      </c>
      <c r="D5637">
        <f>IF(B5637,MOD(A5637-1,Days),"")</f>
        <v/>
      </c>
      <c r="E5637" s="16">
        <f>IF(B5637,StartDate+D5637,"")</f>
        <v/>
      </c>
      <c r="F5637">
        <f>IF(B5637,MAX(MOD(SIN(Seed*0.1373+C5637*12.9898+D5637*78.233)*43758.5453,1),1E-9),"")</f>
        <v/>
      </c>
      <c r="G5637">
        <f>IF(B5637,MOD(SIN(Seed*0.5917+C5637*39.3468+D5637*11.135)*24634.6345,1),"")</f>
        <v/>
      </c>
      <c r="H5637">
        <f>IF(B5637,SQRT(-2*LN(F5637))*COS(2*PI()*G5637),"")</f>
        <v/>
      </c>
      <c r="I5637">
        <f>IF(B5637,IF(D5637=0,H5637,Rho*I5636+SQRT(1-Rho^2)*H5637),"")</f>
        <v/>
      </c>
      <c r="J5637">
        <f>IF(B5637,IF(Dist="Normal",DistA+DistB*I5637,DistA+(DistB-DistA)*NORMSDIST(I5637)),"")</f>
        <v/>
      </c>
      <c r="K5637">
        <f>IF(B5637,INDEX(MineScale,C5637),"")</f>
        <v/>
      </c>
      <c r="L5637">
        <f>IF(B5637,INDEX(Dow,1,WEEKDAY(E5637,2)),"")</f>
        <v/>
      </c>
      <c r="M5637">
        <f>IF(B5637,(1+Trend)^D5637,"")</f>
        <v/>
      </c>
      <c r="N5637">
        <f>IF(B5637,EXP(SUMPRODUCT(LN(1+(EvEff-1)*INDEX(Affected,0,C5637)*EXP(-((E5637-EvCenter)^2)/(2*EvSigma^2))))),"")</f>
        <v/>
      </c>
      <c r="O5637">
        <f>IF(B5637,ROUND(MAX(0,J5637*K5637*L5637*M5637*N5637),2),"")</f>
        <v/>
      </c>
    </row>
    <row r="5638">
      <c r="A5638" t="n">
        <v>5637</v>
      </c>
      <c r="B5638">
        <f>A5638&lt;=MineCount*Days</f>
        <v/>
      </c>
      <c r="C5638">
        <f>IF(B5638,INT((A5638-1)/Days)+1,"")</f>
        <v/>
      </c>
      <c r="D5638">
        <f>IF(B5638,MOD(A5638-1,Days),"")</f>
        <v/>
      </c>
      <c r="E5638" s="16">
        <f>IF(B5638,StartDate+D5638,"")</f>
        <v/>
      </c>
      <c r="F5638">
        <f>IF(B5638,MAX(MOD(SIN(Seed*0.1373+C5638*12.9898+D5638*78.233)*43758.5453,1),1E-9),"")</f>
        <v/>
      </c>
      <c r="G5638">
        <f>IF(B5638,MOD(SIN(Seed*0.5917+C5638*39.3468+D5638*11.135)*24634.6345,1),"")</f>
        <v/>
      </c>
      <c r="H5638">
        <f>IF(B5638,SQRT(-2*LN(F5638))*COS(2*PI()*G5638),"")</f>
        <v/>
      </c>
      <c r="I5638">
        <f>IF(B5638,IF(D5638=0,H5638,Rho*I5637+SQRT(1-Rho^2)*H5638),"")</f>
        <v/>
      </c>
      <c r="J5638">
        <f>IF(B5638,IF(Dist="Normal",DistA+DistB*I5638,DistA+(DistB-DistA)*NORMSDIST(I5638)),"")</f>
        <v/>
      </c>
      <c r="K5638">
        <f>IF(B5638,INDEX(MineScale,C5638),"")</f>
        <v/>
      </c>
      <c r="L5638">
        <f>IF(B5638,INDEX(Dow,1,WEEKDAY(E5638,2)),"")</f>
        <v/>
      </c>
      <c r="M5638">
        <f>IF(B5638,(1+Trend)^D5638,"")</f>
        <v/>
      </c>
      <c r="N5638">
        <f>IF(B5638,EXP(SUMPRODUCT(LN(1+(EvEff-1)*INDEX(Affected,0,C5638)*EXP(-((E5638-EvCenter)^2)/(2*EvSigma^2))))),"")</f>
        <v/>
      </c>
      <c r="O5638">
        <f>IF(B5638,ROUND(MAX(0,J5638*K5638*L5638*M5638*N5638),2),"")</f>
        <v/>
      </c>
    </row>
    <row r="5639">
      <c r="A5639" t="n">
        <v>5638</v>
      </c>
      <c r="B5639">
        <f>A5639&lt;=MineCount*Days</f>
        <v/>
      </c>
      <c r="C5639">
        <f>IF(B5639,INT((A5639-1)/Days)+1,"")</f>
        <v/>
      </c>
      <c r="D5639">
        <f>IF(B5639,MOD(A5639-1,Days),"")</f>
        <v/>
      </c>
      <c r="E5639" s="16">
        <f>IF(B5639,StartDate+D5639,"")</f>
        <v/>
      </c>
      <c r="F5639">
        <f>IF(B5639,MAX(MOD(SIN(Seed*0.1373+C5639*12.9898+D5639*78.233)*43758.5453,1),1E-9),"")</f>
        <v/>
      </c>
      <c r="G5639">
        <f>IF(B5639,MOD(SIN(Seed*0.5917+C5639*39.3468+D5639*11.135)*24634.6345,1),"")</f>
        <v/>
      </c>
      <c r="H5639">
        <f>IF(B5639,SQRT(-2*LN(F5639))*COS(2*PI()*G5639),"")</f>
        <v/>
      </c>
      <c r="I5639">
        <f>IF(B5639,IF(D5639=0,H5639,Rho*I5638+SQRT(1-Rho^2)*H5639),"")</f>
        <v/>
      </c>
      <c r="J5639">
        <f>IF(B5639,IF(Dist="Normal",DistA+DistB*I5639,DistA+(DistB-DistA)*NORMSDIST(I5639)),"")</f>
        <v/>
      </c>
      <c r="K5639">
        <f>IF(B5639,INDEX(MineScale,C5639),"")</f>
        <v/>
      </c>
      <c r="L5639">
        <f>IF(B5639,INDEX(Dow,1,WEEKDAY(E5639,2)),"")</f>
        <v/>
      </c>
      <c r="M5639">
        <f>IF(B5639,(1+Trend)^D5639,"")</f>
        <v/>
      </c>
      <c r="N5639">
        <f>IF(B5639,EXP(SUMPRODUCT(LN(1+(EvEff-1)*INDEX(Affected,0,C5639)*EXP(-((E5639-EvCenter)^2)/(2*EvSigma^2))))),"")</f>
        <v/>
      </c>
      <c r="O5639">
        <f>IF(B5639,ROUND(MAX(0,J5639*K5639*L5639*M5639*N5639),2),"")</f>
        <v/>
      </c>
    </row>
    <row r="5640">
      <c r="A5640" t="n">
        <v>5639</v>
      </c>
      <c r="B5640">
        <f>A5640&lt;=MineCount*Days</f>
        <v/>
      </c>
      <c r="C5640">
        <f>IF(B5640,INT((A5640-1)/Days)+1,"")</f>
        <v/>
      </c>
      <c r="D5640">
        <f>IF(B5640,MOD(A5640-1,Days),"")</f>
        <v/>
      </c>
      <c r="E5640" s="16">
        <f>IF(B5640,StartDate+D5640,"")</f>
        <v/>
      </c>
      <c r="F5640">
        <f>IF(B5640,MAX(MOD(SIN(Seed*0.1373+C5640*12.9898+D5640*78.233)*43758.5453,1),1E-9),"")</f>
        <v/>
      </c>
      <c r="G5640">
        <f>IF(B5640,MOD(SIN(Seed*0.5917+C5640*39.3468+D5640*11.135)*24634.6345,1),"")</f>
        <v/>
      </c>
      <c r="H5640">
        <f>IF(B5640,SQRT(-2*LN(F5640))*COS(2*PI()*G5640),"")</f>
        <v/>
      </c>
      <c r="I5640">
        <f>IF(B5640,IF(D5640=0,H5640,Rho*I5639+SQRT(1-Rho^2)*H5640),"")</f>
        <v/>
      </c>
      <c r="J5640">
        <f>IF(B5640,IF(Dist="Normal",DistA+DistB*I5640,DistA+(DistB-DistA)*NORMSDIST(I5640)),"")</f>
        <v/>
      </c>
      <c r="K5640">
        <f>IF(B5640,INDEX(MineScale,C5640),"")</f>
        <v/>
      </c>
      <c r="L5640">
        <f>IF(B5640,INDEX(Dow,1,WEEKDAY(E5640,2)),"")</f>
        <v/>
      </c>
      <c r="M5640">
        <f>IF(B5640,(1+Trend)^D5640,"")</f>
        <v/>
      </c>
      <c r="N5640">
        <f>IF(B5640,EXP(SUMPRODUCT(LN(1+(EvEff-1)*INDEX(Affected,0,C5640)*EXP(-((E5640-EvCenter)^2)/(2*EvSigma^2))))),"")</f>
        <v/>
      </c>
      <c r="O5640">
        <f>IF(B5640,ROUND(MAX(0,J5640*K5640*L5640*M5640*N5640),2),"")</f>
        <v/>
      </c>
    </row>
    <row r="5641">
      <c r="A5641" t="n">
        <v>5640</v>
      </c>
      <c r="B5641">
        <f>A5641&lt;=MineCount*Days</f>
        <v/>
      </c>
      <c r="C5641">
        <f>IF(B5641,INT((A5641-1)/Days)+1,"")</f>
        <v/>
      </c>
      <c r="D5641">
        <f>IF(B5641,MOD(A5641-1,Days),"")</f>
        <v/>
      </c>
      <c r="E5641" s="16">
        <f>IF(B5641,StartDate+D5641,"")</f>
        <v/>
      </c>
      <c r="F5641">
        <f>IF(B5641,MAX(MOD(SIN(Seed*0.1373+C5641*12.9898+D5641*78.233)*43758.5453,1),1E-9),"")</f>
        <v/>
      </c>
      <c r="G5641">
        <f>IF(B5641,MOD(SIN(Seed*0.5917+C5641*39.3468+D5641*11.135)*24634.6345,1),"")</f>
        <v/>
      </c>
      <c r="H5641">
        <f>IF(B5641,SQRT(-2*LN(F5641))*COS(2*PI()*G5641),"")</f>
        <v/>
      </c>
      <c r="I5641">
        <f>IF(B5641,IF(D5641=0,H5641,Rho*I5640+SQRT(1-Rho^2)*H5641),"")</f>
        <v/>
      </c>
      <c r="J5641">
        <f>IF(B5641,IF(Dist="Normal",DistA+DistB*I5641,DistA+(DistB-DistA)*NORMSDIST(I5641)),"")</f>
        <v/>
      </c>
      <c r="K5641">
        <f>IF(B5641,INDEX(MineScale,C5641),"")</f>
        <v/>
      </c>
      <c r="L5641">
        <f>IF(B5641,INDEX(Dow,1,WEEKDAY(E5641,2)),"")</f>
        <v/>
      </c>
      <c r="M5641">
        <f>IF(B5641,(1+Trend)^D5641,"")</f>
        <v/>
      </c>
      <c r="N5641">
        <f>IF(B5641,EXP(SUMPRODUCT(LN(1+(EvEff-1)*INDEX(Affected,0,C5641)*EXP(-((E5641-EvCenter)^2)/(2*EvSigma^2))))),"")</f>
        <v/>
      </c>
      <c r="O5641">
        <f>IF(B5641,ROUND(MAX(0,J5641*K5641*L5641*M5641*N5641),2),"")</f>
        <v/>
      </c>
    </row>
    <row r="5642">
      <c r="A5642" t="n">
        <v>5641</v>
      </c>
      <c r="B5642">
        <f>A5642&lt;=MineCount*Days</f>
        <v/>
      </c>
      <c r="C5642">
        <f>IF(B5642,INT((A5642-1)/Days)+1,"")</f>
        <v/>
      </c>
      <c r="D5642">
        <f>IF(B5642,MOD(A5642-1,Days),"")</f>
        <v/>
      </c>
      <c r="E5642" s="16">
        <f>IF(B5642,StartDate+D5642,"")</f>
        <v/>
      </c>
      <c r="F5642">
        <f>IF(B5642,MAX(MOD(SIN(Seed*0.1373+C5642*12.9898+D5642*78.233)*43758.5453,1),1E-9),"")</f>
        <v/>
      </c>
      <c r="G5642">
        <f>IF(B5642,MOD(SIN(Seed*0.5917+C5642*39.3468+D5642*11.135)*24634.6345,1),"")</f>
        <v/>
      </c>
      <c r="H5642">
        <f>IF(B5642,SQRT(-2*LN(F5642))*COS(2*PI()*G5642),"")</f>
        <v/>
      </c>
      <c r="I5642">
        <f>IF(B5642,IF(D5642=0,H5642,Rho*I5641+SQRT(1-Rho^2)*H5642),"")</f>
        <v/>
      </c>
      <c r="J5642">
        <f>IF(B5642,IF(Dist="Normal",DistA+DistB*I5642,DistA+(DistB-DistA)*NORMSDIST(I5642)),"")</f>
        <v/>
      </c>
      <c r="K5642">
        <f>IF(B5642,INDEX(MineScale,C5642),"")</f>
        <v/>
      </c>
      <c r="L5642">
        <f>IF(B5642,INDEX(Dow,1,WEEKDAY(E5642,2)),"")</f>
        <v/>
      </c>
      <c r="M5642">
        <f>IF(B5642,(1+Trend)^D5642,"")</f>
        <v/>
      </c>
      <c r="N5642">
        <f>IF(B5642,EXP(SUMPRODUCT(LN(1+(EvEff-1)*INDEX(Affected,0,C5642)*EXP(-((E5642-EvCenter)^2)/(2*EvSigma^2))))),"")</f>
        <v/>
      </c>
      <c r="O5642">
        <f>IF(B5642,ROUND(MAX(0,J5642*K5642*L5642*M5642*N5642),2),"")</f>
        <v/>
      </c>
    </row>
    <row r="5643">
      <c r="A5643" t="n">
        <v>5642</v>
      </c>
      <c r="B5643">
        <f>A5643&lt;=MineCount*Days</f>
        <v/>
      </c>
      <c r="C5643">
        <f>IF(B5643,INT((A5643-1)/Days)+1,"")</f>
        <v/>
      </c>
      <c r="D5643">
        <f>IF(B5643,MOD(A5643-1,Days),"")</f>
        <v/>
      </c>
      <c r="E5643" s="16">
        <f>IF(B5643,StartDate+D5643,"")</f>
        <v/>
      </c>
      <c r="F5643">
        <f>IF(B5643,MAX(MOD(SIN(Seed*0.1373+C5643*12.9898+D5643*78.233)*43758.5453,1),1E-9),"")</f>
        <v/>
      </c>
      <c r="G5643">
        <f>IF(B5643,MOD(SIN(Seed*0.5917+C5643*39.3468+D5643*11.135)*24634.6345,1),"")</f>
        <v/>
      </c>
      <c r="H5643">
        <f>IF(B5643,SQRT(-2*LN(F5643))*COS(2*PI()*G5643),"")</f>
        <v/>
      </c>
      <c r="I5643">
        <f>IF(B5643,IF(D5643=0,H5643,Rho*I5642+SQRT(1-Rho^2)*H5643),"")</f>
        <v/>
      </c>
      <c r="J5643">
        <f>IF(B5643,IF(Dist="Normal",DistA+DistB*I5643,DistA+(DistB-DistA)*NORMSDIST(I5643)),"")</f>
        <v/>
      </c>
      <c r="K5643">
        <f>IF(B5643,INDEX(MineScale,C5643),"")</f>
        <v/>
      </c>
      <c r="L5643">
        <f>IF(B5643,INDEX(Dow,1,WEEKDAY(E5643,2)),"")</f>
        <v/>
      </c>
      <c r="M5643">
        <f>IF(B5643,(1+Trend)^D5643,"")</f>
        <v/>
      </c>
      <c r="N5643">
        <f>IF(B5643,EXP(SUMPRODUCT(LN(1+(EvEff-1)*INDEX(Affected,0,C5643)*EXP(-((E5643-EvCenter)^2)/(2*EvSigma^2))))),"")</f>
        <v/>
      </c>
      <c r="O5643">
        <f>IF(B5643,ROUND(MAX(0,J5643*K5643*L5643*M5643*N5643),2),"")</f>
        <v/>
      </c>
    </row>
    <row r="5644">
      <c r="A5644" t="n">
        <v>5643</v>
      </c>
      <c r="B5644">
        <f>A5644&lt;=MineCount*Days</f>
        <v/>
      </c>
      <c r="C5644">
        <f>IF(B5644,INT((A5644-1)/Days)+1,"")</f>
        <v/>
      </c>
      <c r="D5644">
        <f>IF(B5644,MOD(A5644-1,Days),"")</f>
        <v/>
      </c>
      <c r="E5644" s="16">
        <f>IF(B5644,StartDate+D5644,"")</f>
        <v/>
      </c>
      <c r="F5644">
        <f>IF(B5644,MAX(MOD(SIN(Seed*0.1373+C5644*12.9898+D5644*78.233)*43758.5453,1),1E-9),"")</f>
        <v/>
      </c>
      <c r="G5644">
        <f>IF(B5644,MOD(SIN(Seed*0.5917+C5644*39.3468+D5644*11.135)*24634.6345,1),"")</f>
        <v/>
      </c>
      <c r="H5644">
        <f>IF(B5644,SQRT(-2*LN(F5644))*COS(2*PI()*G5644),"")</f>
        <v/>
      </c>
      <c r="I5644">
        <f>IF(B5644,IF(D5644=0,H5644,Rho*I5643+SQRT(1-Rho^2)*H5644),"")</f>
        <v/>
      </c>
      <c r="J5644">
        <f>IF(B5644,IF(Dist="Normal",DistA+DistB*I5644,DistA+(DistB-DistA)*NORMSDIST(I5644)),"")</f>
        <v/>
      </c>
      <c r="K5644">
        <f>IF(B5644,INDEX(MineScale,C5644),"")</f>
        <v/>
      </c>
      <c r="L5644">
        <f>IF(B5644,INDEX(Dow,1,WEEKDAY(E5644,2)),"")</f>
        <v/>
      </c>
      <c r="M5644">
        <f>IF(B5644,(1+Trend)^D5644,"")</f>
        <v/>
      </c>
      <c r="N5644">
        <f>IF(B5644,EXP(SUMPRODUCT(LN(1+(EvEff-1)*INDEX(Affected,0,C5644)*EXP(-((E5644-EvCenter)^2)/(2*EvSigma^2))))),"")</f>
        <v/>
      </c>
      <c r="O5644">
        <f>IF(B5644,ROUND(MAX(0,J5644*K5644*L5644*M5644*N5644),2),"")</f>
        <v/>
      </c>
    </row>
    <row r="5645">
      <c r="A5645" t="n">
        <v>5644</v>
      </c>
      <c r="B5645">
        <f>A5645&lt;=MineCount*Days</f>
        <v/>
      </c>
      <c r="C5645">
        <f>IF(B5645,INT((A5645-1)/Days)+1,"")</f>
        <v/>
      </c>
      <c r="D5645">
        <f>IF(B5645,MOD(A5645-1,Days),"")</f>
        <v/>
      </c>
      <c r="E5645" s="16">
        <f>IF(B5645,StartDate+D5645,"")</f>
        <v/>
      </c>
      <c r="F5645">
        <f>IF(B5645,MAX(MOD(SIN(Seed*0.1373+C5645*12.9898+D5645*78.233)*43758.5453,1),1E-9),"")</f>
        <v/>
      </c>
      <c r="G5645">
        <f>IF(B5645,MOD(SIN(Seed*0.5917+C5645*39.3468+D5645*11.135)*24634.6345,1),"")</f>
        <v/>
      </c>
      <c r="H5645">
        <f>IF(B5645,SQRT(-2*LN(F5645))*COS(2*PI()*G5645),"")</f>
        <v/>
      </c>
      <c r="I5645">
        <f>IF(B5645,IF(D5645=0,H5645,Rho*I5644+SQRT(1-Rho^2)*H5645),"")</f>
        <v/>
      </c>
      <c r="J5645">
        <f>IF(B5645,IF(Dist="Normal",DistA+DistB*I5645,DistA+(DistB-DistA)*NORMSDIST(I5645)),"")</f>
        <v/>
      </c>
      <c r="K5645">
        <f>IF(B5645,INDEX(MineScale,C5645),"")</f>
        <v/>
      </c>
      <c r="L5645">
        <f>IF(B5645,INDEX(Dow,1,WEEKDAY(E5645,2)),"")</f>
        <v/>
      </c>
      <c r="M5645">
        <f>IF(B5645,(1+Trend)^D5645,"")</f>
        <v/>
      </c>
      <c r="N5645">
        <f>IF(B5645,EXP(SUMPRODUCT(LN(1+(EvEff-1)*INDEX(Affected,0,C5645)*EXP(-((E5645-EvCenter)^2)/(2*EvSigma^2))))),"")</f>
        <v/>
      </c>
      <c r="O5645">
        <f>IF(B5645,ROUND(MAX(0,J5645*K5645*L5645*M5645*N5645),2),"")</f>
        <v/>
      </c>
    </row>
    <row r="5646">
      <c r="A5646" t="n">
        <v>5645</v>
      </c>
      <c r="B5646">
        <f>A5646&lt;=MineCount*Days</f>
        <v/>
      </c>
      <c r="C5646">
        <f>IF(B5646,INT((A5646-1)/Days)+1,"")</f>
        <v/>
      </c>
      <c r="D5646">
        <f>IF(B5646,MOD(A5646-1,Days),"")</f>
        <v/>
      </c>
      <c r="E5646" s="16">
        <f>IF(B5646,StartDate+D5646,"")</f>
        <v/>
      </c>
      <c r="F5646">
        <f>IF(B5646,MAX(MOD(SIN(Seed*0.1373+C5646*12.9898+D5646*78.233)*43758.5453,1),1E-9),"")</f>
        <v/>
      </c>
      <c r="G5646">
        <f>IF(B5646,MOD(SIN(Seed*0.5917+C5646*39.3468+D5646*11.135)*24634.6345,1),"")</f>
        <v/>
      </c>
      <c r="H5646">
        <f>IF(B5646,SQRT(-2*LN(F5646))*COS(2*PI()*G5646),"")</f>
        <v/>
      </c>
      <c r="I5646">
        <f>IF(B5646,IF(D5646=0,H5646,Rho*I5645+SQRT(1-Rho^2)*H5646),"")</f>
        <v/>
      </c>
      <c r="J5646">
        <f>IF(B5646,IF(Dist="Normal",DistA+DistB*I5646,DistA+(DistB-DistA)*NORMSDIST(I5646)),"")</f>
        <v/>
      </c>
      <c r="K5646">
        <f>IF(B5646,INDEX(MineScale,C5646),"")</f>
        <v/>
      </c>
      <c r="L5646">
        <f>IF(B5646,INDEX(Dow,1,WEEKDAY(E5646,2)),"")</f>
        <v/>
      </c>
      <c r="M5646">
        <f>IF(B5646,(1+Trend)^D5646,"")</f>
        <v/>
      </c>
      <c r="N5646">
        <f>IF(B5646,EXP(SUMPRODUCT(LN(1+(EvEff-1)*INDEX(Affected,0,C5646)*EXP(-((E5646-EvCenter)^2)/(2*EvSigma^2))))),"")</f>
        <v/>
      </c>
      <c r="O5646">
        <f>IF(B5646,ROUND(MAX(0,J5646*K5646*L5646*M5646*N5646),2),"")</f>
        <v/>
      </c>
    </row>
    <row r="5647">
      <c r="A5647" t="n">
        <v>5646</v>
      </c>
      <c r="B5647">
        <f>A5647&lt;=MineCount*Days</f>
        <v/>
      </c>
      <c r="C5647">
        <f>IF(B5647,INT((A5647-1)/Days)+1,"")</f>
        <v/>
      </c>
      <c r="D5647">
        <f>IF(B5647,MOD(A5647-1,Days),"")</f>
        <v/>
      </c>
      <c r="E5647" s="16">
        <f>IF(B5647,StartDate+D5647,"")</f>
        <v/>
      </c>
      <c r="F5647">
        <f>IF(B5647,MAX(MOD(SIN(Seed*0.1373+C5647*12.9898+D5647*78.233)*43758.5453,1),1E-9),"")</f>
        <v/>
      </c>
      <c r="G5647">
        <f>IF(B5647,MOD(SIN(Seed*0.5917+C5647*39.3468+D5647*11.135)*24634.6345,1),"")</f>
        <v/>
      </c>
      <c r="H5647">
        <f>IF(B5647,SQRT(-2*LN(F5647))*COS(2*PI()*G5647),"")</f>
        <v/>
      </c>
      <c r="I5647">
        <f>IF(B5647,IF(D5647=0,H5647,Rho*I5646+SQRT(1-Rho^2)*H5647),"")</f>
        <v/>
      </c>
      <c r="J5647">
        <f>IF(B5647,IF(Dist="Normal",DistA+DistB*I5647,DistA+(DistB-DistA)*NORMSDIST(I5647)),"")</f>
        <v/>
      </c>
      <c r="K5647">
        <f>IF(B5647,INDEX(MineScale,C5647),"")</f>
        <v/>
      </c>
      <c r="L5647">
        <f>IF(B5647,INDEX(Dow,1,WEEKDAY(E5647,2)),"")</f>
        <v/>
      </c>
      <c r="M5647">
        <f>IF(B5647,(1+Trend)^D5647,"")</f>
        <v/>
      </c>
      <c r="N5647">
        <f>IF(B5647,EXP(SUMPRODUCT(LN(1+(EvEff-1)*INDEX(Affected,0,C5647)*EXP(-((E5647-EvCenter)^2)/(2*EvSigma^2))))),"")</f>
        <v/>
      </c>
      <c r="O5647">
        <f>IF(B5647,ROUND(MAX(0,J5647*K5647*L5647*M5647*N5647),2),"")</f>
        <v/>
      </c>
    </row>
    <row r="5648">
      <c r="A5648" t="n">
        <v>5647</v>
      </c>
      <c r="B5648">
        <f>A5648&lt;=MineCount*Days</f>
        <v/>
      </c>
      <c r="C5648">
        <f>IF(B5648,INT((A5648-1)/Days)+1,"")</f>
        <v/>
      </c>
      <c r="D5648">
        <f>IF(B5648,MOD(A5648-1,Days),"")</f>
        <v/>
      </c>
      <c r="E5648" s="16">
        <f>IF(B5648,StartDate+D5648,"")</f>
        <v/>
      </c>
      <c r="F5648">
        <f>IF(B5648,MAX(MOD(SIN(Seed*0.1373+C5648*12.9898+D5648*78.233)*43758.5453,1),1E-9),"")</f>
        <v/>
      </c>
      <c r="G5648">
        <f>IF(B5648,MOD(SIN(Seed*0.5917+C5648*39.3468+D5648*11.135)*24634.6345,1),"")</f>
        <v/>
      </c>
      <c r="H5648">
        <f>IF(B5648,SQRT(-2*LN(F5648))*COS(2*PI()*G5648),"")</f>
        <v/>
      </c>
      <c r="I5648">
        <f>IF(B5648,IF(D5648=0,H5648,Rho*I5647+SQRT(1-Rho^2)*H5648),"")</f>
        <v/>
      </c>
      <c r="J5648">
        <f>IF(B5648,IF(Dist="Normal",DistA+DistB*I5648,DistA+(DistB-DistA)*NORMSDIST(I5648)),"")</f>
        <v/>
      </c>
      <c r="K5648">
        <f>IF(B5648,INDEX(MineScale,C5648),"")</f>
        <v/>
      </c>
      <c r="L5648">
        <f>IF(B5648,INDEX(Dow,1,WEEKDAY(E5648,2)),"")</f>
        <v/>
      </c>
      <c r="M5648">
        <f>IF(B5648,(1+Trend)^D5648,"")</f>
        <v/>
      </c>
      <c r="N5648">
        <f>IF(B5648,EXP(SUMPRODUCT(LN(1+(EvEff-1)*INDEX(Affected,0,C5648)*EXP(-((E5648-EvCenter)^2)/(2*EvSigma^2))))),"")</f>
        <v/>
      </c>
      <c r="O5648">
        <f>IF(B5648,ROUND(MAX(0,J5648*K5648*L5648*M5648*N5648),2),"")</f>
        <v/>
      </c>
    </row>
    <row r="5649">
      <c r="A5649" t="n">
        <v>5648</v>
      </c>
      <c r="B5649">
        <f>A5649&lt;=MineCount*Days</f>
        <v/>
      </c>
      <c r="C5649">
        <f>IF(B5649,INT((A5649-1)/Days)+1,"")</f>
        <v/>
      </c>
      <c r="D5649">
        <f>IF(B5649,MOD(A5649-1,Days),"")</f>
        <v/>
      </c>
      <c r="E5649" s="16">
        <f>IF(B5649,StartDate+D5649,"")</f>
        <v/>
      </c>
      <c r="F5649">
        <f>IF(B5649,MAX(MOD(SIN(Seed*0.1373+C5649*12.9898+D5649*78.233)*43758.5453,1),1E-9),"")</f>
        <v/>
      </c>
      <c r="G5649">
        <f>IF(B5649,MOD(SIN(Seed*0.5917+C5649*39.3468+D5649*11.135)*24634.6345,1),"")</f>
        <v/>
      </c>
      <c r="H5649">
        <f>IF(B5649,SQRT(-2*LN(F5649))*COS(2*PI()*G5649),"")</f>
        <v/>
      </c>
      <c r="I5649">
        <f>IF(B5649,IF(D5649=0,H5649,Rho*I5648+SQRT(1-Rho^2)*H5649),"")</f>
        <v/>
      </c>
      <c r="J5649">
        <f>IF(B5649,IF(Dist="Normal",DistA+DistB*I5649,DistA+(DistB-DistA)*NORMSDIST(I5649)),"")</f>
        <v/>
      </c>
      <c r="K5649">
        <f>IF(B5649,INDEX(MineScale,C5649),"")</f>
        <v/>
      </c>
      <c r="L5649">
        <f>IF(B5649,INDEX(Dow,1,WEEKDAY(E5649,2)),"")</f>
        <v/>
      </c>
      <c r="M5649">
        <f>IF(B5649,(1+Trend)^D5649,"")</f>
        <v/>
      </c>
      <c r="N5649">
        <f>IF(B5649,EXP(SUMPRODUCT(LN(1+(EvEff-1)*INDEX(Affected,0,C5649)*EXP(-((E5649-EvCenter)^2)/(2*EvSigma^2))))),"")</f>
        <v/>
      </c>
      <c r="O5649">
        <f>IF(B5649,ROUND(MAX(0,J5649*K5649*L5649*M5649*N5649),2),"")</f>
        <v/>
      </c>
    </row>
    <row r="5650">
      <c r="A5650" t="n">
        <v>5649</v>
      </c>
      <c r="B5650">
        <f>A5650&lt;=MineCount*Days</f>
        <v/>
      </c>
      <c r="C5650">
        <f>IF(B5650,INT((A5650-1)/Days)+1,"")</f>
        <v/>
      </c>
      <c r="D5650">
        <f>IF(B5650,MOD(A5650-1,Days),"")</f>
        <v/>
      </c>
      <c r="E5650" s="16">
        <f>IF(B5650,StartDate+D5650,"")</f>
        <v/>
      </c>
      <c r="F5650">
        <f>IF(B5650,MAX(MOD(SIN(Seed*0.1373+C5650*12.9898+D5650*78.233)*43758.5453,1),1E-9),"")</f>
        <v/>
      </c>
      <c r="G5650">
        <f>IF(B5650,MOD(SIN(Seed*0.5917+C5650*39.3468+D5650*11.135)*24634.6345,1),"")</f>
        <v/>
      </c>
      <c r="H5650">
        <f>IF(B5650,SQRT(-2*LN(F5650))*COS(2*PI()*G5650),"")</f>
        <v/>
      </c>
      <c r="I5650">
        <f>IF(B5650,IF(D5650=0,H5650,Rho*I5649+SQRT(1-Rho^2)*H5650),"")</f>
        <v/>
      </c>
      <c r="J5650">
        <f>IF(B5650,IF(Dist="Normal",DistA+DistB*I5650,DistA+(DistB-DistA)*NORMSDIST(I5650)),"")</f>
        <v/>
      </c>
      <c r="K5650">
        <f>IF(B5650,INDEX(MineScale,C5650),"")</f>
        <v/>
      </c>
      <c r="L5650">
        <f>IF(B5650,INDEX(Dow,1,WEEKDAY(E5650,2)),"")</f>
        <v/>
      </c>
      <c r="M5650">
        <f>IF(B5650,(1+Trend)^D5650,"")</f>
        <v/>
      </c>
      <c r="N5650">
        <f>IF(B5650,EXP(SUMPRODUCT(LN(1+(EvEff-1)*INDEX(Affected,0,C5650)*EXP(-((E5650-EvCenter)^2)/(2*EvSigma^2))))),"")</f>
        <v/>
      </c>
      <c r="O5650">
        <f>IF(B5650,ROUND(MAX(0,J5650*K5650*L5650*M5650*N5650),2),"")</f>
        <v/>
      </c>
    </row>
    <row r="5651">
      <c r="A5651" t="n">
        <v>5650</v>
      </c>
      <c r="B5651">
        <f>A5651&lt;=MineCount*Days</f>
        <v/>
      </c>
      <c r="C5651">
        <f>IF(B5651,INT((A5651-1)/Days)+1,"")</f>
        <v/>
      </c>
      <c r="D5651">
        <f>IF(B5651,MOD(A5651-1,Days),"")</f>
        <v/>
      </c>
      <c r="E5651" s="16">
        <f>IF(B5651,StartDate+D5651,"")</f>
        <v/>
      </c>
      <c r="F5651">
        <f>IF(B5651,MAX(MOD(SIN(Seed*0.1373+C5651*12.9898+D5651*78.233)*43758.5453,1),1E-9),"")</f>
        <v/>
      </c>
      <c r="G5651">
        <f>IF(B5651,MOD(SIN(Seed*0.5917+C5651*39.3468+D5651*11.135)*24634.6345,1),"")</f>
        <v/>
      </c>
      <c r="H5651">
        <f>IF(B5651,SQRT(-2*LN(F5651))*COS(2*PI()*G5651),"")</f>
        <v/>
      </c>
      <c r="I5651">
        <f>IF(B5651,IF(D5651=0,H5651,Rho*I5650+SQRT(1-Rho^2)*H5651),"")</f>
        <v/>
      </c>
      <c r="J5651">
        <f>IF(B5651,IF(Dist="Normal",DistA+DistB*I5651,DistA+(DistB-DistA)*NORMSDIST(I5651)),"")</f>
        <v/>
      </c>
      <c r="K5651">
        <f>IF(B5651,INDEX(MineScale,C5651),"")</f>
        <v/>
      </c>
      <c r="L5651">
        <f>IF(B5651,INDEX(Dow,1,WEEKDAY(E5651,2)),"")</f>
        <v/>
      </c>
      <c r="M5651">
        <f>IF(B5651,(1+Trend)^D5651,"")</f>
        <v/>
      </c>
      <c r="N5651">
        <f>IF(B5651,EXP(SUMPRODUCT(LN(1+(EvEff-1)*INDEX(Affected,0,C5651)*EXP(-((E5651-EvCenter)^2)/(2*EvSigma^2))))),"")</f>
        <v/>
      </c>
      <c r="O5651">
        <f>IF(B5651,ROUND(MAX(0,J5651*K5651*L5651*M5651*N5651),2),"")</f>
        <v/>
      </c>
    </row>
    <row r="5652">
      <c r="A5652" t="n">
        <v>5651</v>
      </c>
      <c r="B5652">
        <f>A5652&lt;=MineCount*Days</f>
        <v/>
      </c>
      <c r="C5652">
        <f>IF(B5652,INT((A5652-1)/Days)+1,"")</f>
        <v/>
      </c>
      <c r="D5652">
        <f>IF(B5652,MOD(A5652-1,Days),"")</f>
        <v/>
      </c>
      <c r="E5652" s="16">
        <f>IF(B5652,StartDate+D5652,"")</f>
        <v/>
      </c>
      <c r="F5652">
        <f>IF(B5652,MAX(MOD(SIN(Seed*0.1373+C5652*12.9898+D5652*78.233)*43758.5453,1),1E-9),"")</f>
        <v/>
      </c>
      <c r="G5652">
        <f>IF(B5652,MOD(SIN(Seed*0.5917+C5652*39.3468+D5652*11.135)*24634.6345,1),"")</f>
        <v/>
      </c>
      <c r="H5652">
        <f>IF(B5652,SQRT(-2*LN(F5652))*COS(2*PI()*G5652),"")</f>
        <v/>
      </c>
      <c r="I5652">
        <f>IF(B5652,IF(D5652=0,H5652,Rho*I5651+SQRT(1-Rho^2)*H5652),"")</f>
        <v/>
      </c>
      <c r="J5652">
        <f>IF(B5652,IF(Dist="Normal",DistA+DistB*I5652,DistA+(DistB-DistA)*NORMSDIST(I5652)),"")</f>
        <v/>
      </c>
      <c r="K5652">
        <f>IF(B5652,INDEX(MineScale,C5652),"")</f>
        <v/>
      </c>
      <c r="L5652">
        <f>IF(B5652,INDEX(Dow,1,WEEKDAY(E5652,2)),"")</f>
        <v/>
      </c>
      <c r="M5652">
        <f>IF(B5652,(1+Trend)^D5652,"")</f>
        <v/>
      </c>
      <c r="N5652">
        <f>IF(B5652,EXP(SUMPRODUCT(LN(1+(EvEff-1)*INDEX(Affected,0,C5652)*EXP(-((E5652-EvCenter)^2)/(2*EvSigma^2))))),"")</f>
        <v/>
      </c>
      <c r="O5652">
        <f>IF(B5652,ROUND(MAX(0,J5652*K5652*L5652*M5652*N5652),2),"")</f>
        <v/>
      </c>
    </row>
    <row r="5653">
      <c r="A5653" t="n">
        <v>5652</v>
      </c>
      <c r="B5653">
        <f>A5653&lt;=MineCount*Days</f>
        <v/>
      </c>
      <c r="C5653">
        <f>IF(B5653,INT((A5653-1)/Days)+1,"")</f>
        <v/>
      </c>
      <c r="D5653">
        <f>IF(B5653,MOD(A5653-1,Days),"")</f>
        <v/>
      </c>
      <c r="E5653" s="16">
        <f>IF(B5653,StartDate+D5653,"")</f>
        <v/>
      </c>
      <c r="F5653">
        <f>IF(B5653,MAX(MOD(SIN(Seed*0.1373+C5653*12.9898+D5653*78.233)*43758.5453,1),1E-9),"")</f>
        <v/>
      </c>
      <c r="G5653">
        <f>IF(B5653,MOD(SIN(Seed*0.5917+C5653*39.3468+D5653*11.135)*24634.6345,1),"")</f>
        <v/>
      </c>
      <c r="H5653">
        <f>IF(B5653,SQRT(-2*LN(F5653))*COS(2*PI()*G5653),"")</f>
        <v/>
      </c>
      <c r="I5653">
        <f>IF(B5653,IF(D5653=0,H5653,Rho*I5652+SQRT(1-Rho^2)*H5653),"")</f>
        <v/>
      </c>
      <c r="J5653">
        <f>IF(B5653,IF(Dist="Normal",DistA+DistB*I5653,DistA+(DistB-DistA)*NORMSDIST(I5653)),"")</f>
        <v/>
      </c>
      <c r="K5653">
        <f>IF(B5653,INDEX(MineScale,C5653),"")</f>
        <v/>
      </c>
      <c r="L5653">
        <f>IF(B5653,INDEX(Dow,1,WEEKDAY(E5653,2)),"")</f>
        <v/>
      </c>
      <c r="M5653">
        <f>IF(B5653,(1+Trend)^D5653,"")</f>
        <v/>
      </c>
      <c r="N5653">
        <f>IF(B5653,EXP(SUMPRODUCT(LN(1+(EvEff-1)*INDEX(Affected,0,C5653)*EXP(-((E5653-EvCenter)^2)/(2*EvSigma^2))))),"")</f>
        <v/>
      </c>
      <c r="O5653">
        <f>IF(B5653,ROUND(MAX(0,J5653*K5653*L5653*M5653*N5653),2),"")</f>
        <v/>
      </c>
    </row>
    <row r="5654">
      <c r="A5654" t="n">
        <v>5653</v>
      </c>
      <c r="B5654">
        <f>A5654&lt;=MineCount*Days</f>
        <v/>
      </c>
      <c r="C5654">
        <f>IF(B5654,INT((A5654-1)/Days)+1,"")</f>
        <v/>
      </c>
      <c r="D5654">
        <f>IF(B5654,MOD(A5654-1,Days),"")</f>
        <v/>
      </c>
      <c r="E5654" s="16">
        <f>IF(B5654,StartDate+D5654,"")</f>
        <v/>
      </c>
      <c r="F5654">
        <f>IF(B5654,MAX(MOD(SIN(Seed*0.1373+C5654*12.9898+D5654*78.233)*43758.5453,1),1E-9),"")</f>
        <v/>
      </c>
      <c r="G5654">
        <f>IF(B5654,MOD(SIN(Seed*0.5917+C5654*39.3468+D5654*11.135)*24634.6345,1),"")</f>
        <v/>
      </c>
      <c r="H5654">
        <f>IF(B5654,SQRT(-2*LN(F5654))*COS(2*PI()*G5654),"")</f>
        <v/>
      </c>
      <c r="I5654">
        <f>IF(B5654,IF(D5654=0,H5654,Rho*I5653+SQRT(1-Rho^2)*H5654),"")</f>
        <v/>
      </c>
      <c r="J5654">
        <f>IF(B5654,IF(Dist="Normal",DistA+DistB*I5654,DistA+(DistB-DistA)*NORMSDIST(I5654)),"")</f>
        <v/>
      </c>
      <c r="K5654">
        <f>IF(B5654,INDEX(MineScale,C5654),"")</f>
        <v/>
      </c>
      <c r="L5654">
        <f>IF(B5654,INDEX(Dow,1,WEEKDAY(E5654,2)),"")</f>
        <v/>
      </c>
      <c r="M5654">
        <f>IF(B5654,(1+Trend)^D5654,"")</f>
        <v/>
      </c>
      <c r="N5654">
        <f>IF(B5654,EXP(SUMPRODUCT(LN(1+(EvEff-1)*INDEX(Affected,0,C5654)*EXP(-((E5654-EvCenter)^2)/(2*EvSigma^2))))),"")</f>
        <v/>
      </c>
      <c r="O5654">
        <f>IF(B5654,ROUND(MAX(0,J5654*K5654*L5654*M5654*N5654),2),"")</f>
        <v/>
      </c>
    </row>
    <row r="5655">
      <c r="A5655" t="n">
        <v>5654</v>
      </c>
      <c r="B5655">
        <f>A5655&lt;=MineCount*Days</f>
        <v/>
      </c>
      <c r="C5655">
        <f>IF(B5655,INT((A5655-1)/Days)+1,"")</f>
        <v/>
      </c>
      <c r="D5655">
        <f>IF(B5655,MOD(A5655-1,Days),"")</f>
        <v/>
      </c>
      <c r="E5655" s="16">
        <f>IF(B5655,StartDate+D5655,"")</f>
        <v/>
      </c>
      <c r="F5655">
        <f>IF(B5655,MAX(MOD(SIN(Seed*0.1373+C5655*12.9898+D5655*78.233)*43758.5453,1),1E-9),"")</f>
        <v/>
      </c>
      <c r="G5655">
        <f>IF(B5655,MOD(SIN(Seed*0.5917+C5655*39.3468+D5655*11.135)*24634.6345,1),"")</f>
        <v/>
      </c>
      <c r="H5655">
        <f>IF(B5655,SQRT(-2*LN(F5655))*COS(2*PI()*G5655),"")</f>
        <v/>
      </c>
      <c r="I5655">
        <f>IF(B5655,IF(D5655=0,H5655,Rho*I5654+SQRT(1-Rho^2)*H5655),"")</f>
        <v/>
      </c>
      <c r="J5655">
        <f>IF(B5655,IF(Dist="Normal",DistA+DistB*I5655,DistA+(DistB-DistA)*NORMSDIST(I5655)),"")</f>
        <v/>
      </c>
      <c r="K5655">
        <f>IF(B5655,INDEX(MineScale,C5655),"")</f>
        <v/>
      </c>
      <c r="L5655">
        <f>IF(B5655,INDEX(Dow,1,WEEKDAY(E5655,2)),"")</f>
        <v/>
      </c>
      <c r="M5655">
        <f>IF(B5655,(1+Trend)^D5655,"")</f>
        <v/>
      </c>
      <c r="N5655">
        <f>IF(B5655,EXP(SUMPRODUCT(LN(1+(EvEff-1)*INDEX(Affected,0,C5655)*EXP(-((E5655-EvCenter)^2)/(2*EvSigma^2))))),"")</f>
        <v/>
      </c>
      <c r="O5655">
        <f>IF(B5655,ROUND(MAX(0,J5655*K5655*L5655*M5655*N5655),2),"")</f>
        <v/>
      </c>
    </row>
    <row r="5656">
      <c r="A5656" t="n">
        <v>5655</v>
      </c>
      <c r="B5656">
        <f>A5656&lt;=MineCount*Days</f>
        <v/>
      </c>
      <c r="C5656">
        <f>IF(B5656,INT((A5656-1)/Days)+1,"")</f>
        <v/>
      </c>
      <c r="D5656">
        <f>IF(B5656,MOD(A5656-1,Days),"")</f>
        <v/>
      </c>
      <c r="E5656" s="16">
        <f>IF(B5656,StartDate+D5656,"")</f>
        <v/>
      </c>
      <c r="F5656">
        <f>IF(B5656,MAX(MOD(SIN(Seed*0.1373+C5656*12.9898+D5656*78.233)*43758.5453,1),1E-9),"")</f>
        <v/>
      </c>
      <c r="G5656">
        <f>IF(B5656,MOD(SIN(Seed*0.5917+C5656*39.3468+D5656*11.135)*24634.6345,1),"")</f>
        <v/>
      </c>
      <c r="H5656">
        <f>IF(B5656,SQRT(-2*LN(F5656))*COS(2*PI()*G5656),"")</f>
        <v/>
      </c>
      <c r="I5656">
        <f>IF(B5656,IF(D5656=0,H5656,Rho*I5655+SQRT(1-Rho^2)*H5656),"")</f>
        <v/>
      </c>
      <c r="J5656">
        <f>IF(B5656,IF(Dist="Normal",DistA+DistB*I5656,DistA+(DistB-DistA)*NORMSDIST(I5656)),"")</f>
        <v/>
      </c>
      <c r="K5656">
        <f>IF(B5656,INDEX(MineScale,C5656),"")</f>
        <v/>
      </c>
      <c r="L5656">
        <f>IF(B5656,INDEX(Dow,1,WEEKDAY(E5656,2)),"")</f>
        <v/>
      </c>
      <c r="M5656">
        <f>IF(B5656,(1+Trend)^D5656,"")</f>
        <v/>
      </c>
      <c r="N5656">
        <f>IF(B5656,EXP(SUMPRODUCT(LN(1+(EvEff-1)*INDEX(Affected,0,C5656)*EXP(-((E5656-EvCenter)^2)/(2*EvSigma^2))))),"")</f>
        <v/>
      </c>
      <c r="O5656">
        <f>IF(B5656,ROUND(MAX(0,J5656*K5656*L5656*M5656*N5656),2),"")</f>
        <v/>
      </c>
    </row>
    <row r="5657">
      <c r="A5657" t="n">
        <v>5656</v>
      </c>
      <c r="B5657">
        <f>A5657&lt;=MineCount*Days</f>
        <v/>
      </c>
      <c r="C5657">
        <f>IF(B5657,INT((A5657-1)/Days)+1,"")</f>
        <v/>
      </c>
      <c r="D5657">
        <f>IF(B5657,MOD(A5657-1,Days),"")</f>
        <v/>
      </c>
      <c r="E5657" s="16">
        <f>IF(B5657,StartDate+D5657,"")</f>
        <v/>
      </c>
      <c r="F5657">
        <f>IF(B5657,MAX(MOD(SIN(Seed*0.1373+C5657*12.9898+D5657*78.233)*43758.5453,1),1E-9),"")</f>
        <v/>
      </c>
      <c r="G5657">
        <f>IF(B5657,MOD(SIN(Seed*0.5917+C5657*39.3468+D5657*11.135)*24634.6345,1),"")</f>
        <v/>
      </c>
      <c r="H5657">
        <f>IF(B5657,SQRT(-2*LN(F5657))*COS(2*PI()*G5657),"")</f>
        <v/>
      </c>
      <c r="I5657">
        <f>IF(B5657,IF(D5657=0,H5657,Rho*I5656+SQRT(1-Rho^2)*H5657),"")</f>
        <v/>
      </c>
      <c r="J5657">
        <f>IF(B5657,IF(Dist="Normal",DistA+DistB*I5657,DistA+(DistB-DistA)*NORMSDIST(I5657)),"")</f>
        <v/>
      </c>
      <c r="K5657">
        <f>IF(B5657,INDEX(MineScale,C5657),"")</f>
        <v/>
      </c>
      <c r="L5657">
        <f>IF(B5657,INDEX(Dow,1,WEEKDAY(E5657,2)),"")</f>
        <v/>
      </c>
      <c r="M5657">
        <f>IF(B5657,(1+Trend)^D5657,"")</f>
        <v/>
      </c>
      <c r="N5657">
        <f>IF(B5657,EXP(SUMPRODUCT(LN(1+(EvEff-1)*INDEX(Affected,0,C5657)*EXP(-((E5657-EvCenter)^2)/(2*EvSigma^2))))),"")</f>
        <v/>
      </c>
      <c r="O5657">
        <f>IF(B5657,ROUND(MAX(0,J5657*K5657*L5657*M5657*N5657),2),"")</f>
        <v/>
      </c>
    </row>
    <row r="5658">
      <c r="A5658" t="n">
        <v>5657</v>
      </c>
      <c r="B5658">
        <f>A5658&lt;=MineCount*Days</f>
        <v/>
      </c>
      <c r="C5658">
        <f>IF(B5658,INT((A5658-1)/Days)+1,"")</f>
        <v/>
      </c>
      <c r="D5658">
        <f>IF(B5658,MOD(A5658-1,Days),"")</f>
        <v/>
      </c>
      <c r="E5658" s="16">
        <f>IF(B5658,StartDate+D5658,"")</f>
        <v/>
      </c>
      <c r="F5658">
        <f>IF(B5658,MAX(MOD(SIN(Seed*0.1373+C5658*12.9898+D5658*78.233)*43758.5453,1),1E-9),"")</f>
        <v/>
      </c>
      <c r="G5658">
        <f>IF(B5658,MOD(SIN(Seed*0.5917+C5658*39.3468+D5658*11.135)*24634.6345,1),"")</f>
        <v/>
      </c>
      <c r="H5658">
        <f>IF(B5658,SQRT(-2*LN(F5658))*COS(2*PI()*G5658),"")</f>
        <v/>
      </c>
      <c r="I5658">
        <f>IF(B5658,IF(D5658=0,H5658,Rho*I5657+SQRT(1-Rho^2)*H5658),"")</f>
        <v/>
      </c>
      <c r="J5658">
        <f>IF(B5658,IF(Dist="Normal",DistA+DistB*I5658,DistA+(DistB-DistA)*NORMSDIST(I5658)),"")</f>
        <v/>
      </c>
      <c r="K5658">
        <f>IF(B5658,INDEX(MineScale,C5658),"")</f>
        <v/>
      </c>
      <c r="L5658">
        <f>IF(B5658,INDEX(Dow,1,WEEKDAY(E5658,2)),"")</f>
        <v/>
      </c>
      <c r="M5658">
        <f>IF(B5658,(1+Trend)^D5658,"")</f>
        <v/>
      </c>
      <c r="N5658">
        <f>IF(B5658,EXP(SUMPRODUCT(LN(1+(EvEff-1)*INDEX(Affected,0,C5658)*EXP(-((E5658-EvCenter)^2)/(2*EvSigma^2))))),"")</f>
        <v/>
      </c>
      <c r="O5658">
        <f>IF(B5658,ROUND(MAX(0,J5658*K5658*L5658*M5658*N5658),2),"")</f>
        <v/>
      </c>
    </row>
    <row r="5659">
      <c r="A5659" t="n">
        <v>5658</v>
      </c>
      <c r="B5659">
        <f>A5659&lt;=MineCount*Days</f>
        <v/>
      </c>
      <c r="C5659">
        <f>IF(B5659,INT((A5659-1)/Days)+1,"")</f>
        <v/>
      </c>
      <c r="D5659">
        <f>IF(B5659,MOD(A5659-1,Days),"")</f>
        <v/>
      </c>
      <c r="E5659" s="16">
        <f>IF(B5659,StartDate+D5659,"")</f>
        <v/>
      </c>
      <c r="F5659">
        <f>IF(B5659,MAX(MOD(SIN(Seed*0.1373+C5659*12.9898+D5659*78.233)*43758.5453,1),1E-9),"")</f>
        <v/>
      </c>
      <c r="G5659">
        <f>IF(B5659,MOD(SIN(Seed*0.5917+C5659*39.3468+D5659*11.135)*24634.6345,1),"")</f>
        <v/>
      </c>
      <c r="H5659">
        <f>IF(B5659,SQRT(-2*LN(F5659))*COS(2*PI()*G5659),"")</f>
        <v/>
      </c>
      <c r="I5659">
        <f>IF(B5659,IF(D5659=0,H5659,Rho*I5658+SQRT(1-Rho^2)*H5659),"")</f>
        <v/>
      </c>
      <c r="J5659">
        <f>IF(B5659,IF(Dist="Normal",DistA+DistB*I5659,DistA+(DistB-DistA)*NORMSDIST(I5659)),"")</f>
        <v/>
      </c>
      <c r="K5659">
        <f>IF(B5659,INDEX(MineScale,C5659),"")</f>
        <v/>
      </c>
      <c r="L5659">
        <f>IF(B5659,INDEX(Dow,1,WEEKDAY(E5659,2)),"")</f>
        <v/>
      </c>
      <c r="M5659">
        <f>IF(B5659,(1+Trend)^D5659,"")</f>
        <v/>
      </c>
      <c r="N5659">
        <f>IF(B5659,EXP(SUMPRODUCT(LN(1+(EvEff-1)*INDEX(Affected,0,C5659)*EXP(-((E5659-EvCenter)^2)/(2*EvSigma^2))))),"")</f>
        <v/>
      </c>
      <c r="O5659">
        <f>IF(B5659,ROUND(MAX(0,J5659*K5659*L5659*M5659*N5659),2),"")</f>
        <v/>
      </c>
    </row>
    <row r="5660">
      <c r="A5660" t="n">
        <v>5659</v>
      </c>
      <c r="B5660">
        <f>A5660&lt;=MineCount*Days</f>
        <v/>
      </c>
      <c r="C5660">
        <f>IF(B5660,INT((A5660-1)/Days)+1,"")</f>
        <v/>
      </c>
      <c r="D5660">
        <f>IF(B5660,MOD(A5660-1,Days),"")</f>
        <v/>
      </c>
      <c r="E5660" s="16">
        <f>IF(B5660,StartDate+D5660,"")</f>
        <v/>
      </c>
      <c r="F5660">
        <f>IF(B5660,MAX(MOD(SIN(Seed*0.1373+C5660*12.9898+D5660*78.233)*43758.5453,1),1E-9),"")</f>
        <v/>
      </c>
      <c r="G5660">
        <f>IF(B5660,MOD(SIN(Seed*0.5917+C5660*39.3468+D5660*11.135)*24634.6345,1),"")</f>
        <v/>
      </c>
      <c r="H5660">
        <f>IF(B5660,SQRT(-2*LN(F5660))*COS(2*PI()*G5660),"")</f>
        <v/>
      </c>
      <c r="I5660">
        <f>IF(B5660,IF(D5660=0,H5660,Rho*I5659+SQRT(1-Rho^2)*H5660),"")</f>
        <v/>
      </c>
      <c r="J5660">
        <f>IF(B5660,IF(Dist="Normal",DistA+DistB*I5660,DistA+(DistB-DistA)*NORMSDIST(I5660)),"")</f>
        <v/>
      </c>
      <c r="K5660">
        <f>IF(B5660,INDEX(MineScale,C5660),"")</f>
        <v/>
      </c>
      <c r="L5660">
        <f>IF(B5660,INDEX(Dow,1,WEEKDAY(E5660,2)),"")</f>
        <v/>
      </c>
      <c r="M5660">
        <f>IF(B5660,(1+Trend)^D5660,"")</f>
        <v/>
      </c>
      <c r="N5660">
        <f>IF(B5660,EXP(SUMPRODUCT(LN(1+(EvEff-1)*INDEX(Affected,0,C5660)*EXP(-((E5660-EvCenter)^2)/(2*EvSigma^2))))),"")</f>
        <v/>
      </c>
      <c r="O5660">
        <f>IF(B5660,ROUND(MAX(0,J5660*K5660*L5660*M5660*N5660),2),"")</f>
        <v/>
      </c>
    </row>
    <row r="5661">
      <c r="A5661" t="n">
        <v>5660</v>
      </c>
      <c r="B5661">
        <f>A5661&lt;=MineCount*Days</f>
        <v/>
      </c>
      <c r="C5661">
        <f>IF(B5661,INT((A5661-1)/Days)+1,"")</f>
        <v/>
      </c>
      <c r="D5661">
        <f>IF(B5661,MOD(A5661-1,Days),"")</f>
        <v/>
      </c>
      <c r="E5661" s="16">
        <f>IF(B5661,StartDate+D5661,"")</f>
        <v/>
      </c>
      <c r="F5661">
        <f>IF(B5661,MAX(MOD(SIN(Seed*0.1373+C5661*12.9898+D5661*78.233)*43758.5453,1),1E-9),"")</f>
        <v/>
      </c>
      <c r="G5661">
        <f>IF(B5661,MOD(SIN(Seed*0.5917+C5661*39.3468+D5661*11.135)*24634.6345,1),"")</f>
        <v/>
      </c>
      <c r="H5661">
        <f>IF(B5661,SQRT(-2*LN(F5661))*COS(2*PI()*G5661),"")</f>
        <v/>
      </c>
      <c r="I5661">
        <f>IF(B5661,IF(D5661=0,H5661,Rho*I5660+SQRT(1-Rho^2)*H5661),"")</f>
        <v/>
      </c>
      <c r="J5661">
        <f>IF(B5661,IF(Dist="Normal",DistA+DistB*I5661,DistA+(DistB-DistA)*NORMSDIST(I5661)),"")</f>
        <v/>
      </c>
      <c r="K5661">
        <f>IF(B5661,INDEX(MineScale,C5661),"")</f>
        <v/>
      </c>
      <c r="L5661">
        <f>IF(B5661,INDEX(Dow,1,WEEKDAY(E5661,2)),"")</f>
        <v/>
      </c>
      <c r="M5661">
        <f>IF(B5661,(1+Trend)^D5661,"")</f>
        <v/>
      </c>
      <c r="N5661">
        <f>IF(B5661,EXP(SUMPRODUCT(LN(1+(EvEff-1)*INDEX(Affected,0,C5661)*EXP(-((E5661-EvCenter)^2)/(2*EvSigma^2))))),"")</f>
        <v/>
      </c>
      <c r="O5661">
        <f>IF(B5661,ROUND(MAX(0,J5661*K5661*L5661*M5661*N5661),2),"")</f>
        <v/>
      </c>
    </row>
    <row r="5662">
      <c r="A5662" t="n">
        <v>5661</v>
      </c>
      <c r="B5662">
        <f>A5662&lt;=MineCount*Days</f>
        <v/>
      </c>
      <c r="C5662">
        <f>IF(B5662,INT((A5662-1)/Days)+1,"")</f>
        <v/>
      </c>
      <c r="D5662">
        <f>IF(B5662,MOD(A5662-1,Days),"")</f>
        <v/>
      </c>
      <c r="E5662" s="16">
        <f>IF(B5662,StartDate+D5662,"")</f>
        <v/>
      </c>
      <c r="F5662">
        <f>IF(B5662,MAX(MOD(SIN(Seed*0.1373+C5662*12.9898+D5662*78.233)*43758.5453,1),1E-9),"")</f>
        <v/>
      </c>
      <c r="G5662">
        <f>IF(B5662,MOD(SIN(Seed*0.5917+C5662*39.3468+D5662*11.135)*24634.6345,1),"")</f>
        <v/>
      </c>
      <c r="H5662">
        <f>IF(B5662,SQRT(-2*LN(F5662))*COS(2*PI()*G5662),"")</f>
        <v/>
      </c>
      <c r="I5662">
        <f>IF(B5662,IF(D5662=0,H5662,Rho*I5661+SQRT(1-Rho^2)*H5662),"")</f>
        <v/>
      </c>
      <c r="J5662">
        <f>IF(B5662,IF(Dist="Normal",DistA+DistB*I5662,DistA+(DistB-DistA)*NORMSDIST(I5662)),"")</f>
        <v/>
      </c>
      <c r="K5662">
        <f>IF(B5662,INDEX(MineScale,C5662),"")</f>
        <v/>
      </c>
      <c r="L5662">
        <f>IF(B5662,INDEX(Dow,1,WEEKDAY(E5662,2)),"")</f>
        <v/>
      </c>
      <c r="M5662">
        <f>IF(B5662,(1+Trend)^D5662,"")</f>
        <v/>
      </c>
      <c r="N5662">
        <f>IF(B5662,EXP(SUMPRODUCT(LN(1+(EvEff-1)*INDEX(Affected,0,C5662)*EXP(-((E5662-EvCenter)^2)/(2*EvSigma^2))))),"")</f>
        <v/>
      </c>
      <c r="O5662">
        <f>IF(B5662,ROUND(MAX(0,J5662*K5662*L5662*M5662*N5662),2),"")</f>
        <v/>
      </c>
    </row>
    <row r="5663">
      <c r="A5663" t="n">
        <v>5662</v>
      </c>
      <c r="B5663">
        <f>A5663&lt;=MineCount*Days</f>
        <v/>
      </c>
      <c r="C5663">
        <f>IF(B5663,INT((A5663-1)/Days)+1,"")</f>
        <v/>
      </c>
      <c r="D5663">
        <f>IF(B5663,MOD(A5663-1,Days),"")</f>
        <v/>
      </c>
      <c r="E5663" s="16">
        <f>IF(B5663,StartDate+D5663,"")</f>
        <v/>
      </c>
      <c r="F5663">
        <f>IF(B5663,MAX(MOD(SIN(Seed*0.1373+C5663*12.9898+D5663*78.233)*43758.5453,1),1E-9),"")</f>
        <v/>
      </c>
      <c r="G5663">
        <f>IF(B5663,MOD(SIN(Seed*0.5917+C5663*39.3468+D5663*11.135)*24634.6345,1),"")</f>
        <v/>
      </c>
      <c r="H5663">
        <f>IF(B5663,SQRT(-2*LN(F5663))*COS(2*PI()*G5663),"")</f>
        <v/>
      </c>
      <c r="I5663">
        <f>IF(B5663,IF(D5663=0,H5663,Rho*I5662+SQRT(1-Rho^2)*H5663),"")</f>
        <v/>
      </c>
      <c r="J5663">
        <f>IF(B5663,IF(Dist="Normal",DistA+DistB*I5663,DistA+(DistB-DistA)*NORMSDIST(I5663)),"")</f>
        <v/>
      </c>
      <c r="K5663">
        <f>IF(B5663,INDEX(MineScale,C5663),"")</f>
        <v/>
      </c>
      <c r="L5663">
        <f>IF(B5663,INDEX(Dow,1,WEEKDAY(E5663,2)),"")</f>
        <v/>
      </c>
      <c r="M5663">
        <f>IF(B5663,(1+Trend)^D5663,"")</f>
        <v/>
      </c>
      <c r="N5663">
        <f>IF(B5663,EXP(SUMPRODUCT(LN(1+(EvEff-1)*INDEX(Affected,0,C5663)*EXP(-((E5663-EvCenter)^2)/(2*EvSigma^2))))),"")</f>
        <v/>
      </c>
      <c r="O5663">
        <f>IF(B5663,ROUND(MAX(0,J5663*K5663*L5663*M5663*N5663),2),"")</f>
        <v/>
      </c>
    </row>
    <row r="5664">
      <c r="A5664" t="n">
        <v>5663</v>
      </c>
      <c r="B5664">
        <f>A5664&lt;=MineCount*Days</f>
        <v/>
      </c>
      <c r="C5664">
        <f>IF(B5664,INT((A5664-1)/Days)+1,"")</f>
        <v/>
      </c>
      <c r="D5664">
        <f>IF(B5664,MOD(A5664-1,Days),"")</f>
        <v/>
      </c>
      <c r="E5664" s="16">
        <f>IF(B5664,StartDate+D5664,"")</f>
        <v/>
      </c>
      <c r="F5664">
        <f>IF(B5664,MAX(MOD(SIN(Seed*0.1373+C5664*12.9898+D5664*78.233)*43758.5453,1),1E-9),"")</f>
        <v/>
      </c>
      <c r="G5664">
        <f>IF(B5664,MOD(SIN(Seed*0.5917+C5664*39.3468+D5664*11.135)*24634.6345,1),"")</f>
        <v/>
      </c>
      <c r="H5664">
        <f>IF(B5664,SQRT(-2*LN(F5664))*COS(2*PI()*G5664),"")</f>
        <v/>
      </c>
      <c r="I5664">
        <f>IF(B5664,IF(D5664=0,H5664,Rho*I5663+SQRT(1-Rho^2)*H5664),"")</f>
        <v/>
      </c>
      <c r="J5664">
        <f>IF(B5664,IF(Dist="Normal",DistA+DistB*I5664,DistA+(DistB-DistA)*NORMSDIST(I5664)),"")</f>
        <v/>
      </c>
      <c r="K5664">
        <f>IF(B5664,INDEX(MineScale,C5664),"")</f>
        <v/>
      </c>
      <c r="L5664">
        <f>IF(B5664,INDEX(Dow,1,WEEKDAY(E5664,2)),"")</f>
        <v/>
      </c>
      <c r="M5664">
        <f>IF(B5664,(1+Trend)^D5664,"")</f>
        <v/>
      </c>
      <c r="N5664">
        <f>IF(B5664,EXP(SUMPRODUCT(LN(1+(EvEff-1)*INDEX(Affected,0,C5664)*EXP(-((E5664-EvCenter)^2)/(2*EvSigma^2))))),"")</f>
        <v/>
      </c>
      <c r="O5664">
        <f>IF(B5664,ROUND(MAX(0,J5664*K5664*L5664*M5664*N5664),2),"")</f>
        <v/>
      </c>
    </row>
    <row r="5665">
      <c r="A5665" t="n">
        <v>5664</v>
      </c>
      <c r="B5665">
        <f>A5665&lt;=MineCount*Days</f>
        <v/>
      </c>
      <c r="C5665">
        <f>IF(B5665,INT((A5665-1)/Days)+1,"")</f>
        <v/>
      </c>
      <c r="D5665">
        <f>IF(B5665,MOD(A5665-1,Days),"")</f>
        <v/>
      </c>
      <c r="E5665" s="16">
        <f>IF(B5665,StartDate+D5665,"")</f>
        <v/>
      </c>
      <c r="F5665">
        <f>IF(B5665,MAX(MOD(SIN(Seed*0.1373+C5665*12.9898+D5665*78.233)*43758.5453,1),1E-9),"")</f>
        <v/>
      </c>
      <c r="G5665">
        <f>IF(B5665,MOD(SIN(Seed*0.5917+C5665*39.3468+D5665*11.135)*24634.6345,1),"")</f>
        <v/>
      </c>
      <c r="H5665">
        <f>IF(B5665,SQRT(-2*LN(F5665))*COS(2*PI()*G5665),"")</f>
        <v/>
      </c>
      <c r="I5665">
        <f>IF(B5665,IF(D5665=0,H5665,Rho*I5664+SQRT(1-Rho^2)*H5665),"")</f>
        <v/>
      </c>
      <c r="J5665">
        <f>IF(B5665,IF(Dist="Normal",DistA+DistB*I5665,DistA+(DistB-DistA)*NORMSDIST(I5665)),"")</f>
        <v/>
      </c>
      <c r="K5665">
        <f>IF(B5665,INDEX(MineScale,C5665),"")</f>
        <v/>
      </c>
      <c r="L5665">
        <f>IF(B5665,INDEX(Dow,1,WEEKDAY(E5665,2)),"")</f>
        <v/>
      </c>
      <c r="M5665">
        <f>IF(B5665,(1+Trend)^D5665,"")</f>
        <v/>
      </c>
      <c r="N5665">
        <f>IF(B5665,EXP(SUMPRODUCT(LN(1+(EvEff-1)*INDEX(Affected,0,C5665)*EXP(-((E5665-EvCenter)^2)/(2*EvSigma^2))))),"")</f>
        <v/>
      </c>
      <c r="O5665">
        <f>IF(B5665,ROUND(MAX(0,J5665*K5665*L5665*M5665*N5665),2),"")</f>
        <v/>
      </c>
    </row>
    <row r="5666">
      <c r="A5666" t="n">
        <v>5665</v>
      </c>
      <c r="B5666">
        <f>A5666&lt;=MineCount*Days</f>
        <v/>
      </c>
      <c r="C5666">
        <f>IF(B5666,INT((A5666-1)/Days)+1,"")</f>
        <v/>
      </c>
      <c r="D5666">
        <f>IF(B5666,MOD(A5666-1,Days),"")</f>
        <v/>
      </c>
      <c r="E5666" s="16">
        <f>IF(B5666,StartDate+D5666,"")</f>
        <v/>
      </c>
      <c r="F5666">
        <f>IF(B5666,MAX(MOD(SIN(Seed*0.1373+C5666*12.9898+D5666*78.233)*43758.5453,1),1E-9),"")</f>
        <v/>
      </c>
      <c r="G5666">
        <f>IF(B5666,MOD(SIN(Seed*0.5917+C5666*39.3468+D5666*11.135)*24634.6345,1),"")</f>
        <v/>
      </c>
      <c r="H5666">
        <f>IF(B5666,SQRT(-2*LN(F5666))*COS(2*PI()*G5666),"")</f>
        <v/>
      </c>
      <c r="I5666">
        <f>IF(B5666,IF(D5666=0,H5666,Rho*I5665+SQRT(1-Rho^2)*H5666),"")</f>
        <v/>
      </c>
      <c r="J5666">
        <f>IF(B5666,IF(Dist="Normal",DistA+DistB*I5666,DistA+(DistB-DistA)*NORMSDIST(I5666)),"")</f>
        <v/>
      </c>
      <c r="K5666">
        <f>IF(B5666,INDEX(MineScale,C5666),"")</f>
        <v/>
      </c>
      <c r="L5666">
        <f>IF(B5666,INDEX(Dow,1,WEEKDAY(E5666,2)),"")</f>
        <v/>
      </c>
      <c r="M5666">
        <f>IF(B5666,(1+Trend)^D5666,"")</f>
        <v/>
      </c>
      <c r="N5666">
        <f>IF(B5666,EXP(SUMPRODUCT(LN(1+(EvEff-1)*INDEX(Affected,0,C5666)*EXP(-((E5666-EvCenter)^2)/(2*EvSigma^2))))),"")</f>
        <v/>
      </c>
      <c r="O5666">
        <f>IF(B5666,ROUND(MAX(0,J5666*K5666*L5666*M5666*N5666),2),"")</f>
        <v/>
      </c>
    </row>
    <row r="5667">
      <c r="A5667" t="n">
        <v>5666</v>
      </c>
      <c r="B5667">
        <f>A5667&lt;=MineCount*Days</f>
        <v/>
      </c>
      <c r="C5667">
        <f>IF(B5667,INT((A5667-1)/Days)+1,"")</f>
        <v/>
      </c>
      <c r="D5667">
        <f>IF(B5667,MOD(A5667-1,Days),"")</f>
        <v/>
      </c>
      <c r="E5667" s="16">
        <f>IF(B5667,StartDate+D5667,"")</f>
        <v/>
      </c>
      <c r="F5667">
        <f>IF(B5667,MAX(MOD(SIN(Seed*0.1373+C5667*12.9898+D5667*78.233)*43758.5453,1),1E-9),"")</f>
        <v/>
      </c>
      <c r="G5667">
        <f>IF(B5667,MOD(SIN(Seed*0.5917+C5667*39.3468+D5667*11.135)*24634.6345,1),"")</f>
        <v/>
      </c>
      <c r="H5667">
        <f>IF(B5667,SQRT(-2*LN(F5667))*COS(2*PI()*G5667),"")</f>
        <v/>
      </c>
      <c r="I5667">
        <f>IF(B5667,IF(D5667=0,H5667,Rho*I5666+SQRT(1-Rho^2)*H5667),"")</f>
        <v/>
      </c>
      <c r="J5667">
        <f>IF(B5667,IF(Dist="Normal",DistA+DistB*I5667,DistA+(DistB-DistA)*NORMSDIST(I5667)),"")</f>
        <v/>
      </c>
      <c r="K5667">
        <f>IF(B5667,INDEX(MineScale,C5667),"")</f>
        <v/>
      </c>
      <c r="L5667">
        <f>IF(B5667,INDEX(Dow,1,WEEKDAY(E5667,2)),"")</f>
        <v/>
      </c>
      <c r="M5667">
        <f>IF(B5667,(1+Trend)^D5667,"")</f>
        <v/>
      </c>
      <c r="N5667">
        <f>IF(B5667,EXP(SUMPRODUCT(LN(1+(EvEff-1)*INDEX(Affected,0,C5667)*EXP(-((E5667-EvCenter)^2)/(2*EvSigma^2))))),"")</f>
        <v/>
      </c>
      <c r="O5667">
        <f>IF(B5667,ROUND(MAX(0,J5667*K5667*L5667*M5667*N5667),2),"")</f>
        <v/>
      </c>
    </row>
    <row r="5668">
      <c r="A5668" t="n">
        <v>5667</v>
      </c>
      <c r="B5668">
        <f>A5668&lt;=MineCount*Days</f>
        <v/>
      </c>
      <c r="C5668">
        <f>IF(B5668,INT((A5668-1)/Days)+1,"")</f>
        <v/>
      </c>
      <c r="D5668">
        <f>IF(B5668,MOD(A5668-1,Days),"")</f>
        <v/>
      </c>
      <c r="E5668" s="16">
        <f>IF(B5668,StartDate+D5668,"")</f>
        <v/>
      </c>
      <c r="F5668">
        <f>IF(B5668,MAX(MOD(SIN(Seed*0.1373+C5668*12.9898+D5668*78.233)*43758.5453,1),1E-9),"")</f>
        <v/>
      </c>
      <c r="G5668">
        <f>IF(B5668,MOD(SIN(Seed*0.5917+C5668*39.3468+D5668*11.135)*24634.6345,1),"")</f>
        <v/>
      </c>
      <c r="H5668">
        <f>IF(B5668,SQRT(-2*LN(F5668))*COS(2*PI()*G5668),"")</f>
        <v/>
      </c>
      <c r="I5668">
        <f>IF(B5668,IF(D5668=0,H5668,Rho*I5667+SQRT(1-Rho^2)*H5668),"")</f>
        <v/>
      </c>
      <c r="J5668">
        <f>IF(B5668,IF(Dist="Normal",DistA+DistB*I5668,DistA+(DistB-DistA)*NORMSDIST(I5668)),"")</f>
        <v/>
      </c>
      <c r="K5668">
        <f>IF(B5668,INDEX(MineScale,C5668),"")</f>
        <v/>
      </c>
      <c r="L5668">
        <f>IF(B5668,INDEX(Dow,1,WEEKDAY(E5668,2)),"")</f>
        <v/>
      </c>
      <c r="M5668">
        <f>IF(B5668,(1+Trend)^D5668,"")</f>
        <v/>
      </c>
      <c r="N5668">
        <f>IF(B5668,EXP(SUMPRODUCT(LN(1+(EvEff-1)*INDEX(Affected,0,C5668)*EXP(-((E5668-EvCenter)^2)/(2*EvSigma^2))))),"")</f>
        <v/>
      </c>
      <c r="O5668">
        <f>IF(B5668,ROUND(MAX(0,J5668*K5668*L5668*M5668*N5668),2),"")</f>
        <v/>
      </c>
    </row>
    <row r="5669">
      <c r="A5669" t="n">
        <v>5668</v>
      </c>
      <c r="B5669">
        <f>A5669&lt;=MineCount*Days</f>
        <v/>
      </c>
      <c r="C5669">
        <f>IF(B5669,INT((A5669-1)/Days)+1,"")</f>
        <v/>
      </c>
      <c r="D5669">
        <f>IF(B5669,MOD(A5669-1,Days),"")</f>
        <v/>
      </c>
      <c r="E5669" s="16">
        <f>IF(B5669,StartDate+D5669,"")</f>
        <v/>
      </c>
      <c r="F5669">
        <f>IF(B5669,MAX(MOD(SIN(Seed*0.1373+C5669*12.9898+D5669*78.233)*43758.5453,1),1E-9),"")</f>
        <v/>
      </c>
      <c r="G5669">
        <f>IF(B5669,MOD(SIN(Seed*0.5917+C5669*39.3468+D5669*11.135)*24634.6345,1),"")</f>
        <v/>
      </c>
      <c r="H5669">
        <f>IF(B5669,SQRT(-2*LN(F5669))*COS(2*PI()*G5669),"")</f>
        <v/>
      </c>
      <c r="I5669">
        <f>IF(B5669,IF(D5669=0,H5669,Rho*I5668+SQRT(1-Rho^2)*H5669),"")</f>
        <v/>
      </c>
      <c r="J5669">
        <f>IF(B5669,IF(Dist="Normal",DistA+DistB*I5669,DistA+(DistB-DistA)*NORMSDIST(I5669)),"")</f>
        <v/>
      </c>
      <c r="K5669">
        <f>IF(B5669,INDEX(MineScale,C5669),"")</f>
        <v/>
      </c>
      <c r="L5669">
        <f>IF(B5669,INDEX(Dow,1,WEEKDAY(E5669,2)),"")</f>
        <v/>
      </c>
      <c r="M5669">
        <f>IF(B5669,(1+Trend)^D5669,"")</f>
        <v/>
      </c>
      <c r="N5669">
        <f>IF(B5669,EXP(SUMPRODUCT(LN(1+(EvEff-1)*INDEX(Affected,0,C5669)*EXP(-((E5669-EvCenter)^2)/(2*EvSigma^2))))),"")</f>
        <v/>
      </c>
      <c r="O5669">
        <f>IF(B5669,ROUND(MAX(0,J5669*K5669*L5669*M5669*N5669),2),"")</f>
        <v/>
      </c>
    </row>
    <row r="5670">
      <c r="A5670" t="n">
        <v>5669</v>
      </c>
      <c r="B5670">
        <f>A5670&lt;=MineCount*Days</f>
        <v/>
      </c>
      <c r="C5670">
        <f>IF(B5670,INT((A5670-1)/Days)+1,"")</f>
        <v/>
      </c>
      <c r="D5670">
        <f>IF(B5670,MOD(A5670-1,Days),"")</f>
        <v/>
      </c>
      <c r="E5670" s="16">
        <f>IF(B5670,StartDate+D5670,"")</f>
        <v/>
      </c>
      <c r="F5670">
        <f>IF(B5670,MAX(MOD(SIN(Seed*0.1373+C5670*12.9898+D5670*78.233)*43758.5453,1),1E-9),"")</f>
        <v/>
      </c>
      <c r="G5670">
        <f>IF(B5670,MOD(SIN(Seed*0.5917+C5670*39.3468+D5670*11.135)*24634.6345,1),"")</f>
        <v/>
      </c>
      <c r="H5670">
        <f>IF(B5670,SQRT(-2*LN(F5670))*COS(2*PI()*G5670),"")</f>
        <v/>
      </c>
      <c r="I5670">
        <f>IF(B5670,IF(D5670=0,H5670,Rho*I5669+SQRT(1-Rho^2)*H5670),"")</f>
        <v/>
      </c>
      <c r="J5670">
        <f>IF(B5670,IF(Dist="Normal",DistA+DistB*I5670,DistA+(DistB-DistA)*NORMSDIST(I5670)),"")</f>
        <v/>
      </c>
      <c r="K5670">
        <f>IF(B5670,INDEX(MineScale,C5670),"")</f>
        <v/>
      </c>
      <c r="L5670">
        <f>IF(B5670,INDEX(Dow,1,WEEKDAY(E5670,2)),"")</f>
        <v/>
      </c>
      <c r="M5670">
        <f>IF(B5670,(1+Trend)^D5670,"")</f>
        <v/>
      </c>
      <c r="N5670">
        <f>IF(B5670,EXP(SUMPRODUCT(LN(1+(EvEff-1)*INDEX(Affected,0,C5670)*EXP(-((E5670-EvCenter)^2)/(2*EvSigma^2))))),"")</f>
        <v/>
      </c>
      <c r="O5670">
        <f>IF(B5670,ROUND(MAX(0,J5670*K5670*L5670*M5670*N5670),2),"")</f>
        <v/>
      </c>
    </row>
    <row r="5671">
      <c r="A5671" t="n">
        <v>5670</v>
      </c>
      <c r="B5671">
        <f>A5671&lt;=MineCount*Days</f>
        <v/>
      </c>
      <c r="C5671">
        <f>IF(B5671,INT((A5671-1)/Days)+1,"")</f>
        <v/>
      </c>
      <c r="D5671">
        <f>IF(B5671,MOD(A5671-1,Days),"")</f>
        <v/>
      </c>
      <c r="E5671" s="16">
        <f>IF(B5671,StartDate+D5671,"")</f>
        <v/>
      </c>
      <c r="F5671">
        <f>IF(B5671,MAX(MOD(SIN(Seed*0.1373+C5671*12.9898+D5671*78.233)*43758.5453,1),1E-9),"")</f>
        <v/>
      </c>
      <c r="G5671">
        <f>IF(B5671,MOD(SIN(Seed*0.5917+C5671*39.3468+D5671*11.135)*24634.6345,1),"")</f>
        <v/>
      </c>
      <c r="H5671">
        <f>IF(B5671,SQRT(-2*LN(F5671))*COS(2*PI()*G5671),"")</f>
        <v/>
      </c>
      <c r="I5671">
        <f>IF(B5671,IF(D5671=0,H5671,Rho*I5670+SQRT(1-Rho^2)*H5671),"")</f>
        <v/>
      </c>
      <c r="J5671">
        <f>IF(B5671,IF(Dist="Normal",DistA+DistB*I5671,DistA+(DistB-DistA)*NORMSDIST(I5671)),"")</f>
        <v/>
      </c>
      <c r="K5671">
        <f>IF(B5671,INDEX(MineScale,C5671),"")</f>
        <v/>
      </c>
      <c r="L5671">
        <f>IF(B5671,INDEX(Dow,1,WEEKDAY(E5671,2)),"")</f>
        <v/>
      </c>
      <c r="M5671">
        <f>IF(B5671,(1+Trend)^D5671,"")</f>
        <v/>
      </c>
      <c r="N5671">
        <f>IF(B5671,EXP(SUMPRODUCT(LN(1+(EvEff-1)*INDEX(Affected,0,C5671)*EXP(-((E5671-EvCenter)^2)/(2*EvSigma^2))))),"")</f>
        <v/>
      </c>
      <c r="O5671">
        <f>IF(B5671,ROUND(MAX(0,J5671*K5671*L5671*M5671*N5671),2),"")</f>
        <v/>
      </c>
    </row>
    <row r="5672">
      <c r="A5672" t="n">
        <v>5671</v>
      </c>
      <c r="B5672">
        <f>A5672&lt;=MineCount*Days</f>
        <v/>
      </c>
      <c r="C5672">
        <f>IF(B5672,INT((A5672-1)/Days)+1,"")</f>
        <v/>
      </c>
      <c r="D5672">
        <f>IF(B5672,MOD(A5672-1,Days),"")</f>
        <v/>
      </c>
      <c r="E5672" s="16">
        <f>IF(B5672,StartDate+D5672,"")</f>
        <v/>
      </c>
      <c r="F5672">
        <f>IF(B5672,MAX(MOD(SIN(Seed*0.1373+C5672*12.9898+D5672*78.233)*43758.5453,1),1E-9),"")</f>
        <v/>
      </c>
      <c r="G5672">
        <f>IF(B5672,MOD(SIN(Seed*0.5917+C5672*39.3468+D5672*11.135)*24634.6345,1),"")</f>
        <v/>
      </c>
      <c r="H5672">
        <f>IF(B5672,SQRT(-2*LN(F5672))*COS(2*PI()*G5672),"")</f>
        <v/>
      </c>
      <c r="I5672">
        <f>IF(B5672,IF(D5672=0,H5672,Rho*I5671+SQRT(1-Rho^2)*H5672),"")</f>
        <v/>
      </c>
      <c r="J5672">
        <f>IF(B5672,IF(Dist="Normal",DistA+DistB*I5672,DistA+(DistB-DistA)*NORMSDIST(I5672)),"")</f>
        <v/>
      </c>
      <c r="K5672">
        <f>IF(B5672,INDEX(MineScale,C5672),"")</f>
        <v/>
      </c>
      <c r="L5672">
        <f>IF(B5672,INDEX(Dow,1,WEEKDAY(E5672,2)),"")</f>
        <v/>
      </c>
      <c r="M5672">
        <f>IF(B5672,(1+Trend)^D5672,"")</f>
        <v/>
      </c>
      <c r="N5672">
        <f>IF(B5672,EXP(SUMPRODUCT(LN(1+(EvEff-1)*INDEX(Affected,0,C5672)*EXP(-((E5672-EvCenter)^2)/(2*EvSigma^2))))),"")</f>
        <v/>
      </c>
      <c r="O5672">
        <f>IF(B5672,ROUND(MAX(0,J5672*K5672*L5672*M5672*N5672),2),"")</f>
        <v/>
      </c>
    </row>
    <row r="5673">
      <c r="A5673" t="n">
        <v>5672</v>
      </c>
      <c r="B5673">
        <f>A5673&lt;=MineCount*Days</f>
        <v/>
      </c>
      <c r="C5673">
        <f>IF(B5673,INT((A5673-1)/Days)+1,"")</f>
        <v/>
      </c>
      <c r="D5673">
        <f>IF(B5673,MOD(A5673-1,Days),"")</f>
        <v/>
      </c>
      <c r="E5673" s="16">
        <f>IF(B5673,StartDate+D5673,"")</f>
        <v/>
      </c>
      <c r="F5673">
        <f>IF(B5673,MAX(MOD(SIN(Seed*0.1373+C5673*12.9898+D5673*78.233)*43758.5453,1),1E-9),"")</f>
        <v/>
      </c>
      <c r="G5673">
        <f>IF(B5673,MOD(SIN(Seed*0.5917+C5673*39.3468+D5673*11.135)*24634.6345,1),"")</f>
        <v/>
      </c>
      <c r="H5673">
        <f>IF(B5673,SQRT(-2*LN(F5673))*COS(2*PI()*G5673),"")</f>
        <v/>
      </c>
      <c r="I5673">
        <f>IF(B5673,IF(D5673=0,H5673,Rho*I5672+SQRT(1-Rho^2)*H5673),"")</f>
        <v/>
      </c>
      <c r="J5673">
        <f>IF(B5673,IF(Dist="Normal",DistA+DistB*I5673,DistA+(DistB-DistA)*NORMSDIST(I5673)),"")</f>
        <v/>
      </c>
      <c r="K5673">
        <f>IF(B5673,INDEX(MineScale,C5673),"")</f>
        <v/>
      </c>
      <c r="L5673">
        <f>IF(B5673,INDEX(Dow,1,WEEKDAY(E5673,2)),"")</f>
        <v/>
      </c>
      <c r="M5673">
        <f>IF(B5673,(1+Trend)^D5673,"")</f>
        <v/>
      </c>
      <c r="N5673">
        <f>IF(B5673,EXP(SUMPRODUCT(LN(1+(EvEff-1)*INDEX(Affected,0,C5673)*EXP(-((E5673-EvCenter)^2)/(2*EvSigma^2))))),"")</f>
        <v/>
      </c>
      <c r="O5673">
        <f>IF(B5673,ROUND(MAX(0,J5673*K5673*L5673*M5673*N5673),2),"")</f>
        <v/>
      </c>
    </row>
    <row r="5674">
      <c r="A5674" t="n">
        <v>5673</v>
      </c>
      <c r="B5674">
        <f>A5674&lt;=MineCount*Days</f>
        <v/>
      </c>
      <c r="C5674">
        <f>IF(B5674,INT((A5674-1)/Days)+1,"")</f>
        <v/>
      </c>
      <c r="D5674">
        <f>IF(B5674,MOD(A5674-1,Days),"")</f>
        <v/>
      </c>
      <c r="E5674" s="16">
        <f>IF(B5674,StartDate+D5674,"")</f>
        <v/>
      </c>
      <c r="F5674">
        <f>IF(B5674,MAX(MOD(SIN(Seed*0.1373+C5674*12.9898+D5674*78.233)*43758.5453,1),1E-9),"")</f>
        <v/>
      </c>
      <c r="G5674">
        <f>IF(B5674,MOD(SIN(Seed*0.5917+C5674*39.3468+D5674*11.135)*24634.6345,1),"")</f>
        <v/>
      </c>
      <c r="H5674">
        <f>IF(B5674,SQRT(-2*LN(F5674))*COS(2*PI()*G5674),"")</f>
        <v/>
      </c>
      <c r="I5674">
        <f>IF(B5674,IF(D5674=0,H5674,Rho*I5673+SQRT(1-Rho^2)*H5674),"")</f>
        <v/>
      </c>
      <c r="J5674">
        <f>IF(B5674,IF(Dist="Normal",DistA+DistB*I5674,DistA+(DistB-DistA)*NORMSDIST(I5674)),"")</f>
        <v/>
      </c>
      <c r="K5674">
        <f>IF(B5674,INDEX(MineScale,C5674),"")</f>
        <v/>
      </c>
      <c r="L5674">
        <f>IF(B5674,INDEX(Dow,1,WEEKDAY(E5674,2)),"")</f>
        <v/>
      </c>
      <c r="M5674">
        <f>IF(B5674,(1+Trend)^D5674,"")</f>
        <v/>
      </c>
      <c r="N5674">
        <f>IF(B5674,EXP(SUMPRODUCT(LN(1+(EvEff-1)*INDEX(Affected,0,C5674)*EXP(-((E5674-EvCenter)^2)/(2*EvSigma^2))))),"")</f>
        <v/>
      </c>
      <c r="O5674">
        <f>IF(B5674,ROUND(MAX(0,J5674*K5674*L5674*M5674*N5674),2),"")</f>
        <v/>
      </c>
    </row>
    <row r="5675">
      <c r="A5675" t="n">
        <v>5674</v>
      </c>
      <c r="B5675">
        <f>A5675&lt;=MineCount*Days</f>
        <v/>
      </c>
      <c r="C5675">
        <f>IF(B5675,INT((A5675-1)/Days)+1,"")</f>
        <v/>
      </c>
      <c r="D5675">
        <f>IF(B5675,MOD(A5675-1,Days),"")</f>
        <v/>
      </c>
      <c r="E5675" s="16">
        <f>IF(B5675,StartDate+D5675,"")</f>
        <v/>
      </c>
      <c r="F5675">
        <f>IF(B5675,MAX(MOD(SIN(Seed*0.1373+C5675*12.9898+D5675*78.233)*43758.5453,1),1E-9),"")</f>
        <v/>
      </c>
      <c r="G5675">
        <f>IF(B5675,MOD(SIN(Seed*0.5917+C5675*39.3468+D5675*11.135)*24634.6345,1),"")</f>
        <v/>
      </c>
      <c r="H5675">
        <f>IF(B5675,SQRT(-2*LN(F5675))*COS(2*PI()*G5675),"")</f>
        <v/>
      </c>
      <c r="I5675">
        <f>IF(B5675,IF(D5675=0,H5675,Rho*I5674+SQRT(1-Rho^2)*H5675),"")</f>
        <v/>
      </c>
      <c r="J5675">
        <f>IF(B5675,IF(Dist="Normal",DistA+DistB*I5675,DistA+(DistB-DistA)*NORMSDIST(I5675)),"")</f>
        <v/>
      </c>
      <c r="K5675">
        <f>IF(B5675,INDEX(MineScale,C5675),"")</f>
        <v/>
      </c>
      <c r="L5675">
        <f>IF(B5675,INDEX(Dow,1,WEEKDAY(E5675,2)),"")</f>
        <v/>
      </c>
      <c r="M5675">
        <f>IF(B5675,(1+Trend)^D5675,"")</f>
        <v/>
      </c>
      <c r="N5675">
        <f>IF(B5675,EXP(SUMPRODUCT(LN(1+(EvEff-1)*INDEX(Affected,0,C5675)*EXP(-((E5675-EvCenter)^2)/(2*EvSigma^2))))),"")</f>
        <v/>
      </c>
      <c r="O5675">
        <f>IF(B5675,ROUND(MAX(0,J5675*K5675*L5675*M5675*N5675),2),"")</f>
        <v/>
      </c>
    </row>
    <row r="5676">
      <c r="A5676" t="n">
        <v>5675</v>
      </c>
      <c r="B5676">
        <f>A5676&lt;=MineCount*Days</f>
        <v/>
      </c>
      <c r="C5676">
        <f>IF(B5676,INT((A5676-1)/Days)+1,"")</f>
        <v/>
      </c>
      <c r="D5676">
        <f>IF(B5676,MOD(A5676-1,Days),"")</f>
        <v/>
      </c>
      <c r="E5676" s="16">
        <f>IF(B5676,StartDate+D5676,"")</f>
        <v/>
      </c>
      <c r="F5676">
        <f>IF(B5676,MAX(MOD(SIN(Seed*0.1373+C5676*12.9898+D5676*78.233)*43758.5453,1),1E-9),"")</f>
        <v/>
      </c>
      <c r="G5676">
        <f>IF(B5676,MOD(SIN(Seed*0.5917+C5676*39.3468+D5676*11.135)*24634.6345,1),"")</f>
        <v/>
      </c>
      <c r="H5676">
        <f>IF(B5676,SQRT(-2*LN(F5676))*COS(2*PI()*G5676),"")</f>
        <v/>
      </c>
      <c r="I5676">
        <f>IF(B5676,IF(D5676=0,H5676,Rho*I5675+SQRT(1-Rho^2)*H5676),"")</f>
        <v/>
      </c>
      <c r="J5676">
        <f>IF(B5676,IF(Dist="Normal",DistA+DistB*I5676,DistA+(DistB-DistA)*NORMSDIST(I5676)),"")</f>
        <v/>
      </c>
      <c r="K5676">
        <f>IF(B5676,INDEX(MineScale,C5676),"")</f>
        <v/>
      </c>
      <c r="L5676">
        <f>IF(B5676,INDEX(Dow,1,WEEKDAY(E5676,2)),"")</f>
        <v/>
      </c>
      <c r="M5676">
        <f>IF(B5676,(1+Trend)^D5676,"")</f>
        <v/>
      </c>
      <c r="N5676">
        <f>IF(B5676,EXP(SUMPRODUCT(LN(1+(EvEff-1)*INDEX(Affected,0,C5676)*EXP(-((E5676-EvCenter)^2)/(2*EvSigma^2))))),"")</f>
        <v/>
      </c>
      <c r="O5676">
        <f>IF(B5676,ROUND(MAX(0,J5676*K5676*L5676*M5676*N5676),2),"")</f>
        <v/>
      </c>
    </row>
    <row r="5677">
      <c r="A5677" t="n">
        <v>5676</v>
      </c>
      <c r="B5677">
        <f>A5677&lt;=MineCount*Days</f>
        <v/>
      </c>
      <c r="C5677">
        <f>IF(B5677,INT((A5677-1)/Days)+1,"")</f>
        <v/>
      </c>
      <c r="D5677">
        <f>IF(B5677,MOD(A5677-1,Days),"")</f>
        <v/>
      </c>
      <c r="E5677" s="16">
        <f>IF(B5677,StartDate+D5677,"")</f>
        <v/>
      </c>
      <c r="F5677">
        <f>IF(B5677,MAX(MOD(SIN(Seed*0.1373+C5677*12.9898+D5677*78.233)*43758.5453,1),1E-9),"")</f>
        <v/>
      </c>
      <c r="G5677">
        <f>IF(B5677,MOD(SIN(Seed*0.5917+C5677*39.3468+D5677*11.135)*24634.6345,1),"")</f>
        <v/>
      </c>
      <c r="H5677">
        <f>IF(B5677,SQRT(-2*LN(F5677))*COS(2*PI()*G5677),"")</f>
        <v/>
      </c>
      <c r="I5677">
        <f>IF(B5677,IF(D5677=0,H5677,Rho*I5676+SQRT(1-Rho^2)*H5677),"")</f>
        <v/>
      </c>
      <c r="J5677">
        <f>IF(B5677,IF(Dist="Normal",DistA+DistB*I5677,DistA+(DistB-DistA)*NORMSDIST(I5677)),"")</f>
        <v/>
      </c>
      <c r="K5677">
        <f>IF(B5677,INDEX(MineScale,C5677),"")</f>
        <v/>
      </c>
      <c r="L5677">
        <f>IF(B5677,INDEX(Dow,1,WEEKDAY(E5677,2)),"")</f>
        <v/>
      </c>
      <c r="M5677">
        <f>IF(B5677,(1+Trend)^D5677,"")</f>
        <v/>
      </c>
      <c r="N5677">
        <f>IF(B5677,EXP(SUMPRODUCT(LN(1+(EvEff-1)*INDEX(Affected,0,C5677)*EXP(-((E5677-EvCenter)^2)/(2*EvSigma^2))))),"")</f>
        <v/>
      </c>
      <c r="O5677">
        <f>IF(B5677,ROUND(MAX(0,J5677*K5677*L5677*M5677*N5677),2),"")</f>
        <v/>
      </c>
    </row>
    <row r="5678">
      <c r="A5678" t="n">
        <v>5677</v>
      </c>
      <c r="B5678">
        <f>A5678&lt;=MineCount*Days</f>
        <v/>
      </c>
      <c r="C5678">
        <f>IF(B5678,INT((A5678-1)/Days)+1,"")</f>
        <v/>
      </c>
      <c r="D5678">
        <f>IF(B5678,MOD(A5678-1,Days),"")</f>
        <v/>
      </c>
      <c r="E5678" s="16">
        <f>IF(B5678,StartDate+D5678,"")</f>
        <v/>
      </c>
      <c r="F5678">
        <f>IF(B5678,MAX(MOD(SIN(Seed*0.1373+C5678*12.9898+D5678*78.233)*43758.5453,1),1E-9),"")</f>
        <v/>
      </c>
      <c r="G5678">
        <f>IF(B5678,MOD(SIN(Seed*0.5917+C5678*39.3468+D5678*11.135)*24634.6345,1),"")</f>
        <v/>
      </c>
      <c r="H5678">
        <f>IF(B5678,SQRT(-2*LN(F5678))*COS(2*PI()*G5678),"")</f>
        <v/>
      </c>
      <c r="I5678">
        <f>IF(B5678,IF(D5678=0,H5678,Rho*I5677+SQRT(1-Rho^2)*H5678),"")</f>
        <v/>
      </c>
      <c r="J5678">
        <f>IF(B5678,IF(Dist="Normal",DistA+DistB*I5678,DistA+(DistB-DistA)*NORMSDIST(I5678)),"")</f>
        <v/>
      </c>
      <c r="K5678">
        <f>IF(B5678,INDEX(MineScale,C5678),"")</f>
        <v/>
      </c>
      <c r="L5678">
        <f>IF(B5678,INDEX(Dow,1,WEEKDAY(E5678,2)),"")</f>
        <v/>
      </c>
      <c r="M5678">
        <f>IF(B5678,(1+Trend)^D5678,"")</f>
        <v/>
      </c>
      <c r="N5678">
        <f>IF(B5678,EXP(SUMPRODUCT(LN(1+(EvEff-1)*INDEX(Affected,0,C5678)*EXP(-((E5678-EvCenter)^2)/(2*EvSigma^2))))),"")</f>
        <v/>
      </c>
      <c r="O5678">
        <f>IF(B5678,ROUND(MAX(0,J5678*K5678*L5678*M5678*N5678),2),"")</f>
        <v/>
      </c>
    </row>
    <row r="5679">
      <c r="A5679" t="n">
        <v>5678</v>
      </c>
      <c r="B5679">
        <f>A5679&lt;=MineCount*Days</f>
        <v/>
      </c>
      <c r="C5679">
        <f>IF(B5679,INT((A5679-1)/Days)+1,"")</f>
        <v/>
      </c>
      <c r="D5679">
        <f>IF(B5679,MOD(A5679-1,Days),"")</f>
        <v/>
      </c>
      <c r="E5679" s="16">
        <f>IF(B5679,StartDate+D5679,"")</f>
        <v/>
      </c>
      <c r="F5679">
        <f>IF(B5679,MAX(MOD(SIN(Seed*0.1373+C5679*12.9898+D5679*78.233)*43758.5453,1),1E-9),"")</f>
        <v/>
      </c>
      <c r="G5679">
        <f>IF(B5679,MOD(SIN(Seed*0.5917+C5679*39.3468+D5679*11.135)*24634.6345,1),"")</f>
        <v/>
      </c>
      <c r="H5679">
        <f>IF(B5679,SQRT(-2*LN(F5679))*COS(2*PI()*G5679),"")</f>
        <v/>
      </c>
      <c r="I5679">
        <f>IF(B5679,IF(D5679=0,H5679,Rho*I5678+SQRT(1-Rho^2)*H5679),"")</f>
        <v/>
      </c>
      <c r="J5679">
        <f>IF(B5679,IF(Dist="Normal",DistA+DistB*I5679,DistA+(DistB-DistA)*NORMSDIST(I5679)),"")</f>
        <v/>
      </c>
      <c r="K5679">
        <f>IF(B5679,INDEX(MineScale,C5679),"")</f>
        <v/>
      </c>
      <c r="L5679">
        <f>IF(B5679,INDEX(Dow,1,WEEKDAY(E5679,2)),"")</f>
        <v/>
      </c>
      <c r="M5679">
        <f>IF(B5679,(1+Trend)^D5679,"")</f>
        <v/>
      </c>
      <c r="N5679">
        <f>IF(B5679,EXP(SUMPRODUCT(LN(1+(EvEff-1)*INDEX(Affected,0,C5679)*EXP(-((E5679-EvCenter)^2)/(2*EvSigma^2))))),"")</f>
        <v/>
      </c>
      <c r="O5679">
        <f>IF(B5679,ROUND(MAX(0,J5679*K5679*L5679*M5679*N5679),2),"")</f>
        <v/>
      </c>
    </row>
    <row r="5680">
      <c r="A5680" t="n">
        <v>5679</v>
      </c>
      <c r="B5680">
        <f>A5680&lt;=MineCount*Days</f>
        <v/>
      </c>
      <c r="C5680">
        <f>IF(B5680,INT((A5680-1)/Days)+1,"")</f>
        <v/>
      </c>
      <c r="D5680">
        <f>IF(B5680,MOD(A5680-1,Days),"")</f>
        <v/>
      </c>
      <c r="E5680" s="16">
        <f>IF(B5680,StartDate+D5680,"")</f>
        <v/>
      </c>
      <c r="F5680">
        <f>IF(B5680,MAX(MOD(SIN(Seed*0.1373+C5680*12.9898+D5680*78.233)*43758.5453,1),1E-9),"")</f>
        <v/>
      </c>
      <c r="G5680">
        <f>IF(B5680,MOD(SIN(Seed*0.5917+C5680*39.3468+D5680*11.135)*24634.6345,1),"")</f>
        <v/>
      </c>
      <c r="H5680">
        <f>IF(B5680,SQRT(-2*LN(F5680))*COS(2*PI()*G5680),"")</f>
        <v/>
      </c>
      <c r="I5680">
        <f>IF(B5680,IF(D5680=0,H5680,Rho*I5679+SQRT(1-Rho^2)*H5680),"")</f>
        <v/>
      </c>
      <c r="J5680">
        <f>IF(B5680,IF(Dist="Normal",DistA+DistB*I5680,DistA+(DistB-DistA)*NORMSDIST(I5680)),"")</f>
        <v/>
      </c>
      <c r="K5680">
        <f>IF(B5680,INDEX(MineScale,C5680),"")</f>
        <v/>
      </c>
      <c r="L5680">
        <f>IF(B5680,INDEX(Dow,1,WEEKDAY(E5680,2)),"")</f>
        <v/>
      </c>
      <c r="M5680">
        <f>IF(B5680,(1+Trend)^D5680,"")</f>
        <v/>
      </c>
      <c r="N5680">
        <f>IF(B5680,EXP(SUMPRODUCT(LN(1+(EvEff-1)*INDEX(Affected,0,C5680)*EXP(-((E5680-EvCenter)^2)/(2*EvSigma^2))))),"")</f>
        <v/>
      </c>
      <c r="O5680">
        <f>IF(B5680,ROUND(MAX(0,J5680*K5680*L5680*M5680*N5680),2),"")</f>
        <v/>
      </c>
    </row>
    <row r="5681">
      <c r="A5681" t="n">
        <v>5680</v>
      </c>
      <c r="B5681">
        <f>A5681&lt;=MineCount*Days</f>
        <v/>
      </c>
      <c r="C5681">
        <f>IF(B5681,INT((A5681-1)/Days)+1,"")</f>
        <v/>
      </c>
      <c r="D5681">
        <f>IF(B5681,MOD(A5681-1,Days),"")</f>
        <v/>
      </c>
      <c r="E5681" s="16">
        <f>IF(B5681,StartDate+D5681,"")</f>
        <v/>
      </c>
      <c r="F5681">
        <f>IF(B5681,MAX(MOD(SIN(Seed*0.1373+C5681*12.9898+D5681*78.233)*43758.5453,1),1E-9),"")</f>
        <v/>
      </c>
      <c r="G5681">
        <f>IF(B5681,MOD(SIN(Seed*0.5917+C5681*39.3468+D5681*11.135)*24634.6345,1),"")</f>
        <v/>
      </c>
      <c r="H5681">
        <f>IF(B5681,SQRT(-2*LN(F5681))*COS(2*PI()*G5681),"")</f>
        <v/>
      </c>
      <c r="I5681">
        <f>IF(B5681,IF(D5681=0,H5681,Rho*I5680+SQRT(1-Rho^2)*H5681),"")</f>
        <v/>
      </c>
      <c r="J5681">
        <f>IF(B5681,IF(Dist="Normal",DistA+DistB*I5681,DistA+(DistB-DistA)*NORMSDIST(I5681)),"")</f>
        <v/>
      </c>
      <c r="K5681">
        <f>IF(B5681,INDEX(MineScale,C5681),"")</f>
        <v/>
      </c>
      <c r="L5681">
        <f>IF(B5681,INDEX(Dow,1,WEEKDAY(E5681,2)),"")</f>
        <v/>
      </c>
      <c r="M5681">
        <f>IF(B5681,(1+Trend)^D5681,"")</f>
        <v/>
      </c>
      <c r="N5681">
        <f>IF(B5681,EXP(SUMPRODUCT(LN(1+(EvEff-1)*INDEX(Affected,0,C5681)*EXP(-((E5681-EvCenter)^2)/(2*EvSigma^2))))),"")</f>
        <v/>
      </c>
      <c r="O5681">
        <f>IF(B5681,ROUND(MAX(0,J5681*K5681*L5681*M5681*N5681),2),"")</f>
        <v/>
      </c>
    </row>
    <row r="5682">
      <c r="A5682" t="n">
        <v>5681</v>
      </c>
      <c r="B5682">
        <f>A5682&lt;=MineCount*Days</f>
        <v/>
      </c>
      <c r="C5682">
        <f>IF(B5682,INT((A5682-1)/Days)+1,"")</f>
        <v/>
      </c>
      <c r="D5682">
        <f>IF(B5682,MOD(A5682-1,Days),"")</f>
        <v/>
      </c>
      <c r="E5682" s="16">
        <f>IF(B5682,StartDate+D5682,"")</f>
        <v/>
      </c>
      <c r="F5682">
        <f>IF(B5682,MAX(MOD(SIN(Seed*0.1373+C5682*12.9898+D5682*78.233)*43758.5453,1),1E-9),"")</f>
        <v/>
      </c>
      <c r="G5682">
        <f>IF(B5682,MOD(SIN(Seed*0.5917+C5682*39.3468+D5682*11.135)*24634.6345,1),"")</f>
        <v/>
      </c>
      <c r="H5682">
        <f>IF(B5682,SQRT(-2*LN(F5682))*COS(2*PI()*G5682),"")</f>
        <v/>
      </c>
      <c r="I5682">
        <f>IF(B5682,IF(D5682=0,H5682,Rho*I5681+SQRT(1-Rho^2)*H5682),"")</f>
        <v/>
      </c>
      <c r="J5682">
        <f>IF(B5682,IF(Dist="Normal",DistA+DistB*I5682,DistA+(DistB-DistA)*NORMSDIST(I5682)),"")</f>
        <v/>
      </c>
      <c r="K5682">
        <f>IF(B5682,INDEX(MineScale,C5682),"")</f>
        <v/>
      </c>
      <c r="L5682">
        <f>IF(B5682,INDEX(Dow,1,WEEKDAY(E5682,2)),"")</f>
        <v/>
      </c>
      <c r="M5682">
        <f>IF(B5682,(1+Trend)^D5682,"")</f>
        <v/>
      </c>
      <c r="N5682">
        <f>IF(B5682,EXP(SUMPRODUCT(LN(1+(EvEff-1)*INDEX(Affected,0,C5682)*EXP(-((E5682-EvCenter)^2)/(2*EvSigma^2))))),"")</f>
        <v/>
      </c>
      <c r="O5682">
        <f>IF(B5682,ROUND(MAX(0,J5682*K5682*L5682*M5682*N5682),2),"")</f>
        <v/>
      </c>
    </row>
    <row r="5683">
      <c r="A5683" t="n">
        <v>5682</v>
      </c>
      <c r="B5683">
        <f>A5683&lt;=MineCount*Days</f>
        <v/>
      </c>
      <c r="C5683">
        <f>IF(B5683,INT((A5683-1)/Days)+1,"")</f>
        <v/>
      </c>
      <c r="D5683">
        <f>IF(B5683,MOD(A5683-1,Days),"")</f>
        <v/>
      </c>
      <c r="E5683" s="16">
        <f>IF(B5683,StartDate+D5683,"")</f>
        <v/>
      </c>
      <c r="F5683">
        <f>IF(B5683,MAX(MOD(SIN(Seed*0.1373+C5683*12.9898+D5683*78.233)*43758.5453,1),1E-9),"")</f>
        <v/>
      </c>
      <c r="G5683">
        <f>IF(B5683,MOD(SIN(Seed*0.5917+C5683*39.3468+D5683*11.135)*24634.6345,1),"")</f>
        <v/>
      </c>
      <c r="H5683">
        <f>IF(B5683,SQRT(-2*LN(F5683))*COS(2*PI()*G5683),"")</f>
        <v/>
      </c>
      <c r="I5683">
        <f>IF(B5683,IF(D5683=0,H5683,Rho*I5682+SQRT(1-Rho^2)*H5683),"")</f>
        <v/>
      </c>
      <c r="J5683">
        <f>IF(B5683,IF(Dist="Normal",DistA+DistB*I5683,DistA+(DistB-DistA)*NORMSDIST(I5683)),"")</f>
        <v/>
      </c>
      <c r="K5683">
        <f>IF(B5683,INDEX(MineScale,C5683),"")</f>
        <v/>
      </c>
      <c r="L5683">
        <f>IF(B5683,INDEX(Dow,1,WEEKDAY(E5683,2)),"")</f>
        <v/>
      </c>
      <c r="M5683">
        <f>IF(B5683,(1+Trend)^D5683,"")</f>
        <v/>
      </c>
      <c r="N5683">
        <f>IF(B5683,EXP(SUMPRODUCT(LN(1+(EvEff-1)*INDEX(Affected,0,C5683)*EXP(-((E5683-EvCenter)^2)/(2*EvSigma^2))))),"")</f>
        <v/>
      </c>
      <c r="O5683">
        <f>IF(B5683,ROUND(MAX(0,J5683*K5683*L5683*M5683*N5683),2),"")</f>
        <v/>
      </c>
    </row>
    <row r="5684">
      <c r="A5684" t="n">
        <v>5683</v>
      </c>
      <c r="B5684">
        <f>A5684&lt;=MineCount*Days</f>
        <v/>
      </c>
      <c r="C5684">
        <f>IF(B5684,INT((A5684-1)/Days)+1,"")</f>
        <v/>
      </c>
      <c r="D5684">
        <f>IF(B5684,MOD(A5684-1,Days),"")</f>
        <v/>
      </c>
      <c r="E5684" s="16">
        <f>IF(B5684,StartDate+D5684,"")</f>
        <v/>
      </c>
      <c r="F5684">
        <f>IF(B5684,MAX(MOD(SIN(Seed*0.1373+C5684*12.9898+D5684*78.233)*43758.5453,1),1E-9),"")</f>
        <v/>
      </c>
      <c r="G5684">
        <f>IF(B5684,MOD(SIN(Seed*0.5917+C5684*39.3468+D5684*11.135)*24634.6345,1),"")</f>
        <v/>
      </c>
      <c r="H5684">
        <f>IF(B5684,SQRT(-2*LN(F5684))*COS(2*PI()*G5684),"")</f>
        <v/>
      </c>
      <c r="I5684">
        <f>IF(B5684,IF(D5684=0,H5684,Rho*I5683+SQRT(1-Rho^2)*H5684),"")</f>
        <v/>
      </c>
      <c r="J5684">
        <f>IF(B5684,IF(Dist="Normal",DistA+DistB*I5684,DistA+(DistB-DistA)*NORMSDIST(I5684)),"")</f>
        <v/>
      </c>
      <c r="K5684">
        <f>IF(B5684,INDEX(MineScale,C5684),"")</f>
        <v/>
      </c>
      <c r="L5684">
        <f>IF(B5684,INDEX(Dow,1,WEEKDAY(E5684,2)),"")</f>
        <v/>
      </c>
      <c r="M5684">
        <f>IF(B5684,(1+Trend)^D5684,"")</f>
        <v/>
      </c>
      <c r="N5684">
        <f>IF(B5684,EXP(SUMPRODUCT(LN(1+(EvEff-1)*INDEX(Affected,0,C5684)*EXP(-((E5684-EvCenter)^2)/(2*EvSigma^2))))),"")</f>
        <v/>
      </c>
      <c r="O5684">
        <f>IF(B5684,ROUND(MAX(0,J5684*K5684*L5684*M5684*N5684),2),"")</f>
        <v/>
      </c>
    </row>
    <row r="5685">
      <c r="A5685" t="n">
        <v>5684</v>
      </c>
      <c r="B5685">
        <f>A5685&lt;=MineCount*Days</f>
        <v/>
      </c>
      <c r="C5685">
        <f>IF(B5685,INT((A5685-1)/Days)+1,"")</f>
        <v/>
      </c>
      <c r="D5685">
        <f>IF(B5685,MOD(A5685-1,Days),"")</f>
        <v/>
      </c>
      <c r="E5685" s="16">
        <f>IF(B5685,StartDate+D5685,"")</f>
        <v/>
      </c>
      <c r="F5685">
        <f>IF(B5685,MAX(MOD(SIN(Seed*0.1373+C5685*12.9898+D5685*78.233)*43758.5453,1),1E-9),"")</f>
        <v/>
      </c>
      <c r="G5685">
        <f>IF(B5685,MOD(SIN(Seed*0.5917+C5685*39.3468+D5685*11.135)*24634.6345,1),"")</f>
        <v/>
      </c>
      <c r="H5685">
        <f>IF(B5685,SQRT(-2*LN(F5685))*COS(2*PI()*G5685),"")</f>
        <v/>
      </c>
      <c r="I5685">
        <f>IF(B5685,IF(D5685=0,H5685,Rho*I5684+SQRT(1-Rho^2)*H5685),"")</f>
        <v/>
      </c>
      <c r="J5685">
        <f>IF(B5685,IF(Dist="Normal",DistA+DistB*I5685,DistA+(DistB-DistA)*NORMSDIST(I5685)),"")</f>
        <v/>
      </c>
      <c r="K5685">
        <f>IF(B5685,INDEX(MineScale,C5685),"")</f>
        <v/>
      </c>
      <c r="L5685">
        <f>IF(B5685,INDEX(Dow,1,WEEKDAY(E5685,2)),"")</f>
        <v/>
      </c>
      <c r="M5685">
        <f>IF(B5685,(1+Trend)^D5685,"")</f>
        <v/>
      </c>
      <c r="N5685">
        <f>IF(B5685,EXP(SUMPRODUCT(LN(1+(EvEff-1)*INDEX(Affected,0,C5685)*EXP(-((E5685-EvCenter)^2)/(2*EvSigma^2))))),"")</f>
        <v/>
      </c>
      <c r="O5685">
        <f>IF(B5685,ROUND(MAX(0,J5685*K5685*L5685*M5685*N5685),2),"")</f>
        <v/>
      </c>
    </row>
    <row r="5686">
      <c r="A5686" t="n">
        <v>5685</v>
      </c>
      <c r="B5686">
        <f>A5686&lt;=MineCount*Days</f>
        <v/>
      </c>
      <c r="C5686">
        <f>IF(B5686,INT((A5686-1)/Days)+1,"")</f>
        <v/>
      </c>
      <c r="D5686">
        <f>IF(B5686,MOD(A5686-1,Days),"")</f>
        <v/>
      </c>
      <c r="E5686" s="16">
        <f>IF(B5686,StartDate+D5686,"")</f>
        <v/>
      </c>
      <c r="F5686">
        <f>IF(B5686,MAX(MOD(SIN(Seed*0.1373+C5686*12.9898+D5686*78.233)*43758.5453,1),1E-9),"")</f>
        <v/>
      </c>
      <c r="G5686">
        <f>IF(B5686,MOD(SIN(Seed*0.5917+C5686*39.3468+D5686*11.135)*24634.6345,1),"")</f>
        <v/>
      </c>
      <c r="H5686">
        <f>IF(B5686,SQRT(-2*LN(F5686))*COS(2*PI()*G5686),"")</f>
        <v/>
      </c>
      <c r="I5686">
        <f>IF(B5686,IF(D5686=0,H5686,Rho*I5685+SQRT(1-Rho^2)*H5686),"")</f>
        <v/>
      </c>
      <c r="J5686">
        <f>IF(B5686,IF(Dist="Normal",DistA+DistB*I5686,DistA+(DistB-DistA)*NORMSDIST(I5686)),"")</f>
        <v/>
      </c>
      <c r="K5686">
        <f>IF(B5686,INDEX(MineScale,C5686),"")</f>
        <v/>
      </c>
      <c r="L5686">
        <f>IF(B5686,INDEX(Dow,1,WEEKDAY(E5686,2)),"")</f>
        <v/>
      </c>
      <c r="M5686">
        <f>IF(B5686,(1+Trend)^D5686,"")</f>
        <v/>
      </c>
      <c r="N5686">
        <f>IF(B5686,EXP(SUMPRODUCT(LN(1+(EvEff-1)*INDEX(Affected,0,C5686)*EXP(-((E5686-EvCenter)^2)/(2*EvSigma^2))))),"")</f>
        <v/>
      </c>
      <c r="O5686">
        <f>IF(B5686,ROUND(MAX(0,J5686*K5686*L5686*M5686*N5686),2),"")</f>
        <v/>
      </c>
    </row>
    <row r="5687">
      <c r="A5687" t="n">
        <v>5686</v>
      </c>
      <c r="B5687">
        <f>A5687&lt;=MineCount*Days</f>
        <v/>
      </c>
      <c r="C5687">
        <f>IF(B5687,INT((A5687-1)/Days)+1,"")</f>
        <v/>
      </c>
      <c r="D5687">
        <f>IF(B5687,MOD(A5687-1,Days),"")</f>
        <v/>
      </c>
      <c r="E5687" s="16">
        <f>IF(B5687,StartDate+D5687,"")</f>
        <v/>
      </c>
      <c r="F5687">
        <f>IF(B5687,MAX(MOD(SIN(Seed*0.1373+C5687*12.9898+D5687*78.233)*43758.5453,1),1E-9),"")</f>
        <v/>
      </c>
      <c r="G5687">
        <f>IF(B5687,MOD(SIN(Seed*0.5917+C5687*39.3468+D5687*11.135)*24634.6345,1),"")</f>
        <v/>
      </c>
      <c r="H5687">
        <f>IF(B5687,SQRT(-2*LN(F5687))*COS(2*PI()*G5687),"")</f>
        <v/>
      </c>
      <c r="I5687">
        <f>IF(B5687,IF(D5687=0,H5687,Rho*I5686+SQRT(1-Rho^2)*H5687),"")</f>
        <v/>
      </c>
      <c r="J5687">
        <f>IF(B5687,IF(Dist="Normal",DistA+DistB*I5687,DistA+(DistB-DistA)*NORMSDIST(I5687)),"")</f>
        <v/>
      </c>
      <c r="K5687">
        <f>IF(B5687,INDEX(MineScale,C5687),"")</f>
        <v/>
      </c>
      <c r="L5687">
        <f>IF(B5687,INDEX(Dow,1,WEEKDAY(E5687,2)),"")</f>
        <v/>
      </c>
      <c r="M5687">
        <f>IF(B5687,(1+Trend)^D5687,"")</f>
        <v/>
      </c>
      <c r="N5687">
        <f>IF(B5687,EXP(SUMPRODUCT(LN(1+(EvEff-1)*INDEX(Affected,0,C5687)*EXP(-((E5687-EvCenter)^2)/(2*EvSigma^2))))),"")</f>
        <v/>
      </c>
      <c r="O5687">
        <f>IF(B5687,ROUND(MAX(0,J5687*K5687*L5687*M5687*N5687),2),"")</f>
        <v/>
      </c>
    </row>
    <row r="5688">
      <c r="A5688" t="n">
        <v>5687</v>
      </c>
      <c r="B5688">
        <f>A5688&lt;=MineCount*Days</f>
        <v/>
      </c>
      <c r="C5688">
        <f>IF(B5688,INT((A5688-1)/Days)+1,"")</f>
        <v/>
      </c>
      <c r="D5688">
        <f>IF(B5688,MOD(A5688-1,Days),"")</f>
        <v/>
      </c>
      <c r="E5688" s="16">
        <f>IF(B5688,StartDate+D5688,"")</f>
        <v/>
      </c>
      <c r="F5688">
        <f>IF(B5688,MAX(MOD(SIN(Seed*0.1373+C5688*12.9898+D5688*78.233)*43758.5453,1),1E-9),"")</f>
        <v/>
      </c>
      <c r="G5688">
        <f>IF(B5688,MOD(SIN(Seed*0.5917+C5688*39.3468+D5688*11.135)*24634.6345,1),"")</f>
        <v/>
      </c>
      <c r="H5688">
        <f>IF(B5688,SQRT(-2*LN(F5688))*COS(2*PI()*G5688),"")</f>
        <v/>
      </c>
      <c r="I5688">
        <f>IF(B5688,IF(D5688=0,H5688,Rho*I5687+SQRT(1-Rho^2)*H5688),"")</f>
        <v/>
      </c>
      <c r="J5688">
        <f>IF(B5688,IF(Dist="Normal",DistA+DistB*I5688,DistA+(DistB-DistA)*NORMSDIST(I5688)),"")</f>
        <v/>
      </c>
      <c r="K5688">
        <f>IF(B5688,INDEX(MineScale,C5688),"")</f>
        <v/>
      </c>
      <c r="L5688">
        <f>IF(B5688,INDEX(Dow,1,WEEKDAY(E5688,2)),"")</f>
        <v/>
      </c>
      <c r="M5688">
        <f>IF(B5688,(1+Trend)^D5688,"")</f>
        <v/>
      </c>
      <c r="N5688">
        <f>IF(B5688,EXP(SUMPRODUCT(LN(1+(EvEff-1)*INDEX(Affected,0,C5688)*EXP(-((E5688-EvCenter)^2)/(2*EvSigma^2))))),"")</f>
        <v/>
      </c>
      <c r="O5688">
        <f>IF(B5688,ROUND(MAX(0,J5688*K5688*L5688*M5688*N5688),2),"")</f>
        <v/>
      </c>
    </row>
    <row r="5689">
      <c r="A5689" t="n">
        <v>5688</v>
      </c>
      <c r="B5689">
        <f>A5689&lt;=MineCount*Days</f>
        <v/>
      </c>
      <c r="C5689">
        <f>IF(B5689,INT((A5689-1)/Days)+1,"")</f>
        <v/>
      </c>
      <c r="D5689">
        <f>IF(B5689,MOD(A5689-1,Days),"")</f>
        <v/>
      </c>
      <c r="E5689" s="16">
        <f>IF(B5689,StartDate+D5689,"")</f>
        <v/>
      </c>
      <c r="F5689">
        <f>IF(B5689,MAX(MOD(SIN(Seed*0.1373+C5689*12.9898+D5689*78.233)*43758.5453,1),1E-9),"")</f>
        <v/>
      </c>
      <c r="G5689">
        <f>IF(B5689,MOD(SIN(Seed*0.5917+C5689*39.3468+D5689*11.135)*24634.6345,1),"")</f>
        <v/>
      </c>
      <c r="H5689">
        <f>IF(B5689,SQRT(-2*LN(F5689))*COS(2*PI()*G5689),"")</f>
        <v/>
      </c>
      <c r="I5689">
        <f>IF(B5689,IF(D5689=0,H5689,Rho*I5688+SQRT(1-Rho^2)*H5689),"")</f>
        <v/>
      </c>
      <c r="J5689">
        <f>IF(B5689,IF(Dist="Normal",DistA+DistB*I5689,DistA+(DistB-DistA)*NORMSDIST(I5689)),"")</f>
        <v/>
      </c>
      <c r="K5689">
        <f>IF(B5689,INDEX(MineScale,C5689),"")</f>
        <v/>
      </c>
      <c r="L5689">
        <f>IF(B5689,INDEX(Dow,1,WEEKDAY(E5689,2)),"")</f>
        <v/>
      </c>
      <c r="M5689">
        <f>IF(B5689,(1+Trend)^D5689,"")</f>
        <v/>
      </c>
      <c r="N5689">
        <f>IF(B5689,EXP(SUMPRODUCT(LN(1+(EvEff-1)*INDEX(Affected,0,C5689)*EXP(-((E5689-EvCenter)^2)/(2*EvSigma^2))))),"")</f>
        <v/>
      </c>
      <c r="O5689">
        <f>IF(B5689,ROUND(MAX(0,J5689*K5689*L5689*M5689*N5689),2),"")</f>
        <v/>
      </c>
    </row>
    <row r="5690">
      <c r="A5690" t="n">
        <v>5689</v>
      </c>
      <c r="B5690">
        <f>A5690&lt;=MineCount*Days</f>
        <v/>
      </c>
      <c r="C5690">
        <f>IF(B5690,INT((A5690-1)/Days)+1,"")</f>
        <v/>
      </c>
      <c r="D5690">
        <f>IF(B5690,MOD(A5690-1,Days),"")</f>
        <v/>
      </c>
      <c r="E5690" s="16">
        <f>IF(B5690,StartDate+D5690,"")</f>
        <v/>
      </c>
      <c r="F5690">
        <f>IF(B5690,MAX(MOD(SIN(Seed*0.1373+C5690*12.9898+D5690*78.233)*43758.5453,1),1E-9),"")</f>
        <v/>
      </c>
      <c r="G5690">
        <f>IF(B5690,MOD(SIN(Seed*0.5917+C5690*39.3468+D5690*11.135)*24634.6345,1),"")</f>
        <v/>
      </c>
      <c r="H5690">
        <f>IF(B5690,SQRT(-2*LN(F5690))*COS(2*PI()*G5690),"")</f>
        <v/>
      </c>
      <c r="I5690">
        <f>IF(B5690,IF(D5690=0,H5690,Rho*I5689+SQRT(1-Rho^2)*H5690),"")</f>
        <v/>
      </c>
      <c r="J5690">
        <f>IF(B5690,IF(Dist="Normal",DistA+DistB*I5690,DistA+(DistB-DistA)*NORMSDIST(I5690)),"")</f>
        <v/>
      </c>
      <c r="K5690">
        <f>IF(B5690,INDEX(MineScale,C5690),"")</f>
        <v/>
      </c>
      <c r="L5690">
        <f>IF(B5690,INDEX(Dow,1,WEEKDAY(E5690,2)),"")</f>
        <v/>
      </c>
      <c r="M5690">
        <f>IF(B5690,(1+Trend)^D5690,"")</f>
        <v/>
      </c>
      <c r="N5690">
        <f>IF(B5690,EXP(SUMPRODUCT(LN(1+(EvEff-1)*INDEX(Affected,0,C5690)*EXP(-((E5690-EvCenter)^2)/(2*EvSigma^2))))),"")</f>
        <v/>
      </c>
      <c r="O5690">
        <f>IF(B5690,ROUND(MAX(0,J5690*K5690*L5690*M5690*N5690),2),"")</f>
        <v/>
      </c>
    </row>
    <row r="5691">
      <c r="A5691" t="n">
        <v>5690</v>
      </c>
      <c r="B5691">
        <f>A5691&lt;=MineCount*Days</f>
        <v/>
      </c>
      <c r="C5691">
        <f>IF(B5691,INT((A5691-1)/Days)+1,"")</f>
        <v/>
      </c>
      <c r="D5691">
        <f>IF(B5691,MOD(A5691-1,Days),"")</f>
        <v/>
      </c>
      <c r="E5691" s="16">
        <f>IF(B5691,StartDate+D5691,"")</f>
        <v/>
      </c>
      <c r="F5691">
        <f>IF(B5691,MAX(MOD(SIN(Seed*0.1373+C5691*12.9898+D5691*78.233)*43758.5453,1),1E-9),"")</f>
        <v/>
      </c>
      <c r="G5691">
        <f>IF(B5691,MOD(SIN(Seed*0.5917+C5691*39.3468+D5691*11.135)*24634.6345,1),"")</f>
        <v/>
      </c>
      <c r="H5691">
        <f>IF(B5691,SQRT(-2*LN(F5691))*COS(2*PI()*G5691),"")</f>
        <v/>
      </c>
      <c r="I5691">
        <f>IF(B5691,IF(D5691=0,H5691,Rho*I5690+SQRT(1-Rho^2)*H5691),"")</f>
        <v/>
      </c>
      <c r="J5691">
        <f>IF(B5691,IF(Dist="Normal",DistA+DistB*I5691,DistA+(DistB-DistA)*NORMSDIST(I5691)),"")</f>
        <v/>
      </c>
      <c r="K5691">
        <f>IF(B5691,INDEX(MineScale,C5691),"")</f>
        <v/>
      </c>
      <c r="L5691">
        <f>IF(B5691,INDEX(Dow,1,WEEKDAY(E5691,2)),"")</f>
        <v/>
      </c>
      <c r="M5691">
        <f>IF(B5691,(1+Trend)^D5691,"")</f>
        <v/>
      </c>
      <c r="N5691">
        <f>IF(B5691,EXP(SUMPRODUCT(LN(1+(EvEff-1)*INDEX(Affected,0,C5691)*EXP(-((E5691-EvCenter)^2)/(2*EvSigma^2))))),"")</f>
        <v/>
      </c>
      <c r="O5691">
        <f>IF(B5691,ROUND(MAX(0,J5691*K5691*L5691*M5691*N5691),2),"")</f>
        <v/>
      </c>
    </row>
    <row r="5692">
      <c r="A5692" t="n">
        <v>5691</v>
      </c>
      <c r="B5692">
        <f>A5692&lt;=MineCount*Days</f>
        <v/>
      </c>
      <c r="C5692">
        <f>IF(B5692,INT((A5692-1)/Days)+1,"")</f>
        <v/>
      </c>
      <c r="D5692">
        <f>IF(B5692,MOD(A5692-1,Days),"")</f>
        <v/>
      </c>
      <c r="E5692" s="16">
        <f>IF(B5692,StartDate+D5692,"")</f>
        <v/>
      </c>
      <c r="F5692">
        <f>IF(B5692,MAX(MOD(SIN(Seed*0.1373+C5692*12.9898+D5692*78.233)*43758.5453,1),1E-9),"")</f>
        <v/>
      </c>
      <c r="G5692">
        <f>IF(B5692,MOD(SIN(Seed*0.5917+C5692*39.3468+D5692*11.135)*24634.6345,1),"")</f>
        <v/>
      </c>
      <c r="H5692">
        <f>IF(B5692,SQRT(-2*LN(F5692))*COS(2*PI()*G5692),"")</f>
        <v/>
      </c>
      <c r="I5692">
        <f>IF(B5692,IF(D5692=0,H5692,Rho*I5691+SQRT(1-Rho^2)*H5692),"")</f>
        <v/>
      </c>
      <c r="J5692">
        <f>IF(B5692,IF(Dist="Normal",DistA+DistB*I5692,DistA+(DistB-DistA)*NORMSDIST(I5692)),"")</f>
        <v/>
      </c>
      <c r="K5692">
        <f>IF(B5692,INDEX(MineScale,C5692),"")</f>
        <v/>
      </c>
      <c r="L5692">
        <f>IF(B5692,INDEX(Dow,1,WEEKDAY(E5692,2)),"")</f>
        <v/>
      </c>
      <c r="M5692">
        <f>IF(B5692,(1+Trend)^D5692,"")</f>
        <v/>
      </c>
      <c r="N5692">
        <f>IF(B5692,EXP(SUMPRODUCT(LN(1+(EvEff-1)*INDEX(Affected,0,C5692)*EXP(-((E5692-EvCenter)^2)/(2*EvSigma^2))))),"")</f>
        <v/>
      </c>
      <c r="O5692">
        <f>IF(B5692,ROUND(MAX(0,J5692*K5692*L5692*M5692*N5692),2),"")</f>
        <v/>
      </c>
    </row>
    <row r="5693">
      <c r="A5693" t="n">
        <v>5692</v>
      </c>
      <c r="B5693">
        <f>A5693&lt;=MineCount*Days</f>
        <v/>
      </c>
      <c r="C5693">
        <f>IF(B5693,INT((A5693-1)/Days)+1,"")</f>
        <v/>
      </c>
      <c r="D5693">
        <f>IF(B5693,MOD(A5693-1,Days),"")</f>
        <v/>
      </c>
      <c r="E5693" s="16">
        <f>IF(B5693,StartDate+D5693,"")</f>
        <v/>
      </c>
      <c r="F5693">
        <f>IF(B5693,MAX(MOD(SIN(Seed*0.1373+C5693*12.9898+D5693*78.233)*43758.5453,1),1E-9),"")</f>
        <v/>
      </c>
      <c r="G5693">
        <f>IF(B5693,MOD(SIN(Seed*0.5917+C5693*39.3468+D5693*11.135)*24634.6345,1),"")</f>
        <v/>
      </c>
      <c r="H5693">
        <f>IF(B5693,SQRT(-2*LN(F5693))*COS(2*PI()*G5693),"")</f>
        <v/>
      </c>
      <c r="I5693">
        <f>IF(B5693,IF(D5693=0,H5693,Rho*I5692+SQRT(1-Rho^2)*H5693),"")</f>
        <v/>
      </c>
      <c r="J5693">
        <f>IF(B5693,IF(Dist="Normal",DistA+DistB*I5693,DistA+(DistB-DistA)*NORMSDIST(I5693)),"")</f>
        <v/>
      </c>
      <c r="K5693">
        <f>IF(B5693,INDEX(MineScale,C5693),"")</f>
        <v/>
      </c>
      <c r="L5693">
        <f>IF(B5693,INDEX(Dow,1,WEEKDAY(E5693,2)),"")</f>
        <v/>
      </c>
      <c r="M5693">
        <f>IF(B5693,(1+Trend)^D5693,"")</f>
        <v/>
      </c>
      <c r="N5693">
        <f>IF(B5693,EXP(SUMPRODUCT(LN(1+(EvEff-1)*INDEX(Affected,0,C5693)*EXP(-((E5693-EvCenter)^2)/(2*EvSigma^2))))),"")</f>
        <v/>
      </c>
      <c r="O5693">
        <f>IF(B5693,ROUND(MAX(0,J5693*K5693*L5693*M5693*N5693),2),"")</f>
        <v/>
      </c>
    </row>
    <row r="5694">
      <c r="A5694" t="n">
        <v>5693</v>
      </c>
      <c r="B5694">
        <f>A5694&lt;=MineCount*Days</f>
        <v/>
      </c>
      <c r="C5694">
        <f>IF(B5694,INT((A5694-1)/Days)+1,"")</f>
        <v/>
      </c>
      <c r="D5694">
        <f>IF(B5694,MOD(A5694-1,Days),"")</f>
        <v/>
      </c>
      <c r="E5694" s="16">
        <f>IF(B5694,StartDate+D5694,"")</f>
        <v/>
      </c>
      <c r="F5694">
        <f>IF(B5694,MAX(MOD(SIN(Seed*0.1373+C5694*12.9898+D5694*78.233)*43758.5453,1),1E-9),"")</f>
        <v/>
      </c>
      <c r="G5694">
        <f>IF(B5694,MOD(SIN(Seed*0.5917+C5694*39.3468+D5694*11.135)*24634.6345,1),"")</f>
        <v/>
      </c>
      <c r="H5694">
        <f>IF(B5694,SQRT(-2*LN(F5694))*COS(2*PI()*G5694),"")</f>
        <v/>
      </c>
      <c r="I5694">
        <f>IF(B5694,IF(D5694=0,H5694,Rho*I5693+SQRT(1-Rho^2)*H5694),"")</f>
        <v/>
      </c>
      <c r="J5694">
        <f>IF(B5694,IF(Dist="Normal",DistA+DistB*I5694,DistA+(DistB-DistA)*NORMSDIST(I5694)),"")</f>
        <v/>
      </c>
      <c r="K5694">
        <f>IF(B5694,INDEX(MineScale,C5694),"")</f>
        <v/>
      </c>
      <c r="L5694">
        <f>IF(B5694,INDEX(Dow,1,WEEKDAY(E5694,2)),"")</f>
        <v/>
      </c>
      <c r="M5694">
        <f>IF(B5694,(1+Trend)^D5694,"")</f>
        <v/>
      </c>
      <c r="N5694">
        <f>IF(B5694,EXP(SUMPRODUCT(LN(1+(EvEff-1)*INDEX(Affected,0,C5694)*EXP(-((E5694-EvCenter)^2)/(2*EvSigma^2))))),"")</f>
        <v/>
      </c>
      <c r="O5694">
        <f>IF(B5694,ROUND(MAX(0,J5694*K5694*L5694*M5694*N5694),2),"")</f>
        <v/>
      </c>
    </row>
    <row r="5695">
      <c r="A5695" t="n">
        <v>5694</v>
      </c>
      <c r="B5695">
        <f>A5695&lt;=MineCount*Days</f>
        <v/>
      </c>
      <c r="C5695">
        <f>IF(B5695,INT((A5695-1)/Days)+1,"")</f>
        <v/>
      </c>
      <c r="D5695">
        <f>IF(B5695,MOD(A5695-1,Days),"")</f>
        <v/>
      </c>
      <c r="E5695" s="16">
        <f>IF(B5695,StartDate+D5695,"")</f>
        <v/>
      </c>
      <c r="F5695">
        <f>IF(B5695,MAX(MOD(SIN(Seed*0.1373+C5695*12.9898+D5695*78.233)*43758.5453,1),1E-9),"")</f>
        <v/>
      </c>
      <c r="G5695">
        <f>IF(B5695,MOD(SIN(Seed*0.5917+C5695*39.3468+D5695*11.135)*24634.6345,1),"")</f>
        <v/>
      </c>
      <c r="H5695">
        <f>IF(B5695,SQRT(-2*LN(F5695))*COS(2*PI()*G5695),"")</f>
        <v/>
      </c>
      <c r="I5695">
        <f>IF(B5695,IF(D5695=0,H5695,Rho*I5694+SQRT(1-Rho^2)*H5695),"")</f>
        <v/>
      </c>
      <c r="J5695">
        <f>IF(B5695,IF(Dist="Normal",DistA+DistB*I5695,DistA+(DistB-DistA)*NORMSDIST(I5695)),"")</f>
        <v/>
      </c>
      <c r="K5695">
        <f>IF(B5695,INDEX(MineScale,C5695),"")</f>
        <v/>
      </c>
      <c r="L5695">
        <f>IF(B5695,INDEX(Dow,1,WEEKDAY(E5695,2)),"")</f>
        <v/>
      </c>
      <c r="M5695">
        <f>IF(B5695,(1+Trend)^D5695,"")</f>
        <v/>
      </c>
      <c r="N5695">
        <f>IF(B5695,EXP(SUMPRODUCT(LN(1+(EvEff-1)*INDEX(Affected,0,C5695)*EXP(-((E5695-EvCenter)^2)/(2*EvSigma^2))))),"")</f>
        <v/>
      </c>
      <c r="O5695">
        <f>IF(B5695,ROUND(MAX(0,J5695*K5695*L5695*M5695*N5695),2),"")</f>
        <v/>
      </c>
    </row>
    <row r="5696">
      <c r="A5696" t="n">
        <v>5695</v>
      </c>
      <c r="B5696">
        <f>A5696&lt;=MineCount*Days</f>
        <v/>
      </c>
      <c r="C5696">
        <f>IF(B5696,INT((A5696-1)/Days)+1,"")</f>
        <v/>
      </c>
      <c r="D5696">
        <f>IF(B5696,MOD(A5696-1,Days),"")</f>
        <v/>
      </c>
      <c r="E5696" s="16">
        <f>IF(B5696,StartDate+D5696,"")</f>
        <v/>
      </c>
      <c r="F5696">
        <f>IF(B5696,MAX(MOD(SIN(Seed*0.1373+C5696*12.9898+D5696*78.233)*43758.5453,1),1E-9),"")</f>
        <v/>
      </c>
      <c r="G5696">
        <f>IF(B5696,MOD(SIN(Seed*0.5917+C5696*39.3468+D5696*11.135)*24634.6345,1),"")</f>
        <v/>
      </c>
      <c r="H5696">
        <f>IF(B5696,SQRT(-2*LN(F5696))*COS(2*PI()*G5696),"")</f>
        <v/>
      </c>
      <c r="I5696">
        <f>IF(B5696,IF(D5696=0,H5696,Rho*I5695+SQRT(1-Rho^2)*H5696),"")</f>
        <v/>
      </c>
      <c r="J5696">
        <f>IF(B5696,IF(Dist="Normal",DistA+DistB*I5696,DistA+(DistB-DistA)*NORMSDIST(I5696)),"")</f>
        <v/>
      </c>
      <c r="K5696">
        <f>IF(B5696,INDEX(MineScale,C5696),"")</f>
        <v/>
      </c>
      <c r="L5696">
        <f>IF(B5696,INDEX(Dow,1,WEEKDAY(E5696,2)),"")</f>
        <v/>
      </c>
      <c r="M5696">
        <f>IF(B5696,(1+Trend)^D5696,"")</f>
        <v/>
      </c>
      <c r="N5696">
        <f>IF(B5696,EXP(SUMPRODUCT(LN(1+(EvEff-1)*INDEX(Affected,0,C5696)*EXP(-((E5696-EvCenter)^2)/(2*EvSigma^2))))),"")</f>
        <v/>
      </c>
      <c r="O5696">
        <f>IF(B5696,ROUND(MAX(0,J5696*K5696*L5696*M5696*N5696),2),"")</f>
        <v/>
      </c>
    </row>
    <row r="5697">
      <c r="A5697" t="n">
        <v>5696</v>
      </c>
      <c r="B5697">
        <f>A5697&lt;=MineCount*Days</f>
        <v/>
      </c>
      <c r="C5697">
        <f>IF(B5697,INT((A5697-1)/Days)+1,"")</f>
        <v/>
      </c>
      <c r="D5697">
        <f>IF(B5697,MOD(A5697-1,Days),"")</f>
        <v/>
      </c>
      <c r="E5697" s="16">
        <f>IF(B5697,StartDate+D5697,"")</f>
        <v/>
      </c>
      <c r="F5697">
        <f>IF(B5697,MAX(MOD(SIN(Seed*0.1373+C5697*12.9898+D5697*78.233)*43758.5453,1),1E-9),"")</f>
        <v/>
      </c>
      <c r="G5697">
        <f>IF(B5697,MOD(SIN(Seed*0.5917+C5697*39.3468+D5697*11.135)*24634.6345,1),"")</f>
        <v/>
      </c>
      <c r="H5697">
        <f>IF(B5697,SQRT(-2*LN(F5697))*COS(2*PI()*G5697),"")</f>
        <v/>
      </c>
      <c r="I5697">
        <f>IF(B5697,IF(D5697=0,H5697,Rho*I5696+SQRT(1-Rho^2)*H5697),"")</f>
        <v/>
      </c>
      <c r="J5697">
        <f>IF(B5697,IF(Dist="Normal",DistA+DistB*I5697,DistA+(DistB-DistA)*NORMSDIST(I5697)),"")</f>
        <v/>
      </c>
      <c r="K5697">
        <f>IF(B5697,INDEX(MineScale,C5697),"")</f>
        <v/>
      </c>
      <c r="L5697">
        <f>IF(B5697,INDEX(Dow,1,WEEKDAY(E5697,2)),"")</f>
        <v/>
      </c>
      <c r="M5697">
        <f>IF(B5697,(1+Trend)^D5697,"")</f>
        <v/>
      </c>
      <c r="N5697">
        <f>IF(B5697,EXP(SUMPRODUCT(LN(1+(EvEff-1)*INDEX(Affected,0,C5697)*EXP(-((E5697-EvCenter)^2)/(2*EvSigma^2))))),"")</f>
        <v/>
      </c>
      <c r="O5697">
        <f>IF(B5697,ROUND(MAX(0,J5697*K5697*L5697*M5697*N5697),2),"")</f>
        <v/>
      </c>
    </row>
    <row r="5698">
      <c r="A5698" t="n">
        <v>5697</v>
      </c>
      <c r="B5698">
        <f>A5698&lt;=MineCount*Days</f>
        <v/>
      </c>
      <c r="C5698">
        <f>IF(B5698,INT((A5698-1)/Days)+1,"")</f>
        <v/>
      </c>
      <c r="D5698">
        <f>IF(B5698,MOD(A5698-1,Days),"")</f>
        <v/>
      </c>
      <c r="E5698" s="16">
        <f>IF(B5698,StartDate+D5698,"")</f>
        <v/>
      </c>
      <c r="F5698">
        <f>IF(B5698,MAX(MOD(SIN(Seed*0.1373+C5698*12.9898+D5698*78.233)*43758.5453,1),1E-9),"")</f>
        <v/>
      </c>
      <c r="G5698">
        <f>IF(B5698,MOD(SIN(Seed*0.5917+C5698*39.3468+D5698*11.135)*24634.6345,1),"")</f>
        <v/>
      </c>
      <c r="H5698">
        <f>IF(B5698,SQRT(-2*LN(F5698))*COS(2*PI()*G5698),"")</f>
        <v/>
      </c>
      <c r="I5698">
        <f>IF(B5698,IF(D5698=0,H5698,Rho*I5697+SQRT(1-Rho^2)*H5698),"")</f>
        <v/>
      </c>
      <c r="J5698">
        <f>IF(B5698,IF(Dist="Normal",DistA+DistB*I5698,DistA+(DistB-DistA)*NORMSDIST(I5698)),"")</f>
        <v/>
      </c>
      <c r="K5698">
        <f>IF(B5698,INDEX(MineScale,C5698),"")</f>
        <v/>
      </c>
      <c r="L5698">
        <f>IF(B5698,INDEX(Dow,1,WEEKDAY(E5698,2)),"")</f>
        <v/>
      </c>
      <c r="M5698">
        <f>IF(B5698,(1+Trend)^D5698,"")</f>
        <v/>
      </c>
      <c r="N5698">
        <f>IF(B5698,EXP(SUMPRODUCT(LN(1+(EvEff-1)*INDEX(Affected,0,C5698)*EXP(-((E5698-EvCenter)^2)/(2*EvSigma^2))))),"")</f>
        <v/>
      </c>
      <c r="O5698">
        <f>IF(B5698,ROUND(MAX(0,J5698*K5698*L5698*M5698*N5698),2),"")</f>
        <v/>
      </c>
    </row>
    <row r="5699">
      <c r="A5699" t="n">
        <v>5698</v>
      </c>
      <c r="B5699">
        <f>A5699&lt;=MineCount*Days</f>
        <v/>
      </c>
      <c r="C5699">
        <f>IF(B5699,INT((A5699-1)/Days)+1,"")</f>
        <v/>
      </c>
      <c r="D5699">
        <f>IF(B5699,MOD(A5699-1,Days),"")</f>
        <v/>
      </c>
      <c r="E5699" s="16">
        <f>IF(B5699,StartDate+D5699,"")</f>
        <v/>
      </c>
      <c r="F5699">
        <f>IF(B5699,MAX(MOD(SIN(Seed*0.1373+C5699*12.9898+D5699*78.233)*43758.5453,1),1E-9),"")</f>
        <v/>
      </c>
      <c r="G5699">
        <f>IF(B5699,MOD(SIN(Seed*0.5917+C5699*39.3468+D5699*11.135)*24634.6345,1),"")</f>
        <v/>
      </c>
      <c r="H5699">
        <f>IF(B5699,SQRT(-2*LN(F5699))*COS(2*PI()*G5699),"")</f>
        <v/>
      </c>
      <c r="I5699">
        <f>IF(B5699,IF(D5699=0,H5699,Rho*I5698+SQRT(1-Rho^2)*H5699),"")</f>
        <v/>
      </c>
      <c r="J5699">
        <f>IF(B5699,IF(Dist="Normal",DistA+DistB*I5699,DistA+(DistB-DistA)*NORMSDIST(I5699)),"")</f>
        <v/>
      </c>
      <c r="K5699">
        <f>IF(B5699,INDEX(MineScale,C5699),"")</f>
        <v/>
      </c>
      <c r="L5699">
        <f>IF(B5699,INDEX(Dow,1,WEEKDAY(E5699,2)),"")</f>
        <v/>
      </c>
      <c r="M5699">
        <f>IF(B5699,(1+Trend)^D5699,"")</f>
        <v/>
      </c>
      <c r="N5699">
        <f>IF(B5699,EXP(SUMPRODUCT(LN(1+(EvEff-1)*INDEX(Affected,0,C5699)*EXP(-((E5699-EvCenter)^2)/(2*EvSigma^2))))),"")</f>
        <v/>
      </c>
      <c r="O5699">
        <f>IF(B5699,ROUND(MAX(0,J5699*K5699*L5699*M5699*N5699),2),"")</f>
        <v/>
      </c>
    </row>
    <row r="5700">
      <c r="A5700" t="n">
        <v>5699</v>
      </c>
      <c r="B5700">
        <f>A5700&lt;=MineCount*Days</f>
        <v/>
      </c>
      <c r="C5700">
        <f>IF(B5700,INT((A5700-1)/Days)+1,"")</f>
        <v/>
      </c>
      <c r="D5700">
        <f>IF(B5700,MOD(A5700-1,Days),"")</f>
        <v/>
      </c>
      <c r="E5700" s="16">
        <f>IF(B5700,StartDate+D5700,"")</f>
        <v/>
      </c>
      <c r="F5700">
        <f>IF(B5700,MAX(MOD(SIN(Seed*0.1373+C5700*12.9898+D5700*78.233)*43758.5453,1),1E-9),"")</f>
        <v/>
      </c>
      <c r="G5700">
        <f>IF(B5700,MOD(SIN(Seed*0.5917+C5700*39.3468+D5700*11.135)*24634.6345,1),"")</f>
        <v/>
      </c>
      <c r="H5700">
        <f>IF(B5700,SQRT(-2*LN(F5700))*COS(2*PI()*G5700),"")</f>
        <v/>
      </c>
      <c r="I5700">
        <f>IF(B5700,IF(D5700=0,H5700,Rho*I5699+SQRT(1-Rho^2)*H5700),"")</f>
        <v/>
      </c>
      <c r="J5700">
        <f>IF(B5700,IF(Dist="Normal",DistA+DistB*I5700,DistA+(DistB-DistA)*NORMSDIST(I5700)),"")</f>
        <v/>
      </c>
      <c r="K5700">
        <f>IF(B5700,INDEX(MineScale,C5700),"")</f>
        <v/>
      </c>
      <c r="L5700">
        <f>IF(B5700,INDEX(Dow,1,WEEKDAY(E5700,2)),"")</f>
        <v/>
      </c>
      <c r="M5700">
        <f>IF(B5700,(1+Trend)^D5700,"")</f>
        <v/>
      </c>
      <c r="N5700">
        <f>IF(B5700,EXP(SUMPRODUCT(LN(1+(EvEff-1)*INDEX(Affected,0,C5700)*EXP(-((E5700-EvCenter)^2)/(2*EvSigma^2))))),"")</f>
        <v/>
      </c>
      <c r="O5700">
        <f>IF(B5700,ROUND(MAX(0,J5700*K5700*L5700*M5700*N5700),2),"")</f>
        <v/>
      </c>
    </row>
    <row r="5701">
      <c r="A5701" t="n">
        <v>5700</v>
      </c>
      <c r="B5701">
        <f>A5701&lt;=MineCount*Days</f>
        <v/>
      </c>
      <c r="C5701">
        <f>IF(B5701,INT((A5701-1)/Days)+1,"")</f>
        <v/>
      </c>
      <c r="D5701">
        <f>IF(B5701,MOD(A5701-1,Days),"")</f>
        <v/>
      </c>
      <c r="E5701" s="16">
        <f>IF(B5701,StartDate+D5701,"")</f>
        <v/>
      </c>
      <c r="F5701">
        <f>IF(B5701,MAX(MOD(SIN(Seed*0.1373+C5701*12.9898+D5701*78.233)*43758.5453,1),1E-9),"")</f>
        <v/>
      </c>
      <c r="G5701">
        <f>IF(B5701,MOD(SIN(Seed*0.5917+C5701*39.3468+D5701*11.135)*24634.6345,1),"")</f>
        <v/>
      </c>
      <c r="H5701">
        <f>IF(B5701,SQRT(-2*LN(F5701))*COS(2*PI()*G5701),"")</f>
        <v/>
      </c>
      <c r="I5701">
        <f>IF(B5701,IF(D5701=0,H5701,Rho*I5700+SQRT(1-Rho^2)*H5701),"")</f>
        <v/>
      </c>
      <c r="J5701">
        <f>IF(B5701,IF(Dist="Normal",DistA+DistB*I5701,DistA+(DistB-DistA)*NORMSDIST(I5701)),"")</f>
        <v/>
      </c>
      <c r="K5701">
        <f>IF(B5701,INDEX(MineScale,C5701),"")</f>
        <v/>
      </c>
      <c r="L5701">
        <f>IF(B5701,INDEX(Dow,1,WEEKDAY(E5701,2)),"")</f>
        <v/>
      </c>
      <c r="M5701">
        <f>IF(B5701,(1+Trend)^D5701,"")</f>
        <v/>
      </c>
      <c r="N5701">
        <f>IF(B5701,EXP(SUMPRODUCT(LN(1+(EvEff-1)*INDEX(Affected,0,C5701)*EXP(-((E5701-EvCenter)^2)/(2*EvSigma^2))))),"")</f>
        <v/>
      </c>
      <c r="O5701">
        <f>IF(B5701,ROUND(MAX(0,J5701*K5701*L5701*M5701*N5701),2),"")</f>
        <v/>
      </c>
    </row>
    <row r="5702">
      <c r="A5702" t="n">
        <v>5701</v>
      </c>
      <c r="B5702">
        <f>A5702&lt;=MineCount*Days</f>
        <v/>
      </c>
      <c r="C5702">
        <f>IF(B5702,INT((A5702-1)/Days)+1,"")</f>
        <v/>
      </c>
      <c r="D5702">
        <f>IF(B5702,MOD(A5702-1,Days),"")</f>
        <v/>
      </c>
      <c r="E5702" s="16">
        <f>IF(B5702,StartDate+D5702,"")</f>
        <v/>
      </c>
      <c r="F5702">
        <f>IF(B5702,MAX(MOD(SIN(Seed*0.1373+C5702*12.9898+D5702*78.233)*43758.5453,1),1E-9),"")</f>
        <v/>
      </c>
      <c r="G5702">
        <f>IF(B5702,MOD(SIN(Seed*0.5917+C5702*39.3468+D5702*11.135)*24634.6345,1),"")</f>
        <v/>
      </c>
      <c r="H5702">
        <f>IF(B5702,SQRT(-2*LN(F5702))*COS(2*PI()*G5702),"")</f>
        <v/>
      </c>
      <c r="I5702">
        <f>IF(B5702,IF(D5702=0,H5702,Rho*I5701+SQRT(1-Rho^2)*H5702),"")</f>
        <v/>
      </c>
      <c r="J5702">
        <f>IF(B5702,IF(Dist="Normal",DistA+DistB*I5702,DistA+(DistB-DistA)*NORMSDIST(I5702)),"")</f>
        <v/>
      </c>
      <c r="K5702">
        <f>IF(B5702,INDEX(MineScale,C5702),"")</f>
        <v/>
      </c>
      <c r="L5702">
        <f>IF(B5702,INDEX(Dow,1,WEEKDAY(E5702,2)),"")</f>
        <v/>
      </c>
      <c r="M5702">
        <f>IF(B5702,(1+Trend)^D5702,"")</f>
        <v/>
      </c>
      <c r="N5702">
        <f>IF(B5702,EXP(SUMPRODUCT(LN(1+(EvEff-1)*INDEX(Affected,0,C5702)*EXP(-((E5702-EvCenter)^2)/(2*EvSigma^2))))),"")</f>
        <v/>
      </c>
      <c r="O5702">
        <f>IF(B5702,ROUND(MAX(0,J5702*K5702*L5702*M5702*N5702),2),"")</f>
        <v/>
      </c>
    </row>
    <row r="5703">
      <c r="A5703" t="n">
        <v>5702</v>
      </c>
      <c r="B5703">
        <f>A5703&lt;=MineCount*Days</f>
        <v/>
      </c>
      <c r="C5703">
        <f>IF(B5703,INT((A5703-1)/Days)+1,"")</f>
        <v/>
      </c>
      <c r="D5703">
        <f>IF(B5703,MOD(A5703-1,Days),"")</f>
        <v/>
      </c>
      <c r="E5703" s="16">
        <f>IF(B5703,StartDate+D5703,"")</f>
        <v/>
      </c>
      <c r="F5703">
        <f>IF(B5703,MAX(MOD(SIN(Seed*0.1373+C5703*12.9898+D5703*78.233)*43758.5453,1),1E-9),"")</f>
        <v/>
      </c>
      <c r="G5703">
        <f>IF(B5703,MOD(SIN(Seed*0.5917+C5703*39.3468+D5703*11.135)*24634.6345,1),"")</f>
        <v/>
      </c>
      <c r="H5703">
        <f>IF(B5703,SQRT(-2*LN(F5703))*COS(2*PI()*G5703),"")</f>
        <v/>
      </c>
      <c r="I5703">
        <f>IF(B5703,IF(D5703=0,H5703,Rho*I5702+SQRT(1-Rho^2)*H5703),"")</f>
        <v/>
      </c>
      <c r="J5703">
        <f>IF(B5703,IF(Dist="Normal",DistA+DistB*I5703,DistA+(DistB-DistA)*NORMSDIST(I5703)),"")</f>
        <v/>
      </c>
      <c r="K5703">
        <f>IF(B5703,INDEX(MineScale,C5703),"")</f>
        <v/>
      </c>
      <c r="L5703">
        <f>IF(B5703,INDEX(Dow,1,WEEKDAY(E5703,2)),"")</f>
        <v/>
      </c>
      <c r="M5703">
        <f>IF(B5703,(1+Trend)^D5703,"")</f>
        <v/>
      </c>
      <c r="N5703">
        <f>IF(B5703,EXP(SUMPRODUCT(LN(1+(EvEff-1)*INDEX(Affected,0,C5703)*EXP(-((E5703-EvCenter)^2)/(2*EvSigma^2))))),"")</f>
        <v/>
      </c>
      <c r="O5703">
        <f>IF(B5703,ROUND(MAX(0,J5703*K5703*L5703*M5703*N5703),2),"")</f>
        <v/>
      </c>
    </row>
    <row r="5704">
      <c r="A5704" t="n">
        <v>5703</v>
      </c>
      <c r="B5704">
        <f>A5704&lt;=MineCount*Days</f>
        <v/>
      </c>
      <c r="C5704">
        <f>IF(B5704,INT((A5704-1)/Days)+1,"")</f>
        <v/>
      </c>
      <c r="D5704">
        <f>IF(B5704,MOD(A5704-1,Days),"")</f>
        <v/>
      </c>
      <c r="E5704" s="16">
        <f>IF(B5704,StartDate+D5704,"")</f>
        <v/>
      </c>
      <c r="F5704">
        <f>IF(B5704,MAX(MOD(SIN(Seed*0.1373+C5704*12.9898+D5704*78.233)*43758.5453,1),1E-9),"")</f>
        <v/>
      </c>
      <c r="G5704">
        <f>IF(B5704,MOD(SIN(Seed*0.5917+C5704*39.3468+D5704*11.135)*24634.6345,1),"")</f>
        <v/>
      </c>
      <c r="H5704">
        <f>IF(B5704,SQRT(-2*LN(F5704))*COS(2*PI()*G5704),"")</f>
        <v/>
      </c>
      <c r="I5704">
        <f>IF(B5704,IF(D5704=0,H5704,Rho*I5703+SQRT(1-Rho^2)*H5704),"")</f>
        <v/>
      </c>
      <c r="J5704">
        <f>IF(B5704,IF(Dist="Normal",DistA+DistB*I5704,DistA+(DistB-DistA)*NORMSDIST(I5704)),"")</f>
        <v/>
      </c>
      <c r="K5704">
        <f>IF(B5704,INDEX(MineScale,C5704),"")</f>
        <v/>
      </c>
      <c r="L5704">
        <f>IF(B5704,INDEX(Dow,1,WEEKDAY(E5704,2)),"")</f>
        <v/>
      </c>
      <c r="M5704">
        <f>IF(B5704,(1+Trend)^D5704,"")</f>
        <v/>
      </c>
      <c r="N5704">
        <f>IF(B5704,EXP(SUMPRODUCT(LN(1+(EvEff-1)*INDEX(Affected,0,C5704)*EXP(-((E5704-EvCenter)^2)/(2*EvSigma^2))))),"")</f>
        <v/>
      </c>
      <c r="O5704">
        <f>IF(B5704,ROUND(MAX(0,J5704*K5704*L5704*M5704*N5704),2),"")</f>
        <v/>
      </c>
    </row>
    <row r="5705">
      <c r="A5705" t="n">
        <v>5704</v>
      </c>
      <c r="B5705">
        <f>A5705&lt;=MineCount*Days</f>
        <v/>
      </c>
      <c r="C5705">
        <f>IF(B5705,INT((A5705-1)/Days)+1,"")</f>
        <v/>
      </c>
      <c r="D5705">
        <f>IF(B5705,MOD(A5705-1,Days),"")</f>
        <v/>
      </c>
      <c r="E5705" s="16">
        <f>IF(B5705,StartDate+D5705,"")</f>
        <v/>
      </c>
      <c r="F5705">
        <f>IF(B5705,MAX(MOD(SIN(Seed*0.1373+C5705*12.9898+D5705*78.233)*43758.5453,1),1E-9),"")</f>
        <v/>
      </c>
      <c r="G5705">
        <f>IF(B5705,MOD(SIN(Seed*0.5917+C5705*39.3468+D5705*11.135)*24634.6345,1),"")</f>
        <v/>
      </c>
      <c r="H5705">
        <f>IF(B5705,SQRT(-2*LN(F5705))*COS(2*PI()*G5705),"")</f>
        <v/>
      </c>
      <c r="I5705">
        <f>IF(B5705,IF(D5705=0,H5705,Rho*I5704+SQRT(1-Rho^2)*H5705),"")</f>
        <v/>
      </c>
      <c r="J5705">
        <f>IF(B5705,IF(Dist="Normal",DistA+DistB*I5705,DistA+(DistB-DistA)*NORMSDIST(I5705)),"")</f>
        <v/>
      </c>
      <c r="K5705">
        <f>IF(B5705,INDEX(MineScale,C5705),"")</f>
        <v/>
      </c>
      <c r="L5705">
        <f>IF(B5705,INDEX(Dow,1,WEEKDAY(E5705,2)),"")</f>
        <v/>
      </c>
      <c r="M5705">
        <f>IF(B5705,(1+Trend)^D5705,"")</f>
        <v/>
      </c>
      <c r="N5705">
        <f>IF(B5705,EXP(SUMPRODUCT(LN(1+(EvEff-1)*INDEX(Affected,0,C5705)*EXP(-((E5705-EvCenter)^2)/(2*EvSigma^2))))),"")</f>
        <v/>
      </c>
      <c r="O5705">
        <f>IF(B5705,ROUND(MAX(0,J5705*K5705*L5705*M5705*N5705),2),"")</f>
        <v/>
      </c>
    </row>
    <row r="5706">
      <c r="A5706" t="n">
        <v>5705</v>
      </c>
      <c r="B5706">
        <f>A5706&lt;=MineCount*Days</f>
        <v/>
      </c>
      <c r="C5706">
        <f>IF(B5706,INT((A5706-1)/Days)+1,"")</f>
        <v/>
      </c>
      <c r="D5706">
        <f>IF(B5706,MOD(A5706-1,Days),"")</f>
        <v/>
      </c>
      <c r="E5706" s="16">
        <f>IF(B5706,StartDate+D5706,"")</f>
        <v/>
      </c>
      <c r="F5706">
        <f>IF(B5706,MAX(MOD(SIN(Seed*0.1373+C5706*12.9898+D5706*78.233)*43758.5453,1),1E-9),"")</f>
        <v/>
      </c>
      <c r="G5706">
        <f>IF(B5706,MOD(SIN(Seed*0.5917+C5706*39.3468+D5706*11.135)*24634.6345,1),"")</f>
        <v/>
      </c>
      <c r="H5706">
        <f>IF(B5706,SQRT(-2*LN(F5706))*COS(2*PI()*G5706),"")</f>
        <v/>
      </c>
      <c r="I5706">
        <f>IF(B5706,IF(D5706=0,H5706,Rho*I5705+SQRT(1-Rho^2)*H5706),"")</f>
        <v/>
      </c>
      <c r="J5706">
        <f>IF(B5706,IF(Dist="Normal",DistA+DistB*I5706,DistA+(DistB-DistA)*NORMSDIST(I5706)),"")</f>
        <v/>
      </c>
      <c r="K5706">
        <f>IF(B5706,INDEX(MineScale,C5706),"")</f>
        <v/>
      </c>
      <c r="L5706">
        <f>IF(B5706,INDEX(Dow,1,WEEKDAY(E5706,2)),"")</f>
        <v/>
      </c>
      <c r="M5706">
        <f>IF(B5706,(1+Trend)^D5706,"")</f>
        <v/>
      </c>
      <c r="N5706">
        <f>IF(B5706,EXP(SUMPRODUCT(LN(1+(EvEff-1)*INDEX(Affected,0,C5706)*EXP(-((E5706-EvCenter)^2)/(2*EvSigma^2))))),"")</f>
        <v/>
      </c>
      <c r="O5706">
        <f>IF(B5706,ROUND(MAX(0,J5706*K5706*L5706*M5706*N5706),2),"")</f>
        <v/>
      </c>
    </row>
    <row r="5707">
      <c r="A5707" t="n">
        <v>5706</v>
      </c>
      <c r="B5707">
        <f>A5707&lt;=MineCount*Days</f>
        <v/>
      </c>
      <c r="C5707">
        <f>IF(B5707,INT((A5707-1)/Days)+1,"")</f>
        <v/>
      </c>
      <c r="D5707">
        <f>IF(B5707,MOD(A5707-1,Days),"")</f>
        <v/>
      </c>
      <c r="E5707" s="16">
        <f>IF(B5707,StartDate+D5707,"")</f>
        <v/>
      </c>
      <c r="F5707">
        <f>IF(B5707,MAX(MOD(SIN(Seed*0.1373+C5707*12.9898+D5707*78.233)*43758.5453,1),1E-9),"")</f>
        <v/>
      </c>
      <c r="G5707">
        <f>IF(B5707,MOD(SIN(Seed*0.5917+C5707*39.3468+D5707*11.135)*24634.6345,1),"")</f>
        <v/>
      </c>
      <c r="H5707">
        <f>IF(B5707,SQRT(-2*LN(F5707))*COS(2*PI()*G5707),"")</f>
        <v/>
      </c>
      <c r="I5707">
        <f>IF(B5707,IF(D5707=0,H5707,Rho*I5706+SQRT(1-Rho^2)*H5707),"")</f>
        <v/>
      </c>
      <c r="J5707">
        <f>IF(B5707,IF(Dist="Normal",DistA+DistB*I5707,DistA+(DistB-DistA)*NORMSDIST(I5707)),"")</f>
        <v/>
      </c>
      <c r="K5707">
        <f>IF(B5707,INDEX(MineScale,C5707),"")</f>
        <v/>
      </c>
      <c r="L5707">
        <f>IF(B5707,INDEX(Dow,1,WEEKDAY(E5707,2)),"")</f>
        <v/>
      </c>
      <c r="M5707">
        <f>IF(B5707,(1+Trend)^D5707,"")</f>
        <v/>
      </c>
      <c r="N5707">
        <f>IF(B5707,EXP(SUMPRODUCT(LN(1+(EvEff-1)*INDEX(Affected,0,C5707)*EXP(-((E5707-EvCenter)^2)/(2*EvSigma^2))))),"")</f>
        <v/>
      </c>
      <c r="O5707">
        <f>IF(B5707,ROUND(MAX(0,J5707*K5707*L5707*M5707*N5707),2),"")</f>
        <v/>
      </c>
    </row>
    <row r="5708">
      <c r="A5708" t="n">
        <v>5707</v>
      </c>
      <c r="B5708">
        <f>A5708&lt;=MineCount*Days</f>
        <v/>
      </c>
      <c r="C5708">
        <f>IF(B5708,INT((A5708-1)/Days)+1,"")</f>
        <v/>
      </c>
      <c r="D5708">
        <f>IF(B5708,MOD(A5708-1,Days),"")</f>
        <v/>
      </c>
      <c r="E5708" s="16">
        <f>IF(B5708,StartDate+D5708,"")</f>
        <v/>
      </c>
      <c r="F5708">
        <f>IF(B5708,MAX(MOD(SIN(Seed*0.1373+C5708*12.9898+D5708*78.233)*43758.5453,1),1E-9),"")</f>
        <v/>
      </c>
      <c r="G5708">
        <f>IF(B5708,MOD(SIN(Seed*0.5917+C5708*39.3468+D5708*11.135)*24634.6345,1),"")</f>
        <v/>
      </c>
      <c r="H5708">
        <f>IF(B5708,SQRT(-2*LN(F5708))*COS(2*PI()*G5708),"")</f>
        <v/>
      </c>
      <c r="I5708">
        <f>IF(B5708,IF(D5708=0,H5708,Rho*I5707+SQRT(1-Rho^2)*H5708),"")</f>
        <v/>
      </c>
      <c r="J5708">
        <f>IF(B5708,IF(Dist="Normal",DistA+DistB*I5708,DistA+(DistB-DistA)*NORMSDIST(I5708)),"")</f>
        <v/>
      </c>
      <c r="K5708">
        <f>IF(B5708,INDEX(MineScale,C5708),"")</f>
        <v/>
      </c>
      <c r="L5708">
        <f>IF(B5708,INDEX(Dow,1,WEEKDAY(E5708,2)),"")</f>
        <v/>
      </c>
      <c r="M5708">
        <f>IF(B5708,(1+Trend)^D5708,"")</f>
        <v/>
      </c>
      <c r="N5708">
        <f>IF(B5708,EXP(SUMPRODUCT(LN(1+(EvEff-1)*INDEX(Affected,0,C5708)*EXP(-((E5708-EvCenter)^2)/(2*EvSigma^2))))),"")</f>
        <v/>
      </c>
      <c r="O5708">
        <f>IF(B5708,ROUND(MAX(0,J5708*K5708*L5708*M5708*N5708),2),"")</f>
        <v/>
      </c>
    </row>
    <row r="5709">
      <c r="A5709" t="n">
        <v>5708</v>
      </c>
      <c r="B5709">
        <f>A5709&lt;=MineCount*Days</f>
        <v/>
      </c>
      <c r="C5709">
        <f>IF(B5709,INT((A5709-1)/Days)+1,"")</f>
        <v/>
      </c>
      <c r="D5709">
        <f>IF(B5709,MOD(A5709-1,Days),"")</f>
        <v/>
      </c>
      <c r="E5709" s="16">
        <f>IF(B5709,StartDate+D5709,"")</f>
        <v/>
      </c>
      <c r="F5709">
        <f>IF(B5709,MAX(MOD(SIN(Seed*0.1373+C5709*12.9898+D5709*78.233)*43758.5453,1),1E-9),"")</f>
        <v/>
      </c>
      <c r="G5709">
        <f>IF(B5709,MOD(SIN(Seed*0.5917+C5709*39.3468+D5709*11.135)*24634.6345,1),"")</f>
        <v/>
      </c>
      <c r="H5709">
        <f>IF(B5709,SQRT(-2*LN(F5709))*COS(2*PI()*G5709),"")</f>
        <v/>
      </c>
      <c r="I5709">
        <f>IF(B5709,IF(D5709=0,H5709,Rho*I5708+SQRT(1-Rho^2)*H5709),"")</f>
        <v/>
      </c>
      <c r="J5709">
        <f>IF(B5709,IF(Dist="Normal",DistA+DistB*I5709,DistA+(DistB-DistA)*NORMSDIST(I5709)),"")</f>
        <v/>
      </c>
      <c r="K5709">
        <f>IF(B5709,INDEX(MineScale,C5709),"")</f>
        <v/>
      </c>
      <c r="L5709">
        <f>IF(B5709,INDEX(Dow,1,WEEKDAY(E5709,2)),"")</f>
        <v/>
      </c>
      <c r="M5709">
        <f>IF(B5709,(1+Trend)^D5709,"")</f>
        <v/>
      </c>
      <c r="N5709">
        <f>IF(B5709,EXP(SUMPRODUCT(LN(1+(EvEff-1)*INDEX(Affected,0,C5709)*EXP(-((E5709-EvCenter)^2)/(2*EvSigma^2))))),"")</f>
        <v/>
      </c>
      <c r="O5709">
        <f>IF(B5709,ROUND(MAX(0,J5709*K5709*L5709*M5709*N5709),2),"")</f>
        <v/>
      </c>
    </row>
    <row r="5710">
      <c r="A5710" t="n">
        <v>5709</v>
      </c>
      <c r="B5710">
        <f>A5710&lt;=MineCount*Days</f>
        <v/>
      </c>
      <c r="C5710">
        <f>IF(B5710,INT((A5710-1)/Days)+1,"")</f>
        <v/>
      </c>
      <c r="D5710">
        <f>IF(B5710,MOD(A5710-1,Days),"")</f>
        <v/>
      </c>
      <c r="E5710" s="16">
        <f>IF(B5710,StartDate+D5710,"")</f>
        <v/>
      </c>
      <c r="F5710">
        <f>IF(B5710,MAX(MOD(SIN(Seed*0.1373+C5710*12.9898+D5710*78.233)*43758.5453,1),1E-9),"")</f>
        <v/>
      </c>
      <c r="G5710">
        <f>IF(B5710,MOD(SIN(Seed*0.5917+C5710*39.3468+D5710*11.135)*24634.6345,1),"")</f>
        <v/>
      </c>
      <c r="H5710">
        <f>IF(B5710,SQRT(-2*LN(F5710))*COS(2*PI()*G5710),"")</f>
        <v/>
      </c>
      <c r="I5710">
        <f>IF(B5710,IF(D5710=0,H5710,Rho*I5709+SQRT(1-Rho^2)*H5710),"")</f>
        <v/>
      </c>
      <c r="J5710">
        <f>IF(B5710,IF(Dist="Normal",DistA+DistB*I5710,DistA+(DistB-DistA)*NORMSDIST(I5710)),"")</f>
        <v/>
      </c>
      <c r="K5710">
        <f>IF(B5710,INDEX(MineScale,C5710),"")</f>
        <v/>
      </c>
      <c r="L5710">
        <f>IF(B5710,INDEX(Dow,1,WEEKDAY(E5710,2)),"")</f>
        <v/>
      </c>
      <c r="M5710">
        <f>IF(B5710,(1+Trend)^D5710,"")</f>
        <v/>
      </c>
      <c r="N5710">
        <f>IF(B5710,EXP(SUMPRODUCT(LN(1+(EvEff-1)*INDEX(Affected,0,C5710)*EXP(-((E5710-EvCenter)^2)/(2*EvSigma^2))))),"")</f>
        <v/>
      </c>
      <c r="O5710">
        <f>IF(B5710,ROUND(MAX(0,J5710*K5710*L5710*M5710*N5710),2),"")</f>
        <v/>
      </c>
    </row>
    <row r="5711">
      <c r="A5711" t="n">
        <v>5710</v>
      </c>
      <c r="B5711">
        <f>A5711&lt;=MineCount*Days</f>
        <v/>
      </c>
      <c r="C5711">
        <f>IF(B5711,INT((A5711-1)/Days)+1,"")</f>
        <v/>
      </c>
      <c r="D5711">
        <f>IF(B5711,MOD(A5711-1,Days),"")</f>
        <v/>
      </c>
      <c r="E5711" s="16">
        <f>IF(B5711,StartDate+D5711,"")</f>
        <v/>
      </c>
      <c r="F5711">
        <f>IF(B5711,MAX(MOD(SIN(Seed*0.1373+C5711*12.9898+D5711*78.233)*43758.5453,1),1E-9),"")</f>
        <v/>
      </c>
      <c r="G5711">
        <f>IF(B5711,MOD(SIN(Seed*0.5917+C5711*39.3468+D5711*11.135)*24634.6345,1),"")</f>
        <v/>
      </c>
      <c r="H5711">
        <f>IF(B5711,SQRT(-2*LN(F5711))*COS(2*PI()*G5711),"")</f>
        <v/>
      </c>
      <c r="I5711">
        <f>IF(B5711,IF(D5711=0,H5711,Rho*I5710+SQRT(1-Rho^2)*H5711),"")</f>
        <v/>
      </c>
      <c r="J5711">
        <f>IF(B5711,IF(Dist="Normal",DistA+DistB*I5711,DistA+(DistB-DistA)*NORMSDIST(I5711)),"")</f>
        <v/>
      </c>
      <c r="K5711">
        <f>IF(B5711,INDEX(MineScale,C5711),"")</f>
        <v/>
      </c>
      <c r="L5711">
        <f>IF(B5711,INDEX(Dow,1,WEEKDAY(E5711,2)),"")</f>
        <v/>
      </c>
      <c r="M5711">
        <f>IF(B5711,(1+Trend)^D5711,"")</f>
        <v/>
      </c>
      <c r="N5711">
        <f>IF(B5711,EXP(SUMPRODUCT(LN(1+(EvEff-1)*INDEX(Affected,0,C5711)*EXP(-((E5711-EvCenter)^2)/(2*EvSigma^2))))),"")</f>
        <v/>
      </c>
      <c r="O5711">
        <f>IF(B5711,ROUND(MAX(0,J5711*K5711*L5711*M5711*N5711),2),"")</f>
        <v/>
      </c>
    </row>
    <row r="5712">
      <c r="A5712" t="n">
        <v>5711</v>
      </c>
      <c r="B5712">
        <f>A5712&lt;=MineCount*Days</f>
        <v/>
      </c>
      <c r="C5712">
        <f>IF(B5712,INT((A5712-1)/Days)+1,"")</f>
        <v/>
      </c>
      <c r="D5712">
        <f>IF(B5712,MOD(A5712-1,Days),"")</f>
        <v/>
      </c>
      <c r="E5712" s="16">
        <f>IF(B5712,StartDate+D5712,"")</f>
        <v/>
      </c>
      <c r="F5712">
        <f>IF(B5712,MAX(MOD(SIN(Seed*0.1373+C5712*12.9898+D5712*78.233)*43758.5453,1),1E-9),"")</f>
        <v/>
      </c>
      <c r="G5712">
        <f>IF(B5712,MOD(SIN(Seed*0.5917+C5712*39.3468+D5712*11.135)*24634.6345,1),"")</f>
        <v/>
      </c>
      <c r="H5712">
        <f>IF(B5712,SQRT(-2*LN(F5712))*COS(2*PI()*G5712),"")</f>
        <v/>
      </c>
      <c r="I5712">
        <f>IF(B5712,IF(D5712=0,H5712,Rho*I5711+SQRT(1-Rho^2)*H5712),"")</f>
        <v/>
      </c>
      <c r="J5712">
        <f>IF(B5712,IF(Dist="Normal",DistA+DistB*I5712,DistA+(DistB-DistA)*NORMSDIST(I5712)),"")</f>
        <v/>
      </c>
      <c r="K5712">
        <f>IF(B5712,INDEX(MineScale,C5712),"")</f>
        <v/>
      </c>
      <c r="L5712">
        <f>IF(B5712,INDEX(Dow,1,WEEKDAY(E5712,2)),"")</f>
        <v/>
      </c>
      <c r="M5712">
        <f>IF(B5712,(1+Trend)^D5712,"")</f>
        <v/>
      </c>
      <c r="N5712">
        <f>IF(B5712,EXP(SUMPRODUCT(LN(1+(EvEff-1)*INDEX(Affected,0,C5712)*EXP(-((E5712-EvCenter)^2)/(2*EvSigma^2))))),"")</f>
        <v/>
      </c>
      <c r="O5712">
        <f>IF(B5712,ROUND(MAX(0,J5712*K5712*L5712*M5712*N5712),2),"")</f>
        <v/>
      </c>
    </row>
    <row r="5713">
      <c r="A5713" t="n">
        <v>5712</v>
      </c>
      <c r="B5713">
        <f>A5713&lt;=MineCount*Days</f>
        <v/>
      </c>
      <c r="C5713">
        <f>IF(B5713,INT((A5713-1)/Days)+1,"")</f>
        <v/>
      </c>
      <c r="D5713">
        <f>IF(B5713,MOD(A5713-1,Days),"")</f>
        <v/>
      </c>
      <c r="E5713" s="16">
        <f>IF(B5713,StartDate+D5713,"")</f>
        <v/>
      </c>
      <c r="F5713">
        <f>IF(B5713,MAX(MOD(SIN(Seed*0.1373+C5713*12.9898+D5713*78.233)*43758.5453,1),1E-9),"")</f>
        <v/>
      </c>
      <c r="G5713">
        <f>IF(B5713,MOD(SIN(Seed*0.5917+C5713*39.3468+D5713*11.135)*24634.6345,1),"")</f>
        <v/>
      </c>
      <c r="H5713">
        <f>IF(B5713,SQRT(-2*LN(F5713))*COS(2*PI()*G5713),"")</f>
        <v/>
      </c>
      <c r="I5713">
        <f>IF(B5713,IF(D5713=0,H5713,Rho*I5712+SQRT(1-Rho^2)*H5713),"")</f>
        <v/>
      </c>
      <c r="J5713">
        <f>IF(B5713,IF(Dist="Normal",DistA+DistB*I5713,DistA+(DistB-DistA)*NORMSDIST(I5713)),"")</f>
        <v/>
      </c>
      <c r="K5713">
        <f>IF(B5713,INDEX(MineScale,C5713),"")</f>
        <v/>
      </c>
      <c r="L5713">
        <f>IF(B5713,INDEX(Dow,1,WEEKDAY(E5713,2)),"")</f>
        <v/>
      </c>
      <c r="M5713">
        <f>IF(B5713,(1+Trend)^D5713,"")</f>
        <v/>
      </c>
      <c r="N5713">
        <f>IF(B5713,EXP(SUMPRODUCT(LN(1+(EvEff-1)*INDEX(Affected,0,C5713)*EXP(-((E5713-EvCenter)^2)/(2*EvSigma^2))))),"")</f>
        <v/>
      </c>
      <c r="O5713">
        <f>IF(B5713,ROUND(MAX(0,J5713*K5713*L5713*M5713*N5713),2),"")</f>
        <v/>
      </c>
    </row>
    <row r="5714">
      <c r="A5714" t="n">
        <v>5713</v>
      </c>
      <c r="B5714">
        <f>A5714&lt;=MineCount*Days</f>
        <v/>
      </c>
      <c r="C5714">
        <f>IF(B5714,INT((A5714-1)/Days)+1,"")</f>
        <v/>
      </c>
      <c r="D5714">
        <f>IF(B5714,MOD(A5714-1,Days),"")</f>
        <v/>
      </c>
      <c r="E5714" s="16">
        <f>IF(B5714,StartDate+D5714,"")</f>
        <v/>
      </c>
      <c r="F5714">
        <f>IF(B5714,MAX(MOD(SIN(Seed*0.1373+C5714*12.9898+D5714*78.233)*43758.5453,1),1E-9),"")</f>
        <v/>
      </c>
      <c r="G5714">
        <f>IF(B5714,MOD(SIN(Seed*0.5917+C5714*39.3468+D5714*11.135)*24634.6345,1),"")</f>
        <v/>
      </c>
      <c r="H5714">
        <f>IF(B5714,SQRT(-2*LN(F5714))*COS(2*PI()*G5714),"")</f>
        <v/>
      </c>
      <c r="I5714">
        <f>IF(B5714,IF(D5714=0,H5714,Rho*I5713+SQRT(1-Rho^2)*H5714),"")</f>
        <v/>
      </c>
      <c r="J5714">
        <f>IF(B5714,IF(Dist="Normal",DistA+DistB*I5714,DistA+(DistB-DistA)*NORMSDIST(I5714)),"")</f>
        <v/>
      </c>
      <c r="K5714">
        <f>IF(B5714,INDEX(MineScale,C5714),"")</f>
        <v/>
      </c>
      <c r="L5714">
        <f>IF(B5714,INDEX(Dow,1,WEEKDAY(E5714,2)),"")</f>
        <v/>
      </c>
      <c r="M5714">
        <f>IF(B5714,(1+Trend)^D5714,"")</f>
        <v/>
      </c>
      <c r="N5714">
        <f>IF(B5714,EXP(SUMPRODUCT(LN(1+(EvEff-1)*INDEX(Affected,0,C5714)*EXP(-((E5714-EvCenter)^2)/(2*EvSigma^2))))),"")</f>
        <v/>
      </c>
      <c r="O5714">
        <f>IF(B5714,ROUND(MAX(0,J5714*K5714*L5714*M5714*N5714),2),"")</f>
        <v/>
      </c>
    </row>
    <row r="5715">
      <c r="A5715" t="n">
        <v>5714</v>
      </c>
      <c r="B5715">
        <f>A5715&lt;=MineCount*Days</f>
        <v/>
      </c>
      <c r="C5715">
        <f>IF(B5715,INT((A5715-1)/Days)+1,"")</f>
        <v/>
      </c>
      <c r="D5715">
        <f>IF(B5715,MOD(A5715-1,Days),"")</f>
        <v/>
      </c>
      <c r="E5715" s="16">
        <f>IF(B5715,StartDate+D5715,"")</f>
        <v/>
      </c>
      <c r="F5715">
        <f>IF(B5715,MAX(MOD(SIN(Seed*0.1373+C5715*12.9898+D5715*78.233)*43758.5453,1),1E-9),"")</f>
        <v/>
      </c>
      <c r="G5715">
        <f>IF(B5715,MOD(SIN(Seed*0.5917+C5715*39.3468+D5715*11.135)*24634.6345,1),"")</f>
        <v/>
      </c>
      <c r="H5715">
        <f>IF(B5715,SQRT(-2*LN(F5715))*COS(2*PI()*G5715),"")</f>
        <v/>
      </c>
      <c r="I5715">
        <f>IF(B5715,IF(D5715=0,H5715,Rho*I5714+SQRT(1-Rho^2)*H5715),"")</f>
        <v/>
      </c>
      <c r="J5715">
        <f>IF(B5715,IF(Dist="Normal",DistA+DistB*I5715,DistA+(DistB-DistA)*NORMSDIST(I5715)),"")</f>
        <v/>
      </c>
      <c r="K5715">
        <f>IF(B5715,INDEX(MineScale,C5715),"")</f>
        <v/>
      </c>
      <c r="L5715">
        <f>IF(B5715,INDEX(Dow,1,WEEKDAY(E5715,2)),"")</f>
        <v/>
      </c>
      <c r="M5715">
        <f>IF(B5715,(1+Trend)^D5715,"")</f>
        <v/>
      </c>
      <c r="N5715">
        <f>IF(B5715,EXP(SUMPRODUCT(LN(1+(EvEff-1)*INDEX(Affected,0,C5715)*EXP(-((E5715-EvCenter)^2)/(2*EvSigma^2))))),"")</f>
        <v/>
      </c>
      <c r="O5715">
        <f>IF(B5715,ROUND(MAX(0,J5715*K5715*L5715*M5715*N5715),2),"")</f>
        <v/>
      </c>
    </row>
    <row r="5716">
      <c r="A5716" t="n">
        <v>5715</v>
      </c>
      <c r="B5716">
        <f>A5716&lt;=MineCount*Days</f>
        <v/>
      </c>
      <c r="C5716">
        <f>IF(B5716,INT((A5716-1)/Days)+1,"")</f>
        <v/>
      </c>
      <c r="D5716">
        <f>IF(B5716,MOD(A5716-1,Days),"")</f>
        <v/>
      </c>
      <c r="E5716" s="16">
        <f>IF(B5716,StartDate+D5716,"")</f>
        <v/>
      </c>
      <c r="F5716">
        <f>IF(B5716,MAX(MOD(SIN(Seed*0.1373+C5716*12.9898+D5716*78.233)*43758.5453,1),1E-9),"")</f>
        <v/>
      </c>
      <c r="G5716">
        <f>IF(B5716,MOD(SIN(Seed*0.5917+C5716*39.3468+D5716*11.135)*24634.6345,1),"")</f>
        <v/>
      </c>
      <c r="H5716">
        <f>IF(B5716,SQRT(-2*LN(F5716))*COS(2*PI()*G5716),"")</f>
        <v/>
      </c>
      <c r="I5716">
        <f>IF(B5716,IF(D5716=0,H5716,Rho*I5715+SQRT(1-Rho^2)*H5716),"")</f>
        <v/>
      </c>
      <c r="J5716">
        <f>IF(B5716,IF(Dist="Normal",DistA+DistB*I5716,DistA+(DistB-DistA)*NORMSDIST(I5716)),"")</f>
        <v/>
      </c>
      <c r="K5716">
        <f>IF(B5716,INDEX(MineScale,C5716),"")</f>
        <v/>
      </c>
      <c r="L5716">
        <f>IF(B5716,INDEX(Dow,1,WEEKDAY(E5716,2)),"")</f>
        <v/>
      </c>
      <c r="M5716">
        <f>IF(B5716,(1+Trend)^D5716,"")</f>
        <v/>
      </c>
      <c r="N5716">
        <f>IF(B5716,EXP(SUMPRODUCT(LN(1+(EvEff-1)*INDEX(Affected,0,C5716)*EXP(-((E5716-EvCenter)^2)/(2*EvSigma^2))))),"")</f>
        <v/>
      </c>
      <c r="O5716">
        <f>IF(B5716,ROUND(MAX(0,J5716*K5716*L5716*M5716*N5716),2),"")</f>
        <v/>
      </c>
    </row>
    <row r="5717">
      <c r="A5717" t="n">
        <v>5716</v>
      </c>
      <c r="B5717">
        <f>A5717&lt;=MineCount*Days</f>
        <v/>
      </c>
      <c r="C5717">
        <f>IF(B5717,INT((A5717-1)/Days)+1,"")</f>
        <v/>
      </c>
      <c r="D5717">
        <f>IF(B5717,MOD(A5717-1,Days),"")</f>
        <v/>
      </c>
      <c r="E5717" s="16">
        <f>IF(B5717,StartDate+D5717,"")</f>
        <v/>
      </c>
      <c r="F5717">
        <f>IF(B5717,MAX(MOD(SIN(Seed*0.1373+C5717*12.9898+D5717*78.233)*43758.5453,1),1E-9),"")</f>
        <v/>
      </c>
      <c r="G5717">
        <f>IF(B5717,MOD(SIN(Seed*0.5917+C5717*39.3468+D5717*11.135)*24634.6345,1),"")</f>
        <v/>
      </c>
      <c r="H5717">
        <f>IF(B5717,SQRT(-2*LN(F5717))*COS(2*PI()*G5717),"")</f>
        <v/>
      </c>
      <c r="I5717">
        <f>IF(B5717,IF(D5717=0,H5717,Rho*I5716+SQRT(1-Rho^2)*H5717),"")</f>
        <v/>
      </c>
      <c r="J5717">
        <f>IF(B5717,IF(Dist="Normal",DistA+DistB*I5717,DistA+(DistB-DistA)*NORMSDIST(I5717)),"")</f>
        <v/>
      </c>
      <c r="K5717">
        <f>IF(B5717,INDEX(MineScale,C5717),"")</f>
        <v/>
      </c>
      <c r="L5717">
        <f>IF(B5717,INDEX(Dow,1,WEEKDAY(E5717,2)),"")</f>
        <v/>
      </c>
      <c r="M5717">
        <f>IF(B5717,(1+Trend)^D5717,"")</f>
        <v/>
      </c>
      <c r="N5717">
        <f>IF(B5717,EXP(SUMPRODUCT(LN(1+(EvEff-1)*INDEX(Affected,0,C5717)*EXP(-((E5717-EvCenter)^2)/(2*EvSigma^2))))),"")</f>
        <v/>
      </c>
      <c r="O5717">
        <f>IF(B5717,ROUND(MAX(0,J5717*K5717*L5717*M5717*N5717),2),"")</f>
        <v/>
      </c>
    </row>
    <row r="5718">
      <c r="A5718" t="n">
        <v>5717</v>
      </c>
      <c r="B5718">
        <f>A5718&lt;=MineCount*Days</f>
        <v/>
      </c>
      <c r="C5718">
        <f>IF(B5718,INT((A5718-1)/Days)+1,"")</f>
        <v/>
      </c>
      <c r="D5718">
        <f>IF(B5718,MOD(A5718-1,Days),"")</f>
        <v/>
      </c>
      <c r="E5718" s="16">
        <f>IF(B5718,StartDate+D5718,"")</f>
        <v/>
      </c>
      <c r="F5718">
        <f>IF(B5718,MAX(MOD(SIN(Seed*0.1373+C5718*12.9898+D5718*78.233)*43758.5453,1),1E-9),"")</f>
        <v/>
      </c>
      <c r="G5718">
        <f>IF(B5718,MOD(SIN(Seed*0.5917+C5718*39.3468+D5718*11.135)*24634.6345,1),"")</f>
        <v/>
      </c>
      <c r="H5718">
        <f>IF(B5718,SQRT(-2*LN(F5718))*COS(2*PI()*G5718),"")</f>
        <v/>
      </c>
      <c r="I5718">
        <f>IF(B5718,IF(D5718=0,H5718,Rho*I5717+SQRT(1-Rho^2)*H5718),"")</f>
        <v/>
      </c>
      <c r="J5718">
        <f>IF(B5718,IF(Dist="Normal",DistA+DistB*I5718,DistA+(DistB-DistA)*NORMSDIST(I5718)),"")</f>
        <v/>
      </c>
      <c r="K5718">
        <f>IF(B5718,INDEX(MineScale,C5718),"")</f>
        <v/>
      </c>
      <c r="L5718">
        <f>IF(B5718,INDEX(Dow,1,WEEKDAY(E5718,2)),"")</f>
        <v/>
      </c>
      <c r="M5718">
        <f>IF(B5718,(1+Trend)^D5718,"")</f>
        <v/>
      </c>
      <c r="N5718">
        <f>IF(B5718,EXP(SUMPRODUCT(LN(1+(EvEff-1)*INDEX(Affected,0,C5718)*EXP(-((E5718-EvCenter)^2)/(2*EvSigma^2))))),"")</f>
        <v/>
      </c>
      <c r="O5718">
        <f>IF(B5718,ROUND(MAX(0,J5718*K5718*L5718*M5718*N5718),2),"")</f>
        <v/>
      </c>
    </row>
    <row r="5719">
      <c r="A5719" t="n">
        <v>5718</v>
      </c>
      <c r="B5719">
        <f>A5719&lt;=MineCount*Days</f>
        <v/>
      </c>
      <c r="C5719">
        <f>IF(B5719,INT((A5719-1)/Days)+1,"")</f>
        <v/>
      </c>
      <c r="D5719">
        <f>IF(B5719,MOD(A5719-1,Days),"")</f>
        <v/>
      </c>
      <c r="E5719" s="16">
        <f>IF(B5719,StartDate+D5719,"")</f>
        <v/>
      </c>
      <c r="F5719">
        <f>IF(B5719,MAX(MOD(SIN(Seed*0.1373+C5719*12.9898+D5719*78.233)*43758.5453,1),1E-9),"")</f>
        <v/>
      </c>
      <c r="G5719">
        <f>IF(B5719,MOD(SIN(Seed*0.5917+C5719*39.3468+D5719*11.135)*24634.6345,1),"")</f>
        <v/>
      </c>
      <c r="H5719">
        <f>IF(B5719,SQRT(-2*LN(F5719))*COS(2*PI()*G5719),"")</f>
        <v/>
      </c>
      <c r="I5719">
        <f>IF(B5719,IF(D5719=0,H5719,Rho*I5718+SQRT(1-Rho^2)*H5719),"")</f>
        <v/>
      </c>
      <c r="J5719">
        <f>IF(B5719,IF(Dist="Normal",DistA+DistB*I5719,DistA+(DistB-DistA)*NORMSDIST(I5719)),"")</f>
        <v/>
      </c>
      <c r="K5719">
        <f>IF(B5719,INDEX(MineScale,C5719),"")</f>
        <v/>
      </c>
      <c r="L5719">
        <f>IF(B5719,INDEX(Dow,1,WEEKDAY(E5719,2)),"")</f>
        <v/>
      </c>
      <c r="M5719">
        <f>IF(B5719,(1+Trend)^D5719,"")</f>
        <v/>
      </c>
      <c r="N5719">
        <f>IF(B5719,EXP(SUMPRODUCT(LN(1+(EvEff-1)*INDEX(Affected,0,C5719)*EXP(-((E5719-EvCenter)^2)/(2*EvSigma^2))))),"")</f>
        <v/>
      </c>
      <c r="O5719">
        <f>IF(B5719,ROUND(MAX(0,J5719*K5719*L5719*M5719*N5719),2),"")</f>
        <v/>
      </c>
    </row>
    <row r="5720">
      <c r="A5720" t="n">
        <v>5719</v>
      </c>
      <c r="B5720">
        <f>A5720&lt;=MineCount*Days</f>
        <v/>
      </c>
      <c r="C5720">
        <f>IF(B5720,INT((A5720-1)/Days)+1,"")</f>
        <v/>
      </c>
      <c r="D5720">
        <f>IF(B5720,MOD(A5720-1,Days),"")</f>
        <v/>
      </c>
      <c r="E5720" s="16">
        <f>IF(B5720,StartDate+D5720,"")</f>
        <v/>
      </c>
      <c r="F5720">
        <f>IF(B5720,MAX(MOD(SIN(Seed*0.1373+C5720*12.9898+D5720*78.233)*43758.5453,1),1E-9),"")</f>
        <v/>
      </c>
      <c r="G5720">
        <f>IF(B5720,MOD(SIN(Seed*0.5917+C5720*39.3468+D5720*11.135)*24634.6345,1),"")</f>
        <v/>
      </c>
      <c r="H5720">
        <f>IF(B5720,SQRT(-2*LN(F5720))*COS(2*PI()*G5720),"")</f>
        <v/>
      </c>
      <c r="I5720">
        <f>IF(B5720,IF(D5720=0,H5720,Rho*I5719+SQRT(1-Rho^2)*H5720),"")</f>
        <v/>
      </c>
      <c r="J5720">
        <f>IF(B5720,IF(Dist="Normal",DistA+DistB*I5720,DistA+(DistB-DistA)*NORMSDIST(I5720)),"")</f>
        <v/>
      </c>
      <c r="K5720">
        <f>IF(B5720,INDEX(MineScale,C5720),"")</f>
        <v/>
      </c>
      <c r="L5720">
        <f>IF(B5720,INDEX(Dow,1,WEEKDAY(E5720,2)),"")</f>
        <v/>
      </c>
      <c r="M5720">
        <f>IF(B5720,(1+Trend)^D5720,"")</f>
        <v/>
      </c>
      <c r="N5720">
        <f>IF(B5720,EXP(SUMPRODUCT(LN(1+(EvEff-1)*INDEX(Affected,0,C5720)*EXP(-((E5720-EvCenter)^2)/(2*EvSigma^2))))),"")</f>
        <v/>
      </c>
      <c r="O5720">
        <f>IF(B5720,ROUND(MAX(0,J5720*K5720*L5720*M5720*N5720),2),"")</f>
        <v/>
      </c>
    </row>
    <row r="5721">
      <c r="A5721" t="n">
        <v>5720</v>
      </c>
      <c r="B5721">
        <f>A5721&lt;=MineCount*Days</f>
        <v/>
      </c>
      <c r="C5721">
        <f>IF(B5721,INT((A5721-1)/Days)+1,"")</f>
        <v/>
      </c>
      <c r="D5721">
        <f>IF(B5721,MOD(A5721-1,Days),"")</f>
        <v/>
      </c>
      <c r="E5721" s="16">
        <f>IF(B5721,StartDate+D5721,"")</f>
        <v/>
      </c>
      <c r="F5721">
        <f>IF(B5721,MAX(MOD(SIN(Seed*0.1373+C5721*12.9898+D5721*78.233)*43758.5453,1),1E-9),"")</f>
        <v/>
      </c>
      <c r="G5721">
        <f>IF(B5721,MOD(SIN(Seed*0.5917+C5721*39.3468+D5721*11.135)*24634.6345,1),"")</f>
        <v/>
      </c>
      <c r="H5721">
        <f>IF(B5721,SQRT(-2*LN(F5721))*COS(2*PI()*G5721),"")</f>
        <v/>
      </c>
      <c r="I5721">
        <f>IF(B5721,IF(D5721=0,H5721,Rho*I5720+SQRT(1-Rho^2)*H5721),"")</f>
        <v/>
      </c>
      <c r="J5721">
        <f>IF(B5721,IF(Dist="Normal",DistA+DistB*I5721,DistA+(DistB-DistA)*NORMSDIST(I5721)),"")</f>
        <v/>
      </c>
      <c r="K5721">
        <f>IF(B5721,INDEX(MineScale,C5721),"")</f>
        <v/>
      </c>
      <c r="L5721">
        <f>IF(B5721,INDEX(Dow,1,WEEKDAY(E5721,2)),"")</f>
        <v/>
      </c>
      <c r="M5721">
        <f>IF(B5721,(1+Trend)^D5721,"")</f>
        <v/>
      </c>
      <c r="N5721">
        <f>IF(B5721,EXP(SUMPRODUCT(LN(1+(EvEff-1)*INDEX(Affected,0,C5721)*EXP(-((E5721-EvCenter)^2)/(2*EvSigma^2))))),"")</f>
        <v/>
      </c>
      <c r="O5721">
        <f>IF(B5721,ROUND(MAX(0,J5721*K5721*L5721*M5721*N5721),2),"")</f>
        <v/>
      </c>
    </row>
    <row r="5722">
      <c r="A5722" t="n">
        <v>5721</v>
      </c>
      <c r="B5722">
        <f>A5722&lt;=MineCount*Days</f>
        <v/>
      </c>
      <c r="C5722">
        <f>IF(B5722,INT((A5722-1)/Days)+1,"")</f>
        <v/>
      </c>
      <c r="D5722">
        <f>IF(B5722,MOD(A5722-1,Days),"")</f>
        <v/>
      </c>
      <c r="E5722" s="16">
        <f>IF(B5722,StartDate+D5722,"")</f>
        <v/>
      </c>
      <c r="F5722">
        <f>IF(B5722,MAX(MOD(SIN(Seed*0.1373+C5722*12.9898+D5722*78.233)*43758.5453,1),1E-9),"")</f>
        <v/>
      </c>
      <c r="G5722">
        <f>IF(B5722,MOD(SIN(Seed*0.5917+C5722*39.3468+D5722*11.135)*24634.6345,1),"")</f>
        <v/>
      </c>
      <c r="H5722">
        <f>IF(B5722,SQRT(-2*LN(F5722))*COS(2*PI()*G5722),"")</f>
        <v/>
      </c>
      <c r="I5722">
        <f>IF(B5722,IF(D5722=0,H5722,Rho*I5721+SQRT(1-Rho^2)*H5722),"")</f>
        <v/>
      </c>
      <c r="J5722">
        <f>IF(B5722,IF(Dist="Normal",DistA+DistB*I5722,DistA+(DistB-DistA)*NORMSDIST(I5722)),"")</f>
        <v/>
      </c>
      <c r="K5722">
        <f>IF(B5722,INDEX(MineScale,C5722),"")</f>
        <v/>
      </c>
      <c r="L5722">
        <f>IF(B5722,INDEX(Dow,1,WEEKDAY(E5722,2)),"")</f>
        <v/>
      </c>
      <c r="M5722">
        <f>IF(B5722,(1+Trend)^D5722,"")</f>
        <v/>
      </c>
      <c r="N5722">
        <f>IF(B5722,EXP(SUMPRODUCT(LN(1+(EvEff-1)*INDEX(Affected,0,C5722)*EXP(-((E5722-EvCenter)^2)/(2*EvSigma^2))))),"")</f>
        <v/>
      </c>
      <c r="O5722">
        <f>IF(B5722,ROUND(MAX(0,J5722*K5722*L5722*M5722*N5722),2),"")</f>
        <v/>
      </c>
    </row>
    <row r="5723">
      <c r="A5723" t="n">
        <v>5722</v>
      </c>
      <c r="B5723">
        <f>A5723&lt;=MineCount*Days</f>
        <v/>
      </c>
      <c r="C5723">
        <f>IF(B5723,INT((A5723-1)/Days)+1,"")</f>
        <v/>
      </c>
      <c r="D5723">
        <f>IF(B5723,MOD(A5723-1,Days),"")</f>
        <v/>
      </c>
      <c r="E5723" s="16">
        <f>IF(B5723,StartDate+D5723,"")</f>
        <v/>
      </c>
      <c r="F5723">
        <f>IF(B5723,MAX(MOD(SIN(Seed*0.1373+C5723*12.9898+D5723*78.233)*43758.5453,1),1E-9),"")</f>
        <v/>
      </c>
      <c r="G5723">
        <f>IF(B5723,MOD(SIN(Seed*0.5917+C5723*39.3468+D5723*11.135)*24634.6345,1),"")</f>
        <v/>
      </c>
      <c r="H5723">
        <f>IF(B5723,SQRT(-2*LN(F5723))*COS(2*PI()*G5723),"")</f>
        <v/>
      </c>
      <c r="I5723">
        <f>IF(B5723,IF(D5723=0,H5723,Rho*I5722+SQRT(1-Rho^2)*H5723),"")</f>
        <v/>
      </c>
      <c r="J5723">
        <f>IF(B5723,IF(Dist="Normal",DistA+DistB*I5723,DistA+(DistB-DistA)*NORMSDIST(I5723)),"")</f>
        <v/>
      </c>
      <c r="K5723">
        <f>IF(B5723,INDEX(MineScale,C5723),"")</f>
        <v/>
      </c>
      <c r="L5723">
        <f>IF(B5723,INDEX(Dow,1,WEEKDAY(E5723,2)),"")</f>
        <v/>
      </c>
      <c r="M5723">
        <f>IF(B5723,(1+Trend)^D5723,"")</f>
        <v/>
      </c>
      <c r="N5723">
        <f>IF(B5723,EXP(SUMPRODUCT(LN(1+(EvEff-1)*INDEX(Affected,0,C5723)*EXP(-((E5723-EvCenter)^2)/(2*EvSigma^2))))),"")</f>
        <v/>
      </c>
      <c r="O5723">
        <f>IF(B5723,ROUND(MAX(0,J5723*K5723*L5723*M5723*N5723),2),"")</f>
        <v/>
      </c>
    </row>
    <row r="5724">
      <c r="A5724" t="n">
        <v>5723</v>
      </c>
      <c r="B5724">
        <f>A5724&lt;=MineCount*Days</f>
        <v/>
      </c>
      <c r="C5724">
        <f>IF(B5724,INT((A5724-1)/Days)+1,"")</f>
        <v/>
      </c>
      <c r="D5724">
        <f>IF(B5724,MOD(A5724-1,Days),"")</f>
        <v/>
      </c>
      <c r="E5724" s="16">
        <f>IF(B5724,StartDate+D5724,"")</f>
        <v/>
      </c>
      <c r="F5724">
        <f>IF(B5724,MAX(MOD(SIN(Seed*0.1373+C5724*12.9898+D5724*78.233)*43758.5453,1),1E-9),"")</f>
        <v/>
      </c>
      <c r="G5724">
        <f>IF(B5724,MOD(SIN(Seed*0.5917+C5724*39.3468+D5724*11.135)*24634.6345,1),"")</f>
        <v/>
      </c>
      <c r="H5724">
        <f>IF(B5724,SQRT(-2*LN(F5724))*COS(2*PI()*G5724),"")</f>
        <v/>
      </c>
      <c r="I5724">
        <f>IF(B5724,IF(D5724=0,H5724,Rho*I5723+SQRT(1-Rho^2)*H5724),"")</f>
        <v/>
      </c>
      <c r="J5724">
        <f>IF(B5724,IF(Dist="Normal",DistA+DistB*I5724,DistA+(DistB-DistA)*NORMSDIST(I5724)),"")</f>
        <v/>
      </c>
      <c r="K5724">
        <f>IF(B5724,INDEX(MineScale,C5724),"")</f>
        <v/>
      </c>
      <c r="L5724">
        <f>IF(B5724,INDEX(Dow,1,WEEKDAY(E5724,2)),"")</f>
        <v/>
      </c>
      <c r="M5724">
        <f>IF(B5724,(1+Trend)^D5724,"")</f>
        <v/>
      </c>
      <c r="N5724">
        <f>IF(B5724,EXP(SUMPRODUCT(LN(1+(EvEff-1)*INDEX(Affected,0,C5724)*EXP(-((E5724-EvCenter)^2)/(2*EvSigma^2))))),"")</f>
        <v/>
      </c>
      <c r="O5724">
        <f>IF(B5724,ROUND(MAX(0,J5724*K5724*L5724*M5724*N5724),2),"")</f>
        <v/>
      </c>
    </row>
    <row r="5725">
      <c r="A5725" t="n">
        <v>5724</v>
      </c>
      <c r="B5725">
        <f>A5725&lt;=MineCount*Days</f>
        <v/>
      </c>
      <c r="C5725">
        <f>IF(B5725,INT((A5725-1)/Days)+1,"")</f>
        <v/>
      </c>
      <c r="D5725">
        <f>IF(B5725,MOD(A5725-1,Days),"")</f>
        <v/>
      </c>
      <c r="E5725" s="16">
        <f>IF(B5725,StartDate+D5725,"")</f>
        <v/>
      </c>
      <c r="F5725">
        <f>IF(B5725,MAX(MOD(SIN(Seed*0.1373+C5725*12.9898+D5725*78.233)*43758.5453,1),1E-9),"")</f>
        <v/>
      </c>
      <c r="G5725">
        <f>IF(B5725,MOD(SIN(Seed*0.5917+C5725*39.3468+D5725*11.135)*24634.6345,1),"")</f>
        <v/>
      </c>
      <c r="H5725">
        <f>IF(B5725,SQRT(-2*LN(F5725))*COS(2*PI()*G5725),"")</f>
        <v/>
      </c>
      <c r="I5725">
        <f>IF(B5725,IF(D5725=0,H5725,Rho*I5724+SQRT(1-Rho^2)*H5725),"")</f>
        <v/>
      </c>
      <c r="J5725">
        <f>IF(B5725,IF(Dist="Normal",DistA+DistB*I5725,DistA+(DistB-DistA)*NORMSDIST(I5725)),"")</f>
        <v/>
      </c>
      <c r="K5725">
        <f>IF(B5725,INDEX(MineScale,C5725),"")</f>
        <v/>
      </c>
      <c r="L5725">
        <f>IF(B5725,INDEX(Dow,1,WEEKDAY(E5725,2)),"")</f>
        <v/>
      </c>
      <c r="M5725">
        <f>IF(B5725,(1+Trend)^D5725,"")</f>
        <v/>
      </c>
      <c r="N5725">
        <f>IF(B5725,EXP(SUMPRODUCT(LN(1+(EvEff-1)*INDEX(Affected,0,C5725)*EXP(-((E5725-EvCenter)^2)/(2*EvSigma^2))))),"")</f>
        <v/>
      </c>
      <c r="O5725">
        <f>IF(B5725,ROUND(MAX(0,J5725*K5725*L5725*M5725*N5725),2),"")</f>
        <v/>
      </c>
    </row>
    <row r="5726">
      <c r="A5726" t="n">
        <v>5725</v>
      </c>
      <c r="B5726">
        <f>A5726&lt;=MineCount*Days</f>
        <v/>
      </c>
      <c r="C5726">
        <f>IF(B5726,INT((A5726-1)/Days)+1,"")</f>
        <v/>
      </c>
      <c r="D5726">
        <f>IF(B5726,MOD(A5726-1,Days),"")</f>
        <v/>
      </c>
      <c r="E5726" s="16">
        <f>IF(B5726,StartDate+D5726,"")</f>
        <v/>
      </c>
      <c r="F5726">
        <f>IF(B5726,MAX(MOD(SIN(Seed*0.1373+C5726*12.9898+D5726*78.233)*43758.5453,1),1E-9),"")</f>
        <v/>
      </c>
      <c r="G5726">
        <f>IF(B5726,MOD(SIN(Seed*0.5917+C5726*39.3468+D5726*11.135)*24634.6345,1),"")</f>
        <v/>
      </c>
      <c r="H5726">
        <f>IF(B5726,SQRT(-2*LN(F5726))*COS(2*PI()*G5726),"")</f>
        <v/>
      </c>
      <c r="I5726">
        <f>IF(B5726,IF(D5726=0,H5726,Rho*I5725+SQRT(1-Rho^2)*H5726),"")</f>
        <v/>
      </c>
      <c r="J5726">
        <f>IF(B5726,IF(Dist="Normal",DistA+DistB*I5726,DistA+(DistB-DistA)*NORMSDIST(I5726)),"")</f>
        <v/>
      </c>
      <c r="K5726">
        <f>IF(B5726,INDEX(MineScale,C5726),"")</f>
        <v/>
      </c>
      <c r="L5726">
        <f>IF(B5726,INDEX(Dow,1,WEEKDAY(E5726,2)),"")</f>
        <v/>
      </c>
      <c r="M5726">
        <f>IF(B5726,(1+Trend)^D5726,"")</f>
        <v/>
      </c>
      <c r="N5726">
        <f>IF(B5726,EXP(SUMPRODUCT(LN(1+(EvEff-1)*INDEX(Affected,0,C5726)*EXP(-((E5726-EvCenter)^2)/(2*EvSigma^2))))),"")</f>
        <v/>
      </c>
      <c r="O5726">
        <f>IF(B5726,ROUND(MAX(0,J5726*K5726*L5726*M5726*N5726),2),"")</f>
        <v/>
      </c>
    </row>
    <row r="5727">
      <c r="A5727" t="n">
        <v>5726</v>
      </c>
      <c r="B5727">
        <f>A5727&lt;=MineCount*Days</f>
        <v/>
      </c>
      <c r="C5727">
        <f>IF(B5727,INT((A5727-1)/Days)+1,"")</f>
        <v/>
      </c>
      <c r="D5727">
        <f>IF(B5727,MOD(A5727-1,Days),"")</f>
        <v/>
      </c>
      <c r="E5727" s="16">
        <f>IF(B5727,StartDate+D5727,"")</f>
        <v/>
      </c>
      <c r="F5727">
        <f>IF(B5727,MAX(MOD(SIN(Seed*0.1373+C5727*12.9898+D5727*78.233)*43758.5453,1),1E-9),"")</f>
        <v/>
      </c>
      <c r="G5727">
        <f>IF(B5727,MOD(SIN(Seed*0.5917+C5727*39.3468+D5727*11.135)*24634.6345,1),"")</f>
        <v/>
      </c>
      <c r="H5727">
        <f>IF(B5727,SQRT(-2*LN(F5727))*COS(2*PI()*G5727),"")</f>
        <v/>
      </c>
      <c r="I5727">
        <f>IF(B5727,IF(D5727=0,H5727,Rho*I5726+SQRT(1-Rho^2)*H5727),"")</f>
        <v/>
      </c>
      <c r="J5727">
        <f>IF(B5727,IF(Dist="Normal",DistA+DistB*I5727,DistA+(DistB-DistA)*NORMSDIST(I5727)),"")</f>
        <v/>
      </c>
      <c r="K5727">
        <f>IF(B5727,INDEX(MineScale,C5727),"")</f>
        <v/>
      </c>
      <c r="L5727">
        <f>IF(B5727,INDEX(Dow,1,WEEKDAY(E5727,2)),"")</f>
        <v/>
      </c>
      <c r="M5727">
        <f>IF(B5727,(1+Trend)^D5727,"")</f>
        <v/>
      </c>
      <c r="N5727">
        <f>IF(B5727,EXP(SUMPRODUCT(LN(1+(EvEff-1)*INDEX(Affected,0,C5727)*EXP(-((E5727-EvCenter)^2)/(2*EvSigma^2))))),"")</f>
        <v/>
      </c>
      <c r="O5727">
        <f>IF(B5727,ROUND(MAX(0,J5727*K5727*L5727*M5727*N5727),2),"")</f>
        <v/>
      </c>
    </row>
    <row r="5728">
      <c r="A5728" t="n">
        <v>5727</v>
      </c>
      <c r="B5728">
        <f>A5728&lt;=MineCount*Days</f>
        <v/>
      </c>
      <c r="C5728">
        <f>IF(B5728,INT((A5728-1)/Days)+1,"")</f>
        <v/>
      </c>
      <c r="D5728">
        <f>IF(B5728,MOD(A5728-1,Days),"")</f>
        <v/>
      </c>
      <c r="E5728" s="16">
        <f>IF(B5728,StartDate+D5728,"")</f>
        <v/>
      </c>
      <c r="F5728">
        <f>IF(B5728,MAX(MOD(SIN(Seed*0.1373+C5728*12.9898+D5728*78.233)*43758.5453,1),1E-9),"")</f>
        <v/>
      </c>
      <c r="G5728">
        <f>IF(B5728,MOD(SIN(Seed*0.5917+C5728*39.3468+D5728*11.135)*24634.6345,1),"")</f>
        <v/>
      </c>
      <c r="H5728">
        <f>IF(B5728,SQRT(-2*LN(F5728))*COS(2*PI()*G5728),"")</f>
        <v/>
      </c>
      <c r="I5728">
        <f>IF(B5728,IF(D5728=0,H5728,Rho*I5727+SQRT(1-Rho^2)*H5728),"")</f>
        <v/>
      </c>
      <c r="J5728">
        <f>IF(B5728,IF(Dist="Normal",DistA+DistB*I5728,DistA+(DistB-DistA)*NORMSDIST(I5728)),"")</f>
        <v/>
      </c>
      <c r="K5728">
        <f>IF(B5728,INDEX(MineScale,C5728),"")</f>
        <v/>
      </c>
      <c r="L5728">
        <f>IF(B5728,INDEX(Dow,1,WEEKDAY(E5728,2)),"")</f>
        <v/>
      </c>
      <c r="M5728">
        <f>IF(B5728,(1+Trend)^D5728,"")</f>
        <v/>
      </c>
      <c r="N5728">
        <f>IF(B5728,EXP(SUMPRODUCT(LN(1+(EvEff-1)*INDEX(Affected,0,C5728)*EXP(-((E5728-EvCenter)^2)/(2*EvSigma^2))))),"")</f>
        <v/>
      </c>
      <c r="O5728">
        <f>IF(B5728,ROUND(MAX(0,J5728*K5728*L5728*M5728*N5728),2),"")</f>
        <v/>
      </c>
    </row>
    <row r="5729">
      <c r="A5729" t="n">
        <v>5728</v>
      </c>
      <c r="B5729">
        <f>A5729&lt;=MineCount*Days</f>
        <v/>
      </c>
      <c r="C5729">
        <f>IF(B5729,INT((A5729-1)/Days)+1,"")</f>
        <v/>
      </c>
      <c r="D5729">
        <f>IF(B5729,MOD(A5729-1,Days),"")</f>
        <v/>
      </c>
      <c r="E5729" s="16">
        <f>IF(B5729,StartDate+D5729,"")</f>
        <v/>
      </c>
      <c r="F5729">
        <f>IF(B5729,MAX(MOD(SIN(Seed*0.1373+C5729*12.9898+D5729*78.233)*43758.5453,1),1E-9),"")</f>
        <v/>
      </c>
      <c r="G5729">
        <f>IF(B5729,MOD(SIN(Seed*0.5917+C5729*39.3468+D5729*11.135)*24634.6345,1),"")</f>
        <v/>
      </c>
      <c r="H5729">
        <f>IF(B5729,SQRT(-2*LN(F5729))*COS(2*PI()*G5729),"")</f>
        <v/>
      </c>
      <c r="I5729">
        <f>IF(B5729,IF(D5729=0,H5729,Rho*I5728+SQRT(1-Rho^2)*H5729),"")</f>
        <v/>
      </c>
      <c r="J5729">
        <f>IF(B5729,IF(Dist="Normal",DistA+DistB*I5729,DistA+(DistB-DistA)*NORMSDIST(I5729)),"")</f>
        <v/>
      </c>
      <c r="K5729">
        <f>IF(B5729,INDEX(MineScale,C5729),"")</f>
        <v/>
      </c>
      <c r="L5729">
        <f>IF(B5729,INDEX(Dow,1,WEEKDAY(E5729,2)),"")</f>
        <v/>
      </c>
      <c r="M5729">
        <f>IF(B5729,(1+Trend)^D5729,"")</f>
        <v/>
      </c>
      <c r="N5729">
        <f>IF(B5729,EXP(SUMPRODUCT(LN(1+(EvEff-1)*INDEX(Affected,0,C5729)*EXP(-((E5729-EvCenter)^2)/(2*EvSigma^2))))),"")</f>
        <v/>
      </c>
      <c r="O5729">
        <f>IF(B5729,ROUND(MAX(0,J5729*K5729*L5729*M5729*N5729),2),"")</f>
        <v/>
      </c>
    </row>
    <row r="5730">
      <c r="A5730" t="n">
        <v>5729</v>
      </c>
      <c r="B5730">
        <f>A5730&lt;=MineCount*Days</f>
        <v/>
      </c>
      <c r="C5730">
        <f>IF(B5730,INT((A5730-1)/Days)+1,"")</f>
        <v/>
      </c>
      <c r="D5730">
        <f>IF(B5730,MOD(A5730-1,Days),"")</f>
        <v/>
      </c>
      <c r="E5730" s="16">
        <f>IF(B5730,StartDate+D5730,"")</f>
        <v/>
      </c>
      <c r="F5730">
        <f>IF(B5730,MAX(MOD(SIN(Seed*0.1373+C5730*12.9898+D5730*78.233)*43758.5453,1),1E-9),"")</f>
        <v/>
      </c>
      <c r="G5730">
        <f>IF(B5730,MOD(SIN(Seed*0.5917+C5730*39.3468+D5730*11.135)*24634.6345,1),"")</f>
        <v/>
      </c>
      <c r="H5730">
        <f>IF(B5730,SQRT(-2*LN(F5730))*COS(2*PI()*G5730),"")</f>
        <v/>
      </c>
      <c r="I5730">
        <f>IF(B5730,IF(D5730=0,H5730,Rho*I5729+SQRT(1-Rho^2)*H5730),"")</f>
        <v/>
      </c>
      <c r="J5730">
        <f>IF(B5730,IF(Dist="Normal",DistA+DistB*I5730,DistA+(DistB-DistA)*NORMSDIST(I5730)),"")</f>
        <v/>
      </c>
      <c r="K5730">
        <f>IF(B5730,INDEX(MineScale,C5730),"")</f>
        <v/>
      </c>
      <c r="L5730">
        <f>IF(B5730,INDEX(Dow,1,WEEKDAY(E5730,2)),"")</f>
        <v/>
      </c>
      <c r="M5730">
        <f>IF(B5730,(1+Trend)^D5730,"")</f>
        <v/>
      </c>
      <c r="N5730">
        <f>IF(B5730,EXP(SUMPRODUCT(LN(1+(EvEff-1)*INDEX(Affected,0,C5730)*EXP(-((E5730-EvCenter)^2)/(2*EvSigma^2))))),"")</f>
        <v/>
      </c>
      <c r="O5730">
        <f>IF(B5730,ROUND(MAX(0,J5730*K5730*L5730*M5730*N5730),2),"")</f>
        <v/>
      </c>
    </row>
    <row r="5731">
      <c r="A5731" t="n">
        <v>5730</v>
      </c>
      <c r="B5731">
        <f>A5731&lt;=MineCount*Days</f>
        <v/>
      </c>
      <c r="C5731">
        <f>IF(B5731,INT((A5731-1)/Days)+1,"")</f>
        <v/>
      </c>
      <c r="D5731">
        <f>IF(B5731,MOD(A5731-1,Days),"")</f>
        <v/>
      </c>
      <c r="E5731" s="16">
        <f>IF(B5731,StartDate+D5731,"")</f>
        <v/>
      </c>
      <c r="F5731">
        <f>IF(B5731,MAX(MOD(SIN(Seed*0.1373+C5731*12.9898+D5731*78.233)*43758.5453,1),1E-9),"")</f>
        <v/>
      </c>
      <c r="G5731">
        <f>IF(B5731,MOD(SIN(Seed*0.5917+C5731*39.3468+D5731*11.135)*24634.6345,1),"")</f>
        <v/>
      </c>
      <c r="H5731">
        <f>IF(B5731,SQRT(-2*LN(F5731))*COS(2*PI()*G5731),"")</f>
        <v/>
      </c>
      <c r="I5731">
        <f>IF(B5731,IF(D5731=0,H5731,Rho*I5730+SQRT(1-Rho^2)*H5731),"")</f>
        <v/>
      </c>
      <c r="J5731">
        <f>IF(B5731,IF(Dist="Normal",DistA+DistB*I5731,DistA+(DistB-DistA)*NORMSDIST(I5731)),"")</f>
        <v/>
      </c>
      <c r="K5731">
        <f>IF(B5731,INDEX(MineScale,C5731),"")</f>
        <v/>
      </c>
      <c r="L5731">
        <f>IF(B5731,INDEX(Dow,1,WEEKDAY(E5731,2)),"")</f>
        <v/>
      </c>
      <c r="M5731">
        <f>IF(B5731,(1+Trend)^D5731,"")</f>
        <v/>
      </c>
      <c r="N5731">
        <f>IF(B5731,EXP(SUMPRODUCT(LN(1+(EvEff-1)*INDEX(Affected,0,C5731)*EXP(-((E5731-EvCenter)^2)/(2*EvSigma^2))))),"")</f>
        <v/>
      </c>
      <c r="O5731">
        <f>IF(B5731,ROUND(MAX(0,J5731*K5731*L5731*M5731*N5731),2),"")</f>
        <v/>
      </c>
    </row>
    <row r="5732">
      <c r="A5732" t="n">
        <v>5731</v>
      </c>
      <c r="B5732">
        <f>A5732&lt;=MineCount*Days</f>
        <v/>
      </c>
      <c r="C5732">
        <f>IF(B5732,INT((A5732-1)/Days)+1,"")</f>
        <v/>
      </c>
      <c r="D5732">
        <f>IF(B5732,MOD(A5732-1,Days),"")</f>
        <v/>
      </c>
      <c r="E5732" s="16">
        <f>IF(B5732,StartDate+D5732,"")</f>
        <v/>
      </c>
      <c r="F5732">
        <f>IF(B5732,MAX(MOD(SIN(Seed*0.1373+C5732*12.9898+D5732*78.233)*43758.5453,1),1E-9),"")</f>
        <v/>
      </c>
      <c r="G5732">
        <f>IF(B5732,MOD(SIN(Seed*0.5917+C5732*39.3468+D5732*11.135)*24634.6345,1),"")</f>
        <v/>
      </c>
      <c r="H5732">
        <f>IF(B5732,SQRT(-2*LN(F5732))*COS(2*PI()*G5732),"")</f>
        <v/>
      </c>
      <c r="I5732">
        <f>IF(B5732,IF(D5732=0,H5732,Rho*I5731+SQRT(1-Rho^2)*H5732),"")</f>
        <v/>
      </c>
      <c r="J5732">
        <f>IF(B5732,IF(Dist="Normal",DistA+DistB*I5732,DistA+(DistB-DistA)*NORMSDIST(I5732)),"")</f>
        <v/>
      </c>
      <c r="K5732">
        <f>IF(B5732,INDEX(MineScale,C5732),"")</f>
        <v/>
      </c>
      <c r="L5732">
        <f>IF(B5732,INDEX(Dow,1,WEEKDAY(E5732,2)),"")</f>
        <v/>
      </c>
      <c r="M5732">
        <f>IF(B5732,(1+Trend)^D5732,"")</f>
        <v/>
      </c>
      <c r="N5732">
        <f>IF(B5732,EXP(SUMPRODUCT(LN(1+(EvEff-1)*INDEX(Affected,0,C5732)*EXP(-((E5732-EvCenter)^2)/(2*EvSigma^2))))),"")</f>
        <v/>
      </c>
      <c r="O5732">
        <f>IF(B5732,ROUND(MAX(0,J5732*K5732*L5732*M5732*N5732),2),"")</f>
        <v/>
      </c>
    </row>
    <row r="5733">
      <c r="A5733" t="n">
        <v>5732</v>
      </c>
      <c r="B5733">
        <f>A5733&lt;=MineCount*Days</f>
        <v/>
      </c>
      <c r="C5733">
        <f>IF(B5733,INT((A5733-1)/Days)+1,"")</f>
        <v/>
      </c>
      <c r="D5733">
        <f>IF(B5733,MOD(A5733-1,Days),"")</f>
        <v/>
      </c>
      <c r="E5733" s="16">
        <f>IF(B5733,StartDate+D5733,"")</f>
        <v/>
      </c>
      <c r="F5733">
        <f>IF(B5733,MAX(MOD(SIN(Seed*0.1373+C5733*12.9898+D5733*78.233)*43758.5453,1),1E-9),"")</f>
        <v/>
      </c>
      <c r="G5733">
        <f>IF(B5733,MOD(SIN(Seed*0.5917+C5733*39.3468+D5733*11.135)*24634.6345,1),"")</f>
        <v/>
      </c>
      <c r="H5733">
        <f>IF(B5733,SQRT(-2*LN(F5733))*COS(2*PI()*G5733),"")</f>
        <v/>
      </c>
      <c r="I5733">
        <f>IF(B5733,IF(D5733=0,H5733,Rho*I5732+SQRT(1-Rho^2)*H5733),"")</f>
        <v/>
      </c>
      <c r="J5733">
        <f>IF(B5733,IF(Dist="Normal",DistA+DistB*I5733,DistA+(DistB-DistA)*NORMSDIST(I5733)),"")</f>
        <v/>
      </c>
      <c r="K5733">
        <f>IF(B5733,INDEX(MineScale,C5733),"")</f>
        <v/>
      </c>
      <c r="L5733">
        <f>IF(B5733,INDEX(Dow,1,WEEKDAY(E5733,2)),"")</f>
        <v/>
      </c>
      <c r="M5733">
        <f>IF(B5733,(1+Trend)^D5733,"")</f>
        <v/>
      </c>
      <c r="N5733">
        <f>IF(B5733,EXP(SUMPRODUCT(LN(1+(EvEff-1)*INDEX(Affected,0,C5733)*EXP(-((E5733-EvCenter)^2)/(2*EvSigma^2))))),"")</f>
        <v/>
      </c>
      <c r="O5733">
        <f>IF(B5733,ROUND(MAX(0,J5733*K5733*L5733*M5733*N5733),2),"")</f>
        <v/>
      </c>
    </row>
    <row r="5734">
      <c r="A5734" t="n">
        <v>5733</v>
      </c>
      <c r="B5734">
        <f>A5734&lt;=MineCount*Days</f>
        <v/>
      </c>
      <c r="C5734">
        <f>IF(B5734,INT((A5734-1)/Days)+1,"")</f>
        <v/>
      </c>
      <c r="D5734">
        <f>IF(B5734,MOD(A5734-1,Days),"")</f>
        <v/>
      </c>
      <c r="E5734" s="16">
        <f>IF(B5734,StartDate+D5734,"")</f>
        <v/>
      </c>
      <c r="F5734">
        <f>IF(B5734,MAX(MOD(SIN(Seed*0.1373+C5734*12.9898+D5734*78.233)*43758.5453,1),1E-9),"")</f>
        <v/>
      </c>
      <c r="G5734">
        <f>IF(B5734,MOD(SIN(Seed*0.5917+C5734*39.3468+D5734*11.135)*24634.6345,1),"")</f>
        <v/>
      </c>
      <c r="H5734">
        <f>IF(B5734,SQRT(-2*LN(F5734))*COS(2*PI()*G5734),"")</f>
        <v/>
      </c>
      <c r="I5734">
        <f>IF(B5734,IF(D5734=0,H5734,Rho*I5733+SQRT(1-Rho^2)*H5734),"")</f>
        <v/>
      </c>
      <c r="J5734">
        <f>IF(B5734,IF(Dist="Normal",DistA+DistB*I5734,DistA+(DistB-DistA)*NORMSDIST(I5734)),"")</f>
        <v/>
      </c>
      <c r="K5734">
        <f>IF(B5734,INDEX(MineScale,C5734),"")</f>
        <v/>
      </c>
      <c r="L5734">
        <f>IF(B5734,INDEX(Dow,1,WEEKDAY(E5734,2)),"")</f>
        <v/>
      </c>
      <c r="M5734">
        <f>IF(B5734,(1+Trend)^D5734,"")</f>
        <v/>
      </c>
      <c r="N5734">
        <f>IF(B5734,EXP(SUMPRODUCT(LN(1+(EvEff-1)*INDEX(Affected,0,C5734)*EXP(-((E5734-EvCenter)^2)/(2*EvSigma^2))))),"")</f>
        <v/>
      </c>
      <c r="O5734">
        <f>IF(B5734,ROUND(MAX(0,J5734*K5734*L5734*M5734*N5734),2),"")</f>
        <v/>
      </c>
    </row>
    <row r="5735">
      <c r="A5735" t="n">
        <v>5734</v>
      </c>
      <c r="B5735">
        <f>A5735&lt;=MineCount*Days</f>
        <v/>
      </c>
      <c r="C5735">
        <f>IF(B5735,INT((A5735-1)/Days)+1,"")</f>
        <v/>
      </c>
      <c r="D5735">
        <f>IF(B5735,MOD(A5735-1,Days),"")</f>
        <v/>
      </c>
      <c r="E5735" s="16">
        <f>IF(B5735,StartDate+D5735,"")</f>
        <v/>
      </c>
      <c r="F5735">
        <f>IF(B5735,MAX(MOD(SIN(Seed*0.1373+C5735*12.9898+D5735*78.233)*43758.5453,1),1E-9),"")</f>
        <v/>
      </c>
      <c r="G5735">
        <f>IF(B5735,MOD(SIN(Seed*0.5917+C5735*39.3468+D5735*11.135)*24634.6345,1),"")</f>
        <v/>
      </c>
      <c r="H5735">
        <f>IF(B5735,SQRT(-2*LN(F5735))*COS(2*PI()*G5735),"")</f>
        <v/>
      </c>
      <c r="I5735">
        <f>IF(B5735,IF(D5735=0,H5735,Rho*I5734+SQRT(1-Rho^2)*H5735),"")</f>
        <v/>
      </c>
      <c r="J5735">
        <f>IF(B5735,IF(Dist="Normal",DistA+DistB*I5735,DistA+(DistB-DistA)*NORMSDIST(I5735)),"")</f>
        <v/>
      </c>
      <c r="K5735">
        <f>IF(B5735,INDEX(MineScale,C5735),"")</f>
        <v/>
      </c>
      <c r="L5735">
        <f>IF(B5735,INDEX(Dow,1,WEEKDAY(E5735,2)),"")</f>
        <v/>
      </c>
      <c r="M5735">
        <f>IF(B5735,(1+Trend)^D5735,"")</f>
        <v/>
      </c>
      <c r="N5735">
        <f>IF(B5735,EXP(SUMPRODUCT(LN(1+(EvEff-1)*INDEX(Affected,0,C5735)*EXP(-((E5735-EvCenter)^2)/(2*EvSigma^2))))),"")</f>
        <v/>
      </c>
      <c r="O5735">
        <f>IF(B5735,ROUND(MAX(0,J5735*K5735*L5735*M5735*N5735),2),"")</f>
        <v/>
      </c>
    </row>
    <row r="5736">
      <c r="A5736" t="n">
        <v>5735</v>
      </c>
      <c r="B5736">
        <f>A5736&lt;=MineCount*Days</f>
        <v/>
      </c>
      <c r="C5736">
        <f>IF(B5736,INT((A5736-1)/Days)+1,"")</f>
        <v/>
      </c>
      <c r="D5736">
        <f>IF(B5736,MOD(A5736-1,Days),"")</f>
        <v/>
      </c>
      <c r="E5736" s="16">
        <f>IF(B5736,StartDate+D5736,"")</f>
        <v/>
      </c>
      <c r="F5736">
        <f>IF(B5736,MAX(MOD(SIN(Seed*0.1373+C5736*12.9898+D5736*78.233)*43758.5453,1),1E-9),"")</f>
        <v/>
      </c>
      <c r="G5736">
        <f>IF(B5736,MOD(SIN(Seed*0.5917+C5736*39.3468+D5736*11.135)*24634.6345,1),"")</f>
        <v/>
      </c>
      <c r="H5736">
        <f>IF(B5736,SQRT(-2*LN(F5736))*COS(2*PI()*G5736),"")</f>
        <v/>
      </c>
      <c r="I5736">
        <f>IF(B5736,IF(D5736=0,H5736,Rho*I5735+SQRT(1-Rho^2)*H5736),"")</f>
        <v/>
      </c>
      <c r="J5736">
        <f>IF(B5736,IF(Dist="Normal",DistA+DistB*I5736,DistA+(DistB-DistA)*NORMSDIST(I5736)),"")</f>
        <v/>
      </c>
      <c r="K5736">
        <f>IF(B5736,INDEX(MineScale,C5736),"")</f>
        <v/>
      </c>
      <c r="L5736">
        <f>IF(B5736,INDEX(Dow,1,WEEKDAY(E5736,2)),"")</f>
        <v/>
      </c>
      <c r="M5736">
        <f>IF(B5736,(1+Trend)^D5736,"")</f>
        <v/>
      </c>
      <c r="N5736">
        <f>IF(B5736,EXP(SUMPRODUCT(LN(1+(EvEff-1)*INDEX(Affected,0,C5736)*EXP(-((E5736-EvCenter)^2)/(2*EvSigma^2))))),"")</f>
        <v/>
      </c>
      <c r="O5736">
        <f>IF(B5736,ROUND(MAX(0,J5736*K5736*L5736*M5736*N5736),2),"")</f>
        <v/>
      </c>
    </row>
    <row r="5737">
      <c r="A5737" t="n">
        <v>5736</v>
      </c>
      <c r="B5737">
        <f>A5737&lt;=MineCount*Days</f>
        <v/>
      </c>
      <c r="C5737">
        <f>IF(B5737,INT((A5737-1)/Days)+1,"")</f>
        <v/>
      </c>
      <c r="D5737">
        <f>IF(B5737,MOD(A5737-1,Days),"")</f>
        <v/>
      </c>
      <c r="E5737" s="16">
        <f>IF(B5737,StartDate+D5737,"")</f>
        <v/>
      </c>
      <c r="F5737">
        <f>IF(B5737,MAX(MOD(SIN(Seed*0.1373+C5737*12.9898+D5737*78.233)*43758.5453,1),1E-9),"")</f>
        <v/>
      </c>
      <c r="G5737">
        <f>IF(B5737,MOD(SIN(Seed*0.5917+C5737*39.3468+D5737*11.135)*24634.6345,1),"")</f>
        <v/>
      </c>
      <c r="H5737">
        <f>IF(B5737,SQRT(-2*LN(F5737))*COS(2*PI()*G5737),"")</f>
        <v/>
      </c>
      <c r="I5737">
        <f>IF(B5737,IF(D5737=0,H5737,Rho*I5736+SQRT(1-Rho^2)*H5737),"")</f>
        <v/>
      </c>
      <c r="J5737">
        <f>IF(B5737,IF(Dist="Normal",DistA+DistB*I5737,DistA+(DistB-DistA)*NORMSDIST(I5737)),"")</f>
        <v/>
      </c>
      <c r="K5737">
        <f>IF(B5737,INDEX(MineScale,C5737),"")</f>
        <v/>
      </c>
      <c r="L5737">
        <f>IF(B5737,INDEX(Dow,1,WEEKDAY(E5737,2)),"")</f>
        <v/>
      </c>
      <c r="M5737">
        <f>IF(B5737,(1+Trend)^D5737,"")</f>
        <v/>
      </c>
      <c r="N5737">
        <f>IF(B5737,EXP(SUMPRODUCT(LN(1+(EvEff-1)*INDEX(Affected,0,C5737)*EXP(-((E5737-EvCenter)^2)/(2*EvSigma^2))))),"")</f>
        <v/>
      </c>
      <c r="O5737">
        <f>IF(B5737,ROUND(MAX(0,J5737*K5737*L5737*M5737*N5737),2),"")</f>
        <v/>
      </c>
    </row>
    <row r="5738">
      <c r="A5738" t="n">
        <v>5737</v>
      </c>
      <c r="B5738">
        <f>A5738&lt;=MineCount*Days</f>
        <v/>
      </c>
      <c r="C5738">
        <f>IF(B5738,INT((A5738-1)/Days)+1,"")</f>
        <v/>
      </c>
      <c r="D5738">
        <f>IF(B5738,MOD(A5738-1,Days),"")</f>
        <v/>
      </c>
      <c r="E5738" s="16">
        <f>IF(B5738,StartDate+D5738,"")</f>
        <v/>
      </c>
      <c r="F5738">
        <f>IF(B5738,MAX(MOD(SIN(Seed*0.1373+C5738*12.9898+D5738*78.233)*43758.5453,1),1E-9),"")</f>
        <v/>
      </c>
      <c r="G5738">
        <f>IF(B5738,MOD(SIN(Seed*0.5917+C5738*39.3468+D5738*11.135)*24634.6345,1),"")</f>
        <v/>
      </c>
      <c r="H5738">
        <f>IF(B5738,SQRT(-2*LN(F5738))*COS(2*PI()*G5738),"")</f>
        <v/>
      </c>
      <c r="I5738">
        <f>IF(B5738,IF(D5738=0,H5738,Rho*I5737+SQRT(1-Rho^2)*H5738),"")</f>
        <v/>
      </c>
      <c r="J5738">
        <f>IF(B5738,IF(Dist="Normal",DistA+DistB*I5738,DistA+(DistB-DistA)*NORMSDIST(I5738)),"")</f>
        <v/>
      </c>
      <c r="K5738">
        <f>IF(B5738,INDEX(MineScale,C5738),"")</f>
        <v/>
      </c>
      <c r="L5738">
        <f>IF(B5738,INDEX(Dow,1,WEEKDAY(E5738,2)),"")</f>
        <v/>
      </c>
      <c r="M5738">
        <f>IF(B5738,(1+Trend)^D5738,"")</f>
        <v/>
      </c>
      <c r="N5738">
        <f>IF(B5738,EXP(SUMPRODUCT(LN(1+(EvEff-1)*INDEX(Affected,0,C5738)*EXP(-((E5738-EvCenter)^2)/(2*EvSigma^2))))),"")</f>
        <v/>
      </c>
      <c r="O5738">
        <f>IF(B5738,ROUND(MAX(0,J5738*K5738*L5738*M5738*N5738),2),"")</f>
        <v/>
      </c>
    </row>
    <row r="5739">
      <c r="A5739" t="n">
        <v>5738</v>
      </c>
      <c r="B5739">
        <f>A5739&lt;=MineCount*Days</f>
        <v/>
      </c>
      <c r="C5739">
        <f>IF(B5739,INT((A5739-1)/Days)+1,"")</f>
        <v/>
      </c>
      <c r="D5739">
        <f>IF(B5739,MOD(A5739-1,Days),"")</f>
        <v/>
      </c>
      <c r="E5739" s="16">
        <f>IF(B5739,StartDate+D5739,"")</f>
        <v/>
      </c>
      <c r="F5739">
        <f>IF(B5739,MAX(MOD(SIN(Seed*0.1373+C5739*12.9898+D5739*78.233)*43758.5453,1),1E-9),"")</f>
        <v/>
      </c>
      <c r="G5739">
        <f>IF(B5739,MOD(SIN(Seed*0.5917+C5739*39.3468+D5739*11.135)*24634.6345,1),"")</f>
        <v/>
      </c>
      <c r="H5739">
        <f>IF(B5739,SQRT(-2*LN(F5739))*COS(2*PI()*G5739),"")</f>
        <v/>
      </c>
      <c r="I5739">
        <f>IF(B5739,IF(D5739=0,H5739,Rho*I5738+SQRT(1-Rho^2)*H5739),"")</f>
        <v/>
      </c>
      <c r="J5739">
        <f>IF(B5739,IF(Dist="Normal",DistA+DistB*I5739,DistA+(DistB-DistA)*NORMSDIST(I5739)),"")</f>
        <v/>
      </c>
      <c r="K5739">
        <f>IF(B5739,INDEX(MineScale,C5739),"")</f>
        <v/>
      </c>
      <c r="L5739">
        <f>IF(B5739,INDEX(Dow,1,WEEKDAY(E5739,2)),"")</f>
        <v/>
      </c>
      <c r="M5739">
        <f>IF(B5739,(1+Trend)^D5739,"")</f>
        <v/>
      </c>
      <c r="N5739">
        <f>IF(B5739,EXP(SUMPRODUCT(LN(1+(EvEff-1)*INDEX(Affected,0,C5739)*EXP(-((E5739-EvCenter)^2)/(2*EvSigma^2))))),"")</f>
        <v/>
      </c>
      <c r="O5739">
        <f>IF(B5739,ROUND(MAX(0,J5739*K5739*L5739*M5739*N5739),2),"")</f>
        <v/>
      </c>
    </row>
    <row r="5740">
      <c r="A5740" t="n">
        <v>5739</v>
      </c>
      <c r="B5740">
        <f>A5740&lt;=MineCount*Days</f>
        <v/>
      </c>
      <c r="C5740">
        <f>IF(B5740,INT((A5740-1)/Days)+1,"")</f>
        <v/>
      </c>
      <c r="D5740">
        <f>IF(B5740,MOD(A5740-1,Days),"")</f>
        <v/>
      </c>
      <c r="E5740" s="16">
        <f>IF(B5740,StartDate+D5740,"")</f>
        <v/>
      </c>
      <c r="F5740">
        <f>IF(B5740,MAX(MOD(SIN(Seed*0.1373+C5740*12.9898+D5740*78.233)*43758.5453,1),1E-9),"")</f>
        <v/>
      </c>
      <c r="G5740">
        <f>IF(B5740,MOD(SIN(Seed*0.5917+C5740*39.3468+D5740*11.135)*24634.6345,1),"")</f>
        <v/>
      </c>
      <c r="H5740">
        <f>IF(B5740,SQRT(-2*LN(F5740))*COS(2*PI()*G5740),"")</f>
        <v/>
      </c>
      <c r="I5740">
        <f>IF(B5740,IF(D5740=0,H5740,Rho*I5739+SQRT(1-Rho^2)*H5740),"")</f>
        <v/>
      </c>
      <c r="J5740">
        <f>IF(B5740,IF(Dist="Normal",DistA+DistB*I5740,DistA+(DistB-DistA)*NORMSDIST(I5740)),"")</f>
        <v/>
      </c>
      <c r="K5740">
        <f>IF(B5740,INDEX(MineScale,C5740),"")</f>
        <v/>
      </c>
      <c r="L5740">
        <f>IF(B5740,INDEX(Dow,1,WEEKDAY(E5740,2)),"")</f>
        <v/>
      </c>
      <c r="M5740">
        <f>IF(B5740,(1+Trend)^D5740,"")</f>
        <v/>
      </c>
      <c r="N5740">
        <f>IF(B5740,EXP(SUMPRODUCT(LN(1+(EvEff-1)*INDEX(Affected,0,C5740)*EXP(-((E5740-EvCenter)^2)/(2*EvSigma^2))))),"")</f>
        <v/>
      </c>
      <c r="O5740">
        <f>IF(B5740,ROUND(MAX(0,J5740*K5740*L5740*M5740*N5740),2),"")</f>
        <v/>
      </c>
    </row>
    <row r="5741">
      <c r="A5741" t="n">
        <v>5740</v>
      </c>
      <c r="B5741">
        <f>A5741&lt;=MineCount*Days</f>
        <v/>
      </c>
      <c r="C5741">
        <f>IF(B5741,INT((A5741-1)/Days)+1,"")</f>
        <v/>
      </c>
      <c r="D5741">
        <f>IF(B5741,MOD(A5741-1,Days),"")</f>
        <v/>
      </c>
      <c r="E5741" s="16">
        <f>IF(B5741,StartDate+D5741,"")</f>
        <v/>
      </c>
      <c r="F5741">
        <f>IF(B5741,MAX(MOD(SIN(Seed*0.1373+C5741*12.9898+D5741*78.233)*43758.5453,1),1E-9),"")</f>
        <v/>
      </c>
      <c r="G5741">
        <f>IF(B5741,MOD(SIN(Seed*0.5917+C5741*39.3468+D5741*11.135)*24634.6345,1),"")</f>
        <v/>
      </c>
      <c r="H5741">
        <f>IF(B5741,SQRT(-2*LN(F5741))*COS(2*PI()*G5741),"")</f>
        <v/>
      </c>
      <c r="I5741">
        <f>IF(B5741,IF(D5741=0,H5741,Rho*I5740+SQRT(1-Rho^2)*H5741),"")</f>
        <v/>
      </c>
      <c r="J5741">
        <f>IF(B5741,IF(Dist="Normal",DistA+DistB*I5741,DistA+(DistB-DistA)*NORMSDIST(I5741)),"")</f>
        <v/>
      </c>
      <c r="K5741">
        <f>IF(B5741,INDEX(MineScale,C5741),"")</f>
        <v/>
      </c>
      <c r="L5741">
        <f>IF(B5741,INDEX(Dow,1,WEEKDAY(E5741,2)),"")</f>
        <v/>
      </c>
      <c r="M5741">
        <f>IF(B5741,(1+Trend)^D5741,"")</f>
        <v/>
      </c>
      <c r="N5741">
        <f>IF(B5741,EXP(SUMPRODUCT(LN(1+(EvEff-1)*INDEX(Affected,0,C5741)*EXP(-((E5741-EvCenter)^2)/(2*EvSigma^2))))),"")</f>
        <v/>
      </c>
      <c r="O5741">
        <f>IF(B5741,ROUND(MAX(0,J5741*K5741*L5741*M5741*N5741),2),"")</f>
        <v/>
      </c>
    </row>
    <row r="5742">
      <c r="A5742" t="n">
        <v>5741</v>
      </c>
      <c r="B5742">
        <f>A5742&lt;=MineCount*Days</f>
        <v/>
      </c>
      <c r="C5742">
        <f>IF(B5742,INT((A5742-1)/Days)+1,"")</f>
        <v/>
      </c>
      <c r="D5742">
        <f>IF(B5742,MOD(A5742-1,Days),"")</f>
        <v/>
      </c>
      <c r="E5742" s="16">
        <f>IF(B5742,StartDate+D5742,"")</f>
        <v/>
      </c>
      <c r="F5742">
        <f>IF(B5742,MAX(MOD(SIN(Seed*0.1373+C5742*12.9898+D5742*78.233)*43758.5453,1),1E-9),"")</f>
        <v/>
      </c>
      <c r="G5742">
        <f>IF(B5742,MOD(SIN(Seed*0.5917+C5742*39.3468+D5742*11.135)*24634.6345,1),"")</f>
        <v/>
      </c>
      <c r="H5742">
        <f>IF(B5742,SQRT(-2*LN(F5742))*COS(2*PI()*G5742),"")</f>
        <v/>
      </c>
      <c r="I5742">
        <f>IF(B5742,IF(D5742=0,H5742,Rho*I5741+SQRT(1-Rho^2)*H5742),"")</f>
        <v/>
      </c>
      <c r="J5742">
        <f>IF(B5742,IF(Dist="Normal",DistA+DistB*I5742,DistA+(DistB-DistA)*NORMSDIST(I5742)),"")</f>
        <v/>
      </c>
      <c r="K5742">
        <f>IF(B5742,INDEX(MineScale,C5742),"")</f>
        <v/>
      </c>
      <c r="L5742">
        <f>IF(B5742,INDEX(Dow,1,WEEKDAY(E5742,2)),"")</f>
        <v/>
      </c>
      <c r="M5742">
        <f>IF(B5742,(1+Trend)^D5742,"")</f>
        <v/>
      </c>
      <c r="N5742">
        <f>IF(B5742,EXP(SUMPRODUCT(LN(1+(EvEff-1)*INDEX(Affected,0,C5742)*EXP(-((E5742-EvCenter)^2)/(2*EvSigma^2))))),"")</f>
        <v/>
      </c>
      <c r="O5742">
        <f>IF(B5742,ROUND(MAX(0,J5742*K5742*L5742*M5742*N5742),2),"")</f>
        <v/>
      </c>
    </row>
    <row r="5743">
      <c r="A5743" t="n">
        <v>5742</v>
      </c>
      <c r="B5743">
        <f>A5743&lt;=MineCount*Days</f>
        <v/>
      </c>
      <c r="C5743">
        <f>IF(B5743,INT((A5743-1)/Days)+1,"")</f>
        <v/>
      </c>
      <c r="D5743">
        <f>IF(B5743,MOD(A5743-1,Days),"")</f>
        <v/>
      </c>
      <c r="E5743" s="16">
        <f>IF(B5743,StartDate+D5743,"")</f>
        <v/>
      </c>
      <c r="F5743">
        <f>IF(B5743,MAX(MOD(SIN(Seed*0.1373+C5743*12.9898+D5743*78.233)*43758.5453,1),1E-9),"")</f>
        <v/>
      </c>
      <c r="G5743">
        <f>IF(B5743,MOD(SIN(Seed*0.5917+C5743*39.3468+D5743*11.135)*24634.6345,1),"")</f>
        <v/>
      </c>
      <c r="H5743">
        <f>IF(B5743,SQRT(-2*LN(F5743))*COS(2*PI()*G5743),"")</f>
        <v/>
      </c>
      <c r="I5743">
        <f>IF(B5743,IF(D5743=0,H5743,Rho*I5742+SQRT(1-Rho^2)*H5743),"")</f>
        <v/>
      </c>
      <c r="J5743">
        <f>IF(B5743,IF(Dist="Normal",DistA+DistB*I5743,DistA+(DistB-DistA)*NORMSDIST(I5743)),"")</f>
        <v/>
      </c>
      <c r="K5743">
        <f>IF(B5743,INDEX(MineScale,C5743),"")</f>
        <v/>
      </c>
      <c r="L5743">
        <f>IF(B5743,INDEX(Dow,1,WEEKDAY(E5743,2)),"")</f>
        <v/>
      </c>
      <c r="M5743">
        <f>IF(B5743,(1+Trend)^D5743,"")</f>
        <v/>
      </c>
      <c r="N5743">
        <f>IF(B5743,EXP(SUMPRODUCT(LN(1+(EvEff-1)*INDEX(Affected,0,C5743)*EXP(-((E5743-EvCenter)^2)/(2*EvSigma^2))))),"")</f>
        <v/>
      </c>
      <c r="O5743">
        <f>IF(B5743,ROUND(MAX(0,J5743*K5743*L5743*M5743*N5743),2),"")</f>
        <v/>
      </c>
    </row>
    <row r="5744">
      <c r="A5744" t="n">
        <v>5743</v>
      </c>
      <c r="B5744">
        <f>A5744&lt;=MineCount*Days</f>
        <v/>
      </c>
      <c r="C5744">
        <f>IF(B5744,INT((A5744-1)/Days)+1,"")</f>
        <v/>
      </c>
      <c r="D5744">
        <f>IF(B5744,MOD(A5744-1,Days),"")</f>
        <v/>
      </c>
      <c r="E5744" s="16">
        <f>IF(B5744,StartDate+D5744,"")</f>
        <v/>
      </c>
      <c r="F5744">
        <f>IF(B5744,MAX(MOD(SIN(Seed*0.1373+C5744*12.9898+D5744*78.233)*43758.5453,1),1E-9),"")</f>
        <v/>
      </c>
      <c r="G5744">
        <f>IF(B5744,MOD(SIN(Seed*0.5917+C5744*39.3468+D5744*11.135)*24634.6345,1),"")</f>
        <v/>
      </c>
      <c r="H5744">
        <f>IF(B5744,SQRT(-2*LN(F5744))*COS(2*PI()*G5744),"")</f>
        <v/>
      </c>
      <c r="I5744">
        <f>IF(B5744,IF(D5744=0,H5744,Rho*I5743+SQRT(1-Rho^2)*H5744),"")</f>
        <v/>
      </c>
      <c r="J5744">
        <f>IF(B5744,IF(Dist="Normal",DistA+DistB*I5744,DistA+(DistB-DistA)*NORMSDIST(I5744)),"")</f>
        <v/>
      </c>
      <c r="K5744">
        <f>IF(B5744,INDEX(MineScale,C5744),"")</f>
        <v/>
      </c>
      <c r="L5744">
        <f>IF(B5744,INDEX(Dow,1,WEEKDAY(E5744,2)),"")</f>
        <v/>
      </c>
      <c r="M5744">
        <f>IF(B5744,(1+Trend)^D5744,"")</f>
        <v/>
      </c>
      <c r="N5744">
        <f>IF(B5744,EXP(SUMPRODUCT(LN(1+(EvEff-1)*INDEX(Affected,0,C5744)*EXP(-((E5744-EvCenter)^2)/(2*EvSigma^2))))),"")</f>
        <v/>
      </c>
      <c r="O5744">
        <f>IF(B5744,ROUND(MAX(0,J5744*K5744*L5744*M5744*N5744),2),"")</f>
        <v/>
      </c>
    </row>
    <row r="5745">
      <c r="A5745" t="n">
        <v>5744</v>
      </c>
      <c r="B5745">
        <f>A5745&lt;=MineCount*Days</f>
        <v/>
      </c>
      <c r="C5745">
        <f>IF(B5745,INT((A5745-1)/Days)+1,"")</f>
        <v/>
      </c>
      <c r="D5745">
        <f>IF(B5745,MOD(A5745-1,Days),"")</f>
        <v/>
      </c>
      <c r="E5745" s="16">
        <f>IF(B5745,StartDate+D5745,"")</f>
        <v/>
      </c>
      <c r="F5745">
        <f>IF(B5745,MAX(MOD(SIN(Seed*0.1373+C5745*12.9898+D5745*78.233)*43758.5453,1),1E-9),"")</f>
        <v/>
      </c>
      <c r="G5745">
        <f>IF(B5745,MOD(SIN(Seed*0.5917+C5745*39.3468+D5745*11.135)*24634.6345,1),"")</f>
        <v/>
      </c>
      <c r="H5745">
        <f>IF(B5745,SQRT(-2*LN(F5745))*COS(2*PI()*G5745),"")</f>
        <v/>
      </c>
      <c r="I5745">
        <f>IF(B5745,IF(D5745=0,H5745,Rho*I5744+SQRT(1-Rho^2)*H5745),"")</f>
        <v/>
      </c>
      <c r="J5745">
        <f>IF(B5745,IF(Dist="Normal",DistA+DistB*I5745,DistA+(DistB-DistA)*NORMSDIST(I5745)),"")</f>
        <v/>
      </c>
      <c r="K5745">
        <f>IF(B5745,INDEX(MineScale,C5745),"")</f>
        <v/>
      </c>
      <c r="L5745">
        <f>IF(B5745,INDEX(Dow,1,WEEKDAY(E5745,2)),"")</f>
        <v/>
      </c>
      <c r="M5745">
        <f>IF(B5745,(1+Trend)^D5745,"")</f>
        <v/>
      </c>
      <c r="N5745">
        <f>IF(B5745,EXP(SUMPRODUCT(LN(1+(EvEff-1)*INDEX(Affected,0,C5745)*EXP(-((E5745-EvCenter)^2)/(2*EvSigma^2))))),"")</f>
        <v/>
      </c>
      <c r="O5745">
        <f>IF(B5745,ROUND(MAX(0,J5745*K5745*L5745*M5745*N5745),2),"")</f>
        <v/>
      </c>
    </row>
    <row r="5746">
      <c r="A5746" t="n">
        <v>5745</v>
      </c>
      <c r="B5746">
        <f>A5746&lt;=MineCount*Days</f>
        <v/>
      </c>
      <c r="C5746">
        <f>IF(B5746,INT((A5746-1)/Days)+1,"")</f>
        <v/>
      </c>
      <c r="D5746">
        <f>IF(B5746,MOD(A5746-1,Days),"")</f>
        <v/>
      </c>
      <c r="E5746" s="16">
        <f>IF(B5746,StartDate+D5746,"")</f>
        <v/>
      </c>
      <c r="F5746">
        <f>IF(B5746,MAX(MOD(SIN(Seed*0.1373+C5746*12.9898+D5746*78.233)*43758.5453,1),1E-9),"")</f>
        <v/>
      </c>
      <c r="G5746">
        <f>IF(B5746,MOD(SIN(Seed*0.5917+C5746*39.3468+D5746*11.135)*24634.6345,1),"")</f>
        <v/>
      </c>
      <c r="H5746">
        <f>IF(B5746,SQRT(-2*LN(F5746))*COS(2*PI()*G5746),"")</f>
        <v/>
      </c>
      <c r="I5746">
        <f>IF(B5746,IF(D5746=0,H5746,Rho*I5745+SQRT(1-Rho^2)*H5746),"")</f>
        <v/>
      </c>
      <c r="J5746">
        <f>IF(B5746,IF(Dist="Normal",DistA+DistB*I5746,DistA+(DistB-DistA)*NORMSDIST(I5746)),"")</f>
        <v/>
      </c>
      <c r="K5746">
        <f>IF(B5746,INDEX(MineScale,C5746),"")</f>
        <v/>
      </c>
      <c r="L5746">
        <f>IF(B5746,INDEX(Dow,1,WEEKDAY(E5746,2)),"")</f>
        <v/>
      </c>
      <c r="M5746">
        <f>IF(B5746,(1+Trend)^D5746,"")</f>
        <v/>
      </c>
      <c r="N5746">
        <f>IF(B5746,EXP(SUMPRODUCT(LN(1+(EvEff-1)*INDEX(Affected,0,C5746)*EXP(-((E5746-EvCenter)^2)/(2*EvSigma^2))))),"")</f>
        <v/>
      </c>
      <c r="O5746">
        <f>IF(B5746,ROUND(MAX(0,J5746*K5746*L5746*M5746*N5746),2),"")</f>
        <v/>
      </c>
    </row>
    <row r="5747">
      <c r="A5747" t="n">
        <v>5746</v>
      </c>
      <c r="B5747">
        <f>A5747&lt;=MineCount*Days</f>
        <v/>
      </c>
      <c r="C5747">
        <f>IF(B5747,INT((A5747-1)/Days)+1,"")</f>
        <v/>
      </c>
      <c r="D5747">
        <f>IF(B5747,MOD(A5747-1,Days),"")</f>
        <v/>
      </c>
      <c r="E5747" s="16">
        <f>IF(B5747,StartDate+D5747,"")</f>
        <v/>
      </c>
      <c r="F5747">
        <f>IF(B5747,MAX(MOD(SIN(Seed*0.1373+C5747*12.9898+D5747*78.233)*43758.5453,1),1E-9),"")</f>
        <v/>
      </c>
      <c r="G5747">
        <f>IF(B5747,MOD(SIN(Seed*0.5917+C5747*39.3468+D5747*11.135)*24634.6345,1),"")</f>
        <v/>
      </c>
      <c r="H5747">
        <f>IF(B5747,SQRT(-2*LN(F5747))*COS(2*PI()*G5747),"")</f>
        <v/>
      </c>
      <c r="I5747">
        <f>IF(B5747,IF(D5747=0,H5747,Rho*I5746+SQRT(1-Rho^2)*H5747),"")</f>
        <v/>
      </c>
      <c r="J5747">
        <f>IF(B5747,IF(Dist="Normal",DistA+DistB*I5747,DistA+(DistB-DistA)*NORMSDIST(I5747)),"")</f>
        <v/>
      </c>
      <c r="K5747">
        <f>IF(B5747,INDEX(MineScale,C5747),"")</f>
        <v/>
      </c>
      <c r="L5747">
        <f>IF(B5747,INDEX(Dow,1,WEEKDAY(E5747,2)),"")</f>
        <v/>
      </c>
      <c r="M5747">
        <f>IF(B5747,(1+Trend)^D5747,"")</f>
        <v/>
      </c>
      <c r="N5747">
        <f>IF(B5747,EXP(SUMPRODUCT(LN(1+(EvEff-1)*INDEX(Affected,0,C5747)*EXP(-((E5747-EvCenter)^2)/(2*EvSigma^2))))),"")</f>
        <v/>
      </c>
      <c r="O5747">
        <f>IF(B5747,ROUND(MAX(0,J5747*K5747*L5747*M5747*N5747),2),"")</f>
        <v/>
      </c>
    </row>
    <row r="5748">
      <c r="A5748" t="n">
        <v>5747</v>
      </c>
      <c r="B5748">
        <f>A5748&lt;=MineCount*Days</f>
        <v/>
      </c>
      <c r="C5748">
        <f>IF(B5748,INT((A5748-1)/Days)+1,"")</f>
        <v/>
      </c>
      <c r="D5748">
        <f>IF(B5748,MOD(A5748-1,Days),"")</f>
        <v/>
      </c>
      <c r="E5748" s="16">
        <f>IF(B5748,StartDate+D5748,"")</f>
        <v/>
      </c>
      <c r="F5748">
        <f>IF(B5748,MAX(MOD(SIN(Seed*0.1373+C5748*12.9898+D5748*78.233)*43758.5453,1),1E-9),"")</f>
        <v/>
      </c>
      <c r="G5748">
        <f>IF(B5748,MOD(SIN(Seed*0.5917+C5748*39.3468+D5748*11.135)*24634.6345,1),"")</f>
        <v/>
      </c>
      <c r="H5748">
        <f>IF(B5748,SQRT(-2*LN(F5748))*COS(2*PI()*G5748),"")</f>
        <v/>
      </c>
      <c r="I5748">
        <f>IF(B5748,IF(D5748=0,H5748,Rho*I5747+SQRT(1-Rho^2)*H5748),"")</f>
        <v/>
      </c>
      <c r="J5748">
        <f>IF(B5748,IF(Dist="Normal",DistA+DistB*I5748,DistA+(DistB-DistA)*NORMSDIST(I5748)),"")</f>
        <v/>
      </c>
      <c r="K5748">
        <f>IF(B5748,INDEX(MineScale,C5748),"")</f>
        <v/>
      </c>
      <c r="L5748">
        <f>IF(B5748,INDEX(Dow,1,WEEKDAY(E5748,2)),"")</f>
        <v/>
      </c>
      <c r="M5748">
        <f>IF(B5748,(1+Trend)^D5748,"")</f>
        <v/>
      </c>
      <c r="N5748">
        <f>IF(B5748,EXP(SUMPRODUCT(LN(1+(EvEff-1)*INDEX(Affected,0,C5748)*EXP(-((E5748-EvCenter)^2)/(2*EvSigma^2))))),"")</f>
        <v/>
      </c>
      <c r="O5748">
        <f>IF(B5748,ROUND(MAX(0,J5748*K5748*L5748*M5748*N5748),2),"")</f>
        <v/>
      </c>
    </row>
    <row r="5749">
      <c r="A5749" t="n">
        <v>5748</v>
      </c>
      <c r="B5749">
        <f>A5749&lt;=MineCount*Days</f>
        <v/>
      </c>
      <c r="C5749">
        <f>IF(B5749,INT((A5749-1)/Days)+1,"")</f>
        <v/>
      </c>
      <c r="D5749">
        <f>IF(B5749,MOD(A5749-1,Days),"")</f>
        <v/>
      </c>
      <c r="E5749" s="16">
        <f>IF(B5749,StartDate+D5749,"")</f>
        <v/>
      </c>
      <c r="F5749">
        <f>IF(B5749,MAX(MOD(SIN(Seed*0.1373+C5749*12.9898+D5749*78.233)*43758.5453,1),1E-9),"")</f>
        <v/>
      </c>
      <c r="G5749">
        <f>IF(B5749,MOD(SIN(Seed*0.5917+C5749*39.3468+D5749*11.135)*24634.6345,1),"")</f>
        <v/>
      </c>
      <c r="H5749">
        <f>IF(B5749,SQRT(-2*LN(F5749))*COS(2*PI()*G5749),"")</f>
        <v/>
      </c>
      <c r="I5749">
        <f>IF(B5749,IF(D5749=0,H5749,Rho*I5748+SQRT(1-Rho^2)*H5749),"")</f>
        <v/>
      </c>
      <c r="J5749">
        <f>IF(B5749,IF(Dist="Normal",DistA+DistB*I5749,DistA+(DistB-DistA)*NORMSDIST(I5749)),"")</f>
        <v/>
      </c>
      <c r="K5749">
        <f>IF(B5749,INDEX(MineScale,C5749),"")</f>
        <v/>
      </c>
      <c r="L5749">
        <f>IF(B5749,INDEX(Dow,1,WEEKDAY(E5749,2)),"")</f>
        <v/>
      </c>
      <c r="M5749">
        <f>IF(B5749,(1+Trend)^D5749,"")</f>
        <v/>
      </c>
      <c r="N5749">
        <f>IF(B5749,EXP(SUMPRODUCT(LN(1+(EvEff-1)*INDEX(Affected,0,C5749)*EXP(-((E5749-EvCenter)^2)/(2*EvSigma^2))))),"")</f>
        <v/>
      </c>
      <c r="O5749">
        <f>IF(B5749,ROUND(MAX(0,J5749*K5749*L5749*M5749*N5749),2),"")</f>
        <v/>
      </c>
    </row>
    <row r="5750">
      <c r="A5750" t="n">
        <v>5749</v>
      </c>
      <c r="B5750">
        <f>A5750&lt;=MineCount*Days</f>
        <v/>
      </c>
      <c r="C5750">
        <f>IF(B5750,INT((A5750-1)/Days)+1,"")</f>
        <v/>
      </c>
      <c r="D5750">
        <f>IF(B5750,MOD(A5750-1,Days),"")</f>
        <v/>
      </c>
      <c r="E5750" s="16">
        <f>IF(B5750,StartDate+D5750,"")</f>
        <v/>
      </c>
      <c r="F5750">
        <f>IF(B5750,MAX(MOD(SIN(Seed*0.1373+C5750*12.9898+D5750*78.233)*43758.5453,1),1E-9),"")</f>
        <v/>
      </c>
      <c r="G5750">
        <f>IF(B5750,MOD(SIN(Seed*0.5917+C5750*39.3468+D5750*11.135)*24634.6345,1),"")</f>
        <v/>
      </c>
      <c r="H5750">
        <f>IF(B5750,SQRT(-2*LN(F5750))*COS(2*PI()*G5750),"")</f>
        <v/>
      </c>
      <c r="I5750">
        <f>IF(B5750,IF(D5750=0,H5750,Rho*I5749+SQRT(1-Rho^2)*H5750),"")</f>
        <v/>
      </c>
      <c r="J5750">
        <f>IF(B5750,IF(Dist="Normal",DistA+DistB*I5750,DistA+(DistB-DistA)*NORMSDIST(I5750)),"")</f>
        <v/>
      </c>
      <c r="K5750">
        <f>IF(B5750,INDEX(MineScale,C5750),"")</f>
        <v/>
      </c>
      <c r="L5750">
        <f>IF(B5750,INDEX(Dow,1,WEEKDAY(E5750,2)),"")</f>
        <v/>
      </c>
      <c r="M5750">
        <f>IF(B5750,(1+Trend)^D5750,"")</f>
        <v/>
      </c>
      <c r="N5750">
        <f>IF(B5750,EXP(SUMPRODUCT(LN(1+(EvEff-1)*INDEX(Affected,0,C5750)*EXP(-((E5750-EvCenter)^2)/(2*EvSigma^2))))),"")</f>
        <v/>
      </c>
      <c r="O5750">
        <f>IF(B5750,ROUND(MAX(0,J5750*K5750*L5750*M5750*N5750),2),"")</f>
        <v/>
      </c>
    </row>
    <row r="5751">
      <c r="A5751" t="n">
        <v>5750</v>
      </c>
      <c r="B5751">
        <f>A5751&lt;=MineCount*Days</f>
        <v/>
      </c>
      <c r="C5751">
        <f>IF(B5751,INT((A5751-1)/Days)+1,"")</f>
        <v/>
      </c>
      <c r="D5751">
        <f>IF(B5751,MOD(A5751-1,Days),"")</f>
        <v/>
      </c>
      <c r="E5751" s="16">
        <f>IF(B5751,StartDate+D5751,"")</f>
        <v/>
      </c>
      <c r="F5751">
        <f>IF(B5751,MAX(MOD(SIN(Seed*0.1373+C5751*12.9898+D5751*78.233)*43758.5453,1),1E-9),"")</f>
        <v/>
      </c>
      <c r="G5751">
        <f>IF(B5751,MOD(SIN(Seed*0.5917+C5751*39.3468+D5751*11.135)*24634.6345,1),"")</f>
        <v/>
      </c>
      <c r="H5751">
        <f>IF(B5751,SQRT(-2*LN(F5751))*COS(2*PI()*G5751),"")</f>
        <v/>
      </c>
      <c r="I5751">
        <f>IF(B5751,IF(D5751=0,H5751,Rho*I5750+SQRT(1-Rho^2)*H5751),"")</f>
        <v/>
      </c>
      <c r="J5751">
        <f>IF(B5751,IF(Dist="Normal",DistA+DistB*I5751,DistA+(DistB-DistA)*NORMSDIST(I5751)),"")</f>
        <v/>
      </c>
      <c r="K5751">
        <f>IF(B5751,INDEX(MineScale,C5751),"")</f>
        <v/>
      </c>
      <c r="L5751">
        <f>IF(B5751,INDEX(Dow,1,WEEKDAY(E5751,2)),"")</f>
        <v/>
      </c>
      <c r="M5751">
        <f>IF(B5751,(1+Trend)^D5751,"")</f>
        <v/>
      </c>
      <c r="N5751">
        <f>IF(B5751,EXP(SUMPRODUCT(LN(1+(EvEff-1)*INDEX(Affected,0,C5751)*EXP(-((E5751-EvCenter)^2)/(2*EvSigma^2))))),"")</f>
        <v/>
      </c>
      <c r="O5751">
        <f>IF(B5751,ROUND(MAX(0,J5751*K5751*L5751*M5751*N5751),2),"")</f>
        <v/>
      </c>
    </row>
    <row r="5752">
      <c r="A5752" t="n">
        <v>5751</v>
      </c>
      <c r="B5752">
        <f>A5752&lt;=MineCount*Days</f>
        <v/>
      </c>
      <c r="C5752">
        <f>IF(B5752,INT((A5752-1)/Days)+1,"")</f>
        <v/>
      </c>
      <c r="D5752">
        <f>IF(B5752,MOD(A5752-1,Days),"")</f>
        <v/>
      </c>
      <c r="E5752" s="16">
        <f>IF(B5752,StartDate+D5752,"")</f>
        <v/>
      </c>
      <c r="F5752">
        <f>IF(B5752,MAX(MOD(SIN(Seed*0.1373+C5752*12.9898+D5752*78.233)*43758.5453,1),1E-9),"")</f>
        <v/>
      </c>
      <c r="G5752">
        <f>IF(B5752,MOD(SIN(Seed*0.5917+C5752*39.3468+D5752*11.135)*24634.6345,1),"")</f>
        <v/>
      </c>
      <c r="H5752">
        <f>IF(B5752,SQRT(-2*LN(F5752))*COS(2*PI()*G5752),"")</f>
        <v/>
      </c>
      <c r="I5752">
        <f>IF(B5752,IF(D5752=0,H5752,Rho*I5751+SQRT(1-Rho^2)*H5752),"")</f>
        <v/>
      </c>
      <c r="J5752">
        <f>IF(B5752,IF(Dist="Normal",DistA+DistB*I5752,DistA+(DistB-DistA)*NORMSDIST(I5752)),"")</f>
        <v/>
      </c>
      <c r="K5752">
        <f>IF(B5752,INDEX(MineScale,C5752),"")</f>
        <v/>
      </c>
      <c r="L5752">
        <f>IF(B5752,INDEX(Dow,1,WEEKDAY(E5752,2)),"")</f>
        <v/>
      </c>
      <c r="M5752">
        <f>IF(B5752,(1+Trend)^D5752,"")</f>
        <v/>
      </c>
      <c r="N5752">
        <f>IF(B5752,EXP(SUMPRODUCT(LN(1+(EvEff-1)*INDEX(Affected,0,C5752)*EXP(-((E5752-EvCenter)^2)/(2*EvSigma^2))))),"")</f>
        <v/>
      </c>
      <c r="O5752">
        <f>IF(B5752,ROUND(MAX(0,J5752*K5752*L5752*M5752*N5752),2),"")</f>
        <v/>
      </c>
    </row>
    <row r="5753">
      <c r="A5753" t="n">
        <v>5752</v>
      </c>
      <c r="B5753">
        <f>A5753&lt;=MineCount*Days</f>
        <v/>
      </c>
      <c r="C5753">
        <f>IF(B5753,INT((A5753-1)/Days)+1,"")</f>
        <v/>
      </c>
      <c r="D5753">
        <f>IF(B5753,MOD(A5753-1,Days),"")</f>
        <v/>
      </c>
      <c r="E5753" s="16">
        <f>IF(B5753,StartDate+D5753,"")</f>
        <v/>
      </c>
      <c r="F5753">
        <f>IF(B5753,MAX(MOD(SIN(Seed*0.1373+C5753*12.9898+D5753*78.233)*43758.5453,1),1E-9),"")</f>
        <v/>
      </c>
      <c r="G5753">
        <f>IF(B5753,MOD(SIN(Seed*0.5917+C5753*39.3468+D5753*11.135)*24634.6345,1),"")</f>
        <v/>
      </c>
      <c r="H5753">
        <f>IF(B5753,SQRT(-2*LN(F5753))*COS(2*PI()*G5753),"")</f>
        <v/>
      </c>
      <c r="I5753">
        <f>IF(B5753,IF(D5753=0,H5753,Rho*I5752+SQRT(1-Rho^2)*H5753),"")</f>
        <v/>
      </c>
      <c r="J5753">
        <f>IF(B5753,IF(Dist="Normal",DistA+DistB*I5753,DistA+(DistB-DistA)*NORMSDIST(I5753)),"")</f>
        <v/>
      </c>
      <c r="K5753">
        <f>IF(B5753,INDEX(MineScale,C5753),"")</f>
        <v/>
      </c>
      <c r="L5753">
        <f>IF(B5753,INDEX(Dow,1,WEEKDAY(E5753,2)),"")</f>
        <v/>
      </c>
      <c r="M5753">
        <f>IF(B5753,(1+Trend)^D5753,"")</f>
        <v/>
      </c>
      <c r="N5753">
        <f>IF(B5753,EXP(SUMPRODUCT(LN(1+(EvEff-1)*INDEX(Affected,0,C5753)*EXP(-((E5753-EvCenter)^2)/(2*EvSigma^2))))),"")</f>
        <v/>
      </c>
      <c r="O5753">
        <f>IF(B5753,ROUND(MAX(0,J5753*K5753*L5753*M5753*N5753),2),"")</f>
        <v/>
      </c>
    </row>
    <row r="5754">
      <c r="A5754" t="n">
        <v>5753</v>
      </c>
      <c r="B5754">
        <f>A5754&lt;=MineCount*Days</f>
        <v/>
      </c>
      <c r="C5754">
        <f>IF(B5754,INT((A5754-1)/Days)+1,"")</f>
        <v/>
      </c>
      <c r="D5754">
        <f>IF(B5754,MOD(A5754-1,Days),"")</f>
        <v/>
      </c>
      <c r="E5754" s="16">
        <f>IF(B5754,StartDate+D5754,"")</f>
        <v/>
      </c>
      <c r="F5754">
        <f>IF(B5754,MAX(MOD(SIN(Seed*0.1373+C5754*12.9898+D5754*78.233)*43758.5453,1),1E-9),"")</f>
        <v/>
      </c>
      <c r="G5754">
        <f>IF(B5754,MOD(SIN(Seed*0.5917+C5754*39.3468+D5754*11.135)*24634.6345,1),"")</f>
        <v/>
      </c>
      <c r="H5754">
        <f>IF(B5754,SQRT(-2*LN(F5754))*COS(2*PI()*G5754),"")</f>
        <v/>
      </c>
      <c r="I5754">
        <f>IF(B5754,IF(D5754=0,H5754,Rho*I5753+SQRT(1-Rho^2)*H5754),"")</f>
        <v/>
      </c>
      <c r="J5754">
        <f>IF(B5754,IF(Dist="Normal",DistA+DistB*I5754,DistA+(DistB-DistA)*NORMSDIST(I5754)),"")</f>
        <v/>
      </c>
      <c r="K5754">
        <f>IF(B5754,INDEX(MineScale,C5754),"")</f>
        <v/>
      </c>
      <c r="L5754">
        <f>IF(B5754,INDEX(Dow,1,WEEKDAY(E5754,2)),"")</f>
        <v/>
      </c>
      <c r="M5754">
        <f>IF(B5754,(1+Trend)^D5754,"")</f>
        <v/>
      </c>
      <c r="N5754">
        <f>IF(B5754,EXP(SUMPRODUCT(LN(1+(EvEff-1)*INDEX(Affected,0,C5754)*EXP(-((E5754-EvCenter)^2)/(2*EvSigma^2))))),"")</f>
        <v/>
      </c>
      <c r="O5754">
        <f>IF(B5754,ROUND(MAX(0,J5754*K5754*L5754*M5754*N5754),2),"")</f>
        <v/>
      </c>
    </row>
    <row r="5755">
      <c r="A5755" t="n">
        <v>5754</v>
      </c>
      <c r="B5755">
        <f>A5755&lt;=MineCount*Days</f>
        <v/>
      </c>
      <c r="C5755">
        <f>IF(B5755,INT((A5755-1)/Days)+1,"")</f>
        <v/>
      </c>
      <c r="D5755">
        <f>IF(B5755,MOD(A5755-1,Days),"")</f>
        <v/>
      </c>
      <c r="E5755" s="16">
        <f>IF(B5755,StartDate+D5755,"")</f>
        <v/>
      </c>
      <c r="F5755">
        <f>IF(B5755,MAX(MOD(SIN(Seed*0.1373+C5755*12.9898+D5755*78.233)*43758.5453,1),1E-9),"")</f>
        <v/>
      </c>
      <c r="G5755">
        <f>IF(B5755,MOD(SIN(Seed*0.5917+C5755*39.3468+D5755*11.135)*24634.6345,1),"")</f>
        <v/>
      </c>
      <c r="H5755">
        <f>IF(B5755,SQRT(-2*LN(F5755))*COS(2*PI()*G5755),"")</f>
        <v/>
      </c>
      <c r="I5755">
        <f>IF(B5755,IF(D5755=0,H5755,Rho*I5754+SQRT(1-Rho^2)*H5755),"")</f>
        <v/>
      </c>
      <c r="J5755">
        <f>IF(B5755,IF(Dist="Normal",DistA+DistB*I5755,DistA+(DistB-DistA)*NORMSDIST(I5755)),"")</f>
        <v/>
      </c>
      <c r="K5755">
        <f>IF(B5755,INDEX(MineScale,C5755),"")</f>
        <v/>
      </c>
      <c r="L5755">
        <f>IF(B5755,INDEX(Dow,1,WEEKDAY(E5755,2)),"")</f>
        <v/>
      </c>
      <c r="M5755">
        <f>IF(B5755,(1+Trend)^D5755,"")</f>
        <v/>
      </c>
      <c r="N5755">
        <f>IF(B5755,EXP(SUMPRODUCT(LN(1+(EvEff-1)*INDEX(Affected,0,C5755)*EXP(-((E5755-EvCenter)^2)/(2*EvSigma^2))))),"")</f>
        <v/>
      </c>
      <c r="O5755">
        <f>IF(B5755,ROUND(MAX(0,J5755*K5755*L5755*M5755*N5755),2),"")</f>
        <v/>
      </c>
    </row>
    <row r="5756">
      <c r="A5756" t="n">
        <v>5755</v>
      </c>
      <c r="B5756">
        <f>A5756&lt;=MineCount*Days</f>
        <v/>
      </c>
      <c r="C5756">
        <f>IF(B5756,INT((A5756-1)/Days)+1,"")</f>
        <v/>
      </c>
      <c r="D5756">
        <f>IF(B5756,MOD(A5756-1,Days),"")</f>
        <v/>
      </c>
      <c r="E5756" s="16">
        <f>IF(B5756,StartDate+D5756,"")</f>
        <v/>
      </c>
      <c r="F5756">
        <f>IF(B5756,MAX(MOD(SIN(Seed*0.1373+C5756*12.9898+D5756*78.233)*43758.5453,1),1E-9),"")</f>
        <v/>
      </c>
      <c r="G5756">
        <f>IF(B5756,MOD(SIN(Seed*0.5917+C5756*39.3468+D5756*11.135)*24634.6345,1),"")</f>
        <v/>
      </c>
      <c r="H5756">
        <f>IF(B5756,SQRT(-2*LN(F5756))*COS(2*PI()*G5756),"")</f>
        <v/>
      </c>
      <c r="I5756">
        <f>IF(B5756,IF(D5756=0,H5756,Rho*I5755+SQRT(1-Rho^2)*H5756),"")</f>
        <v/>
      </c>
      <c r="J5756">
        <f>IF(B5756,IF(Dist="Normal",DistA+DistB*I5756,DistA+(DistB-DistA)*NORMSDIST(I5756)),"")</f>
        <v/>
      </c>
      <c r="K5756">
        <f>IF(B5756,INDEX(MineScale,C5756),"")</f>
        <v/>
      </c>
      <c r="L5756">
        <f>IF(B5756,INDEX(Dow,1,WEEKDAY(E5756,2)),"")</f>
        <v/>
      </c>
      <c r="M5756">
        <f>IF(B5756,(1+Trend)^D5756,"")</f>
        <v/>
      </c>
      <c r="N5756">
        <f>IF(B5756,EXP(SUMPRODUCT(LN(1+(EvEff-1)*INDEX(Affected,0,C5756)*EXP(-((E5756-EvCenter)^2)/(2*EvSigma^2))))),"")</f>
        <v/>
      </c>
      <c r="O5756">
        <f>IF(B5756,ROUND(MAX(0,J5756*K5756*L5756*M5756*N5756),2),"")</f>
        <v/>
      </c>
    </row>
    <row r="5757">
      <c r="A5757" t="n">
        <v>5756</v>
      </c>
      <c r="B5757">
        <f>A5757&lt;=MineCount*Days</f>
        <v/>
      </c>
      <c r="C5757">
        <f>IF(B5757,INT((A5757-1)/Days)+1,"")</f>
        <v/>
      </c>
      <c r="D5757">
        <f>IF(B5757,MOD(A5757-1,Days),"")</f>
        <v/>
      </c>
      <c r="E5757" s="16">
        <f>IF(B5757,StartDate+D5757,"")</f>
        <v/>
      </c>
      <c r="F5757">
        <f>IF(B5757,MAX(MOD(SIN(Seed*0.1373+C5757*12.9898+D5757*78.233)*43758.5453,1),1E-9),"")</f>
        <v/>
      </c>
      <c r="G5757">
        <f>IF(B5757,MOD(SIN(Seed*0.5917+C5757*39.3468+D5757*11.135)*24634.6345,1),"")</f>
        <v/>
      </c>
      <c r="H5757">
        <f>IF(B5757,SQRT(-2*LN(F5757))*COS(2*PI()*G5757),"")</f>
        <v/>
      </c>
      <c r="I5757">
        <f>IF(B5757,IF(D5757=0,H5757,Rho*I5756+SQRT(1-Rho^2)*H5757),"")</f>
        <v/>
      </c>
      <c r="J5757">
        <f>IF(B5757,IF(Dist="Normal",DistA+DistB*I5757,DistA+(DistB-DistA)*NORMSDIST(I5757)),"")</f>
        <v/>
      </c>
      <c r="K5757">
        <f>IF(B5757,INDEX(MineScale,C5757),"")</f>
        <v/>
      </c>
      <c r="L5757">
        <f>IF(B5757,INDEX(Dow,1,WEEKDAY(E5757,2)),"")</f>
        <v/>
      </c>
      <c r="M5757">
        <f>IF(B5757,(1+Trend)^D5757,"")</f>
        <v/>
      </c>
      <c r="N5757">
        <f>IF(B5757,EXP(SUMPRODUCT(LN(1+(EvEff-1)*INDEX(Affected,0,C5757)*EXP(-((E5757-EvCenter)^2)/(2*EvSigma^2))))),"")</f>
        <v/>
      </c>
      <c r="O5757">
        <f>IF(B5757,ROUND(MAX(0,J5757*K5757*L5757*M5757*N5757),2),"")</f>
        <v/>
      </c>
    </row>
    <row r="5758">
      <c r="A5758" t="n">
        <v>5757</v>
      </c>
      <c r="B5758">
        <f>A5758&lt;=MineCount*Days</f>
        <v/>
      </c>
      <c r="C5758">
        <f>IF(B5758,INT((A5758-1)/Days)+1,"")</f>
        <v/>
      </c>
      <c r="D5758">
        <f>IF(B5758,MOD(A5758-1,Days),"")</f>
        <v/>
      </c>
      <c r="E5758" s="16">
        <f>IF(B5758,StartDate+D5758,"")</f>
        <v/>
      </c>
      <c r="F5758">
        <f>IF(B5758,MAX(MOD(SIN(Seed*0.1373+C5758*12.9898+D5758*78.233)*43758.5453,1),1E-9),"")</f>
        <v/>
      </c>
      <c r="G5758">
        <f>IF(B5758,MOD(SIN(Seed*0.5917+C5758*39.3468+D5758*11.135)*24634.6345,1),"")</f>
        <v/>
      </c>
      <c r="H5758">
        <f>IF(B5758,SQRT(-2*LN(F5758))*COS(2*PI()*G5758),"")</f>
        <v/>
      </c>
      <c r="I5758">
        <f>IF(B5758,IF(D5758=0,H5758,Rho*I5757+SQRT(1-Rho^2)*H5758),"")</f>
        <v/>
      </c>
      <c r="J5758">
        <f>IF(B5758,IF(Dist="Normal",DistA+DistB*I5758,DistA+(DistB-DistA)*NORMSDIST(I5758)),"")</f>
        <v/>
      </c>
      <c r="K5758">
        <f>IF(B5758,INDEX(MineScale,C5758),"")</f>
        <v/>
      </c>
      <c r="L5758">
        <f>IF(B5758,INDEX(Dow,1,WEEKDAY(E5758,2)),"")</f>
        <v/>
      </c>
      <c r="M5758">
        <f>IF(B5758,(1+Trend)^D5758,"")</f>
        <v/>
      </c>
      <c r="N5758">
        <f>IF(B5758,EXP(SUMPRODUCT(LN(1+(EvEff-1)*INDEX(Affected,0,C5758)*EXP(-((E5758-EvCenter)^2)/(2*EvSigma^2))))),"")</f>
        <v/>
      </c>
      <c r="O5758">
        <f>IF(B5758,ROUND(MAX(0,J5758*K5758*L5758*M5758*N5758),2),"")</f>
        <v/>
      </c>
    </row>
    <row r="5759">
      <c r="A5759" t="n">
        <v>5758</v>
      </c>
      <c r="B5759">
        <f>A5759&lt;=MineCount*Days</f>
        <v/>
      </c>
      <c r="C5759">
        <f>IF(B5759,INT((A5759-1)/Days)+1,"")</f>
        <v/>
      </c>
      <c r="D5759">
        <f>IF(B5759,MOD(A5759-1,Days),"")</f>
        <v/>
      </c>
      <c r="E5759" s="16">
        <f>IF(B5759,StartDate+D5759,"")</f>
        <v/>
      </c>
      <c r="F5759">
        <f>IF(B5759,MAX(MOD(SIN(Seed*0.1373+C5759*12.9898+D5759*78.233)*43758.5453,1),1E-9),"")</f>
        <v/>
      </c>
      <c r="G5759">
        <f>IF(B5759,MOD(SIN(Seed*0.5917+C5759*39.3468+D5759*11.135)*24634.6345,1),"")</f>
        <v/>
      </c>
      <c r="H5759">
        <f>IF(B5759,SQRT(-2*LN(F5759))*COS(2*PI()*G5759),"")</f>
        <v/>
      </c>
      <c r="I5759">
        <f>IF(B5759,IF(D5759=0,H5759,Rho*I5758+SQRT(1-Rho^2)*H5759),"")</f>
        <v/>
      </c>
      <c r="J5759">
        <f>IF(B5759,IF(Dist="Normal",DistA+DistB*I5759,DistA+(DistB-DistA)*NORMSDIST(I5759)),"")</f>
        <v/>
      </c>
      <c r="K5759">
        <f>IF(B5759,INDEX(MineScale,C5759),"")</f>
        <v/>
      </c>
      <c r="L5759">
        <f>IF(B5759,INDEX(Dow,1,WEEKDAY(E5759,2)),"")</f>
        <v/>
      </c>
      <c r="M5759">
        <f>IF(B5759,(1+Trend)^D5759,"")</f>
        <v/>
      </c>
      <c r="N5759">
        <f>IF(B5759,EXP(SUMPRODUCT(LN(1+(EvEff-1)*INDEX(Affected,0,C5759)*EXP(-((E5759-EvCenter)^2)/(2*EvSigma^2))))),"")</f>
        <v/>
      </c>
      <c r="O5759">
        <f>IF(B5759,ROUND(MAX(0,J5759*K5759*L5759*M5759*N5759),2),"")</f>
        <v/>
      </c>
    </row>
    <row r="5760">
      <c r="A5760" t="n">
        <v>5759</v>
      </c>
      <c r="B5760">
        <f>A5760&lt;=MineCount*Days</f>
        <v/>
      </c>
      <c r="C5760">
        <f>IF(B5760,INT((A5760-1)/Days)+1,"")</f>
        <v/>
      </c>
      <c r="D5760">
        <f>IF(B5760,MOD(A5760-1,Days),"")</f>
        <v/>
      </c>
      <c r="E5760" s="16">
        <f>IF(B5760,StartDate+D5760,"")</f>
        <v/>
      </c>
      <c r="F5760">
        <f>IF(B5760,MAX(MOD(SIN(Seed*0.1373+C5760*12.9898+D5760*78.233)*43758.5453,1),1E-9),"")</f>
        <v/>
      </c>
      <c r="G5760">
        <f>IF(B5760,MOD(SIN(Seed*0.5917+C5760*39.3468+D5760*11.135)*24634.6345,1),"")</f>
        <v/>
      </c>
      <c r="H5760">
        <f>IF(B5760,SQRT(-2*LN(F5760))*COS(2*PI()*G5760),"")</f>
        <v/>
      </c>
      <c r="I5760">
        <f>IF(B5760,IF(D5760=0,H5760,Rho*I5759+SQRT(1-Rho^2)*H5760),"")</f>
        <v/>
      </c>
      <c r="J5760">
        <f>IF(B5760,IF(Dist="Normal",DistA+DistB*I5760,DistA+(DistB-DistA)*NORMSDIST(I5760)),"")</f>
        <v/>
      </c>
      <c r="K5760">
        <f>IF(B5760,INDEX(MineScale,C5760),"")</f>
        <v/>
      </c>
      <c r="L5760">
        <f>IF(B5760,INDEX(Dow,1,WEEKDAY(E5760,2)),"")</f>
        <v/>
      </c>
      <c r="M5760">
        <f>IF(B5760,(1+Trend)^D5760,"")</f>
        <v/>
      </c>
      <c r="N5760">
        <f>IF(B5760,EXP(SUMPRODUCT(LN(1+(EvEff-1)*INDEX(Affected,0,C5760)*EXP(-((E5760-EvCenter)^2)/(2*EvSigma^2))))),"")</f>
        <v/>
      </c>
      <c r="O5760">
        <f>IF(B5760,ROUND(MAX(0,J5760*K5760*L5760*M5760*N5760),2),"")</f>
        <v/>
      </c>
    </row>
    <row r="5761">
      <c r="A5761" t="n">
        <v>5760</v>
      </c>
      <c r="B5761">
        <f>A5761&lt;=MineCount*Days</f>
        <v/>
      </c>
      <c r="C5761">
        <f>IF(B5761,INT((A5761-1)/Days)+1,"")</f>
        <v/>
      </c>
      <c r="D5761">
        <f>IF(B5761,MOD(A5761-1,Days),"")</f>
        <v/>
      </c>
      <c r="E5761" s="16">
        <f>IF(B5761,StartDate+D5761,"")</f>
        <v/>
      </c>
      <c r="F5761">
        <f>IF(B5761,MAX(MOD(SIN(Seed*0.1373+C5761*12.9898+D5761*78.233)*43758.5453,1),1E-9),"")</f>
        <v/>
      </c>
      <c r="G5761">
        <f>IF(B5761,MOD(SIN(Seed*0.5917+C5761*39.3468+D5761*11.135)*24634.6345,1),"")</f>
        <v/>
      </c>
      <c r="H5761">
        <f>IF(B5761,SQRT(-2*LN(F5761))*COS(2*PI()*G5761),"")</f>
        <v/>
      </c>
      <c r="I5761">
        <f>IF(B5761,IF(D5761=0,H5761,Rho*I5760+SQRT(1-Rho^2)*H5761),"")</f>
        <v/>
      </c>
      <c r="J5761">
        <f>IF(B5761,IF(Dist="Normal",DistA+DistB*I5761,DistA+(DistB-DistA)*NORMSDIST(I5761)),"")</f>
        <v/>
      </c>
      <c r="K5761">
        <f>IF(B5761,INDEX(MineScale,C5761),"")</f>
        <v/>
      </c>
      <c r="L5761">
        <f>IF(B5761,INDEX(Dow,1,WEEKDAY(E5761,2)),"")</f>
        <v/>
      </c>
      <c r="M5761">
        <f>IF(B5761,(1+Trend)^D5761,"")</f>
        <v/>
      </c>
      <c r="N5761">
        <f>IF(B5761,EXP(SUMPRODUCT(LN(1+(EvEff-1)*INDEX(Affected,0,C5761)*EXP(-((E5761-EvCenter)^2)/(2*EvSigma^2))))),"")</f>
        <v/>
      </c>
      <c r="O5761">
        <f>IF(B5761,ROUND(MAX(0,J5761*K5761*L5761*M5761*N5761),2),"")</f>
        <v/>
      </c>
    </row>
    <row r="5762">
      <c r="A5762" t="n">
        <v>5761</v>
      </c>
      <c r="B5762">
        <f>A5762&lt;=MineCount*Days</f>
        <v/>
      </c>
      <c r="C5762">
        <f>IF(B5762,INT((A5762-1)/Days)+1,"")</f>
        <v/>
      </c>
      <c r="D5762">
        <f>IF(B5762,MOD(A5762-1,Days),"")</f>
        <v/>
      </c>
      <c r="E5762" s="16">
        <f>IF(B5762,StartDate+D5762,"")</f>
        <v/>
      </c>
      <c r="F5762">
        <f>IF(B5762,MAX(MOD(SIN(Seed*0.1373+C5762*12.9898+D5762*78.233)*43758.5453,1),1E-9),"")</f>
        <v/>
      </c>
      <c r="G5762">
        <f>IF(B5762,MOD(SIN(Seed*0.5917+C5762*39.3468+D5762*11.135)*24634.6345,1),"")</f>
        <v/>
      </c>
      <c r="H5762">
        <f>IF(B5762,SQRT(-2*LN(F5762))*COS(2*PI()*G5762),"")</f>
        <v/>
      </c>
      <c r="I5762">
        <f>IF(B5762,IF(D5762=0,H5762,Rho*I5761+SQRT(1-Rho^2)*H5762),"")</f>
        <v/>
      </c>
      <c r="J5762">
        <f>IF(B5762,IF(Dist="Normal",DistA+DistB*I5762,DistA+(DistB-DistA)*NORMSDIST(I5762)),"")</f>
        <v/>
      </c>
      <c r="K5762">
        <f>IF(B5762,INDEX(MineScale,C5762),"")</f>
        <v/>
      </c>
      <c r="L5762">
        <f>IF(B5762,INDEX(Dow,1,WEEKDAY(E5762,2)),"")</f>
        <v/>
      </c>
      <c r="M5762">
        <f>IF(B5762,(1+Trend)^D5762,"")</f>
        <v/>
      </c>
      <c r="N5762">
        <f>IF(B5762,EXP(SUMPRODUCT(LN(1+(EvEff-1)*INDEX(Affected,0,C5762)*EXP(-((E5762-EvCenter)^2)/(2*EvSigma^2))))),"")</f>
        <v/>
      </c>
      <c r="O5762">
        <f>IF(B5762,ROUND(MAX(0,J5762*K5762*L5762*M5762*N5762),2),"")</f>
        <v/>
      </c>
    </row>
    <row r="5763">
      <c r="A5763" t="n">
        <v>5762</v>
      </c>
      <c r="B5763">
        <f>A5763&lt;=MineCount*Days</f>
        <v/>
      </c>
      <c r="C5763">
        <f>IF(B5763,INT((A5763-1)/Days)+1,"")</f>
        <v/>
      </c>
      <c r="D5763">
        <f>IF(B5763,MOD(A5763-1,Days),"")</f>
        <v/>
      </c>
      <c r="E5763" s="16">
        <f>IF(B5763,StartDate+D5763,"")</f>
        <v/>
      </c>
      <c r="F5763">
        <f>IF(B5763,MAX(MOD(SIN(Seed*0.1373+C5763*12.9898+D5763*78.233)*43758.5453,1),1E-9),"")</f>
        <v/>
      </c>
      <c r="G5763">
        <f>IF(B5763,MOD(SIN(Seed*0.5917+C5763*39.3468+D5763*11.135)*24634.6345,1),"")</f>
        <v/>
      </c>
      <c r="H5763">
        <f>IF(B5763,SQRT(-2*LN(F5763))*COS(2*PI()*G5763),"")</f>
        <v/>
      </c>
      <c r="I5763">
        <f>IF(B5763,IF(D5763=0,H5763,Rho*I5762+SQRT(1-Rho^2)*H5763),"")</f>
        <v/>
      </c>
      <c r="J5763">
        <f>IF(B5763,IF(Dist="Normal",DistA+DistB*I5763,DistA+(DistB-DistA)*NORMSDIST(I5763)),"")</f>
        <v/>
      </c>
      <c r="K5763">
        <f>IF(B5763,INDEX(MineScale,C5763),"")</f>
        <v/>
      </c>
      <c r="L5763">
        <f>IF(B5763,INDEX(Dow,1,WEEKDAY(E5763,2)),"")</f>
        <v/>
      </c>
      <c r="M5763">
        <f>IF(B5763,(1+Trend)^D5763,"")</f>
        <v/>
      </c>
      <c r="N5763">
        <f>IF(B5763,EXP(SUMPRODUCT(LN(1+(EvEff-1)*INDEX(Affected,0,C5763)*EXP(-((E5763-EvCenter)^2)/(2*EvSigma^2))))),"")</f>
        <v/>
      </c>
      <c r="O5763">
        <f>IF(B5763,ROUND(MAX(0,J5763*K5763*L5763*M5763*N5763),2),"")</f>
        <v/>
      </c>
    </row>
    <row r="5764">
      <c r="A5764" t="n">
        <v>5763</v>
      </c>
      <c r="B5764">
        <f>A5764&lt;=MineCount*Days</f>
        <v/>
      </c>
      <c r="C5764">
        <f>IF(B5764,INT((A5764-1)/Days)+1,"")</f>
        <v/>
      </c>
      <c r="D5764">
        <f>IF(B5764,MOD(A5764-1,Days),"")</f>
        <v/>
      </c>
      <c r="E5764" s="16">
        <f>IF(B5764,StartDate+D5764,"")</f>
        <v/>
      </c>
      <c r="F5764">
        <f>IF(B5764,MAX(MOD(SIN(Seed*0.1373+C5764*12.9898+D5764*78.233)*43758.5453,1),1E-9),"")</f>
        <v/>
      </c>
      <c r="G5764">
        <f>IF(B5764,MOD(SIN(Seed*0.5917+C5764*39.3468+D5764*11.135)*24634.6345,1),"")</f>
        <v/>
      </c>
      <c r="H5764">
        <f>IF(B5764,SQRT(-2*LN(F5764))*COS(2*PI()*G5764),"")</f>
        <v/>
      </c>
      <c r="I5764">
        <f>IF(B5764,IF(D5764=0,H5764,Rho*I5763+SQRT(1-Rho^2)*H5764),"")</f>
        <v/>
      </c>
      <c r="J5764">
        <f>IF(B5764,IF(Dist="Normal",DistA+DistB*I5764,DistA+(DistB-DistA)*NORMSDIST(I5764)),"")</f>
        <v/>
      </c>
      <c r="K5764">
        <f>IF(B5764,INDEX(MineScale,C5764),"")</f>
        <v/>
      </c>
      <c r="L5764">
        <f>IF(B5764,INDEX(Dow,1,WEEKDAY(E5764,2)),"")</f>
        <v/>
      </c>
      <c r="M5764">
        <f>IF(B5764,(1+Trend)^D5764,"")</f>
        <v/>
      </c>
      <c r="N5764">
        <f>IF(B5764,EXP(SUMPRODUCT(LN(1+(EvEff-1)*INDEX(Affected,0,C5764)*EXP(-((E5764-EvCenter)^2)/(2*EvSigma^2))))),"")</f>
        <v/>
      </c>
      <c r="O5764">
        <f>IF(B5764,ROUND(MAX(0,J5764*K5764*L5764*M5764*N5764),2),"")</f>
        <v/>
      </c>
    </row>
    <row r="5765">
      <c r="A5765" t="n">
        <v>5764</v>
      </c>
      <c r="B5765">
        <f>A5765&lt;=MineCount*Days</f>
        <v/>
      </c>
      <c r="C5765">
        <f>IF(B5765,INT((A5765-1)/Days)+1,"")</f>
        <v/>
      </c>
      <c r="D5765">
        <f>IF(B5765,MOD(A5765-1,Days),"")</f>
        <v/>
      </c>
      <c r="E5765" s="16">
        <f>IF(B5765,StartDate+D5765,"")</f>
        <v/>
      </c>
      <c r="F5765">
        <f>IF(B5765,MAX(MOD(SIN(Seed*0.1373+C5765*12.9898+D5765*78.233)*43758.5453,1),1E-9),"")</f>
        <v/>
      </c>
      <c r="G5765">
        <f>IF(B5765,MOD(SIN(Seed*0.5917+C5765*39.3468+D5765*11.135)*24634.6345,1),"")</f>
        <v/>
      </c>
      <c r="H5765">
        <f>IF(B5765,SQRT(-2*LN(F5765))*COS(2*PI()*G5765),"")</f>
        <v/>
      </c>
      <c r="I5765">
        <f>IF(B5765,IF(D5765=0,H5765,Rho*I5764+SQRT(1-Rho^2)*H5765),"")</f>
        <v/>
      </c>
      <c r="J5765">
        <f>IF(B5765,IF(Dist="Normal",DistA+DistB*I5765,DistA+(DistB-DistA)*NORMSDIST(I5765)),"")</f>
        <v/>
      </c>
      <c r="K5765">
        <f>IF(B5765,INDEX(MineScale,C5765),"")</f>
        <v/>
      </c>
      <c r="L5765">
        <f>IF(B5765,INDEX(Dow,1,WEEKDAY(E5765,2)),"")</f>
        <v/>
      </c>
      <c r="M5765">
        <f>IF(B5765,(1+Trend)^D5765,"")</f>
        <v/>
      </c>
      <c r="N5765">
        <f>IF(B5765,EXP(SUMPRODUCT(LN(1+(EvEff-1)*INDEX(Affected,0,C5765)*EXP(-((E5765-EvCenter)^2)/(2*EvSigma^2))))),"")</f>
        <v/>
      </c>
      <c r="O5765">
        <f>IF(B5765,ROUND(MAX(0,J5765*K5765*L5765*M5765*N5765),2),"")</f>
        <v/>
      </c>
    </row>
    <row r="5766">
      <c r="A5766" t="n">
        <v>5765</v>
      </c>
      <c r="B5766">
        <f>A5766&lt;=MineCount*Days</f>
        <v/>
      </c>
      <c r="C5766">
        <f>IF(B5766,INT((A5766-1)/Days)+1,"")</f>
        <v/>
      </c>
      <c r="D5766">
        <f>IF(B5766,MOD(A5766-1,Days),"")</f>
        <v/>
      </c>
      <c r="E5766" s="16">
        <f>IF(B5766,StartDate+D5766,"")</f>
        <v/>
      </c>
      <c r="F5766">
        <f>IF(B5766,MAX(MOD(SIN(Seed*0.1373+C5766*12.9898+D5766*78.233)*43758.5453,1),1E-9),"")</f>
        <v/>
      </c>
      <c r="G5766">
        <f>IF(B5766,MOD(SIN(Seed*0.5917+C5766*39.3468+D5766*11.135)*24634.6345,1),"")</f>
        <v/>
      </c>
      <c r="H5766">
        <f>IF(B5766,SQRT(-2*LN(F5766))*COS(2*PI()*G5766),"")</f>
        <v/>
      </c>
      <c r="I5766">
        <f>IF(B5766,IF(D5766=0,H5766,Rho*I5765+SQRT(1-Rho^2)*H5766),"")</f>
        <v/>
      </c>
      <c r="J5766">
        <f>IF(B5766,IF(Dist="Normal",DistA+DistB*I5766,DistA+(DistB-DistA)*NORMSDIST(I5766)),"")</f>
        <v/>
      </c>
      <c r="K5766">
        <f>IF(B5766,INDEX(MineScale,C5766),"")</f>
        <v/>
      </c>
      <c r="L5766">
        <f>IF(B5766,INDEX(Dow,1,WEEKDAY(E5766,2)),"")</f>
        <v/>
      </c>
      <c r="M5766">
        <f>IF(B5766,(1+Trend)^D5766,"")</f>
        <v/>
      </c>
      <c r="N5766">
        <f>IF(B5766,EXP(SUMPRODUCT(LN(1+(EvEff-1)*INDEX(Affected,0,C5766)*EXP(-((E5766-EvCenter)^2)/(2*EvSigma^2))))),"")</f>
        <v/>
      </c>
      <c r="O5766">
        <f>IF(B5766,ROUND(MAX(0,J5766*K5766*L5766*M5766*N5766),2),"")</f>
        <v/>
      </c>
    </row>
    <row r="5767">
      <c r="A5767" t="n">
        <v>5766</v>
      </c>
      <c r="B5767">
        <f>A5767&lt;=MineCount*Days</f>
        <v/>
      </c>
      <c r="C5767">
        <f>IF(B5767,INT((A5767-1)/Days)+1,"")</f>
        <v/>
      </c>
      <c r="D5767">
        <f>IF(B5767,MOD(A5767-1,Days),"")</f>
        <v/>
      </c>
      <c r="E5767" s="16">
        <f>IF(B5767,StartDate+D5767,"")</f>
        <v/>
      </c>
      <c r="F5767">
        <f>IF(B5767,MAX(MOD(SIN(Seed*0.1373+C5767*12.9898+D5767*78.233)*43758.5453,1),1E-9),"")</f>
        <v/>
      </c>
      <c r="G5767">
        <f>IF(B5767,MOD(SIN(Seed*0.5917+C5767*39.3468+D5767*11.135)*24634.6345,1),"")</f>
        <v/>
      </c>
      <c r="H5767">
        <f>IF(B5767,SQRT(-2*LN(F5767))*COS(2*PI()*G5767),"")</f>
        <v/>
      </c>
      <c r="I5767">
        <f>IF(B5767,IF(D5767=0,H5767,Rho*I5766+SQRT(1-Rho^2)*H5767),"")</f>
        <v/>
      </c>
      <c r="J5767">
        <f>IF(B5767,IF(Dist="Normal",DistA+DistB*I5767,DistA+(DistB-DistA)*NORMSDIST(I5767)),"")</f>
        <v/>
      </c>
      <c r="K5767">
        <f>IF(B5767,INDEX(MineScale,C5767),"")</f>
        <v/>
      </c>
      <c r="L5767">
        <f>IF(B5767,INDEX(Dow,1,WEEKDAY(E5767,2)),"")</f>
        <v/>
      </c>
      <c r="M5767">
        <f>IF(B5767,(1+Trend)^D5767,"")</f>
        <v/>
      </c>
      <c r="N5767">
        <f>IF(B5767,EXP(SUMPRODUCT(LN(1+(EvEff-1)*INDEX(Affected,0,C5767)*EXP(-((E5767-EvCenter)^2)/(2*EvSigma^2))))),"")</f>
        <v/>
      </c>
      <c r="O5767">
        <f>IF(B5767,ROUND(MAX(0,J5767*K5767*L5767*M5767*N5767),2),"")</f>
        <v/>
      </c>
    </row>
    <row r="5768">
      <c r="A5768" t="n">
        <v>5767</v>
      </c>
      <c r="B5768">
        <f>A5768&lt;=MineCount*Days</f>
        <v/>
      </c>
      <c r="C5768">
        <f>IF(B5768,INT((A5768-1)/Days)+1,"")</f>
        <v/>
      </c>
      <c r="D5768">
        <f>IF(B5768,MOD(A5768-1,Days),"")</f>
        <v/>
      </c>
      <c r="E5768" s="16">
        <f>IF(B5768,StartDate+D5768,"")</f>
        <v/>
      </c>
      <c r="F5768">
        <f>IF(B5768,MAX(MOD(SIN(Seed*0.1373+C5768*12.9898+D5768*78.233)*43758.5453,1),1E-9),"")</f>
        <v/>
      </c>
      <c r="G5768">
        <f>IF(B5768,MOD(SIN(Seed*0.5917+C5768*39.3468+D5768*11.135)*24634.6345,1),"")</f>
        <v/>
      </c>
      <c r="H5768">
        <f>IF(B5768,SQRT(-2*LN(F5768))*COS(2*PI()*G5768),"")</f>
        <v/>
      </c>
      <c r="I5768">
        <f>IF(B5768,IF(D5768=0,H5768,Rho*I5767+SQRT(1-Rho^2)*H5768),"")</f>
        <v/>
      </c>
      <c r="J5768">
        <f>IF(B5768,IF(Dist="Normal",DistA+DistB*I5768,DistA+(DistB-DistA)*NORMSDIST(I5768)),"")</f>
        <v/>
      </c>
      <c r="K5768">
        <f>IF(B5768,INDEX(MineScale,C5768),"")</f>
        <v/>
      </c>
      <c r="L5768">
        <f>IF(B5768,INDEX(Dow,1,WEEKDAY(E5768,2)),"")</f>
        <v/>
      </c>
      <c r="M5768">
        <f>IF(B5768,(1+Trend)^D5768,"")</f>
        <v/>
      </c>
      <c r="N5768">
        <f>IF(B5768,EXP(SUMPRODUCT(LN(1+(EvEff-1)*INDEX(Affected,0,C5768)*EXP(-((E5768-EvCenter)^2)/(2*EvSigma^2))))),"")</f>
        <v/>
      </c>
      <c r="O5768">
        <f>IF(B5768,ROUND(MAX(0,J5768*K5768*L5768*M5768*N5768),2),"")</f>
        <v/>
      </c>
    </row>
    <row r="5769">
      <c r="A5769" t="n">
        <v>5768</v>
      </c>
      <c r="B5769">
        <f>A5769&lt;=MineCount*Days</f>
        <v/>
      </c>
      <c r="C5769">
        <f>IF(B5769,INT((A5769-1)/Days)+1,"")</f>
        <v/>
      </c>
      <c r="D5769">
        <f>IF(B5769,MOD(A5769-1,Days),"")</f>
        <v/>
      </c>
      <c r="E5769" s="16">
        <f>IF(B5769,StartDate+D5769,"")</f>
        <v/>
      </c>
      <c r="F5769">
        <f>IF(B5769,MAX(MOD(SIN(Seed*0.1373+C5769*12.9898+D5769*78.233)*43758.5453,1),1E-9),"")</f>
        <v/>
      </c>
      <c r="G5769">
        <f>IF(B5769,MOD(SIN(Seed*0.5917+C5769*39.3468+D5769*11.135)*24634.6345,1),"")</f>
        <v/>
      </c>
      <c r="H5769">
        <f>IF(B5769,SQRT(-2*LN(F5769))*COS(2*PI()*G5769),"")</f>
        <v/>
      </c>
      <c r="I5769">
        <f>IF(B5769,IF(D5769=0,H5769,Rho*I5768+SQRT(1-Rho^2)*H5769),"")</f>
        <v/>
      </c>
      <c r="J5769">
        <f>IF(B5769,IF(Dist="Normal",DistA+DistB*I5769,DistA+(DistB-DistA)*NORMSDIST(I5769)),"")</f>
        <v/>
      </c>
      <c r="K5769">
        <f>IF(B5769,INDEX(MineScale,C5769),"")</f>
        <v/>
      </c>
      <c r="L5769">
        <f>IF(B5769,INDEX(Dow,1,WEEKDAY(E5769,2)),"")</f>
        <v/>
      </c>
      <c r="M5769">
        <f>IF(B5769,(1+Trend)^D5769,"")</f>
        <v/>
      </c>
      <c r="N5769">
        <f>IF(B5769,EXP(SUMPRODUCT(LN(1+(EvEff-1)*INDEX(Affected,0,C5769)*EXP(-((E5769-EvCenter)^2)/(2*EvSigma^2))))),"")</f>
        <v/>
      </c>
      <c r="O5769">
        <f>IF(B5769,ROUND(MAX(0,J5769*K5769*L5769*M5769*N5769),2),"")</f>
        <v/>
      </c>
    </row>
    <row r="5770">
      <c r="A5770" t="n">
        <v>5769</v>
      </c>
      <c r="B5770">
        <f>A5770&lt;=MineCount*Days</f>
        <v/>
      </c>
      <c r="C5770">
        <f>IF(B5770,INT((A5770-1)/Days)+1,"")</f>
        <v/>
      </c>
      <c r="D5770">
        <f>IF(B5770,MOD(A5770-1,Days),"")</f>
        <v/>
      </c>
      <c r="E5770" s="16">
        <f>IF(B5770,StartDate+D5770,"")</f>
        <v/>
      </c>
      <c r="F5770">
        <f>IF(B5770,MAX(MOD(SIN(Seed*0.1373+C5770*12.9898+D5770*78.233)*43758.5453,1),1E-9),"")</f>
        <v/>
      </c>
      <c r="G5770">
        <f>IF(B5770,MOD(SIN(Seed*0.5917+C5770*39.3468+D5770*11.135)*24634.6345,1),"")</f>
        <v/>
      </c>
      <c r="H5770">
        <f>IF(B5770,SQRT(-2*LN(F5770))*COS(2*PI()*G5770),"")</f>
        <v/>
      </c>
      <c r="I5770">
        <f>IF(B5770,IF(D5770=0,H5770,Rho*I5769+SQRT(1-Rho^2)*H5770),"")</f>
        <v/>
      </c>
      <c r="J5770">
        <f>IF(B5770,IF(Dist="Normal",DistA+DistB*I5770,DistA+(DistB-DistA)*NORMSDIST(I5770)),"")</f>
        <v/>
      </c>
      <c r="K5770">
        <f>IF(B5770,INDEX(MineScale,C5770),"")</f>
        <v/>
      </c>
      <c r="L5770">
        <f>IF(B5770,INDEX(Dow,1,WEEKDAY(E5770,2)),"")</f>
        <v/>
      </c>
      <c r="M5770">
        <f>IF(B5770,(1+Trend)^D5770,"")</f>
        <v/>
      </c>
      <c r="N5770">
        <f>IF(B5770,EXP(SUMPRODUCT(LN(1+(EvEff-1)*INDEX(Affected,0,C5770)*EXP(-((E5770-EvCenter)^2)/(2*EvSigma^2))))),"")</f>
        <v/>
      </c>
      <c r="O5770">
        <f>IF(B5770,ROUND(MAX(0,J5770*K5770*L5770*M5770*N5770),2),"")</f>
        <v/>
      </c>
    </row>
    <row r="5771">
      <c r="A5771" t="n">
        <v>5770</v>
      </c>
      <c r="B5771">
        <f>A5771&lt;=MineCount*Days</f>
        <v/>
      </c>
      <c r="C5771">
        <f>IF(B5771,INT((A5771-1)/Days)+1,"")</f>
        <v/>
      </c>
      <c r="D5771">
        <f>IF(B5771,MOD(A5771-1,Days),"")</f>
        <v/>
      </c>
      <c r="E5771" s="16">
        <f>IF(B5771,StartDate+D5771,"")</f>
        <v/>
      </c>
      <c r="F5771">
        <f>IF(B5771,MAX(MOD(SIN(Seed*0.1373+C5771*12.9898+D5771*78.233)*43758.5453,1),1E-9),"")</f>
        <v/>
      </c>
      <c r="G5771">
        <f>IF(B5771,MOD(SIN(Seed*0.5917+C5771*39.3468+D5771*11.135)*24634.6345,1),"")</f>
        <v/>
      </c>
      <c r="H5771">
        <f>IF(B5771,SQRT(-2*LN(F5771))*COS(2*PI()*G5771),"")</f>
        <v/>
      </c>
      <c r="I5771">
        <f>IF(B5771,IF(D5771=0,H5771,Rho*I5770+SQRT(1-Rho^2)*H5771),"")</f>
        <v/>
      </c>
      <c r="J5771">
        <f>IF(B5771,IF(Dist="Normal",DistA+DistB*I5771,DistA+(DistB-DistA)*NORMSDIST(I5771)),"")</f>
        <v/>
      </c>
      <c r="K5771">
        <f>IF(B5771,INDEX(MineScale,C5771),"")</f>
        <v/>
      </c>
      <c r="L5771">
        <f>IF(B5771,INDEX(Dow,1,WEEKDAY(E5771,2)),"")</f>
        <v/>
      </c>
      <c r="M5771">
        <f>IF(B5771,(1+Trend)^D5771,"")</f>
        <v/>
      </c>
      <c r="N5771">
        <f>IF(B5771,EXP(SUMPRODUCT(LN(1+(EvEff-1)*INDEX(Affected,0,C5771)*EXP(-((E5771-EvCenter)^2)/(2*EvSigma^2))))),"")</f>
        <v/>
      </c>
      <c r="O5771">
        <f>IF(B5771,ROUND(MAX(0,J5771*K5771*L5771*M5771*N5771),2),"")</f>
        <v/>
      </c>
    </row>
    <row r="5772">
      <c r="A5772" t="n">
        <v>5771</v>
      </c>
      <c r="B5772">
        <f>A5772&lt;=MineCount*Days</f>
        <v/>
      </c>
      <c r="C5772">
        <f>IF(B5772,INT((A5772-1)/Days)+1,"")</f>
        <v/>
      </c>
      <c r="D5772">
        <f>IF(B5772,MOD(A5772-1,Days),"")</f>
        <v/>
      </c>
      <c r="E5772" s="16">
        <f>IF(B5772,StartDate+D5772,"")</f>
        <v/>
      </c>
      <c r="F5772">
        <f>IF(B5772,MAX(MOD(SIN(Seed*0.1373+C5772*12.9898+D5772*78.233)*43758.5453,1),1E-9),"")</f>
        <v/>
      </c>
      <c r="G5772">
        <f>IF(B5772,MOD(SIN(Seed*0.5917+C5772*39.3468+D5772*11.135)*24634.6345,1),"")</f>
        <v/>
      </c>
      <c r="H5772">
        <f>IF(B5772,SQRT(-2*LN(F5772))*COS(2*PI()*G5772),"")</f>
        <v/>
      </c>
      <c r="I5772">
        <f>IF(B5772,IF(D5772=0,H5772,Rho*I5771+SQRT(1-Rho^2)*H5772),"")</f>
        <v/>
      </c>
      <c r="J5772">
        <f>IF(B5772,IF(Dist="Normal",DistA+DistB*I5772,DistA+(DistB-DistA)*NORMSDIST(I5772)),"")</f>
        <v/>
      </c>
      <c r="K5772">
        <f>IF(B5772,INDEX(MineScale,C5772),"")</f>
        <v/>
      </c>
      <c r="L5772">
        <f>IF(B5772,INDEX(Dow,1,WEEKDAY(E5772,2)),"")</f>
        <v/>
      </c>
      <c r="M5772">
        <f>IF(B5772,(1+Trend)^D5772,"")</f>
        <v/>
      </c>
      <c r="N5772">
        <f>IF(B5772,EXP(SUMPRODUCT(LN(1+(EvEff-1)*INDEX(Affected,0,C5772)*EXP(-((E5772-EvCenter)^2)/(2*EvSigma^2))))),"")</f>
        <v/>
      </c>
      <c r="O5772">
        <f>IF(B5772,ROUND(MAX(0,J5772*K5772*L5772*M5772*N5772),2),"")</f>
        <v/>
      </c>
    </row>
    <row r="5773">
      <c r="A5773" t="n">
        <v>5772</v>
      </c>
      <c r="B5773">
        <f>A5773&lt;=MineCount*Days</f>
        <v/>
      </c>
      <c r="C5773">
        <f>IF(B5773,INT((A5773-1)/Days)+1,"")</f>
        <v/>
      </c>
      <c r="D5773">
        <f>IF(B5773,MOD(A5773-1,Days),"")</f>
        <v/>
      </c>
      <c r="E5773" s="16">
        <f>IF(B5773,StartDate+D5773,"")</f>
        <v/>
      </c>
      <c r="F5773">
        <f>IF(B5773,MAX(MOD(SIN(Seed*0.1373+C5773*12.9898+D5773*78.233)*43758.5453,1),1E-9),"")</f>
        <v/>
      </c>
      <c r="G5773">
        <f>IF(B5773,MOD(SIN(Seed*0.5917+C5773*39.3468+D5773*11.135)*24634.6345,1),"")</f>
        <v/>
      </c>
      <c r="H5773">
        <f>IF(B5773,SQRT(-2*LN(F5773))*COS(2*PI()*G5773),"")</f>
        <v/>
      </c>
      <c r="I5773">
        <f>IF(B5773,IF(D5773=0,H5773,Rho*I5772+SQRT(1-Rho^2)*H5773),"")</f>
        <v/>
      </c>
      <c r="J5773">
        <f>IF(B5773,IF(Dist="Normal",DistA+DistB*I5773,DistA+(DistB-DistA)*NORMSDIST(I5773)),"")</f>
        <v/>
      </c>
      <c r="K5773">
        <f>IF(B5773,INDEX(MineScale,C5773),"")</f>
        <v/>
      </c>
      <c r="L5773">
        <f>IF(B5773,INDEX(Dow,1,WEEKDAY(E5773,2)),"")</f>
        <v/>
      </c>
      <c r="M5773">
        <f>IF(B5773,(1+Trend)^D5773,"")</f>
        <v/>
      </c>
      <c r="N5773">
        <f>IF(B5773,EXP(SUMPRODUCT(LN(1+(EvEff-1)*INDEX(Affected,0,C5773)*EXP(-((E5773-EvCenter)^2)/(2*EvSigma^2))))),"")</f>
        <v/>
      </c>
      <c r="O5773">
        <f>IF(B5773,ROUND(MAX(0,J5773*K5773*L5773*M5773*N5773),2),"")</f>
        <v/>
      </c>
    </row>
    <row r="5774">
      <c r="A5774" t="n">
        <v>5773</v>
      </c>
      <c r="B5774">
        <f>A5774&lt;=MineCount*Days</f>
        <v/>
      </c>
      <c r="C5774">
        <f>IF(B5774,INT((A5774-1)/Days)+1,"")</f>
        <v/>
      </c>
      <c r="D5774">
        <f>IF(B5774,MOD(A5774-1,Days),"")</f>
        <v/>
      </c>
      <c r="E5774" s="16">
        <f>IF(B5774,StartDate+D5774,"")</f>
        <v/>
      </c>
      <c r="F5774">
        <f>IF(B5774,MAX(MOD(SIN(Seed*0.1373+C5774*12.9898+D5774*78.233)*43758.5453,1),1E-9),"")</f>
        <v/>
      </c>
      <c r="G5774">
        <f>IF(B5774,MOD(SIN(Seed*0.5917+C5774*39.3468+D5774*11.135)*24634.6345,1),"")</f>
        <v/>
      </c>
      <c r="H5774">
        <f>IF(B5774,SQRT(-2*LN(F5774))*COS(2*PI()*G5774),"")</f>
        <v/>
      </c>
      <c r="I5774">
        <f>IF(B5774,IF(D5774=0,H5774,Rho*I5773+SQRT(1-Rho^2)*H5774),"")</f>
        <v/>
      </c>
      <c r="J5774">
        <f>IF(B5774,IF(Dist="Normal",DistA+DistB*I5774,DistA+(DistB-DistA)*NORMSDIST(I5774)),"")</f>
        <v/>
      </c>
      <c r="K5774">
        <f>IF(B5774,INDEX(MineScale,C5774),"")</f>
        <v/>
      </c>
      <c r="L5774">
        <f>IF(B5774,INDEX(Dow,1,WEEKDAY(E5774,2)),"")</f>
        <v/>
      </c>
      <c r="M5774">
        <f>IF(B5774,(1+Trend)^D5774,"")</f>
        <v/>
      </c>
      <c r="N5774">
        <f>IF(B5774,EXP(SUMPRODUCT(LN(1+(EvEff-1)*INDEX(Affected,0,C5774)*EXP(-((E5774-EvCenter)^2)/(2*EvSigma^2))))),"")</f>
        <v/>
      </c>
      <c r="O5774">
        <f>IF(B5774,ROUND(MAX(0,J5774*K5774*L5774*M5774*N5774),2),"")</f>
        <v/>
      </c>
    </row>
    <row r="5775">
      <c r="A5775" t="n">
        <v>5774</v>
      </c>
      <c r="B5775">
        <f>A5775&lt;=MineCount*Days</f>
        <v/>
      </c>
      <c r="C5775">
        <f>IF(B5775,INT((A5775-1)/Days)+1,"")</f>
        <v/>
      </c>
      <c r="D5775">
        <f>IF(B5775,MOD(A5775-1,Days),"")</f>
        <v/>
      </c>
      <c r="E5775" s="16">
        <f>IF(B5775,StartDate+D5775,"")</f>
        <v/>
      </c>
      <c r="F5775">
        <f>IF(B5775,MAX(MOD(SIN(Seed*0.1373+C5775*12.9898+D5775*78.233)*43758.5453,1),1E-9),"")</f>
        <v/>
      </c>
      <c r="G5775">
        <f>IF(B5775,MOD(SIN(Seed*0.5917+C5775*39.3468+D5775*11.135)*24634.6345,1),"")</f>
        <v/>
      </c>
      <c r="H5775">
        <f>IF(B5775,SQRT(-2*LN(F5775))*COS(2*PI()*G5775),"")</f>
        <v/>
      </c>
      <c r="I5775">
        <f>IF(B5775,IF(D5775=0,H5775,Rho*I5774+SQRT(1-Rho^2)*H5775),"")</f>
        <v/>
      </c>
      <c r="J5775">
        <f>IF(B5775,IF(Dist="Normal",DistA+DistB*I5775,DistA+(DistB-DistA)*NORMSDIST(I5775)),"")</f>
        <v/>
      </c>
      <c r="K5775">
        <f>IF(B5775,INDEX(MineScale,C5775),"")</f>
        <v/>
      </c>
      <c r="L5775">
        <f>IF(B5775,INDEX(Dow,1,WEEKDAY(E5775,2)),"")</f>
        <v/>
      </c>
      <c r="M5775">
        <f>IF(B5775,(1+Trend)^D5775,"")</f>
        <v/>
      </c>
      <c r="N5775">
        <f>IF(B5775,EXP(SUMPRODUCT(LN(1+(EvEff-1)*INDEX(Affected,0,C5775)*EXP(-((E5775-EvCenter)^2)/(2*EvSigma^2))))),"")</f>
        <v/>
      </c>
      <c r="O5775">
        <f>IF(B5775,ROUND(MAX(0,J5775*K5775*L5775*M5775*N5775),2),"")</f>
        <v/>
      </c>
    </row>
    <row r="5776">
      <c r="A5776" t="n">
        <v>5775</v>
      </c>
      <c r="B5776">
        <f>A5776&lt;=MineCount*Days</f>
        <v/>
      </c>
      <c r="C5776">
        <f>IF(B5776,INT((A5776-1)/Days)+1,"")</f>
        <v/>
      </c>
      <c r="D5776">
        <f>IF(B5776,MOD(A5776-1,Days),"")</f>
        <v/>
      </c>
      <c r="E5776" s="16">
        <f>IF(B5776,StartDate+D5776,"")</f>
        <v/>
      </c>
      <c r="F5776">
        <f>IF(B5776,MAX(MOD(SIN(Seed*0.1373+C5776*12.9898+D5776*78.233)*43758.5453,1),1E-9),"")</f>
        <v/>
      </c>
      <c r="G5776">
        <f>IF(B5776,MOD(SIN(Seed*0.5917+C5776*39.3468+D5776*11.135)*24634.6345,1),"")</f>
        <v/>
      </c>
      <c r="H5776">
        <f>IF(B5776,SQRT(-2*LN(F5776))*COS(2*PI()*G5776),"")</f>
        <v/>
      </c>
      <c r="I5776">
        <f>IF(B5776,IF(D5776=0,H5776,Rho*I5775+SQRT(1-Rho^2)*H5776),"")</f>
        <v/>
      </c>
      <c r="J5776">
        <f>IF(B5776,IF(Dist="Normal",DistA+DistB*I5776,DistA+(DistB-DistA)*NORMSDIST(I5776)),"")</f>
        <v/>
      </c>
      <c r="K5776">
        <f>IF(B5776,INDEX(MineScale,C5776),"")</f>
        <v/>
      </c>
      <c r="L5776">
        <f>IF(B5776,INDEX(Dow,1,WEEKDAY(E5776,2)),"")</f>
        <v/>
      </c>
      <c r="M5776">
        <f>IF(B5776,(1+Trend)^D5776,"")</f>
        <v/>
      </c>
      <c r="N5776">
        <f>IF(B5776,EXP(SUMPRODUCT(LN(1+(EvEff-1)*INDEX(Affected,0,C5776)*EXP(-((E5776-EvCenter)^2)/(2*EvSigma^2))))),"")</f>
        <v/>
      </c>
      <c r="O5776">
        <f>IF(B5776,ROUND(MAX(0,J5776*K5776*L5776*M5776*N5776),2),"")</f>
        <v/>
      </c>
    </row>
    <row r="5777">
      <c r="A5777" t="n">
        <v>5776</v>
      </c>
      <c r="B5777">
        <f>A5777&lt;=MineCount*Days</f>
        <v/>
      </c>
      <c r="C5777">
        <f>IF(B5777,INT((A5777-1)/Days)+1,"")</f>
        <v/>
      </c>
      <c r="D5777">
        <f>IF(B5777,MOD(A5777-1,Days),"")</f>
        <v/>
      </c>
      <c r="E5777" s="16">
        <f>IF(B5777,StartDate+D5777,"")</f>
        <v/>
      </c>
      <c r="F5777">
        <f>IF(B5777,MAX(MOD(SIN(Seed*0.1373+C5777*12.9898+D5777*78.233)*43758.5453,1),1E-9),"")</f>
        <v/>
      </c>
      <c r="G5777">
        <f>IF(B5777,MOD(SIN(Seed*0.5917+C5777*39.3468+D5777*11.135)*24634.6345,1),"")</f>
        <v/>
      </c>
      <c r="H5777">
        <f>IF(B5777,SQRT(-2*LN(F5777))*COS(2*PI()*G5777),"")</f>
        <v/>
      </c>
      <c r="I5777">
        <f>IF(B5777,IF(D5777=0,H5777,Rho*I5776+SQRT(1-Rho^2)*H5777),"")</f>
        <v/>
      </c>
      <c r="J5777">
        <f>IF(B5777,IF(Dist="Normal",DistA+DistB*I5777,DistA+(DistB-DistA)*NORMSDIST(I5777)),"")</f>
        <v/>
      </c>
      <c r="K5777">
        <f>IF(B5777,INDEX(MineScale,C5777),"")</f>
        <v/>
      </c>
      <c r="L5777">
        <f>IF(B5777,INDEX(Dow,1,WEEKDAY(E5777,2)),"")</f>
        <v/>
      </c>
      <c r="M5777">
        <f>IF(B5777,(1+Trend)^D5777,"")</f>
        <v/>
      </c>
      <c r="N5777">
        <f>IF(B5777,EXP(SUMPRODUCT(LN(1+(EvEff-1)*INDEX(Affected,0,C5777)*EXP(-((E5777-EvCenter)^2)/(2*EvSigma^2))))),"")</f>
        <v/>
      </c>
      <c r="O5777">
        <f>IF(B5777,ROUND(MAX(0,J5777*K5777*L5777*M5777*N5777),2),"")</f>
        <v/>
      </c>
    </row>
    <row r="5778">
      <c r="A5778" t="n">
        <v>5777</v>
      </c>
      <c r="B5778">
        <f>A5778&lt;=MineCount*Days</f>
        <v/>
      </c>
      <c r="C5778">
        <f>IF(B5778,INT((A5778-1)/Days)+1,"")</f>
        <v/>
      </c>
      <c r="D5778">
        <f>IF(B5778,MOD(A5778-1,Days),"")</f>
        <v/>
      </c>
      <c r="E5778" s="16">
        <f>IF(B5778,StartDate+D5778,"")</f>
        <v/>
      </c>
      <c r="F5778">
        <f>IF(B5778,MAX(MOD(SIN(Seed*0.1373+C5778*12.9898+D5778*78.233)*43758.5453,1),1E-9),"")</f>
        <v/>
      </c>
      <c r="G5778">
        <f>IF(B5778,MOD(SIN(Seed*0.5917+C5778*39.3468+D5778*11.135)*24634.6345,1),"")</f>
        <v/>
      </c>
      <c r="H5778">
        <f>IF(B5778,SQRT(-2*LN(F5778))*COS(2*PI()*G5778),"")</f>
        <v/>
      </c>
      <c r="I5778">
        <f>IF(B5778,IF(D5778=0,H5778,Rho*I5777+SQRT(1-Rho^2)*H5778),"")</f>
        <v/>
      </c>
      <c r="J5778">
        <f>IF(B5778,IF(Dist="Normal",DistA+DistB*I5778,DistA+(DistB-DistA)*NORMSDIST(I5778)),"")</f>
        <v/>
      </c>
      <c r="K5778">
        <f>IF(B5778,INDEX(MineScale,C5778),"")</f>
        <v/>
      </c>
      <c r="L5778">
        <f>IF(B5778,INDEX(Dow,1,WEEKDAY(E5778,2)),"")</f>
        <v/>
      </c>
      <c r="M5778">
        <f>IF(B5778,(1+Trend)^D5778,"")</f>
        <v/>
      </c>
      <c r="N5778">
        <f>IF(B5778,EXP(SUMPRODUCT(LN(1+(EvEff-1)*INDEX(Affected,0,C5778)*EXP(-((E5778-EvCenter)^2)/(2*EvSigma^2))))),"")</f>
        <v/>
      </c>
      <c r="O5778">
        <f>IF(B5778,ROUND(MAX(0,J5778*K5778*L5778*M5778*N5778),2),"")</f>
        <v/>
      </c>
    </row>
    <row r="5779">
      <c r="A5779" t="n">
        <v>5778</v>
      </c>
      <c r="B5779">
        <f>A5779&lt;=MineCount*Days</f>
        <v/>
      </c>
      <c r="C5779">
        <f>IF(B5779,INT((A5779-1)/Days)+1,"")</f>
        <v/>
      </c>
      <c r="D5779">
        <f>IF(B5779,MOD(A5779-1,Days),"")</f>
        <v/>
      </c>
      <c r="E5779" s="16">
        <f>IF(B5779,StartDate+D5779,"")</f>
        <v/>
      </c>
      <c r="F5779">
        <f>IF(B5779,MAX(MOD(SIN(Seed*0.1373+C5779*12.9898+D5779*78.233)*43758.5453,1),1E-9),"")</f>
        <v/>
      </c>
      <c r="G5779">
        <f>IF(B5779,MOD(SIN(Seed*0.5917+C5779*39.3468+D5779*11.135)*24634.6345,1),"")</f>
        <v/>
      </c>
      <c r="H5779">
        <f>IF(B5779,SQRT(-2*LN(F5779))*COS(2*PI()*G5779),"")</f>
        <v/>
      </c>
      <c r="I5779">
        <f>IF(B5779,IF(D5779=0,H5779,Rho*I5778+SQRT(1-Rho^2)*H5779),"")</f>
        <v/>
      </c>
      <c r="J5779">
        <f>IF(B5779,IF(Dist="Normal",DistA+DistB*I5779,DistA+(DistB-DistA)*NORMSDIST(I5779)),"")</f>
        <v/>
      </c>
      <c r="K5779">
        <f>IF(B5779,INDEX(MineScale,C5779),"")</f>
        <v/>
      </c>
      <c r="L5779">
        <f>IF(B5779,INDEX(Dow,1,WEEKDAY(E5779,2)),"")</f>
        <v/>
      </c>
      <c r="M5779">
        <f>IF(B5779,(1+Trend)^D5779,"")</f>
        <v/>
      </c>
      <c r="N5779">
        <f>IF(B5779,EXP(SUMPRODUCT(LN(1+(EvEff-1)*INDEX(Affected,0,C5779)*EXP(-((E5779-EvCenter)^2)/(2*EvSigma^2))))),"")</f>
        <v/>
      </c>
      <c r="O5779">
        <f>IF(B5779,ROUND(MAX(0,J5779*K5779*L5779*M5779*N5779),2),"")</f>
        <v/>
      </c>
    </row>
    <row r="5780">
      <c r="A5780" t="n">
        <v>5779</v>
      </c>
      <c r="B5780">
        <f>A5780&lt;=MineCount*Days</f>
        <v/>
      </c>
      <c r="C5780">
        <f>IF(B5780,INT((A5780-1)/Days)+1,"")</f>
        <v/>
      </c>
      <c r="D5780">
        <f>IF(B5780,MOD(A5780-1,Days),"")</f>
        <v/>
      </c>
      <c r="E5780" s="16">
        <f>IF(B5780,StartDate+D5780,"")</f>
        <v/>
      </c>
      <c r="F5780">
        <f>IF(B5780,MAX(MOD(SIN(Seed*0.1373+C5780*12.9898+D5780*78.233)*43758.5453,1),1E-9),"")</f>
        <v/>
      </c>
      <c r="G5780">
        <f>IF(B5780,MOD(SIN(Seed*0.5917+C5780*39.3468+D5780*11.135)*24634.6345,1),"")</f>
        <v/>
      </c>
      <c r="H5780">
        <f>IF(B5780,SQRT(-2*LN(F5780))*COS(2*PI()*G5780),"")</f>
        <v/>
      </c>
      <c r="I5780">
        <f>IF(B5780,IF(D5780=0,H5780,Rho*I5779+SQRT(1-Rho^2)*H5780),"")</f>
        <v/>
      </c>
      <c r="J5780">
        <f>IF(B5780,IF(Dist="Normal",DistA+DistB*I5780,DistA+(DistB-DistA)*NORMSDIST(I5780)),"")</f>
        <v/>
      </c>
      <c r="K5780">
        <f>IF(B5780,INDEX(MineScale,C5780),"")</f>
        <v/>
      </c>
      <c r="L5780">
        <f>IF(B5780,INDEX(Dow,1,WEEKDAY(E5780,2)),"")</f>
        <v/>
      </c>
      <c r="M5780">
        <f>IF(B5780,(1+Trend)^D5780,"")</f>
        <v/>
      </c>
      <c r="N5780">
        <f>IF(B5780,EXP(SUMPRODUCT(LN(1+(EvEff-1)*INDEX(Affected,0,C5780)*EXP(-((E5780-EvCenter)^2)/(2*EvSigma^2))))),"")</f>
        <v/>
      </c>
      <c r="O5780">
        <f>IF(B5780,ROUND(MAX(0,J5780*K5780*L5780*M5780*N5780),2),"")</f>
        <v/>
      </c>
    </row>
    <row r="5781">
      <c r="A5781" t="n">
        <v>5780</v>
      </c>
      <c r="B5781">
        <f>A5781&lt;=MineCount*Days</f>
        <v/>
      </c>
      <c r="C5781">
        <f>IF(B5781,INT((A5781-1)/Days)+1,"")</f>
        <v/>
      </c>
      <c r="D5781">
        <f>IF(B5781,MOD(A5781-1,Days),"")</f>
        <v/>
      </c>
      <c r="E5781" s="16">
        <f>IF(B5781,StartDate+D5781,"")</f>
        <v/>
      </c>
      <c r="F5781">
        <f>IF(B5781,MAX(MOD(SIN(Seed*0.1373+C5781*12.9898+D5781*78.233)*43758.5453,1),1E-9),"")</f>
        <v/>
      </c>
      <c r="G5781">
        <f>IF(B5781,MOD(SIN(Seed*0.5917+C5781*39.3468+D5781*11.135)*24634.6345,1),"")</f>
        <v/>
      </c>
      <c r="H5781">
        <f>IF(B5781,SQRT(-2*LN(F5781))*COS(2*PI()*G5781),"")</f>
        <v/>
      </c>
      <c r="I5781">
        <f>IF(B5781,IF(D5781=0,H5781,Rho*I5780+SQRT(1-Rho^2)*H5781),"")</f>
        <v/>
      </c>
      <c r="J5781">
        <f>IF(B5781,IF(Dist="Normal",DistA+DistB*I5781,DistA+(DistB-DistA)*NORMSDIST(I5781)),"")</f>
        <v/>
      </c>
      <c r="K5781">
        <f>IF(B5781,INDEX(MineScale,C5781),"")</f>
        <v/>
      </c>
      <c r="L5781">
        <f>IF(B5781,INDEX(Dow,1,WEEKDAY(E5781,2)),"")</f>
        <v/>
      </c>
      <c r="M5781">
        <f>IF(B5781,(1+Trend)^D5781,"")</f>
        <v/>
      </c>
      <c r="N5781">
        <f>IF(B5781,EXP(SUMPRODUCT(LN(1+(EvEff-1)*INDEX(Affected,0,C5781)*EXP(-((E5781-EvCenter)^2)/(2*EvSigma^2))))),"")</f>
        <v/>
      </c>
      <c r="O5781">
        <f>IF(B5781,ROUND(MAX(0,J5781*K5781*L5781*M5781*N5781),2),"")</f>
        <v/>
      </c>
    </row>
    <row r="5782">
      <c r="A5782" t="n">
        <v>5781</v>
      </c>
      <c r="B5782">
        <f>A5782&lt;=MineCount*Days</f>
        <v/>
      </c>
      <c r="C5782">
        <f>IF(B5782,INT((A5782-1)/Days)+1,"")</f>
        <v/>
      </c>
      <c r="D5782">
        <f>IF(B5782,MOD(A5782-1,Days),"")</f>
        <v/>
      </c>
      <c r="E5782" s="16">
        <f>IF(B5782,StartDate+D5782,"")</f>
        <v/>
      </c>
      <c r="F5782">
        <f>IF(B5782,MAX(MOD(SIN(Seed*0.1373+C5782*12.9898+D5782*78.233)*43758.5453,1),1E-9),"")</f>
        <v/>
      </c>
      <c r="G5782">
        <f>IF(B5782,MOD(SIN(Seed*0.5917+C5782*39.3468+D5782*11.135)*24634.6345,1),"")</f>
        <v/>
      </c>
      <c r="H5782">
        <f>IF(B5782,SQRT(-2*LN(F5782))*COS(2*PI()*G5782),"")</f>
        <v/>
      </c>
      <c r="I5782">
        <f>IF(B5782,IF(D5782=0,H5782,Rho*I5781+SQRT(1-Rho^2)*H5782),"")</f>
        <v/>
      </c>
      <c r="J5782">
        <f>IF(B5782,IF(Dist="Normal",DistA+DistB*I5782,DistA+(DistB-DistA)*NORMSDIST(I5782)),"")</f>
        <v/>
      </c>
      <c r="K5782">
        <f>IF(B5782,INDEX(MineScale,C5782),"")</f>
        <v/>
      </c>
      <c r="L5782">
        <f>IF(B5782,INDEX(Dow,1,WEEKDAY(E5782,2)),"")</f>
        <v/>
      </c>
      <c r="M5782">
        <f>IF(B5782,(1+Trend)^D5782,"")</f>
        <v/>
      </c>
      <c r="N5782">
        <f>IF(B5782,EXP(SUMPRODUCT(LN(1+(EvEff-1)*INDEX(Affected,0,C5782)*EXP(-((E5782-EvCenter)^2)/(2*EvSigma^2))))),"")</f>
        <v/>
      </c>
      <c r="O5782">
        <f>IF(B5782,ROUND(MAX(0,J5782*K5782*L5782*M5782*N5782),2),"")</f>
        <v/>
      </c>
    </row>
    <row r="5783">
      <c r="A5783" t="n">
        <v>5782</v>
      </c>
      <c r="B5783">
        <f>A5783&lt;=MineCount*Days</f>
        <v/>
      </c>
      <c r="C5783">
        <f>IF(B5783,INT((A5783-1)/Days)+1,"")</f>
        <v/>
      </c>
      <c r="D5783">
        <f>IF(B5783,MOD(A5783-1,Days),"")</f>
        <v/>
      </c>
      <c r="E5783" s="16">
        <f>IF(B5783,StartDate+D5783,"")</f>
        <v/>
      </c>
      <c r="F5783">
        <f>IF(B5783,MAX(MOD(SIN(Seed*0.1373+C5783*12.9898+D5783*78.233)*43758.5453,1),1E-9),"")</f>
        <v/>
      </c>
      <c r="G5783">
        <f>IF(B5783,MOD(SIN(Seed*0.5917+C5783*39.3468+D5783*11.135)*24634.6345,1),"")</f>
        <v/>
      </c>
      <c r="H5783">
        <f>IF(B5783,SQRT(-2*LN(F5783))*COS(2*PI()*G5783),"")</f>
        <v/>
      </c>
      <c r="I5783">
        <f>IF(B5783,IF(D5783=0,H5783,Rho*I5782+SQRT(1-Rho^2)*H5783),"")</f>
        <v/>
      </c>
      <c r="J5783">
        <f>IF(B5783,IF(Dist="Normal",DistA+DistB*I5783,DistA+(DistB-DistA)*NORMSDIST(I5783)),"")</f>
        <v/>
      </c>
      <c r="K5783">
        <f>IF(B5783,INDEX(MineScale,C5783),"")</f>
        <v/>
      </c>
      <c r="L5783">
        <f>IF(B5783,INDEX(Dow,1,WEEKDAY(E5783,2)),"")</f>
        <v/>
      </c>
      <c r="M5783">
        <f>IF(B5783,(1+Trend)^D5783,"")</f>
        <v/>
      </c>
      <c r="N5783">
        <f>IF(B5783,EXP(SUMPRODUCT(LN(1+(EvEff-1)*INDEX(Affected,0,C5783)*EXP(-((E5783-EvCenter)^2)/(2*EvSigma^2))))),"")</f>
        <v/>
      </c>
      <c r="O5783">
        <f>IF(B5783,ROUND(MAX(0,J5783*K5783*L5783*M5783*N5783),2),"")</f>
        <v/>
      </c>
    </row>
    <row r="5784">
      <c r="A5784" t="n">
        <v>5783</v>
      </c>
      <c r="B5784">
        <f>A5784&lt;=MineCount*Days</f>
        <v/>
      </c>
      <c r="C5784">
        <f>IF(B5784,INT((A5784-1)/Days)+1,"")</f>
        <v/>
      </c>
      <c r="D5784">
        <f>IF(B5784,MOD(A5784-1,Days),"")</f>
        <v/>
      </c>
      <c r="E5784" s="16">
        <f>IF(B5784,StartDate+D5784,"")</f>
        <v/>
      </c>
      <c r="F5784">
        <f>IF(B5784,MAX(MOD(SIN(Seed*0.1373+C5784*12.9898+D5784*78.233)*43758.5453,1),1E-9),"")</f>
        <v/>
      </c>
      <c r="G5784">
        <f>IF(B5784,MOD(SIN(Seed*0.5917+C5784*39.3468+D5784*11.135)*24634.6345,1),"")</f>
        <v/>
      </c>
      <c r="H5784">
        <f>IF(B5784,SQRT(-2*LN(F5784))*COS(2*PI()*G5784),"")</f>
        <v/>
      </c>
      <c r="I5784">
        <f>IF(B5784,IF(D5784=0,H5784,Rho*I5783+SQRT(1-Rho^2)*H5784),"")</f>
        <v/>
      </c>
      <c r="J5784">
        <f>IF(B5784,IF(Dist="Normal",DistA+DistB*I5784,DistA+(DistB-DistA)*NORMSDIST(I5784)),"")</f>
        <v/>
      </c>
      <c r="K5784">
        <f>IF(B5784,INDEX(MineScale,C5784),"")</f>
        <v/>
      </c>
      <c r="L5784">
        <f>IF(B5784,INDEX(Dow,1,WEEKDAY(E5784,2)),"")</f>
        <v/>
      </c>
      <c r="M5784">
        <f>IF(B5784,(1+Trend)^D5784,"")</f>
        <v/>
      </c>
      <c r="N5784">
        <f>IF(B5784,EXP(SUMPRODUCT(LN(1+(EvEff-1)*INDEX(Affected,0,C5784)*EXP(-((E5784-EvCenter)^2)/(2*EvSigma^2))))),"")</f>
        <v/>
      </c>
      <c r="O5784">
        <f>IF(B5784,ROUND(MAX(0,J5784*K5784*L5784*M5784*N5784),2),"")</f>
        <v/>
      </c>
    </row>
    <row r="5785">
      <c r="A5785" t="n">
        <v>5784</v>
      </c>
      <c r="B5785">
        <f>A5785&lt;=MineCount*Days</f>
        <v/>
      </c>
      <c r="C5785">
        <f>IF(B5785,INT((A5785-1)/Days)+1,"")</f>
        <v/>
      </c>
      <c r="D5785">
        <f>IF(B5785,MOD(A5785-1,Days),"")</f>
        <v/>
      </c>
      <c r="E5785" s="16">
        <f>IF(B5785,StartDate+D5785,"")</f>
        <v/>
      </c>
      <c r="F5785">
        <f>IF(B5785,MAX(MOD(SIN(Seed*0.1373+C5785*12.9898+D5785*78.233)*43758.5453,1),1E-9),"")</f>
        <v/>
      </c>
      <c r="G5785">
        <f>IF(B5785,MOD(SIN(Seed*0.5917+C5785*39.3468+D5785*11.135)*24634.6345,1),"")</f>
        <v/>
      </c>
      <c r="H5785">
        <f>IF(B5785,SQRT(-2*LN(F5785))*COS(2*PI()*G5785),"")</f>
        <v/>
      </c>
      <c r="I5785">
        <f>IF(B5785,IF(D5785=0,H5785,Rho*I5784+SQRT(1-Rho^2)*H5785),"")</f>
        <v/>
      </c>
      <c r="J5785">
        <f>IF(B5785,IF(Dist="Normal",DistA+DistB*I5785,DistA+(DistB-DistA)*NORMSDIST(I5785)),"")</f>
        <v/>
      </c>
      <c r="K5785">
        <f>IF(B5785,INDEX(MineScale,C5785),"")</f>
        <v/>
      </c>
      <c r="L5785">
        <f>IF(B5785,INDEX(Dow,1,WEEKDAY(E5785,2)),"")</f>
        <v/>
      </c>
      <c r="M5785">
        <f>IF(B5785,(1+Trend)^D5785,"")</f>
        <v/>
      </c>
      <c r="N5785">
        <f>IF(B5785,EXP(SUMPRODUCT(LN(1+(EvEff-1)*INDEX(Affected,0,C5785)*EXP(-((E5785-EvCenter)^2)/(2*EvSigma^2))))),"")</f>
        <v/>
      </c>
      <c r="O5785">
        <f>IF(B5785,ROUND(MAX(0,J5785*K5785*L5785*M5785*N5785),2),"")</f>
        <v/>
      </c>
    </row>
    <row r="5786">
      <c r="A5786" t="n">
        <v>5785</v>
      </c>
      <c r="B5786">
        <f>A5786&lt;=MineCount*Days</f>
        <v/>
      </c>
      <c r="C5786">
        <f>IF(B5786,INT((A5786-1)/Days)+1,"")</f>
        <v/>
      </c>
      <c r="D5786">
        <f>IF(B5786,MOD(A5786-1,Days),"")</f>
        <v/>
      </c>
      <c r="E5786" s="16">
        <f>IF(B5786,StartDate+D5786,"")</f>
        <v/>
      </c>
      <c r="F5786">
        <f>IF(B5786,MAX(MOD(SIN(Seed*0.1373+C5786*12.9898+D5786*78.233)*43758.5453,1),1E-9),"")</f>
        <v/>
      </c>
      <c r="G5786">
        <f>IF(B5786,MOD(SIN(Seed*0.5917+C5786*39.3468+D5786*11.135)*24634.6345,1),"")</f>
        <v/>
      </c>
      <c r="H5786">
        <f>IF(B5786,SQRT(-2*LN(F5786))*COS(2*PI()*G5786),"")</f>
        <v/>
      </c>
      <c r="I5786">
        <f>IF(B5786,IF(D5786=0,H5786,Rho*I5785+SQRT(1-Rho^2)*H5786),"")</f>
        <v/>
      </c>
      <c r="J5786">
        <f>IF(B5786,IF(Dist="Normal",DistA+DistB*I5786,DistA+(DistB-DistA)*NORMSDIST(I5786)),"")</f>
        <v/>
      </c>
      <c r="K5786">
        <f>IF(B5786,INDEX(MineScale,C5786),"")</f>
        <v/>
      </c>
      <c r="L5786">
        <f>IF(B5786,INDEX(Dow,1,WEEKDAY(E5786,2)),"")</f>
        <v/>
      </c>
      <c r="M5786">
        <f>IF(B5786,(1+Trend)^D5786,"")</f>
        <v/>
      </c>
      <c r="N5786">
        <f>IF(B5786,EXP(SUMPRODUCT(LN(1+(EvEff-1)*INDEX(Affected,0,C5786)*EXP(-((E5786-EvCenter)^2)/(2*EvSigma^2))))),"")</f>
        <v/>
      </c>
      <c r="O5786">
        <f>IF(B5786,ROUND(MAX(0,J5786*K5786*L5786*M5786*N5786),2),"")</f>
        <v/>
      </c>
    </row>
    <row r="5787">
      <c r="A5787" t="n">
        <v>5786</v>
      </c>
      <c r="B5787">
        <f>A5787&lt;=MineCount*Days</f>
        <v/>
      </c>
      <c r="C5787">
        <f>IF(B5787,INT((A5787-1)/Days)+1,"")</f>
        <v/>
      </c>
      <c r="D5787">
        <f>IF(B5787,MOD(A5787-1,Days),"")</f>
        <v/>
      </c>
      <c r="E5787" s="16">
        <f>IF(B5787,StartDate+D5787,"")</f>
        <v/>
      </c>
      <c r="F5787">
        <f>IF(B5787,MAX(MOD(SIN(Seed*0.1373+C5787*12.9898+D5787*78.233)*43758.5453,1),1E-9),"")</f>
        <v/>
      </c>
      <c r="G5787">
        <f>IF(B5787,MOD(SIN(Seed*0.5917+C5787*39.3468+D5787*11.135)*24634.6345,1),"")</f>
        <v/>
      </c>
      <c r="H5787">
        <f>IF(B5787,SQRT(-2*LN(F5787))*COS(2*PI()*G5787),"")</f>
        <v/>
      </c>
      <c r="I5787">
        <f>IF(B5787,IF(D5787=0,H5787,Rho*I5786+SQRT(1-Rho^2)*H5787),"")</f>
        <v/>
      </c>
      <c r="J5787">
        <f>IF(B5787,IF(Dist="Normal",DistA+DistB*I5787,DistA+(DistB-DistA)*NORMSDIST(I5787)),"")</f>
        <v/>
      </c>
      <c r="K5787">
        <f>IF(B5787,INDEX(MineScale,C5787),"")</f>
        <v/>
      </c>
      <c r="L5787">
        <f>IF(B5787,INDEX(Dow,1,WEEKDAY(E5787,2)),"")</f>
        <v/>
      </c>
      <c r="M5787">
        <f>IF(B5787,(1+Trend)^D5787,"")</f>
        <v/>
      </c>
      <c r="N5787">
        <f>IF(B5787,EXP(SUMPRODUCT(LN(1+(EvEff-1)*INDEX(Affected,0,C5787)*EXP(-((E5787-EvCenter)^2)/(2*EvSigma^2))))),"")</f>
        <v/>
      </c>
      <c r="O5787">
        <f>IF(B5787,ROUND(MAX(0,J5787*K5787*L5787*M5787*N5787),2),"")</f>
        <v/>
      </c>
    </row>
    <row r="5788">
      <c r="A5788" t="n">
        <v>5787</v>
      </c>
      <c r="B5788">
        <f>A5788&lt;=MineCount*Days</f>
        <v/>
      </c>
      <c r="C5788">
        <f>IF(B5788,INT((A5788-1)/Days)+1,"")</f>
        <v/>
      </c>
      <c r="D5788">
        <f>IF(B5788,MOD(A5788-1,Days),"")</f>
        <v/>
      </c>
      <c r="E5788" s="16">
        <f>IF(B5788,StartDate+D5788,"")</f>
        <v/>
      </c>
      <c r="F5788">
        <f>IF(B5788,MAX(MOD(SIN(Seed*0.1373+C5788*12.9898+D5788*78.233)*43758.5453,1),1E-9),"")</f>
        <v/>
      </c>
      <c r="G5788">
        <f>IF(B5788,MOD(SIN(Seed*0.5917+C5788*39.3468+D5788*11.135)*24634.6345,1),"")</f>
        <v/>
      </c>
      <c r="H5788">
        <f>IF(B5788,SQRT(-2*LN(F5788))*COS(2*PI()*G5788),"")</f>
        <v/>
      </c>
      <c r="I5788">
        <f>IF(B5788,IF(D5788=0,H5788,Rho*I5787+SQRT(1-Rho^2)*H5788),"")</f>
        <v/>
      </c>
      <c r="J5788">
        <f>IF(B5788,IF(Dist="Normal",DistA+DistB*I5788,DistA+(DistB-DistA)*NORMSDIST(I5788)),"")</f>
        <v/>
      </c>
      <c r="K5788">
        <f>IF(B5788,INDEX(MineScale,C5788),"")</f>
        <v/>
      </c>
      <c r="L5788">
        <f>IF(B5788,INDEX(Dow,1,WEEKDAY(E5788,2)),"")</f>
        <v/>
      </c>
      <c r="M5788">
        <f>IF(B5788,(1+Trend)^D5788,"")</f>
        <v/>
      </c>
      <c r="N5788">
        <f>IF(B5788,EXP(SUMPRODUCT(LN(1+(EvEff-1)*INDEX(Affected,0,C5788)*EXP(-((E5788-EvCenter)^2)/(2*EvSigma^2))))),"")</f>
        <v/>
      </c>
      <c r="O5788">
        <f>IF(B5788,ROUND(MAX(0,J5788*K5788*L5788*M5788*N5788),2),"")</f>
        <v/>
      </c>
    </row>
    <row r="5789">
      <c r="A5789" t="n">
        <v>5788</v>
      </c>
      <c r="B5789">
        <f>A5789&lt;=MineCount*Days</f>
        <v/>
      </c>
      <c r="C5789">
        <f>IF(B5789,INT((A5789-1)/Days)+1,"")</f>
        <v/>
      </c>
      <c r="D5789">
        <f>IF(B5789,MOD(A5789-1,Days),"")</f>
        <v/>
      </c>
      <c r="E5789" s="16">
        <f>IF(B5789,StartDate+D5789,"")</f>
        <v/>
      </c>
      <c r="F5789">
        <f>IF(B5789,MAX(MOD(SIN(Seed*0.1373+C5789*12.9898+D5789*78.233)*43758.5453,1),1E-9),"")</f>
        <v/>
      </c>
      <c r="G5789">
        <f>IF(B5789,MOD(SIN(Seed*0.5917+C5789*39.3468+D5789*11.135)*24634.6345,1),"")</f>
        <v/>
      </c>
      <c r="H5789">
        <f>IF(B5789,SQRT(-2*LN(F5789))*COS(2*PI()*G5789),"")</f>
        <v/>
      </c>
      <c r="I5789">
        <f>IF(B5789,IF(D5789=0,H5789,Rho*I5788+SQRT(1-Rho^2)*H5789),"")</f>
        <v/>
      </c>
      <c r="J5789">
        <f>IF(B5789,IF(Dist="Normal",DistA+DistB*I5789,DistA+(DistB-DistA)*NORMSDIST(I5789)),"")</f>
        <v/>
      </c>
      <c r="K5789">
        <f>IF(B5789,INDEX(MineScale,C5789),"")</f>
        <v/>
      </c>
      <c r="L5789">
        <f>IF(B5789,INDEX(Dow,1,WEEKDAY(E5789,2)),"")</f>
        <v/>
      </c>
      <c r="M5789">
        <f>IF(B5789,(1+Trend)^D5789,"")</f>
        <v/>
      </c>
      <c r="N5789">
        <f>IF(B5789,EXP(SUMPRODUCT(LN(1+(EvEff-1)*INDEX(Affected,0,C5789)*EXP(-((E5789-EvCenter)^2)/(2*EvSigma^2))))),"")</f>
        <v/>
      </c>
      <c r="O5789">
        <f>IF(B5789,ROUND(MAX(0,J5789*K5789*L5789*M5789*N5789),2),"")</f>
        <v/>
      </c>
    </row>
    <row r="5790">
      <c r="A5790" t="n">
        <v>5789</v>
      </c>
      <c r="B5790">
        <f>A5790&lt;=MineCount*Days</f>
        <v/>
      </c>
      <c r="C5790">
        <f>IF(B5790,INT((A5790-1)/Days)+1,"")</f>
        <v/>
      </c>
      <c r="D5790">
        <f>IF(B5790,MOD(A5790-1,Days),"")</f>
        <v/>
      </c>
      <c r="E5790" s="16">
        <f>IF(B5790,StartDate+D5790,"")</f>
        <v/>
      </c>
      <c r="F5790">
        <f>IF(B5790,MAX(MOD(SIN(Seed*0.1373+C5790*12.9898+D5790*78.233)*43758.5453,1),1E-9),"")</f>
        <v/>
      </c>
      <c r="G5790">
        <f>IF(B5790,MOD(SIN(Seed*0.5917+C5790*39.3468+D5790*11.135)*24634.6345,1),"")</f>
        <v/>
      </c>
      <c r="H5790">
        <f>IF(B5790,SQRT(-2*LN(F5790))*COS(2*PI()*G5790),"")</f>
        <v/>
      </c>
      <c r="I5790">
        <f>IF(B5790,IF(D5790=0,H5790,Rho*I5789+SQRT(1-Rho^2)*H5790),"")</f>
        <v/>
      </c>
      <c r="J5790">
        <f>IF(B5790,IF(Dist="Normal",DistA+DistB*I5790,DistA+(DistB-DistA)*NORMSDIST(I5790)),"")</f>
        <v/>
      </c>
      <c r="K5790">
        <f>IF(B5790,INDEX(MineScale,C5790),"")</f>
        <v/>
      </c>
      <c r="L5790">
        <f>IF(B5790,INDEX(Dow,1,WEEKDAY(E5790,2)),"")</f>
        <v/>
      </c>
      <c r="M5790">
        <f>IF(B5790,(1+Trend)^D5790,"")</f>
        <v/>
      </c>
      <c r="N5790">
        <f>IF(B5790,EXP(SUMPRODUCT(LN(1+(EvEff-1)*INDEX(Affected,0,C5790)*EXP(-((E5790-EvCenter)^2)/(2*EvSigma^2))))),"")</f>
        <v/>
      </c>
      <c r="O5790">
        <f>IF(B5790,ROUND(MAX(0,J5790*K5790*L5790*M5790*N5790),2),"")</f>
        <v/>
      </c>
    </row>
    <row r="5791">
      <c r="A5791" t="n">
        <v>5790</v>
      </c>
      <c r="B5791">
        <f>A5791&lt;=MineCount*Days</f>
        <v/>
      </c>
      <c r="C5791">
        <f>IF(B5791,INT((A5791-1)/Days)+1,"")</f>
        <v/>
      </c>
      <c r="D5791">
        <f>IF(B5791,MOD(A5791-1,Days),"")</f>
        <v/>
      </c>
      <c r="E5791" s="16">
        <f>IF(B5791,StartDate+D5791,"")</f>
        <v/>
      </c>
      <c r="F5791">
        <f>IF(B5791,MAX(MOD(SIN(Seed*0.1373+C5791*12.9898+D5791*78.233)*43758.5453,1),1E-9),"")</f>
        <v/>
      </c>
      <c r="G5791">
        <f>IF(B5791,MOD(SIN(Seed*0.5917+C5791*39.3468+D5791*11.135)*24634.6345,1),"")</f>
        <v/>
      </c>
      <c r="H5791">
        <f>IF(B5791,SQRT(-2*LN(F5791))*COS(2*PI()*G5791),"")</f>
        <v/>
      </c>
      <c r="I5791">
        <f>IF(B5791,IF(D5791=0,H5791,Rho*I5790+SQRT(1-Rho^2)*H5791),"")</f>
        <v/>
      </c>
      <c r="J5791">
        <f>IF(B5791,IF(Dist="Normal",DistA+DistB*I5791,DistA+(DistB-DistA)*NORMSDIST(I5791)),"")</f>
        <v/>
      </c>
      <c r="K5791">
        <f>IF(B5791,INDEX(MineScale,C5791),"")</f>
        <v/>
      </c>
      <c r="L5791">
        <f>IF(B5791,INDEX(Dow,1,WEEKDAY(E5791,2)),"")</f>
        <v/>
      </c>
      <c r="M5791">
        <f>IF(B5791,(1+Trend)^D5791,"")</f>
        <v/>
      </c>
      <c r="N5791">
        <f>IF(B5791,EXP(SUMPRODUCT(LN(1+(EvEff-1)*INDEX(Affected,0,C5791)*EXP(-((E5791-EvCenter)^2)/(2*EvSigma^2))))),"")</f>
        <v/>
      </c>
      <c r="O5791">
        <f>IF(B5791,ROUND(MAX(0,J5791*K5791*L5791*M5791*N5791),2),"")</f>
        <v/>
      </c>
    </row>
    <row r="5792">
      <c r="A5792" t="n">
        <v>5791</v>
      </c>
      <c r="B5792">
        <f>A5792&lt;=MineCount*Days</f>
        <v/>
      </c>
      <c r="C5792">
        <f>IF(B5792,INT((A5792-1)/Days)+1,"")</f>
        <v/>
      </c>
      <c r="D5792">
        <f>IF(B5792,MOD(A5792-1,Days),"")</f>
        <v/>
      </c>
      <c r="E5792" s="16">
        <f>IF(B5792,StartDate+D5792,"")</f>
        <v/>
      </c>
      <c r="F5792">
        <f>IF(B5792,MAX(MOD(SIN(Seed*0.1373+C5792*12.9898+D5792*78.233)*43758.5453,1),1E-9),"")</f>
        <v/>
      </c>
      <c r="G5792">
        <f>IF(B5792,MOD(SIN(Seed*0.5917+C5792*39.3468+D5792*11.135)*24634.6345,1),"")</f>
        <v/>
      </c>
      <c r="H5792">
        <f>IF(B5792,SQRT(-2*LN(F5792))*COS(2*PI()*G5792),"")</f>
        <v/>
      </c>
      <c r="I5792">
        <f>IF(B5792,IF(D5792=0,H5792,Rho*I5791+SQRT(1-Rho^2)*H5792),"")</f>
        <v/>
      </c>
      <c r="J5792">
        <f>IF(B5792,IF(Dist="Normal",DistA+DistB*I5792,DistA+(DistB-DistA)*NORMSDIST(I5792)),"")</f>
        <v/>
      </c>
      <c r="K5792">
        <f>IF(B5792,INDEX(MineScale,C5792),"")</f>
        <v/>
      </c>
      <c r="L5792">
        <f>IF(B5792,INDEX(Dow,1,WEEKDAY(E5792,2)),"")</f>
        <v/>
      </c>
      <c r="M5792">
        <f>IF(B5792,(1+Trend)^D5792,"")</f>
        <v/>
      </c>
      <c r="N5792">
        <f>IF(B5792,EXP(SUMPRODUCT(LN(1+(EvEff-1)*INDEX(Affected,0,C5792)*EXP(-((E5792-EvCenter)^2)/(2*EvSigma^2))))),"")</f>
        <v/>
      </c>
      <c r="O5792">
        <f>IF(B5792,ROUND(MAX(0,J5792*K5792*L5792*M5792*N5792),2),"")</f>
        <v/>
      </c>
    </row>
    <row r="5793">
      <c r="A5793" t="n">
        <v>5792</v>
      </c>
      <c r="B5793">
        <f>A5793&lt;=MineCount*Days</f>
        <v/>
      </c>
      <c r="C5793">
        <f>IF(B5793,INT((A5793-1)/Days)+1,"")</f>
        <v/>
      </c>
      <c r="D5793">
        <f>IF(B5793,MOD(A5793-1,Days),"")</f>
        <v/>
      </c>
      <c r="E5793" s="16">
        <f>IF(B5793,StartDate+D5793,"")</f>
        <v/>
      </c>
      <c r="F5793">
        <f>IF(B5793,MAX(MOD(SIN(Seed*0.1373+C5793*12.9898+D5793*78.233)*43758.5453,1),1E-9),"")</f>
        <v/>
      </c>
      <c r="G5793">
        <f>IF(B5793,MOD(SIN(Seed*0.5917+C5793*39.3468+D5793*11.135)*24634.6345,1),"")</f>
        <v/>
      </c>
      <c r="H5793">
        <f>IF(B5793,SQRT(-2*LN(F5793))*COS(2*PI()*G5793),"")</f>
        <v/>
      </c>
      <c r="I5793">
        <f>IF(B5793,IF(D5793=0,H5793,Rho*I5792+SQRT(1-Rho^2)*H5793),"")</f>
        <v/>
      </c>
      <c r="J5793">
        <f>IF(B5793,IF(Dist="Normal",DistA+DistB*I5793,DistA+(DistB-DistA)*NORMSDIST(I5793)),"")</f>
        <v/>
      </c>
      <c r="K5793">
        <f>IF(B5793,INDEX(MineScale,C5793),"")</f>
        <v/>
      </c>
      <c r="L5793">
        <f>IF(B5793,INDEX(Dow,1,WEEKDAY(E5793,2)),"")</f>
        <v/>
      </c>
      <c r="M5793">
        <f>IF(B5793,(1+Trend)^D5793,"")</f>
        <v/>
      </c>
      <c r="N5793">
        <f>IF(B5793,EXP(SUMPRODUCT(LN(1+(EvEff-1)*INDEX(Affected,0,C5793)*EXP(-((E5793-EvCenter)^2)/(2*EvSigma^2))))),"")</f>
        <v/>
      </c>
      <c r="O5793">
        <f>IF(B5793,ROUND(MAX(0,J5793*K5793*L5793*M5793*N5793),2),"")</f>
        <v/>
      </c>
    </row>
    <row r="5794">
      <c r="A5794" t="n">
        <v>5793</v>
      </c>
      <c r="B5794">
        <f>A5794&lt;=MineCount*Days</f>
        <v/>
      </c>
      <c r="C5794">
        <f>IF(B5794,INT((A5794-1)/Days)+1,"")</f>
        <v/>
      </c>
      <c r="D5794">
        <f>IF(B5794,MOD(A5794-1,Days),"")</f>
        <v/>
      </c>
      <c r="E5794" s="16">
        <f>IF(B5794,StartDate+D5794,"")</f>
        <v/>
      </c>
      <c r="F5794">
        <f>IF(B5794,MAX(MOD(SIN(Seed*0.1373+C5794*12.9898+D5794*78.233)*43758.5453,1),1E-9),"")</f>
        <v/>
      </c>
      <c r="G5794">
        <f>IF(B5794,MOD(SIN(Seed*0.5917+C5794*39.3468+D5794*11.135)*24634.6345,1),"")</f>
        <v/>
      </c>
      <c r="H5794">
        <f>IF(B5794,SQRT(-2*LN(F5794))*COS(2*PI()*G5794),"")</f>
        <v/>
      </c>
      <c r="I5794">
        <f>IF(B5794,IF(D5794=0,H5794,Rho*I5793+SQRT(1-Rho^2)*H5794),"")</f>
        <v/>
      </c>
      <c r="J5794">
        <f>IF(B5794,IF(Dist="Normal",DistA+DistB*I5794,DistA+(DistB-DistA)*NORMSDIST(I5794)),"")</f>
        <v/>
      </c>
      <c r="K5794">
        <f>IF(B5794,INDEX(MineScale,C5794),"")</f>
        <v/>
      </c>
      <c r="L5794">
        <f>IF(B5794,INDEX(Dow,1,WEEKDAY(E5794,2)),"")</f>
        <v/>
      </c>
      <c r="M5794">
        <f>IF(B5794,(1+Trend)^D5794,"")</f>
        <v/>
      </c>
      <c r="N5794">
        <f>IF(B5794,EXP(SUMPRODUCT(LN(1+(EvEff-1)*INDEX(Affected,0,C5794)*EXP(-((E5794-EvCenter)^2)/(2*EvSigma^2))))),"")</f>
        <v/>
      </c>
      <c r="O5794">
        <f>IF(B5794,ROUND(MAX(0,J5794*K5794*L5794*M5794*N5794),2),"")</f>
        <v/>
      </c>
    </row>
    <row r="5795">
      <c r="A5795" t="n">
        <v>5794</v>
      </c>
      <c r="B5795">
        <f>A5795&lt;=MineCount*Days</f>
        <v/>
      </c>
      <c r="C5795">
        <f>IF(B5795,INT((A5795-1)/Days)+1,"")</f>
        <v/>
      </c>
      <c r="D5795">
        <f>IF(B5795,MOD(A5795-1,Days),"")</f>
        <v/>
      </c>
      <c r="E5795" s="16">
        <f>IF(B5795,StartDate+D5795,"")</f>
        <v/>
      </c>
      <c r="F5795">
        <f>IF(B5795,MAX(MOD(SIN(Seed*0.1373+C5795*12.9898+D5795*78.233)*43758.5453,1),1E-9),"")</f>
        <v/>
      </c>
      <c r="G5795">
        <f>IF(B5795,MOD(SIN(Seed*0.5917+C5795*39.3468+D5795*11.135)*24634.6345,1),"")</f>
        <v/>
      </c>
      <c r="H5795">
        <f>IF(B5795,SQRT(-2*LN(F5795))*COS(2*PI()*G5795),"")</f>
        <v/>
      </c>
      <c r="I5795">
        <f>IF(B5795,IF(D5795=0,H5795,Rho*I5794+SQRT(1-Rho^2)*H5795),"")</f>
        <v/>
      </c>
      <c r="J5795">
        <f>IF(B5795,IF(Dist="Normal",DistA+DistB*I5795,DistA+(DistB-DistA)*NORMSDIST(I5795)),"")</f>
        <v/>
      </c>
      <c r="K5795">
        <f>IF(B5795,INDEX(MineScale,C5795),"")</f>
        <v/>
      </c>
      <c r="L5795">
        <f>IF(B5795,INDEX(Dow,1,WEEKDAY(E5795,2)),"")</f>
        <v/>
      </c>
      <c r="M5795">
        <f>IF(B5795,(1+Trend)^D5795,"")</f>
        <v/>
      </c>
      <c r="N5795">
        <f>IF(B5795,EXP(SUMPRODUCT(LN(1+(EvEff-1)*INDEX(Affected,0,C5795)*EXP(-((E5795-EvCenter)^2)/(2*EvSigma^2))))),"")</f>
        <v/>
      </c>
      <c r="O5795">
        <f>IF(B5795,ROUND(MAX(0,J5795*K5795*L5795*M5795*N5795),2),"")</f>
        <v/>
      </c>
    </row>
    <row r="5796">
      <c r="A5796" t="n">
        <v>5795</v>
      </c>
      <c r="B5796">
        <f>A5796&lt;=MineCount*Days</f>
        <v/>
      </c>
      <c r="C5796">
        <f>IF(B5796,INT((A5796-1)/Days)+1,"")</f>
        <v/>
      </c>
      <c r="D5796">
        <f>IF(B5796,MOD(A5796-1,Days),"")</f>
        <v/>
      </c>
      <c r="E5796" s="16">
        <f>IF(B5796,StartDate+D5796,"")</f>
        <v/>
      </c>
      <c r="F5796">
        <f>IF(B5796,MAX(MOD(SIN(Seed*0.1373+C5796*12.9898+D5796*78.233)*43758.5453,1),1E-9),"")</f>
        <v/>
      </c>
      <c r="G5796">
        <f>IF(B5796,MOD(SIN(Seed*0.5917+C5796*39.3468+D5796*11.135)*24634.6345,1),"")</f>
        <v/>
      </c>
      <c r="H5796">
        <f>IF(B5796,SQRT(-2*LN(F5796))*COS(2*PI()*G5796),"")</f>
        <v/>
      </c>
      <c r="I5796">
        <f>IF(B5796,IF(D5796=0,H5796,Rho*I5795+SQRT(1-Rho^2)*H5796),"")</f>
        <v/>
      </c>
      <c r="J5796">
        <f>IF(B5796,IF(Dist="Normal",DistA+DistB*I5796,DistA+(DistB-DistA)*NORMSDIST(I5796)),"")</f>
        <v/>
      </c>
      <c r="K5796">
        <f>IF(B5796,INDEX(MineScale,C5796),"")</f>
        <v/>
      </c>
      <c r="L5796">
        <f>IF(B5796,INDEX(Dow,1,WEEKDAY(E5796,2)),"")</f>
        <v/>
      </c>
      <c r="M5796">
        <f>IF(B5796,(1+Trend)^D5796,"")</f>
        <v/>
      </c>
      <c r="N5796">
        <f>IF(B5796,EXP(SUMPRODUCT(LN(1+(EvEff-1)*INDEX(Affected,0,C5796)*EXP(-((E5796-EvCenter)^2)/(2*EvSigma^2))))),"")</f>
        <v/>
      </c>
      <c r="O5796">
        <f>IF(B5796,ROUND(MAX(0,J5796*K5796*L5796*M5796*N5796),2),"")</f>
        <v/>
      </c>
    </row>
    <row r="5797">
      <c r="A5797" t="n">
        <v>5796</v>
      </c>
      <c r="B5797">
        <f>A5797&lt;=MineCount*Days</f>
        <v/>
      </c>
      <c r="C5797">
        <f>IF(B5797,INT((A5797-1)/Days)+1,"")</f>
        <v/>
      </c>
      <c r="D5797">
        <f>IF(B5797,MOD(A5797-1,Days),"")</f>
        <v/>
      </c>
      <c r="E5797" s="16">
        <f>IF(B5797,StartDate+D5797,"")</f>
        <v/>
      </c>
      <c r="F5797">
        <f>IF(B5797,MAX(MOD(SIN(Seed*0.1373+C5797*12.9898+D5797*78.233)*43758.5453,1),1E-9),"")</f>
        <v/>
      </c>
      <c r="G5797">
        <f>IF(B5797,MOD(SIN(Seed*0.5917+C5797*39.3468+D5797*11.135)*24634.6345,1),"")</f>
        <v/>
      </c>
      <c r="H5797">
        <f>IF(B5797,SQRT(-2*LN(F5797))*COS(2*PI()*G5797),"")</f>
        <v/>
      </c>
      <c r="I5797">
        <f>IF(B5797,IF(D5797=0,H5797,Rho*I5796+SQRT(1-Rho^2)*H5797),"")</f>
        <v/>
      </c>
      <c r="J5797">
        <f>IF(B5797,IF(Dist="Normal",DistA+DistB*I5797,DistA+(DistB-DistA)*NORMSDIST(I5797)),"")</f>
        <v/>
      </c>
      <c r="K5797">
        <f>IF(B5797,INDEX(MineScale,C5797),"")</f>
        <v/>
      </c>
      <c r="L5797">
        <f>IF(B5797,INDEX(Dow,1,WEEKDAY(E5797,2)),"")</f>
        <v/>
      </c>
      <c r="M5797">
        <f>IF(B5797,(1+Trend)^D5797,"")</f>
        <v/>
      </c>
      <c r="N5797">
        <f>IF(B5797,EXP(SUMPRODUCT(LN(1+(EvEff-1)*INDEX(Affected,0,C5797)*EXP(-((E5797-EvCenter)^2)/(2*EvSigma^2))))),"")</f>
        <v/>
      </c>
      <c r="O5797">
        <f>IF(B5797,ROUND(MAX(0,J5797*K5797*L5797*M5797*N5797),2),"")</f>
        <v/>
      </c>
    </row>
    <row r="5798">
      <c r="A5798" t="n">
        <v>5797</v>
      </c>
      <c r="B5798">
        <f>A5798&lt;=MineCount*Days</f>
        <v/>
      </c>
      <c r="C5798">
        <f>IF(B5798,INT((A5798-1)/Days)+1,"")</f>
        <v/>
      </c>
      <c r="D5798">
        <f>IF(B5798,MOD(A5798-1,Days),"")</f>
        <v/>
      </c>
      <c r="E5798" s="16">
        <f>IF(B5798,StartDate+D5798,"")</f>
        <v/>
      </c>
      <c r="F5798">
        <f>IF(B5798,MAX(MOD(SIN(Seed*0.1373+C5798*12.9898+D5798*78.233)*43758.5453,1),1E-9),"")</f>
        <v/>
      </c>
      <c r="G5798">
        <f>IF(B5798,MOD(SIN(Seed*0.5917+C5798*39.3468+D5798*11.135)*24634.6345,1),"")</f>
        <v/>
      </c>
      <c r="H5798">
        <f>IF(B5798,SQRT(-2*LN(F5798))*COS(2*PI()*G5798),"")</f>
        <v/>
      </c>
      <c r="I5798">
        <f>IF(B5798,IF(D5798=0,H5798,Rho*I5797+SQRT(1-Rho^2)*H5798),"")</f>
        <v/>
      </c>
      <c r="J5798">
        <f>IF(B5798,IF(Dist="Normal",DistA+DistB*I5798,DistA+(DistB-DistA)*NORMSDIST(I5798)),"")</f>
        <v/>
      </c>
      <c r="K5798">
        <f>IF(B5798,INDEX(MineScale,C5798),"")</f>
        <v/>
      </c>
      <c r="L5798">
        <f>IF(B5798,INDEX(Dow,1,WEEKDAY(E5798,2)),"")</f>
        <v/>
      </c>
      <c r="M5798">
        <f>IF(B5798,(1+Trend)^D5798,"")</f>
        <v/>
      </c>
      <c r="N5798">
        <f>IF(B5798,EXP(SUMPRODUCT(LN(1+(EvEff-1)*INDEX(Affected,0,C5798)*EXP(-((E5798-EvCenter)^2)/(2*EvSigma^2))))),"")</f>
        <v/>
      </c>
      <c r="O5798">
        <f>IF(B5798,ROUND(MAX(0,J5798*K5798*L5798*M5798*N5798),2),"")</f>
        <v/>
      </c>
    </row>
    <row r="5799">
      <c r="A5799" t="n">
        <v>5798</v>
      </c>
      <c r="B5799">
        <f>A5799&lt;=MineCount*Days</f>
        <v/>
      </c>
      <c r="C5799">
        <f>IF(B5799,INT((A5799-1)/Days)+1,"")</f>
        <v/>
      </c>
      <c r="D5799">
        <f>IF(B5799,MOD(A5799-1,Days),"")</f>
        <v/>
      </c>
      <c r="E5799" s="16">
        <f>IF(B5799,StartDate+D5799,"")</f>
        <v/>
      </c>
      <c r="F5799">
        <f>IF(B5799,MAX(MOD(SIN(Seed*0.1373+C5799*12.9898+D5799*78.233)*43758.5453,1),1E-9),"")</f>
        <v/>
      </c>
      <c r="G5799">
        <f>IF(B5799,MOD(SIN(Seed*0.5917+C5799*39.3468+D5799*11.135)*24634.6345,1),"")</f>
        <v/>
      </c>
      <c r="H5799">
        <f>IF(B5799,SQRT(-2*LN(F5799))*COS(2*PI()*G5799),"")</f>
        <v/>
      </c>
      <c r="I5799">
        <f>IF(B5799,IF(D5799=0,H5799,Rho*I5798+SQRT(1-Rho^2)*H5799),"")</f>
        <v/>
      </c>
      <c r="J5799">
        <f>IF(B5799,IF(Dist="Normal",DistA+DistB*I5799,DistA+(DistB-DistA)*NORMSDIST(I5799)),"")</f>
        <v/>
      </c>
      <c r="K5799">
        <f>IF(B5799,INDEX(MineScale,C5799),"")</f>
        <v/>
      </c>
      <c r="L5799">
        <f>IF(B5799,INDEX(Dow,1,WEEKDAY(E5799,2)),"")</f>
        <v/>
      </c>
      <c r="M5799">
        <f>IF(B5799,(1+Trend)^D5799,"")</f>
        <v/>
      </c>
      <c r="N5799">
        <f>IF(B5799,EXP(SUMPRODUCT(LN(1+(EvEff-1)*INDEX(Affected,0,C5799)*EXP(-((E5799-EvCenter)^2)/(2*EvSigma^2))))),"")</f>
        <v/>
      </c>
      <c r="O5799">
        <f>IF(B5799,ROUND(MAX(0,J5799*K5799*L5799*M5799*N5799),2),"")</f>
        <v/>
      </c>
    </row>
    <row r="5800">
      <c r="A5800" t="n">
        <v>5799</v>
      </c>
      <c r="B5800">
        <f>A5800&lt;=MineCount*Days</f>
        <v/>
      </c>
      <c r="C5800">
        <f>IF(B5800,INT((A5800-1)/Days)+1,"")</f>
        <v/>
      </c>
      <c r="D5800">
        <f>IF(B5800,MOD(A5800-1,Days),"")</f>
        <v/>
      </c>
      <c r="E5800" s="16">
        <f>IF(B5800,StartDate+D5800,"")</f>
        <v/>
      </c>
      <c r="F5800">
        <f>IF(B5800,MAX(MOD(SIN(Seed*0.1373+C5800*12.9898+D5800*78.233)*43758.5453,1),1E-9),"")</f>
        <v/>
      </c>
      <c r="G5800">
        <f>IF(B5800,MOD(SIN(Seed*0.5917+C5800*39.3468+D5800*11.135)*24634.6345,1),"")</f>
        <v/>
      </c>
      <c r="H5800">
        <f>IF(B5800,SQRT(-2*LN(F5800))*COS(2*PI()*G5800),"")</f>
        <v/>
      </c>
      <c r="I5800">
        <f>IF(B5800,IF(D5800=0,H5800,Rho*I5799+SQRT(1-Rho^2)*H5800),"")</f>
        <v/>
      </c>
      <c r="J5800">
        <f>IF(B5800,IF(Dist="Normal",DistA+DistB*I5800,DistA+(DistB-DistA)*NORMSDIST(I5800)),"")</f>
        <v/>
      </c>
      <c r="K5800">
        <f>IF(B5800,INDEX(MineScale,C5800),"")</f>
        <v/>
      </c>
      <c r="L5800">
        <f>IF(B5800,INDEX(Dow,1,WEEKDAY(E5800,2)),"")</f>
        <v/>
      </c>
      <c r="M5800">
        <f>IF(B5800,(1+Trend)^D5800,"")</f>
        <v/>
      </c>
      <c r="N5800">
        <f>IF(B5800,EXP(SUMPRODUCT(LN(1+(EvEff-1)*INDEX(Affected,0,C5800)*EXP(-((E5800-EvCenter)^2)/(2*EvSigma^2))))),"")</f>
        <v/>
      </c>
      <c r="O5800">
        <f>IF(B5800,ROUND(MAX(0,J5800*K5800*L5800*M5800*N5800),2),"")</f>
        <v/>
      </c>
    </row>
    <row r="5801">
      <c r="A5801" t="n">
        <v>5800</v>
      </c>
      <c r="B5801">
        <f>A5801&lt;=MineCount*Days</f>
        <v/>
      </c>
      <c r="C5801">
        <f>IF(B5801,INT((A5801-1)/Days)+1,"")</f>
        <v/>
      </c>
      <c r="D5801">
        <f>IF(B5801,MOD(A5801-1,Days),"")</f>
        <v/>
      </c>
      <c r="E5801" s="16">
        <f>IF(B5801,StartDate+D5801,"")</f>
        <v/>
      </c>
      <c r="F5801">
        <f>IF(B5801,MAX(MOD(SIN(Seed*0.1373+C5801*12.9898+D5801*78.233)*43758.5453,1),1E-9),"")</f>
        <v/>
      </c>
      <c r="G5801">
        <f>IF(B5801,MOD(SIN(Seed*0.5917+C5801*39.3468+D5801*11.135)*24634.6345,1),"")</f>
        <v/>
      </c>
      <c r="H5801">
        <f>IF(B5801,SQRT(-2*LN(F5801))*COS(2*PI()*G5801),"")</f>
        <v/>
      </c>
      <c r="I5801">
        <f>IF(B5801,IF(D5801=0,H5801,Rho*I5800+SQRT(1-Rho^2)*H5801),"")</f>
        <v/>
      </c>
      <c r="J5801">
        <f>IF(B5801,IF(Dist="Normal",DistA+DistB*I5801,DistA+(DistB-DistA)*NORMSDIST(I5801)),"")</f>
        <v/>
      </c>
      <c r="K5801">
        <f>IF(B5801,INDEX(MineScale,C5801),"")</f>
        <v/>
      </c>
      <c r="L5801">
        <f>IF(B5801,INDEX(Dow,1,WEEKDAY(E5801,2)),"")</f>
        <v/>
      </c>
      <c r="M5801">
        <f>IF(B5801,(1+Trend)^D5801,"")</f>
        <v/>
      </c>
      <c r="N5801">
        <f>IF(B5801,EXP(SUMPRODUCT(LN(1+(EvEff-1)*INDEX(Affected,0,C5801)*EXP(-((E5801-EvCenter)^2)/(2*EvSigma^2))))),"")</f>
        <v/>
      </c>
      <c r="O5801">
        <f>IF(B5801,ROUND(MAX(0,J5801*K5801*L5801*M5801*N5801),2),"")</f>
        <v/>
      </c>
    </row>
    <row r="5802">
      <c r="A5802" t="n">
        <v>5801</v>
      </c>
      <c r="B5802">
        <f>A5802&lt;=MineCount*Days</f>
        <v/>
      </c>
      <c r="C5802">
        <f>IF(B5802,INT((A5802-1)/Days)+1,"")</f>
        <v/>
      </c>
      <c r="D5802">
        <f>IF(B5802,MOD(A5802-1,Days),"")</f>
        <v/>
      </c>
      <c r="E5802" s="16">
        <f>IF(B5802,StartDate+D5802,"")</f>
        <v/>
      </c>
      <c r="F5802">
        <f>IF(B5802,MAX(MOD(SIN(Seed*0.1373+C5802*12.9898+D5802*78.233)*43758.5453,1),1E-9),"")</f>
        <v/>
      </c>
      <c r="G5802">
        <f>IF(B5802,MOD(SIN(Seed*0.5917+C5802*39.3468+D5802*11.135)*24634.6345,1),"")</f>
        <v/>
      </c>
      <c r="H5802">
        <f>IF(B5802,SQRT(-2*LN(F5802))*COS(2*PI()*G5802),"")</f>
        <v/>
      </c>
      <c r="I5802">
        <f>IF(B5802,IF(D5802=0,H5802,Rho*I5801+SQRT(1-Rho^2)*H5802),"")</f>
        <v/>
      </c>
      <c r="J5802">
        <f>IF(B5802,IF(Dist="Normal",DistA+DistB*I5802,DistA+(DistB-DistA)*NORMSDIST(I5802)),"")</f>
        <v/>
      </c>
      <c r="K5802">
        <f>IF(B5802,INDEX(MineScale,C5802),"")</f>
        <v/>
      </c>
      <c r="L5802">
        <f>IF(B5802,INDEX(Dow,1,WEEKDAY(E5802,2)),"")</f>
        <v/>
      </c>
      <c r="M5802">
        <f>IF(B5802,(1+Trend)^D5802,"")</f>
        <v/>
      </c>
      <c r="N5802">
        <f>IF(B5802,EXP(SUMPRODUCT(LN(1+(EvEff-1)*INDEX(Affected,0,C5802)*EXP(-((E5802-EvCenter)^2)/(2*EvSigma^2))))),"")</f>
        <v/>
      </c>
      <c r="O5802">
        <f>IF(B5802,ROUND(MAX(0,J5802*K5802*L5802*M5802*N5802),2),"")</f>
        <v/>
      </c>
    </row>
    <row r="5803">
      <c r="A5803" t="n">
        <v>5802</v>
      </c>
      <c r="B5803">
        <f>A5803&lt;=MineCount*Days</f>
        <v/>
      </c>
      <c r="C5803">
        <f>IF(B5803,INT((A5803-1)/Days)+1,"")</f>
        <v/>
      </c>
      <c r="D5803">
        <f>IF(B5803,MOD(A5803-1,Days),"")</f>
        <v/>
      </c>
      <c r="E5803" s="16">
        <f>IF(B5803,StartDate+D5803,"")</f>
        <v/>
      </c>
      <c r="F5803">
        <f>IF(B5803,MAX(MOD(SIN(Seed*0.1373+C5803*12.9898+D5803*78.233)*43758.5453,1),1E-9),"")</f>
        <v/>
      </c>
      <c r="G5803">
        <f>IF(B5803,MOD(SIN(Seed*0.5917+C5803*39.3468+D5803*11.135)*24634.6345,1),"")</f>
        <v/>
      </c>
      <c r="H5803">
        <f>IF(B5803,SQRT(-2*LN(F5803))*COS(2*PI()*G5803),"")</f>
        <v/>
      </c>
      <c r="I5803">
        <f>IF(B5803,IF(D5803=0,H5803,Rho*I5802+SQRT(1-Rho^2)*H5803),"")</f>
        <v/>
      </c>
      <c r="J5803">
        <f>IF(B5803,IF(Dist="Normal",DistA+DistB*I5803,DistA+(DistB-DistA)*NORMSDIST(I5803)),"")</f>
        <v/>
      </c>
      <c r="K5803">
        <f>IF(B5803,INDEX(MineScale,C5803),"")</f>
        <v/>
      </c>
      <c r="L5803">
        <f>IF(B5803,INDEX(Dow,1,WEEKDAY(E5803,2)),"")</f>
        <v/>
      </c>
      <c r="M5803">
        <f>IF(B5803,(1+Trend)^D5803,"")</f>
        <v/>
      </c>
      <c r="N5803">
        <f>IF(B5803,EXP(SUMPRODUCT(LN(1+(EvEff-1)*INDEX(Affected,0,C5803)*EXP(-((E5803-EvCenter)^2)/(2*EvSigma^2))))),"")</f>
        <v/>
      </c>
      <c r="O5803">
        <f>IF(B5803,ROUND(MAX(0,J5803*K5803*L5803*M5803*N5803),2),"")</f>
        <v/>
      </c>
    </row>
    <row r="5804">
      <c r="A5804" t="n">
        <v>5803</v>
      </c>
      <c r="B5804">
        <f>A5804&lt;=MineCount*Days</f>
        <v/>
      </c>
      <c r="C5804">
        <f>IF(B5804,INT((A5804-1)/Days)+1,"")</f>
        <v/>
      </c>
      <c r="D5804">
        <f>IF(B5804,MOD(A5804-1,Days),"")</f>
        <v/>
      </c>
      <c r="E5804" s="16">
        <f>IF(B5804,StartDate+D5804,"")</f>
        <v/>
      </c>
      <c r="F5804">
        <f>IF(B5804,MAX(MOD(SIN(Seed*0.1373+C5804*12.9898+D5804*78.233)*43758.5453,1),1E-9),"")</f>
        <v/>
      </c>
      <c r="G5804">
        <f>IF(B5804,MOD(SIN(Seed*0.5917+C5804*39.3468+D5804*11.135)*24634.6345,1),"")</f>
        <v/>
      </c>
      <c r="H5804">
        <f>IF(B5804,SQRT(-2*LN(F5804))*COS(2*PI()*G5804),"")</f>
        <v/>
      </c>
      <c r="I5804">
        <f>IF(B5804,IF(D5804=0,H5804,Rho*I5803+SQRT(1-Rho^2)*H5804),"")</f>
        <v/>
      </c>
      <c r="J5804">
        <f>IF(B5804,IF(Dist="Normal",DistA+DistB*I5804,DistA+(DistB-DistA)*NORMSDIST(I5804)),"")</f>
        <v/>
      </c>
      <c r="K5804">
        <f>IF(B5804,INDEX(MineScale,C5804),"")</f>
        <v/>
      </c>
      <c r="L5804">
        <f>IF(B5804,INDEX(Dow,1,WEEKDAY(E5804,2)),"")</f>
        <v/>
      </c>
      <c r="M5804">
        <f>IF(B5804,(1+Trend)^D5804,"")</f>
        <v/>
      </c>
      <c r="N5804">
        <f>IF(B5804,EXP(SUMPRODUCT(LN(1+(EvEff-1)*INDEX(Affected,0,C5804)*EXP(-((E5804-EvCenter)^2)/(2*EvSigma^2))))),"")</f>
        <v/>
      </c>
      <c r="O5804">
        <f>IF(B5804,ROUND(MAX(0,J5804*K5804*L5804*M5804*N5804),2),"")</f>
        <v/>
      </c>
    </row>
    <row r="5805">
      <c r="A5805" t="n">
        <v>5804</v>
      </c>
      <c r="B5805">
        <f>A5805&lt;=MineCount*Days</f>
        <v/>
      </c>
      <c r="C5805">
        <f>IF(B5805,INT((A5805-1)/Days)+1,"")</f>
        <v/>
      </c>
      <c r="D5805">
        <f>IF(B5805,MOD(A5805-1,Days),"")</f>
        <v/>
      </c>
      <c r="E5805" s="16">
        <f>IF(B5805,StartDate+D5805,"")</f>
        <v/>
      </c>
      <c r="F5805">
        <f>IF(B5805,MAX(MOD(SIN(Seed*0.1373+C5805*12.9898+D5805*78.233)*43758.5453,1),1E-9),"")</f>
        <v/>
      </c>
      <c r="G5805">
        <f>IF(B5805,MOD(SIN(Seed*0.5917+C5805*39.3468+D5805*11.135)*24634.6345,1),"")</f>
        <v/>
      </c>
      <c r="H5805">
        <f>IF(B5805,SQRT(-2*LN(F5805))*COS(2*PI()*G5805),"")</f>
        <v/>
      </c>
      <c r="I5805">
        <f>IF(B5805,IF(D5805=0,H5805,Rho*I5804+SQRT(1-Rho^2)*H5805),"")</f>
        <v/>
      </c>
      <c r="J5805">
        <f>IF(B5805,IF(Dist="Normal",DistA+DistB*I5805,DistA+(DistB-DistA)*NORMSDIST(I5805)),"")</f>
        <v/>
      </c>
      <c r="K5805">
        <f>IF(B5805,INDEX(MineScale,C5805),"")</f>
        <v/>
      </c>
      <c r="L5805">
        <f>IF(B5805,INDEX(Dow,1,WEEKDAY(E5805,2)),"")</f>
        <v/>
      </c>
      <c r="M5805">
        <f>IF(B5805,(1+Trend)^D5805,"")</f>
        <v/>
      </c>
      <c r="N5805">
        <f>IF(B5805,EXP(SUMPRODUCT(LN(1+(EvEff-1)*INDEX(Affected,0,C5805)*EXP(-((E5805-EvCenter)^2)/(2*EvSigma^2))))),"")</f>
        <v/>
      </c>
      <c r="O5805">
        <f>IF(B5805,ROUND(MAX(0,J5805*K5805*L5805*M5805*N5805),2),"")</f>
        <v/>
      </c>
    </row>
    <row r="5806">
      <c r="A5806" t="n">
        <v>5805</v>
      </c>
      <c r="B5806">
        <f>A5806&lt;=MineCount*Days</f>
        <v/>
      </c>
      <c r="C5806">
        <f>IF(B5806,INT((A5806-1)/Days)+1,"")</f>
        <v/>
      </c>
      <c r="D5806">
        <f>IF(B5806,MOD(A5806-1,Days),"")</f>
        <v/>
      </c>
      <c r="E5806" s="16">
        <f>IF(B5806,StartDate+D5806,"")</f>
        <v/>
      </c>
      <c r="F5806">
        <f>IF(B5806,MAX(MOD(SIN(Seed*0.1373+C5806*12.9898+D5806*78.233)*43758.5453,1),1E-9),"")</f>
        <v/>
      </c>
      <c r="G5806">
        <f>IF(B5806,MOD(SIN(Seed*0.5917+C5806*39.3468+D5806*11.135)*24634.6345,1),"")</f>
        <v/>
      </c>
      <c r="H5806">
        <f>IF(B5806,SQRT(-2*LN(F5806))*COS(2*PI()*G5806),"")</f>
        <v/>
      </c>
      <c r="I5806">
        <f>IF(B5806,IF(D5806=0,H5806,Rho*I5805+SQRT(1-Rho^2)*H5806),"")</f>
        <v/>
      </c>
      <c r="J5806">
        <f>IF(B5806,IF(Dist="Normal",DistA+DistB*I5806,DistA+(DistB-DistA)*NORMSDIST(I5806)),"")</f>
        <v/>
      </c>
      <c r="K5806">
        <f>IF(B5806,INDEX(MineScale,C5806),"")</f>
        <v/>
      </c>
      <c r="L5806">
        <f>IF(B5806,INDEX(Dow,1,WEEKDAY(E5806,2)),"")</f>
        <v/>
      </c>
      <c r="M5806">
        <f>IF(B5806,(1+Trend)^D5806,"")</f>
        <v/>
      </c>
      <c r="N5806">
        <f>IF(B5806,EXP(SUMPRODUCT(LN(1+(EvEff-1)*INDEX(Affected,0,C5806)*EXP(-((E5806-EvCenter)^2)/(2*EvSigma^2))))),"")</f>
        <v/>
      </c>
      <c r="O5806">
        <f>IF(B5806,ROUND(MAX(0,J5806*K5806*L5806*M5806*N5806),2),"")</f>
        <v/>
      </c>
    </row>
    <row r="5807">
      <c r="A5807" t="n">
        <v>5806</v>
      </c>
      <c r="B5807">
        <f>A5807&lt;=MineCount*Days</f>
        <v/>
      </c>
      <c r="C5807">
        <f>IF(B5807,INT((A5807-1)/Days)+1,"")</f>
        <v/>
      </c>
      <c r="D5807">
        <f>IF(B5807,MOD(A5807-1,Days),"")</f>
        <v/>
      </c>
      <c r="E5807" s="16">
        <f>IF(B5807,StartDate+D5807,"")</f>
        <v/>
      </c>
      <c r="F5807">
        <f>IF(B5807,MAX(MOD(SIN(Seed*0.1373+C5807*12.9898+D5807*78.233)*43758.5453,1),1E-9),"")</f>
        <v/>
      </c>
      <c r="G5807">
        <f>IF(B5807,MOD(SIN(Seed*0.5917+C5807*39.3468+D5807*11.135)*24634.6345,1),"")</f>
        <v/>
      </c>
      <c r="H5807">
        <f>IF(B5807,SQRT(-2*LN(F5807))*COS(2*PI()*G5807),"")</f>
        <v/>
      </c>
      <c r="I5807">
        <f>IF(B5807,IF(D5807=0,H5807,Rho*I5806+SQRT(1-Rho^2)*H5807),"")</f>
        <v/>
      </c>
      <c r="J5807">
        <f>IF(B5807,IF(Dist="Normal",DistA+DistB*I5807,DistA+(DistB-DistA)*NORMSDIST(I5807)),"")</f>
        <v/>
      </c>
      <c r="K5807">
        <f>IF(B5807,INDEX(MineScale,C5807),"")</f>
        <v/>
      </c>
      <c r="L5807">
        <f>IF(B5807,INDEX(Dow,1,WEEKDAY(E5807,2)),"")</f>
        <v/>
      </c>
      <c r="M5807">
        <f>IF(B5807,(1+Trend)^D5807,"")</f>
        <v/>
      </c>
      <c r="N5807">
        <f>IF(B5807,EXP(SUMPRODUCT(LN(1+(EvEff-1)*INDEX(Affected,0,C5807)*EXP(-((E5807-EvCenter)^2)/(2*EvSigma^2))))),"")</f>
        <v/>
      </c>
      <c r="O5807">
        <f>IF(B5807,ROUND(MAX(0,J5807*K5807*L5807*M5807*N5807),2),"")</f>
        <v/>
      </c>
    </row>
    <row r="5808">
      <c r="A5808" t="n">
        <v>5807</v>
      </c>
      <c r="B5808">
        <f>A5808&lt;=MineCount*Days</f>
        <v/>
      </c>
      <c r="C5808">
        <f>IF(B5808,INT((A5808-1)/Days)+1,"")</f>
        <v/>
      </c>
      <c r="D5808">
        <f>IF(B5808,MOD(A5808-1,Days),"")</f>
        <v/>
      </c>
      <c r="E5808" s="16">
        <f>IF(B5808,StartDate+D5808,"")</f>
        <v/>
      </c>
      <c r="F5808">
        <f>IF(B5808,MAX(MOD(SIN(Seed*0.1373+C5808*12.9898+D5808*78.233)*43758.5453,1),1E-9),"")</f>
        <v/>
      </c>
      <c r="G5808">
        <f>IF(B5808,MOD(SIN(Seed*0.5917+C5808*39.3468+D5808*11.135)*24634.6345,1),"")</f>
        <v/>
      </c>
      <c r="H5808">
        <f>IF(B5808,SQRT(-2*LN(F5808))*COS(2*PI()*G5808),"")</f>
        <v/>
      </c>
      <c r="I5808">
        <f>IF(B5808,IF(D5808=0,H5808,Rho*I5807+SQRT(1-Rho^2)*H5808),"")</f>
        <v/>
      </c>
      <c r="J5808">
        <f>IF(B5808,IF(Dist="Normal",DistA+DistB*I5808,DistA+(DistB-DistA)*NORMSDIST(I5808)),"")</f>
        <v/>
      </c>
      <c r="K5808">
        <f>IF(B5808,INDEX(MineScale,C5808),"")</f>
        <v/>
      </c>
      <c r="L5808">
        <f>IF(B5808,INDEX(Dow,1,WEEKDAY(E5808,2)),"")</f>
        <v/>
      </c>
      <c r="M5808">
        <f>IF(B5808,(1+Trend)^D5808,"")</f>
        <v/>
      </c>
      <c r="N5808">
        <f>IF(B5808,EXP(SUMPRODUCT(LN(1+(EvEff-1)*INDEX(Affected,0,C5808)*EXP(-((E5808-EvCenter)^2)/(2*EvSigma^2))))),"")</f>
        <v/>
      </c>
      <c r="O5808">
        <f>IF(B5808,ROUND(MAX(0,J5808*K5808*L5808*M5808*N5808),2),"")</f>
        <v/>
      </c>
    </row>
    <row r="5809">
      <c r="A5809" t="n">
        <v>5808</v>
      </c>
      <c r="B5809">
        <f>A5809&lt;=MineCount*Days</f>
        <v/>
      </c>
      <c r="C5809">
        <f>IF(B5809,INT((A5809-1)/Days)+1,"")</f>
        <v/>
      </c>
      <c r="D5809">
        <f>IF(B5809,MOD(A5809-1,Days),"")</f>
        <v/>
      </c>
      <c r="E5809" s="16">
        <f>IF(B5809,StartDate+D5809,"")</f>
        <v/>
      </c>
      <c r="F5809">
        <f>IF(B5809,MAX(MOD(SIN(Seed*0.1373+C5809*12.9898+D5809*78.233)*43758.5453,1),1E-9),"")</f>
        <v/>
      </c>
      <c r="G5809">
        <f>IF(B5809,MOD(SIN(Seed*0.5917+C5809*39.3468+D5809*11.135)*24634.6345,1),"")</f>
        <v/>
      </c>
      <c r="H5809">
        <f>IF(B5809,SQRT(-2*LN(F5809))*COS(2*PI()*G5809),"")</f>
        <v/>
      </c>
      <c r="I5809">
        <f>IF(B5809,IF(D5809=0,H5809,Rho*I5808+SQRT(1-Rho^2)*H5809),"")</f>
        <v/>
      </c>
      <c r="J5809">
        <f>IF(B5809,IF(Dist="Normal",DistA+DistB*I5809,DistA+(DistB-DistA)*NORMSDIST(I5809)),"")</f>
        <v/>
      </c>
      <c r="K5809">
        <f>IF(B5809,INDEX(MineScale,C5809),"")</f>
        <v/>
      </c>
      <c r="L5809">
        <f>IF(B5809,INDEX(Dow,1,WEEKDAY(E5809,2)),"")</f>
        <v/>
      </c>
      <c r="M5809">
        <f>IF(B5809,(1+Trend)^D5809,"")</f>
        <v/>
      </c>
      <c r="N5809">
        <f>IF(B5809,EXP(SUMPRODUCT(LN(1+(EvEff-1)*INDEX(Affected,0,C5809)*EXP(-((E5809-EvCenter)^2)/(2*EvSigma^2))))),"")</f>
        <v/>
      </c>
      <c r="O5809">
        <f>IF(B5809,ROUND(MAX(0,J5809*K5809*L5809*M5809*N5809),2),"")</f>
        <v/>
      </c>
    </row>
    <row r="5810">
      <c r="A5810" t="n">
        <v>5809</v>
      </c>
      <c r="B5810">
        <f>A5810&lt;=MineCount*Days</f>
        <v/>
      </c>
      <c r="C5810">
        <f>IF(B5810,INT((A5810-1)/Days)+1,"")</f>
        <v/>
      </c>
      <c r="D5810">
        <f>IF(B5810,MOD(A5810-1,Days),"")</f>
        <v/>
      </c>
      <c r="E5810" s="16">
        <f>IF(B5810,StartDate+D5810,"")</f>
        <v/>
      </c>
      <c r="F5810">
        <f>IF(B5810,MAX(MOD(SIN(Seed*0.1373+C5810*12.9898+D5810*78.233)*43758.5453,1),1E-9),"")</f>
        <v/>
      </c>
      <c r="G5810">
        <f>IF(B5810,MOD(SIN(Seed*0.5917+C5810*39.3468+D5810*11.135)*24634.6345,1),"")</f>
        <v/>
      </c>
      <c r="H5810">
        <f>IF(B5810,SQRT(-2*LN(F5810))*COS(2*PI()*G5810),"")</f>
        <v/>
      </c>
      <c r="I5810">
        <f>IF(B5810,IF(D5810=0,H5810,Rho*I5809+SQRT(1-Rho^2)*H5810),"")</f>
        <v/>
      </c>
      <c r="J5810">
        <f>IF(B5810,IF(Dist="Normal",DistA+DistB*I5810,DistA+(DistB-DistA)*NORMSDIST(I5810)),"")</f>
        <v/>
      </c>
      <c r="K5810">
        <f>IF(B5810,INDEX(MineScale,C5810),"")</f>
        <v/>
      </c>
      <c r="L5810">
        <f>IF(B5810,INDEX(Dow,1,WEEKDAY(E5810,2)),"")</f>
        <v/>
      </c>
      <c r="M5810">
        <f>IF(B5810,(1+Trend)^D5810,"")</f>
        <v/>
      </c>
      <c r="N5810">
        <f>IF(B5810,EXP(SUMPRODUCT(LN(1+(EvEff-1)*INDEX(Affected,0,C5810)*EXP(-((E5810-EvCenter)^2)/(2*EvSigma^2))))),"")</f>
        <v/>
      </c>
      <c r="O5810">
        <f>IF(B5810,ROUND(MAX(0,J5810*K5810*L5810*M5810*N5810),2),"")</f>
        <v/>
      </c>
    </row>
    <row r="5811">
      <c r="A5811" t="n">
        <v>5810</v>
      </c>
      <c r="B5811">
        <f>A5811&lt;=MineCount*Days</f>
        <v/>
      </c>
      <c r="C5811">
        <f>IF(B5811,INT((A5811-1)/Days)+1,"")</f>
        <v/>
      </c>
      <c r="D5811">
        <f>IF(B5811,MOD(A5811-1,Days),"")</f>
        <v/>
      </c>
      <c r="E5811" s="16">
        <f>IF(B5811,StartDate+D5811,"")</f>
        <v/>
      </c>
      <c r="F5811">
        <f>IF(B5811,MAX(MOD(SIN(Seed*0.1373+C5811*12.9898+D5811*78.233)*43758.5453,1),1E-9),"")</f>
        <v/>
      </c>
      <c r="G5811">
        <f>IF(B5811,MOD(SIN(Seed*0.5917+C5811*39.3468+D5811*11.135)*24634.6345,1),"")</f>
        <v/>
      </c>
      <c r="H5811">
        <f>IF(B5811,SQRT(-2*LN(F5811))*COS(2*PI()*G5811),"")</f>
        <v/>
      </c>
      <c r="I5811">
        <f>IF(B5811,IF(D5811=0,H5811,Rho*I5810+SQRT(1-Rho^2)*H5811),"")</f>
        <v/>
      </c>
      <c r="J5811">
        <f>IF(B5811,IF(Dist="Normal",DistA+DistB*I5811,DistA+(DistB-DistA)*NORMSDIST(I5811)),"")</f>
        <v/>
      </c>
      <c r="K5811">
        <f>IF(B5811,INDEX(MineScale,C5811),"")</f>
        <v/>
      </c>
      <c r="L5811">
        <f>IF(B5811,INDEX(Dow,1,WEEKDAY(E5811,2)),"")</f>
        <v/>
      </c>
      <c r="M5811">
        <f>IF(B5811,(1+Trend)^D5811,"")</f>
        <v/>
      </c>
      <c r="N5811">
        <f>IF(B5811,EXP(SUMPRODUCT(LN(1+(EvEff-1)*INDEX(Affected,0,C5811)*EXP(-((E5811-EvCenter)^2)/(2*EvSigma^2))))),"")</f>
        <v/>
      </c>
      <c r="O5811">
        <f>IF(B5811,ROUND(MAX(0,J5811*K5811*L5811*M5811*N5811),2),"")</f>
        <v/>
      </c>
    </row>
    <row r="5812">
      <c r="A5812" t="n">
        <v>5811</v>
      </c>
      <c r="B5812">
        <f>A5812&lt;=MineCount*Days</f>
        <v/>
      </c>
      <c r="C5812">
        <f>IF(B5812,INT((A5812-1)/Days)+1,"")</f>
        <v/>
      </c>
      <c r="D5812">
        <f>IF(B5812,MOD(A5812-1,Days),"")</f>
        <v/>
      </c>
      <c r="E5812" s="16">
        <f>IF(B5812,StartDate+D5812,"")</f>
        <v/>
      </c>
      <c r="F5812">
        <f>IF(B5812,MAX(MOD(SIN(Seed*0.1373+C5812*12.9898+D5812*78.233)*43758.5453,1),1E-9),"")</f>
        <v/>
      </c>
      <c r="G5812">
        <f>IF(B5812,MOD(SIN(Seed*0.5917+C5812*39.3468+D5812*11.135)*24634.6345,1),"")</f>
        <v/>
      </c>
      <c r="H5812">
        <f>IF(B5812,SQRT(-2*LN(F5812))*COS(2*PI()*G5812),"")</f>
        <v/>
      </c>
      <c r="I5812">
        <f>IF(B5812,IF(D5812=0,H5812,Rho*I5811+SQRT(1-Rho^2)*H5812),"")</f>
        <v/>
      </c>
      <c r="J5812">
        <f>IF(B5812,IF(Dist="Normal",DistA+DistB*I5812,DistA+(DistB-DistA)*NORMSDIST(I5812)),"")</f>
        <v/>
      </c>
      <c r="K5812">
        <f>IF(B5812,INDEX(MineScale,C5812),"")</f>
        <v/>
      </c>
      <c r="L5812">
        <f>IF(B5812,INDEX(Dow,1,WEEKDAY(E5812,2)),"")</f>
        <v/>
      </c>
      <c r="M5812">
        <f>IF(B5812,(1+Trend)^D5812,"")</f>
        <v/>
      </c>
      <c r="N5812">
        <f>IF(B5812,EXP(SUMPRODUCT(LN(1+(EvEff-1)*INDEX(Affected,0,C5812)*EXP(-((E5812-EvCenter)^2)/(2*EvSigma^2))))),"")</f>
        <v/>
      </c>
      <c r="O5812">
        <f>IF(B5812,ROUND(MAX(0,J5812*K5812*L5812*M5812*N5812),2),"")</f>
        <v/>
      </c>
    </row>
    <row r="5813">
      <c r="A5813" t="n">
        <v>5812</v>
      </c>
      <c r="B5813">
        <f>A5813&lt;=MineCount*Days</f>
        <v/>
      </c>
      <c r="C5813">
        <f>IF(B5813,INT((A5813-1)/Days)+1,"")</f>
        <v/>
      </c>
      <c r="D5813">
        <f>IF(B5813,MOD(A5813-1,Days),"")</f>
        <v/>
      </c>
      <c r="E5813" s="16">
        <f>IF(B5813,StartDate+D5813,"")</f>
        <v/>
      </c>
      <c r="F5813">
        <f>IF(B5813,MAX(MOD(SIN(Seed*0.1373+C5813*12.9898+D5813*78.233)*43758.5453,1),1E-9),"")</f>
        <v/>
      </c>
      <c r="G5813">
        <f>IF(B5813,MOD(SIN(Seed*0.5917+C5813*39.3468+D5813*11.135)*24634.6345,1),"")</f>
        <v/>
      </c>
      <c r="H5813">
        <f>IF(B5813,SQRT(-2*LN(F5813))*COS(2*PI()*G5813),"")</f>
        <v/>
      </c>
      <c r="I5813">
        <f>IF(B5813,IF(D5813=0,H5813,Rho*I5812+SQRT(1-Rho^2)*H5813),"")</f>
        <v/>
      </c>
      <c r="J5813">
        <f>IF(B5813,IF(Dist="Normal",DistA+DistB*I5813,DistA+(DistB-DistA)*NORMSDIST(I5813)),"")</f>
        <v/>
      </c>
      <c r="K5813">
        <f>IF(B5813,INDEX(MineScale,C5813),"")</f>
        <v/>
      </c>
      <c r="L5813">
        <f>IF(B5813,INDEX(Dow,1,WEEKDAY(E5813,2)),"")</f>
        <v/>
      </c>
      <c r="M5813">
        <f>IF(B5813,(1+Trend)^D5813,"")</f>
        <v/>
      </c>
      <c r="N5813">
        <f>IF(B5813,EXP(SUMPRODUCT(LN(1+(EvEff-1)*INDEX(Affected,0,C5813)*EXP(-((E5813-EvCenter)^2)/(2*EvSigma^2))))),"")</f>
        <v/>
      </c>
      <c r="O5813">
        <f>IF(B5813,ROUND(MAX(0,J5813*K5813*L5813*M5813*N5813),2),"")</f>
        <v/>
      </c>
    </row>
    <row r="5814">
      <c r="A5814" t="n">
        <v>5813</v>
      </c>
      <c r="B5814">
        <f>A5814&lt;=MineCount*Days</f>
        <v/>
      </c>
      <c r="C5814">
        <f>IF(B5814,INT((A5814-1)/Days)+1,"")</f>
        <v/>
      </c>
      <c r="D5814">
        <f>IF(B5814,MOD(A5814-1,Days),"")</f>
        <v/>
      </c>
      <c r="E5814" s="16">
        <f>IF(B5814,StartDate+D5814,"")</f>
        <v/>
      </c>
      <c r="F5814">
        <f>IF(B5814,MAX(MOD(SIN(Seed*0.1373+C5814*12.9898+D5814*78.233)*43758.5453,1),1E-9),"")</f>
        <v/>
      </c>
      <c r="G5814">
        <f>IF(B5814,MOD(SIN(Seed*0.5917+C5814*39.3468+D5814*11.135)*24634.6345,1),"")</f>
        <v/>
      </c>
      <c r="H5814">
        <f>IF(B5814,SQRT(-2*LN(F5814))*COS(2*PI()*G5814),"")</f>
        <v/>
      </c>
      <c r="I5814">
        <f>IF(B5814,IF(D5814=0,H5814,Rho*I5813+SQRT(1-Rho^2)*H5814),"")</f>
        <v/>
      </c>
      <c r="J5814">
        <f>IF(B5814,IF(Dist="Normal",DistA+DistB*I5814,DistA+(DistB-DistA)*NORMSDIST(I5814)),"")</f>
        <v/>
      </c>
      <c r="K5814">
        <f>IF(B5814,INDEX(MineScale,C5814),"")</f>
        <v/>
      </c>
      <c r="L5814">
        <f>IF(B5814,INDEX(Dow,1,WEEKDAY(E5814,2)),"")</f>
        <v/>
      </c>
      <c r="M5814">
        <f>IF(B5814,(1+Trend)^D5814,"")</f>
        <v/>
      </c>
      <c r="N5814">
        <f>IF(B5814,EXP(SUMPRODUCT(LN(1+(EvEff-1)*INDEX(Affected,0,C5814)*EXP(-((E5814-EvCenter)^2)/(2*EvSigma^2))))),"")</f>
        <v/>
      </c>
      <c r="O5814">
        <f>IF(B5814,ROUND(MAX(0,J5814*K5814*L5814*M5814*N5814),2),"")</f>
        <v/>
      </c>
    </row>
    <row r="5815">
      <c r="A5815" t="n">
        <v>5814</v>
      </c>
      <c r="B5815">
        <f>A5815&lt;=MineCount*Days</f>
        <v/>
      </c>
      <c r="C5815">
        <f>IF(B5815,INT((A5815-1)/Days)+1,"")</f>
        <v/>
      </c>
      <c r="D5815">
        <f>IF(B5815,MOD(A5815-1,Days),"")</f>
        <v/>
      </c>
      <c r="E5815" s="16">
        <f>IF(B5815,StartDate+D5815,"")</f>
        <v/>
      </c>
      <c r="F5815">
        <f>IF(B5815,MAX(MOD(SIN(Seed*0.1373+C5815*12.9898+D5815*78.233)*43758.5453,1),1E-9),"")</f>
        <v/>
      </c>
      <c r="G5815">
        <f>IF(B5815,MOD(SIN(Seed*0.5917+C5815*39.3468+D5815*11.135)*24634.6345,1),"")</f>
        <v/>
      </c>
      <c r="H5815">
        <f>IF(B5815,SQRT(-2*LN(F5815))*COS(2*PI()*G5815),"")</f>
        <v/>
      </c>
      <c r="I5815">
        <f>IF(B5815,IF(D5815=0,H5815,Rho*I5814+SQRT(1-Rho^2)*H5815),"")</f>
        <v/>
      </c>
      <c r="J5815">
        <f>IF(B5815,IF(Dist="Normal",DistA+DistB*I5815,DistA+(DistB-DistA)*NORMSDIST(I5815)),"")</f>
        <v/>
      </c>
      <c r="K5815">
        <f>IF(B5815,INDEX(MineScale,C5815),"")</f>
        <v/>
      </c>
      <c r="L5815">
        <f>IF(B5815,INDEX(Dow,1,WEEKDAY(E5815,2)),"")</f>
        <v/>
      </c>
      <c r="M5815">
        <f>IF(B5815,(1+Trend)^D5815,"")</f>
        <v/>
      </c>
      <c r="N5815">
        <f>IF(B5815,EXP(SUMPRODUCT(LN(1+(EvEff-1)*INDEX(Affected,0,C5815)*EXP(-((E5815-EvCenter)^2)/(2*EvSigma^2))))),"")</f>
        <v/>
      </c>
      <c r="O5815">
        <f>IF(B5815,ROUND(MAX(0,J5815*K5815*L5815*M5815*N5815),2),"")</f>
        <v/>
      </c>
    </row>
    <row r="5816">
      <c r="A5816" t="n">
        <v>5815</v>
      </c>
      <c r="B5816">
        <f>A5816&lt;=MineCount*Days</f>
        <v/>
      </c>
      <c r="C5816">
        <f>IF(B5816,INT((A5816-1)/Days)+1,"")</f>
        <v/>
      </c>
      <c r="D5816">
        <f>IF(B5816,MOD(A5816-1,Days),"")</f>
        <v/>
      </c>
      <c r="E5816" s="16">
        <f>IF(B5816,StartDate+D5816,"")</f>
        <v/>
      </c>
      <c r="F5816">
        <f>IF(B5816,MAX(MOD(SIN(Seed*0.1373+C5816*12.9898+D5816*78.233)*43758.5453,1),1E-9),"")</f>
        <v/>
      </c>
      <c r="G5816">
        <f>IF(B5816,MOD(SIN(Seed*0.5917+C5816*39.3468+D5816*11.135)*24634.6345,1),"")</f>
        <v/>
      </c>
      <c r="H5816">
        <f>IF(B5816,SQRT(-2*LN(F5816))*COS(2*PI()*G5816),"")</f>
        <v/>
      </c>
      <c r="I5816">
        <f>IF(B5816,IF(D5816=0,H5816,Rho*I5815+SQRT(1-Rho^2)*H5816),"")</f>
        <v/>
      </c>
      <c r="J5816">
        <f>IF(B5816,IF(Dist="Normal",DistA+DistB*I5816,DistA+(DistB-DistA)*NORMSDIST(I5816)),"")</f>
        <v/>
      </c>
      <c r="K5816">
        <f>IF(B5816,INDEX(MineScale,C5816),"")</f>
        <v/>
      </c>
      <c r="L5816">
        <f>IF(B5816,INDEX(Dow,1,WEEKDAY(E5816,2)),"")</f>
        <v/>
      </c>
      <c r="M5816">
        <f>IF(B5816,(1+Trend)^D5816,"")</f>
        <v/>
      </c>
      <c r="N5816">
        <f>IF(B5816,EXP(SUMPRODUCT(LN(1+(EvEff-1)*INDEX(Affected,0,C5816)*EXP(-((E5816-EvCenter)^2)/(2*EvSigma^2))))),"")</f>
        <v/>
      </c>
      <c r="O5816">
        <f>IF(B5816,ROUND(MAX(0,J5816*K5816*L5816*M5816*N5816),2),"")</f>
        <v/>
      </c>
    </row>
    <row r="5817">
      <c r="A5817" t="n">
        <v>5816</v>
      </c>
      <c r="B5817">
        <f>A5817&lt;=MineCount*Days</f>
        <v/>
      </c>
      <c r="C5817">
        <f>IF(B5817,INT((A5817-1)/Days)+1,"")</f>
        <v/>
      </c>
      <c r="D5817">
        <f>IF(B5817,MOD(A5817-1,Days),"")</f>
        <v/>
      </c>
      <c r="E5817" s="16">
        <f>IF(B5817,StartDate+D5817,"")</f>
        <v/>
      </c>
      <c r="F5817">
        <f>IF(B5817,MAX(MOD(SIN(Seed*0.1373+C5817*12.9898+D5817*78.233)*43758.5453,1),1E-9),"")</f>
        <v/>
      </c>
      <c r="G5817">
        <f>IF(B5817,MOD(SIN(Seed*0.5917+C5817*39.3468+D5817*11.135)*24634.6345,1),"")</f>
        <v/>
      </c>
      <c r="H5817">
        <f>IF(B5817,SQRT(-2*LN(F5817))*COS(2*PI()*G5817),"")</f>
        <v/>
      </c>
      <c r="I5817">
        <f>IF(B5817,IF(D5817=0,H5817,Rho*I5816+SQRT(1-Rho^2)*H5817),"")</f>
        <v/>
      </c>
      <c r="J5817">
        <f>IF(B5817,IF(Dist="Normal",DistA+DistB*I5817,DistA+(DistB-DistA)*NORMSDIST(I5817)),"")</f>
        <v/>
      </c>
      <c r="K5817">
        <f>IF(B5817,INDEX(MineScale,C5817),"")</f>
        <v/>
      </c>
      <c r="L5817">
        <f>IF(B5817,INDEX(Dow,1,WEEKDAY(E5817,2)),"")</f>
        <v/>
      </c>
      <c r="M5817">
        <f>IF(B5817,(1+Trend)^D5817,"")</f>
        <v/>
      </c>
      <c r="N5817">
        <f>IF(B5817,EXP(SUMPRODUCT(LN(1+(EvEff-1)*INDEX(Affected,0,C5817)*EXP(-((E5817-EvCenter)^2)/(2*EvSigma^2))))),"")</f>
        <v/>
      </c>
      <c r="O5817">
        <f>IF(B5817,ROUND(MAX(0,J5817*K5817*L5817*M5817*N5817),2),"")</f>
        <v/>
      </c>
    </row>
    <row r="5818">
      <c r="A5818" t="n">
        <v>5817</v>
      </c>
      <c r="B5818">
        <f>A5818&lt;=MineCount*Days</f>
        <v/>
      </c>
      <c r="C5818">
        <f>IF(B5818,INT((A5818-1)/Days)+1,"")</f>
        <v/>
      </c>
      <c r="D5818">
        <f>IF(B5818,MOD(A5818-1,Days),"")</f>
        <v/>
      </c>
      <c r="E5818" s="16">
        <f>IF(B5818,StartDate+D5818,"")</f>
        <v/>
      </c>
      <c r="F5818">
        <f>IF(B5818,MAX(MOD(SIN(Seed*0.1373+C5818*12.9898+D5818*78.233)*43758.5453,1),1E-9),"")</f>
        <v/>
      </c>
      <c r="G5818">
        <f>IF(B5818,MOD(SIN(Seed*0.5917+C5818*39.3468+D5818*11.135)*24634.6345,1),"")</f>
        <v/>
      </c>
      <c r="H5818">
        <f>IF(B5818,SQRT(-2*LN(F5818))*COS(2*PI()*G5818),"")</f>
        <v/>
      </c>
      <c r="I5818">
        <f>IF(B5818,IF(D5818=0,H5818,Rho*I5817+SQRT(1-Rho^2)*H5818),"")</f>
        <v/>
      </c>
      <c r="J5818">
        <f>IF(B5818,IF(Dist="Normal",DistA+DistB*I5818,DistA+(DistB-DistA)*NORMSDIST(I5818)),"")</f>
        <v/>
      </c>
      <c r="K5818">
        <f>IF(B5818,INDEX(MineScale,C5818),"")</f>
        <v/>
      </c>
      <c r="L5818">
        <f>IF(B5818,INDEX(Dow,1,WEEKDAY(E5818,2)),"")</f>
        <v/>
      </c>
      <c r="M5818">
        <f>IF(B5818,(1+Trend)^D5818,"")</f>
        <v/>
      </c>
      <c r="N5818">
        <f>IF(B5818,EXP(SUMPRODUCT(LN(1+(EvEff-1)*INDEX(Affected,0,C5818)*EXP(-((E5818-EvCenter)^2)/(2*EvSigma^2))))),"")</f>
        <v/>
      </c>
      <c r="O5818">
        <f>IF(B5818,ROUND(MAX(0,J5818*K5818*L5818*M5818*N5818),2),"")</f>
        <v/>
      </c>
    </row>
    <row r="5819">
      <c r="A5819" t="n">
        <v>5818</v>
      </c>
      <c r="B5819">
        <f>A5819&lt;=MineCount*Days</f>
        <v/>
      </c>
      <c r="C5819">
        <f>IF(B5819,INT((A5819-1)/Days)+1,"")</f>
        <v/>
      </c>
      <c r="D5819">
        <f>IF(B5819,MOD(A5819-1,Days),"")</f>
        <v/>
      </c>
      <c r="E5819" s="16">
        <f>IF(B5819,StartDate+D5819,"")</f>
        <v/>
      </c>
      <c r="F5819">
        <f>IF(B5819,MAX(MOD(SIN(Seed*0.1373+C5819*12.9898+D5819*78.233)*43758.5453,1),1E-9),"")</f>
        <v/>
      </c>
      <c r="G5819">
        <f>IF(B5819,MOD(SIN(Seed*0.5917+C5819*39.3468+D5819*11.135)*24634.6345,1),"")</f>
        <v/>
      </c>
      <c r="H5819">
        <f>IF(B5819,SQRT(-2*LN(F5819))*COS(2*PI()*G5819),"")</f>
        <v/>
      </c>
      <c r="I5819">
        <f>IF(B5819,IF(D5819=0,H5819,Rho*I5818+SQRT(1-Rho^2)*H5819),"")</f>
        <v/>
      </c>
      <c r="J5819">
        <f>IF(B5819,IF(Dist="Normal",DistA+DistB*I5819,DistA+(DistB-DistA)*NORMSDIST(I5819)),"")</f>
        <v/>
      </c>
      <c r="K5819">
        <f>IF(B5819,INDEX(MineScale,C5819),"")</f>
        <v/>
      </c>
      <c r="L5819">
        <f>IF(B5819,INDEX(Dow,1,WEEKDAY(E5819,2)),"")</f>
        <v/>
      </c>
      <c r="M5819">
        <f>IF(B5819,(1+Trend)^D5819,"")</f>
        <v/>
      </c>
      <c r="N5819">
        <f>IF(B5819,EXP(SUMPRODUCT(LN(1+(EvEff-1)*INDEX(Affected,0,C5819)*EXP(-((E5819-EvCenter)^2)/(2*EvSigma^2))))),"")</f>
        <v/>
      </c>
      <c r="O5819">
        <f>IF(B5819,ROUND(MAX(0,J5819*K5819*L5819*M5819*N5819),2),"")</f>
        <v/>
      </c>
    </row>
    <row r="5820">
      <c r="A5820" t="n">
        <v>5819</v>
      </c>
      <c r="B5820">
        <f>A5820&lt;=MineCount*Days</f>
        <v/>
      </c>
      <c r="C5820">
        <f>IF(B5820,INT((A5820-1)/Days)+1,"")</f>
        <v/>
      </c>
      <c r="D5820">
        <f>IF(B5820,MOD(A5820-1,Days),"")</f>
        <v/>
      </c>
      <c r="E5820" s="16">
        <f>IF(B5820,StartDate+D5820,"")</f>
        <v/>
      </c>
      <c r="F5820">
        <f>IF(B5820,MAX(MOD(SIN(Seed*0.1373+C5820*12.9898+D5820*78.233)*43758.5453,1),1E-9),"")</f>
        <v/>
      </c>
      <c r="G5820">
        <f>IF(B5820,MOD(SIN(Seed*0.5917+C5820*39.3468+D5820*11.135)*24634.6345,1),"")</f>
        <v/>
      </c>
      <c r="H5820">
        <f>IF(B5820,SQRT(-2*LN(F5820))*COS(2*PI()*G5820),"")</f>
        <v/>
      </c>
      <c r="I5820">
        <f>IF(B5820,IF(D5820=0,H5820,Rho*I5819+SQRT(1-Rho^2)*H5820),"")</f>
        <v/>
      </c>
      <c r="J5820">
        <f>IF(B5820,IF(Dist="Normal",DistA+DistB*I5820,DistA+(DistB-DistA)*NORMSDIST(I5820)),"")</f>
        <v/>
      </c>
      <c r="K5820">
        <f>IF(B5820,INDEX(MineScale,C5820),"")</f>
        <v/>
      </c>
      <c r="L5820">
        <f>IF(B5820,INDEX(Dow,1,WEEKDAY(E5820,2)),"")</f>
        <v/>
      </c>
      <c r="M5820">
        <f>IF(B5820,(1+Trend)^D5820,"")</f>
        <v/>
      </c>
      <c r="N5820">
        <f>IF(B5820,EXP(SUMPRODUCT(LN(1+(EvEff-1)*INDEX(Affected,0,C5820)*EXP(-((E5820-EvCenter)^2)/(2*EvSigma^2))))),"")</f>
        <v/>
      </c>
      <c r="O5820">
        <f>IF(B5820,ROUND(MAX(0,J5820*K5820*L5820*M5820*N5820),2),"")</f>
        <v/>
      </c>
    </row>
    <row r="5821">
      <c r="A5821" t="n">
        <v>5820</v>
      </c>
      <c r="B5821">
        <f>A5821&lt;=MineCount*Days</f>
        <v/>
      </c>
      <c r="C5821">
        <f>IF(B5821,INT((A5821-1)/Days)+1,"")</f>
        <v/>
      </c>
      <c r="D5821">
        <f>IF(B5821,MOD(A5821-1,Days),"")</f>
        <v/>
      </c>
      <c r="E5821" s="16">
        <f>IF(B5821,StartDate+D5821,"")</f>
        <v/>
      </c>
      <c r="F5821">
        <f>IF(B5821,MAX(MOD(SIN(Seed*0.1373+C5821*12.9898+D5821*78.233)*43758.5453,1),1E-9),"")</f>
        <v/>
      </c>
      <c r="G5821">
        <f>IF(B5821,MOD(SIN(Seed*0.5917+C5821*39.3468+D5821*11.135)*24634.6345,1),"")</f>
        <v/>
      </c>
      <c r="H5821">
        <f>IF(B5821,SQRT(-2*LN(F5821))*COS(2*PI()*G5821),"")</f>
        <v/>
      </c>
      <c r="I5821">
        <f>IF(B5821,IF(D5821=0,H5821,Rho*I5820+SQRT(1-Rho^2)*H5821),"")</f>
        <v/>
      </c>
      <c r="J5821">
        <f>IF(B5821,IF(Dist="Normal",DistA+DistB*I5821,DistA+(DistB-DistA)*NORMSDIST(I5821)),"")</f>
        <v/>
      </c>
      <c r="K5821">
        <f>IF(B5821,INDEX(MineScale,C5821),"")</f>
        <v/>
      </c>
      <c r="L5821">
        <f>IF(B5821,INDEX(Dow,1,WEEKDAY(E5821,2)),"")</f>
        <v/>
      </c>
      <c r="M5821">
        <f>IF(B5821,(1+Trend)^D5821,"")</f>
        <v/>
      </c>
      <c r="N5821">
        <f>IF(B5821,EXP(SUMPRODUCT(LN(1+(EvEff-1)*INDEX(Affected,0,C5821)*EXP(-((E5821-EvCenter)^2)/(2*EvSigma^2))))),"")</f>
        <v/>
      </c>
      <c r="O5821">
        <f>IF(B5821,ROUND(MAX(0,J5821*K5821*L5821*M5821*N5821),2),"")</f>
        <v/>
      </c>
    </row>
    <row r="5822">
      <c r="A5822" t="n">
        <v>5821</v>
      </c>
      <c r="B5822">
        <f>A5822&lt;=MineCount*Days</f>
        <v/>
      </c>
      <c r="C5822">
        <f>IF(B5822,INT((A5822-1)/Days)+1,"")</f>
        <v/>
      </c>
      <c r="D5822">
        <f>IF(B5822,MOD(A5822-1,Days),"")</f>
        <v/>
      </c>
      <c r="E5822" s="16">
        <f>IF(B5822,StartDate+D5822,"")</f>
        <v/>
      </c>
      <c r="F5822">
        <f>IF(B5822,MAX(MOD(SIN(Seed*0.1373+C5822*12.9898+D5822*78.233)*43758.5453,1),1E-9),"")</f>
        <v/>
      </c>
      <c r="G5822">
        <f>IF(B5822,MOD(SIN(Seed*0.5917+C5822*39.3468+D5822*11.135)*24634.6345,1),"")</f>
        <v/>
      </c>
      <c r="H5822">
        <f>IF(B5822,SQRT(-2*LN(F5822))*COS(2*PI()*G5822),"")</f>
        <v/>
      </c>
      <c r="I5822">
        <f>IF(B5822,IF(D5822=0,H5822,Rho*I5821+SQRT(1-Rho^2)*H5822),"")</f>
        <v/>
      </c>
      <c r="J5822">
        <f>IF(B5822,IF(Dist="Normal",DistA+DistB*I5822,DistA+(DistB-DistA)*NORMSDIST(I5822)),"")</f>
        <v/>
      </c>
      <c r="K5822">
        <f>IF(B5822,INDEX(MineScale,C5822),"")</f>
        <v/>
      </c>
      <c r="L5822">
        <f>IF(B5822,INDEX(Dow,1,WEEKDAY(E5822,2)),"")</f>
        <v/>
      </c>
      <c r="M5822">
        <f>IF(B5822,(1+Trend)^D5822,"")</f>
        <v/>
      </c>
      <c r="N5822">
        <f>IF(B5822,EXP(SUMPRODUCT(LN(1+(EvEff-1)*INDEX(Affected,0,C5822)*EXP(-((E5822-EvCenter)^2)/(2*EvSigma^2))))),"")</f>
        <v/>
      </c>
      <c r="O5822">
        <f>IF(B5822,ROUND(MAX(0,J5822*K5822*L5822*M5822*N5822),2),"")</f>
        <v/>
      </c>
    </row>
    <row r="5823">
      <c r="A5823" t="n">
        <v>5822</v>
      </c>
      <c r="B5823">
        <f>A5823&lt;=MineCount*Days</f>
        <v/>
      </c>
      <c r="C5823">
        <f>IF(B5823,INT((A5823-1)/Days)+1,"")</f>
        <v/>
      </c>
      <c r="D5823">
        <f>IF(B5823,MOD(A5823-1,Days),"")</f>
        <v/>
      </c>
      <c r="E5823" s="16">
        <f>IF(B5823,StartDate+D5823,"")</f>
        <v/>
      </c>
      <c r="F5823">
        <f>IF(B5823,MAX(MOD(SIN(Seed*0.1373+C5823*12.9898+D5823*78.233)*43758.5453,1),1E-9),"")</f>
        <v/>
      </c>
      <c r="G5823">
        <f>IF(B5823,MOD(SIN(Seed*0.5917+C5823*39.3468+D5823*11.135)*24634.6345,1),"")</f>
        <v/>
      </c>
      <c r="H5823">
        <f>IF(B5823,SQRT(-2*LN(F5823))*COS(2*PI()*G5823),"")</f>
        <v/>
      </c>
      <c r="I5823">
        <f>IF(B5823,IF(D5823=0,H5823,Rho*I5822+SQRT(1-Rho^2)*H5823),"")</f>
        <v/>
      </c>
      <c r="J5823">
        <f>IF(B5823,IF(Dist="Normal",DistA+DistB*I5823,DistA+(DistB-DistA)*NORMSDIST(I5823)),"")</f>
        <v/>
      </c>
      <c r="K5823">
        <f>IF(B5823,INDEX(MineScale,C5823),"")</f>
        <v/>
      </c>
      <c r="L5823">
        <f>IF(B5823,INDEX(Dow,1,WEEKDAY(E5823,2)),"")</f>
        <v/>
      </c>
      <c r="M5823">
        <f>IF(B5823,(1+Trend)^D5823,"")</f>
        <v/>
      </c>
      <c r="N5823">
        <f>IF(B5823,EXP(SUMPRODUCT(LN(1+(EvEff-1)*INDEX(Affected,0,C5823)*EXP(-((E5823-EvCenter)^2)/(2*EvSigma^2))))),"")</f>
        <v/>
      </c>
      <c r="O5823">
        <f>IF(B5823,ROUND(MAX(0,J5823*K5823*L5823*M5823*N5823),2),"")</f>
        <v/>
      </c>
    </row>
    <row r="5824">
      <c r="A5824" t="n">
        <v>5823</v>
      </c>
      <c r="B5824">
        <f>A5824&lt;=MineCount*Days</f>
        <v/>
      </c>
      <c r="C5824">
        <f>IF(B5824,INT((A5824-1)/Days)+1,"")</f>
        <v/>
      </c>
      <c r="D5824">
        <f>IF(B5824,MOD(A5824-1,Days),"")</f>
        <v/>
      </c>
      <c r="E5824" s="16">
        <f>IF(B5824,StartDate+D5824,"")</f>
        <v/>
      </c>
      <c r="F5824">
        <f>IF(B5824,MAX(MOD(SIN(Seed*0.1373+C5824*12.9898+D5824*78.233)*43758.5453,1),1E-9),"")</f>
        <v/>
      </c>
      <c r="G5824">
        <f>IF(B5824,MOD(SIN(Seed*0.5917+C5824*39.3468+D5824*11.135)*24634.6345,1),"")</f>
        <v/>
      </c>
      <c r="H5824">
        <f>IF(B5824,SQRT(-2*LN(F5824))*COS(2*PI()*G5824),"")</f>
        <v/>
      </c>
      <c r="I5824">
        <f>IF(B5824,IF(D5824=0,H5824,Rho*I5823+SQRT(1-Rho^2)*H5824),"")</f>
        <v/>
      </c>
      <c r="J5824">
        <f>IF(B5824,IF(Dist="Normal",DistA+DistB*I5824,DistA+(DistB-DistA)*NORMSDIST(I5824)),"")</f>
        <v/>
      </c>
      <c r="K5824">
        <f>IF(B5824,INDEX(MineScale,C5824),"")</f>
        <v/>
      </c>
      <c r="L5824">
        <f>IF(B5824,INDEX(Dow,1,WEEKDAY(E5824,2)),"")</f>
        <v/>
      </c>
      <c r="M5824">
        <f>IF(B5824,(1+Trend)^D5824,"")</f>
        <v/>
      </c>
      <c r="N5824">
        <f>IF(B5824,EXP(SUMPRODUCT(LN(1+(EvEff-1)*INDEX(Affected,0,C5824)*EXP(-((E5824-EvCenter)^2)/(2*EvSigma^2))))),"")</f>
        <v/>
      </c>
      <c r="O5824">
        <f>IF(B5824,ROUND(MAX(0,J5824*K5824*L5824*M5824*N5824),2),"")</f>
        <v/>
      </c>
    </row>
    <row r="5825">
      <c r="A5825" t="n">
        <v>5824</v>
      </c>
      <c r="B5825">
        <f>A5825&lt;=MineCount*Days</f>
        <v/>
      </c>
      <c r="C5825">
        <f>IF(B5825,INT((A5825-1)/Days)+1,"")</f>
        <v/>
      </c>
      <c r="D5825">
        <f>IF(B5825,MOD(A5825-1,Days),"")</f>
        <v/>
      </c>
      <c r="E5825" s="16">
        <f>IF(B5825,StartDate+D5825,"")</f>
        <v/>
      </c>
      <c r="F5825">
        <f>IF(B5825,MAX(MOD(SIN(Seed*0.1373+C5825*12.9898+D5825*78.233)*43758.5453,1),1E-9),"")</f>
        <v/>
      </c>
      <c r="G5825">
        <f>IF(B5825,MOD(SIN(Seed*0.5917+C5825*39.3468+D5825*11.135)*24634.6345,1),"")</f>
        <v/>
      </c>
      <c r="H5825">
        <f>IF(B5825,SQRT(-2*LN(F5825))*COS(2*PI()*G5825),"")</f>
        <v/>
      </c>
      <c r="I5825">
        <f>IF(B5825,IF(D5825=0,H5825,Rho*I5824+SQRT(1-Rho^2)*H5825),"")</f>
        <v/>
      </c>
      <c r="J5825">
        <f>IF(B5825,IF(Dist="Normal",DistA+DistB*I5825,DistA+(DistB-DistA)*NORMSDIST(I5825)),"")</f>
        <v/>
      </c>
      <c r="K5825">
        <f>IF(B5825,INDEX(MineScale,C5825),"")</f>
        <v/>
      </c>
      <c r="L5825">
        <f>IF(B5825,INDEX(Dow,1,WEEKDAY(E5825,2)),"")</f>
        <v/>
      </c>
      <c r="M5825">
        <f>IF(B5825,(1+Trend)^D5825,"")</f>
        <v/>
      </c>
      <c r="N5825">
        <f>IF(B5825,EXP(SUMPRODUCT(LN(1+(EvEff-1)*INDEX(Affected,0,C5825)*EXP(-((E5825-EvCenter)^2)/(2*EvSigma^2))))),"")</f>
        <v/>
      </c>
      <c r="O5825">
        <f>IF(B5825,ROUND(MAX(0,J5825*K5825*L5825*M5825*N5825),2),"")</f>
        <v/>
      </c>
    </row>
    <row r="5826">
      <c r="A5826" t="n">
        <v>5825</v>
      </c>
      <c r="B5826">
        <f>A5826&lt;=MineCount*Days</f>
        <v/>
      </c>
      <c r="C5826">
        <f>IF(B5826,INT((A5826-1)/Days)+1,"")</f>
        <v/>
      </c>
      <c r="D5826">
        <f>IF(B5826,MOD(A5826-1,Days),"")</f>
        <v/>
      </c>
      <c r="E5826" s="16">
        <f>IF(B5826,StartDate+D5826,"")</f>
        <v/>
      </c>
      <c r="F5826">
        <f>IF(B5826,MAX(MOD(SIN(Seed*0.1373+C5826*12.9898+D5826*78.233)*43758.5453,1),1E-9),"")</f>
        <v/>
      </c>
      <c r="G5826">
        <f>IF(B5826,MOD(SIN(Seed*0.5917+C5826*39.3468+D5826*11.135)*24634.6345,1),"")</f>
        <v/>
      </c>
      <c r="H5826">
        <f>IF(B5826,SQRT(-2*LN(F5826))*COS(2*PI()*G5826),"")</f>
        <v/>
      </c>
      <c r="I5826">
        <f>IF(B5826,IF(D5826=0,H5826,Rho*I5825+SQRT(1-Rho^2)*H5826),"")</f>
        <v/>
      </c>
      <c r="J5826">
        <f>IF(B5826,IF(Dist="Normal",DistA+DistB*I5826,DistA+(DistB-DistA)*NORMSDIST(I5826)),"")</f>
        <v/>
      </c>
      <c r="K5826">
        <f>IF(B5826,INDEX(MineScale,C5826),"")</f>
        <v/>
      </c>
      <c r="L5826">
        <f>IF(B5826,INDEX(Dow,1,WEEKDAY(E5826,2)),"")</f>
        <v/>
      </c>
      <c r="M5826">
        <f>IF(B5826,(1+Trend)^D5826,"")</f>
        <v/>
      </c>
      <c r="N5826">
        <f>IF(B5826,EXP(SUMPRODUCT(LN(1+(EvEff-1)*INDEX(Affected,0,C5826)*EXP(-((E5826-EvCenter)^2)/(2*EvSigma^2))))),"")</f>
        <v/>
      </c>
      <c r="O5826">
        <f>IF(B5826,ROUND(MAX(0,J5826*K5826*L5826*M5826*N5826),2),"")</f>
        <v/>
      </c>
    </row>
    <row r="5827">
      <c r="A5827" t="n">
        <v>5826</v>
      </c>
      <c r="B5827">
        <f>A5827&lt;=MineCount*Days</f>
        <v/>
      </c>
      <c r="C5827">
        <f>IF(B5827,INT((A5827-1)/Days)+1,"")</f>
        <v/>
      </c>
      <c r="D5827">
        <f>IF(B5827,MOD(A5827-1,Days),"")</f>
        <v/>
      </c>
      <c r="E5827" s="16">
        <f>IF(B5827,StartDate+D5827,"")</f>
        <v/>
      </c>
      <c r="F5827">
        <f>IF(B5827,MAX(MOD(SIN(Seed*0.1373+C5827*12.9898+D5827*78.233)*43758.5453,1),1E-9),"")</f>
        <v/>
      </c>
      <c r="G5827">
        <f>IF(B5827,MOD(SIN(Seed*0.5917+C5827*39.3468+D5827*11.135)*24634.6345,1),"")</f>
        <v/>
      </c>
      <c r="H5827">
        <f>IF(B5827,SQRT(-2*LN(F5827))*COS(2*PI()*G5827),"")</f>
        <v/>
      </c>
      <c r="I5827">
        <f>IF(B5827,IF(D5827=0,H5827,Rho*I5826+SQRT(1-Rho^2)*H5827),"")</f>
        <v/>
      </c>
      <c r="J5827">
        <f>IF(B5827,IF(Dist="Normal",DistA+DistB*I5827,DistA+(DistB-DistA)*NORMSDIST(I5827)),"")</f>
        <v/>
      </c>
      <c r="K5827">
        <f>IF(B5827,INDEX(MineScale,C5827),"")</f>
        <v/>
      </c>
      <c r="L5827">
        <f>IF(B5827,INDEX(Dow,1,WEEKDAY(E5827,2)),"")</f>
        <v/>
      </c>
      <c r="M5827">
        <f>IF(B5827,(1+Trend)^D5827,"")</f>
        <v/>
      </c>
      <c r="N5827">
        <f>IF(B5827,EXP(SUMPRODUCT(LN(1+(EvEff-1)*INDEX(Affected,0,C5827)*EXP(-((E5827-EvCenter)^2)/(2*EvSigma^2))))),"")</f>
        <v/>
      </c>
      <c r="O5827">
        <f>IF(B5827,ROUND(MAX(0,J5827*K5827*L5827*M5827*N5827),2),"")</f>
        <v/>
      </c>
    </row>
    <row r="5828">
      <c r="A5828" t="n">
        <v>5827</v>
      </c>
      <c r="B5828">
        <f>A5828&lt;=MineCount*Days</f>
        <v/>
      </c>
      <c r="C5828">
        <f>IF(B5828,INT((A5828-1)/Days)+1,"")</f>
        <v/>
      </c>
      <c r="D5828">
        <f>IF(B5828,MOD(A5828-1,Days),"")</f>
        <v/>
      </c>
      <c r="E5828" s="16">
        <f>IF(B5828,StartDate+D5828,"")</f>
        <v/>
      </c>
      <c r="F5828">
        <f>IF(B5828,MAX(MOD(SIN(Seed*0.1373+C5828*12.9898+D5828*78.233)*43758.5453,1),1E-9),"")</f>
        <v/>
      </c>
      <c r="G5828">
        <f>IF(B5828,MOD(SIN(Seed*0.5917+C5828*39.3468+D5828*11.135)*24634.6345,1),"")</f>
        <v/>
      </c>
      <c r="H5828">
        <f>IF(B5828,SQRT(-2*LN(F5828))*COS(2*PI()*G5828),"")</f>
        <v/>
      </c>
      <c r="I5828">
        <f>IF(B5828,IF(D5828=0,H5828,Rho*I5827+SQRT(1-Rho^2)*H5828),"")</f>
        <v/>
      </c>
      <c r="J5828">
        <f>IF(B5828,IF(Dist="Normal",DistA+DistB*I5828,DistA+(DistB-DistA)*NORMSDIST(I5828)),"")</f>
        <v/>
      </c>
      <c r="K5828">
        <f>IF(B5828,INDEX(MineScale,C5828),"")</f>
        <v/>
      </c>
      <c r="L5828">
        <f>IF(B5828,INDEX(Dow,1,WEEKDAY(E5828,2)),"")</f>
        <v/>
      </c>
      <c r="M5828">
        <f>IF(B5828,(1+Trend)^D5828,"")</f>
        <v/>
      </c>
      <c r="N5828">
        <f>IF(B5828,EXP(SUMPRODUCT(LN(1+(EvEff-1)*INDEX(Affected,0,C5828)*EXP(-((E5828-EvCenter)^2)/(2*EvSigma^2))))),"")</f>
        <v/>
      </c>
      <c r="O5828">
        <f>IF(B5828,ROUND(MAX(0,J5828*K5828*L5828*M5828*N5828),2),"")</f>
        <v/>
      </c>
    </row>
    <row r="5829">
      <c r="A5829" t="n">
        <v>5828</v>
      </c>
      <c r="B5829">
        <f>A5829&lt;=MineCount*Days</f>
        <v/>
      </c>
      <c r="C5829">
        <f>IF(B5829,INT((A5829-1)/Days)+1,"")</f>
        <v/>
      </c>
      <c r="D5829">
        <f>IF(B5829,MOD(A5829-1,Days),"")</f>
        <v/>
      </c>
      <c r="E5829" s="16">
        <f>IF(B5829,StartDate+D5829,"")</f>
        <v/>
      </c>
      <c r="F5829">
        <f>IF(B5829,MAX(MOD(SIN(Seed*0.1373+C5829*12.9898+D5829*78.233)*43758.5453,1),1E-9),"")</f>
        <v/>
      </c>
      <c r="G5829">
        <f>IF(B5829,MOD(SIN(Seed*0.5917+C5829*39.3468+D5829*11.135)*24634.6345,1),"")</f>
        <v/>
      </c>
      <c r="H5829">
        <f>IF(B5829,SQRT(-2*LN(F5829))*COS(2*PI()*G5829),"")</f>
        <v/>
      </c>
      <c r="I5829">
        <f>IF(B5829,IF(D5829=0,H5829,Rho*I5828+SQRT(1-Rho^2)*H5829),"")</f>
        <v/>
      </c>
      <c r="J5829">
        <f>IF(B5829,IF(Dist="Normal",DistA+DistB*I5829,DistA+(DistB-DistA)*NORMSDIST(I5829)),"")</f>
        <v/>
      </c>
      <c r="K5829">
        <f>IF(B5829,INDEX(MineScale,C5829),"")</f>
        <v/>
      </c>
      <c r="L5829">
        <f>IF(B5829,INDEX(Dow,1,WEEKDAY(E5829,2)),"")</f>
        <v/>
      </c>
      <c r="M5829">
        <f>IF(B5829,(1+Trend)^D5829,"")</f>
        <v/>
      </c>
      <c r="N5829">
        <f>IF(B5829,EXP(SUMPRODUCT(LN(1+(EvEff-1)*INDEX(Affected,0,C5829)*EXP(-((E5829-EvCenter)^2)/(2*EvSigma^2))))),"")</f>
        <v/>
      </c>
      <c r="O5829">
        <f>IF(B5829,ROUND(MAX(0,J5829*K5829*L5829*M5829*N5829),2),"")</f>
        <v/>
      </c>
    </row>
    <row r="5830">
      <c r="A5830" t="n">
        <v>5829</v>
      </c>
      <c r="B5830">
        <f>A5830&lt;=MineCount*Days</f>
        <v/>
      </c>
      <c r="C5830">
        <f>IF(B5830,INT((A5830-1)/Days)+1,"")</f>
        <v/>
      </c>
      <c r="D5830">
        <f>IF(B5830,MOD(A5830-1,Days),"")</f>
        <v/>
      </c>
      <c r="E5830" s="16">
        <f>IF(B5830,StartDate+D5830,"")</f>
        <v/>
      </c>
      <c r="F5830">
        <f>IF(B5830,MAX(MOD(SIN(Seed*0.1373+C5830*12.9898+D5830*78.233)*43758.5453,1),1E-9),"")</f>
        <v/>
      </c>
      <c r="G5830">
        <f>IF(B5830,MOD(SIN(Seed*0.5917+C5830*39.3468+D5830*11.135)*24634.6345,1),"")</f>
        <v/>
      </c>
      <c r="H5830">
        <f>IF(B5830,SQRT(-2*LN(F5830))*COS(2*PI()*G5830),"")</f>
        <v/>
      </c>
      <c r="I5830">
        <f>IF(B5830,IF(D5830=0,H5830,Rho*I5829+SQRT(1-Rho^2)*H5830),"")</f>
        <v/>
      </c>
      <c r="J5830">
        <f>IF(B5830,IF(Dist="Normal",DistA+DistB*I5830,DistA+(DistB-DistA)*NORMSDIST(I5830)),"")</f>
        <v/>
      </c>
      <c r="K5830">
        <f>IF(B5830,INDEX(MineScale,C5830),"")</f>
        <v/>
      </c>
      <c r="L5830">
        <f>IF(B5830,INDEX(Dow,1,WEEKDAY(E5830,2)),"")</f>
        <v/>
      </c>
      <c r="M5830">
        <f>IF(B5830,(1+Trend)^D5830,"")</f>
        <v/>
      </c>
      <c r="N5830">
        <f>IF(B5830,EXP(SUMPRODUCT(LN(1+(EvEff-1)*INDEX(Affected,0,C5830)*EXP(-((E5830-EvCenter)^2)/(2*EvSigma^2))))),"")</f>
        <v/>
      </c>
      <c r="O5830">
        <f>IF(B5830,ROUND(MAX(0,J5830*K5830*L5830*M5830*N5830),2),"")</f>
        <v/>
      </c>
    </row>
    <row r="5831">
      <c r="A5831" t="n">
        <v>5830</v>
      </c>
      <c r="B5831">
        <f>A5831&lt;=MineCount*Days</f>
        <v/>
      </c>
      <c r="C5831">
        <f>IF(B5831,INT((A5831-1)/Days)+1,"")</f>
        <v/>
      </c>
      <c r="D5831">
        <f>IF(B5831,MOD(A5831-1,Days),"")</f>
        <v/>
      </c>
      <c r="E5831" s="16">
        <f>IF(B5831,StartDate+D5831,"")</f>
        <v/>
      </c>
      <c r="F5831">
        <f>IF(B5831,MAX(MOD(SIN(Seed*0.1373+C5831*12.9898+D5831*78.233)*43758.5453,1),1E-9),"")</f>
        <v/>
      </c>
      <c r="G5831">
        <f>IF(B5831,MOD(SIN(Seed*0.5917+C5831*39.3468+D5831*11.135)*24634.6345,1),"")</f>
        <v/>
      </c>
      <c r="H5831">
        <f>IF(B5831,SQRT(-2*LN(F5831))*COS(2*PI()*G5831),"")</f>
        <v/>
      </c>
      <c r="I5831">
        <f>IF(B5831,IF(D5831=0,H5831,Rho*I5830+SQRT(1-Rho^2)*H5831),"")</f>
        <v/>
      </c>
      <c r="J5831">
        <f>IF(B5831,IF(Dist="Normal",DistA+DistB*I5831,DistA+(DistB-DistA)*NORMSDIST(I5831)),"")</f>
        <v/>
      </c>
      <c r="K5831">
        <f>IF(B5831,INDEX(MineScale,C5831),"")</f>
        <v/>
      </c>
      <c r="L5831">
        <f>IF(B5831,INDEX(Dow,1,WEEKDAY(E5831,2)),"")</f>
        <v/>
      </c>
      <c r="M5831">
        <f>IF(B5831,(1+Trend)^D5831,"")</f>
        <v/>
      </c>
      <c r="N5831">
        <f>IF(B5831,EXP(SUMPRODUCT(LN(1+(EvEff-1)*INDEX(Affected,0,C5831)*EXP(-((E5831-EvCenter)^2)/(2*EvSigma^2))))),"")</f>
        <v/>
      </c>
      <c r="O5831">
        <f>IF(B5831,ROUND(MAX(0,J5831*K5831*L5831*M5831*N5831),2),"")</f>
        <v/>
      </c>
    </row>
    <row r="5832">
      <c r="A5832" t="n">
        <v>5831</v>
      </c>
      <c r="B5832">
        <f>A5832&lt;=MineCount*Days</f>
        <v/>
      </c>
      <c r="C5832">
        <f>IF(B5832,INT((A5832-1)/Days)+1,"")</f>
        <v/>
      </c>
      <c r="D5832">
        <f>IF(B5832,MOD(A5832-1,Days),"")</f>
        <v/>
      </c>
      <c r="E5832" s="16">
        <f>IF(B5832,StartDate+D5832,"")</f>
        <v/>
      </c>
      <c r="F5832">
        <f>IF(B5832,MAX(MOD(SIN(Seed*0.1373+C5832*12.9898+D5832*78.233)*43758.5453,1),1E-9),"")</f>
        <v/>
      </c>
      <c r="G5832">
        <f>IF(B5832,MOD(SIN(Seed*0.5917+C5832*39.3468+D5832*11.135)*24634.6345,1),"")</f>
        <v/>
      </c>
      <c r="H5832">
        <f>IF(B5832,SQRT(-2*LN(F5832))*COS(2*PI()*G5832),"")</f>
        <v/>
      </c>
      <c r="I5832">
        <f>IF(B5832,IF(D5832=0,H5832,Rho*I5831+SQRT(1-Rho^2)*H5832),"")</f>
        <v/>
      </c>
      <c r="J5832">
        <f>IF(B5832,IF(Dist="Normal",DistA+DistB*I5832,DistA+(DistB-DistA)*NORMSDIST(I5832)),"")</f>
        <v/>
      </c>
      <c r="K5832">
        <f>IF(B5832,INDEX(MineScale,C5832),"")</f>
        <v/>
      </c>
      <c r="L5832">
        <f>IF(B5832,INDEX(Dow,1,WEEKDAY(E5832,2)),"")</f>
        <v/>
      </c>
      <c r="M5832">
        <f>IF(B5832,(1+Trend)^D5832,"")</f>
        <v/>
      </c>
      <c r="N5832">
        <f>IF(B5832,EXP(SUMPRODUCT(LN(1+(EvEff-1)*INDEX(Affected,0,C5832)*EXP(-((E5832-EvCenter)^2)/(2*EvSigma^2))))),"")</f>
        <v/>
      </c>
      <c r="O5832">
        <f>IF(B5832,ROUND(MAX(0,J5832*K5832*L5832*M5832*N5832),2),"")</f>
        <v/>
      </c>
    </row>
    <row r="5833">
      <c r="A5833" t="n">
        <v>5832</v>
      </c>
      <c r="B5833">
        <f>A5833&lt;=MineCount*Days</f>
        <v/>
      </c>
      <c r="C5833">
        <f>IF(B5833,INT((A5833-1)/Days)+1,"")</f>
        <v/>
      </c>
      <c r="D5833">
        <f>IF(B5833,MOD(A5833-1,Days),"")</f>
        <v/>
      </c>
      <c r="E5833" s="16">
        <f>IF(B5833,StartDate+D5833,"")</f>
        <v/>
      </c>
      <c r="F5833">
        <f>IF(B5833,MAX(MOD(SIN(Seed*0.1373+C5833*12.9898+D5833*78.233)*43758.5453,1),1E-9),"")</f>
        <v/>
      </c>
      <c r="G5833">
        <f>IF(B5833,MOD(SIN(Seed*0.5917+C5833*39.3468+D5833*11.135)*24634.6345,1),"")</f>
        <v/>
      </c>
      <c r="H5833">
        <f>IF(B5833,SQRT(-2*LN(F5833))*COS(2*PI()*G5833),"")</f>
        <v/>
      </c>
      <c r="I5833">
        <f>IF(B5833,IF(D5833=0,H5833,Rho*I5832+SQRT(1-Rho^2)*H5833),"")</f>
        <v/>
      </c>
      <c r="J5833">
        <f>IF(B5833,IF(Dist="Normal",DistA+DistB*I5833,DistA+(DistB-DistA)*NORMSDIST(I5833)),"")</f>
        <v/>
      </c>
      <c r="K5833">
        <f>IF(B5833,INDEX(MineScale,C5833),"")</f>
        <v/>
      </c>
      <c r="L5833">
        <f>IF(B5833,INDEX(Dow,1,WEEKDAY(E5833,2)),"")</f>
        <v/>
      </c>
      <c r="M5833">
        <f>IF(B5833,(1+Trend)^D5833,"")</f>
        <v/>
      </c>
      <c r="N5833">
        <f>IF(B5833,EXP(SUMPRODUCT(LN(1+(EvEff-1)*INDEX(Affected,0,C5833)*EXP(-((E5833-EvCenter)^2)/(2*EvSigma^2))))),"")</f>
        <v/>
      </c>
      <c r="O5833">
        <f>IF(B5833,ROUND(MAX(0,J5833*K5833*L5833*M5833*N5833),2),"")</f>
        <v/>
      </c>
    </row>
    <row r="5834">
      <c r="A5834" t="n">
        <v>5833</v>
      </c>
      <c r="B5834">
        <f>A5834&lt;=MineCount*Days</f>
        <v/>
      </c>
      <c r="C5834">
        <f>IF(B5834,INT((A5834-1)/Days)+1,"")</f>
        <v/>
      </c>
      <c r="D5834">
        <f>IF(B5834,MOD(A5834-1,Days),"")</f>
        <v/>
      </c>
      <c r="E5834" s="16">
        <f>IF(B5834,StartDate+D5834,"")</f>
        <v/>
      </c>
      <c r="F5834">
        <f>IF(B5834,MAX(MOD(SIN(Seed*0.1373+C5834*12.9898+D5834*78.233)*43758.5453,1),1E-9),"")</f>
        <v/>
      </c>
      <c r="G5834">
        <f>IF(B5834,MOD(SIN(Seed*0.5917+C5834*39.3468+D5834*11.135)*24634.6345,1),"")</f>
        <v/>
      </c>
      <c r="H5834">
        <f>IF(B5834,SQRT(-2*LN(F5834))*COS(2*PI()*G5834),"")</f>
        <v/>
      </c>
      <c r="I5834">
        <f>IF(B5834,IF(D5834=0,H5834,Rho*I5833+SQRT(1-Rho^2)*H5834),"")</f>
        <v/>
      </c>
      <c r="J5834">
        <f>IF(B5834,IF(Dist="Normal",DistA+DistB*I5834,DistA+(DistB-DistA)*NORMSDIST(I5834)),"")</f>
        <v/>
      </c>
      <c r="K5834">
        <f>IF(B5834,INDEX(MineScale,C5834),"")</f>
        <v/>
      </c>
      <c r="L5834">
        <f>IF(B5834,INDEX(Dow,1,WEEKDAY(E5834,2)),"")</f>
        <v/>
      </c>
      <c r="M5834">
        <f>IF(B5834,(1+Trend)^D5834,"")</f>
        <v/>
      </c>
      <c r="N5834">
        <f>IF(B5834,EXP(SUMPRODUCT(LN(1+(EvEff-1)*INDEX(Affected,0,C5834)*EXP(-((E5834-EvCenter)^2)/(2*EvSigma^2))))),"")</f>
        <v/>
      </c>
      <c r="O5834">
        <f>IF(B5834,ROUND(MAX(0,J5834*K5834*L5834*M5834*N5834),2),"")</f>
        <v/>
      </c>
    </row>
    <row r="5835">
      <c r="A5835" t="n">
        <v>5834</v>
      </c>
      <c r="B5835">
        <f>A5835&lt;=MineCount*Days</f>
        <v/>
      </c>
      <c r="C5835">
        <f>IF(B5835,INT((A5835-1)/Days)+1,"")</f>
        <v/>
      </c>
      <c r="D5835">
        <f>IF(B5835,MOD(A5835-1,Days),"")</f>
        <v/>
      </c>
      <c r="E5835" s="16">
        <f>IF(B5835,StartDate+D5835,"")</f>
        <v/>
      </c>
      <c r="F5835">
        <f>IF(B5835,MAX(MOD(SIN(Seed*0.1373+C5835*12.9898+D5835*78.233)*43758.5453,1),1E-9),"")</f>
        <v/>
      </c>
      <c r="G5835">
        <f>IF(B5835,MOD(SIN(Seed*0.5917+C5835*39.3468+D5835*11.135)*24634.6345,1),"")</f>
        <v/>
      </c>
      <c r="H5835">
        <f>IF(B5835,SQRT(-2*LN(F5835))*COS(2*PI()*G5835),"")</f>
        <v/>
      </c>
      <c r="I5835">
        <f>IF(B5835,IF(D5835=0,H5835,Rho*I5834+SQRT(1-Rho^2)*H5835),"")</f>
        <v/>
      </c>
      <c r="J5835">
        <f>IF(B5835,IF(Dist="Normal",DistA+DistB*I5835,DistA+(DistB-DistA)*NORMSDIST(I5835)),"")</f>
        <v/>
      </c>
      <c r="K5835">
        <f>IF(B5835,INDEX(MineScale,C5835),"")</f>
        <v/>
      </c>
      <c r="L5835">
        <f>IF(B5835,INDEX(Dow,1,WEEKDAY(E5835,2)),"")</f>
        <v/>
      </c>
      <c r="M5835">
        <f>IF(B5835,(1+Trend)^D5835,"")</f>
        <v/>
      </c>
      <c r="N5835">
        <f>IF(B5835,EXP(SUMPRODUCT(LN(1+(EvEff-1)*INDEX(Affected,0,C5835)*EXP(-((E5835-EvCenter)^2)/(2*EvSigma^2))))),"")</f>
        <v/>
      </c>
      <c r="O5835">
        <f>IF(B5835,ROUND(MAX(0,J5835*K5835*L5835*M5835*N5835),2),"")</f>
        <v/>
      </c>
    </row>
    <row r="5836">
      <c r="A5836" t="n">
        <v>5835</v>
      </c>
      <c r="B5836">
        <f>A5836&lt;=MineCount*Days</f>
        <v/>
      </c>
      <c r="C5836">
        <f>IF(B5836,INT((A5836-1)/Days)+1,"")</f>
        <v/>
      </c>
      <c r="D5836">
        <f>IF(B5836,MOD(A5836-1,Days),"")</f>
        <v/>
      </c>
      <c r="E5836" s="16">
        <f>IF(B5836,StartDate+D5836,"")</f>
        <v/>
      </c>
      <c r="F5836">
        <f>IF(B5836,MAX(MOD(SIN(Seed*0.1373+C5836*12.9898+D5836*78.233)*43758.5453,1),1E-9),"")</f>
        <v/>
      </c>
      <c r="G5836">
        <f>IF(B5836,MOD(SIN(Seed*0.5917+C5836*39.3468+D5836*11.135)*24634.6345,1),"")</f>
        <v/>
      </c>
      <c r="H5836">
        <f>IF(B5836,SQRT(-2*LN(F5836))*COS(2*PI()*G5836),"")</f>
        <v/>
      </c>
      <c r="I5836">
        <f>IF(B5836,IF(D5836=0,H5836,Rho*I5835+SQRT(1-Rho^2)*H5836),"")</f>
        <v/>
      </c>
      <c r="J5836">
        <f>IF(B5836,IF(Dist="Normal",DistA+DistB*I5836,DistA+(DistB-DistA)*NORMSDIST(I5836)),"")</f>
        <v/>
      </c>
      <c r="K5836">
        <f>IF(B5836,INDEX(MineScale,C5836),"")</f>
        <v/>
      </c>
      <c r="L5836">
        <f>IF(B5836,INDEX(Dow,1,WEEKDAY(E5836,2)),"")</f>
        <v/>
      </c>
      <c r="M5836">
        <f>IF(B5836,(1+Trend)^D5836,"")</f>
        <v/>
      </c>
      <c r="N5836">
        <f>IF(B5836,EXP(SUMPRODUCT(LN(1+(EvEff-1)*INDEX(Affected,0,C5836)*EXP(-((E5836-EvCenter)^2)/(2*EvSigma^2))))),"")</f>
        <v/>
      </c>
      <c r="O5836">
        <f>IF(B5836,ROUND(MAX(0,J5836*K5836*L5836*M5836*N5836),2),"")</f>
        <v/>
      </c>
    </row>
    <row r="5837">
      <c r="A5837" t="n">
        <v>5836</v>
      </c>
      <c r="B5837">
        <f>A5837&lt;=MineCount*Days</f>
        <v/>
      </c>
      <c r="C5837">
        <f>IF(B5837,INT((A5837-1)/Days)+1,"")</f>
        <v/>
      </c>
      <c r="D5837">
        <f>IF(B5837,MOD(A5837-1,Days),"")</f>
        <v/>
      </c>
      <c r="E5837" s="16">
        <f>IF(B5837,StartDate+D5837,"")</f>
        <v/>
      </c>
      <c r="F5837">
        <f>IF(B5837,MAX(MOD(SIN(Seed*0.1373+C5837*12.9898+D5837*78.233)*43758.5453,1),1E-9),"")</f>
        <v/>
      </c>
      <c r="G5837">
        <f>IF(B5837,MOD(SIN(Seed*0.5917+C5837*39.3468+D5837*11.135)*24634.6345,1),"")</f>
        <v/>
      </c>
      <c r="H5837">
        <f>IF(B5837,SQRT(-2*LN(F5837))*COS(2*PI()*G5837),"")</f>
        <v/>
      </c>
      <c r="I5837">
        <f>IF(B5837,IF(D5837=0,H5837,Rho*I5836+SQRT(1-Rho^2)*H5837),"")</f>
        <v/>
      </c>
      <c r="J5837">
        <f>IF(B5837,IF(Dist="Normal",DistA+DistB*I5837,DistA+(DistB-DistA)*NORMSDIST(I5837)),"")</f>
        <v/>
      </c>
      <c r="K5837">
        <f>IF(B5837,INDEX(MineScale,C5837),"")</f>
        <v/>
      </c>
      <c r="L5837">
        <f>IF(B5837,INDEX(Dow,1,WEEKDAY(E5837,2)),"")</f>
        <v/>
      </c>
      <c r="M5837">
        <f>IF(B5837,(1+Trend)^D5837,"")</f>
        <v/>
      </c>
      <c r="N5837">
        <f>IF(B5837,EXP(SUMPRODUCT(LN(1+(EvEff-1)*INDEX(Affected,0,C5837)*EXP(-((E5837-EvCenter)^2)/(2*EvSigma^2))))),"")</f>
        <v/>
      </c>
      <c r="O5837">
        <f>IF(B5837,ROUND(MAX(0,J5837*K5837*L5837*M5837*N5837),2),"")</f>
        <v/>
      </c>
    </row>
    <row r="5838">
      <c r="A5838" t="n">
        <v>5837</v>
      </c>
      <c r="B5838">
        <f>A5838&lt;=MineCount*Days</f>
        <v/>
      </c>
      <c r="C5838">
        <f>IF(B5838,INT((A5838-1)/Days)+1,"")</f>
        <v/>
      </c>
      <c r="D5838">
        <f>IF(B5838,MOD(A5838-1,Days),"")</f>
        <v/>
      </c>
      <c r="E5838" s="16">
        <f>IF(B5838,StartDate+D5838,"")</f>
        <v/>
      </c>
      <c r="F5838">
        <f>IF(B5838,MAX(MOD(SIN(Seed*0.1373+C5838*12.9898+D5838*78.233)*43758.5453,1),1E-9),"")</f>
        <v/>
      </c>
      <c r="G5838">
        <f>IF(B5838,MOD(SIN(Seed*0.5917+C5838*39.3468+D5838*11.135)*24634.6345,1),"")</f>
        <v/>
      </c>
      <c r="H5838">
        <f>IF(B5838,SQRT(-2*LN(F5838))*COS(2*PI()*G5838),"")</f>
        <v/>
      </c>
      <c r="I5838">
        <f>IF(B5838,IF(D5838=0,H5838,Rho*I5837+SQRT(1-Rho^2)*H5838),"")</f>
        <v/>
      </c>
      <c r="J5838">
        <f>IF(B5838,IF(Dist="Normal",DistA+DistB*I5838,DistA+(DistB-DistA)*NORMSDIST(I5838)),"")</f>
        <v/>
      </c>
      <c r="K5838">
        <f>IF(B5838,INDEX(MineScale,C5838),"")</f>
        <v/>
      </c>
      <c r="L5838">
        <f>IF(B5838,INDEX(Dow,1,WEEKDAY(E5838,2)),"")</f>
        <v/>
      </c>
      <c r="M5838">
        <f>IF(B5838,(1+Trend)^D5838,"")</f>
        <v/>
      </c>
      <c r="N5838">
        <f>IF(B5838,EXP(SUMPRODUCT(LN(1+(EvEff-1)*INDEX(Affected,0,C5838)*EXP(-((E5838-EvCenter)^2)/(2*EvSigma^2))))),"")</f>
        <v/>
      </c>
      <c r="O5838">
        <f>IF(B5838,ROUND(MAX(0,J5838*K5838*L5838*M5838*N5838),2),"")</f>
        <v/>
      </c>
    </row>
    <row r="5839">
      <c r="A5839" t="n">
        <v>5838</v>
      </c>
      <c r="B5839">
        <f>A5839&lt;=MineCount*Days</f>
        <v/>
      </c>
      <c r="C5839">
        <f>IF(B5839,INT((A5839-1)/Days)+1,"")</f>
        <v/>
      </c>
      <c r="D5839">
        <f>IF(B5839,MOD(A5839-1,Days),"")</f>
        <v/>
      </c>
      <c r="E5839" s="16">
        <f>IF(B5839,StartDate+D5839,"")</f>
        <v/>
      </c>
      <c r="F5839">
        <f>IF(B5839,MAX(MOD(SIN(Seed*0.1373+C5839*12.9898+D5839*78.233)*43758.5453,1),1E-9),"")</f>
        <v/>
      </c>
      <c r="G5839">
        <f>IF(B5839,MOD(SIN(Seed*0.5917+C5839*39.3468+D5839*11.135)*24634.6345,1),"")</f>
        <v/>
      </c>
      <c r="H5839">
        <f>IF(B5839,SQRT(-2*LN(F5839))*COS(2*PI()*G5839),"")</f>
        <v/>
      </c>
      <c r="I5839">
        <f>IF(B5839,IF(D5839=0,H5839,Rho*I5838+SQRT(1-Rho^2)*H5839),"")</f>
        <v/>
      </c>
      <c r="J5839">
        <f>IF(B5839,IF(Dist="Normal",DistA+DistB*I5839,DistA+(DistB-DistA)*NORMSDIST(I5839)),"")</f>
        <v/>
      </c>
      <c r="K5839">
        <f>IF(B5839,INDEX(MineScale,C5839),"")</f>
        <v/>
      </c>
      <c r="L5839">
        <f>IF(B5839,INDEX(Dow,1,WEEKDAY(E5839,2)),"")</f>
        <v/>
      </c>
      <c r="M5839">
        <f>IF(B5839,(1+Trend)^D5839,"")</f>
        <v/>
      </c>
      <c r="N5839">
        <f>IF(B5839,EXP(SUMPRODUCT(LN(1+(EvEff-1)*INDEX(Affected,0,C5839)*EXP(-((E5839-EvCenter)^2)/(2*EvSigma^2))))),"")</f>
        <v/>
      </c>
      <c r="O5839">
        <f>IF(B5839,ROUND(MAX(0,J5839*K5839*L5839*M5839*N5839),2),"")</f>
        <v/>
      </c>
    </row>
    <row r="5840">
      <c r="A5840" t="n">
        <v>5839</v>
      </c>
      <c r="B5840">
        <f>A5840&lt;=MineCount*Days</f>
        <v/>
      </c>
      <c r="C5840">
        <f>IF(B5840,INT((A5840-1)/Days)+1,"")</f>
        <v/>
      </c>
      <c r="D5840">
        <f>IF(B5840,MOD(A5840-1,Days),"")</f>
        <v/>
      </c>
      <c r="E5840" s="16">
        <f>IF(B5840,StartDate+D5840,"")</f>
        <v/>
      </c>
      <c r="F5840">
        <f>IF(B5840,MAX(MOD(SIN(Seed*0.1373+C5840*12.9898+D5840*78.233)*43758.5453,1),1E-9),"")</f>
        <v/>
      </c>
      <c r="G5840">
        <f>IF(B5840,MOD(SIN(Seed*0.5917+C5840*39.3468+D5840*11.135)*24634.6345,1),"")</f>
        <v/>
      </c>
      <c r="H5840">
        <f>IF(B5840,SQRT(-2*LN(F5840))*COS(2*PI()*G5840),"")</f>
        <v/>
      </c>
      <c r="I5840">
        <f>IF(B5840,IF(D5840=0,H5840,Rho*I5839+SQRT(1-Rho^2)*H5840),"")</f>
        <v/>
      </c>
      <c r="J5840">
        <f>IF(B5840,IF(Dist="Normal",DistA+DistB*I5840,DistA+(DistB-DistA)*NORMSDIST(I5840)),"")</f>
        <v/>
      </c>
      <c r="K5840">
        <f>IF(B5840,INDEX(MineScale,C5840),"")</f>
        <v/>
      </c>
      <c r="L5840">
        <f>IF(B5840,INDEX(Dow,1,WEEKDAY(E5840,2)),"")</f>
        <v/>
      </c>
      <c r="M5840">
        <f>IF(B5840,(1+Trend)^D5840,"")</f>
        <v/>
      </c>
      <c r="N5840">
        <f>IF(B5840,EXP(SUMPRODUCT(LN(1+(EvEff-1)*INDEX(Affected,0,C5840)*EXP(-((E5840-EvCenter)^2)/(2*EvSigma^2))))),"")</f>
        <v/>
      </c>
      <c r="O5840">
        <f>IF(B5840,ROUND(MAX(0,J5840*K5840*L5840*M5840*N5840),2),"")</f>
        <v/>
      </c>
    </row>
    <row r="5841">
      <c r="A5841" t="n">
        <v>5840</v>
      </c>
      <c r="B5841">
        <f>A5841&lt;=MineCount*Days</f>
        <v/>
      </c>
      <c r="C5841">
        <f>IF(B5841,INT((A5841-1)/Days)+1,"")</f>
        <v/>
      </c>
      <c r="D5841">
        <f>IF(B5841,MOD(A5841-1,Days),"")</f>
        <v/>
      </c>
      <c r="E5841" s="16">
        <f>IF(B5841,StartDate+D5841,"")</f>
        <v/>
      </c>
      <c r="F5841">
        <f>IF(B5841,MAX(MOD(SIN(Seed*0.1373+C5841*12.9898+D5841*78.233)*43758.5453,1),1E-9),"")</f>
        <v/>
      </c>
      <c r="G5841">
        <f>IF(B5841,MOD(SIN(Seed*0.5917+C5841*39.3468+D5841*11.135)*24634.6345,1),"")</f>
        <v/>
      </c>
      <c r="H5841">
        <f>IF(B5841,SQRT(-2*LN(F5841))*COS(2*PI()*G5841),"")</f>
        <v/>
      </c>
      <c r="I5841">
        <f>IF(B5841,IF(D5841=0,H5841,Rho*I5840+SQRT(1-Rho^2)*H5841),"")</f>
        <v/>
      </c>
      <c r="J5841">
        <f>IF(B5841,IF(Dist="Normal",DistA+DistB*I5841,DistA+(DistB-DistA)*NORMSDIST(I5841)),"")</f>
        <v/>
      </c>
      <c r="K5841">
        <f>IF(B5841,INDEX(MineScale,C5841),"")</f>
        <v/>
      </c>
      <c r="L5841">
        <f>IF(B5841,INDEX(Dow,1,WEEKDAY(E5841,2)),"")</f>
        <v/>
      </c>
      <c r="M5841">
        <f>IF(B5841,(1+Trend)^D5841,"")</f>
        <v/>
      </c>
      <c r="N5841">
        <f>IF(B5841,EXP(SUMPRODUCT(LN(1+(EvEff-1)*INDEX(Affected,0,C5841)*EXP(-((E5841-EvCenter)^2)/(2*EvSigma^2))))),"")</f>
        <v/>
      </c>
      <c r="O5841">
        <f>IF(B5841,ROUND(MAX(0,J5841*K5841*L5841*M5841*N5841),2),"")</f>
        <v/>
      </c>
    </row>
    <row r="5842">
      <c r="A5842" t="n">
        <v>5841</v>
      </c>
      <c r="B5842">
        <f>A5842&lt;=MineCount*Days</f>
        <v/>
      </c>
      <c r="C5842">
        <f>IF(B5842,INT((A5842-1)/Days)+1,"")</f>
        <v/>
      </c>
      <c r="D5842">
        <f>IF(B5842,MOD(A5842-1,Days),"")</f>
        <v/>
      </c>
      <c r="E5842" s="16">
        <f>IF(B5842,StartDate+D5842,"")</f>
        <v/>
      </c>
      <c r="F5842">
        <f>IF(B5842,MAX(MOD(SIN(Seed*0.1373+C5842*12.9898+D5842*78.233)*43758.5453,1),1E-9),"")</f>
        <v/>
      </c>
      <c r="G5842">
        <f>IF(B5842,MOD(SIN(Seed*0.5917+C5842*39.3468+D5842*11.135)*24634.6345,1),"")</f>
        <v/>
      </c>
      <c r="H5842">
        <f>IF(B5842,SQRT(-2*LN(F5842))*COS(2*PI()*G5842),"")</f>
        <v/>
      </c>
      <c r="I5842">
        <f>IF(B5842,IF(D5842=0,H5842,Rho*I5841+SQRT(1-Rho^2)*H5842),"")</f>
        <v/>
      </c>
      <c r="J5842">
        <f>IF(B5842,IF(Dist="Normal",DistA+DistB*I5842,DistA+(DistB-DistA)*NORMSDIST(I5842)),"")</f>
        <v/>
      </c>
      <c r="K5842">
        <f>IF(B5842,INDEX(MineScale,C5842),"")</f>
        <v/>
      </c>
      <c r="L5842">
        <f>IF(B5842,INDEX(Dow,1,WEEKDAY(E5842,2)),"")</f>
        <v/>
      </c>
      <c r="M5842">
        <f>IF(B5842,(1+Trend)^D5842,"")</f>
        <v/>
      </c>
      <c r="N5842">
        <f>IF(B5842,EXP(SUMPRODUCT(LN(1+(EvEff-1)*INDEX(Affected,0,C5842)*EXP(-((E5842-EvCenter)^2)/(2*EvSigma^2))))),"")</f>
        <v/>
      </c>
      <c r="O5842">
        <f>IF(B5842,ROUND(MAX(0,J5842*K5842*L5842*M5842*N5842),2),"")</f>
        <v/>
      </c>
    </row>
    <row r="5843">
      <c r="A5843" t="n">
        <v>5842</v>
      </c>
      <c r="B5843">
        <f>A5843&lt;=MineCount*Days</f>
        <v/>
      </c>
      <c r="C5843">
        <f>IF(B5843,INT((A5843-1)/Days)+1,"")</f>
        <v/>
      </c>
      <c r="D5843">
        <f>IF(B5843,MOD(A5843-1,Days),"")</f>
        <v/>
      </c>
      <c r="E5843" s="16">
        <f>IF(B5843,StartDate+D5843,"")</f>
        <v/>
      </c>
      <c r="F5843">
        <f>IF(B5843,MAX(MOD(SIN(Seed*0.1373+C5843*12.9898+D5843*78.233)*43758.5453,1),1E-9),"")</f>
        <v/>
      </c>
      <c r="G5843">
        <f>IF(B5843,MOD(SIN(Seed*0.5917+C5843*39.3468+D5843*11.135)*24634.6345,1),"")</f>
        <v/>
      </c>
      <c r="H5843">
        <f>IF(B5843,SQRT(-2*LN(F5843))*COS(2*PI()*G5843),"")</f>
        <v/>
      </c>
      <c r="I5843">
        <f>IF(B5843,IF(D5843=0,H5843,Rho*I5842+SQRT(1-Rho^2)*H5843),"")</f>
        <v/>
      </c>
      <c r="J5843">
        <f>IF(B5843,IF(Dist="Normal",DistA+DistB*I5843,DistA+(DistB-DistA)*NORMSDIST(I5843)),"")</f>
        <v/>
      </c>
      <c r="K5843">
        <f>IF(B5843,INDEX(MineScale,C5843),"")</f>
        <v/>
      </c>
      <c r="L5843">
        <f>IF(B5843,INDEX(Dow,1,WEEKDAY(E5843,2)),"")</f>
        <v/>
      </c>
      <c r="M5843">
        <f>IF(B5843,(1+Trend)^D5843,"")</f>
        <v/>
      </c>
      <c r="N5843">
        <f>IF(B5843,EXP(SUMPRODUCT(LN(1+(EvEff-1)*INDEX(Affected,0,C5843)*EXP(-((E5843-EvCenter)^2)/(2*EvSigma^2))))),"")</f>
        <v/>
      </c>
      <c r="O5843">
        <f>IF(B5843,ROUND(MAX(0,J5843*K5843*L5843*M5843*N5843),2),"")</f>
        <v/>
      </c>
    </row>
    <row r="5844">
      <c r="A5844" t="n">
        <v>5843</v>
      </c>
      <c r="B5844">
        <f>A5844&lt;=MineCount*Days</f>
        <v/>
      </c>
      <c r="C5844">
        <f>IF(B5844,INT((A5844-1)/Days)+1,"")</f>
        <v/>
      </c>
      <c r="D5844">
        <f>IF(B5844,MOD(A5844-1,Days),"")</f>
        <v/>
      </c>
      <c r="E5844" s="16">
        <f>IF(B5844,StartDate+D5844,"")</f>
        <v/>
      </c>
      <c r="F5844">
        <f>IF(B5844,MAX(MOD(SIN(Seed*0.1373+C5844*12.9898+D5844*78.233)*43758.5453,1),1E-9),"")</f>
        <v/>
      </c>
      <c r="G5844">
        <f>IF(B5844,MOD(SIN(Seed*0.5917+C5844*39.3468+D5844*11.135)*24634.6345,1),"")</f>
        <v/>
      </c>
      <c r="H5844">
        <f>IF(B5844,SQRT(-2*LN(F5844))*COS(2*PI()*G5844),"")</f>
        <v/>
      </c>
      <c r="I5844">
        <f>IF(B5844,IF(D5844=0,H5844,Rho*I5843+SQRT(1-Rho^2)*H5844),"")</f>
        <v/>
      </c>
      <c r="J5844">
        <f>IF(B5844,IF(Dist="Normal",DistA+DistB*I5844,DistA+(DistB-DistA)*NORMSDIST(I5844)),"")</f>
        <v/>
      </c>
      <c r="K5844">
        <f>IF(B5844,INDEX(MineScale,C5844),"")</f>
        <v/>
      </c>
      <c r="L5844">
        <f>IF(B5844,INDEX(Dow,1,WEEKDAY(E5844,2)),"")</f>
        <v/>
      </c>
      <c r="M5844">
        <f>IF(B5844,(1+Trend)^D5844,"")</f>
        <v/>
      </c>
      <c r="N5844">
        <f>IF(B5844,EXP(SUMPRODUCT(LN(1+(EvEff-1)*INDEX(Affected,0,C5844)*EXP(-((E5844-EvCenter)^2)/(2*EvSigma^2))))),"")</f>
        <v/>
      </c>
      <c r="O5844">
        <f>IF(B5844,ROUND(MAX(0,J5844*K5844*L5844*M5844*N5844),2),"")</f>
        <v/>
      </c>
    </row>
    <row r="5845">
      <c r="A5845" t="n">
        <v>5844</v>
      </c>
      <c r="B5845">
        <f>A5845&lt;=MineCount*Days</f>
        <v/>
      </c>
      <c r="C5845">
        <f>IF(B5845,INT((A5845-1)/Days)+1,"")</f>
        <v/>
      </c>
      <c r="D5845">
        <f>IF(B5845,MOD(A5845-1,Days),"")</f>
        <v/>
      </c>
      <c r="E5845" s="16">
        <f>IF(B5845,StartDate+D5845,"")</f>
        <v/>
      </c>
      <c r="F5845">
        <f>IF(B5845,MAX(MOD(SIN(Seed*0.1373+C5845*12.9898+D5845*78.233)*43758.5453,1),1E-9),"")</f>
        <v/>
      </c>
      <c r="G5845">
        <f>IF(B5845,MOD(SIN(Seed*0.5917+C5845*39.3468+D5845*11.135)*24634.6345,1),"")</f>
        <v/>
      </c>
      <c r="H5845">
        <f>IF(B5845,SQRT(-2*LN(F5845))*COS(2*PI()*G5845),"")</f>
        <v/>
      </c>
      <c r="I5845">
        <f>IF(B5845,IF(D5845=0,H5845,Rho*I5844+SQRT(1-Rho^2)*H5845),"")</f>
        <v/>
      </c>
      <c r="J5845">
        <f>IF(B5845,IF(Dist="Normal",DistA+DistB*I5845,DistA+(DistB-DistA)*NORMSDIST(I5845)),"")</f>
        <v/>
      </c>
      <c r="K5845">
        <f>IF(B5845,INDEX(MineScale,C5845),"")</f>
        <v/>
      </c>
      <c r="L5845">
        <f>IF(B5845,INDEX(Dow,1,WEEKDAY(E5845,2)),"")</f>
        <v/>
      </c>
      <c r="M5845">
        <f>IF(B5845,(1+Trend)^D5845,"")</f>
        <v/>
      </c>
      <c r="N5845">
        <f>IF(B5845,EXP(SUMPRODUCT(LN(1+(EvEff-1)*INDEX(Affected,0,C5845)*EXP(-((E5845-EvCenter)^2)/(2*EvSigma^2))))),"")</f>
        <v/>
      </c>
      <c r="O5845">
        <f>IF(B5845,ROUND(MAX(0,J5845*K5845*L5845*M5845*N5845),2),"")</f>
        <v/>
      </c>
    </row>
    <row r="5846">
      <c r="A5846" t="n">
        <v>5845</v>
      </c>
      <c r="B5846">
        <f>A5846&lt;=MineCount*Days</f>
        <v/>
      </c>
      <c r="C5846">
        <f>IF(B5846,INT((A5846-1)/Days)+1,"")</f>
        <v/>
      </c>
      <c r="D5846">
        <f>IF(B5846,MOD(A5846-1,Days),"")</f>
        <v/>
      </c>
      <c r="E5846" s="16">
        <f>IF(B5846,StartDate+D5846,"")</f>
        <v/>
      </c>
      <c r="F5846">
        <f>IF(B5846,MAX(MOD(SIN(Seed*0.1373+C5846*12.9898+D5846*78.233)*43758.5453,1),1E-9),"")</f>
        <v/>
      </c>
      <c r="G5846">
        <f>IF(B5846,MOD(SIN(Seed*0.5917+C5846*39.3468+D5846*11.135)*24634.6345,1),"")</f>
        <v/>
      </c>
      <c r="H5846">
        <f>IF(B5846,SQRT(-2*LN(F5846))*COS(2*PI()*G5846),"")</f>
        <v/>
      </c>
      <c r="I5846">
        <f>IF(B5846,IF(D5846=0,H5846,Rho*I5845+SQRT(1-Rho^2)*H5846),"")</f>
        <v/>
      </c>
      <c r="J5846">
        <f>IF(B5846,IF(Dist="Normal",DistA+DistB*I5846,DistA+(DistB-DistA)*NORMSDIST(I5846)),"")</f>
        <v/>
      </c>
      <c r="K5846">
        <f>IF(B5846,INDEX(MineScale,C5846),"")</f>
        <v/>
      </c>
      <c r="L5846">
        <f>IF(B5846,INDEX(Dow,1,WEEKDAY(E5846,2)),"")</f>
        <v/>
      </c>
      <c r="M5846">
        <f>IF(B5846,(1+Trend)^D5846,"")</f>
        <v/>
      </c>
      <c r="N5846">
        <f>IF(B5846,EXP(SUMPRODUCT(LN(1+(EvEff-1)*INDEX(Affected,0,C5846)*EXP(-((E5846-EvCenter)^2)/(2*EvSigma^2))))),"")</f>
        <v/>
      </c>
      <c r="O5846">
        <f>IF(B5846,ROUND(MAX(0,J5846*K5846*L5846*M5846*N5846),2),"")</f>
        <v/>
      </c>
    </row>
    <row r="5847">
      <c r="A5847" t="n">
        <v>5846</v>
      </c>
      <c r="B5847">
        <f>A5847&lt;=MineCount*Days</f>
        <v/>
      </c>
      <c r="C5847">
        <f>IF(B5847,INT((A5847-1)/Days)+1,"")</f>
        <v/>
      </c>
      <c r="D5847">
        <f>IF(B5847,MOD(A5847-1,Days),"")</f>
        <v/>
      </c>
      <c r="E5847" s="16">
        <f>IF(B5847,StartDate+D5847,"")</f>
        <v/>
      </c>
      <c r="F5847">
        <f>IF(B5847,MAX(MOD(SIN(Seed*0.1373+C5847*12.9898+D5847*78.233)*43758.5453,1),1E-9),"")</f>
        <v/>
      </c>
      <c r="G5847">
        <f>IF(B5847,MOD(SIN(Seed*0.5917+C5847*39.3468+D5847*11.135)*24634.6345,1),"")</f>
        <v/>
      </c>
      <c r="H5847">
        <f>IF(B5847,SQRT(-2*LN(F5847))*COS(2*PI()*G5847),"")</f>
        <v/>
      </c>
      <c r="I5847">
        <f>IF(B5847,IF(D5847=0,H5847,Rho*I5846+SQRT(1-Rho^2)*H5847),"")</f>
        <v/>
      </c>
      <c r="J5847">
        <f>IF(B5847,IF(Dist="Normal",DistA+DistB*I5847,DistA+(DistB-DistA)*NORMSDIST(I5847)),"")</f>
        <v/>
      </c>
      <c r="K5847">
        <f>IF(B5847,INDEX(MineScale,C5847),"")</f>
        <v/>
      </c>
      <c r="L5847">
        <f>IF(B5847,INDEX(Dow,1,WEEKDAY(E5847,2)),"")</f>
        <v/>
      </c>
      <c r="M5847">
        <f>IF(B5847,(1+Trend)^D5847,"")</f>
        <v/>
      </c>
      <c r="N5847">
        <f>IF(B5847,EXP(SUMPRODUCT(LN(1+(EvEff-1)*INDEX(Affected,0,C5847)*EXP(-((E5847-EvCenter)^2)/(2*EvSigma^2))))),"")</f>
        <v/>
      </c>
      <c r="O5847">
        <f>IF(B5847,ROUND(MAX(0,J5847*K5847*L5847*M5847*N5847),2),"")</f>
        <v/>
      </c>
    </row>
    <row r="5848">
      <c r="A5848" t="n">
        <v>5847</v>
      </c>
      <c r="B5848">
        <f>A5848&lt;=MineCount*Days</f>
        <v/>
      </c>
      <c r="C5848">
        <f>IF(B5848,INT((A5848-1)/Days)+1,"")</f>
        <v/>
      </c>
      <c r="D5848">
        <f>IF(B5848,MOD(A5848-1,Days),"")</f>
        <v/>
      </c>
      <c r="E5848" s="16">
        <f>IF(B5848,StartDate+D5848,"")</f>
        <v/>
      </c>
      <c r="F5848">
        <f>IF(B5848,MAX(MOD(SIN(Seed*0.1373+C5848*12.9898+D5848*78.233)*43758.5453,1),1E-9),"")</f>
        <v/>
      </c>
      <c r="G5848">
        <f>IF(B5848,MOD(SIN(Seed*0.5917+C5848*39.3468+D5848*11.135)*24634.6345,1),"")</f>
        <v/>
      </c>
      <c r="H5848">
        <f>IF(B5848,SQRT(-2*LN(F5848))*COS(2*PI()*G5848),"")</f>
        <v/>
      </c>
      <c r="I5848">
        <f>IF(B5848,IF(D5848=0,H5848,Rho*I5847+SQRT(1-Rho^2)*H5848),"")</f>
        <v/>
      </c>
      <c r="J5848">
        <f>IF(B5848,IF(Dist="Normal",DistA+DistB*I5848,DistA+(DistB-DistA)*NORMSDIST(I5848)),"")</f>
        <v/>
      </c>
      <c r="K5848">
        <f>IF(B5848,INDEX(MineScale,C5848),"")</f>
        <v/>
      </c>
      <c r="L5848">
        <f>IF(B5848,INDEX(Dow,1,WEEKDAY(E5848,2)),"")</f>
        <v/>
      </c>
      <c r="M5848">
        <f>IF(B5848,(1+Trend)^D5848,"")</f>
        <v/>
      </c>
      <c r="N5848">
        <f>IF(B5848,EXP(SUMPRODUCT(LN(1+(EvEff-1)*INDEX(Affected,0,C5848)*EXP(-((E5848-EvCenter)^2)/(2*EvSigma^2))))),"")</f>
        <v/>
      </c>
      <c r="O5848">
        <f>IF(B5848,ROUND(MAX(0,J5848*K5848*L5848*M5848*N5848),2),"")</f>
        <v/>
      </c>
    </row>
    <row r="5849">
      <c r="A5849" t="n">
        <v>5848</v>
      </c>
      <c r="B5849">
        <f>A5849&lt;=MineCount*Days</f>
        <v/>
      </c>
      <c r="C5849">
        <f>IF(B5849,INT((A5849-1)/Days)+1,"")</f>
        <v/>
      </c>
      <c r="D5849">
        <f>IF(B5849,MOD(A5849-1,Days),"")</f>
        <v/>
      </c>
      <c r="E5849" s="16">
        <f>IF(B5849,StartDate+D5849,"")</f>
        <v/>
      </c>
      <c r="F5849">
        <f>IF(B5849,MAX(MOD(SIN(Seed*0.1373+C5849*12.9898+D5849*78.233)*43758.5453,1),1E-9),"")</f>
        <v/>
      </c>
      <c r="G5849">
        <f>IF(B5849,MOD(SIN(Seed*0.5917+C5849*39.3468+D5849*11.135)*24634.6345,1),"")</f>
        <v/>
      </c>
      <c r="H5849">
        <f>IF(B5849,SQRT(-2*LN(F5849))*COS(2*PI()*G5849),"")</f>
        <v/>
      </c>
      <c r="I5849">
        <f>IF(B5849,IF(D5849=0,H5849,Rho*I5848+SQRT(1-Rho^2)*H5849),"")</f>
        <v/>
      </c>
      <c r="J5849">
        <f>IF(B5849,IF(Dist="Normal",DistA+DistB*I5849,DistA+(DistB-DistA)*NORMSDIST(I5849)),"")</f>
        <v/>
      </c>
      <c r="K5849">
        <f>IF(B5849,INDEX(MineScale,C5849),"")</f>
        <v/>
      </c>
      <c r="L5849">
        <f>IF(B5849,INDEX(Dow,1,WEEKDAY(E5849,2)),"")</f>
        <v/>
      </c>
      <c r="M5849">
        <f>IF(B5849,(1+Trend)^D5849,"")</f>
        <v/>
      </c>
      <c r="N5849">
        <f>IF(B5849,EXP(SUMPRODUCT(LN(1+(EvEff-1)*INDEX(Affected,0,C5849)*EXP(-((E5849-EvCenter)^2)/(2*EvSigma^2))))),"")</f>
        <v/>
      </c>
      <c r="O5849">
        <f>IF(B5849,ROUND(MAX(0,J5849*K5849*L5849*M5849*N5849),2),"")</f>
        <v/>
      </c>
    </row>
    <row r="5850">
      <c r="A5850" t="n">
        <v>5849</v>
      </c>
      <c r="B5850">
        <f>A5850&lt;=MineCount*Days</f>
        <v/>
      </c>
      <c r="C5850">
        <f>IF(B5850,INT((A5850-1)/Days)+1,"")</f>
        <v/>
      </c>
      <c r="D5850">
        <f>IF(B5850,MOD(A5850-1,Days),"")</f>
        <v/>
      </c>
      <c r="E5850" s="16">
        <f>IF(B5850,StartDate+D5850,"")</f>
        <v/>
      </c>
      <c r="F5850">
        <f>IF(B5850,MAX(MOD(SIN(Seed*0.1373+C5850*12.9898+D5850*78.233)*43758.5453,1),1E-9),"")</f>
        <v/>
      </c>
      <c r="G5850">
        <f>IF(B5850,MOD(SIN(Seed*0.5917+C5850*39.3468+D5850*11.135)*24634.6345,1),"")</f>
        <v/>
      </c>
      <c r="H5850">
        <f>IF(B5850,SQRT(-2*LN(F5850))*COS(2*PI()*G5850),"")</f>
        <v/>
      </c>
      <c r="I5850">
        <f>IF(B5850,IF(D5850=0,H5850,Rho*I5849+SQRT(1-Rho^2)*H5850),"")</f>
        <v/>
      </c>
      <c r="J5850">
        <f>IF(B5850,IF(Dist="Normal",DistA+DistB*I5850,DistA+(DistB-DistA)*NORMSDIST(I5850)),"")</f>
        <v/>
      </c>
      <c r="K5850">
        <f>IF(B5850,INDEX(MineScale,C5850),"")</f>
        <v/>
      </c>
      <c r="L5850">
        <f>IF(B5850,INDEX(Dow,1,WEEKDAY(E5850,2)),"")</f>
        <v/>
      </c>
      <c r="M5850">
        <f>IF(B5850,(1+Trend)^D5850,"")</f>
        <v/>
      </c>
      <c r="N5850">
        <f>IF(B5850,EXP(SUMPRODUCT(LN(1+(EvEff-1)*INDEX(Affected,0,C5850)*EXP(-((E5850-EvCenter)^2)/(2*EvSigma^2))))),"")</f>
        <v/>
      </c>
      <c r="O5850">
        <f>IF(B5850,ROUND(MAX(0,J5850*K5850*L5850*M5850*N5850),2),"")</f>
        <v/>
      </c>
    </row>
    <row r="5851">
      <c r="A5851" t="n">
        <v>5850</v>
      </c>
      <c r="B5851">
        <f>A5851&lt;=MineCount*Days</f>
        <v/>
      </c>
      <c r="C5851">
        <f>IF(B5851,INT((A5851-1)/Days)+1,"")</f>
        <v/>
      </c>
      <c r="D5851">
        <f>IF(B5851,MOD(A5851-1,Days),"")</f>
        <v/>
      </c>
      <c r="E5851" s="16">
        <f>IF(B5851,StartDate+D5851,"")</f>
        <v/>
      </c>
      <c r="F5851">
        <f>IF(B5851,MAX(MOD(SIN(Seed*0.1373+C5851*12.9898+D5851*78.233)*43758.5453,1),1E-9),"")</f>
        <v/>
      </c>
      <c r="G5851">
        <f>IF(B5851,MOD(SIN(Seed*0.5917+C5851*39.3468+D5851*11.135)*24634.6345,1),"")</f>
        <v/>
      </c>
      <c r="H5851">
        <f>IF(B5851,SQRT(-2*LN(F5851))*COS(2*PI()*G5851),"")</f>
        <v/>
      </c>
      <c r="I5851">
        <f>IF(B5851,IF(D5851=0,H5851,Rho*I5850+SQRT(1-Rho^2)*H5851),"")</f>
        <v/>
      </c>
      <c r="J5851">
        <f>IF(B5851,IF(Dist="Normal",DistA+DistB*I5851,DistA+(DistB-DistA)*NORMSDIST(I5851)),"")</f>
        <v/>
      </c>
      <c r="K5851">
        <f>IF(B5851,INDEX(MineScale,C5851),"")</f>
        <v/>
      </c>
      <c r="L5851">
        <f>IF(B5851,INDEX(Dow,1,WEEKDAY(E5851,2)),"")</f>
        <v/>
      </c>
      <c r="M5851">
        <f>IF(B5851,(1+Trend)^D5851,"")</f>
        <v/>
      </c>
      <c r="N5851">
        <f>IF(B5851,EXP(SUMPRODUCT(LN(1+(EvEff-1)*INDEX(Affected,0,C5851)*EXP(-((E5851-EvCenter)^2)/(2*EvSigma^2))))),"")</f>
        <v/>
      </c>
      <c r="O5851">
        <f>IF(B5851,ROUND(MAX(0,J5851*K5851*L5851*M5851*N5851),2),"")</f>
        <v/>
      </c>
    </row>
    <row r="5852">
      <c r="A5852" t="n">
        <v>5851</v>
      </c>
      <c r="B5852">
        <f>A5852&lt;=MineCount*Days</f>
        <v/>
      </c>
      <c r="C5852">
        <f>IF(B5852,INT((A5852-1)/Days)+1,"")</f>
        <v/>
      </c>
      <c r="D5852">
        <f>IF(B5852,MOD(A5852-1,Days),"")</f>
        <v/>
      </c>
      <c r="E5852" s="16">
        <f>IF(B5852,StartDate+D5852,"")</f>
        <v/>
      </c>
      <c r="F5852">
        <f>IF(B5852,MAX(MOD(SIN(Seed*0.1373+C5852*12.9898+D5852*78.233)*43758.5453,1),1E-9),"")</f>
        <v/>
      </c>
      <c r="G5852">
        <f>IF(B5852,MOD(SIN(Seed*0.5917+C5852*39.3468+D5852*11.135)*24634.6345,1),"")</f>
        <v/>
      </c>
      <c r="H5852">
        <f>IF(B5852,SQRT(-2*LN(F5852))*COS(2*PI()*G5852),"")</f>
        <v/>
      </c>
      <c r="I5852">
        <f>IF(B5852,IF(D5852=0,H5852,Rho*I5851+SQRT(1-Rho^2)*H5852),"")</f>
        <v/>
      </c>
      <c r="J5852">
        <f>IF(B5852,IF(Dist="Normal",DistA+DistB*I5852,DistA+(DistB-DistA)*NORMSDIST(I5852)),"")</f>
        <v/>
      </c>
      <c r="K5852">
        <f>IF(B5852,INDEX(MineScale,C5852),"")</f>
        <v/>
      </c>
      <c r="L5852">
        <f>IF(B5852,INDEX(Dow,1,WEEKDAY(E5852,2)),"")</f>
        <v/>
      </c>
      <c r="M5852">
        <f>IF(B5852,(1+Trend)^D5852,"")</f>
        <v/>
      </c>
      <c r="N5852">
        <f>IF(B5852,EXP(SUMPRODUCT(LN(1+(EvEff-1)*INDEX(Affected,0,C5852)*EXP(-((E5852-EvCenter)^2)/(2*EvSigma^2))))),"")</f>
        <v/>
      </c>
      <c r="O5852">
        <f>IF(B5852,ROUND(MAX(0,J5852*K5852*L5852*M5852*N5852),2),"")</f>
        <v/>
      </c>
    </row>
    <row r="5853">
      <c r="A5853" t="n">
        <v>5852</v>
      </c>
      <c r="B5853">
        <f>A5853&lt;=MineCount*Days</f>
        <v/>
      </c>
      <c r="C5853">
        <f>IF(B5853,INT((A5853-1)/Days)+1,"")</f>
        <v/>
      </c>
      <c r="D5853">
        <f>IF(B5853,MOD(A5853-1,Days),"")</f>
        <v/>
      </c>
      <c r="E5853" s="16">
        <f>IF(B5853,StartDate+D5853,"")</f>
        <v/>
      </c>
      <c r="F5853">
        <f>IF(B5853,MAX(MOD(SIN(Seed*0.1373+C5853*12.9898+D5853*78.233)*43758.5453,1),1E-9),"")</f>
        <v/>
      </c>
      <c r="G5853">
        <f>IF(B5853,MOD(SIN(Seed*0.5917+C5853*39.3468+D5853*11.135)*24634.6345,1),"")</f>
        <v/>
      </c>
      <c r="H5853">
        <f>IF(B5853,SQRT(-2*LN(F5853))*COS(2*PI()*G5853),"")</f>
        <v/>
      </c>
      <c r="I5853">
        <f>IF(B5853,IF(D5853=0,H5853,Rho*I5852+SQRT(1-Rho^2)*H5853),"")</f>
        <v/>
      </c>
      <c r="J5853">
        <f>IF(B5853,IF(Dist="Normal",DistA+DistB*I5853,DistA+(DistB-DistA)*NORMSDIST(I5853)),"")</f>
        <v/>
      </c>
      <c r="K5853">
        <f>IF(B5853,INDEX(MineScale,C5853),"")</f>
        <v/>
      </c>
      <c r="L5853">
        <f>IF(B5853,INDEX(Dow,1,WEEKDAY(E5853,2)),"")</f>
        <v/>
      </c>
      <c r="M5853">
        <f>IF(B5853,(1+Trend)^D5853,"")</f>
        <v/>
      </c>
      <c r="N5853">
        <f>IF(B5853,EXP(SUMPRODUCT(LN(1+(EvEff-1)*INDEX(Affected,0,C5853)*EXP(-((E5853-EvCenter)^2)/(2*EvSigma^2))))),"")</f>
        <v/>
      </c>
      <c r="O5853">
        <f>IF(B5853,ROUND(MAX(0,J5853*K5853*L5853*M5853*N5853),2),"")</f>
        <v/>
      </c>
    </row>
    <row r="5854">
      <c r="A5854" t="n">
        <v>5853</v>
      </c>
      <c r="B5854">
        <f>A5854&lt;=MineCount*Days</f>
        <v/>
      </c>
      <c r="C5854">
        <f>IF(B5854,INT((A5854-1)/Days)+1,"")</f>
        <v/>
      </c>
      <c r="D5854">
        <f>IF(B5854,MOD(A5854-1,Days),"")</f>
        <v/>
      </c>
      <c r="E5854" s="16">
        <f>IF(B5854,StartDate+D5854,"")</f>
        <v/>
      </c>
      <c r="F5854">
        <f>IF(B5854,MAX(MOD(SIN(Seed*0.1373+C5854*12.9898+D5854*78.233)*43758.5453,1),1E-9),"")</f>
        <v/>
      </c>
      <c r="G5854">
        <f>IF(B5854,MOD(SIN(Seed*0.5917+C5854*39.3468+D5854*11.135)*24634.6345,1),"")</f>
        <v/>
      </c>
      <c r="H5854">
        <f>IF(B5854,SQRT(-2*LN(F5854))*COS(2*PI()*G5854),"")</f>
        <v/>
      </c>
      <c r="I5854">
        <f>IF(B5854,IF(D5854=0,H5854,Rho*I5853+SQRT(1-Rho^2)*H5854),"")</f>
        <v/>
      </c>
      <c r="J5854">
        <f>IF(B5854,IF(Dist="Normal",DistA+DistB*I5854,DistA+(DistB-DistA)*NORMSDIST(I5854)),"")</f>
        <v/>
      </c>
      <c r="K5854">
        <f>IF(B5854,INDEX(MineScale,C5854),"")</f>
        <v/>
      </c>
      <c r="L5854">
        <f>IF(B5854,INDEX(Dow,1,WEEKDAY(E5854,2)),"")</f>
        <v/>
      </c>
      <c r="M5854">
        <f>IF(B5854,(1+Trend)^D5854,"")</f>
        <v/>
      </c>
      <c r="N5854">
        <f>IF(B5854,EXP(SUMPRODUCT(LN(1+(EvEff-1)*INDEX(Affected,0,C5854)*EXP(-((E5854-EvCenter)^2)/(2*EvSigma^2))))),"")</f>
        <v/>
      </c>
      <c r="O5854">
        <f>IF(B5854,ROUND(MAX(0,J5854*K5854*L5854*M5854*N5854),2),"")</f>
        <v/>
      </c>
    </row>
    <row r="5855">
      <c r="A5855" t="n">
        <v>5854</v>
      </c>
      <c r="B5855">
        <f>A5855&lt;=MineCount*Days</f>
        <v/>
      </c>
      <c r="C5855">
        <f>IF(B5855,INT((A5855-1)/Days)+1,"")</f>
        <v/>
      </c>
      <c r="D5855">
        <f>IF(B5855,MOD(A5855-1,Days),"")</f>
        <v/>
      </c>
      <c r="E5855" s="16">
        <f>IF(B5855,StartDate+D5855,"")</f>
        <v/>
      </c>
      <c r="F5855">
        <f>IF(B5855,MAX(MOD(SIN(Seed*0.1373+C5855*12.9898+D5855*78.233)*43758.5453,1),1E-9),"")</f>
        <v/>
      </c>
      <c r="G5855">
        <f>IF(B5855,MOD(SIN(Seed*0.5917+C5855*39.3468+D5855*11.135)*24634.6345,1),"")</f>
        <v/>
      </c>
      <c r="H5855">
        <f>IF(B5855,SQRT(-2*LN(F5855))*COS(2*PI()*G5855),"")</f>
        <v/>
      </c>
      <c r="I5855">
        <f>IF(B5855,IF(D5855=0,H5855,Rho*I5854+SQRT(1-Rho^2)*H5855),"")</f>
        <v/>
      </c>
      <c r="J5855">
        <f>IF(B5855,IF(Dist="Normal",DistA+DistB*I5855,DistA+(DistB-DistA)*NORMSDIST(I5855)),"")</f>
        <v/>
      </c>
      <c r="K5855">
        <f>IF(B5855,INDEX(MineScale,C5855),"")</f>
        <v/>
      </c>
      <c r="L5855">
        <f>IF(B5855,INDEX(Dow,1,WEEKDAY(E5855,2)),"")</f>
        <v/>
      </c>
      <c r="M5855">
        <f>IF(B5855,(1+Trend)^D5855,"")</f>
        <v/>
      </c>
      <c r="N5855">
        <f>IF(B5855,EXP(SUMPRODUCT(LN(1+(EvEff-1)*INDEX(Affected,0,C5855)*EXP(-((E5855-EvCenter)^2)/(2*EvSigma^2))))),"")</f>
        <v/>
      </c>
      <c r="O5855">
        <f>IF(B5855,ROUND(MAX(0,J5855*K5855*L5855*M5855*N5855),2),"")</f>
        <v/>
      </c>
    </row>
    <row r="5856">
      <c r="A5856" t="n">
        <v>5855</v>
      </c>
      <c r="B5856">
        <f>A5856&lt;=MineCount*Days</f>
        <v/>
      </c>
      <c r="C5856">
        <f>IF(B5856,INT((A5856-1)/Days)+1,"")</f>
        <v/>
      </c>
      <c r="D5856">
        <f>IF(B5856,MOD(A5856-1,Days),"")</f>
        <v/>
      </c>
      <c r="E5856" s="16">
        <f>IF(B5856,StartDate+D5856,"")</f>
        <v/>
      </c>
      <c r="F5856">
        <f>IF(B5856,MAX(MOD(SIN(Seed*0.1373+C5856*12.9898+D5856*78.233)*43758.5453,1),1E-9),"")</f>
        <v/>
      </c>
      <c r="G5856">
        <f>IF(B5856,MOD(SIN(Seed*0.5917+C5856*39.3468+D5856*11.135)*24634.6345,1),"")</f>
        <v/>
      </c>
      <c r="H5856">
        <f>IF(B5856,SQRT(-2*LN(F5856))*COS(2*PI()*G5856),"")</f>
        <v/>
      </c>
      <c r="I5856">
        <f>IF(B5856,IF(D5856=0,H5856,Rho*I5855+SQRT(1-Rho^2)*H5856),"")</f>
        <v/>
      </c>
      <c r="J5856">
        <f>IF(B5856,IF(Dist="Normal",DistA+DistB*I5856,DistA+(DistB-DistA)*NORMSDIST(I5856)),"")</f>
        <v/>
      </c>
      <c r="K5856">
        <f>IF(B5856,INDEX(MineScale,C5856),"")</f>
        <v/>
      </c>
      <c r="L5856">
        <f>IF(B5856,INDEX(Dow,1,WEEKDAY(E5856,2)),"")</f>
        <v/>
      </c>
      <c r="M5856">
        <f>IF(B5856,(1+Trend)^D5856,"")</f>
        <v/>
      </c>
      <c r="N5856">
        <f>IF(B5856,EXP(SUMPRODUCT(LN(1+(EvEff-1)*INDEX(Affected,0,C5856)*EXP(-((E5856-EvCenter)^2)/(2*EvSigma^2))))),"")</f>
        <v/>
      </c>
      <c r="O5856">
        <f>IF(B5856,ROUND(MAX(0,J5856*K5856*L5856*M5856*N5856),2),"")</f>
        <v/>
      </c>
    </row>
    <row r="5857">
      <c r="A5857" t="n">
        <v>5856</v>
      </c>
      <c r="B5857">
        <f>A5857&lt;=MineCount*Days</f>
        <v/>
      </c>
      <c r="C5857">
        <f>IF(B5857,INT((A5857-1)/Days)+1,"")</f>
        <v/>
      </c>
      <c r="D5857">
        <f>IF(B5857,MOD(A5857-1,Days),"")</f>
        <v/>
      </c>
      <c r="E5857" s="16">
        <f>IF(B5857,StartDate+D5857,"")</f>
        <v/>
      </c>
      <c r="F5857">
        <f>IF(B5857,MAX(MOD(SIN(Seed*0.1373+C5857*12.9898+D5857*78.233)*43758.5453,1),1E-9),"")</f>
        <v/>
      </c>
      <c r="G5857">
        <f>IF(B5857,MOD(SIN(Seed*0.5917+C5857*39.3468+D5857*11.135)*24634.6345,1),"")</f>
        <v/>
      </c>
      <c r="H5857">
        <f>IF(B5857,SQRT(-2*LN(F5857))*COS(2*PI()*G5857),"")</f>
        <v/>
      </c>
      <c r="I5857">
        <f>IF(B5857,IF(D5857=0,H5857,Rho*I5856+SQRT(1-Rho^2)*H5857),"")</f>
        <v/>
      </c>
      <c r="J5857">
        <f>IF(B5857,IF(Dist="Normal",DistA+DistB*I5857,DistA+(DistB-DistA)*NORMSDIST(I5857)),"")</f>
        <v/>
      </c>
      <c r="K5857">
        <f>IF(B5857,INDEX(MineScale,C5857),"")</f>
        <v/>
      </c>
      <c r="L5857">
        <f>IF(B5857,INDEX(Dow,1,WEEKDAY(E5857,2)),"")</f>
        <v/>
      </c>
      <c r="M5857">
        <f>IF(B5857,(1+Trend)^D5857,"")</f>
        <v/>
      </c>
      <c r="N5857">
        <f>IF(B5857,EXP(SUMPRODUCT(LN(1+(EvEff-1)*INDEX(Affected,0,C5857)*EXP(-((E5857-EvCenter)^2)/(2*EvSigma^2))))),"")</f>
        <v/>
      </c>
      <c r="O5857">
        <f>IF(B5857,ROUND(MAX(0,J5857*K5857*L5857*M5857*N5857),2),"")</f>
        <v/>
      </c>
    </row>
    <row r="5858">
      <c r="A5858" t="n">
        <v>5857</v>
      </c>
      <c r="B5858">
        <f>A5858&lt;=MineCount*Days</f>
        <v/>
      </c>
      <c r="C5858">
        <f>IF(B5858,INT((A5858-1)/Days)+1,"")</f>
        <v/>
      </c>
      <c r="D5858">
        <f>IF(B5858,MOD(A5858-1,Days),"")</f>
        <v/>
      </c>
      <c r="E5858" s="16">
        <f>IF(B5858,StartDate+D5858,"")</f>
        <v/>
      </c>
      <c r="F5858">
        <f>IF(B5858,MAX(MOD(SIN(Seed*0.1373+C5858*12.9898+D5858*78.233)*43758.5453,1),1E-9),"")</f>
        <v/>
      </c>
      <c r="G5858">
        <f>IF(B5858,MOD(SIN(Seed*0.5917+C5858*39.3468+D5858*11.135)*24634.6345,1),"")</f>
        <v/>
      </c>
      <c r="H5858">
        <f>IF(B5858,SQRT(-2*LN(F5858))*COS(2*PI()*G5858),"")</f>
        <v/>
      </c>
      <c r="I5858">
        <f>IF(B5858,IF(D5858=0,H5858,Rho*I5857+SQRT(1-Rho^2)*H5858),"")</f>
        <v/>
      </c>
      <c r="J5858">
        <f>IF(B5858,IF(Dist="Normal",DistA+DistB*I5858,DistA+(DistB-DistA)*NORMSDIST(I5858)),"")</f>
        <v/>
      </c>
      <c r="K5858">
        <f>IF(B5858,INDEX(MineScale,C5858),"")</f>
        <v/>
      </c>
      <c r="L5858">
        <f>IF(B5858,INDEX(Dow,1,WEEKDAY(E5858,2)),"")</f>
        <v/>
      </c>
      <c r="M5858">
        <f>IF(B5858,(1+Trend)^D5858,"")</f>
        <v/>
      </c>
      <c r="N5858">
        <f>IF(B5858,EXP(SUMPRODUCT(LN(1+(EvEff-1)*INDEX(Affected,0,C5858)*EXP(-((E5858-EvCenter)^2)/(2*EvSigma^2))))),"")</f>
        <v/>
      </c>
      <c r="O5858">
        <f>IF(B5858,ROUND(MAX(0,J5858*K5858*L5858*M5858*N5858),2),"")</f>
        <v/>
      </c>
    </row>
    <row r="5859">
      <c r="A5859" t="n">
        <v>5858</v>
      </c>
      <c r="B5859">
        <f>A5859&lt;=MineCount*Days</f>
        <v/>
      </c>
      <c r="C5859">
        <f>IF(B5859,INT((A5859-1)/Days)+1,"")</f>
        <v/>
      </c>
      <c r="D5859">
        <f>IF(B5859,MOD(A5859-1,Days),"")</f>
        <v/>
      </c>
      <c r="E5859" s="16">
        <f>IF(B5859,StartDate+D5859,"")</f>
        <v/>
      </c>
      <c r="F5859">
        <f>IF(B5859,MAX(MOD(SIN(Seed*0.1373+C5859*12.9898+D5859*78.233)*43758.5453,1),1E-9),"")</f>
        <v/>
      </c>
      <c r="G5859">
        <f>IF(B5859,MOD(SIN(Seed*0.5917+C5859*39.3468+D5859*11.135)*24634.6345,1),"")</f>
        <v/>
      </c>
      <c r="H5859">
        <f>IF(B5859,SQRT(-2*LN(F5859))*COS(2*PI()*G5859),"")</f>
        <v/>
      </c>
      <c r="I5859">
        <f>IF(B5859,IF(D5859=0,H5859,Rho*I5858+SQRT(1-Rho^2)*H5859),"")</f>
        <v/>
      </c>
      <c r="J5859">
        <f>IF(B5859,IF(Dist="Normal",DistA+DistB*I5859,DistA+(DistB-DistA)*NORMSDIST(I5859)),"")</f>
        <v/>
      </c>
      <c r="K5859">
        <f>IF(B5859,INDEX(MineScale,C5859),"")</f>
        <v/>
      </c>
      <c r="L5859">
        <f>IF(B5859,INDEX(Dow,1,WEEKDAY(E5859,2)),"")</f>
        <v/>
      </c>
      <c r="M5859">
        <f>IF(B5859,(1+Trend)^D5859,"")</f>
        <v/>
      </c>
      <c r="N5859">
        <f>IF(B5859,EXP(SUMPRODUCT(LN(1+(EvEff-1)*INDEX(Affected,0,C5859)*EXP(-((E5859-EvCenter)^2)/(2*EvSigma^2))))),"")</f>
        <v/>
      </c>
      <c r="O5859">
        <f>IF(B5859,ROUND(MAX(0,J5859*K5859*L5859*M5859*N5859),2),"")</f>
        <v/>
      </c>
    </row>
    <row r="5860">
      <c r="A5860" t="n">
        <v>5859</v>
      </c>
      <c r="B5860">
        <f>A5860&lt;=MineCount*Days</f>
        <v/>
      </c>
      <c r="C5860">
        <f>IF(B5860,INT((A5860-1)/Days)+1,"")</f>
        <v/>
      </c>
      <c r="D5860">
        <f>IF(B5860,MOD(A5860-1,Days),"")</f>
        <v/>
      </c>
      <c r="E5860" s="16">
        <f>IF(B5860,StartDate+D5860,"")</f>
        <v/>
      </c>
      <c r="F5860">
        <f>IF(B5860,MAX(MOD(SIN(Seed*0.1373+C5860*12.9898+D5860*78.233)*43758.5453,1),1E-9),"")</f>
        <v/>
      </c>
      <c r="G5860">
        <f>IF(B5860,MOD(SIN(Seed*0.5917+C5860*39.3468+D5860*11.135)*24634.6345,1),"")</f>
        <v/>
      </c>
      <c r="H5860">
        <f>IF(B5860,SQRT(-2*LN(F5860))*COS(2*PI()*G5860),"")</f>
        <v/>
      </c>
      <c r="I5860">
        <f>IF(B5860,IF(D5860=0,H5860,Rho*I5859+SQRT(1-Rho^2)*H5860),"")</f>
        <v/>
      </c>
      <c r="J5860">
        <f>IF(B5860,IF(Dist="Normal",DistA+DistB*I5860,DistA+(DistB-DistA)*NORMSDIST(I5860)),"")</f>
        <v/>
      </c>
      <c r="K5860">
        <f>IF(B5860,INDEX(MineScale,C5860),"")</f>
        <v/>
      </c>
      <c r="L5860">
        <f>IF(B5860,INDEX(Dow,1,WEEKDAY(E5860,2)),"")</f>
        <v/>
      </c>
      <c r="M5860">
        <f>IF(B5860,(1+Trend)^D5860,"")</f>
        <v/>
      </c>
      <c r="N5860">
        <f>IF(B5860,EXP(SUMPRODUCT(LN(1+(EvEff-1)*INDEX(Affected,0,C5860)*EXP(-((E5860-EvCenter)^2)/(2*EvSigma^2))))),"")</f>
        <v/>
      </c>
      <c r="O5860">
        <f>IF(B5860,ROUND(MAX(0,J5860*K5860*L5860*M5860*N5860),2),"")</f>
        <v/>
      </c>
    </row>
    <row r="5861">
      <c r="A5861" t="n">
        <v>5860</v>
      </c>
      <c r="B5861">
        <f>A5861&lt;=MineCount*Days</f>
        <v/>
      </c>
      <c r="C5861">
        <f>IF(B5861,INT((A5861-1)/Days)+1,"")</f>
        <v/>
      </c>
      <c r="D5861">
        <f>IF(B5861,MOD(A5861-1,Days),"")</f>
        <v/>
      </c>
      <c r="E5861" s="16">
        <f>IF(B5861,StartDate+D5861,"")</f>
        <v/>
      </c>
      <c r="F5861">
        <f>IF(B5861,MAX(MOD(SIN(Seed*0.1373+C5861*12.9898+D5861*78.233)*43758.5453,1),1E-9),"")</f>
        <v/>
      </c>
      <c r="G5861">
        <f>IF(B5861,MOD(SIN(Seed*0.5917+C5861*39.3468+D5861*11.135)*24634.6345,1),"")</f>
        <v/>
      </c>
      <c r="H5861">
        <f>IF(B5861,SQRT(-2*LN(F5861))*COS(2*PI()*G5861),"")</f>
        <v/>
      </c>
      <c r="I5861">
        <f>IF(B5861,IF(D5861=0,H5861,Rho*I5860+SQRT(1-Rho^2)*H5861),"")</f>
        <v/>
      </c>
      <c r="J5861">
        <f>IF(B5861,IF(Dist="Normal",DistA+DistB*I5861,DistA+(DistB-DistA)*NORMSDIST(I5861)),"")</f>
        <v/>
      </c>
      <c r="K5861">
        <f>IF(B5861,INDEX(MineScale,C5861),"")</f>
        <v/>
      </c>
      <c r="L5861">
        <f>IF(B5861,INDEX(Dow,1,WEEKDAY(E5861,2)),"")</f>
        <v/>
      </c>
      <c r="M5861">
        <f>IF(B5861,(1+Trend)^D5861,"")</f>
        <v/>
      </c>
      <c r="N5861">
        <f>IF(B5861,EXP(SUMPRODUCT(LN(1+(EvEff-1)*INDEX(Affected,0,C5861)*EXP(-((E5861-EvCenter)^2)/(2*EvSigma^2))))),"")</f>
        <v/>
      </c>
      <c r="O5861">
        <f>IF(B5861,ROUND(MAX(0,J5861*K5861*L5861*M5861*N5861),2),"")</f>
        <v/>
      </c>
    </row>
    <row r="5862">
      <c r="A5862" t="n">
        <v>5861</v>
      </c>
      <c r="B5862">
        <f>A5862&lt;=MineCount*Days</f>
        <v/>
      </c>
      <c r="C5862">
        <f>IF(B5862,INT((A5862-1)/Days)+1,"")</f>
        <v/>
      </c>
      <c r="D5862">
        <f>IF(B5862,MOD(A5862-1,Days),"")</f>
        <v/>
      </c>
      <c r="E5862" s="16">
        <f>IF(B5862,StartDate+D5862,"")</f>
        <v/>
      </c>
      <c r="F5862">
        <f>IF(B5862,MAX(MOD(SIN(Seed*0.1373+C5862*12.9898+D5862*78.233)*43758.5453,1),1E-9),"")</f>
        <v/>
      </c>
      <c r="G5862">
        <f>IF(B5862,MOD(SIN(Seed*0.5917+C5862*39.3468+D5862*11.135)*24634.6345,1),"")</f>
        <v/>
      </c>
      <c r="H5862">
        <f>IF(B5862,SQRT(-2*LN(F5862))*COS(2*PI()*G5862),"")</f>
        <v/>
      </c>
      <c r="I5862">
        <f>IF(B5862,IF(D5862=0,H5862,Rho*I5861+SQRT(1-Rho^2)*H5862),"")</f>
        <v/>
      </c>
      <c r="J5862">
        <f>IF(B5862,IF(Dist="Normal",DistA+DistB*I5862,DistA+(DistB-DistA)*NORMSDIST(I5862)),"")</f>
        <v/>
      </c>
      <c r="K5862">
        <f>IF(B5862,INDEX(MineScale,C5862),"")</f>
        <v/>
      </c>
      <c r="L5862">
        <f>IF(B5862,INDEX(Dow,1,WEEKDAY(E5862,2)),"")</f>
        <v/>
      </c>
      <c r="M5862">
        <f>IF(B5862,(1+Trend)^D5862,"")</f>
        <v/>
      </c>
      <c r="N5862">
        <f>IF(B5862,EXP(SUMPRODUCT(LN(1+(EvEff-1)*INDEX(Affected,0,C5862)*EXP(-((E5862-EvCenter)^2)/(2*EvSigma^2))))),"")</f>
        <v/>
      </c>
      <c r="O5862">
        <f>IF(B5862,ROUND(MAX(0,J5862*K5862*L5862*M5862*N5862),2),"")</f>
        <v/>
      </c>
    </row>
    <row r="5863">
      <c r="A5863" t="n">
        <v>5862</v>
      </c>
      <c r="B5863">
        <f>A5863&lt;=MineCount*Days</f>
        <v/>
      </c>
      <c r="C5863">
        <f>IF(B5863,INT((A5863-1)/Days)+1,"")</f>
        <v/>
      </c>
      <c r="D5863">
        <f>IF(B5863,MOD(A5863-1,Days),"")</f>
        <v/>
      </c>
      <c r="E5863" s="16">
        <f>IF(B5863,StartDate+D5863,"")</f>
        <v/>
      </c>
      <c r="F5863">
        <f>IF(B5863,MAX(MOD(SIN(Seed*0.1373+C5863*12.9898+D5863*78.233)*43758.5453,1),1E-9),"")</f>
        <v/>
      </c>
      <c r="G5863">
        <f>IF(B5863,MOD(SIN(Seed*0.5917+C5863*39.3468+D5863*11.135)*24634.6345,1),"")</f>
        <v/>
      </c>
      <c r="H5863">
        <f>IF(B5863,SQRT(-2*LN(F5863))*COS(2*PI()*G5863),"")</f>
        <v/>
      </c>
      <c r="I5863">
        <f>IF(B5863,IF(D5863=0,H5863,Rho*I5862+SQRT(1-Rho^2)*H5863),"")</f>
        <v/>
      </c>
      <c r="J5863">
        <f>IF(B5863,IF(Dist="Normal",DistA+DistB*I5863,DistA+(DistB-DistA)*NORMSDIST(I5863)),"")</f>
        <v/>
      </c>
      <c r="K5863">
        <f>IF(B5863,INDEX(MineScale,C5863),"")</f>
        <v/>
      </c>
      <c r="L5863">
        <f>IF(B5863,INDEX(Dow,1,WEEKDAY(E5863,2)),"")</f>
        <v/>
      </c>
      <c r="M5863">
        <f>IF(B5863,(1+Trend)^D5863,"")</f>
        <v/>
      </c>
      <c r="N5863">
        <f>IF(B5863,EXP(SUMPRODUCT(LN(1+(EvEff-1)*INDEX(Affected,0,C5863)*EXP(-((E5863-EvCenter)^2)/(2*EvSigma^2))))),"")</f>
        <v/>
      </c>
      <c r="O5863">
        <f>IF(B5863,ROUND(MAX(0,J5863*K5863*L5863*M5863*N5863),2),"")</f>
        <v/>
      </c>
    </row>
    <row r="5864">
      <c r="A5864" t="n">
        <v>5863</v>
      </c>
      <c r="B5864">
        <f>A5864&lt;=MineCount*Days</f>
        <v/>
      </c>
      <c r="C5864">
        <f>IF(B5864,INT((A5864-1)/Days)+1,"")</f>
        <v/>
      </c>
      <c r="D5864">
        <f>IF(B5864,MOD(A5864-1,Days),"")</f>
        <v/>
      </c>
      <c r="E5864" s="16">
        <f>IF(B5864,StartDate+D5864,"")</f>
        <v/>
      </c>
      <c r="F5864">
        <f>IF(B5864,MAX(MOD(SIN(Seed*0.1373+C5864*12.9898+D5864*78.233)*43758.5453,1),1E-9),"")</f>
        <v/>
      </c>
      <c r="G5864">
        <f>IF(B5864,MOD(SIN(Seed*0.5917+C5864*39.3468+D5864*11.135)*24634.6345,1),"")</f>
        <v/>
      </c>
      <c r="H5864">
        <f>IF(B5864,SQRT(-2*LN(F5864))*COS(2*PI()*G5864),"")</f>
        <v/>
      </c>
      <c r="I5864">
        <f>IF(B5864,IF(D5864=0,H5864,Rho*I5863+SQRT(1-Rho^2)*H5864),"")</f>
        <v/>
      </c>
      <c r="J5864">
        <f>IF(B5864,IF(Dist="Normal",DistA+DistB*I5864,DistA+(DistB-DistA)*NORMSDIST(I5864)),"")</f>
        <v/>
      </c>
      <c r="K5864">
        <f>IF(B5864,INDEX(MineScale,C5864),"")</f>
        <v/>
      </c>
      <c r="L5864">
        <f>IF(B5864,INDEX(Dow,1,WEEKDAY(E5864,2)),"")</f>
        <v/>
      </c>
      <c r="M5864">
        <f>IF(B5864,(1+Trend)^D5864,"")</f>
        <v/>
      </c>
      <c r="N5864">
        <f>IF(B5864,EXP(SUMPRODUCT(LN(1+(EvEff-1)*INDEX(Affected,0,C5864)*EXP(-((E5864-EvCenter)^2)/(2*EvSigma^2))))),"")</f>
        <v/>
      </c>
      <c r="O5864">
        <f>IF(B5864,ROUND(MAX(0,J5864*K5864*L5864*M5864*N5864),2),"")</f>
        <v/>
      </c>
    </row>
    <row r="5865">
      <c r="A5865" t="n">
        <v>5864</v>
      </c>
      <c r="B5865">
        <f>A5865&lt;=MineCount*Days</f>
        <v/>
      </c>
      <c r="C5865">
        <f>IF(B5865,INT((A5865-1)/Days)+1,"")</f>
        <v/>
      </c>
      <c r="D5865">
        <f>IF(B5865,MOD(A5865-1,Days),"")</f>
        <v/>
      </c>
      <c r="E5865" s="16">
        <f>IF(B5865,StartDate+D5865,"")</f>
        <v/>
      </c>
      <c r="F5865">
        <f>IF(B5865,MAX(MOD(SIN(Seed*0.1373+C5865*12.9898+D5865*78.233)*43758.5453,1),1E-9),"")</f>
        <v/>
      </c>
      <c r="G5865">
        <f>IF(B5865,MOD(SIN(Seed*0.5917+C5865*39.3468+D5865*11.135)*24634.6345,1),"")</f>
        <v/>
      </c>
      <c r="H5865">
        <f>IF(B5865,SQRT(-2*LN(F5865))*COS(2*PI()*G5865),"")</f>
        <v/>
      </c>
      <c r="I5865">
        <f>IF(B5865,IF(D5865=0,H5865,Rho*I5864+SQRT(1-Rho^2)*H5865),"")</f>
        <v/>
      </c>
      <c r="J5865">
        <f>IF(B5865,IF(Dist="Normal",DistA+DistB*I5865,DistA+(DistB-DistA)*NORMSDIST(I5865)),"")</f>
        <v/>
      </c>
      <c r="K5865">
        <f>IF(B5865,INDEX(MineScale,C5865),"")</f>
        <v/>
      </c>
      <c r="L5865">
        <f>IF(B5865,INDEX(Dow,1,WEEKDAY(E5865,2)),"")</f>
        <v/>
      </c>
      <c r="M5865">
        <f>IF(B5865,(1+Trend)^D5865,"")</f>
        <v/>
      </c>
      <c r="N5865">
        <f>IF(B5865,EXP(SUMPRODUCT(LN(1+(EvEff-1)*INDEX(Affected,0,C5865)*EXP(-((E5865-EvCenter)^2)/(2*EvSigma^2))))),"")</f>
        <v/>
      </c>
      <c r="O5865">
        <f>IF(B5865,ROUND(MAX(0,J5865*K5865*L5865*M5865*N5865),2),"")</f>
        <v/>
      </c>
    </row>
    <row r="5866">
      <c r="A5866" t="n">
        <v>5865</v>
      </c>
      <c r="B5866">
        <f>A5866&lt;=MineCount*Days</f>
        <v/>
      </c>
      <c r="C5866">
        <f>IF(B5866,INT((A5866-1)/Days)+1,"")</f>
        <v/>
      </c>
      <c r="D5866">
        <f>IF(B5866,MOD(A5866-1,Days),"")</f>
        <v/>
      </c>
      <c r="E5866" s="16">
        <f>IF(B5866,StartDate+D5866,"")</f>
        <v/>
      </c>
      <c r="F5866">
        <f>IF(B5866,MAX(MOD(SIN(Seed*0.1373+C5866*12.9898+D5866*78.233)*43758.5453,1),1E-9),"")</f>
        <v/>
      </c>
      <c r="G5866">
        <f>IF(B5866,MOD(SIN(Seed*0.5917+C5866*39.3468+D5866*11.135)*24634.6345,1),"")</f>
        <v/>
      </c>
      <c r="H5866">
        <f>IF(B5866,SQRT(-2*LN(F5866))*COS(2*PI()*G5866),"")</f>
        <v/>
      </c>
      <c r="I5866">
        <f>IF(B5866,IF(D5866=0,H5866,Rho*I5865+SQRT(1-Rho^2)*H5866),"")</f>
        <v/>
      </c>
      <c r="J5866">
        <f>IF(B5866,IF(Dist="Normal",DistA+DistB*I5866,DistA+(DistB-DistA)*NORMSDIST(I5866)),"")</f>
        <v/>
      </c>
      <c r="K5866">
        <f>IF(B5866,INDEX(MineScale,C5866),"")</f>
        <v/>
      </c>
      <c r="L5866">
        <f>IF(B5866,INDEX(Dow,1,WEEKDAY(E5866,2)),"")</f>
        <v/>
      </c>
      <c r="M5866">
        <f>IF(B5866,(1+Trend)^D5866,"")</f>
        <v/>
      </c>
      <c r="N5866">
        <f>IF(B5866,EXP(SUMPRODUCT(LN(1+(EvEff-1)*INDEX(Affected,0,C5866)*EXP(-((E5866-EvCenter)^2)/(2*EvSigma^2))))),"")</f>
        <v/>
      </c>
      <c r="O5866">
        <f>IF(B5866,ROUND(MAX(0,J5866*K5866*L5866*M5866*N5866),2),"")</f>
        <v/>
      </c>
    </row>
    <row r="5867">
      <c r="A5867" t="n">
        <v>5866</v>
      </c>
      <c r="B5867">
        <f>A5867&lt;=MineCount*Days</f>
        <v/>
      </c>
      <c r="C5867">
        <f>IF(B5867,INT((A5867-1)/Days)+1,"")</f>
        <v/>
      </c>
      <c r="D5867">
        <f>IF(B5867,MOD(A5867-1,Days),"")</f>
        <v/>
      </c>
      <c r="E5867" s="16">
        <f>IF(B5867,StartDate+D5867,"")</f>
        <v/>
      </c>
      <c r="F5867">
        <f>IF(B5867,MAX(MOD(SIN(Seed*0.1373+C5867*12.9898+D5867*78.233)*43758.5453,1),1E-9),"")</f>
        <v/>
      </c>
      <c r="G5867">
        <f>IF(B5867,MOD(SIN(Seed*0.5917+C5867*39.3468+D5867*11.135)*24634.6345,1),"")</f>
        <v/>
      </c>
      <c r="H5867">
        <f>IF(B5867,SQRT(-2*LN(F5867))*COS(2*PI()*G5867),"")</f>
        <v/>
      </c>
      <c r="I5867">
        <f>IF(B5867,IF(D5867=0,H5867,Rho*I5866+SQRT(1-Rho^2)*H5867),"")</f>
        <v/>
      </c>
      <c r="J5867">
        <f>IF(B5867,IF(Dist="Normal",DistA+DistB*I5867,DistA+(DistB-DistA)*NORMSDIST(I5867)),"")</f>
        <v/>
      </c>
      <c r="K5867">
        <f>IF(B5867,INDEX(MineScale,C5867),"")</f>
        <v/>
      </c>
      <c r="L5867">
        <f>IF(B5867,INDEX(Dow,1,WEEKDAY(E5867,2)),"")</f>
        <v/>
      </c>
      <c r="M5867">
        <f>IF(B5867,(1+Trend)^D5867,"")</f>
        <v/>
      </c>
      <c r="N5867">
        <f>IF(B5867,EXP(SUMPRODUCT(LN(1+(EvEff-1)*INDEX(Affected,0,C5867)*EXP(-((E5867-EvCenter)^2)/(2*EvSigma^2))))),"")</f>
        <v/>
      </c>
      <c r="O5867">
        <f>IF(B5867,ROUND(MAX(0,J5867*K5867*L5867*M5867*N5867),2),"")</f>
        <v/>
      </c>
    </row>
    <row r="5868">
      <c r="A5868" t="n">
        <v>5867</v>
      </c>
      <c r="B5868">
        <f>A5868&lt;=MineCount*Days</f>
        <v/>
      </c>
      <c r="C5868">
        <f>IF(B5868,INT((A5868-1)/Days)+1,"")</f>
        <v/>
      </c>
      <c r="D5868">
        <f>IF(B5868,MOD(A5868-1,Days),"")</f>
        <v/>
      </c>
      <c r="E5868" s="16">
        <f>IF(B5868,StartDate+D5868,"")</f>
        <v/>
      </c>
      <c r="F5868">
        <f>IF(B5868,MAX(MOD(SIN(Seed*0.1373+C5868*12.9898+D5868*78.233)*43758.5453,1),1E-9),"")</f>
        <v/>
      </c>
      <c r="G5868">
        <f>IF(B5868,MOD(SIN(Seed*0.5917+C5868*39.3468+D5868*11.135)*24634.6345,1),"")</f>
        <v/>
      </c>
      <c r="H5868">
        <f>IF(B5868,SQRT(-2*LN(F5868))*COS(2*PI()*G5868),"")</f>
        <v/>
      </c>
      <c r="I5868">
        <f>IF(B5868,IF(D5868=0,H5868,Rho*I5867+SQRT(1-Rho^2)*H5868),"")</f>
        <v/>
      </c>
      <c r="J5868">
        <f>IF(B5868,IF(Dist="Normal",DistA+DistB*I5868,DistA+(DistB-DistA)*NORMSDIST(I5868)),"")</f>
        <v/>
      </c>
      <c r="K5868">
        <f>IF(B5868,INDEX(MineScale,C5868),"")</f>
        <v/>
      </c>
      <c r="L5868">
        <f>IF(B5868,INDEX(Dow,1,WEEKDAY(E5868,2)),"")</f>
        <v/>
      </c>
      <c r="M5868">
        <f>IF(B5868,(1+Trend)^D5868,"")</f>
        <v/>
      </c>
      <c r="N5868">
        <f>IF(B5868,EXP(SUMPRODUCT(LN(1+(EvEff-1)*INDEX(Affected,0,C5868)*EXP(-((E5868-EvCenter)^2)/(2*EvSigma^2))))),"")</f>
        <v/>
      </c>
      <c r="O5868">
        <f>IF(B5868,ROUND(MAX(0,J5868*K5868*L5868*M5868*N5868),2),"")</f>
        <v/>
      </c>
    </row>
    <row r="5869">
      <c r="A5869" t="n">
        <v>5868</v>
      </c>
      <c r="B5869">
        <f>A5869&lt;=MineCount*Days</f>
        <v/>
      </c>
      <c r="C5869">
        <f>IF(B5869,INT((A5869-1)/Days)+1,"")</f>
        <v/>
      </c>
      <c r="D5869">
        <f>IF(B5869,MOD(A5869-1,Days),"")</f>
        <v/>
      </c>
      <c r="E5869" s="16">
        <f>IF(B5869,StartDate+D5869,"")</f>
        <v/>
      </c>
      <c r="F5869">
        <f>IF(B5869,MAX(MOD(SIN(Seed*0.1373+C5869*12.9898+D5869*78.233)*43758.5453,1),1E-9),"")</f>
        <v/>
      </c>
      <c r="G5869">
        <f>IF(B5869,MOD(SIN(Seed*0.5917+C5869*39.3468+D5869*11.135)*24634.6345,1),"")</f>
        <v/>
      </c>
      <c r="H5869">
        <f>IF(B5869,SQRT(-2*LN(F5869))*COS(2*PI()*G5869),"")</f>
        <v/>
      </c>
      <c r="I5869">
        <f>IF(B5869,IF(D5869=0,H5869,Rho*I5868+SQRT(1-Rho^2)*H5869),"")</f>
        <v/>
      </c>
      <c r="J5869">
        <f>IF(B5869,IF(Dist="Normal",DistA+DistB*I5869,DistA+(DistB-DistA)*NORMSDIST(I5869)),"")</f>
        <v/>
      </c>
      <c r="K5869">
        <f>IF(B5869,INDEX(MineScale,C5869),"")</f>
        <v/>
      </c>
      <c r="L5869">
        <f>IF(B5869,INDEX(Dow,1,WEEKDAY(E5869,2)),"")</f>
        <v/>
      </c>
      <c r="M5869">
        <f>IF(B5869,(1+Trend)^D5869,"")</f>
        <v/>
      </c>
      <c r="N5869">
        <f>IF(B5869,EXP(SUMPRODUCT(LN(1+(EvEff-1)*INDEX(Affected,0,C5869)*EXP(-((E5869-EvCenter)^2)/(2*EvSigma^2))))),"")</f>
        <v/>
      </c>
      <c r="O5869">
        <f>IF(B5869,ROUND(MAX(0,J5869*K5869*L5869*M5869*N5869),2),"")</f>
        <v/>
      </c>
    </row>
    <row r="5870">
      <c r="A5870" t="n">
        <v>5869</v>
      </c>
      <c r="B5870">
        <f>A5870&lt;=MineCount*Days</f>
        <v/>
      </c>
      <c r="C5870">
        <f>IF(B5870,INT((A5870-1)/Days)+1,"")</f>
        <v/>
      </c>
      <c r="D5870">
        <f>IF(B5870,MOD(A5870-1,Days),"")</f>
        <v/>
      </c>
      <c r="E5870" s="16">
        <f>IF(B5870,StartDate+D5870,"")</f>
        <v/>
      </c>
      <c r="F5870">
        <f>IF(B5870,MAX(MOD(SIN(Seed*0.1373+C5870*12.9898+D5870*78.233)*43758.5453,1),1E-9),"")</f>
        <v/>
      </c>
      <c r="G5870">
        <f>IF(B5870,MOD(SIN(Seed*0.5917+C5870*39.3468+D5870*11.135)*24634.6345,1),"")</f>
        <v/>
      </c>
      <c r="H5870">
        <f>IF(B5870,SQRT(-2*LN(F5870))*COS(2*PI()*G5870),"")</f>
        <v/>
      </c>
      <c r="I5870">
        <f>IF(B5870,IF(D5870=0,H5870,Rho*I5869+SQRT(1-Rho^2)*H5870),"")</f>
        <v/>
      </c>
      <c r="J5870">
        <f>IF(B5870,IF(Dist="Normal",DistA+DistB*I5870,DistA+(DistB-DistA)*NORMSDIST(I5870)),"")</f>
        <v/>
      </c>
      <c r="K5870">
        <f>IF(B5870,INDEX(MineScale,C5870),"")</f>
        <v/>
      </c>
      <c r="L5870">
        <f>IF(B5870,INDEX(Dow,1,WEEKDAY(E5870,2)),"")</f>
        <v/>
      </c>
      <c r="M5870">
        <f>IF(B5870,(1+Trend)^D5870,"")</f>
        <v/>
      </c>
      <c r="N5870">
        <f>IF(B5870,EXP(SUMPRODUCT(LN(1+(EvEff-1)*INDEX(Affected,0,C5870)*EXP(-((E5870-EvCenter)^2)/(2*EvSigma^2))))),"")</f>
        <v/>
      </c>
      <c r="O5870">
        <f>IF(B5870,ROUND(MAX(0,J5870*K5870*L5870*M5870*N5870),2),"")</f>
        <v/>
      </c>
    </row>
    <row r="5871">
      <c r="A5871" t="n">
        <v>5870</v>
      </c>
      <c r="B5871">
        <f>A5871&lt;=MineCount*Days</f>
        <v/>
      </c>
      <c r="C5871">
        <f>IF(B5871,INT((A5871-1)/Days)+1,"")</f>
        <v/>
      </c>
      <c r="D5871">
        <f>IF(B5871,MOD(A5871-1,Days),"")</f>
        <v/>
      </c>
      <c r="E5871" s="16">
        <f>IF(B5871,StartDate+D5871,"")</f>
        <v/>
      </c>
      <c r="F5871">
        <f>IF(B5871,MAX(MOD(SIN(Seed*0.1373+C5871*12.9898+D5871*78.233)*43758.5453,1),1E-9),"")</f>
        <v/>
      </c>
      <c r="G5871">
        <f>IF(B5871,MOD(SIN(Seed*0.5917+C5871*39.3468+D5871*11.135)*24634.6345,1),"")</f>
        <v/>
      </c>
      <c r="H5871">
        <f>IF(B5871,SQRT(-2*LN(F5871))*COS(2*PI()*G5871),"")</f>
        <v/>
      </c>
      <c r="I5871">
        <f>IF(B5871,IF(D5871=0,H5871,Rho*I5870+SQRT(1-Rho^2)*H5871),"")</f>
        <v/>
      </c>
      <c r="J5871">
        <f>IF(B5871,IF(Dist="Normal",DistA+DistB*I5871,DistA+(DistB-DistA)*NORMSDIST(I5871)),"")</f>
        <v/>
      </c>
      <c r="K5871">
        <f>IF(B5871,INDEX(MineScale,C5871),"")</f>
        <v/>
      </c>
      <c r="L5871">
        <f>IF(B5871,INDEX(Dow,1,WEEKDAY(E5871,2)),"")</f>
        <v/>
      </c>
      <c r="M5871">
        <f>IF(B5871,(1+Trend)^D5871,"")</f>
        <v/>
      </c>
      <c r="N5871">
        <f>IF(B5871,EXP(SUMPRODUCT(LN(1+(EvEff-1)*INDEX(Affected,0,C5871)*EXP(-((E5871-EvCenter)^2)/(2*EvSigma^2))))),"")</f>
        <v/>
      </c>
      <c r="O5871">
        <f>IF(B5871,ROUND(MAX(0,J5871*K5871*L5871*M5871*N5871),2),"")</f>
        <v/>
      </c>
    </row>
    <row r="5872">
      <c r="A5872" t="n">
        <v>5871</v>
      </c>
      <c r="B5872">
        <f>A5872&lt;=MineCount*Days</f>
        <v/>
      </c>
      <c r="C5872">
        <f>IF(B5872,INT((A5872-1)/Days)+1,"")</f>
        <v/>
      </c>
      <c r="D5872">
        <f>IF(B5872,MOD(A5872-1,Days),"")</f>
        <v/>
      </c>
      <c r="E5872" s="16">
        <f>IF(B5872,StartDate+D5872,"")</f>
        <v/>
      </c>
      <c r="F5872">
        <f>IF(B5872,MAX(MOD(SIN(Seed*0.1373+C5872*12.9898+D5872*78.233)*43758.5453,1),1E-9),"")</f>
        <v/>
      </c>
      <c r="G5872">
        <f>IF(B5872,MOD(SIN(Seed*0.5917+C5872*39.3468+D5872*11.135)*24634.6345,1),"")</f>
        <v/>
      </c>
      <c r="H5872">
        <f>IF(B5872,SQRT(-2*LN(F5872))*COS(2*PI()*G5872),"")</f>
        <v/>
      </c>
      <c r="I5872">
        <f>IF(B5872,IF(D5872=0,H5872,Rho*I5871+SQRT(1-Rho^2)*H5872),"")</f>
        <v/>
      </c>
      <c r="J5872">
        <f>IF(B5872,IF(Dist="Normal",DistA+DistB*I5872,DistA+(DistB-DistA)*NORMSDIST(I5872)),"")</f>
        <v/>
      </c>
      <c r="K5872">
        <f>IF(B5872,INDEX(MineScale,C5872),"")</f>
        <v/>
      </c>
      <c r="L5872">
        <f>IF(B5872,INDEX(Dow,1,WEEKDAY(E5872,2)),"")</f>
        <v/>
      </c>
      <c r="M5872">
        <f>IF(B5872,(1+Trend)^D5872,"")</f>
        <v/>
      </c>
      <c r="N5872">
        <f>IF(B5872,EXP(SUMPRODUCT(LN(1+(EvEff-1)*INDEX(Affected,0,C5872)*EXP(-((E5872-EvCenter)^2)/(2*EvSigma^2))))),"")</f>
        <v/>
      </c>
      <c r="O5872">
        <f>IF(B5872,ROUND(MAX(0,J5872*K5872*L5872*M5872*N5872),2),"")</f>
        <v/>
      </c>
    </row>
    <row r="5873">
      <c r="A5873" t="n">
        <v>5872</v>
      </c>
      <c r="B5873">
        <f>A5873&lt;=MineCount*Days</f>
        <v/>
      </c>
      <c r="C5873">
        <f>IF(B5873,INT((A5873-1)/Days)+1,"")</f>
        <v/>
      </c>
      <c r="D5873">
        <f>IF(B5873,MOD(A5873-1,Days),"")</f>
        <v/>
      </c>
      <c r="E5873" s="16">
        <f>IF(B5873,StartDate+D5873,"")</f>
        <v/>
      </c>
      <c r="F5873">
        <f>IF(B5873,MAX(MOD(SIN(Seed*0.1373+C5873*12.9898+D5873*78.233)*43758.5453,1),1E-9),"")</f>
        <v/>
      </c>
      <c r="G5873">
        <f>IF(B5873,MOD(SIN(Seed*0.5917+C5873*39.3468+D5873*11.135)*24634.6345,1),"")</f>
        <v/>
      </c>
      <c r="H5873">
        <f>IF(B5873,SQRT(-2*LN(F5873))*COS(2*PI()*G5873),"")</f>
        <v/>
      </c>
      <c r="I5873">
        <f>IF(B5873,IF(D5873=0,H5873,Rho*I5872+SQRT(1-Rho^2)*H5873),"")</f>
        <v/>
      </c>
      <c r="J5873">
        <f>IF(B5873,IF(Dist="Normal",DistA+DistB*I5873,DistA+(DistB-DistA)*NORMSDIST(I5873)),"")</f>
        <v/>
      </c>
      <c r="K5873">
        <f>IF(B5873,INDEX(MineScale,C5873),"")</f>
        <v/>
      </c>
      <c r="L5873">
        <f>IF(B5873,INDEX(Dow,1,WEEKDAY(E5873,2)),"")</f>
        <v/>
      </c>
      <c r="M5873">
        <f>IF(B5873,(1+Trend)^D5873,"")</f>
        <v/>
      </c>
      <c r="N5873">
        <f>IF(B5873,EXP(SUMPRODUCT(LN(1+(EvEff-1)*INDEX(Affected,0,C5873)*EXP(-((E5873-EvCenter)^2)/(2*EvSigma^2))))),"")</f>
        <v/>
      </c>
      <c r="O5873">
        <f>IF(B5873,ROUND(MAX(0,J5873*K5873*L5873*M5873*N5873),2),"")</f>
        <v/>
      </c>
    </row>
    <row r="5874">
      <c r="A5874" t="n">
        <v>5873</v>
      </c>
      <c r="B5874">
        <f>A5874&lt;=MineCount*Days</f>
        <v/>
      </c>
      <c r="C5874">
        <f>IF(B5874,INT((A5874-1)/Days)+1,"")</f>
        <v/>
      </c>
      <c r="D5874">
        <f>IF(B5874,MOD(A5874-1,Days),"")</f>
        <v/>
      </c>
      <c r="E5874" s="16">
        <f>IF(B5874,StartDate+D5874,"")</f>
        <v/>
      </c>
      <c r="F5874">
        <f>IF(B5874,MAX(MOD(SIN(Seed*0.1373+C5874*12.9898+D5874*78.233)*43758.5453,1),1E-9),"")</f>
        <v/>
      </c>
      <c r="G5874">
        <f>IF(B5874,MOD(SIN(Seed*0.5917+C5874*39.3468+D5874*11.135)*24634.6345,1),"")</f>
        <v/>
      </c>
      <c r="H5874">
        <f>IF(B5874,SQRT(-2*LN(F5874))*COS(2*PI()*G5874),"")</f>
        <v/>
      </c>
      <c r="I5874">
        <f>IF(B5874,IF(D5874=0,H5874,Rho*I5873+SQRT(1-Rho^2)*H5874),"")</f>
        <v/>
      </c>
      <c r="J5874">
        <f>IF(B5874,IF(Dist="Normal",DistA+DistB*I5874,DistA+(DistB-DistA)*NORMSDIST(I5874)),"")</f>
        <v/>
      </c>
      <c r="K5874">
        <f>IF(B5874,INDEX(MineScale,C5874),"")</f>
        <v/>
      </c>
      <c r="L5874">
        <f>IF(B5874,INDEX(Dow,1,WEEKDAY(E5874,2)),"")</f>
        <v/>
      </c>
      <c r="M5874">
        <f>IF(B5874,(1+Trend)^D5874,"")</f>
        <v/>
      </c>
      <c r="N5874">
        <f>IF(B5874,EXP(SUMPRODUCT(LN(1+(EvEff-1)*INDEX(Affected,0,C5874)*EXP(-((E5874-EvCenter)^2)/(2*EvSigma^2))))),"")</f>
        <v/>
      </c>
      <c r="O5874">
        <f>IF(B5874,ROUND(MAX(0,J5874*K5874*L5874*M5874*N5874),2),"")</f>
        <v/>
      </c>
    </row>
    <row r="5875">
      <c r="A5875" t="n">
        <v>5874</v>
      </c>
      <c r="B5875">
        <f>A5875&lt;=MineCount*Days</f>
        <v/>
      </c>
      <c r="C5875">
        <f>IF(B5875,INT((A5875-1)/Days)+1,"")</f>
        <v/>
      </c>
      <c r="D5875">
        <f>IF(B5875,MOD(A5875-1,Days),"")</f>
        <v/>
      </c>
      <c r="E5875" s="16">
        <f>IF(B5875,StartDate+D5875,"")</f>
        <v/>
      </c>
      <c r="F5875">
        <f>IF(B5875,MAX(MOD(SIN(Seed*0.1373+C5875*12.9898+D5875*78.233)*43758.5453,1),1E-9),"")</f>
        <v/>
      </c>
      <c r="G5875">
        <f>IF(B5875,MOD(SIN(Seed*0.5917+C5875*39.3468+D5875*11.135)*24634.6345,1),"")</f>
        <v/>
      </c>
      <c r="H5875">
        <f>IF(B5875,SQRT(-2*LN(F5875))*COS(2*PI()*G5875),"")</f>
        <v/>
      </c>
      <c r="I5875">
        <f>IF(B5875,IF(D5875=0,H5875,Rho*I5874+SQRT(1-Rho^2)*H5875),"")</f>
        <v/>
      </c>
      <c r="J5875">
        <f>IF(B5875,IF(Dist="Normal",DistA+DistB*I5875,DistA+(DistB-DistA)*NORMSDIST(I5875)),"")</f>
        <v/>
      </c>
      <c r="K5875">
        <f>IF(B5875,INDEX(MineScale,C5875),"")</f>
        <v/>
      </c>
      <c r="L5875">
        <f>IF(B5875,INDEX(Dow,1,WEEKDAY(E5875,2)),"")</f>
        <v/>
      </c>
      <c r="M5875">
        <f>IF(B5875,(1+Trend)^D5875,"")</f>
        <v/>
      </c>
      <c r="N5875">
        <f>IF(B5875,EXP(SUMPRODUCT(LN(1+(EvEff-1)*INDEX(Affected,0,C5875)*EXP(-((E5875-EvCenter)^2)/(2*EvSigma^2))))),"")</f>
        <v/>
      </c>
      <c r="O5875">
        <f>IF(B5875,ROUND(MAX(0,J5875*K5875*L5875*M5875*N5875),2),"")</f>
        <v/>
      </c>
    </row>
    <row r="5876">
      <c r="A5876" t="n">
        <v>5875</v>
      </c>
      <c r="B5876">
        <f>A5876&lt;=MineCount*Days</f>
        <v/>
      </c>
      <c r="C5876">
        <f>IF(B5876,INT((A5876-1)/Days)+1,"")</f>
        <v/>
      </c>
      <c r="D5876">
        <f>IF(B5876,MOD(A5876-1,Days),"")</f>
        <v/>
      </c>
      <c r="E5876" s="16">
        <f>IF(B5876,StartDate+D5876,"")</f>
        <v/>
      </c>
      <c r="F5876">
        <f>IF(B5876,MAX(MOD(SIN(Seed*0.1373+C5876*12.9898+D5876*78.233)*43758.5453,1),1E-9),"")</f>
        <v/>
      </c>
      <c r="G5876">
        <f>IF(B5876,MOD(SIN(Seed*0.5917+C5876*39.3468+D5876*11.135)*24634.6345,1),"")</f>
        <v/>
      </c>
      <c r="H5876">
        <f>IF(B5876,SQRT(-2*LN(F5876))*COS(2*PI()*G5876),"")</f>
        <v/>
      </c>
      <c r="I5876">
        <f>IF(B5876,IF(D5876=0,H5876,Rho*I5875+SQRT(1-Rho^2)*H5876),"")</f>
        <v/>
      </c>
      <c r="J5876">
        <f>IF(B5876,IF(Dist="Normal",DistA+DistB*I5876,DistA+(DistB-DistA)*NORMSDIST(I5876)),"")</f>
        <v/>
      </c>
      <c r="K5876">
        <f>IF(B5876,INDEX(MineScale,C5876),"")</f>
        <v/>
      </c>
      <c r="L5876">
        <f>IF(B5876,INDEX(Dow,1,WEEKDAY(E5876,2)),"")</f>
        <v/>
      </c>
      <c r="M5876">
        <f>IF(B5876,(1+Trend)^D5876,"")</f>
        <v/>
      </c>
      <c r="N5876">
        <f>IF(B5876,EXP(SUMPRODUCT(LN(1+(EvEff-1)*INDEX(Affected,0,C5876)*EXP(-((E5876-EvCenter)^2)/(2*EvSigma^2))))),"")</f>
        <v/>
      </c>
      <c r="O5876">
        <f>IF(B5876,ROUND(MAX(0,J5876*K5876*L5876*M5876*N5876),2),"")</f>
        <v/>
      </c>
    </row>
    <row r="5877">
      <c r="A5877" t="n">
        <v>5876</v>
      </c>
      <c r="B5877">
        <f>A5877&lt;=MineCount*Days</f>
        <v/>
      </c>
      <c r="C5877">
        <f>IF(B5877,INT((A5877-1)/Days)+1,"")</f>
        <v/>
      </c>
      <c r="D5877">
        <f>IF(B5877,MOD(A5877-1,Days),"")</f>
        <v/>
      </c>
      <c r="E5877" s="16">
        <f>IF(B5877,StartDate+D5877,"")</f>
        <v/>
      </c>
      <c r="F5877">
        <f>IF(B5877,MAX(MOD(SIN(Seed*0.1373+C5877*12.9898+D5877*78.233)*43758.5453,1),1E-9),"")</f>
        <v/>
      </c>
      <c r="G5877">
        <f>IF(B5877,MOD(SIN(Seed*0.5917+C5877*39.3468+D5877*11.135)*24634.6345,1),"")</f>
        <v/>
      </c>
      <c r="H5877">
        <f>IF(B5877,SQRT(-2*LN(F5877))*COS(2*PI()*G5877),"")</f>
        <v/>
      </c>
      <c r="I5877">
        <f>IF(B5877,IF(D5877=0,H5877,Rho*I5876+SQRT(1-Rho^2)*H5877),"")</f>
        <v/>
      </c>
      <c r="J5877">
        <f>IF(B5877,IF(Dist="Normal",DistA+DistB*I5877,DistA+(DistB-DistA)*NORMSDIST(I5877)),"")</f>
        <v/>
      </c>
      <c r="K5877">
        <f>IF(B5877,INDEX(MineScale,C5877),"")</f>
        <v/>
      </c>
      <c r="L5877">
        <f>IF(B5877,INDEX(Dow,1,WEEKDAY(E5877,2)),"")</f>
        <v/>
      </c>
      <c r="M5877">
        <f>IF(B5877,(1+Trend)^D5877,"")</f>
        <v/>
      </c>
      <c r="N5877">
        <f>IF(B5877,EXP(SUMPRODUCT(LN(1+(EvEff-1)*INDEX(Affected,0,C5877)*EXP(-((E5877-EvCenter)^2)/(2*EvSigma^2))))),"")</f>
        <v/>
      </c>
      <c r="O5877">
        <f>IF(B5877,ROUND(MAX(0,J5877*K5877*L5877*M5877*N5877),2),"")</f>
        <v/>
      </c>
    </row>
    <row r="5878">
      <c r="A5878" t="n">
        <v>5877</v>
      </c>
      <c r="B5878">
        <f>A5878&lt;=MineCount*Days</f>
        <v/>
      </c>
      <c r="C5878">
        <f>IF(B5878,INT((A5878-1)/Days)+1,"")</f>
        <v/>
      </c>
      <c r="D5878">
        <f>IF(B5878,MOD(A5878-1,Days),"")</f>
        <v/>
      </c>
      <c r="E5878" s="16">
        <f>IF(B5878,StartDate+D5878,"")</f>
        <v/>
      </c>
      <c r="F5878">
        <f>IF(B5878,MAX(MOD(SIN(Seed*0.1373+C5878*12.9898+D5878*78.233)*43758.5453,1),1E-9),"")</f>
        <v/>
      </c>
      <c r="G5878">
        <f>IF(B5878,MOD(SIN(Seed*0.5917+C5878*39.3468+D5878*11.135)*24634.6345,1),"")</f>
        <v/>
      </c>
      <c r="H5878">
        <f>IF(B5878,SQRT(-2*LN(F5878))*COS(2*PI()*G5878),"")</f>
        <v/>
      </c>
      <c r="I5878">
        <f>IF(B5878,IF(D5878=0,H5878,Rho*I5877+SQRT(1-Rho^2)*H5878),"")</f>
        <v/>
      </c>
      <c r="J5878">
        <f>IF(B5878,IF(Dist="Normal",DistA+DistB*I5878,DistA+(DistB-DistA)*NORMSDIST(I5878)),"")</f>
        <v/>
      </c>
      <c r="K5878">
        <f>IF(B5878,INDEX(MineScale,C5878),"")</f>
        <v/>
      </c>
      <c r="L5878">
        <f>IF(B5878,INDEX(Dow,1,WEEKDAY(E5878,2)),"")</f>
        <v/>
      </c>
      <c r="M5878">
        <f>IF(B5878,(1+Trend)^D5878,"")</f>
        <v/>
      </c>
      <c r="N5878">
        <f>IF(B5878,EXP(SUMPRODUCT(LN(1+(EvEff-1)*INDEX(Affected,0,C5878)*EXP(-((E5878-EvCenter)^2)/(2*EvSigma^2))))),"")</f>
        <v/>
      </c>
      <c r="O5878">
        <f>IF(B5878,ROUND(MAX(0,J5878*K5878*L5878*M5878*N5878),2),"")</f>
        <v/>
      </c>
    </row>
    <row r="5879">
      <c r="A5879" t="n">
        <v>5878</v>
      </c>
      <c r="B5879">
        <f>A5879&lt;=MineCount*Days</f>
        <v/>
      </c>
      <c r="C5879">
        <f>IF(B5879,INT((A5879-1)/Days)+1,"")</f>
        <v/>
      </c>
      <c r="D5879">
        <f>IF(B5879,MOD(A5879-1,Days),"")</f>
        <v/>
      </c>
      <c r="E5879" s="16">
        <f>IF(B5879,StartDate+D5879,"")</f>
        <v/>
      </c>
      <c r="F5879">
        <f>IF(B5879,MAX(MOD(SIN(Seed*0.1373+C5879*12.9898+D5879*78.233)*43758.5453,1),1E-9),"")</f>
        <v/>
      </c>
      <c r="G5879">
        <f>IF(B5879,MOD(SIN(Seed*0.5917+C5879*39.3468+D5879*11.135)*24634.6345,1),"")</f>
        <v/>
      </c>
      <c r="H5879">
        <f>IF(B5879,SQRT(-2*LN(F5879))*COS(2*PI()*G5879),"")</f>
        <v/>
      </c>
      <c r="I5879">
        <f>IF(B5879,IF(D5879=0,H5879,Rho*I5878+SQRT(1-Rho^2)*H5879),"")</f>
        <v/>
      </c>
      <c r="J5879">
        <f>IF(B5879,IF(Dist="Normal",DistA+DistB*I5879,DistA+(DistB-DistA)*NORMSDIST(I5879)),"")</f>
        <v/>
      </c>
      <c r="K5879">
        <f>IF(B5879,INDEX(MineScale,C5879),"")</f>
        <v/>
      </c>
      <c r="L5879">
        <f>IF(B5879,INDEX(Dow,1,WEEKDAY(E5879,2)),"")</f>
        <v/>
      </c>
      <c r="M5879">
        <f>IF(B5879,(1+Trend)^D5879,"")</f>
        <v/>
      </c>
      <c r="N5879">
        <f>IF(B5879,EXP(SUMPRODUCT(LN(1+(EvEff-1)*INDEX(Affected,0,C5879)*EXP(-((E5879-EvCenter)^2)/(2*EvSigma^2))))),"")</f>
        <v/>
      </c>
      <c r="O5879">
        <f>IF(B5879,ROUND(MAX(0,J5879*K5879*L5879*M5879*N5879),2),"")</f>
        <v/>
      </c>
    </row>
    <row r="5880">
      <c r="A5880" t="n">
        <v>5879</v>
      </c>
      <c r="B5880">
        <f>A5880&lt;=MineCount*Days</f>
        <v/>
      </c>
      <c r="C5880">
        <f>IF(B5880,INT((A5880-1)/Days)+1,"")</f>
        <v/>
      </c>
      <c r="D5880">
        <f>IF(B5880,MOD(A5880-1,Days),"")</f>
        <v/>
      </c>
      <c r="E5880" s="16">
        <f>IF(B5880,StartDate+D5880,"")</f>
        <v/>
      </c>
      <c r="F5880">
        <f>IF(B5880,MAX(MOD(SIN(Seed*0.1373+C5880*12.9898+D5880*78.233)*43758.5453,1),1E-9),"")</f>
        <v/>
      </c>
      <c r="G5880">
        <f>IF(B5880,MOD(SIN(Seed*0.5917+C5880*39.3468+D5880*11.135)*24634.6345,1),"")</f>
        <v/>
      </c>
      <c r="H5880">
        <f>IF(B5880,SQRT(-2*LN(F5880))*COS(2*PI()*G5880),"")</f>
        <v/>
      </c>
      <c r="I5880">
        <f>IF(B5880,IF(D5880=0,H5880,Rho*I5879+SQRT(1-Rho^2)*H5880),"")</f>
        <v/>
      </c>
      <c r="J5880">
        <f>IF(B5880,IF(Dist="Normal",DistA+DistB*I5880,DistA+(DistB-DistA)*NORMSDIST(I5880)),"")</f>
        <v/>
      </c>
      <c r="K5880">
        <f>IF(B5880,INDEX(MineScale,C5880),"")</f>
        <v/>
      </c>
      <c r="L5880">
        <f>IF(B5880,INDEX(Dow,1,WEEKDAY(E5880,2)),"")</f>
        <v/>
      </c>
      <c r="M5880">
        <f>IF(B5880,(1+Trend)^D5880,"")</f>
        <v/>
      </c>
      <c r="N5880">
        <f>IF(B5880,EXP(SUMPRODUCT(LN(1+(EvEff-1)*INDEX(Affected,0,C5880)*EXP(-((E5880-EvCenter)^2)/(2*EvSigma^2))))),"")</f>
        <v/>
      </c>
      <c r="O5880">
        <f>IF(B5880,ROUND(MAX(0,J5880*K5880*L5880*M5880*N5880),2),"")</f>
        <v/>
      </c>
    </row>
    <row r="5881">
      <c r="A5881" t="n">
        <v>5880</v>
      </c>
      <c r="B5881">
        <f>A5881&lt;=MineCount*Days</f>
        <v/>
      </c>
      <c r="C5881">
        <f>IF(B5881,INT((A5881-1)/Days)+1,"")</f>
        <v/>
      </c>
      <c r="D5881">
        <f>IF(B5881,MOD(A5881-1,Days),"")</f>
        <v/>
      </c>
      <c r="E5881" s="16">
        <f>IF(B5881,StartDate+D5881,"")</f>
        <v/>
      </c>
      <c r="F5881">
        <f>IF(B5881,MAX(MOD(SIN(Seed*0.1373+C5881*12.9898+D5881*78.233)*43758.5453,1),1E-9),"")</f>
        <v/>
      </c>
      <c r="G5881">
        <f>IF(B5881,MOD(SIN(Seed*0.5917+C5881*39.3468+D5881*11.135)*24634.6345,1),"")</f>
        <v/>
      </c>
      <c r="H5881">
        <f>IF(B5881,SQRT(-2*LN(F5881))*COS(2*PI()*G5881),"")</f>
        <v/>
      </c>
      <c r="I5881">
        <f>IF(B5881,IF(D5881=0,H5881,Rho*I5880+SQRT(1-Rho^2)*H5881),"")</f>
        <v/>
      </c>
      <c r="J5881">
        <f>IF(B5881,IF(Dist="Normal",DistA+DistB*I5881,DistA+(DistB-DistA)*NORMSDIST(I5881)),"")</f>
        <v/>
      </c>
      <c r="K5881">
        <f>IF(B5881,INDEX(MineScale,C5881),"")</f>
        <v/>
      </c>
      <c r="L5881">
        <f>IF(B5881,INDEX(Dow,1,WEEKDAY(E5881,2)),"")</f>
        <v/>
      </c>
      <c r="M5881">
        <f>IF(B5881,(1+Trend)^D5881,"")</f>
        <v/>
      </c>
      <c r="N5881">
        <f>IF(B5881,EXP(SUMPRODUCT(LN(1+(EvEff-1)*INDEX(Affected,0,C5881)*EXP(-((E5881-EvCenter)^2)/(2*EvSigma^2))))),"")</f>
        <v/>
      </c>
      <c r="O5881">
        <f>IF(B5881,ROUND(MAX(0,J5881*K5881*L5881*M5881*N5881),2),"")</f>
        <v/>
      </c>
    </row>
    <row r="5882">
      <c r="A5882" t="n">
        <v>5881</v>
      </c>
      <c r="B5882">
        <f>A5882&lt;=MineCount*Days</f>
        <v/>
      </c>
      <c r="C5882">
        <f>IF(B5882,INT((A5882-1)/Days)+1,"")</f>
        <v/>
      </c>
      <c r="D5882">
        <f>IF(B5882,MOD(A5882-1,Days),"")</f>
        <v/>
      </c>
      <c r="E5882" s="16">
        <f>IF(B5882,StartDate+D5882,"")</f>
        <v/>
      </c>
      <c r="F5882">
        <f>IF(B5882,MAX(MOD(SIN(Seed*0.1373+C5882*12.9898+D5882*78.233)*43758.5453,1),1E-9),"")</f>
        <v/>
      </c>
      <c r="G5882">
        <f>IF(B5882,MOD(SIN(Seed*0.5917+C5882*39.3468+D5882*11.135)*24634.6345,1),"")</f>
        <v/>
      </c>
      <c r="H5882">
        <f>IF(B5882,SQRT(-2*LN(F5882))*COS(2*PI()*G5882),"")</f>
        <v/>
      </c>
      <c r="I5882">
        <f>IF(B5882,IF(D5882=0,H5882,Rho*I5881+SQRT(1-Rho^2)*H5882),"")</f>
        <v/>
      </c>
      <c r="J5882">
        <f>IF(B5882,IF(Dist="Normal",DistA+DistB*I5882,DistA+(DistB-DistA)*NORMSDIST(I5882)),"")</f>
        <v/>
      </c>
      <c r="K5882">
        <f>IF(B5882,INDEX(MineScale,C5882),"")</f>
        <v/>
      </c>
      <c r="L5882">
        <f>IF(B5882,INDEX(Dow,1,WEEKDAY(E5882,2)),"")</f>
        <v/>
      </c>
      <c r="M5882">
        <f>IF(B5882,(1+Trend)^D5882,"")</f>
        <v/>
      </c>
      <c r="N5882">
        <f>IF(B5882,EXP(SUMPRODUCT(LN(1+(EvEff-1)*INDEX(Affected,0,C5882)*EXP(-((E5882-EvCenter)^2)/(2*EvSigma^2))))),"")</f>
        <v/>
      </c>
      <c r="O5882">
        <f>IF(B5882,ROUND(MAX(0,J5882*K5882*L5882*M5882*N5882),2),"")</f>
        <v/>
      </c>
    </row>
    <row r="5883">
      <c r="A5883" t="n">
        <v>5882</v>
      </c>
      <c r="B5883">
        <f>A5883&lt;=MineCount*Days</f>
        <v/>
      </c>
      <c r="C5883">
        <f>IF(B5883,INT((A5883-1)/Days)+1,"")</f>
        <v/>
      </c>
      <c r="D5883">
        <f>IF(B5883,MOD(A5883-1,Days),"")</f>
        <v/>
      </c>
      <c r="E5883" s="16">
        <f>IF(B5883,StartDate+D5883,"")</f>
        <v/>
      </c>
      <c r="F5883">
        <f>IF(B5883,MAX(MOD(SIN(Seed*0.1373+C5883*12.9898+D5883*78.233)*43758.5453,1),1E-9),"")</f>
        <v/>
      </c>
      <c r="G5883">
        <f>IF(B5883,MOD(SIN(Seed*0.5917+C5883*39.3468+D5883*11.135)*24634.6345,1),"")</f>
        <v/>
      </c>
      <c r="H5883">
        <f>IF(B5883,SQRT(-2*LN(F5883))*COS(2*PI()*G5883),"")</f>
        <v/>
      </c>
      <c r="I5883">
        <f>IF(B5883,IF(D5883=0,H5883,Rho*I5882+SQRT(1-Rho^2)*H5883),"")</f>
        <v/>
      </c>
      <c r="J5883">
        <f>IF(B5883,IF(Dist="Normal",DistA+DistB*I5883,DistA+(DistB-DistA)*NORMSDIST(I5883)),"")</f>
        <v/>
      </c>
      <c r="K5883">
        <f>IF(B5883,INDEX(MineScale,C5883),"")</f>
        <v/>
      </c>
      <c r="L5883">
        <f>IF(B5883,INDEX(Dow,1,WEEKDAY(E5883,2)),"")</f>
        <v/>
      </c>
      <c r="M5883">
        <f>IF(B5883,(1+Trend)^D5883,"")</f>
        <v/>
      </c>
      <c r="N5883">
        <f>IF(B5883,EXP(SUMPRODUCT(LN(1+(EvEff-1)*INDEX(Affected,0,C5883)*EXP(-((E5883-EvCenter)^2)/(2*EvSigma^2))))),"")</f>
        <v/>
      </c>
      <c r="O5883">
        <f>IF(B5883,ROUND(MAX(0,J5883*K5883*L5883*M5883*N5883),2),"")</f>
        <v/>
      </c>
    </row>
    <row r="5884">
      <c r="A5884" t="n">
        <v>5883</v>
      </c>
      <c r="B5884">
        <f>A5884&lt;=MineCount*Days</f>
        <v/>
      </c>
      <c r="C5884">
        <f>IF(B5884,INT((A5884-1)/Days)+1,"")</f>
        <v/>
      </c>
      <c r="D5884">
        <f>IF(B5884,MOD(A5884-1,Days),"")</f>
        <v/>
      </c>
      <c r="E5884" s="16">
        <f>IF(B5884,StartDate+D5884,"")</f>
        <v/>
      </c>
      <c r="F5884">
        <f>IF(B5884,MAX(MOD(SIN(Seed*0.1373+C5884*12.9898+D5884*78.233)*43758.5453,1),1E-9),"")</f>
        <v/>
      </c>
      <c r="G5884">
        <f>IF(B5884,MOD(SIN(Seed*0.5917+C5884*39.3468+D5884*11.135)*24634.6345,1),"")</f>
        <v/>
      </c>
      <c r="H5884">
        <f>IF(B5884,SQRT(-2*LN(F5884))*COS(2*PI()*G5884),"")</f>
        <v/>
      </c>
      <c r="I5884">
        <f>IF(B5884,IF(D5884=0,H5884,Rho*I5883+SQRT(1-Rho^2)*H5884),"")</f>
        <v/>
      </c>
      <c r="J5884">
        <f>IF(B5884,IF(Dist="Normal",DistA+DistB*I5884,DistA+(DistB-DistA)*NORMSDIST(I5884)),"")</f>
        <v/>
      </c>
      <c r="K5884">
        <f>IF(B5884,INDEX(MineScale,C5884),"")</f>
        <v/>
      </c>
      <c r="L5884">
        <f>IF(B5884,INDEX(Dow,1,WEEKDAY(E5884,2)),"")</f>
        <v/>
      </c>
      <c r="M5884">
        <f>IF(B5884,(1+Trend)^D5884,"")</f>
        <v/>
      </c>
      <c r="N5884">
        <f>IF(B5884,EXP(SUMPRODUCT(LN(1+(EvEff-1)*INDEX(Affected,0,C5884)*EXP(-((E5884-EvCenter)^2)/(2*EvSigma^2))))),"")</f>
        <v/>
      </c>
      <c r="O5884">
        <f>IF(B5884,ROUND(MAX(0,J5884*K5884*L5884*M5884*N5884),2),"")</f>
        <v/>
      </c>
    </row>
    <row r="5885">
      <c r="A5885" t="n">
        <v>5884</v>
      </c>
      <c r="B5885">
        <f>A5885&lt;=MineCount*Days</f>
        <v/>
      </c>
      <c r="C5885">
        <f>IF(B5885,INT((A5885-1)/Days)+1,"")</f>
        <v/>
      </c>
      <c r="D5885">
        <f>IF(B5885,MOD(A5885-1,Days),"")</f>
        <v/>
      </c>
      <c r="E5885" s="16">
        <f>IF(B5885,StartDate+D5885,"")</f>
        <v/>
      </c>
      <c r="F5885">
        <f>IF(B5885,MAX(MOD(SIN(Seed*0.1373+C5885*12.9898+D5885*78.233)*43758.5453,1),1E-9),"")</f>
        <v/>
      </c>
      <c r="G5885">
        <f>IF(B5885,MOD(SIN(Seed*0.5917+C5885*39.3468+D5885*11.135)*24634.6345,1),"")</f>
        <v/>
      </c>
      <c r="H5885">
        <f>IF(B5885,SQRT(-2*LN(F5885))*COS(2*PI()*G5885),"")</f>
        <v/>
      </c>
      <c r="I5885">
        <f>IF(B5885,IF(D5885=0,H5885,Rho*I5884+SQRT(1-Rho^2)*H5885),"")</f>
        <v/>
      </c>
      <c r="J5885">
        <f>IF(B5885,IF(Dist="Normal",DistA+DistB*I5885,DistA+(DistB-DistA)*NORMSDIST(I5885)),"")</f>
        <v/>
      </c>
      <c r="K5885">
        <f>IF(B5885,INDEX(MineScale,C5885),"")</f>
        <v/>
      </c>
      <c r="L5885">
        <f>IF(B5885,INDEX(Dow,1,WEEKDAY(E5885,2)),"")</f>
        <v/>
      </c>
      <c r="M5885">
        <f>IF(B5885,(1+Trend)^D5885,"")</f>
        <v/>
      </c>
      <c r="N5885">
        <f>IF(B5885,EXP(SUMPRODUCT(LN(1+(EvEff-1)*INDEX(Affected,0,C5885)*EXP(-((E5885-EvCenter)^2)/(2*EvSigma^2))))),"")</f>
        <v/>
      </c>
      <c r="O5885">
        <f>IF(B5885,ROUND(MAX(0,J5885*K5885*L5885*M5885*N5885),2),"")</f>
        <v/>
      </c>
    </row>
    <row r="5886">
      <c r="A5886" t="n">
        <v>5885</v>
      </c>
      <c r="B5886">
        <f>A5886&lt;=MineCount*Days</f>
        <v/>
      </c>
      <c r="C5886">
        <f>IF(B5886,INT((A5886-1)/Days)+1,"")</f>
        <v/>
      </c>
      <c r="D5886">
        <f>IF(B5886,MOD(A5886-1,Days),"")</f>
        <v/>
      </c>
      <c r="E5886" s="16">
        <f>IF(B5886,StartDate+D5886,"")</f>
        <v/>
      </c>
      <c r="F5886">
        <f>IF(B5886,MAX(MOD(SIN(Seed*0.1373+C5886*12.9898+D5886*78.233)*43758.5453,1),1E-9),"")</f>
        <v/>
      </c>
      <c r="G5886">
        <f>IF(B5886,MOD(SIN(Seed*0.5917+C5886*39.3468+D5886*11.135)*24634.6345,1),"")</f>
        <v/>
      </c>
      <c r="H5886">
        <f>IF(B5886,SQRT(-2*LN(F5886))*COS(2*PI()*G5886),"")</f>
        <v/>
      </c>
      <c r="I5886">
        <f>IF(B5886,IF(D5886=0,H5886,Rho*I5885+SQRT(1-Rho^2)*H5886),"")</f>
        <v/>
      </c>
      <c r="J5886">
        <f>IF(B5886,IF(Dist="Normal",DistA+DistB*I5886,DistA+(DistB-DistA)*NORMSDIST(I5886)),"")</f>
        <v/>
      </c>
      <c r="K5886">
        <f>IF(B5886,INDEX(MineScale,C5886),"")</f>
        <v/>
      </c>
      <c r="L5886">
        <f>IF(B5886,INDEX(Dow,1,WEEKDAY(E5886,2)),"")</f>
        <v/>
      </c>
      <c r="M5886">
        <f>IF(B5886,(1+Trend)^D5886,"")</f>
        <v/>
      </c>
      <c r="N5886">
        <f>IF(B5886,EXP(SUMPRODUCT(LN(1+(EvEff-1)*INDEX(Affected,0,C5886)*EXP(-((E5886-EvCenter)^2)/(2*EvSigma^2))))),"")</f>
        <v/>
      </c>
      <c r="O5886">
        <f>IF(B5886,ROUND(MAX(0,J5886*K5886*L5886*M5886*N5886),2),"")</f>
        <v/>
      </c>
    </row>
    <row r="5887">
      <c r="A5887" t="n">
        <v>5886</v>
      </c>
      <c r="B5887">
        <f>A5887&lt;=MineCount*Days</f>
        <v/>
      </c>
      <c r="C5887">
        <f>IF(B5887,INT((A5887-1)/Days)+1,"")</f>
        <v/>
      </c>
      <c r="D5887">
        <f>IF(B5887,MOD(A5887-1,Days),"")</f>
        <v/>
      </c>
      <c r="E5887" s="16">
        <f>IF(B5887,StartDate+D5887,"")</f>
        <v/>
      </c>
      <c r="F5887">
        <f>IF(B5887,MAX(MOD(SIN(Seed*0.1373+C5887*12.9898+D5887*78.233)*43758.5453,1),1E-9),"")</f>
        <v/>
      </c>
      <c r="G5887">
        <f>IF(B5887,MOD(SIN(Seed*0.5917+C5887*39.3468+D5887*11.135)*24634.6345,1),"")</f>
        <v/>
      </c>
      <c r="H5887">
        <f>IF(B5887,SQRT(-2*LN(F5887))*COS(2*PI()*G5887),"")</f>
        <v/>
      </c>
      <c r="I5887">
        <f>IF(B5887,IF(D5887=0,H5887,Rho*I5886+SQRT(1-Rho^2)*H5887),"")</f>
        <v/>
      </c>
      <c r="J5887">
        <f>IF(B5887,IF(Dist="Normal",DistA+DistB*I5887,DistA+(DistB-DistA)*NORMSDIST(I5887)),"")</f>
        <v/>
      </c>
      <c r="K5887">
        <f>IF(B5887,INDEX(MineScale,C5887),"")</f>
        <v/>
      </c>
      <c r="L5887">
        <f>IF(B5887,INDEX(Dow,1,WEEKDAY(E5887,2)),"")</f>
        <v/>
      </c>
      <c r="M5887">
        <f>IF(B5887,(1+Trend)^D5887,"")</f>
        <v/>
      </c>
      <c r="N5887">
        <f>IF(B5887,EXP(SUMPRODUCT(LN(1+(EvEff-1)*INDEX(Affected,0,C5887)*EXP(-((E5887-EvCenter)^2)/(2*EvSigma^2))))),"")</f>
        <v/>
      </c>
      <c r="O5887">
        <f>IF(B5887,ROUND(MAX(0,J5887*K5887*L5887*M5887*N5887),2),"")</f>
        <v/>
      </c>
    </row>
    <row r="5888">
      <c r="A5888" t="n">
        <v>5887</v>
      </c>
      <c r="B5888">
        <f>A5888&lt;=MineCount*Days</f>
        <v/>
      </c>
      <c r="C5888">
        <f>IF(B5888,INT((A5888-1)/Days)+1,"")</f>
        <v/>
      </c>
      <c r="D5888">
        <f>IF(B5888,MOD(A5888-1,Days),"")</f>
        <v/>
      </c>
      <c r="E5888" s="16">
        <f>IF(B5888,StartDate+D5888,"")</f>
        <v/>
      </c>
      <c r="F5888">
        <f>IF(B5888,MAX(MOD(SIN(Seed*0.1373+C5888*12.9898+D5888*78.233)*43758.5453,1),1E-9),"")</f>
        <v/>
      </c>
      <c r="G5888">
        <f>IF(B5888,MOD(SIN(Seed*0.5917+C5888*39.3468+D5888*11.135)*24634.6345,1),"")</f>
        <v/>
      </c>
      <c r="H5888">
        <f>IF(B5888,SQRT(-2*LN(F5888))*COS(2*PI()*G5888),"")</f>
        <v/>
      </c>
      <c r="I5888">
        <f>IF(B5888,IF(D5888=0,H5888,Rho*I5887+SQRT(1-Rho^2)*H5888),"")</f>
        <v/>
      </c>
      <c r="J5888">
        <f>IF(B5888,IF(Dist="Normal",DistA+DistB*I5888,DistA+(DistB-DistA)*NORMSDIST(I5888)),"")</f>
        <v/>
      </c>
      <c r="K5888">
        <f>IF(B5888,INDEX(MineScale,C5888),"")</f>
        <v/>
      </c>
      <c r="L5888">
        <f>IF(B5888,INDEX(Dow,1,WEEKDAY(E5888,2)),"")</f>
        <v/>
      </c>
      <c r="M5888">
        <f>IF(B5888,(1+Trend)^D5888,"")</f>
        <v/>
      </c>
      <c r="N5888">
        <f>IF(B5888,EXP(SUMPRODUCT(LN(1+(EvEff-1)*INDEX(Affected,0,C5888)*EXP(-((E5888-EvCenter)^2)/(2*EvSigma^2))))),"")</f>
        <v/>
      </c>
      <c r="O5888">
        <f>IF(B5888,ROUND(MAX(0,J5888*K5888*L5888*M5888*N5888),2),"")</f>
        <v/>
      </c>
    </row>
    <row r="5889">
      <c r="A5889" t="n">
        <v>5888</v>
      </c>
      <c r="B5889">
        <f>A5889&lt;=MineCount*Days</f>
        <v/>
      </c>
      <c r="C5889">
        <f>IF(B5889,INT((A5889-1)/Days)+1,"")</f>
        <v/>
      </c>
      <c r="D5889">
        <f>IF(B5889,MOD(A5889-1,Days),"")</f>
        <v/>
      </c>
      <c r="E5889" s="16">
        <f>IF(B5889,StartDate+D5889,"")</f>
        <v/>
      </c>
      <c r="F5889">
        <f>IF(B5889,MAX(MOD(SIN(Seed*0.1373+C5889*12.9898+D5889*78.233)*43758.5453,1),1E-9),"")</f>
        <v/>
      </c>
      <c r="G5889">
        <f>IF(B5889,MOD(SIN(Seed*0.5917+C5889*39.3468+D5889*11.135)*24634.6345,1),"")</f>
        <v/>
      </c>
      <c r="H5889">
        <f>IF(B5889,SQRT(-2*LN(F5889))*COS(2*PI()*G5889),"")</f>
        <v/>
      </c>
      <c r="I5889">
        <f>IF(B5889,IF(D5889=0,H5889,Rho*I5888+SQRT(1-Rho^2)*H5889),"")</f>
        <v/>
      </c>
      <c r="J5889">
        <f>IF(B5889,IF(Dist="Normal",DistA+DistB*I5889,DistA+(DistB-DistA)*NORMSDIST(I5889)),"")</f>
        <v/>
      </c>
      <c r="K5889">
        <f>IF(B5889,INDEX(MineScale,C5889),"")</f>
        <v/>
      </c>
      <c r="L5889">
        <f>IF(B5889,INDEX(Dow,1,WEEKDAY(E5889,2)),"")</f>
        <v/>
      </c>
      <c r="M5889">
        <f>IF(B5889,(1+Trend)^D5889,"")</f>
        <v/>
      </c>
      <c r="N5889">
        <f>IF(B5889,EXP(SUMPRODUCT(LN(1+(EvEff-1)*INDEX(Affected,0,C5889)*EXP(-((E5889-EvCenter)^2)/(2*EvSigma^2))))),"")</f>
        <v/>
      </c>
      <c r="O5889">
        <f>IF(B5889,ROUND(MAX(0,J5889*K5889*L5889*M5889*N5889),2),"")</f>
        <v/>
      </c>
    </row>
    <row r="5890">
      <c r="A5890" t="n">
        <v>5889</v>
      </c>
      <c r="B5890">
        <f>A5890&lt;=MineCount*Days</f>
        <v/>
      </c>
      <c r="C5890">
        <f>IF(B5890,INT((A5890-1)/Days)+1,"")</f>
        <v/>
      </c>
      <c r="D5890">
        <f>IF(B5890,MOD(A5890-1,Days),"")</f>
        <v/>
      </c>
      <c r="E5890" s="16">
        <f>IF(B5890,StartDate+D5890,"")</f>
        <v/>
      </c>
      <c r="F5890">
        <f>IF(B5890,MAX(MOD(SIN(Seed*0.1373+C5890*12.9898+D5890*78.233)*43758.5453,1),1E-9),"")</f>
        <v/>
      </c>
      <c r="G5890">
        <f>IF(B5890,MOD(SIN(Seed*0.5917+C5890*39.3468+D5890*11.135)*24634.6345,1),"")</f>
        <v/>
      </c>
      <c r="H5890">
        <f>IF(B5890,SQRT(-2*LN(F5890))*COS(2*PI()*G5890),"")</f>
        <v/>
      </c>
      <c r="I5890">
        <f>IF(B5890,IF(D5890=0,H5890,Rho*I5889+SQRT(1-Rho^2)*H5890),"")</f>
        <v/>
      </c>
      <c r="J5890">
        <f>IF(B5890,IF(Dist="Normal",DistA+DistB*I5890,DistA+(DistB-DistA)*NORMSDIST(I5890)),"")</f>
        <v/>
      </c>
      <c r="K5890">
        <f>IF(B5890,INDEX(MineScale,C5890),"")</f>
        <v/>
      </c>
      <c r="L5890">
        <f>IF(B5890,INDEX(Dow,1,WEEKDAY(E5890,2)),"")</f>
        <v/>
      </c>
      <c r="M5890">
        <f>IF(B5890,(1+Trend)^D5890,"")</f>
        <v/>
      </c>
      <c r="N5890">
        <f>IF(B5890,EXP(SUMPRODUCT(LN(1+(EvEff-1)*INDEX(Affected,0,C5890)*EXP(-((E5890-EvCenter)^2)/(2*EvSigma^2))))),"")</f>
        <v/>
      </c>
      <c r="O5890">
        <f>IF(B5890,ROUND(MAX(0,J5890*K5890*L5890*M5890*N5890),2),"")</f>
        <v/>
      </c>
    </row>
    <row r="5891">
      <c r="A5891" t="n">
        <v>5890</v>
      </c>
      <c r="B5891">
        <f>A5891&lt;=MineCount*Days</f>
        <v/>
      </c>
      <c r="C5891">
        <f>IF(B5891,INT((A5891-1)/Days)+1,"")</f>
        <v/>
      </c>
      <c r="D5891">
        <f>IF(B5891,MOD(A5891-1,Days),"")</f>
        <v/>
      </c>
      <c r="E5891" s="16">
        <f>IF(B5891,StartDate+D5891,"")</f>
        <v/>
      </c>
      <c r="F5891">
        <f>IF(B5891,MAX(MOD(SIN(Seed*0.1373+C5891*12.9898+D5891*78.233)*43758.5453,1),1E-9),"")</f>
        <v/>
      </c>
      <c r="G5891">
        <f>IF(B5891,MOD(SIN(Seed*0.5917+C5891*39.3468+D5891*11.135)*24634.6345,1),"")</f>
        <v/>
      </c>
      <c r="H5891">
        <f>IF(B5891,SQRT(-2*LN(F5891))*COS(2*PI()*G5891),"")</f>
        <v/>
      </c>
      <c r="I5891">
        <f>IF(B5891,IF(D5891=0,H5891,Rho*I5890+SQRT(1-Rho^2)*H5891),"")</f>
        <v/>
      </c>
      <c r="J5891">
        <f>IF(B5891,IF(Dist="Normal",DistA+DistB*I5891,DistA+(DistB-DistA)*NORMSDIST(I5891)),"")</f>
        <v/>
      </c>
      <c r="K5891">
        <f>IF(B5891,INDEX(MineScale,C5891),"")</f>
        <v/>
      </c>
      <c r="L5891">
        <f>IF(B5891,INDEX(Dow,1,WEEKDAY(E5891,2)),"")</f>
        <v/>
      </c>
      <c r="M5891">
        <f>IF(B5891,(1+Trend)^D5891,"")</f>
        <v/>
      </c>
      <c r="N5891">
        <f>IF(B5891,EXP(SUMPRODUCT(LN(1+(EvEff-1)*INDEX(Affected,0,C5891)*EXP(-((E5891-EvCenter)^2)/(2*EvSigma^2))))),"")</f>
        <v/>
      </c>
      <c r="O5891">
        <f>IF(B5891,ROUND(MAX(0,J5891*K5891*L5891*M5891*N5891),2),"")</f>
        <v/>
      </c>
    </row>
    <row r="5892">
      <c r="A5892" t="n">
        <v>5891</v>
      </c>
      <c r="B5892">
        <f>A5892&lt;=MineCount*Days</f>
        <v/>
      </c>
      <c r="C5892">
        <f>IF(B5892,INT((A5892-1)/Days)+1,"")</f>
        <v/>
      </c>
      <c r="D5892">
        <f>IF(B5892,MOD(A5892-1,Days),"")</f>
        <v/>
      </c>
      <c r="E5892" s="16">
        <f>IF(B5892,StartDate+D5892,"")</f>
        <v/>
      </c>
      <c r="F5892">
        <f>IF(B5892,MAX(MOD(SIN(Seed*0.1373+C5892*12.9898+D5892*78.233)*43758.5453,1),1E-9),"")</f>
        <v/>
      </c>
      <c r="G5892">
        <f>IF(B5892,MOD(SIN(Seed*0.5917+C5892*39.3468+D5892*11.135)*24634.6345,1),"")</f>
        <v/>
      </c>
      <c r="H5892">
        <f>IF(B5892,SQRT(-2*LN(F5892))*COS(2*PI()*G5892),"")</f>
        <v/>
      </c>
      <c r="I5892">
        <f>IF(B5892,IF(D5892=0,H5892,Rho*I5891+SQRT(1-Rho^2)*H5892),"")</f>
        <v/>
      </c>
      <c r="J5892">
        <f>IF(B5892,IF(Dist="Normal",DistA+DistB*I5892,DistA+(DistB-DistA)*NORMSDIST(I5892)),"")</f>
        <v/>
      </c>
      <c r="K5892">
        <f>IF(B5892,INDEX(MineScale,C5892),"")</f>
        <v/>
      </c>
      <c r="L5892">
        <f>IF(B5892,INDEX(Dow,1,WEEKDAY(E5892,2)),"")</f>
        <v/>
      </c>
      <c r="M5892">
        <f>IF(B5892,(1+Trend)^D5892,"")</f>
        <v/>
      </c>
      <c r="N5892">
        <f>IF(B5892,EXP(SUMPRODUCT(LN(1+(EvEff-1)*INDEX(Affected,0,C5892)*EXP(-((E5892-EvCenter)^2)/(2*EvSigma^2))))),"")</f>
        <v/>
      </c>
      <c r="O5892">
        <f>IF(B5892,ROUND(MAX(0,J5892*K5892*L5892*M5892*N5892),2),"")</f>
        <v/>
      </c>
    </row>
    <row r="5893">
      <c r="A5893" t="n">
        <v>5892</v>
      </c>
      <c r="B5893">
        <f>A5893&lt;=MineCount*Days</f>
        <v/>
      </c>
      <c r="C5893">
        <f>IF(B5893,INT((A5893-1)/Days)+1,"")</f>
        <v/>
      </c>
      <c r="D5893">
        <f>IF(B5893,MOD(A5893-1,Days),"")</f>
        <v/>
      </c>
      <c r="E5893" s="16">
        <f>IF(B5893,StartDate+D5893,"")</f>
        <v/>
      </c>
      <c r="F5893">
        <f>IF(B5893,MAX(MOD(SIN(Seed*0.1373+C5893*12.9898+D5893*78.233)*43758.5453,1),1E-9),"")</f>
        <v/>
      </c>
      <c r="G5893">
        <f>IF(B5893,MOD(SIN(Seed*0.5917+C5893*39.3468+D5893*11.135)*24634.6345,1),"")</f>
        <v/>
      </c>
      <c r="H5893">
        <f>IF(B5893,SQRT(-2*LN(F5893))*COS(2*PI()*G5893),"")</f>
        <v/>
      </c>
      <c r="I5893">
        <f>IF(B5893,IF(D5893=0,H5893,Rho*I5892+SQRT(1-Rho^2)*H5893),"")</f>
        <v/>
      </c>
      <c r="J5893">
        <f>IF(B5893,IF(Dist="Normal",DistA+DistB*I5893,DistA+(DistB-DistA)*NORMSDIST(I5893)),"")</f>
        <v/>
      </c>
      <c r="K5893">
        <f>IF(B5893,INDEX(MineScale,C5893),"")</f>
        <v/>
      </c>
      <c r="L5893">
        <f>IF(B5893,INDEX(Dow,1,WEEKDAY(E5893,2)),"")</f>
        <v/>
      </c>
      <c r="M5893">
        <f>IF(B5893,(1+Trend)^D5893,"")</f>
        <v/>
      </c>
      <c r="N5893">
        <f>IF(B5893,EXP(SUMPRODUCT(LN(1+(EvEff-1)*INDEX(Affected,0,C5893)*EXP(-((E5893-EvCenter)^2)/(2*EvSigma^2))))),"")</f>
        <v/>
      </c>
      <c r="O5893">
        <f>IF(B5893,ROUND(MAX(0,J5893*K5893*L5893*M5893*N5893),2),"")</f>
        <v/>
      </c>
    </row>
    <row r="5894">
      <c r="A5894" t="n">
        <v>5893</v>
      </c>
      <c r="B5894">
        <f>A5894&lt;=MineCount*Days</f>
        <v/>
      </c>
      <c r="C5894">
        <f>IF(B5894,INT((A5894-1)/Days)+1,"")</f>
        <v/>
      </c>
      <c r="D5894">
        <f>IF(B5894,MOD(A5894-1,Days),"")</f>
        <v/>
      </c>
      <c r="E5894" s="16">
        <f>IF(B5894,StartDate+D5894,"")</f>
        <v/>
      </c>
      <c r="F5894">
        <f>IF(B5894,MAX(MOD(SIN(Seed*0.1373+C5894*12.9898+D5894*78.233)*43758.5453,1),1E-9),"")</f>
        <v/>
      </c>
      <c r="G5894">
        <f>IF(B5894,MOD(SIN(Seed*0.5917+C5894*39.3468+D5894*11.135)*24634.6345,1),"")</f>
        <v/>
      </c>
      <c r="H5894">
        <f>IF(B5894,SQRT(-2*LN(F5894))*COS(2*PI()*G5894),"")</f>
        <v/>
      </c>
      <c r="I5894">
        <f>IF(B5894,IF(D5894=0,H5894,Rho*I5893+SQRT(1-Rho^2)*H5894),"")</f>
        <v/>
      </c>
      <c r="J5894">
        <f>IF(B5894,IF(Dist="Normal",DistA+DistB*I5894,DistA+(DistB-DistA)*NORMSDIST(I5894)),"")</f>
        <v/>
      </c>
      <c r="K5894">
        <f>IF(B5894,INDEX(MineScale,C5894),"")</f>
        <v/>
      </c>
      <c r="L5894">
        <f>IF(B5894,INDEX(Dow,1,WEEKDAY(E5894,2)),"")</f>
        <v/>
      </c>
      <c r="M5894">
        <f>IF(B5894,(1+Trend)^D5894,"")</f>
        <v/>
      </c>
      <c r="N5894">
        <f>IF(B5894,EXP(SUMPRODUCT(LN(1+(EvEff-1)*INDEX(Affected,0,C5894)*EXP(-((E5894-EvCenter)^2)/(2*EvSigma^2))))),"")</f>
        <v/>
      </c>
      <c r="O5894">
        <f>IF(B5894,ROUND(MAX(0,J5894*K5894*L5894*M5894*N5894),2),"")</f>
        <v/>
      </c>
    </row>
    <row r="5895">
      <c r="A5895" t="n">
        <v>5894</v>
      </c>
      <c r="B5895">
        <f>A5895&lt;=MineCount*Days</f>
        <v/>
      </c>
      <c r="C5895">
        <f>IF(B5895,INT((A5895-1)/Days)+1,"")</f>
        <v/>
      </c>
      <c r="D5895">
        <f>IF(B5895,MOD(A5895-1,Days),"")</f>
        <v/>
      </c>
      <c r="E5895" s="16">
        <f>IF(B5895,StartDate+D5895,"")</f>
        <v/>
      </c>
      <c r="F5895">
        <f>IF(B5895,MAX(MOD(SIN(Seed*0.1373+C5895*12.9898+D5895*78.233)*43758.5453,1),1E-9),"")</f>
        <v/>
      </c>
      <c r="G5895">
        <f>IF(B5895,MOD(SIN(Seed*0.5917+C5895*39.3468+D5895*11.135)*24634.6345,1),"")</f>
        <v/>
      </c>
      <c r="H5895">
        <f>IF(B5895,SQRT(-2*LN(F5895))*COS(2*PI()*G5895),"")</f>
        <v/>
      </c>
      <c r="I5895">
        <f>IF(B5895,IF(D5895=0,H5895,Rho*I5894+SQRT(1-Rho^2)*H5895),"")</f>
        <v/>
      </c>
      <c r="J5895">
        <f>IF(B5895,IF(Dist="Normal",DistA+DistB*I5895,DistA+(DistB-DistA)*NORMSDIST(I5895)),"")</f>
        <v/>
      </c>
      <c r="K5895">
        <f>IF(B5895,INDEX(MineScale,C5895),"")</f>
        <v/>
      </c>
      <c r="L5895">
        <f>IF(B5895,INDEX(Dow,1,WEEKDAY(E5895,2)),"")</f>
        <v/>
      </c>
      <c r="M5895">
        <f>IF(B5895,(1+Trend)^D5895,"")</f>
        <v/>
      </c>
      <c r="N5895">
        <f>IF(B5895,EXP(SUMPRODUCT(LN(1+(EvEff-1)*INDEX(Affected,0,C5895)*EXP(-((E5895-EvCenter)^2)/(2*EvSigma^2))))),"")</f>
        <v/>
      </c>
      <c r="O5895">
        <f>IF(B5895,ROUND(MAX(0,J5895*K5895*L5895*M5895*N5895),2),"")</f>
        <v/>
      </c>
    </row>
    <row r="5896">
      <c r="A5896" t="n">
        <v>5895</v>
      </c>
      <c r="B5896">
        <f>A5896&lt;=MineCount*Days</f>
        <v/>
      </c>
      <c r="C5896">
        <f>IF(B5896,INT((A5896-1)/Days)+1,"")</f>
        <v/>
      </c>
      <c r="D5896">
        <f>IF(B5896,MOD(A5896-1,Days),"")</f>
        <v/>
      </c>
      <c r="E5896" s="16">
        <f>IF(B5896,StartDate+D5896,"")</f>
        <v/>
      </c>
      <c r="F5896">
        <f>IF(B5896,MAX(MOD(SIN(Seed*0.1373+C5896*12.9898+D5896*78.233)*43758.5453,1),1E-9),"")</f>
        <v/>
      </c>
      <c r="G5896">
        <f>IF(B5896,MOD(SIN(Seed*0.5917+C5896*39.3468+D5896*11.135)*24634.6345,1),"")</f>
        <v/>
      </c>
      <c r="H5896">
        <f>IF(B5896,SQRT(-2*LN(F5896))*COS(2*PI()*G5896),"")</f>
        <v/>
      </c>
      <c r="I5896">
        <f>IF(B5896,IF(D5896=0,H5896,Rho*I5895+SQRT(1-Rho^2)*H5896),"")</f>
        <v/>
      </c>
      <c r="J5896">
        <f>IF(B5896,IF(Dist="Normal",DistA+DistB*I5896,DistA+(DistB-DistA)*NORMSDIST(I5896)),"")</f>
        <v/>
      </c>
      <c r="K5896">
        <f>IF(B5896,INDEX(MineScale,C5896),"")</f>
        <v/>
      </c>
      <c r="L5896">
        <f>IF(B5896,INDEX(Dow,1,WEEKDAY(E5896,2)),"")</f>
        <v/>
      </c>
      <c r="M5896">
        <f>IF(B5896,(1+Trend)^D5896,"")</f>
        <v/>
      </c>
      <c r="N5896">
        <f>IF(B5896,EXP(SUMPRODUCT(LN(1+(EvEff-1)*INDEX(Affected,0,C5896)*EXP(-((E5896-EvCenter)^2)/(2*EvSigma^2))))),"")</f>
        <v/>
      </c>
      <c r="O5896">
        <f>IF(B5896,ROUND(MAX(0,J5896*K5896*L5896*M5896*N5896),2),"")</f>
        <v/>
      </c>
    </row>
    <row r="5897">
      <c r="A5897" t="n">
        <v>5896</v>
      </c>
      <c r="B5897">
        <f>A5897&lt;=MineCount*Days</f>
        <v/>
      </c>
      <c r="C5897">
        <f>IF(B5897,INT((A5897-1)/Days)+1,"")</f>
        <v/>
      </c>
      <c r="D5897">
        <f>IF(B5897,MOD(A5897-1,Days),"")</f>
        <v/>
      </c>
      <c r="E5897" s="16">
        <f>IF(B5897,StartDate+D5897,"")</f>
        <v/>
      </c>
      <c r="F5897">
        <f>IF(B5897,MAX(MOD(SIN(Seed*0.1373+C5897*12.9898+D5897*78.233)*43758.5453,1),1E-9),"")</f>
        <v/>
      </c>
      <c r="G5897">
        <f>IF(B5897,MOD(SIN(Seed*0.5917+C5897*39.3468+D5897*11.135)*24634.6345,1),"")</f>
        <v/>
      </c>
      <c r="H5897">
        <f>IF(B5897,SQRT(-2*LN(F5897))*COS(2*PI()*G5897),"")</f>
        <v/>
      </c>
      <c r="I5897">
        <f>IF(B5897,IF(D5897=0,H5897,Rho*I5896+SQRT(1-Rho^2)*H5897),"")</f>
        <v/>
      </c>
      <c r="J5897">
        <f>IF(B5897,IF(Dist="Normal",DistA+DistB*I5897,DistA+(DistB-DistA)*NORMSDIST(I5897)),"")</f>
        <v/>
      </c>
      <c r="K5897">
        <f>IF(B5897,INDEX(MineScale,C5897),"")</f>
        <v/>
      </c>
      <c r="L5897">
        <f>IF(B5897,INDEX(Dow,1,WEEKDAY(E5897,2)),"")</f>
        <v/>
      </c>
      <c r="M5897">
        <f>IF(B5897,(1+Trend)^D5897,"")</f>
        <v/>
      </c>
      <c r="N5897">
        <f>IF(B5897,EXP(SUMPRODUCT(LN(1+(EvEff-1)*INDEX(Affected,0,C5897)*EXP(-((E5897-EvCenter)^2)/(2*EvSigma^2))))),"")</f>
        <v/>
      </c>
      <c r="O5897">
        <f>IF(B5897,ROUND(MAX(0,J5897*K5897*L5897*M5897*N5897),2),"")</f>
        <v/>
      </c>
    </row>
    <row r="5898">
      <c r="A5898" t="n">
        <v>5897</v>
      </c>
      <c r="B5898">
        <f>A5898&lt;=MineCount*Days</f>
        <v/>
      </c>
      <c r="C5898">
        <f>IF(B5898,INT((A5898-1)/Days)+1,"")</f>
        <v/>
      </c>
      <c r="D5898">
        <f>IF(B5898,MOD(A5898-1,Days),"")</f>
        <v/>
      </c>
      <c r="E5898" s="16">
        <f>IF(B5898,StartDate+D5898,"")</f>
        <v/>
      </c>
      <c r="F5898">
        <f>IF(B5898,MAX(MOD(SIN(Seed*0.1373+C5898*12.9898+D5898*78.233)*43758.5453,1),1E-9),"")</f>
        <v/>
      </c>
      <c r="G5898">
        <f>IF(B5898,MOD(SIN(Seed*0.5917+C5898*39.3468+D5898*11.135)*24634.6345,1),"")</f>
        <v/>
      </c>
      <c r="H5898">
        <f>IF(B5898,SQRT(-2*LN(F5898))*COS(2*PI()*G5898),"")</f>
        <v/>
      </c>
      <c r="I5898">
        <f>IF(B5898,IF(D5898=0,H5898,Rho*I5897+SQRT(1-Rho^2)*H5898),"")</f>
        <v/>
      </c>
      <c r="J5898">
        <f>IF(B5898,IF(Dist="Normal",DistA+DistB*I5898,DistA+(DistB-DistA)*NORMSDIST(I5898)),"")</f>
        <v/>
      </c>
      <c r="K5898">
        <f>IF(B5898,INDEX(MineScale,C5898),"")</f>
        <v/>
      </c>
      <c r="L5898">
        <f>IF(B5898,INDEX(Dow,1,WEEKDAY(E5898,2)),"")</f>
        <v/>
      </c>
      <c r="M5898">
        <f>IF(B5898,(1+Trend)^D5898,"")</f>
        <v/>
      </c>
      <c r="N5898">
        <f>IF(B5898,EXP(SUMPRODUCT(LN(1+(EvEff-1)*INDEX(Affected,0,C5898)*EXP(-((E5898-EvCenter)^2)/(2*EvSigma^2))))),"")</f>
        <v/>
      </c>
      <c r="O5898">
        <f>IF(B5898,ROUND(MAX(0,J5898*K5898*L5898*M5898*N5898),2),"")</f>
        <v/>
      </c>
    </row>
    <row r="5899">
      <c r="A5899" t="n">
        <v>5898</v>
      </c>
      <c r="B5899">
        <f>A5899&lt;=MineCount*Days</f>
        <v/>
      </c>
      <c r="C5899">
        <f>IF(B5899,INT((A5899-1)/Days)+1,"")</f>
        <v/>
      </c>
      <c r="D5899">
        <f>IF(B5899,MOD(A5899-1,Days),"")</f>
        <v/>
      </c>
      <c r="E5899" s="16">
        <f>IF(B5899,StartDate+D5899,"")</f>
        <v/>
      </c>
      <c r="F5899">
        <f>IF(B5899,MAX(MOD(SIN(Seed*0.1373+C5899*12.9898+D5899*78.233)*43758.5453,1),1E-9),"")</f>
        <v/>
      </c>
      <c r="G5899">
        <f>IF(B5899,MOD(SIN(Seed*0.5917+C5899*39.3468+D5899*11.135)*24634.6345,1),"")</f>
        <v/>
      </c>
      <c r="H5899">
        <f>IF(B5899,SQRT(-2*LN(F5899))*COS(2*PI()*G5899),"")</f>
        <v/>
      </c>
      <c r="I5899">
        <f>IF(B5899,IF(D5899=0,H5899,Rho*I5898+SQRT(1-Rho^2)*H5899),"")</f>
        <v/>
      </c>
      <c r="J5899">
        <f>IF(B5899,IF(Dist="Normal",DistA+DistB*I5899,DistA+(DistB-DistA)*NORMSDIST(I5899)),"")</f>
        <v/>
      </c>
      <c r="K5899">
        <f>IF(B5899,INDEX(MineScale,C5899),"")</f>
        <v/>
      </c>
      <c r="L5899">
        <f>IF(B5899,INDEX(Dow,1,WEEKDAY(E5899,2)),"")</f>
        <v/>
      </c>
      <c r="M5899">
        <f>IF(B5899,(1+Trend)^D5899,"")</f>
        <v/>
      </c>
      <c r="N5899">
        <f>IF(B5899,EXP(SUMPRODUCT(LN(1+(EvEff-1)*INDEX(Affected,0,C5899)*EXP(-((E5899-EvCenter)^2)/(2*EvSigma^2))))),"")</f>
        <v/>
      </c>
      <c r="O5899">
        <f>IF(B5899,ROUND(MAX(0,J5899*K5899*L5899*M5899*N5899),2),"")</f>
        <v/>
      </c>
    </row>
    <row r="5900">
      <c r="A5900" t="n">
        <v>5899</v>
      </c>
      <c r="B5900">
        <f>A5900&lt;=MineCount*Days</f>
        <v/>
      </c>
      <c r="C5900">
        <f>IF(B5900,INT((A5900-1)/Days)+1,"")</f>
        <v/>
      </c>
      <c r="D5900">
        <f>IF(B5900,MOD(A5900-1,Days),"")</f>
        <v/>
      </c>
      <c r="E5900" s="16">
        <f>IF(B5900,StartDate+D5900,"")</f>
        <v/>
      </c>
      <c r="F5900">
        <f>IF(B5900,MAX(MOD(SIN(Seed*0.1373+C5900*12.9898+D5900*78.233)*43758.5453,1),1E-9),"")</f>
        <v/>
      </c>
      <c r="G5900">
        <f>IF(B5900,MOD(SIN(Seed*0.5917+C5900*39.3468+D5900*11.135)*24634.6345,1),"")</f>
        <v/>
      </c>
      <c r="H5900">
        <f>IF(B5900,SQRT(-2*LN(F5900))*COS(2*PI()*G5900),"")</f>
        <v/>
      </c>
      <c r="I5900">
        <f>IF(B5900,IF(D5900=0,H5900,Rho*I5899+SQRT(1-Rho^2)*H5900),"")</f>
        <v/>
      </c>
      <c r="J5900">
        <f>IF(B5900,IF(Dist="Normal",DistA+DistB*I5900,DistA+(DistB-DistA)*NORMSDIST(I5900)),"")</f>
        <v/>
      </c>
      <c r="K5900">
        <f>IF(B5900,INDEX(MineScale,C5900),"")</f>
        <v/>
      </c>
      <c r="L5900">
        <f>IF(B5900,INDEX(Dow,1,WEEKDAY(E5900,2)),"")</f>
        <v/>
      </c>
      <c r="M5900">
        <f>IF(B5900,(1+Trend)^D5900,"")</f>
        <v/>
      </c>
      <c r="N5900">
        <f>IF(B5900,EXP(SUMPRODUCT(LN(1+(EvEff-1)*INDEX(Affected,0,C5900)*EXP(-((E5900-EvCenter)^2)/(2*EvSigma^2))))),"")</f>
        <v/>
      </c>
      <c r="O5900">
        <f>IF(B5900,ROUND(MAX(0,J5900*K5900*L5900*M5900*N5900),2),"")</f>
        <v/>
      </c>
    </row>
    <row r="5901">
      <c r="A5901" t="n">
        <v>5900</v>
      </c>
      <c r="B5901">
        <f>A5901&lt;=MineCount*Days</f>
        <v/>
      </c>
      <c r="C5901">
        <f>IF(B5901,INT((A5901-1)/Days)+1,"")</f>
        <v/>
      </c>
      <c r="D5901">
        <f>IF(B5901,MOD(A5901-1,Days),"")</f>
        <v/>
      </c>
      <c r="E5901" s="16">
        <f>IF(B5901,StartDate+D5901,"")</f>
        <v/>
      </c>
      <c r="F5901">
        <f>IF(B5901,MAX(MOD(SIN(Seed*0.1373+C5901*12.9898+D5901*78.233)*43758.5453,1),1E-9),"")</f>
        <v/>
      </c>
      <c r="G5901">
        <f>IF(B5901,MOD(SIN(Seed*0.5917+C5901*39.3468+D5901*11.135)*24634.6345,1),"")</f>
        <v/>
      </c>
      <c r="H5901">
        <f>IF(B5901,SQRT(-2*LN(F5901))*COS(2*PI()*G5901),"")</f>
        <v/>
      </c>
      <c r="I5901">
        <f>IF(B5901,IF(D5901=0,H5901,Rho*I5900+SQRT(1-Rho^2)*H5901),"")</f>
        <v/>
      </c>
      <c r="J5901">
        <f>IF(B5901,IF(Dist="Normal",DistA+DistB*I5901,DistA+(DistB-DistA)*NORMSDIST(I5901)),"")</f>
        <v/>
      </c>
      <c r="K5901">
        <f>IF(B5901,INDEX(MineScale,C5901),"")</f>
        <v/>
      </c>
      <c r="L5901">
        <f>IF(B5901,INDEX(Dow,1,WEEKDAY(E5901,2)),"")</f>
        <v/>
      </c>
      <c r="M5901">
        <f>IF(B5901,(1+Trend)^D5901,"")</f>
        <v/>
      </c>
      <c r="N5901">
        <f>IF(B5901,EXP(SUMPRODUCT(LN(1+(EvEff-1)*INDEX(Affected,0,C5901)*EXP(-((E5901-EvCenter)^2)/(2*EvSigma^2))))),"")</f>
        <v/>
      </c>
      <c r="O5901">
        <f>IF(B5901,ROUND(MAX(0,J5901*K5901*L5901*M5901*N5901),2),"")</f>
        <v/>
      </c>
    </row>
    <row r="5902">
      <c r="A5902" t="n">
        <v>5901</v>
      </c>
      <c r="B5902">
        <f>A5902&lt;=MineCount*Days</f>
        <v/>
      </c>
      <c r="C5902">
        <f>IF(B5902,INT((A5902-1)/Days)+1,"")</f>
        <v/>
      </c>
      <c r="D5902">
        <f>IF(B5902,MOD(A5902-1,Days),"")</f>
        <v/>
      </c>
      <c r="E5902" s="16">
        <f>IF(B5902,StartDate+D5902,"")</f>
        <v/>
      </c>
      <c r="F5902">
        <f>IF(B5902,MAX(MOD(SIN(Seed*0.1373+C5902*12.9898+D5902*78.233)*43758.5453,1),1E-9),"")</f>
        <v/>
      </c>
      <c r="G5902">
        <f>IF(B5902,MOD(SIN(Seed*0.5917+C5902*39.3468+D5902*11.135)*24634.6345,1),"")</f>
        <v/>
      </c>
      <c r="H5902">
        <f>IF(B5902,SQRT(-2*LN(F5902))*COS(2*PI()*G5902),"")</f>
        <v/>
      </c>
      <c r="I5902">
        <f>IF(B5902,IF(D5902=0,H5902,Rho*I5901+SQRT(1-Rho^2)*H5902),"")</f>
        <v/>
      </c>
      <c r="J5902">
        <f>IF(B5902,IF(Dist="Normal",DistA+DistB*I5902,DistA+(DistB-DistA)*NORMSDIST(I5902)),"")</f>
        <v/>
      </c>
      <c r="K5902">
        <f>IF(B5902,INDEX(MineScale,C5902),"")</f>
        <v/>
      </c>
      <c r="L5902">
        <f>IF(B5902,INDEX(Dow,1,WEEKDAY(E5902,2)),"")</f>
        <v/>
      </c>
      <c r="M5902">
        <f>IF(B5902,(1+Trend)^D5902,"")</f>
        <v/>
      </c>
      <c r="N5902">
        <f>IF(B5902,EXP(SUMPRODUCT(LN(1+(EvEff-1)*INDEX(Affected,0,C5902)*EXP(-((E5902-EvCenter)^2)/(2*EvSigma^2))))),"")</f>
        <v/>
      </c>
      <c r="O5902">
        <f>IF(B5902,ROUND(MAX(0,J5902*K5902*L5902*M5902*N5902),2),"")</f>
        <v/>
      </c>
    </row>
    <row r="5903">
      <c r="A5903" t="n">
        <v>5902</v>
      </c>
      <c r="B5903">
        <f>A5903&lt;=MineCount*Days</f>
        <v/>
      </c>
      <c r="C5903">
        <f>IF(B5903,INT((A5903-1)/Days)+1,"")</f>
        <v/>
      </c>
      <c r="D5903">
        <f>IF(B5903,MOD(A5903-1,Days),"")</f>
        <v/>
      </c>
      <c r="E5903" s="16">
        <f>IF(B5903,StartDate+D5903,"")</f>
        <v/>
      </c>
      <c r="F5903">
        <f>IF(B5903,MAX(MOD(SIN(Seed*0.1373+C5903*12.9898+D5903*78.233)*43758.5453,1),1E-9),"")</f>
        <v/>
      </c>
      <c r="G5903">
        <f>IF(B5903,MOD(SIN(Seed*0.5917+C5903*39.3468+D5903*11.135)*24634.6345,1),"")</f>
        <v/>
      </c>
      <c r="H5903">
        <f>IF(B5903,SQRT(-2*LN(F5903))*COS(2*PI()*G5903),"")</f>
        <v/>
      </c>
      <c r="I5903">
        <f>IF(B5903,IF(D5903=0,H5903,Rho*I5902+SQRT(1-Rho^2)*H5903),"")</f>
        <v/>
      </c>
      <c r="J5903">
        <f>IF(B5903,IF(Dist="Normal",DistA+DistB*I5903,DistA+(DistB-DistA)*NORMSDIST(I5903)),"")</f>
        <v/>
      </c>
      <c r="K5903">
        <f>IF(B5903,INDEX(MineScale,C5903),"")</f>
        <v/>
      </c>
      <c r="L5903">
        <f>IF(B5903,INDEX(Dow,1,WEEKDAY(E5903,2)),"")</f>
        <v/>
      </c>
      <c r="M5903">
        <f>IF(B5903,(1+Trend)^D5903,"")</f>
        <v/>
      </c>
      <c r="N5903">
        <f>IF(B5903,EXP(SUMPRODUCT(LN(1+(EvEff-1)*INDEX(Affected,0,C5903)*EXP(-((E5903-EvCenter)^2)/(2*EvSigma^2))))),"")</f>
        <v/>
      </c>
      <c r="O5903">
        <f>IF(B5903,ROUND(MAX(0,J5903*K5903*L5903*M5903*N5903),2),"")</f>
        <v/>
      </c>
    </row>
    <row r="5904">
      <c r="A5904" t="n">
        <v>5903</v>
      </c>
      <c r="B5904">
        <f>A5904&lt;=MineCount*Days</f>
        <v/>
      </c>
      <c r="C5904">
        <f>IF(B5904,INT((A5904-1)/Days)+1,"")</f>
        <v/>
      </c>
      <c r="D5904">
        <f>IF(B5904,MOD(A5904-1,Days),"")</f>
        <v/>
      </c>
      <c r="E5904" s="16">
        <f>IF(B5904,StartDate+D5904,"")</f>
        <v/>
      </c>
      <c r="F5904">
        <f>IF(B5904,MAX(MOD(SIN(Seed*0.1373+C5904*12.9898+D5904*78.233)*43758.5453,1),1E-9),"")</f>
        <v/>
      </c>
      <c r="G5904">
        <f>IF(B5904,MOD(SIN(Seed*0.5917+C5904*39.3468+D5904*11.135)*24634.6345,1),"")</f>
        <v/>
      </c>
      <c r="H5904">
        <f>IF(B5904,SQRT(-2*LN(F5904))*COS(2*PI()*G5904),"")</f>
        <v/>
      </c>
      <c r="I5904">
        <f>IF(B5904,IF(D5904=0,H5904,Rho*I5903+SQRT(1-Rho^2)*H5904),"")</f>
        <v/>
      </c>
      <c r="J5904">
        <f>IF(B5904,IF(Dist="Normal",DistA+DistB*I5904,DistA+(DistB-DistA)*NORMSDIST(I5904)),"")</f>
        <v/>
      </c>
      <c r="K5904">
        <f>IF(B5904,INDEX(MineScale,C5904),"")</f>
        <v/>
      </c>
      <c r="L5904">
        <f>IF(B5904,INDEX(Dow,1,WEEKDAY(E5904,2)),"")</f>
        <v/>
      </c>
      <c r="M5904">
        <f>IF(B5904,(1+Trend)^D5904,"")</f>
        <v/>
      </c>
      <c r="N5904">
        <f>IF(B5904,EXP(SUMPRODUCT(LN(1+(EvEff-1)*INDEX(Affected,0,C5904)*EXP(-((E5904-EvCenter)^2)/(2*EvSigma^2))))),"")</f>
        <v/>
      </c>
      <c r="O5904">
        <f>IF(B5904,ROUND(MAX(0,J5904*K5904*L5904*M5904*N5904),2),"")</f>
        <v/>
      </c>
    </row>
    <row r="5905">
      <c r="A5905" t="n">
        <v>5904</v>
      </c>
      <c r="B5905">
        <f>A5905&lt;=MineCount*Days</f>
        <v/>
      </c>
      <c r="C5905">
        <f>IF(B5905,INT((A5905-1)/Days)+1,"")</f>
        <v/>
      </c>
      <c r="D5905">
        <f>IF(B5905,MOD(A5905-1,Days),"")</f>
        <v/>
      </c>
      <c r="E5905" s="16">
        <f>IF(B5905,StartDate+D5905,"")</f>
        <v/>
      </c>
      <c r="F5905">
        <f>IF(B5905,MAX(MOD(SIN(Seed*0.1373+C5905*12.9898+D5905*78.233)*43758.5453,1),1E-9),"")</f>
        <v/>
      </c>
      <c r="G5905">
        <f>IF(B5905,MOD(SIN(Seed*0.5917+C5905*39.3468+D5905*11.135)*24634.6345,1),"")</f>
        <v/>
      </c>
      <c r="H5905">
        <f>IF(B5905,SQRT(-2*LN(F5905))*COS(2*PI()*G5905),"")</f>
        <v/>
      </c>
      <c r="I5905">
        <f>IF(B5905,IF(D5905=0,H5905,Rho*I5904+SQRT(1-Rho^2)*H5905),"")</f>
        <v/>
      </c>
      <c r="J5905">
        <f>IF(B5905,IF(Dist="Normal",DistA+DistB*I5905,DistA+(DistB-DistA)*NORMSDIST(I5905)),"")</f>
        <v/>
      </c>
      <c r="K5905">
        <f>IF(B5905,INDEX(MineScale,C5905),"")</f>
        <v/>
      </c>
      <c r="L5905">
        <f>IF(B5905,INDEX(Dow,1,WEEKDAY(E5905,2)),"")</f>
        <v/>
      </c>
      <c r="M5905">
        <f>IF(B5905,(1+Trend)^D5905,"")</f>
        <v/>
      </c>
      <c r="N5905">
        <f>IF(B5905,EXP(SUMPRODUCT(LN(1+(EvEff-1)*INDEX(Affected,0,C5905)*EXP(-((E5905-EvCenter)^2)/(2*EvSigma^2))))),"")</f>
        <v/>
      </c>
      <c r="O5905">
        <f>IF(B5905,ROUND(MAX(0,J5905*K5905*L5905*M5905*N5905),2),"")</f>
        <v/>
      </c>
    </row>
    <row r="5906">
      <c r="A5906" t="n">
        <v>5905</v>
      </c>
      <c r="B5906">
        <f>A5906&lt;=MineCount*Days</f>
        <v/>
      </c>
      <c r="C5906">
        <f>IF(B5906,INT((A5906-1)/Days)+1,"")</f>
        <v/>
      </c>
      <c r="D5906">
        <f>IF(B5906,MOD(A5906-1,Days),"")</f>
        <v/>
      </c>
      <c r="E5906" s="16">
        <f>IF(B5906,StartDate+D5906,"")</f>
        <v/>
      </c>
      <c r="F5906">
        <f>IF(B5906,MAX(MOD(SIN(Seed*0.1373+C5906*12.9898+D5906*78.233)*43758.5453,1),1E-9),"")</f>
        <v/>
      </c>
      <c r="G5906">
        <f>IF(B5906,MOD(SIN(Seed*0.5917+C5906*39.3468+D5906*11.135)*24634.6345,1),"")</f>
        <v/>
      </c>
      <c r="H5906">
        <f>IF(B5906,SQRT(-2*LN(F5906))*COS(2*PI()*G5906),"")</f>
        <v/>
      </c>
      <c r="I5906">
        <f>IF(B5906,IF(D5906=0,H5906,Rho*I5905+SQRT(1-Rho^2)*H5906),"")</f>
        <v/>
      </c>
      <c r="J5906">
        <f>IF(B5906,IF(Dist="Normal",DistA+DistB*I5906,DistA+(DistB-DistA)*NORMSDIST(I5906)),"")</f>
        <v/>
      </c>
      <c r="K5906">
        <f>IF(B5906,INDEX(MineScale,C5906),"")</f>
        <v/>
      </c>
      <c r="L5906">
        <f>IF(B5906,INDEX(Dow,1,WEEKDAY(E5906,2)),"")</f>
        <v/>
      </c>
      <c r="M5906">
        <f>IF(B5906,(1+Trend)^D5906,"")</f>
        <v/>
      </c>
      <c r="N5906">
        <f>IF(B5906,EXP(SUMPRODUCT(LN(1+(EvEff-1)*INDEX(Affected,0,C5906)*EXP(-((E5906-EvCenter)^2)/(2*EvSigma^2))))),"")</f>
        <v/>
      </c>
      <c r="O5906">
        <f>IF(B5906,ROUND(MAX(0,J5906*K5906*L5906*M5906*N5906),2),"")</f>
        <v/>
      </c>
    </row>
    <row r="5907">
      <c r="A5907" t="n">
        <v>5906</v>
      </c>
      <c r="B5907">
        <f>A5907&lt;=MineCount*Days</f>
        <v/>
      </c>
      <c r="C5907">
        <f>IF(B5907,INT((A5907-1)/Days)+1,"")</f>
        <v/>
      </c>
      <c r="D5907">
        <f>IF(B5907,MOD(A5907-1,Days),"")</f>
        <v/>
      </c>
      <c r="E5907" s="16">
        <f>IF(B5907,StartDate+D5907,"")</f>
        <v/>
      </c>
      <c r="F5907">
        <f>IF(B5907,MAX(MOD(SIN(Seed*0.1373+C5907*12.9898+D5907*78.233)*43758.5453,1),1E-9),"")</f>
        <v/>
      </c>
      <c r="G5907">
        <f>IF(B5907,MOD(SIN(Seed*0.5917+C5907*39.3468+D5907*11.135)*24634.6345,1),"")</f>
        <v/>
      </c>
      <c r="H5907">
        <f>IF(B5907,SQRT(-2*LN(F5907))*COS(2*PI()*G5907),"")</f>
        <v/>
      </c>
      <c r="I5907">
        <f>IF(B5907,IF(D5907=0,H5907,Rho*I5906+SQRT(1-Rho^2)*H5907),"")</f>
        <v/>
      </c>
      <c r="J5907">
        <f>IF(B5907,IF(Dist="Normal",DistA+DistB*I5907,DistA+(DistB-DistA)*NORMSDIST(I5907)),"")</f>
        <v/>
      </c>
      <c r="K5907">
        <f>IF(B5907,INDEX(MineScale,C5907),"")</f>
        <v/>
      </c>
      <c r="L5907">
        <f>IF(B5907,INDEX(Dow,1,WEEKDAY(E5907,2)),"")</f>
        <v/>
      </c>
      <c r="M5907">
        <f>IF(B5907,(1+Trend)^D5907,"")</f>
        <v/>
      </c>
      <c r="N5907">
        <f>IF(B5907,EXP(SUMPRODUCT(LN(1+(EvEff-1)*INDEX(Affected,0,C5907)*EXP(-((E5907-EvCenter)^2)/(2*EvSigma^2))))),"")</f>
        <v/>
      </c>
      <c r="O5907">
        <f>IF(B5907,ROUND(MAX(0,J5907*K5907*L5907*M5907*N5907),2),"")</f>
        <v/>
      </c>
    </row>
    <row r="5908">
      <c r="A5908" t="n">
        <v>5907</v>
      </c>
      <c r="B5908">
        <f>A5908&lt;=MineCount*Days</f>
        <v/>
      </c>
      <c r="C5908">
        <f>IF(B5908,INT((A5908-1)/Days)+1,"")</f>
        <v/>
      </c>
      <c r="D5908">
        <f>IF(B5908,MOD(A5908-1,Days),"")</f>
        <v/>
      </c>
      <c r="E5908" s="16">
        <f>IF(B5908,StartDate+D5908,"")</f>
        <v/>
      </c>
      <c r="F5908">
        <f>IF(B5908,MAX(MOD(SIN(Seed*0.1373+C5908*12.9898+D5908*78.233)*43758.5453,1),1E-9),"")</f>
        <v/>
      </c>
      <c r="G5908">
        <f>IF(B5908,MOD(SIN(Seed*0.5917+C5908*39.3468+D5908*11.135)*24634.6345,1),"")</f>
        <v/>
      </c>
      <c r="H5908">
        <f>IF(B5908,SQRT(-2*LN(F5908))*COS(2*PI()*G5908),"")</f>
        <v/>
      </c>
      <c r="I5908">
        <f>IF(B5908,IF(D5908=0,H5908,Rho*I5907+SQRT(1-Rho^2)*H5908),"")</f>
        <v/>
      </c>
      <c r="J5908">
        <f>IF(B5908,IF(Dist="Normal",DistA+DistB*I5908,DistA+(DistB-DistA)*NORMSDIST(I5908)),"")</f>
        <v/>
      </c>
      <c r="K5908">
        <f>IF(B5908,INDEX(MineScale,C5908),"")</f>
        <v/>
      </c>
      <c r="L5908">
        <f>IF(B5908,INDEX(Dow,1,WEEKDAY(E5908,2)),"")</f>
        <v/>
      </c>
      <c r="M5908">
        <f>IF(B5908,(1+Trend)^D5908,"")</f>
        <v/>
      </c>
      <c r="N5908">
        <f>IF(B5908,EXP(SUMPRODUCT(LN(1+(EvEff-1)*INDEX(Affected,0,C5908)*EXP(-((E5908-EvCenter)^2)/(2*EvSigma^2))))),"")</f>
        <v/>
      </c>
      <c r="O5908">
        <f>IF(B5908,ROUND(MAX(0,J5908*K5908*L5908*M5908*N5908),2),"")</f>
        <v/>
      </c>
    </row>
    <row r="5909">
      <c r="A5909" t="n">
        <v>5908</v>
      </c>
      <c r="B5909">
        <f>A5909&lt;=MineCount*Days</f>
        <v/>
      </c>
      <c r="C5909">
        <f>IF(B5909,INT((A5909-1)/Days)+1,"")</f>
        <v/>
      </c>
      <c r="D5909">
        <f>IF(B5909,MOD(A5909-1,Days),"")</f>
        <v/>
      </c>
      <c r="E5909" s="16">
        <f>IF(B5909,StartDate+D5909,"")</f>
        <v/>
      </c>
      <c r="F5909">
        <f>IF(B5909,MAX(MOD(SIN(Seed*0.1373+C5909*12.9898+D5909*78.233)*43758.5453,1),1E-9),"")</f>
        <v/>
      </c>
      <c r="G5909">
        <f>IF(B5909,MOD(SIN(Seed*0.5917+C5909*39.3468+D5909*11.135)*24634.6345,1),"")</f>
        <v/>
      </c>
      <c r="H5909">
        <f>IF(B5909,SQRT(-2*LN(F5909))*COS(2*PI()*G5909),"")</f>
        <v/>
      </c>
      <c r="I5909">
        <f>IF(B5909,IF(D5909=0,H5909,Rho*I5908+SQRT(1-Rho^2)*H5909),"")</f>
        <v/>
      </c>
      <c r="J5909">
        <f>IF(B5909,IF(Dist="Normal",DistA+DistB*I5909,DistA+(DistB-DistA)*NORMSDIST(I5909)),"")</f>
        <v/>
      </c>
      <c r="K5909">
        <f>IF(B5909,INDEX(MineScale,C5909),"")</f>
        <v/>
      </c>
      <c r="L5909">
        <f>IF(B5909,INDEX(Dow,1,WEEKDAY(E5909,2)),"")</f>
        <v/>
      </c>
      <c r="M5909">
        <f>IF(B5909,(1+Trend)^D5909,"")</f>
        <v/>
      </c>
      <c r="N5909">
        <f>IF(B5909,EXP(SUMPRODUCT(LN(1+(EvEff-1)*INDEX(Affected,0,C5909)*EXP(-((E5909-EvCenter)^2)/(2*EvSigma^2))))),"")</f>
        <v/>
      </c>
      <c r="O5909">
        <f>IF(B5909,ROUND(MAX(0,J5909*K5909*L5909*M5909*N5909),2),"")</f>
        <v/>
      </c>
    </row>
    <row r="5910">
      <c r="A5910" t="n">
        <v>5909</v>
      </c>
      <c r="B5910">
        <f>A5910&lt;=MineCount*Days</f>
        <v/>
      </c>
      <c r="C5910">
        <f>IF(B5910,INT((A5910-1)/Days)+1,"")</f>
        <v/>
      </c>
      <c r="D5910">
        <f>IF(B5910,MOD(A5910-1,Days),"")</f>
        <v/>
      </c>
      <c r="E5910" s="16">
        <f>IF(B5910,StartDate+D5910,"")</f>
        <v/>
      </c>
      <c r="F5910">
        <f>IF(B5910,MAX(MOD(SIN(Seed*0.1373+C5910*12.9898+D5910*78.233)*43758.5453,1),1E-9),"")</f>
        <v/>
      </c>
      <c r="G5910">
        <f>IF(B5910,MOD(SIN(Seed*0.5917+C5910*39.3468+D5910*11.135)*24634.6345,1),"")</f>
        <v/>
      </c>
      <c r="H5910">
        <f>IF(B5910,SQRT(-2*LN(F5910))*COS(2*PI()*G5910),"")</f>
        <v/>
      </c>
      <c r="I5910">
        <f>IF(B5910,IF(D5910=0,H5910,Rho*I5909+SQRT(1-Rho^2)*H5910),"")</f>
        <v/>
      </c>
      <c r="J5910">
        <f>IF(B5910,IF(Dist="Normal",DistA+DistB*I5910,DistA+(DistB-DistA)*NORMSDIST(I5910)),"")</f>
        <v/>
      </c>
      <c r="K5910">
        <f>IF(B5910,INDEX(MineScale,C5910),"")</f>
        <v/>
      </c>
      <c r="L5910">
        <f>IF(B5910,INDEX(Dow,1,WEEKDAY(E5910,2)),"")</f>
        <v/>
      </c>
      <c r="M5910">
        <f>IF(B5910,(1+Trend)^D5910,"")</f>
        <v/>
      </c>
      <c r="N5910">
        <f>IF(B5910,EXP(SUMPRODUCT(LN(1+(EvEff-1)*INDEX(Affected,0,C5910)*EXP(-((E5910-EvCenter)^2)/(2*EvSigma^2))))),"")</f>
        <v/>
      </c>
      <c r="O5910">
        <f>IF(B5910,ROUND(MAX(0,J5910*K5910*L5910*M5910*N5910),2),"")</f>
        <v/>
      </c>
    </row>
    <row r="5911">
      <c r="A5911" t="n">
        <v>5910</v>
      </c>
      <c r="B5911">
        <f>A5911&lt;=MineCount*Days</f>
        <v/>
      </c>
      <c r="C5911">
        <f>IF(B5911,INT((A5911-1)/Days)+1,"")</f>
        <v/>
      </c>
      <c r="D5911">
        <f>IF(B5911,MOD(A5911-1,Days),"")</f>
        <v/>
      </c>
      <c r="E5911" s="16">
        <f>IF(B5911,StartDate+D5911,"")</f>
        <v/>
      </c>
      <c r="F5911">
        <f>IF(B5911,MAX(MOD(SIN(Seed*0.1373+C5911*12.9898+D5911*78.233)*43758.5453,1),1E-9),"")</f>
        <v/>
      </c>
      <c r="G5911">
        <f>IF(B5911,MOD(SIN(Seed*0.5917+C5911*39.3468+D5911*11.135)*24634.6345,1),"")</f>
        <v/>
      </c>
      <c r="H5911">
        <f>IF(B5911,SQRT(-2*LN(F5911))*COS(2*PI()*G5911),"")</f>
        <v/>
      </c>
      <c r="I5911">
        <f>IF(B5911,IF(D5911=0,H5911,Rho*I5910+SQRT(1-Rho^2)*H5911),"")</f>
        <v/>
      </c>
      <c r="J5911">
        <f>IF(B5911,IF(Dist="Normal",DistA+DistB*I5911,DistA+(DistB-DistA)*NORMSDIST(I5911)),"")</f>
        <v/>
      </c>
      <c r="K5911">
        <f>IF(B5911,INDEX(MineScale,C5911),"")</f>
        <v/>
      </c>
      <c r="L5911">
        <f>IF(B5911,INDEX(Dow,1,WEEKDAY(E5911,2)),"")</f>
        <v/>
      </c>
      <c r="M5911">
        <f>IF(B5911,(1+Trend)^D5911,"")</f>
        <v/>
      </c>
      <c r="N5911">
        <f>IF(B5911,EXP(SUMPRODUCT(LN(1+(EvEff-1)*INDEX(Affected,0,C5911)*EXP(-((E5911-EvCenter)^2)/(2*EvSigma^2))))),"")</f>
        <v/>
      </c>
      <c r="O5911">
        <f>IF(B5911,ROUND(MAX(0,J5911*K5911*L5911*M5911*N5911),2),"")</f>
        <v/>
      </c>
    </row>
    <row r="5912">
      <c r="A5912" t="n">
        <v>5911</v>
      </c>
      <c r="B5912">
        <f>A5912&lt;=MineCount*Days</f>
        <v/>
      </c>
      <c r="C5912">
        <f>IF(B5912,INT((A5912-1)/Days)+1,"")</f>
        <v/>
      </c>
      <c r="D5912">
        <f>IF(B5912,MOD(A5912-1,Days),"")</f>
        <v/>
      </c>
      <c r="E5912" s="16">
        <f>IF(B5912,StartDate+D5912,"")</f>
        <v/>
      </c>
      <c r="F5912">
        <f>IF(B5912,MAX(MOD(SIN(Seed*0.1373+C5912*12.9898+D5912*78.233)*43758.5453,1),1E-9),"")</f>
        <v/>
      </c>
      <c r="G5912">
        <f>IF(B5912,MOD(SIN(Seed*0.5917+C5912*39.3468+D5912*11.135)*24634.6345,1),"")</f>
        <v/>
      </c>
      <c r="H5912">
        <f>IF(B5912,SQRT(-2*LN(F5912))*COS(2*PI()*G5912),"")</f>
        <v/>
      </c>
      <c r="I5912">
        <f>IF(B5912,IF(D5912=0,H5912,Rho*I5911+SQRT(1-Rho^2)*H5912),"")</f>
        <v/>
      </c>
      <c r="J5912">
        <f>IF(B5912,IF(Dist="Normal",DistA+DistB*I5912,DistA+(DistB-DistA)*NORMSDIST(I5912)),"")</f>
        <v/>
      </c>
      <c r="K5912">
        <f>IF(B5912,INDEX(MineScale,C5912),"")</f>
        <v/>
      </c>
      <c r="L5912">
        <f>IF(B5912,INDEX(Dow,1,WEEKDAY(E5912,2)),"")</f>
        <v/>
      </c>
      <c r="M5912">
        <f>IF(B5912,(1+Trend)^D5912,"")</f>
        <v/>
      </c>
      <c r="N5912">
        <f>IF(B5912,EXP(SUMPRODUCT(LN(1+(EvEff-1)*INDEX(Affected,0,C5912)*EXP(-((E5912-EvCenter)^2)/(2*EvSigma^2))))),"")</f>
        <v/>
      </c>
      <c r="O5912">
        <f>IF(B5912,ROUND(MAX(0,J5912*K5912*L5912*M5912*N5912),2),"")</f>
        <v/>
      </c>
    </row>
    <row r="5913">
      <c r="A5913" t="n">
        <v>5912</v>
      </c>
      <c r="B5913">
        <f>A5913&lt;=MineCount*Days</f>
        <v/>
      </c>
      <c r="C5913">
        <f>IF(B5913,INT((A5913-1)/Days)+1,"")</f>
        <v/>
      </c>
      <c r="D5913">
        <f>IF(B5913,MOD(A5913-1,Days),"")</f>
        <v/>
      </c>
      <c r="E5913" s="16">
        <f>IF(B5913,StartDate+D5913,"")</f>
        <v/>
      </c>
      <c r="F5913">
        <f>IF(B5913,MAX(MOD(SIN(Seed*0.1373+C5913*12.9898+D5913*78.233)*43758.5453,1),1E-9),"")</f>
        <v/>
      </c>
      <c r="G5913">
        <f>IF(B5913,MOD(SIN(Seed*0.5917+C5913*39.3468+D5913*11.135)*24634.6345,1),"")</f>
        <v/>
      </c>
      <c r="H5913">
        <f>IF(B5913,SQRT(-2*LN(F5913))*COS(2*PI()*G5913),"")</f>
        <v/>
      </c>
      <c r="I5913">
        <f>IF(B5913,IF(D5913=0,H5913,Rho*I5912+SQRT(1-Rho^2)*H5913),"")</f>
        <v/>
      </c>
      <c r="J5913">
        <f>IF(B5913,IF(Dist="Normal",DistA+DistB*I5913,DistA+(DistB-DistA)*NORMSDIST(I5913)),"")</f>
        <v/>
      </c>
      <c r="K5913">
        <f>IF(B5913,INDEX(MineScale,C5913),"")</f>
        <v/>
      </c>
      <c r="L5913">
        <f>IF(B5913,INDEX(Dow,1,WEEKDAY(E5913,2)),"")</f>
        <v/>
      </c>
      <c r="M5913">
        <f>IF(B5913,(1+Trend)^D5913,"")</f>
        <v/>
      </c>
      <c r="N5913">
        <f>IF(B5913,EXP(SUMPRODUCT(LN(1+(EvEff-1)*INDEX(Affected,0,C5913)*EXP(-((E5913-EvCenter)^2)/(2*EvSigma^2))))),"")</f>
        <v/>
      </c>
      <c r="O5913">
        <f>IF(B5913,ROUND(MAX(0,J5913*K5913*L5913*M5913*N5913),2),"")</f>
        <v/>
      </c>
    </row>
    <row r="5914">
      <c r="A5914" t="n">
        <v>5913</v>
      </c>
      <c r="B5914">
        <f>A5914&lt;=MineCount*Days</f>
        <v/>
      </c>
      <c r="C5914">
        <f>IF(B5914,INT((A5914-1)/Days)+1,"")</f>
        <v/>
      </c>
      <c r="D5914">
        <f>IF(B5914,MOD(A5914-1,Days),"")</f>
        <v/>
      </c>
      <c r="E5914" s="16">
        <f>IF(B5914,StartDate+D5914,"")</f>
        <v/>
      </c>
      <c r="F5914">
        <f>IF(B5914,MAX(MOD(SIN(Seed*0.1373+C5914*12.9898+D5914*78.233)*43758.5453,1),1E-9),"")</f>
        <v/>
      </c>
      <c r="G5914">
        <f>IF(B5914,MOD(SIN(Seed*0.5917+C5914*39.3468+D5914*11.135)*24634.6345,1),"")</f>
        <v/>
      </c>
      <c r="H5914">
        <f>IF(B5914,SQRT(-2*LN(F5914))*COS(2*PI()*G5914),"")</f>
        <v/>
      </c>
      <c r="I5914">
        <f>IF(B5914,IF(D5914=0,H5914,Rho*I5913+SQRT(1-Rho^2)*H5914),"")</f>
        <v/>
      </c>
      <c r="J5914">
        <f>IF(B5914,IF(Dist="Normal",DistA+DistB*I5914,DistA+(DistB-DistA)*NORMSDIST(I5914)),"")</f>
        <v/>
      </c>
      <c r="K5914">
        <f>IF(B5914,INDEX(MineScale,C5914),"")</f>
        <v/>
      </c>
      <c r="L5914">
        <f>IF(B5914,INDEX(Dow,1,WEEKDAY(E5914,2)),"")</f>
        <v/>
      </c>
      <c r="M5914">
        <f>IF(B5914,(1+Trend)^D5914,"")</f>
        <v/>
      </c>
      <c r="N5914">
        <f>IF(B5914,EXP(SUMPRODUCT(LN(1+(EvEff-1)*INDEX(Affected,0,C5914)*EXP(-((E5914-EvCenter)^2)/(2*EvSigma^2))))),"")</f>
        <v/>
      </c>
      <c r="O5914">
        <f>IF(B5914,ROUND(MAX(0,J5914*K5914*L5914*M5914*N5914),2),"")</f>
        <v/>
      </c>
    </row>
    <row r="5915">
      <c r="A5915" t="n">
        <v>5914</v>
      </c>
      <c r="B5915">
        <f>A5915&lt;=MineCount*Days</f>
        <v/>
      </c>
      <c r="C5915">
        <f>IF(B5915,INT((A5915-1)/Days)+1,"")</f>
        <v/>
      </c>
      <c r="D5915">
        <f>IF(B5915,MOD(A5915-1,Days),"")</f>
        <v/>
      </c>
      <c r="E5915" s="16">
        <f>IF(B5915,StartDate+D5915,"")</f>
        <v/>
      </c>
      <c r="F5915">
        <f>IF(B5915,MAX(MOD(SIN(Seed*0.1373+C5915*12.9898+D5915*78.233)*43758.5453,1),1E-9),"")</f>
        <v/>
      </c>
      <c r="G5915">
        <f>IF(B5915,MOD(SIN(Seed*0.5917+C5915*39.3468+D5915*11.135)*24634.6345,1),"")</f>
        <v/>
      </c>
      <c r="H5915">
        <f>IF(B5915,SQRT(-2*LN(F5915))*COS(2*PI()*G5915),"")</f>
        <v/>
      </c>
      <c r="I5915">
        <f>IF(B5915,IF(D5915=0,H5915,Rho*I5914+SQRT(1-Rho^2)*H5915),"")</f>
        <v/>
      </c>
      <c r="J5915">
        <f>IF(B5915,IF(Dist="Normal",DistA+DistB*I5915,DistA+(DistB-DistA)*NORMSDIST(I5915)),"")</f>
        <v/>
      </c>
      <c r="K5915">
        <f>IF(B5915,INDEX(MineScale,C5915),"")</f>
        <v/>
      </c>
      <c r="L5915">
        <f>IF(B5915,INDEX(Dow,1,WEEKDAY(E5915,2)),"")</f>
        <v/>
      </c>
      <c r="M5915">
        <f>IF(B5915,(1+Trend)^D5915,"")</f>
        <v/>
      </c>
      <c r="N5915">
        <f>IF(B5915,EXP(SUMPRODUCT(LN(1+(EvEff-1)*INDEX(Affected,0,C5915)*EXP(-((E5915-EvCenter)^2)/(2*EvSigma^2))))),"")</f>
        <v/>
      </c>
      <c r="O5915">
        <f>IF(B5915,ROUND(MAX(0,J5915*K5915*L5915*M5915*N5915),2),"")</f>
        <v/>
      </c>
    </row>
    <row r="5916">
      <c r="A5916" t="n">
        <v>5915</v>
      </c>
      <c r="B5916">
        <f>A5916&lt;=MineCount*Days</f>
        <v/>
      </c>
      <c r="C5916">
        <f>IF(B5916,INT((A5916-1)/Days)+1,"")</f>
        <v/>
      </c>
      <c r="D5916">
        <f>IF(B5916,MOD(A5916-1,Days),"")</f>
        <v/>
      </c>
      <c r="E5916" s="16">
        <f>IF(B5916,StartDate+D5916,"")</f>
        <v/>
      </c>
      <c r="F5916">
        <f>IF(B5916,MAX(MOD(SIN(Seed*0.1373+C5916*12.9898+D5916*78.233)*43758.5453,1),1E-9),"")</f>
        <v/>
      </c>
      <c r="G5916">
        <f>IF(B5916,MOD(SIN(Seed*0.5917+C5916*39.3468+D5916*11.135)*24634.6345,1),"")</f>
        <v/>
      </c>
      <c r="H5916">
        <f>IF(B5916,SQRT(-2*LN(F5916))*COS(2*PI()*G5916),"")</f>
        <v/>
      </c>
      <c r="I5916">
        <f>IF(B5916,IF(D5916=0,H5916,Rho*I5915+SQRT(1-Rho^2)*H5916),"")</f>
        <v/>
      </c>
      <c r="J5916">
        <f>IF(B5916,IF(Dist="Normal",DistA+DistB*I5916,DistA+(DistB-DistA)*NORMSDIST(I5916)),"")</f>
        <v/>
      </c>
      <c r="K5916">
        <f>IF(B5916,INDEX(MineScale,C5916),"")</f>
        <v/>
      </c>
      <c r="L5916">
        <f>IF(B5916,INDEX(Dow,1,WEEKDAY(E5916,2)),"")</f>
        <v/>
      </c>
      <c r="M5916">
        <f>IF(B5916,(1+Trend)^D5916,"")</f>
        <v/>
      </c>
      <c r="N5916">
        <f>IF(B5916,EXP(SUMPRODUCT(LN(1+(EvEff-1)*INDEX(Affected,0,C5916)*EXP(-((E5916-EvCenter)^2)/(2*EvSigma^2))))),"")</f>
        <v/>
      </c>
      <c r="O5916">
        <f>IF(B5916,ROUND(MAX(0,J5916*K5916*L5916*M5916*N5916),2),"")</f>
        <v/>
      </c>
    </row>
    <row r="5917">
      <c r="A5917" t="n">
        <v>5916</v>
      </c>
      <c r="B5917">
        <f>A5917&lt;=MineCount*Days</f>
        <v/>
      </c>
      <c r="C5917">
        <f>IF(B5917,INT((A5917-1)/Days)+1,"")</f>
        <v/>
      </c>
      <c r="D5917">
        <f>IF(B5917,MOD(A5917-1,Days),"")</f>
        <v/>
      </c>
      <c r="E5917" s="16">
        <f>IF(B5917,StartDate+D5917,"")</f>
        <v/>
      </c>
      <c r="F5917">
        <f>IF(B5917,MAX(MOD(SIN(Seed*0.1373+C5917*12.9898+D5917*78.233)*43758.5453,1),1E-9),"")</f>
        <v/>
      </c>
      <c r="G5917">
        <f>IF(B5917,MOD(SIN(Seed*0.5917+C5917*39.3468+D5917*11.135)*24634.6345,1),"")</f>
        <v/>
      </c>
      <c r="H5917">
        <f>IF(B5917,SQRT(-2*LN(F5917))*COS(2*PI()*G5917),"")</f>
        <v/>
      </c>
      <c r="I5917">
        <f>IF(B5917,IF(D5917=0,H5917,Rho*I5916+SQRT(1-Rho^2)*H5917),"")</f>
        <v/>
      </c>
      <c r="J5917">
        <f>IF(B5917,IF(Dist="Normal",DistA+DistB*I5917,DistA+(DistB-DistA)*NORMSDIST(I5917)),"")</f>
        <v/>
      </c>
      <c r="K5917">
        <f>IF(B5917,INDEX(MineScale,C5917),"")</f>
        <v/>
      </c>
      <c r="L5917">
        <f>IF(B5917,INDEX(Dow,1,WEEKDAY(E5917,2)),"")</f>
        <v/>
      </c>
      <c r="M5917">
        <f>IF(B5917,(1+Trend)^D5917,"")</f>
        <v/>
      </c>
      <c r="N5917">
        <f>IF(B5917,EXP(SUMPRODUCT(LN(1+(EvEff-1)*INDEX(Affected,0,C5917)*EXP(-((E5917-EvCenter)^2)/(2*EvSigma^2))))),"")</f>
        <v/>
      </c>
      <c r="O5917">
        <f>IF(B5917,ROUND(MAX(0,J5917*K5917*L5917*M5917*N5917),2),"")</f>
        <v/>
      </c>
    </row>
    <row r="5918">
      <c r="A5918" t="n">
        <v>5917</v>
      </c>
      <c r="B5918">
        <f>A5918&lt;=MineCount*Days</f>
        <v/>
      </c>
      <c r="C5918">
        <f>IF(B5918,INT((A5918-1)/Days)+1,"")</f>
        <v/>
      </c>
      <c r="D5918">
        <f>IF(B5918,MOD(A5918-1,Days),"")</f>
        <v/>
      </c>
      <c r="E5918" s="16">
        <f>IF(B5918,StartDate+D5918,"")</f>
        <v/>
      </c>
      <c r="F5918">
        <f>IF(B5918,MAX(MOD(SIN(Seed*0.1373+C5918*12.9898+D5918*78.233)*43758.5453,1),1E-9),"")</f>
        <v/>
      </c>
      <c r="G5918">
        <f>IF(B5918,MOD(SIN(Seed*0.5917+C5918*39.3468+D5918*11.135)*24634.6345,1),"")</f>
        <v/>
      </c>
      <c r="H5918">
        <f>IF(B5918,SQRT(-2*LN(F5918))*COS(2*PI()*G5918),"")</f>
        <v/>
      </c>
      <c r="I5918">
        <f>IF(B5918,IF(D5918=0,H5918,Rho*I5917+SQRT(1-Rho^2)*H5918),"")</f>
        <v/>
      </c>
      <c r="J5918">
        <f>IF(B5918,IF(Dist="Normal",DistA+DistB*I5918,DistA+(DistB-DistA)*NORMSDIST(I5918)),"")</f>
        <v/>
      </c>
      <c r="K5918">
        <f>IF(B5918,INDEX(MineScale,C5918),"")</f>
        <v/>
      </c>
      <c r="L5918">
        <f>IF(B5918,INDEX(Dow,1,WEEKDAY(E5918,2)),"")</f>
        <v/>
      </c>
      <c r="M5918">
        <f>IF(B5918,(1+Trend)^D5918,"")</f>
        <v/>
      </c>
      <c r="N5918">
        <f>IF(B5918,EXP(SUMPRODUCT(LN(1+(EvEff-1)*INDEX(Affected,0,C5918)*EXP(-((E5918-EvCenter)^2)/(2*EvSigma^2))))),"")</f>
        <v/>
      </c>
      <c r="O5918">
        <f>IF(B5918,ROUND(MAX(0,J5918*K5918*L5918*M5918*N5918),2),"")</f>
        <v/>
      </c>
    </row>
    <row r="5919">
      <c r="A5919" t="n">
        <v>5918</v>
      </c>
      <c r="B5919">
        <f>A5919&lt;=MineCount*Days</f>
        <v/>
      </c>
      <c r="C5919">
        <f>IF(B5919,INT((A5919-1)/Days)+1,"")</f>
        <v/>
      </c>
      <c r="D5919">
        <f>IF(B5919,MOD(A5919-1,Days),"")</f>
        <v/>
      </c>
      <c r="E5919" s="16">
        <f>IF(B5919,StartDate+D5919,"")</f>
        <v/>
      </c>
      <c r="F5919">
        <f>IF(B5919,MAX(MOD(SIN(Seed*0.1373+C5919*12.9898+D5919*78.233)*43758.5453,1),1E-9),"")</f>
        <v/>
      </c>
      <c r="G5919">
        <f>IF(B5919,MOD(SIN(Seed*0.5917+C5919*39.3468+D5919*11.135)*24634.6345,1),"")</f>
        <v/>
      </c>
      <c r="H5919">
        <f>IF(B5919,SQRT(-2*LN(F5919))*COS(2*PI()*G5919),"")</f>
        <v/>
      </c>
      <c r="I5919">
        <f>IF(B5919,IF(D5919=0,H5919,Rho*I5918+SQRT(1-Rho^2)*H5919),"")</f>
        <v/>
      </c>
      <c r="J5919">
        <f>IF(B5919,IF(Dist="Normal",DistA+DistB*I5919,DistA+(DistB-DistA)*NORMSDIST(I5919)),"")</f>
        <v/>
      </c>
      <c r="K5919">
        <f>IF(B5919,INDEX(MineScale,C5919),"")</f>
        <v/>
      </c>
      <c r="L5919">
        <f>IF(B5919,INDEX(Dow,1,WEEKDAY(E5919,2)),"")</f>
        <v/>
      </c>
      <c r="M5919">
        <f>IF(B5919,(1+Trend)^D5919,"")</f>
        <v/>
      </c>
      <c r="N5919">
        <f>IF(B5919,EXP(SUMPRODUCT(LN(1+(EvEff-1)*INDEX(Affected,0,C5919)*EXP(-((E5919-EvCenter)^2)/(2*EvSigma^2))))),"")</f>
        <v/>
      </c>
      <c r="O5919">
        <f>IF(B5919,ROUND(MAX(0,J5919*K5919*L5919*M5919*N5919),2),"")</f>
        <v/>
      </c>
    </row>
    <row r="5920">
      <c r="A5920" t="n">
        <v>5919</v>
      </c>
      <c r="B5920">
        <f>A5920&lt;=MineCount*Days</f>
        <v/>
      </c>
      <c r="C5920">
        <f>IF(B5920,INT((A5920-1)/Days)+1,"")</f>
        <v/>
      </c>
      <c r="D5920">
        <f>IF(B5920,MOD(A5920-1,Days),"")</f>
        <v/>
      </c>
      <c r="E5920" s="16">
        <f>IF(B5920,StartDate+D5920,"")</f>
        <v/>
      </c>
      <c r="F5920">
        <f>IF(B5920,MAX(MOD(SIN(Seed*0.1373+C5920*12.9898+D5920*78.233)*43758.5453,1),1E-9),"")</f>
        <v/>
      </c>
      <c r="G5920">
        <f>IF(B5920,MOD(SIN(Seed*0.5917+C5920*39.3468+D5920*11.135)*24634.6345,1),"")</f>
        <v/>
      </c>
      <c r="H5920">
        <f>IF(B5920,SQRT(-2*LN(F5920))*COS(2*PI()*G5920),"")</f>
        <v/>
      </c>
      <c r="I5920">
        <f>IF(B5920,IF(D5920=0,H5920,Rho*I5919+SQRT(1-Rho^2)*H5920),"")</f>
        <v/>
      </c>
      <c r="J5920">
        <f>IF(B5920,IF(Dist="Normal",DistA+DistB*I5920,DistA+(DistB-DistA)*NORMSDIST(I5920)),"")</f>
        <v/>
      </c>
      <c r="K5920">
        <f>IF(B5920,INDEX(MineScale,C5920),"")</f>
        <v/>
      </c>
      <c r="L5920">
        <f>IF(B5920,INDEX(Dow,1,WEEKDAY(E5920,2)),"")</f>
        <v/>
      </c>
      <c r="M5920">
        <f>IF(B5920,(1+Trend)^D5920,"")</f>
        <v/>
      </c>
      <c r="N5920">
        <f>IF(B5920,EXP(SUMPRODUCT(LN(1+(EvEff-1)*INDEX(Affected,0,C5920)*EXP(-((E5920-EvCenter)^2)/(2*EvSigma^2))))),"")</f>
        <v/>
      </c>
      <c r="O5920">
        <f>IF(B5920,ROUND(MAX(0,J5920*K5920*L5920*M5920*N5920),2),"")</f>
        <v/>
      </c>
    </row>
    <row r="5921">
      <c r="A5921" t="n">
        <v>5920</v>
      </c>
      <c r="B5921">
        <f>A5921&lt;=MineCount*Days</f>
        <v/>
      </c>
      <c r="C5921">
        <f>IF(B5921,INT((A5921-1)/Days)+1,"")</f>
        <v/>
      </c>
      <c r="D5921">
        <f>IF(B5921,MOD(A5921-1,Days),"")</f>
        <v/>
      </c>
      <c r="E5921" s="16">
        <f>IF(B5921,StartDate+D5921,"")</f>
        <v/>
      </c>
      <c r="F5921">
        <f>IF(B5921,MAX(MOD(SIN(Seed*0.1373+C5921*12.9898+D5921*78.233)*43758.5453,1),1E-9),"")</f>
        <v/>
      </c>
      <c r="G5921">
        <f>IF(B5921,MOD(SIN(Seed*0.5917+C5921*39.3468+D5921*11.135)*24634.6345,1),"")</f>
        <v/>
      </c>
      <c r="H5921">
        <f>IF(B5921,SQRT(-2*LN(F5921))*COS(2*PI()*G5921),"")</f>
        <v/>
      </c>
      <c r="I5921">
        <f>IF(B5921,IF(D5921=0,H5921,Rho*I5920+SQRT(1-Rho^2)*H5921),"")</f>
        <v/>
      </c>
      <c r="J5921">
        <f>IF(B5921,IF(Dist="Normal",DistA+DistB*I5921,DistA+(DistB-DistA)*NORMSDIST(I5921)),"")</f>
        <v/>
      </c>
      <c r="K5921">
        <f>IF(B5921,INDEX(MineScale,C5921),"")</f>
        <v/>
      </c>
      <c r="L5921">
        <f>IF(B5921,INDEX(Dow,1,WEEKDAY(E5921,2)),"")</f>
        <v/>
      </c>
      <c r="M5921">
        <f>IF(B5921,(1+Trend)^D5921,"")</f>
        <v/>
      </c>
      <c r="N5921">
        <f>IF(B5921,EXP(SUMPRODUCT(LN(1+(EvEff-1)*INDEX(Affected,0,C5921)*EXP(-((E5921-EvCenter)^2)/(2*EvSigma^2))))),"")</f>
        <v/>
      </c>
      <c r="O5921">
        <f>IF(B5921,ROUND(MAX(0,J5921*K5921*L5921*M5921*N5921),2),"")</f>
        <v/>
      </c>
    </row>
    <row r="5922">
      <c r="A5922" t="n">
        <v>5921</v>
      </c>
      <c r="B5922">
        <f>A5922&lt;=MineCount*Days</f>
        <v/>
      </c>
      <c r="C5922">
        <f>IF(B5922,INT((A5922-1)/Days)+1,"")</f>
        <v/>
      </c>
      <c r="D5922">
        <f>IF(B5922,MOD(A5922-1,Days),"")</f>
        <v/>
      </c>
      <c r="E5922" s="16">
        <f>IF(B5922,StartDate+D5922,"")</f>
        <v/>
      </c>
      <c r="F5922">
        <f>IF(B5922,MAX(MOD(SIN(Seed*0.1373+C5922*12.9898+D5922*78.233)*43758.5453,1),1E-9),"")</f>
        <v/>
      </c>
      <c r="G5922">
        <f>IF(B5922,MOD(SIN(Seed*0.5917+C5922*39.3468+D5922*11.135)*24634.6345,1),"")</f>
        <v/>
      </c>
      <c r="H5922">
        <f>IF(B5922,SQRT(-2*LN(F5922))*COS(2*PI()*G5922),"")</f>
        <v/>
      </c>
      <c r="I5922">
        <f>IF(B5922,IF(D5922=0,H5922,Rho*I5921+SQRT(1-Rho^2)*H5922),"")</f>
        <v/>
      </c>
      <c r="J5922">
        <f>IF(B5922,IF(Dist="Normal",DistA+DistB*I5922,DistA+(DistB-DistA)*NORMSDIST(I5922)),"")</f>
        <v/>
      </c>
      <c r="K5922">
        <f>IF(B5922,INDEX(MineScale,C5922),"")</f>
        <v/>
      </c>
      <c r="L5922">
        <f>IF(B5922,INDEX(Dow,1,WEEKDAY(E5922,2)),"")</f>
        <v/>
      </c>
      <c r="M5922">
        <f>IF(B5922,(1+Trend)^D5922,"")</f>
        <v/>
      </c>
      <c r="N5922">
        <f>IF(B5922,EXP(SUMPRODUCT(LN(1+(EvEff-1)*INDEX(Affected,0,C5922)*EXP(-((E5922-EvCenter)^2)/(2*EvSigma^2))))),"")</f>
        <v/>
      </c>
      <c r="O5922">
        <f>IF(B5922,ROUND(MAX(0,J5922*K5922*L5922*M5922*N5922),2),"")</f>
        <v/>
      </c>
    </row>
    <row r="5923">
      <c r="A5923" t="n">
        <v>5922</v>
      </c>
      <c r="B5923">
        <f>A5923&lt;=MineCount*Days</f>
        <v/>
      </c>
      <c r="C5923">
        <f>IF(B5923,INT((A5923-1)/Days)+1,"")</f>
        <v/>
      </c>
      <c r="D5923">
        <f>IF(B5923,MOD(A5923-1,Days),"")</f>
        <v/>
      </c>
      <c r="E5923" s="16">
        <f>IF(B5923,StartDate+D5923,"")</f>
        <v/>
      </c>
      <c r="F5923">
        <f>IF(B5923,MAX(MOD(SIN(Seed*0.1373+C5923*12.9898+D5923*78.233)*43758.5453,1),1E-9),"")</f>
        <v/>
      </c>
      <c r="G5923">
        <f>IF(B5923,MOD(SIN(Seed*0.5917+C5923*39.3468+D5923*11.135)*24634.6345,1),"")</f>
        <v/>
      </c>
      <c r="H5923">
        <f>IF(B5923,SQRT(-2*LN(F5923))*COS(2*PI()*G5923),"")</f>
        <v/>
      </c>
      <c r="I5923">
        <f>IF(B5923,IF(D5923=0,H5923,Rho*I5922+SQRT(1-Rho^2)*H5923),"")</f>
        <v/>
      </c>
      <c r="J5923">
        <f>IF(B5923,IF(Dist="Normal",DistA+DistB*I5923,DistA+(DistB-DistA)*NORMSDIST(I5923)),"")</f>
        <v/>
      </c>
      <c r="K5923">
        <f>IF(B5923,INDEX(MineScale,C5923),"")</f>
        <v/>
      </c>
      <c r="L5923">
        <f>IF(B5923,INDEX(Dow,1,WEEKDAY(E5923,2)),"")</f>
        <v/>
      </c>
      <c r="M5923">
        <f>IF(B5923,(1+Trend)^D5923,"")</f>
        <v/>
      </c>
      <c r="N5923">
        <f>IF(B5923,EXP(SUMPRODUCT(LN(1+(EvEff-1)*INDEX(Affected,0,C5923)*EXP(-((E5923-EvCenter)^2)/(2*EvSigma^2))))),"")</f>
        <v/>
      </c>
      <c r="O5923">
        <f>IF(B5923,ROUND(MAX(0,J5923*K5923*L5923*M5923*N5923),2),"")</f>
        <v/>
      </c>
    </row>
    <row r="5924">
      <c r="A5924" t="n">
        <v>5923</v>
      </c>
      <c r="B5924">
        <f>A5924&lt;=MineCount*Days</f>
        <v/>
      </c>
      <c r="C5924">
        <f>IF(B5924,INT((A5924-1)/Days)+1,"")</f>
        <v/>
      </c>
      <c r="D5924">
        <f>IF(B5924,MOD(A5924-1,Days),"")</f>
        <v/>
      </c>
      <c r="E5924" s="16">
        <f>IF(B5924,StartDate+D5924,"")</f>
        <v/>
      </c>
      <c r="F5924">
        <f>IF(B5924,MAX(MOD(SIN(Seed*0.1373+C5924*12.9898+D5924*78.233)*43758.5453,1),1E-9),"")</f>
        <v/>
      </c>
      <c r="G5924">
        <f>IF(B5924,MOD(SIN(Seed*0.5917+C5924*39.3468+D5924*11.135)*24634.6345,1),"")</f>
        <v/>
      </c>
      <c r="H5924">
        <f>IF(B5924,SQRT(-2*LN(F5924))*COS(2*PI()*G5924),"")</f>
        <v/>
      </c>
      <c r="I5924">
        <f>IF(B5924,IF(D5924=0,H5924,Rho*I5923+SQRT(1-Rho^2)*H5924),"")</f>
        <v/>
      </c>
      <c r="J5924">
        <f>IF(B5924,IF(Dist="Normal",DistA+DistB*I5924,DistA+(DistB-DistA)*NORMSDIST(I5924)),"")</f>
        <v/>
      </c>
      <c r="K5924">
        <f>IF(B5924,INDEX(MineScale,C5924),"")</f>
        <v/>
      </c>
      <c r="L5924">
        <f>IF(B5924,INDEX(Dow,1,WEEKDAY(E5924,2)),"")</f>
        <v/>
      </c>
      <c r="M5924">
        <f>IF(B5924,(1+Trend)^D5924,"")</f>
        <v/>
      </c>
      <c r="N5924">
        <f>IF(B5924,EXP(SUMPRODUCT(LN(1+(EvEff-1)*INDEX(Affected,0,C5924)*EXP(-((E5924-EvCenter)^2)/(2*EvSigma^2))))),"")</f>
        <v/>
      </c>
      <c r="O5924">
        <f>IF(B5924,ROUND(MAX(0,J5924*K5924*L5924*M5924*N5924),2),"")</f>
        <v/>
      </c>
    </row>
    <row r="5925">
      <c r="A5925" t="n">
        <v>5924</v>
      </c>
      <c r="B5925">
        <f>A5925&lt;=MineCount*Days</f>
        <v/>
      </c>
      <c r="C5925">
        <f>IF(B5925,INT((A5925-1)/Days)+1,"")</f>
        <v/>
      </c>
      <c r="D5925">
        <f>IF(B5925,MOD(A5925-1,Days),"")</f>
        <v/>
      </c>
      <c r="E5925" s="16">
        <f>IF(B5925,StartDate+D5925,"")</f>
        <v/>
      </c>
      <c r="F5925">
        <f>IF(B5925,MAX(MOD(SIN(Seed*0.1373+C5925*12.9898+D5925*78.233)*43758.5453,1),1E-9),"")</f>
        <v/>
      </c>
      <c r="G5925">
        <f>IF(B5925,MOD(SIN(Seed*0.5917+C5925*39.3468+D5925*11.135)*24634.6345,1),"")</f>
        <v/>
      </c>
      <c r="H5925">
        <f>IF(B5925,SQRT(-2*LN(F5925))*COS(2*PI()*G5925),"")</f>
        <v/>
      </c>
      <c r="I5925">
        <f>IF(B5925,IF(D5925=0,H5925,Rho*I5924+SQRT(1-Rho^2)*H5925),"")</f>
        <v/>
      </c>
      <c r="J5925">
        <f>IF(B5925,IF(Dist="Normal",DistA+DistB*I5925,DistA+(DistB-DistA)*NORMSDIST(I5925)),"")</f>
        <v/>
      </c>
      <c r="K5925">
        <f>IF(B5925,INDEX(MineScale,C5925),"")</f>
        <v/>
      </c>
      <c r="L5925">
        <f>IF(B5925,INDEX(Dow,1,WEEKDAY(E5925,2)),"")</f>
        <v/>
      </c>
      <c r="M5925">
        <f>IF(B5925,(1+Trend)^D5925,"")</f>
        <v/>
      </c>
      <c r="N5925">
        <f>IF(B5925,EXP(SUMPRODUCT(LN(1+(EvEff-1)*INDEX(Affected,0,C5925)*EXP(-((E5925-EvCenter)^2)/(2*EvSigma^2))))),"")</f>
        <v/>
      </c>
      <c r="O5925">
        <f>IF(B5925,ROUND(MAX(0,J5925*K5925*L5925*M5925*N5925),2),"")</f>
        <v/>
      </c>
    </row>
    <row r="5926">
      <c r="A5926" t="n">
        <v>5925</v>
      </c>
      <c r="B5926">
        <f>A5926&lt;=MineCount*Days</f>
        <v/>
      </c>
      <c r="C5926">
        <f>IF(B5926,INT((A5926-1)/Days)+1,"")</f>
        <v/>
      </c>
      <c r="D5926">
        <f>IF(B5926,MOD(A5926-1,Days),"")</f>
        <v/>
      </c>
      <c r="E5926" s="16">
        <f>IF(B5926,StartDate+D5926,"")</f>
        <v/>
      </c>
      <c r="F5926">
        <f>IF(B5926,MAX(MOD(SIN(Seed*0.1373+C5926*12.9898+D5926*78.233)*43758.5453,1),1E-9),"")</f>
        <v/>
      </c>
      <c r="G5926">
        <f>IF(B5926,MOD(SIN(Seed*0.5917+C5926*39.3468+D5926*11.135)*24634.6345,1),"")</f>
        <v/>
      </c>
      <c r="H5926">
        <f>IF(B5926,SQRT(-2*LN(F5926))*COS(2*PI()*G5926),"")</f>
        <v/>
      </c>
      <c r="I5926">
        <f>IF(B5926,IF(D5926=0,H5926,Rho*I5925+SQRT(1-Rho^2)*H5926),"")</f>
        <v/>
      </c>
      <c r="J5926">
        <f>IF(B5926,IF(Dist="Normal",DistA+DistB*I5926,DistA+(DistB-DistA)*NORMSDIST(I5926)),"")</f>
        <v/>
      </c>
      <c r="K5926">
        <f>IF(B5926,INDEX(MineScale,C5926),"")</f>
        <v/>
      </c>
      <c r="L5926">
        <f>IF(B5926,INDEX(Dow,1,WEEKDAY(E5926,2)),"")</f>
        <v/>
      </c>
      <c r="M5926">
        <f>IF(B5926,(1+Trend)^D5926,"")</f>
        <v/>
      </c>
      <c r="N5926">
        <f>IF(B5926,EXP(SUMPRODUCT(LN(1+(EvEff-1)*INDEX(Affected,0,C5926)*EXP(-((E5926-EvCenter)^2)/(2*EvSigma^2))))),"")</f>
        <v/>
      </c>
      <c r="O5926">
        <f>IF(B5926,ROUND(MAX(0,J5926*K5926*L5926*M5926*N5926),2),"")</f>
        <v/>
      </c>
    </row>
    <row r="5927">
      <c r="A5927" t="n">
        <v>5926</v>
      </c>
      <c r="B5927">
        <f>A5927&lt;=MineCount*Days</f>
        <v/>
      </c>
      <c r="C5927">
        <f>IF(B5927,INT((A5927-1)/Days)+1,"")</f>
        <v/>
      </c>
      <c r="D5927">
        <f>IF(B5927,MOD(A5927-1,Days),"")</f>
        <v/>
      </c>
      <c r="E5927" s="16">
        <f>IF(B5927,StartDate+D5927,"")</f>
        <v/>
      </c>
      <c r="F5927">
        <f>IF(B5927,MAX(MOD(SIN(Seed*0.1373+C5927*12.9898+D5927*78.233)*43758.5453,1),1E-9),"")</f>
        <v/>
      </c>
      <c r="G5927">
        <f>IF(B5927,MOD(SIN(Seed*0.5917+C5927*39.3468+D5927*11.135)*24634.6345,1),"")</f>
        <v/>
      </c>
      <c r="H5927">
        <f>IF(B5927,SQRT(-2*LN(F5927))*COS(2*PI()*G5927),"")</f>
        <v/>
      </c>
      <c r="I5927">
        <f>IF(B5927,IF(D5927=0,H5927,Rho*I5926+SQRT(1-Rho^2)*H5927),"")</f>
        <v/>
      </c>
      <c r="J5927">
        <f>IF(B5927,IF(Dist="Normal",DistA+DistB*I5927,DistA+(DistB-DistA)*NORMSDIST(I5927)),"")</f>
        <v/>
      </c>
      <c r="K5927">
        <f>IF(B5927,INDEX(MineScale,C5927),"")</f>
        <v/>
      </c>
      <c r="L5927">
        <f>IF(B5927,INDEX(Dow,1,WEEKDAY(E5927,2)),"")</f>
        <v/>
      </c>
      <c r="M5927">
        <f>IF(B5927,(1+Trend)^D5927,"")</f>
        <v/>
      </c>
      <c r="N5927">
        <f>IF(B5927,EXP(SUMPRODUCT(LN(1+(EvEff-1)*INDEX(Affected,0,C5927)*EXP(-((E5927-EvCenter)^2)/(2*EvSigma^2))))),"")</f>
        <v/>
      </c>
      <c r="O5927">
        <f>IF(B5927,ROUND(MAX(0,J5927*K5927*L5927*M5927*N5927),2),"")</f>
        <v/>
      </c>
    </row>
    <row r="5928">
      <c r="A5928" t="n">
        <v>5927</v>
      </c>
      <c r="B5928">
        <f>A5928&lt;=MineCount*Days</f>
        <v/>
      </c>
      <c r="C5928">
        <f>IF(B5928,INT((A5928-1)/Days)+1,"")</f>
        <v/>
      </c>
      <c r="D5928">
        <f>IF(B5928,MOD(A5928-1,Days),"")</f>
        <v/>
      </c>
      <c r="E5928" s="16">
        <f>IF(B5928,StartDate+D5928,"")</f>
        <v/>
      </c>
      <c r="F5928">
        <f>IF(B5928,MAX(MOD(SIN(Seed*0.1373+C5928*12.9898+D5928*78.233)*43758.5453,1),1E-9),"")</f>
        <v/>
      </c>
      <c r="G5928">
        <f>IF(B5928,MOD(SIN(Seed*0.5917+C5928*39.3468+D5928*11.135)*24634.6345,1),"")</f>
        <v/>
      </c>
      <c r="H5928">
        <f>IF(B5928,SQRT(-2*LN(F5928))*COS(2*PI()*G5928),"")</f>
        <v/>
      </c>
      <c r="I5928">
        <f>IF(B5928,IF(D5928=0,H5928,Rho*I5927+SQRT(1-Rho^2)*H5928),"")</f>
        <v/>
      </c>
      <c r="J5928">
        <f>IF(B5928,IF(Dist="Normal",DistA+DistB*I5928,DistA+(DistB-DistA)*NORMSDIST(I5928)),"")</f>
        <v/>
      </c>
      <c r="K5928">
        <f>IF(B5928,INDEX(MineScale,C5928),"")</f>
        <v/>
      </c>
      <c r="L5928">
        <f>IF(B5928,INDEX(Dow,1,WEEKDAY(E5928,2)),"")</f>
        <v/>
      </c>
      <c r="M5928">
        <f>IF(B5928,(1+Trend)^D5928,"")</f>
        <v/>
      </c>
      <c r="N5928">
        <f>IF(B5928,EXP(SUMPRODUCT(LN(1+(EvEff-1)*INDEX(Affected,0,C5928)*EXP(-((E5928-EvCenter)^2)/(2*EvSigma^2))))),"")</f>
        <v/>
      </c>
      <c r="O5928">
        <f>IF(B5928,ROUND(MAX(0,J5928*K5928*L5928*M5928*N5928),2),"")</f>
        <v/>
      </c>
    </row>
    <row r="5929">
      <c r="A5929" t="n">
        <v>5928</v>
      </c>
      <c r="B5929">
        <f>A5929&lt;=MineCount*Days</f>
        <v/>
      </c>
      <c r="C5929">
        <f>IF(B5929,INT((A5929-1)/Days)+1,"")</f>
        <v/>
      </c>
      <c r="D5929">
        <f>IF(B5929,MOD(A5929-1,Days),"")</f>
        <v/>
      </c>
      <c r="E5929" s="16">
        <f>IF(B5929,StartDate+D5929,"")</f>
        <v/>
      </c>
      <c r="F5929">
        <f>IF(B5929,MAX(MOD(SIN(Seed*0.1373+C5929*12.9898+D5929*78.233)*43758.5453,1),1E-9),"")</f>
        <v/>
      </c>
      <c r="G5929">
        <f>IF(B5929,MOD(SIN(Seed*0.5917+C5929*39.3468+D5929*11.135)*24634.6345,1),"")</f>
        <v/>
      </c>
      <c r="H5929">
        <f>IF(B5929,SQRT(-2*LN(F5929))*COS(2*PI()*G5929),"")</f>
        <v/>
      </c>
      <c r="I5929">
        <f>IF(B5929,IF(D5929=0,H5929,Rho*I5928+SQRT(1-Rho^2)*H5929),"")</f>
        <v/>
      </c>
      <c r="J5929">
        <f>IF(B5929,IF(Dist="Normal",DistA+DistB*I5929,DistA+(DistB-DistA)*NORMSDIST(I5929)),"")</f>
        <v/>
      </c>
      <c r="K5929">
        <f>IF(B5929,INDEX(MineScale,C5929),"")</f>
        <v/>
      </c>
      <c r="L5929">
        <f>IF(B5929,INDEX(Dow,1,WEEKDAY(E5929,2)),"")</f>
        <v/>
      </c>
      <c r="M5929">
        <f>IF(B5929,(1+Trend)^D5929,"")</f>
        <v/>
      </c>
      <c r="N5929">
        <f>IF(B5929,EXP(SUMPRODUCT(LN(1+(EvEff-1)*INDEX(Affected,0,C5929)*EXP(-((E5929-EvCenter)^2)/(2*EvSigma^2))))),"")</f>
        <v/>
      </c>
      <c r="O5929">
        <f>IF(B5929,ROUND(MAX(0,J5929*K5929*L5929*M5929*N5929),2),"")</f>
        <v/>
      </c>
    </row>
    <row r="5930">
      <c r="A5930" t="n">
        <v>5929</v>
      </c>
      <c r="B5930">
        <f>A5930&lt;=MineCount*Days</f>
        <v/>
      </c>
      <c r="C5930">
        <f>IF(B5930,INT((A5930-1)/Days)+1,"")</f>
        <v/>
      </c>
      <c r="D5930">
        <f>IF(B5930,MOD(A5930-1,Days),"")</f>
        <v/>
      </c>
      <c r="E5930" s="16">
        <f>IF(B5930,StartDate+D5930,"")</f>
        <v/>
      </c>
      <c r="F5930">
        <f>IF(B5930,MAX(MOD(SIN(Seed*0.1373+C5930*12.9898+D5930*78.233)*43758.5453,1),1E-9),"")</f>
        <v/>
      </c>
      <c r="G5930">
        <f>IF(B5930,MOD(SIN(Seed*0.5917+C5930*39.3468+D5930*11.135)*24634.6345,1),"")</f>
        <v/>
      </c>
      <c r="H5930">
        <f>IF(B5930,SQRT(-2*LN(F5930))*COS(2*PI()*G5930),"")</f>
        <v/>
      </c>
      <c r="I5930">
        <f>IF(B5930,IF(D5930=0,H5930,Rho*I5929+SQRT(1-Rho^2)*H5930),"")</f>
        <v/>
      </c>
      <c r="J5930">
        <f>IF(B5930,IF(Dist="Normal",DistA+DistB*I5930,DistA+(DistB-DistA)*NORMSDIST(I5930)),"")</f>
        <v/>
      </c>
      <c r="K5930">
        <f>IF(B5930,INDEX(MineScale,C5930),"")</f>
        <v/>
      </c>
      <c r="L5930">
        <f>IF(B5930,INDEX(Dow,1,WEEKDAY(E5930,2)),"")</f>
        <v/>
      </c>
      <c r="M5930">
        <f>IF(B5930,(1+Trend)^D5930,"")</f>
        <v/>
      </c>
      <c r="N5930">
        <f>IF(B5930,EXP(SUMPRODUCT(LN(1+(EvEff-1)*INDEX(Affected,0,C5930)*EXP(-((E5930-EvCenter)^2)/(2*EvSigma^2))))),"")</f>
        <v/>
      </c>
      <c r="O5930">
        <f>IF(B5930,ROUND(MAX(0,J5930*K5930*L5930*M5930*N5930),2),"")</f>
        <v/>
      </c>
    </row>
    <row r="5931">
      <c r="A5931" t="n">
        <v>5930</v>
      </c>
      <c r="B5931">
        <f>A5931&lt;=MineCount*Days</f>
        <v/>
      </c>
      <c r="C5931">
        <f>IF(B5931,INT((A5931-1)/Days)+1,"")</f>
        <v/>
      </c>
      <c r="D5931">
        <f>IF(B5931,MOD(A5931-1,Days),"")</f>
        <v/>
      </c>
      <c r="E5931" s="16">
        <f>IF(B5931,StartDate+D5931,"")</f>
        <v/>
      </c>
      <c r="F5931">
        <f>IF(B5931,MAX(MOD(SIN(Seed*0.1373+C5931*12.9898+D5931*78.233)*43758.5453,1),1E-9),"")</f>
        <v/>
      </c>
      <c r="G5931">
        <f>IF(B5931,MOD(SIN(Seed*0.5917+C5931*39.3468+D5931*11.135)*24634.6345,1),"")</f>
        <v/>
      </c>
      <c r="H5931">
        <f>IF(B5931,SQRT(-2*LN(F5931))*COS(2*PI()*G5931),"")</f>
        <v/>
      </c>
      <c r="I5931">
        <f>IF(B5931,IF(D5931=0,H5931,Rho*I5930+SQRT(1-Rho^2)*H5931),"")</f>
        <v/>
      </c>
      <c r="J5931">
        <f>IF(B5931,IF(Dist="Normal",DistA+DistB*I5931,DistA+(DistB-DistA)*NORMSDIST(I5931)),"")</f>
        <v/>
      </c>
      <c r="K5931">
        <f>IF(B5931,INDEX(MineScale,C5931),"")</f>
        <v/>
      </c>
      <c r="L5931">
        <f>IF(B5931,INDEX(Dow,1,WEEKDAY(E5931,2)),"")</f>
        <v/>
      </c>
      <c r="M5931">
        <f>IF(B5931,(1+Trend)^D5931,"")</f>
        <v/>
      </c>
      <c r="N5931">
        <f>IF(B5931,EXP(SUMPRODUCT(LN(1+(EvEff-1)*INDEX(Affected,0,C5931)*EXP(-((E5931-EvCenter)^2)/(2*EvSigma^2))))),"")</f>
        <v/>
      </c>
      <c r="O5931">
        <f>IF(B5931,ROUND(MAX(0,J5931*K5931*L5931*M5931*N5931),2),"")</f>
        <v/>
      </c>
    </row>
    <row r="5932">
      <c r="A5932" t="n">
        <v>5931</v>
      </c>
      <c r="B5932">
        <f>A5932&lt;=MineCount*Days</f>
        <v/>
      </c>
      <c r="C5932">
        <f>IF(B5932,INT((A5932-1)/Days)+1,"")</f>
        <v/>
      </c>
      <c r="D5932">
        <f>IF(B5932,MOD(A5932-1,Days),"")</f>
        <v/>
      </c>
      <c r="E5932" s="16">
        <f>IF(B5932,StartDate+D5932,"")</f>
        <v/>
      </c>
      <c r="F5932">
        <f>IF(B5932,MAX(MOD(SIN(Seed*0.1373+C5932*12.9898+D5932*78.233)*43758.5453,1),1E-9),"")</f>
        <v/>
      </c>
      <c r="G5932">
        <f>IF(B5932,MOD(SIN(Seed*0.5917+C5932*39.3468+D5932*11.135)*24634.6345,1),"")</f>
        <v/>
      </c>
      <c r="H5932">
        <f>IF(B5932,SQRT(-2*LN(F5932))*COS(2*PI()*G5932),"")</f>
        <v/>
      </c>
      <c r="I5932">
        <f>IF(B5932,IF(D5932=0,H5932,Rho*I5931+SQRT(1-Rho^2)*H5932),"")</f>
        <v/>
      </c>
      <c r="J5932">
        <f>IF(B5932,IF(Dist="Normal",DistA+DistB*I5932,DistA+(DistB-DistA)*NORMSDIST(I5932)),"")</f>
        <v/>
      </c>
      <c r="K5932">
        <f>IF(B5932,INDEX(MineScale,C5932),"")</f>
        <v/>
      </c>
      <c r="L5932">
        <f>IF(B5932,INDEX(Dow,1,WEEKDAY(E5932,2)),"")</f>
        <v/>
      </c>
      <c r="M5932">
        <f>IF(B5932,(1+Trend)^D5932,"")</f>
        <v/>
      </c>
      <c r="N5932">
        <f>IF(B5932,EXP(SUMPRODUCT(LN(1+(EvEff-1)*INDEX(Affected,0,C5932)*EXP(-((E5932-EvCenter)^2)/(2*EvSigma^2))))),"")</f>
        <v/>
      </c>
      <c r="O5932">
        <f>IF(B5932,ROUND(MAX(0,J5932*K5932*L5932*M5932*N5932),2),"")</f>
        <v/>
      </c>
    </row>
    <row r="5933">
      <c r="A5933" t="n">
        <v>5932</v>
      </c>
      <c r="B5933">
        <f>A5933&lt;=MineCount*Days</f>
        <v/>
      </c>
      <c r="C5933">
        <f>IF(B5933,INT((A5933-1)/Days)+1,"")</f>
        <v/>
      </c>
      <c r="D5933">
        <f>IF(B5933,MOD(A5933-1,Days),"")</f>
        <v/>
      </c>
      <c r="E5933" s="16">
        <f>IF(B5933,StartDate+D5933,"")</f>
        <v/>
      </c>
      <c r="F5933">
        <f>IF(B5933,MAX(MOD(SIN(Seed*0.1373+C5933*12.9898+D5933*78.233)*43758.5453,1),1E-9),"")</f>
        <v/>
      </c>
      <c r="G5933">
        <f>IF(B5933,MOD(SIN(Seed*0.5917+C5933*39.3468+D5933*11.135)*24634.6345,1),"")</f>
        <v/>
      </c>
      <c r="H5933">
        <f>IF(B5933,SQRT(-2*LN(F5933))*COS(2*PI()*G5933),"")</f>
        <v/>
      </c>
      <c r="I5933">
        <f>IF(B5933,IF(D5933=0,H5933,Rho*I5932+SQRT(1-Rho^2)*H5933),"")</f>
        <v/>
      </c>
      <c r="J5933">
        <f>IF(B5933,IF(Dist="Normal",DistA+DistB*I5933,DistA+(DistB-DistA)*NORMSDIST(I5933)),"")</f>
        <v/>
      </c>
      <c r="K5933">
        <f>IF(B5933,INDEX(MineScale,C5933),"")</f>
        <v/>
      </c>
      <c r="L5933">
        <f>IF(B5933,INDEX(Dow,1,WEEKDAY(E5933,2)),"")</f>
        <v/>
      </c>
      <c r="M5933">
        <f>IF(B5933,(1+Trend)^D5933,"")</f>
        <v/>
      </c>
      <c r="N5933">
        <f>IF(B5933,EXP(SUMPRODUCT(LN(1+(EvEff-1)*INDEX(Affected,0,C5933)*EXP(-((E5933-EvCenter)^2)/(2*EvSigma^2))))),"")</f>
        <v/>
      </c>
      <c r="O5933">
        <f>IF(B5933,ROUND(MAX(0,J5933*K5933*L5933*M5933*N5933),2),"")</f>
        <v/>
      </c>
    </row>
    <row r="5934">
      <c r="A5934" t="n">
        <v>5933</v>
      </c>
      <c r="B5934">
        <f>A5934&lt;=MineCount*Days</f>
        <v/>
      </c>
      <c r="C5934">
        <f>IF(B5934,INT((A5934-1)/Days)+1,"")</f>
        <v/>
      </c>
      <c r="D5934">
        <f>IF(B5934,MOD(A5934-1,Days),"")</f>
        <v/>
      </c>
      <c r="E5934" s="16">
        <f>IF(B5934,StartDate+D5934,"")</f>
        <v/>
      </c>
      <c r="F5934">
        <f>IF(B5934,MAX(MOD(SIN(Seed*0.1373+C5934*12.9898+D5934*78.233)*43758.5453,1),1E-9),"")</f>
        <v/>
      </c>
      <c r="G5934">
        <f>IF(B5934,MOD(SIN(Seed*0.5917+C5934*39.3468+D5934*11.135)*24634.6345,1),"")</f>
        <v/>
      </c>
      <c r="H5934">
        <f>IF(B5934,SQRT(-2*LN(F5934))*COS(2*PI()*G5934),"")</f>
        <v/>
      </c>
      <c r="I5934">
        <f>IF(B5934,IF(D5934=0,H5934,Rho*I5933+SQRT(1-Rho^2)*H5934),"")</f>
        <v/>
      </c>
      <c r="J5934">
        <f>IF(B5934,IF(Dist="Normal",DistA+DistB*I5934,DistA+(DistB-DistA)*NORMSDIST(I5934)),"")</f>
        <v/>
      </c>
      <c r="K5934">
        <f>IF(B5934,INDEX(MineScale,C5934),"")</f>
        <v/>
      </c>
      <c r="L5934">
        <f>IF(B5934,INDEX(Dow,1,WEEKDAY(E5934,2)),"")</f>
        <v/>
      </c>
      <c r="M5934">
        <f>IF(B5934,(1+Trend)^D5934,"")</f>
        <v/>
      </c>
      <c r="N5934">
        <f>IF(B5934,EXP(SUMPRODUCT(LN(1+(EvEff-1)*INDEX(Affected,0,C5934)*EXP(-((E5934-EvCenter)^2)/(2*EvSigma^2))))),"")</f>
        <v/>
      </c>
      <c r="O5934">
        <f>IF(B5934,ROUND(MAX(0,J5934*K5934*L5934*M5934*N5934),2),"")</f>
        <v/>
      </c>
    </row>
    <row r="5935">
      <c r="A5935" t="n">
        <v>5934</v>
      </c>
      <c r="B5935">
        <f>A5935&lt;=MineCount*Days</f>
        <v/>
      </c>
      <c r="C5935">
        <f>IF(B5935,INT((A5935-1)/Days)+1,"")</f>
        <v/>
      </c>
      <c r="D5935">
        <f>IF(B5935,MOD(A5935-1,Days),"")</f>
        <v/>
      </c>
      <c r="E5935" s="16">
        <f>IF(B5935,StartDate+D5935,"")</f>
        <v/>
      </c>
      <c r="F5935">
        <f>IF(B5935,MAX(MOD(SIN(Seed*0.1373+C5935*12.9898+D5935*78.233)*43758.5453,1),1E-9),"")</f>
        <v/>
      </c>
      <c r="G5935">
        <f>IF(B5935,MOD(SIN(Seed*0.5917+C5935*39.3468+D5935*11.135)*24634.6345,1),"")</f>
        <v/>
      </c>
      <c r="H5935">
        <f>IF(B5935,SQRT(-2*LN(F5935))*COS(2*PI()*G5935),"")</f>
        <v/>
      </c>
      <c r="I5935">
        <f>IF(B5935,IF(D5935=0,H5935,Rho*I5934+SQRT(1-Rho^2)*H5935),"")</f>
        <v/>
      </c>
      <c r="J5935">
        <f>IF(B5935,IF(Dist="Normal",DistA+DistB*I5935,DistA+(DistB-DistA)*NORMSDIST(I5935)),"")</f>
        <v/>
      </c>
      <c r="K5935">
        <f>IF(B5935,INDEX(MineScale,C5935),"")</f>
        <v/>
      </c>
      <c r="L5935">
        <f>IF(B5935,INDEX(Dow,1,WEEKDAY(E5935,2)),"")</f>
        <v/>
      </c>
      <c r="M5935">
        <f>IF(B5935,(1+Trend)^D5935,"")</f>
        <v/>
      </c>
      <c r="N5935">
        <f>IF(B5935,EXP(SUMPRODUCT(LN(1+(EvEff-1)*INDEX(Affected,0,C5935)*EXP(-((E5935-EvCenter)^2)/(2*EvSigma^2))))),"")</f>
        <v/>
      </c>
      <c r="O5935">
        <f>IF(B5935,ROUND(MAX(0,J5935*K5935*L5935*M5935*N5935),2),"")</f>
        <v/>
      </c>
    </row>
    <row r="5936">
      <c r="A5936" t="n">
        <v>5935</v>
      </c>
      <c r="B5936">
        <f>A5936&lt;=MineCount*Days</f>
        <v/>
      </c>
      <c r="C5936">
        <f>IF(B5936,INT((A5936-1)/Days)+1,"")</f>
        <v/>
      </c>
      <c r="D5936">
        <f>IF(B5936,MOD(A5936-1,Days),"")</f>
        <v/>
      </c>
      <c r="E5936" s="16">
        <f>IF(B5936,StartDate+D5936,"")</f>
        <v/>
      </c>
      <c r="F5936">
        <f>IF(B5936,MAX(MOD(SIN(Seed*0.1373+C5936*12.9898+D5936*78.233)*43758.5453,1),1E-9),"")</f>
        <v/>
      </c>
      <c r="G5936">
        <f>IF(B5936,MOD(SIN(Seed*0.5917+C5936*39.3468+D5936*11.135)*24634.6345,1),"")</f>
        <v/>
      </c>
      <c r="H5936">
        <f>IF(B5936,SQRT(-2*LN(F5936))*COS(2*PI()*G5936),"")</f>
        <v/>
      </c>
      <c r="I5936">
        <f>IF(B5936,IF(D5936=0,H5936,Rho*I5935+SQRT(1-Rho^2)*H5936),"")</f>
        <v/>
      </c>
      <c r="J5936">
        <f>IF(B5936,IF(Dist="Normal",DistA+DistB*I5936,DistA+(DistB-DistA)*NORMSDIST(I5936)),"")</f>
        <v/>
      </c>
      <c r="K5936">
        <f>IF(B5936,INDEX(MineScale,C5936),"")</f>
        <v/>
      </c>
      <c r="L5936">
        <f>IF(B5936,INDEX(Dow,1,WEEKDAY(E5936,2)),"")</f>
        <v/>
      </c>
      <c r="M5936">
        <f>IF(B5936,(1+Trend)^D5936,"")</f>
        <v/>
      </c>
      <c r="N5936">
        <f>IF(B5936,EXP(SUMPRODUCT(LN(1+(EvEff-1)*INDEX(Affected,0,C5936)*EXP(-((E5936-EvCenter)^2)/(2*EvSigma^2))))),"")</f>
        <v/>
      </c>
      <c r="O5936">
        <f>IF(B5936,ROUND(MAX(0,J5936*K5936*L5936*M5936*N5936),2),"")</f>
        <v/>
      </c>
    </row>
    <row r="5937">
      <c r="A5937" t="n">
        <v>5936</v>
      </c>
      <c r="B5937">
        <f>A5937&lt;=MineCount*Days</f>
        <v/>
      </c>
      <c r="C5937">
        <f>IF(B5937,INT((A5937-1)/Days)+1,"")</f>
        <v/>
      </c>
      <c r="D5937">
        <f>IF(B5937,MOD(A5937-1,Days),"")</f>
        <v/>
      </c>
      <c r="E5937" s="16">
        <f>IF(B5937,StartDate+D5937,"")</f>
        <v/>
      </c>
      <c r="F5937">
        <f>IF(B5937,MAX(MOD(SIN(Seed*0.1373+C5937*12.9898+D5937*78.233)*43758.5453,1),1E-9),"")</f>
        <v/>
      </c>
      <c r="G5937">
        <f>IF(B5937,MOD(SIN(Seed*0.5917+C5937*39.3468+D5937*11.135)*24634.6345,1),"")</f>
        <v/>
      </c>
      <c r="H5937">
        <f>IF(B5937,SQRT(-2*LN(F5937))*COS(2*PI()*G5937),"")</f>
        <v/>
      </c>
      <c r="I5937">
        <f>IF(B5937,IF(D5937=0,H5937,Rho*I5936+SQRT(1-Rho^2)*H5937),"")</f>
        <v/>
      </c>
      <c r="J5937">
        <f>IF(B5937,IF(Dist="Normal",DistA+DistB*I5937,DistA+(DistB-DistA)*NORMSDIST(I5937)),"")</f>
        <v/>
      </c>
      <c r="K5937">
        <f>IF(B5937,INDEX(MineScale,C5937),"")</f>
        <v/>
      </c>
      <c r="L5937">
        <f>IF(B5937,INDEX(Dow,1,WEEKDAY(E5937,2)),"")</f>
        <v/>
      </c>
      <c r="M5937">
        <f>IF(B5937,(1+Trend)^D5937,"")</f>
        <v/>
      </c>
      <c r="N5937">
        <f>IF(B5937,EXP(SUMPRODUCT(LN(1+(EvEff-1)*INDEX(Affected,0,C5937)*EXP(-((E5937-EvCenter)^2)/(2*EvSigma^2))))),"")</f>
        <v/>
      </c>
      <c r="O5937">
        <f>IF(B5937,ROUND(MAX(0,J5937*K5937*L5937*M5937*N5937),2),"")</f>
        <v/>
      </c>
    </row>
    <row r="5938">
      <c r="A5938" t="n">
        <v>5937</v>
      </c>
      <c r="B5938">
        <f>A5938&lt;=MineCount*Days</f>
        <v/>
      </c>
      <c r="C5938">
        <f>IF(B5938,INT((A5938-1)/Days)+1,"")</f>
        <v/>
      </c>
      <c r="D5938">
        <f>IF(B5938,MOD(A5938-1,Days),"")</f>
        <v/>
      </c>
      <c r="E5938" s="16">
        <f>IF(B5938,StartDate+D5938,"")</f>
        <v/>
      </c>
      <c r="F5938">
        <f>IF(B5938,MAX(MOD(SIN(Seed*0.1373+C5938*12.9898+D5938*78.233)*43758.5453,1),1E-9),"")</f>
        <v/>
      </c>
      <c r="G5938">
        <f>IF(B5938,MOD(SIN(Seed*0.5917+C5938*39.3468+D5938*11.135)*24634.6345,1),"")</f>
        <v/>
      </c>
      <c r="H5938">
        <f>IF(B5938,SQRT(-2*LN(F5938))*COS(2*PI()*G5938),"")</f>
        <v/>
      </c>
      <c r="I5938">
        <f>IF(B5938,IF(D5938=0,H5938,Rho*I5937+SQRT(1-Rho^2)*H5938),"")</f>
        <v/>
      </c>
      <c r="J5938">
        <f>IF(B5938,IF(Dist="Normal",DistA+DistB*I5938,DistA+(DistB-DistA)*NORMSDIST(I5938)),"")</f>
        <v/>
      </c>
      <c r="K5938">
        <f>IF(B5938,INDEX(MineScale,C5938),"")</f>
        <v/>
      </c>
      <c r="L5938">
        <f>IF(B5938,INDEX(Dow,1,WEEKDAY(E5938,2)),"")</f>
        <v/>
      </c>
      <c r="M5938">
        <f>IF(B5938,(1+Trend)^D5938,"")</f>
        <v/>
      </c>
      <c r="N5938">
        <f>IF(B5938,EXP(SUMPRODUCT(LN(1+(EvEff-1)*INDEX(Affected,0,C5938)*EXP(-((E5938-EvCenter)^2)/(2*EvSigma^2))))),"")</f>
        <v/>
      </c>
      <c r="O5938">
        <f>IF(B5938,ROUND(MAX(0,J5938*K5938*L5938*M5938*N5938),2),"")</f>
        <v/>
      </c>
    </row>
    <row r="5939">
      <c r="A5939" t="n">
        <v>5938</v>
      </c>
      <c r="B5939">
        <f>A5939&lt;=MineCount*Days</f>
        <v/>
      </c>
      <c r="C5939">
        <f>IF(B5939,INT((A5939-1)/Days)+1,"")</f>
        <v/>
      </c>
      <c r="D5939">
        <f>IF(B5939,MOD(A5939-1,Days),"")</f>
        <v/>
      </c>
      <c r="E5939" s="16">
        <f>IF(B5939,StartDate+D5939,"")</f>
        <v/>
      </c>
      <c r="F5939">
        <f>IF(B5939,MAX(MOD(SIN(Seed*0.1373+C5939*12.9898+D5939*78.233)*43758.5453,1),1E-9),"")</f>
        <v/>
      </c>
      <c r="G5939">
        <f>IF(B5939,MOD(SIN(Seed*0.5917+C5939*39.3468+D5939*11.135)*24634.6345,1),"")</f>
        <v/>
      </c>
      <c r="H5939">
        <f>IF(B5939,SQRT(-2*LN(F5939))*COS(2*PI()*G5939),"")</f>
        <v/>
      </c>
      <c r="I5939">
        <f>IF(B5939,IF(D5939=0,H5939,Rho*I5938+SQRT(1-Rho^2)*H5939),"")</f>
        <v/>
      </c>
      <c r="J5939">
        <f>IF(B5939,IF(Dist="Normal",DistA+DistB*I5939,DistA+(DistB-DistA)*NORMSDIST(I5939)),"")</f>
        <v/>
      </c>
      <c r="K5939">
        <f>IF(B5939,INDEX(MineScale,C5939),"")</f>
        <v/>
      </c>
      <c r="L5939">
        <f>IF(B5939,INDEX(Dow,1,WEEKDAY(E5939,2)),"")</f>
        <v/>
      </c>
      <c r="M5939">
        <f>IF(B5939,(1+Trend)^D5939,"")</f>
        <v/>
      </c>
      <c r="N5939">
        <f>IF(B5939,EXP(SUMPRODUCT(LN(1+(EvEff-1)*INDEX(Affected,0,C5939)*EXP(-((E5939-EvCenter)^2)/(2*EvSigma^2))))),"")</f>
        <v/>
      </c>
      <c r="O5939">
        <f>IF(B5939,ROUND(MAX(0,J5939*K5939*L5939*M5939*N5939),2),"")</f>
        <v/>
      </c>
    </row>
    <row r="5940">
      <c r="A5940" t="n">
        <v>5939</v>
      </c>
      <c r="B5940">
        <f>A5940&lt;=MineCount*Days</f>
        <v/>
      </c>
      <c r="C5940">
        <f>IF(B5940,INT((A5940-1)/Days)+1,"")</f>
        <v/>
      </c>
      <c r="D5940">
        <f>IF(B5940,MOD(A5940-1,Days),"")</f>
        <v/>
      </c>
      <c r="E5940" s="16">
        <f>IF(B5940,StartDate+D5940,"")</f>
        <v/>
      </c>
      <c r="F5940">
        <f>IF(B5940,MAX(MOD(SIN(Seed*0.1373+C5940*12.9898+D5940*78.233)*43758.5453,1),1E-9),"")</f>
        <v/>
      </c>
      <c r="G5940">
        <f>IF(B5940,MOD(SIN(Seed*0.5917+C5940*39.3468+D5940*11.135)*24634.6345,1),"")</f>
        <v/>
      </c>
      <c r="H5940">
        <f>IF(B5940,SQRT(-2*LN(F5940))*COS(2*PI()*G5940),"")</f>
        <v/>
      </c>
      <c r="I5940">
        <f>IF(B5940,IF(D5940=0,H5940,Rho*I5939+SQRT(1-Rho^2)*H5940),"")</f>
        <v/>
      </c>
      <c r="J5940">
        <f>IF(B5940,IF(Dist="Normal",DistA+DistB*I5940,DistA+(DistB-DistA)*NORMSDIST(I5940)),"")</f>
        <v/>
      </c>
      <c r="K5940">
        <f>IF(B5940,INDEX(MineScale,C5940),"")</f>
        <v/>
      </c>
      <c r="L5940">
        <f>IF(B5940,INDEX(Dow,1,WEEKDAY(E5940,2)),"")</f>
        <v/>
      </c>
      <c r="M5940">
        <f>IF(B5940,(1+Trend)^D5940,"")</f>
        <v/>
      </c>
      <c r="N5940">
        <f>IF(B5940,EXP(SUMPRODUCT(LN(1+(EvEff-1)*INDEX(Affected,0,C5940)*EXP(-((E5940-EvCenter)^2)/(2*EvSigma^2))))),"")</f>
        <v/>
      </c>
      <c r="O5940">
        <f>IF(B5940,ROUND(MAX(0,J5940*K5940*L5940*M5940*N5940),2),"")</f>
        <v/>
      </c>
    </row>
    <row r="5941">
      <c r="A5941" t="n">
        <v>5940</v>
      </c>
      <c r="B5941">
        <f>A5941&lt;=MineCount*Days</f>
        <v/>
      </c>
      <c r="C5941">
        <f>IF(B5941,INT((A5941-1)/Days)+1,"")</f>
        <v/>
      </c>
      <c r="D5941">
        <f>IF(B5941,MOD(A5941-1,Days),"")</f>
        <v/>
      </c>
      <c r="E5941" s="16">
        <f>IF(B5941,StartDate+D5941,"")</f>
        <v/>
      </c>
      <c r="F5941">
        <f>IF(B5941,MAX(MOD(SIN(Seed*0.1373+C5941*12.9898+D5941*78.233)*43758.5453,1),1E-9),"")</f>
        <v/>
      </c>
      <c r="G5941">
        <f>IF(B5941,MOD(SIN(Seed*0.5917+C5941*39.3468+D5941*11.135)*24634.6345,1),"")</f>
        <v/>
      </c>
      <c r="H5941">
        <f>IF(B5941,SQRT(-2*LN(F5941))*COS(2*PI()*G5941),"")</f>
        <v/>
      </c>
      <c r="I5941">
        <f>IF(B5941,IF(D5941=0,H5941,Rho*I5940+SQRT(1-Rho^2)*H5941),"")</f>
        <v/>
      </c>
      <c r="J5941">
        <f>IF(B5941,IF(Dist="Normal",DistA+DistB*I5941,DistA+(DistB-DistA)*NORMSDIST(I5941)),"")</f>
        <v/>
      </c>
      <c r="K5941">
        <f>IF(B5941,INDEX(MineScale,C5941),"")</f>
        <v/>
      </c>
      <c r="L5941">
        <f>IF(B5941,INDEX(Dow,1,WEEKDAY(E5941,2)),"")</f>
        <v/>
      </c>
      <c r="M5941">
        <f>IF(B5941,(1+Trend)^D5941,"")</f>
        <v/>
      </c>
      <c r="N5941">
        <f>IF(B5941,EXP(SUMPRODUCT(LN(1+(EvEff-1)*INDEX(Affected,0,C5941)*EXP(-((E5941-EvCenter)^2)/(2*EvSigma^2))))),"")</f>
        <v/>
      </c>
      <c r="O5941">
        <f>IF(B5941,ROUND(MAX(0,J5941*K5941*L5941*M5941*N5941),2),"")</f>
        <v/>
      </c>
    </row>
    <row r="5942">
      <c r="A5942" t="n">
        <v>5941</v>
      </c>
      <c r="B5942">
        <f>A5942&lt;=MineCount*Days</f>
        <v/>
      </c>
      <c r="C5942">
        <f>IF(B5942,INT((A5942-1)/Days)+1,"")</f>
        <v/>
      </c>
      <c r="D5942">
        <f>IF(B5942,MOD(A5942-1,Days),"")</f>
        <v/>
      </c>
      <c r="E5942" s="16">
        <f>IF(B5942,StartDate+D5942,"")</f>
        <v/>
      </c>
      <c r="F5942">
        <f>IF(B5942,MAX(MOD(SIN(Seed*0.1373+C5942*12.9898+D5942*78.233)*43758.5453,1),1E-9),"")</f>
        <v/>
      </c>
      <c r="G5942">
        <f>IF(B5942,MOD(SIN(Seed*0.5917+C5942*39.3468+D5942*11.135)*24634.6345,1),"")</f>
        <v/>
      </c>
      <c r="H5942">
        <f>IF(B5942,SQRT(-2*LN(F5942))*COS(2*PI()*G5942),"")</f>
        <v/>
      </c>
      <c r="I5942">
        <f>IF(B5942,IF(D5942=0,H5942,Rho*I5941+SQRT(1-Rho^2)*H5942),"")</f>
        <v/>
      </c>
      <c r="J5942">
        <f>IF(B5942,IF(Dist="Normal",DistA+DistB*I5942,DistA+(DistB-DistA)*NORMSDIST(I5942)),"")</f>
        <v/>
      </c>
      <c r="K5942">
        <f>IF(B5942,INDEX(MineScale,C5942),"")</f>
        <v/>
      </c>
      <c r="L5942">
        <f>IF(B5942,INDEX(Dow,1,WEEKDAY(E5942,2)),"")</f>
        <v/>
      </c>
      <c r="M5942">
        <f>IF(B5942,(1+Trend)^D5942,"")</f>
        <v/>
      </c>
      <c r="N5942">
        <f>IF(B5942,EXP(SUMPRODUCT(LN(1+(EvEff-1)*INDEX(Affected,0,C5942)*EXP(-((E5942-EvCenter)^2)/(2*EvSigma^2))))),"")</f>
        <v/>
      </c>
      <c r="O5942">
        <f>IF(B5942,ROUND(MAX(0,J5942*K5942*L5942*M5942*N5942),2),"")</f>
        <v/>
      </c>
    </row>
    <row r="5943">
      <c r="A5943" t="n">
        <v>5942</v>
      </c>
      <c r="B5943">
        <f>A5943&lt;=MineCount*Days</f>
        <v/>
      </c>
      <c r="C5943">
        <f>IF(B5943,INT((A5943-1)/Days)+1,"")</f>
        <v/>
      </c>
      <c r="D5943">
        <f>IF(B5943,MOD(A5943-1,Days),"")</f>
        <v/>
      </c>
      <c r="E5943" s="16">
        <f>IF(B5943,StartDate+D5943,"")</f>
        <v/>
      </c>
      <c r="F5943">
        <f>IF(B5943,MAX(MOD(SIN(Seed*0.1373+C5943*12.9898+D5943*78.233)*43758.5453,1),1E-9),"")</f>
        <v/>
      </c>
      <c r="G5943">
        <f>IF(B5943,MOD(SIN(Seed*0.5917+C5943*39.3468+D5943*11.135)*24634.6345,1),"")</f>
        <v/>
      </c>
      <c r="H5943">
        <f>IF(B5943,SQRT(-2*LN(F5943))*COS(2*PI()*G5943),"")</f>
        <v/>
      </c>
      <c r="I5943">
        <f>IF(B5943,IF(D5943=0,H5943,Rho*I5942+SQRT(1-Rho^2)*H5943),"")</f>
        <v/>
      </c>
      <c r="J5943">
        <f>IF(B5943,IF(Dist="Normal",DistA+DistB*I5943,DistA+(DistB-DistA)*NORMSDIST(I5943)),"")</f>
        <v/>
      </c>
      <c r="K5943">
        <f>IF(B5943,INDEX(MineScale,C5943),"")</f>
        <v/>
      </c>
      <c r="L5943">
        <f>IF(B5943,INDEX(Dow,1,WEEKDAY(E5943,2)),"")</f>
        <v/>
      </c>
      <c r="M5943">
        <f>IF(B5943,(1+Trend)^D5943,"")</f>
        <v/>
      </c>
      <c r="N5943">
        <f>IF(B5943,EXP(SUMPRODUCT(LN(1+(EvEff-1)*INDEX(Affected,0,C5943)*EXP(-((E5943-EvCenter)^2)/(2*EvSigma^2))))),"")</f>
        <v/>
      </c>
      <c r="O5943">
        <f>IF(B5943,ROUND(MAX(0,J5943*K5943*L5943*M5943*N5943),2),"")</f>
        <v/>
      </c>
    </row>
    <row r="5944">
      <c r="A5944" t="n">
        <v>5943</v>
      </c>
      <c r="B5944">
        <f>A5944&lt;=MineCount*Days</f>
        <v/>
      </c>
      <c r="C5944">
        <f>IF(B5944,INT((A5944-1)/Days)+1,"")</f>
        <v/>
      </c>
      <c r="D5944">
        <f>IF(B5944,MOD(A5944-1,Days),"")</f>
        <v/>
      </c>
      <c r="E5944" s="16">
        <f>IF(B5944,StartDate+D5944,"")</f>
        <v/>
      </c>
      <c r="F5944">
        <f>IF(B5944,MAX(MOD(SIN(Seed*0.1373+C5944*12.9898+D5944*78.233)*43758.5453,1),1E-9),"")</f>
        <v/>
      </c>
      <c r="G5944">
        <f>IF(B5944,MOD(SIN(Seed*0.5917+C5944*39.3468+D5944*11.135)*24634.6345,1),"")</f>
        <v/>
      </c>
      <c r="H5944">
        <f>IF(B5944,SQRT(-2*LN(F5944))*COS(2*PI()*G5944),"")</f>
        <v/>
      </c>
      <c r="I5944">
        <f>IF(B5944,IF(D5944=0,H5944,Rho*I5943+SQRT(1-Rho^2)*H5944),"")</f>
        <v/>
      </c>
      <c r="J5944">
        <f>IF(B5944,IF(Dist="Normal",DistA+DistB*I5944,DistA+(DistB-DistA)*NORMSDIST(I5944)),"")</f>
        <v/>
      </c>
      <c r="K5944">
        <f>IF(B5944,INDEX(MineScale,C5944),"")</f>
        <v/>
      </c>
      <c r="L5944">
        <f>IF(B5944,INDEX(Dow,1,WEEKDAY(E5944,2)),"")</f>
        <v/>
      </c>
      <c r="M5944">
        <f>IF(B5944,(1+Trend)^D5944,"")</f>
        <v/>
      </c>
      <c r="N5944">
        <f>IF(B5944,EXP(SUMPRODUCT(LN(1+(EvEff-1)*INDEX(Affected,0,C5944)*EXP(-((E5944-EvCenter)^2)/(2*EvSigma^2))))),"")</f>
        <v/>
      </c>
      <c r="O5944">
        <f>IF(B5944,ROUND(MAX(0,J5944*K5944*L5944*M5944*N5944),2),"")</f>
        <v/>
      </c>
    </row>
    <row r="5945">
      <c r="A5945" t="n">
        <v>5944</v>
      </c>
      <c r="B5945">
        <f>A5945&lt;=MineCount*Days</f>
        <v/>
      </c>
      <c r="C5945">
        <f>IF(B5945,INT((A5945-1)/Days)+1,"")</f>
        <v/>
      </c>
      <c r="D5945">
        <f>IF(B5945,MOD(A5945-1,Days),"")</f>
        <v/>
      </c>
      <c r="E5945" s="16">
        <f>IF(B5945,StartDate+D5945,"")</f>
        <v/>
      </c>
      <c r="F5945">
        <f>IF(B5945,MAX(MOD(SIN(Seed*0.1373+C5945*12.9898+D5945*78.233)*43758.5453,1),1E-9),"")</f>
        <v/>
      </c>
      <c r="G5945">
        <f>IF(B5945,MOD(SIN(Seed*0.5917+C5945*39.3468+D5945*11.135)*24634.6345,1),"")</f>
        <v/>
      </c>
      <c r="H5945">
        <f>IF(B5945,SQRT(-2*LN(F5945))*COS(2*PI()*G5945),"")</f>
        <v/>
      </c>
      <c r="I5945">
        <f>IF(B5945,IF(D5945=0,H5945,Rho*I5944+SQRT(1-Rho^2)*H5945),"")</f>
        <v/>
      </c>
      <c r="J5945">
        <f>IF(B5945,IF(Dist="Normal",DistA+DistB*I5945,DistA+(DistB-DistA)*NORMSDIST(I5945)),"")</f>
        <v/>
      </c>
      <c r="K5945">
        <f>IF(B5945,INDEX(MineScale,C5945),"")</f>
        <v/>
      </c>
      <c r="L5945">
        <f>IF(B5945,INDEX(Dow,1,WEEKDAY(E5945,2)),"")</f>
        <v/>
      </c>
      <c r="M5945">
        <f>IF(B5945,(1+Trend)^D5945,"")</f>
        <v/>
      </c>
      <c r="N5945">
        <f>IF(B5945,EXP(SUMPRODUCT(LN(1+(EvEff-1)*INDEX(Affected,0,C5945)*EXP(-((E5945-EvCenter)^2)/(2*EvSigma^2))))),"")</f>
        <v/>
      </c>
      <c r="O5945">
        <f>IF(B5945,ROUND(MAX(0,J5945*K5945*L5945*M5945*N5945),2),"")</f>
        <v/>
      </c>
    </row>
    <row r="5946">
      <c r="A5946" t="n">
        <v>5945</v>
      </c>
      <c r="B5946">
        <f>A5946&lt;=MineCount*Days</f>
        <v/>
      </c>
      <c r="C5946">
        <f>IF(B5946,INT((A5946-1)/Days)+1,"")</f>
        <v/>
      </c>
      <c r="D5946">
        <f>IF(B5946,MOD(A5946-1,Days),"")</f>
        <v/>
      </c>
      <c r="E5946" s="16">
        <f>IF(B5946,StartDate+D5946,"")</f>
        <v/>
      </c>
      <c r="F5946">
        <f>IF(B5946,MAX(MOD(SIN(Seed*0.1373+C5946*12.9898+D5946*78.233)*43758.5453,1),1E-9),"")</f>
        <v/>
      </c>
      <c r="G5946">
        <f>IF(B5946,MOD(SIN(Seed*0.5917+C5946*39.3468+D5946*11.135)*24634.6345,1),"")</f>
        <v/>
      </c>
      <c r="H5946">
        <f>IF(B5946,SQRT(-2*LN(F5946))*COS(2*PI()*G5946),"")</f>
        <v/>
      </c>
      <c r="I5946">
        <f>IF(B5946,IF(D5946=0,H5946,Rho*I5945+SQRT(1-Rho^2)*H5946),"")</f>
        <v/>
      </c>
      <c r="J5946">
        <f>IF(B5946,IF(Dist="Normal",DistA+DistB*I5946,DistA+(DistB-DistA)*NORMSDIST(I5946)),"")</f>
        <v/>
      </c>
      <c r="K5946">
        <f>IF(B5946,INDEX(MineScale,C5946),"")</f>
        <v/>
      </c>
      <c r="L5946">
        <f>IF(B5946,INDEX(Dow,1,WEEKDAY(E5946,2)),"")</f>
        <v/>
      </c>
      <c r="M5946">
        <f>IF(B5946,(1+Trend)^D5946,"")</f>
        <v/>
      </c>
      <c r="N5946">
        <f>IF(B5946,EXP(SUMPRODUCT(LN(1+(EvEff-1)*INDEX(Affected,0,C5946)*EXP(-((E5946-EvCenter)^2)/(2*EvSigma^2))))),"")</f>
        <v/>
      </c>
      <c r="O5946">
        <f>IF(B5946,ROUND(MAX(0,J5946*K5946*L5946*M5946*N5946),2),"")</f>
        <v/>
      </c>
    </row>
    <row r="5947">
      <c r="A5947" t="n">
        <v>5946</v>
      </c>
      <c r="B5947">
        <f>A5947&lt;=MineCount*Days</f>
        <v/>
      </c>
      <c r="C5947">
        <f>IF(B5947,INT((A5947-1)/Days)+1,"")</f>
        <v/>
      </c>
      <c r="D5947">
        <f>IF(B5947,MOD(A5947-1,Days),"")</f>
        <v/>
      </c>
      <c r="E5947" s="16">
        <f>IF(B5947,StartDate+D5947,"")</f>
        <v/>
      </c>
      <c r="F5947">
        <f>IF(B5947,MAX(MOD(SIN(Seed*0.1373+C5947*12.9898+D5947*78.233)*43758.5453,1),1E-9),"")</f>
        <v/>
      </c>
      <c r="G5947">
        <f>IF(B5947,MOD(SIN(Seed*0.5917+C5947*39.3468+D5947*11.135)*24634.6345,1),"")</f>
        <v/>
      </c>
      <c r="H5947">
        <f>IF(B5947,SQRT(-2*LN(F5947))*COS(2*PI()*G5947),"")</f>
        <v/>
      </c>
      <c r="I5947">
        <f>IF(B5947,IF(D5947=0,H5947,Rho*I5946+SQRT(1-Rho^2)*H5947),"")</f>
        <v/>
      </c>
      <c r="J5947">
        <f>IF(B5947,IF(Dist="Normal",DistA+DistB*I5947,DistA+(DistB-DistA)*NORMSDIST(I5947)),"")</f>
        <v/>
      </c>
      <c r="K5947">
        <f>IF(B5947,INDEX(MineScale,C5947),"")</f>
        <v/>
      </c>
      <c r="L5947">
        <f>IF(B5947,INDEX(Dow,1,WEEKDAY(E5947,2)),"")</f>
        <v/>
      </c>
      <c r="M5947">
        <f>IF(B5947,(1+Trend)^D5947,"")</f>
        <v/>
      </c>
      <c r="N5947">
        <f>IF(B5947,EXP(SUMPRODUCT(LN(1+(EvEff-1)*INDEX(Affected,0,C5947)*EXP(-((E5947-EvCenter)^2)/(2*EvSigma^2))))),"")</f>
        <v/>
      </c>
      <c r="O5947">
        <f>IF(B5947,ROUND(MAX(0,J5947*K5947*L5947*M5947*N5947),2),"")</f>
        <v/>
      </c>
    </row>
    <row r="5948">
      <c r="A5948" t="n">
        <v>5947</v>
      </c>
      <c r="B5948">
        <f>A5948&lt;=MineCount*Days</f>
        <v/>
      </c>
      <c r="C5948">
        <f>IF(B5948,INT((A5948-1)/Days)+1,"")</f>
        <v/>
      </c>
      <c r="D5948">
        <f>IF(B5948,MOD(A5948-1,Days),"")</f>
        <v/>
      </c>
      <c r="E5948" s="16">
        <f>IF(B5948,StartDate+D5948,"")</f>
        <v/>
      </c>
      <c r="F5948">
        <f>IF(B5948,MAX(MOD(SIN(Seed*0.1373+C5948*12.9898+D5948*78.233)*43758.5453,1),1E-9),"")</f>
        <v/>
      </c>
      <c r="G5948">
        <f>IF(B5948,MOD(SIN(Seed*0.5917+C5948*39.3468+D5948*11.135)*24634.6345,1),"")</f>
        <v/>
      </c>
      <c r="H5948">
        <f>IF(B5948,SQRT(-2*LN(F5948))*COS(2*PI()*G5948),"")</f>
        <v/>
      </c>
      <c r="I5948">
        <f>IF(B5948,IF(D5948=0,H5948,Rho*I5947+SQRT(1-Rho^2)*H5948),"")</f>
        <v/>
      </c>
      <c r="J5948">
        <f>IF(B5948,IF(Dist="Normal",DistA+DistB*I5948,DistA+(DistB-DistA)*NORMSDIST(I5948)),"")</f>
        <v/>
      </c>
      <c r="K5948">
        <f>IF(B5948,INDEX(MineScale,C5948),"")</f>
        <v/>
      </c>
      <c r="L5948">
        <f>IF(B5948,INDEX(Dow,1,WEEKDAY(E5948,2)),"")</f>
        <v/>
      </c>
      <c r="M5948">
        <f>IF(B5948,(1+Trend)^D5948,"")</f>
        <v/>
      </c>
      <c r="N5948">
        <f>IF(B5948,EXP(SUMPRODUCT(LN(1+(EvEff-1)*INDEX(Affected,0,C5948)*EXP(-((E5948-EvCenter)^2)/(2*EvSigma^2))))),"")</f>
        <v/>
      </c>
      <c r="O5948">
        <f>IF(B5948,ROUND(MAX(0,J5948*K5948*L5948*M5948*N5948),2),"")</f>
        <v/>
      </c>
    </row>
    <row r="5949">
      <c r="A5949" t="n">
        <v>5948</v>
      </c>
      <c r="B5949">
        <f>A5949&lt;=MineCount*Days</f>
        <v/>
      </c>
      <c r="C5949">
        <f>IF(B5949,INT((A5949-1)/Days)+1,"")</f>
        <v/>
      </c>
      <c r="D5949">
        <f>IF(B5949,MOD(A5949-1,Days),"")</f>
        <v/>
      </c>
      <c r="E5949" s="16">
        <f>IF(B5949,StartDate+D5949,"")</f>
        <v/>
      </c>
      <c r="F5949">
        <f>IF(B5949,MAX(MOD(SIN(Seed*0.1373+C5949*12.9898+D5949*78.233)*43758.5453,1),1E-9),"")</f>
        <v/>
      </c>
      <c r="G5949">
        <f>IF(B5949,MOD(SIN(Seed*0.5917+C5949*39.3468+D5949*11.135)*24634.6345,1),"")</f>
        <v/>
      </c>
      <c r="H5949">
        <f>IF(B5949,SQRT(-2*LN(F5949))*COS(2*PI()*G5949),"")</f>
        <v/>
      </c>
      <c r="I5949">
        <f>IF(B5949,IF(D5949=0,H5949,Rho*I5948+SQRT(1-Rho^2)*H5949),"")</f>
        <v/>
      </c>
      <c r="J5949">
        <f>IF(B5949,IF(Dist="Normal",DistA+DistB*I5949,DistA+(DistB-DistA)*NORMSDIST(I5949)),"")</f>
        <v/>
      </c>
      <c r="K5949">
        <f>IF(B5949,INDEX(MineScale,C5949),"")</f>
        <v/>
      </c>
      <c r="L5949">
        <f>IF(B5949,INDEX(Dow,1,WEEKDAY(E5949,2)),"")</f>
        <v/>
      </c>
      <c r="M5949">
        <f>IF(B5949,(1+Trend)^D5949,"")</f>
        <v/>
      </c>
      <c r="N5949">
        <f>IF(B5949,EXP(SUMPRODUCT(LN(1+(EvEff-1)*INDEX(Affected,0,C5949)*EXP(-((E5949-EvCenter)^2)/(2*EvSigma^2))))),"")</f>
        <v/>
      </c>
      <c r="O5949">
        <f>IF(B5949,ROUND(MAX(0,J5949*K5949*L5949*M5949*N5949),2),"")</f>
        <v/>
      </c>
    </row>
    <row r="5950">
      <c r="A5950" t="n">
        <v>5949</v>
      </c>
      <c r="B5950">
        <f>A5950&lt;=MineCount*Days</f>
        <v/>
      </c>
      <c r="C5950">
        <f>IF(B5950,INT((A5950-1)/Days)+1,"")</f>
        <v/>
      </c>
      <c r="D5950">
        <f>IF(B5950,MOD(A5950-1,Days),"")</f>
        <v/>
      </c>
      <c r="E5950" s="16">
        <f>IF(B5950,StartDate+D5950,"")</f>
        <v/>
      </c>
      <c r="F5950">
        <f>IF(B5950,MAX(MOD(SIN(Seed*0.1373+C5950*12.9898+D5950*78.233)*43758.5453,1),1E-9),"")</f>
        <v/>
      </c>
      <c r="G5950">
        <f>IF(B5950,MOD(SIN(Seed*0.5917+C5950*39.3468+D5950*11.135)*24634.6345,1),"")</f>
        <v/>
      </c>
      <c r="H5950">
        <f>IF(B5950,SQRT(-2*LN(F5950))*COS(2*PI()*G5950),"")</f>
        <v/>
      </c>
      <c r="I5950">
        <f>IF(B5950,IF(D5950=0,H5950,Rho*I5949+SQRT(1-Rho^2)*H5950),"")</f>
        <v/>
      </c>
      <c r="J5950">
        <f>IF(B5950,IF(Dist="Normal",DistA+DistB*I5950,DistA+(DistB-DistA)*NORMSDIST(I5950)),"")</f>
        <v/>
      </c>
      <c r="K5950">
        <f>IF(B5950,INDEX(MineScale,C5950),"")</f>
        <v/>
      </c>
      <c r="L5950">
        <f>IF(B5950,INDEX(Dow,1,WEEKDAY(E5950,2)),"")</f>
        <v/>
      </c>
      <c r="M5950">
        <f>IF(B5950,(1+Trend)^D5950,"")</f>
        <v/>
      </c>
      <c r="N5950">
        <f>IF(B5950,EXP(SUMPRODUCT(LN(1+(EvEff-1)*INDEX(Affected,0,C5950)*EXP(-((E5950-EvCenter)^2)/(2*EvSigma^2))))),"")</f>
        <v/>
      </c>
      <c r="O5950">
        <f>IF(B5950,ROUND(MAX(0,J5950*K5950*L5950*M5950*N5950),2),"")</f>
        <v/>
      </c>
    </row>
    <row r="5951">
      <c r="A5951" t="n">
        <v>5950</v>
      </c>
      <c r="B5951">
        <f>A5951&lt;=MineCount*Days</f>
        <v/>
      </c>
      <c r="C5951">
        <f>IF(B5951,INT((A5951-1)/Days)+1,"")</f>
        <v/>
      </c>
      <c r="D5951">
        <f>IF(B5951,MOD(A5951-1,Days),"")</f>
        <v/>
      </c>
      <c r="E5951" s="16">
        <f>IF(B5951,StartDate+D5951,"")</f>
        <v/>
      </c>
      <c r="F5951">
        <f>IF(B5951,MAX(MOD(SIN(Seed*0.1373+C5951*12.9898+D5951*78.233)*43758.5453,1),1E-9),"")</f>
        <v/>
      </c>
      <c r="G5951">
        <f>IF(B5951,MOD(SIN(Seed*0.5917+C5951*39.3468+D5951*11.135)*24634.6345,1),"")</f>
        <v/>
      </c>
      <c r="H5951">
        <f>IF(B5951,SQRT(-2*LN(F5951))*COS(2*PI()*G5951),"")</f>
        <v/>
      </c>
      <c r="I5951">
        <f>IF(B5951,IF(D5951=0,H5951,Rho*I5950+SQRT(1-Rho^2)*H5951),"")</f>
        <v/>
      </c>
      <c r="J5951">
        <f>IF(B5951,IF(Dist="Normal",DistA+DistB*I5951,DistA+(DistB-DistA)*NORMSDIST(I5951)),"")</f>
        <v/>
      </c>
      <c r="K5951">
        <f>IF(B5951,INDEX(MineScale,C5951),"")</f>
        <v/>
      </c>
      <c r="L5951">
        <f>IF(B5951,INDEX(Dow,1,WEEKDAY(E5951,2)),"")</f>
        <v/>
      </c>
      <c r="M5951">
        <f>IF(B5951,(1+Trend)^D5951,"")</f>
        <v/>
      </c>
      <c r="N5951">
        <f>IF(B5951,EXP(SUMPRODUCT(LN(1+(EvEff-1)*INDEX(Affected,0,C5951)*EXP(-((E5951-EvCenter)^2)/(2*EvSigma^2))))),"")</f>
        <v/>
      </c>
      <c r="O5951">
        <f>IF(B5951,ROUND(MAX(0,J5951*K5951*L5951*M5951*N5951),2),"")</f>
        <v/>
      </c>
    </row>
    <row r="5952">
      <c r="A5952" t="n">
        <v>5951</v>
      </c>
      <c r="B5952">
        <f>A5952&lt;=MineCount*Days</f>
        <v/>
      </c>
      <c r="C5952">
        <f>IF(B5952,INT((A5952-1)/Days)+1,"")</f>
        <v/>
      </c>
      <c r="D5952">
        <f>IF(B5952,MOD(A5952-1,Days),"")</f>
        <v/>
      </c>
      <c r="E5952" s="16">
        <f>IF(B5952,StartDate+D5952,"")</f>
        <v/>
      </c>
      <c r="F5952">
        <f>IF(B5952,MAX(MOD(SIN(Seed*0.1373+C5952*12.9898+D5952*78.233)*43758.5453,1),1E-9),"")</f>
        <v/>
      </c>
      <c r="G5952">
        <f>IF(B5952,MOD(SIN(Seed*0.5917+C5952*39.3468+D5952*11.135)*24634.6345,1),"")</f>
        <v/>
      </c>
      <c r="H5952">
        <f>IF(B5952,SQRT(-2*LN(F5952))*COS(2*PI()*G5952),"")</f>
        <v/>
      </c>
      <c r="I5952">
        <f>IF(B5952,IF(D5952=0,H5952,Rho*I5951+SQRT(1-Rho^2)*H5952),"")</f>
        <v/>
      </c>
      <c r="J5952">
        <f>IF(B5952,IF(Dist="Normal",DistA+DistB*I5952,DistA+(DistB-DistA)*NORMSDIST(I5952)),"")</f>
        <v/>
      </c>
      <c r="K5952">
        <f>IF(B5952,INDEX(MineScale,C5952),"")</f>
        <v/>
      </c>
      <c r="L5952">
        <f>IF(B5952,INDEX(Dow,1,WEEKDAY(E5952,2)),"")</f>
        <v/>
      </c>
      <c r="M5952">
        <f>IF(B5952,(1+Trend)^D5952,"")</f>
        <v/>
      </c>
      <c r="N5952">
        <f>IF(B5952,EXP(SUMPRODUCT(LN(1+(EvEff-1)*INDEX(Affected,0,C5952)*EXP(-((E5952-EvCenter)^2)/(2*EvSigma^2))))),"")</f>
        <v/>
      </c>
      <c r="O5952">
        <f>IF(B5952,ROUND(MAX(0,J5952*K5952*L5952*M5952*N5952),2),"")</f>
        <v/>
      </c>
    </row>
    <row r="5953">
      <c r="A5953" t="n">
        <v>5952</v>
      </c>
      <c r="B5953">
        <f>A5953&lt;=MineCount*Days</f>
        <v/>
      </c>
      <c r="C5953">
        <f>IF(B5953,INT((A5953-1)/Days)+1,"")</f>
        <v/>
      </c>
      <c r="D5953">
        <f>IF(B5953,MOD(A5953-1,Days),"")</f>
        <v/>
      </c>
      <c r="E5953" s="16">
        <f>IF(B5953,StartDate+D5953,"")</f>
        <v/>
      </c>
      <c r="F5953">
        <f>IF(B5953,MAX(MOD(SIN(Seed*0.1373+C5953*12.9898+D5953*78.233)*43758.5453,1),1E-9),"")</f>
        <v/>
      </c>
      <c r="G5953">
        <f>IF(B5953,MOD(SIN(Seed*0.5917+C5953*39.3468+D5953*11.135)*24634.6345,1),"")</f>
        <v/>
      </c>
      <c r="H5953">
        <f>IF(B5953,SQRT(-2*LN(F5953))*COS(2*PI()*G5953),"")</f>
        <v/>
      </c>
      <c r="I5953">
        <f>IF(B5953,IF(D5953=0,H5953,Rho*I5952+SQRT(1-Rho^2)*H5953),"")</f>
        <v/>
      </c>
      <c r="J5953">
        <f>IF(B5953,IF(Dist="Normal",DistA+DistB*I5953,DistA+(DistB-DistA)*NORMSDIST(I5953)),"")</f>
        <v/>
      </c>
      <c r="K5953">
        <f>IF(B5953,INDEX(MineScale,C5953),"")</f>
        <v/>
      </c>
      <c r="L5953">
        <f>IF(B5953,INDEX(Dow,1,WEEKDAY(E5953,2)),"")</f>
        <v/>
      </c>
      <c r="M5953">
        <f>IF(B5953,(1+Trend)^D5953,"")</f>
        <v/>
      </c>
      <c r="N5953">
        <f>IF(B5953,EXP(SUMPRODUCT(LN(1+(EvEff-1)*INDEX(Affected,0,C5953)*EXP(-((E5953-EvCenter)^2)/(2*EvSigma^2))))),"")</f>
        <v/>
      </c>
      <c r="O5953">
        <f>IF(B5953,ROUND(MAX(0,J5953*K5953*L5953*M5953*N5953),2),"")</f>
        <v/>
      </c>
    </row>
    <row r="5954">
      <c r="A5954" t="n">
        <v>5953</v>
      </c>
      <c r="B5954">
        <f>A5954&lt;=MineCount*Days</f>
        <v/>
      </c>
      <c r="C5954">
        <f>IF(B5954,INT((A5954-1)/Days)+1,"")</f>
        <v/>
      </c>
      <c r="D5954">
        <f>IF(B5954,MOD(A5954-1,Days),"")</f>
        <v/>
      </c>
      <c r="E5954" s="16">
        <f>IF(B5954,StartDate+D5954,"")</f>
        <v/>
      </c>
      <c r="F5954">
        <f>IF(B5954,MAX(MOD(SIN(Seed*0.1373+C5954*12.9898+D5954*78.233)*43758.5453,1),1E-9),"")</f>
        <v/>
      </c>
      <c r="G5954">
        <f>IF(B5954,MOD(SIN(Seed*0.5917+C5954*39.3468+D5954*11.135)*24634.6345,1),"")</f>
        <v/>
      </c>
      <c r="H5954">
        <f>IF(B5954,SQRT(-2*LN(F5954))*COS(2*PI()*G5954),"")</f>
        <v/>
      </c>
      <c r="I5954">
        <f>IF(B5954,IF(D5954=0,H5954,Rho*I5953+SQRT(1-Rho^2)*H5954),"")</f>
        <v/>
      </c>
      <c r="J5954">
        <f>IF(B5954,IF(Dist="Normal",DistA+DistB*I5954,DistA+(DistB-DistA)*NORMSDIST(I5954)),"")</f>
        <v/>
      </c>
      <c r="K5954">
        <f>IF(B5954,INDEX(MineScale,C5954),"")</f>
        <v/>
      </c>
      <c r="L5954">
        <f>IF(B5954,INDEX(Dow,1,WEEKDAY(E5954,2)),"")</f>
        <v/>
      </c>
      <c r="M5954">
        <f>IF(B5954,(1+Trend)^D5954,"")</f>
        <v/>
      </c>
      <c r="N5954">
        <f>IF(B5954,EXP(SUMPRODUCT(LN(1+(EvEff-1)*INDEX(Affected,0,C5954)*EXP(-((E5954-EvCenter)^2)/(2*EvSigma^2))))),"")</f>
        <v/>
      </c>
      <c r="O5954">
        <f>IF(B5954,ROUND(MAX(0,J5954*K5954*L5954*M5954*N5954),2),"")</f>
        <v/>
      </c>
    </row>
    <row r="5955">
      <c r="A5955" t="n">
        <v>5954</v>
      </c>
      <c r="B5955">
        <f>A5955&lt;=MineCount*Days</f>
        <v/>
      </c>
      <c r="C5955">
        <f>IF(B5955,INT((A5955-1)/Days)+1,"")</f>
        <v/>
      </c>
      <c r="D5955">
        <f>IF(B5955,MOD(A5955-1,Days),"")</f>
        <v/>
      </c>
      <c r="E5955" s="16">
        <f>IF(B5955,StartDate+D5955,"")</f>
        <v/>
      </c>
      <c r="F5955">
        <f>IF(B5955,MAX(MOD(SIN(Seed*0.1373+C5955*12.9898+D5955*78.233)*43758.5453,1),1E-9),"")</f>
        <v/>
      </c>
      <c r="G5955">
        <f>IF(B5955,MOD(SIN(Seed*0.5917+C5955*39.3468+D5955*11.135)*24634.6345,1),"")</f>
        <v/>
      </c>
      <c r="H5955">
        <f>IF(B5955,SQRT(-2*LN(F5955))*COS(2*PI()*G5955),"")</f>
        <v/>
      </c>
      <c r="I5955">
        <f>IF(B5955,IF(D5955=0,H5955,Rho*I5954+SQRT(1-Rho^2)*H5955),"")</f>
        <v/>
      </c>
      <c r="J5955">
        <f>IF(B5955,IF(Dist="Normal",DistA+DistB*I5955,DistA+(DistB-DistA)*NORMSDIST(I5955)),"")</f>
        <v/>
      </c>
      <c r="K5955">
        <f>IF(B5955,INDEX(MineScale,C5955),"")</f>
        <v/>
      </c>
      <c r="L5955">
        <f>IF(B5955,INDEX(Dow,1,WEEKDAY(E5955,2)),"")</f>
        <v/>
      </c>
      <c r="M5955">
        <f>IF(B5955,(1+Trend)^D5955,"")</f>
        <v/>
      </c>
      <c r="N5955">
        <f>IF(B5955,EXP(SUMPRODUCT(LN(1+(EvEff-1)*INDEX(Affected,0,C5955)*EXP(-((E5955-EvCenter)^2)/(2*EvSigma^2))))),"")</f>
        <v/>
      </c>
      <c r="O5955">
        <f>IF(B5955,ROUND(MAX(0,J5955*K5955*L5955*M5955*N5955),2),"")</f>
        <v/>
      </c>
    </row>
    <row r="5956">
      <c r="A5956" t="n">
        <v>5955</v>
      </c>
      <c r="B5956">
        <f>A5956&lt;=MineCount*Days</f>
        <v/>
      </c>
      <c r="C5956">
        <f>IF(B5956,INT((A5956-1)/Days)+1,"")</f>
        <v/>
      </c>
      <c r="D5956">
        <f>IF(B5956,MOD(A5956-1,Days),"")</f>
        <v/>
      </c>
      <c r="E5956" s="16">
        <f>IF(B5956,StartDate+D5956,"")</f>
        <v/>
      </c>
      <c r="F5956">
        <f>IF(B5956,MAX(MOD(SIN(Seed*0.1373+C5956*12.9898+D5956*78.233)*43758.5453,1),1E-9),"")</f>
        <v/>
      </c>
      <c r="G5956">
        <f>IF(B5956,MOD(SIN(Seed*0.5917+C5956*39.3468+D5956*11.135)*24634.6345,1),"")</f>
        <v/>
      </c>
      <c r="H5956">
        <f>IF(B5956,SQRT(-2*LN(F5956))*COS(2*PI()*G5956),"")</f>
        <v/>
      </c>
      <c r="I5956">
        <f>IF(B5956,IF(D5956=0,H5956,Rho*I5955+SQRT(1-Rho^2)*H5956),"")</f>
        <v/>
      </c>
      <c r="J5956">
        <f>IF(B5956,IF(Dist="Normal",DistA+DistB*I5956,DistA+(DistB-DistA)*NORMSDIST(I5956)),"")</f>
        <v/>
      </c>
      <c r="K5956">
        <f>IF(B5956,INDEX(MineScale,C5956),"")</f>
        <v/>
      </c>
      <c r="L5956">
        <f>IF(B5956,INDEX(Dow,1,WEEKDAY(E5956,2)),"")</f>
        <v/>
      </c>
      <c r="M5956">
        <f>IF(B5956,(1+Trend)^D5956,"")</f>
        <v/>
      </c>
      <c r="N5956">
        <f>IF(B5956,EXP(SUMPRODUCT(LN(1+(EvEff-1)*INDEX(Affected,0,C5956)*EXP(-((E5956-EvCenter)^2)/(2*EvSigma^2))))),"")</f>
        <v/>
      </c>
      <c r="O5956">
        <f>IF(B5956,ROUND(MAX(0,J5956*K5956*L5956*M5956*N5956),2),"")</f>
        <v/>
      </c>
    </row>
    <row r="5957">
      <c r="A5957" t="n">
        <v>5956</v>
      </c>
      <c r="B5957">
        <f>A5957&lt;=MineCount*Days</f>
        <v/>
      </c>
      <c r="C5957">
        <f>IF(B5957,INT((A5957-1)/Days)+1,"")</f>
        <v/>
      </c>
      <c r="D5957">
        <f>IF(B5957,MOD(A5957-1,Days),"")</f>
        <v/>
      </c>
      <c r="E5957" s="16">
        <f>IF(B5957,StartDate+D5957,"")</f>
        <v/>
      </c>
      <c r="F5957">
        <f>IF(B5957,MAX(MOD(SIN(Seed*0.1373+C5957*12.9898+D5957*78.233)*43758.5453,1),1E-9),"")</f>
        <v/>
      </c>
      <c r="G5957">
        <f>IF(B5957,MOD(SIN(Seed*0.5917+C5957*39.3468+D5957*11.135)*24634.6345,1),"")</f>
        <v/>
      </c>
      <c r="H5957">
        <f>IF(B5957,SQRT(-2*LN(F5957))*COS(2*PI()*G5957),"")</f>
        <v/>
      </c>
      <c r="I5957">
        <f>IF(B5957,IF(D5957=0,H5957,Rho*I5956+SQRT(1-Rho^2)*H5957),"")</f>
        <v/>
      </c>
      <c r="J5957">
        <f>IF(B5957,IF(Dist="Normal",DistA+DistB*I5957,DistA+(DistB-DistA)*NORMSDIST(I5957)),"")</f>
        <v/>
      </c>
      <c r="K5957">
        <f>IF(B5957,INDEX(MineScale,C5957),"")</f>
        <v/>
      </c>
      <c r="L5957">
        <f>IF(B5957,INDEX(Dow,1,WEEKDAY(E5957,2)),"")</f>
        <v/>
      </c>
      <c r="M5957">
        <f>IF(B5957,(1+Trend)^D5957,"")</f>
        <v/>
      </c>
      <c r="N5957">
        <f>IF(B5957,EXP(SUMPRODUCT(LN(1+(EvEff-1)*INDEX(Affected,0,C5957)*EXP(-((E5957-EvCenter)^2)/(2*EvSigma^2))))),"")</f>
        <v/>
      </c>
      <c r="O5957">
        <f>IF(B5957,ROUND(MAX(0,J5957*K5957*L5957*M5957*N5957),2),"")</f>
        <v/>
      </c>
    </row>
    <row r="5958">
      <c r="A5958" t="n">
        <v>5957</v>
      </c>
      <c r="B5958">
        <f>A5958&lt;=MineCount*Days</f>
        <v/>
      </c>
      <c r="C5958">
        <f>IF(B5958,INT((A5958-1)/Days)+1,"")</f>
        <v/>
      </c>
      <c r="D5958">
        <f>IF(B5958,MOD(A5958-1,Days),"")</f>
        <v/>
      </c>
      <c r="E5958" s="16">
        <f>IF(B5958,StartDate+D5958,"")</f>
        <v/>
      </c>
      <c r="F5958">
        <f>IF(B5958,MAX(MOD(SIN(Seed*0.1373+C5958*12.9898+D5958*78.233)*43758.5453,1),1E-9),"")</f>
        <v/>
      </c>
      <c r="G5958">
        <f>IF(B5958,MOD(SIN(Seed*0.5917+C5958*39.3468+D5958*11.135)*24634.6345,1),"")</f>
        <v/>
      </c>
      <c r="H5958">
        <f>IF(B5958,SQRT(-2*LN(F5958))*COS(2*PI()*G5958),"")</f>
        <v/>
      </c>
      <c r="I5958">
        <f>IF(B5958,IF(D5958=0,H5958,Rho*I5957+SQRT(1-Rho^2)*H5958),"")</f>
        <v/>
      </c>
      <c r="J5958">
        <f>IF(B5958,IF(Dist="Normal",DistA+DistB*I5958,DistA+(DistB-DistA)*NORMSDIST(I5958)),"")</f>
        <v/>
      </c>
      <c r="K5958">
        <f>IF(B5958,INDEX(MineScale,C5958),"")</f>
        <v/>
      </c>
      <c r="L5958">
        <f>IF(B5958,INDEX(Dow,1,WEEKDAY(E5958,2)),"")</f>
        <v/>
      </c>
      <c r="M5958">
        <f>IF(B5958,(1+Trend)^D5958,"")</f>
        <v/>
      </c>
      <c r="N5958">
        <f>IF(B5958,EXP(SUMPRODUCT(LN(1+(EvEff-1)*INDEX(Affected,0,C5958)*EXP(-((E5958-EvCenter)^2)/(2*EvSigma^2))))),"")</f>
        <v/>
      </c>
      <c r="O5958">
        <f>IF(B5958,ROUND(MAX(0,J5958*K5958*L5958*M5958*N5958),2),"")</f>
        <v/>
      </c>
    </row>
    <row r="5959">
      <c r="A5959" t="n">
        <v>5958</v>
      </c>
      <c r="B5959">
        <f>A5959&lt;=MineCount*Days</f>
        <v/>
      </c>
      <c r="C5959">
        <f>IF(B5959,INT((A5959-1)/Days)+1,"")</f>
        <v/>
      </c>
      <c r="D5959">
        <f>IF(B5959,MOD(A5959-1,Days),"")</f>
        <v/>
      </c>
      <c r="E5959" s="16">
        <f>IF(B5959,StartDate+D5959,"")</f>
        <v/>
      </c>
      <c r="F5959">
        <f>IF(B5959,MAX(MOD(SIN(Seed*0.1373+C5959*12.9898+D5959*78.233)*43758.5453,1),1E-9),"")</f>
        <v/>
      </c>
      <c r="G5959">
        <f>IF(B5959,MOD(SIN(Seed*0.5917+C5959*39.3468+D5959*11.135)*24634.6345,1),"")</f>
        <v/>
      </c>
      <c r="H5959">
        <f>IF(B5959,SQRT(-2*LN(F5959))*COS(2*PI()*G5959),"")</f>
        <v/>
      </c>
      <c r="I5959">
        <f>IF(B5959,IF(D5959=0,H5959,Rho*I5958+SQRT(1-Rho^2)*H5959),"")</f>
        <v/>
      </c>
      <c r="J5959">
        <f>IF(B5959,IF(Dist="Normal",DistA+DistB*I5959,DistA+(DistB-DistA)*NORMSDIST(I5959)),"")</f>
        <v/>
      </c>
      <c r="K5959">
        <f>IF(B5959,INDEX(MineScale,C5959),"")</f>
        <v/>
      </c>
      <c r="L5959">
        <f>IF(B5959,INDEX(Dow,1,WEEKDAY(E5959,2)),"")</f>
        <v/>
      </c>
      <c r="M5959">
        <f>IF(B5959,(1+Trend)^D5959,"")</f>
        <v/>
      </c>
      <c r="N5959">
        <f>IF(B5959,EXP(SUMPRODUCT(LN(1+(EvEff-1)*INDEX(Affected,0,C5959)*EXP(-((E5959-EvCenter)^2)/(2*EvSigma^2))))),"")</f>
        <v/>
      </c>
      <c r="O5959">
        <f>IF(B5959,ROUND(MAX(0,J5959*K5959*L5959*M5959*N5959),2),"")</f>
        <v/>
      </c>
    </row>
    <row r="5960">
      <c r="A5960" t="n">
        <v>5959</v>
      </c>
      <c r="B5960">
        <f>A5960&lt;=MineCount*Days</f>
        <v/>
      </c>
      <c r="C5960">
        <f>IF(B5960,INT((A5960-1)/Days)+1,"")</f>
        <v/>
      </c>
      <c r="D5960">
        <f>IF(B5960,MOD(A5960-1,Days),"")</f>
        <v/>
      </c>
      <c r="E5960" s="16">
        <f>IF(B5960,StartDate+D5960,"")</f>
        <v/>
      </c>
      <c r="F5960">
        <f>IF(B5960,MAX(MOD(SIN(Seed*0.1373+C5960*12.9898+D5960*78.233)*43758.5453,1),1E-9),"")</f>
        <v/>
      </c>
      <c r="G5960">
        <f>IF(B5960,MOD(SIN(Seed*0.5917+C5960*39.3468+D5960*11.135)*24634.6345,1),"")</f>
        <v/>
      </c>
      <c r="H5960">
        <f>IF(B5960,SQRT(-2*LN(F5960))*COS(2*PI()*G5960),"")</f>
        <v/>
      </c>
      <c r="I5960">
        <f>IF(B5960,IF(D5960=0,H5960,Rho*I5959+SQRT(1-Rho^2)*H5960),"")</f>
        <v/>
      </c>
      <c r="J5960">
        <f>IF(B5960,IF(Dist="Normal",DistA+DistB*I5960,DistA+(DistB-DistA)*NORMSDIST(I5960)),"")</f>
        <v/>
      </c>
      <c r="K5960">
        <f>IF(B5960,INDEX(MineScale,C5960),"")</f>
        <v/>
      </c>
      <c r="L5960">
        <f>IF(B5960,INDEX(Dow,1,WEEKDAY(E5960,2)),"")</f>
        <v/>
      </c>
      <c r="M5960">
        <f>IF(B5960,(1+Trend)^D5960,"")</f>
        <v/>
      </c>
      <c r="N5960">
        <f>IF(B5960,EXP(SUMPRODUCT(LN(1+(EvEff-1)*INDEX(Affected,0,C5960)*EXP(-((E5960-EvCenter)^2)/(2*EvSigma^2))))),"")</f>
        <v/>
      </c>
      <c r="O5960">
        <f>IF(B5960,ROUND(MAX(0,J5960*K5960*L5960*M5960*N5960),2),"")</f>
        <v/>
      </c>
    </row>
    <row r="5961">
      <c r="A5961" t="n">
        <v>5960</v>
      </c>
      <c r="B5961">
        <f>A5961&lt;=MineCount*Days</f>
        <v/>
      </c>
      <c r="C5961">
        <f>IF(B5961,INT((A5961-1)/Days)+1,"")</f>
        <v/>
      </c>
      <c r="D5961">
        <f>IF(B5961,MOD(A5961-1,Days),"")</f>
        <v/>
      </c>
      <c r="E5961" s="16">
        <f>IF(B5961,StartDate+D5961,"")</f>
        <v/>
      </c>
      <c r="F5961">
        <f>IF(B5961,MAX(MOD(SIN(Seed*0.1373+C5961*12.9898+D5961*78.233)*43758.5453,1),1E-9),"")</f>
        <v/>
      </c>
      <c r="G5961">
        <f>IF(B5961,MOD(SIN(Seed*0.5917+C5961*39.3468+D5961*11.135)*24634.6345,1),"")</f>
        <v/>
      </c>
      <c r="H5961">
        <f>IF(B5961,SQRT(-2*LN(F5961))*COS(2*PI()*G5961),"")</f>
        <v/>
      </c>
      <c r="I5961">
        <f>IF(B5961,IF(D5961=0,H5961,Rho*I5960+SQRT(1-Rho^2)*H5961),"")</f>
        <v/>
      </c>
      <c r="J5961">
        <f>IF(B5961,IF(Dist="Normal",DistA+DistB*I5961,DistA+(DistB-DistA)*NORMSDIST(I5961)),"")</f>
        <v/>
      </c>
      <c r="K5961">
        <f>IF(B5961,INDEX(MineScale,C5961),"")</f>
        <v/>
      </c>
      <c r="L5961">
        <f>IF(B5961,INDEX(Dow,1,WEEKDAY(E5961,2)),"")</f>
        <v/>
      </c>
      <c r="M5961">
        <f>IF(B5961,(1+Trend)^D5961,"")</f>
        <v/>
      </c>
      <c r="N5961">
        <f>IF(B5961,EXP(SUMPRODUCT(LN(1+(EvEff-1)*INDEX(Affected,0,C5961)*EXP(-((E5961-EvCenter)^2)/(2*EvSigma^2))))),"")</f>
        <v/>
      </c>
      <c r="O5961">
        <f>IF(B5961,ROUND(MAX(0,J5961*K5961*L5961*M5961*N5961),2),"")</f>
        <v/>
      </c>
    </row>
    <row r="5962">
      <c r="A5962" t="n">
        <v>5961</v>
      </c>
      <c r="B5962">
        <f>A5962&lt;=MineCount*Days</f>
        <v/>
      </c>
      <c r="C5962">
        <f>IF(B5962,INT((A5962-1)/Days)+1,"")</f>
        <v/>
      </c>
      <c r="D5962">
        <f>IF(B5962,MOD(A5962-1,Days),"")</f>
        <v/>
      </c>
      <c r="E5962" s="16">
        <f>IF(B5962,StartDate+D5962,"")</f>
        <v/>
      </c>
      <c r="F5962">
        <f>IF(B5962,MAX(MOD(SIN(Seed*0.1373+C5962*12.9898+D5962*78.233)*43758.5453,1),1E-9),"")</f>
        <v/>
      </c>
      <c r="G5962">
        <f>IF(B5962,MOD(SIN(Seed*0.5917+C5962*39.3468+D5962*11.135)*24634.6345,1),"")</f>
        <v/>
      </c>
      <c r="H5962">
        <f>IF(B5962,SQRT(-2*LN(F5962))*COS(2*PI()*G5962),"")</f>
        <v/>
      </c>
      <c r="I5962">
        <f>IF(B5962,IF(D5962=0,H5962,Rho*I5961+SQRT(1-Rho^2)*H5962),"")</f>
        <v/>
      </c>
      <c r="J5962">
        <f>IF(B5962,IF(Dist="Normal",DistA+DistB*I5962,DistA+(DistB-DistA)*NORMSDIST(I5962)),"")</f>
        <v/>
      </c>
      <c r="K5962">
        <f>IF(B5962,INDEX(MineScale,C5962),"")</f>
        <v/>
      </c>
      <c r="L5962">
        <f>IF(B5962,INDEX(Dow,1,WEEKDAY(E5962,2)),"")</f>
        <v/>
      </c>
      <c r="M5962">
        <f>IF(B5962,(1+Trend)^D5962,"")</f>
        <v/>
      </c>
      <c r="N5962">
        <f>IF(B5962,EXP(SUMPRODUCT(LN(1+(EvEff-1)*INDEX(Affected,0,C5962)*EXP(-((E5962-EvCenter)^2)/(2*EvSigma^2))))),"")</f>
        <v/>
      </c>
      <c r="O5962">
        <f>IF(B5962,ROUND(MAX(0,J5962*K5962*L5962*M5962*N5962),2),"")</f>
        <v/>
      </c>
    </row>
    <row r="5963">
      <c r="A5963" t="n">
        <v>5962</v>
      </c>
      <c r="B5963">
        <f>A5963&lt;=MineCount*Days</f>
        <v/>
      </c>
      <c r="C5963">
        <f>IF(B5963,INT((A5963-1)/Days)+1,"")</f>
        <v/>
      </c>
      <c r="D5963">
        <f>IF(B5963,MOD(A5963-1,Days),"")</f>
        <v/>
      </c>
      <c r="E5963" s="16">
        <f>IF(B5963,StartDate+D5963,"")</f>
        <v/>
      </c>
      <c r="F5963">
        <f>IF(B5963,MAX(MOD(SIN(Seed*0.1373+C5963*12.9898+D5963*78.233)*43758.5453,1),1E-9),"")</f>
        <v/>
      </c>
      <c r="G5963">
        <f>IF(B5963,MOD(SIN(Seed*0.5917+C5963*39.3468+D5963*11.135)*24634.6345,1),"")</f>
        <v/>
      </c>
      <c r="H5963">
        <f>IF(B5963,SQRT(-2*LN(F5963))*COS(2*PI()*G5963),"")</f>
        <v/>
      </c>
      <c r="I5963">
        <f>IF(B5963,IF(D5963=0,H5963,Rho*I5962+SQRT(1-Rho^2)*H5963),"")</f>
        <v/>
      </c>
      <c r="J5963">
        <f>IF(B5963,IF(Dist="Normal",DistA+DistB*I5963,DistA+(DistB-DistA)*NORMSDIST(I5963)),"")</f>
        <v/>
      </c>
      <c r="K5963">
        <f>IF(B5963,INDEX(MineScale,C5963),"")</f>
        <v/>
      </c>
      <c r="L5963">
        <f>IF(B5963,INDEX(Dow,1,WEEKDAY(E5963,2)),"")</f>
        <v/>
      </c>
      <c r="M5963">
        <f>IF(B5963,(1+Trend)^D5963,"")</f>
        <v/>
      </c>
      <c r="N5963">
        <f>IF(B5963,EXP(SUMPRODUCT(LN(1+(EvEff-1)*INDEX(Affected,0,C5963)*EXP(-((E5963-EvCenter)^2)/(2*EvSigma^2))))),"")</f>
        <v/>
      </c>
      <c r="O5963">
        <f>IF(B5963,ROUND(MAX(0,J5963*K5963*L5963*M5963*N5963),2),"")</f>
        <v/>
      </c>
    </row>
    <row r="5964">
      <c r="A5964" t="n">
        <v>5963</v>
      </c>
      <c r="B5964">
        <f>A5964&lt;=MineCount*Days</f>
        <v/>
      </c>
      <c r="C5964">
        <f>IF(B5964,INT((A5964-1)/Days)+1,"")</f>
        <v/>
      </c>
      <c r="D5964">
        <f>IF(B5964,MOD(A5964-1,Days),"")</f>
        <v/>
      </c>
      <c r="E5964" s="16">
        <f>IF(B5964,StartDate+D5964,"")</f>
        <v/>
      </c>
      <c r="F5964">
        <f>IF(B5964,MAX(MOD(SIN(Seed*0.1373+C5964*12.9898+D5964*78.233)*43758.5453,1),1E-9),"")</f>
        <v/>
      </c>
      <c r="G5964">
        <f>IF(B5964,MOD(SIN(Seed*0.5917+C5964*39.3468+D5964*11.135)*24634.6345,1),"")</f>
        <v/>
      </c>
      <c r="H5964">
        <f>IF(B5964,SQRT(-2*LN(F5964))*COS(2*PI()*G5964),"")</f>
        <v/>
      </c>
      <c r="I5964">
        <f>IF(B5964,IF(D5964=0,H5964,Rho*I5963+SQRT(1-Rho^2)*H5964),"")</f>
        <v/>
      </c>
      <c r="J5964">
        <f>IF(B5964,IF(Dist="Normal",DistA+DistB*I5964,DistA+(DistB-DistA)*NORMSDIST(I5964)),"")</f>
        <v/>
      </c>
      <c r="K5964">
        <f>IF(B5964,INDEX(MineScale,C5964),"")</f>
        <v/>
      </c>
      <c r="L5964">
        <f>IF(B5964,INDEX(Dow,1,WEEKDAY(E5964,2)),"")</f>
        <v/>
      </c>
      <c r="M5964">
        <f>IF(B5964,(1+Trend)^D5964,"")</f>
        <v/>
      </c>
      <c r="N5964">
        <f>IF(B5964,EXP(SUMPRODUCT(LN(1+(EvEff-1)*INDEX(Affected,0,C5964)*EXP(-((E5964-EvCenter)^2)/(2*EvSigma^2))))),"")</f>
        <v/>
      </c>
      <c r="O5964">
        <f>IF(B5964,ROUND(MAX(0,J5964*K5964*L5964*M5964*N5964),2),"")</f>
        <v/>
      </c>
    </row>
    <row r="5965">
      <c r="A5965" t="n">
        <v>5964</v>
      </c>
      <c r="B5965">
        <f>A5965&lt;=MineCount*Days</f>
        <v/>
      </c>
      <c r="C5965">
        <f>IF(B5965,INT((A5965-1)/Days)+1,"")</f>
        <v/>
      </c>
      <c r="D5965">
        <f>IF(B5965,MOD(A5965-1,Days),"")</f>
        <v/>
      </c>
      <c r="E5965" s="16">
        <f>IF(B5965,StartDate+D5965,"")</f>
        <v/>
      </c>
      <c r="F5965">
        <f>IF(B5965,MAX(MOD(SIN(Seed*0.1373+C5965*12.9898+D5965*78.233)*43758.5453,1),1E-9),"")</f>
        <v/>
      </c>
      <c r="G5965">
        <f>IF(B5965,MOD(SIN(Seed*0.5917+C5965*39.3468+D5965*11.135)*24634.6345,1),"")</f>
        <v/>
      </c>
      <c r="H5965">
        <f>IF(B5965,SQRT(-2*LN(F5965))*COS(2*PI()*G5965),"")</f>
        <v/>
      </c>
      <c r="I5965">
        <f>IF(B5965,IF(D5965=0,H5965,Rho*I5964+SQRT(1-Rho^2)*H5965),"")</f>
        <v/>
      </c>
      <c r="J5965">
        <f>IF(B5965,IF(Dist="Normal",DistA+DistB*I5965,DistA+(DistB-DistA)*NORMSDIST(I5965)),"")</f>
        <v/>
      </c>
      <c r="K5965">
        <f>IF(B5965,INDEX(MineScale,C5965),"")</f>
        <v/>
      </c>
      <c r="L5965">
        <f>IF(B5965,INDEX(Dow,1,WEEKDAY(E5965,2)),"")</f>
        <v/>
      </c>
      <c r="M5965">
        <f>IF(B5965,(1+Trend)^D5965,"")</f>
        <v/>
      </c>
      <c r="N5965">
        <f>IF(B5965,EXP(SUMPRODUCT(LN(1+(EvEff-1)*INDEX(Affected,0,C5965)*EXP(-((E5965-EvCenter)^2)/(2*EvSigma^2))))),"")</f>
        <v/>
      </c>
      <c r="O5965">
        <f>IF(B5965,ROUND(MAX(0,J5965*K5965*L5965*M5965*N5965),2),"")</f>
        <v/>
      </c>
    </row>
    <row r="5966">
      <c r="A5966" t="n">
        <v>5965</v>
      </c>
      <c r="B5966">
        <f>A5966&lt;=MineCount*Days</f>
        <v/>
      </c>
      <c r="C5966">
        <f>IF(B5966,INT((A5966-1)/Days)+1,"")</f>
        <v/>
      </c>
      <c r="D5966">
        <f>IF(B5966,MOD(A5966-1,Days),"")</f>
        <v/>
      </c>
      <c r="E5966" s="16">
        <f>IF(B5966,StartDate+D5966,"")</f>
        <v/>
      </c>
      <c r="F5966">
        <f>IF(B5966,MAX(MOD(SIN(Seed*0.1373+C5966*12.9898+D5966*78.233)*43758.5453,1),1E-9),"")</f>
        <v/>
      </c>
      <c r="G5966">
        <f>IF(B5966,MOD(SIN(Seed*0.5917+C5966*39.3468+D5966*11.135)*24634.6345,1),"")</f>
        <v/>
      </c>
      <c r="H5966">
        <f>IF(B5966,SQRT(-2*LN(F5966))*COS(2*PI()*G5966),"")</f>
        <v/>
      </c>
      <c r="I5966">
        <f>IF(B5966,IF(D5966=0,H5966,Rho*I5965+SQRT(1-Rho^2)*H5966),"")</f>
        <v/>
      </c>
      <c r="J5966">
        <f>IF(B5966,IF(Dist="Normal",DistA+DistB*I5966,DistA+(DistB-DistA)*NORMSDIST(I5966)),"")</f>
        <v/>
      </c>
      <c r="K5966">
        <f>IF(B5966,INDEX(MineScale,C5966),"")</f>
        <v/>
      </c>
      <c r="L5966">
        <f>IF(B5966,INDEX(Dow,1,WEEKDAY(E5966,2)),"")</f>
        <v/>
      </c>
      <c r="M5966">
        <f>IF(B5966,(1+Trend)^D5966,"")</f>
        <v/>
      </c>
      <c r="N5966">
        <f>IF(B5966,EXP(SUMPRODUCT(LN(1+(EvEff-1)*INDEX(Affected,0,C5966)*EXP(-((E5966-EvCenter)^2)/(2*EvSigma^2))))),"")</f>
        <v/>
      </c>
      <c r="O5966">
        <f>IF(B5966,ROUND(MAX(0,J5966*K5966*L5966*M5966*N5966),2),"")</f>
        <v/>
      </c>
    </row>
    <row r="5967">
      <c r="A5967" t="n">
        <v>5966</v>
      </c>
      <c r="B5967">
        <f>A5967&lt;=MineCount*Days</f>
        <v/>
      </c>
      <c r="C5967">
        <f>IF(B5967,INT((A5967-1)/Days)+1,"")</f>
        <v/>
      </c>
      <c r="D5967">
        <f>IF(B5967,MOD(A5967-1,Days),"")</f>
        <v/>
      </c>
      <c r="E5967" s="16">
        <f>IF(B5967,StartDate+D5967,"")</f>
        <v/>
      </c>
      <c r="F5967">
        <f>IF(B5967,MAX(MOD(SIN(Seed*0.1373+C5967*12.9898+D5967*78.233)*43758.5453,1),1E-9),"")</f>
        <v/>
      </c>
      <c r="G5967">
        <f>IF(B5967,MOD(SIN(Seed*0.5917+C5967*39.3468+D5967*11.135)*24634.6345,1),"")</f>
        <v/>
      </c>
      <c r="H5967">
        <f>IF(B5967,SQRT(-2*LN(F5967))*COS(2*PI()*G5967),"")</f>
        <v/>
      </c>
      <c r="I5967">
        <f>IF(B5967,IF(D5967=0,H5967,Rho*I5966+SQRT(1-Rho^2)*H5967),"")</f>
        <v/>
      </c>
      <c r="J5967">
        <f>IF(B5967,IF(Dist="Normal",DistA+DistB*I5967,DistA+(DistB-DistA)*NORMSDIST(I5967)),"")</f>
        <v/>
      </c>
      <c r="K5967">
        <f>IF(B5967,INDEX(MineScale,C5967),"")</f>
        <v/>
      </c>
      <c r="L5967">
        <f>IF(B5967,INDEX(Dow,1,WEEKDAY(E5967,2)),"")</f>
        <v/>
      </c>
      <c r="M5967">
        <f>IF(B5967,(1+Trend)^D5967,"")</f>
        <v/>
      </c>
      <c r="N5967">
        <f>IF(B5967,EXP(SUMPRODUCT(LN(1+(EvEff-1)*INDEX(Affected,0,C5967)*EXP(-((E5967-EvCenter)^2)/(2*EvSigma^2))))),"")</f>
        <v/>
      </c>
      <c r="O5967">
        <f>IF(B5967,ROUND(MAX(0,J5967*K5967*L5967*M5967*N5967),2),"")</f>
        <v/>
      </c>
    </row>
    <row r="5968">
      <c r="A5968" t="n">
        <v>5967</v>
      </c>
      <c r="B5968">
        <f>A5968&lt;=MineCount*Days</f>
        <v/>
      </c>
      <c r="C5968">
        <f>IF(B5968,INT((A5968-1)/Days)+1,"")</f>
        <v/>
      </c>
      <c r="D5968">
        <f>IF(B5968,MOD(A5968-1,Days),"")</f>
        <v/>
      </c>
      <c r="E5968" s="16">
        <f>IF(B5968,StartDate+D5968,"")</f>
        <v/>
      </c>
      <c r="F5968">
        <f>IF(B5968,MAX(MOD(SIN(Seed*0.1373+C5968*12.9898+D5968*78.233)*43758.5453,1),1E-9),"")</f>
        <v/>
      </c>
      <c r="G5968">
        <f>IF(B5968,MOD(SIN(Seed*0.5917+C5968*39.3468+D5968*11.135)*24634.6345,1),"")</f>
        <v/>
      </c>
      <c r="H5968">
        <f>IF(B5968,SQRT(-2*LN(F5968))*COS(2*PI()*G5968),"")</f>
        <v/>
      </c>
      <c r="I5968">
        <f>IF(B5968,IF(D5968=0,H5968,Rho*I5967+SQRT(1-Rho^2)*H5968),"")</f>
        <v/>
      </c>
      <c r="J5968">
        <f>IF(B5968,IF(Dist="Normal",DistA+DistB*I5968,DistA+(DistB-DistA)*NORMSDIST(I5968)),"")</f>
        <v/>
      </c>
      <c r="K5968">
        <f>IF(B5968,INDEX(MineScale,C5968),"")</f>
        <v/>
      </c>
      <c r="L5968">
        <f>IF(B5968,INDEX(Dow,1,WEEKDAY(E5968,2)),"")</f>
        <v/>
      </c>
      <c r="M5968">
        <f>IF(B5968,(1+Trend)^D5968,"")</f>
        <v/>
      </c>
      <c r="N5968">
        <f>IF(B5968,EXP(SUMPRODUCT(LN(1+(EvEff-1)*INDEX(Affected,0,C5968)*EXP(-((E5968-EvCenter)^2)/(2*EvSigma^2))))),"")</f>
        <v/>
      </c>
      <c r="O5968">
        <f>IF(B5968,ROUND(MAX(0,J5968*K5968*L5968*M5968*N5968),2),"")</f>
        <v/>
      </c>
    </row>
    <row r="5969">
      <c r="A5969" t="n">
        <v>5968</v>
      </c>
      <c r="B5969">
        <f>A5969&lt;=MineCount*Days</f>
        <v/>
      </c>
      <c r="C5969">
        <f>IF(B5969,INT((A5969-1)/Days)+1,"")</f>
        <v/>
      </c>
      <c r="D5969">
        <f>IF(B5969,MOD(A5969-1,Days),"")</f>
        <v/>
      </c>
      <c r="E5969" s="16">
        <f>IF(B5969,StartDate+D5969,"")</f>
        <v/>
      </c>
      <c r="F5969">
        <f>IF(B5969,MAX(MOD(SIN(Seed*0.1373+C5969*12.9898+D5969*78.233)*43758.5453,1),1E-9),"")</f>
        <v/>
      </c>
      <c r="G5969">
        <f>IF(B5969,MOD(SIN(Seed*0.5917+C5969*39.3468+D5969*11.135)*24634.6345,1),"")</f>
        <v/>
      </c>
      <c r="H5969">
        <f>IF(B5969,SQRT(-2*LN(F5969))*COS(2*PI()*G5969),"")</f>
        <v/>
      </c>
      <c r="I5969">
        <f>IF(B5969,IF(D5969=0,H5969,Rho*I5968+SQRT(1-Rho^2)*H5969),"")</f>
        <v/>
      </c>
      <c r="J5969">
        <f>IF(B5969,IF(Dist="Normal",DistA+DistB*I5969,DistA+(DistB-DistA)*NORMSDIST(I5969)),"")</f>
        <v/>
      </c>
      <c r="K5969">
        <f>IF(B5969,INDEX(MineScale,C5969),"")</f>
        <v/>
      </c>
      <c r="L5969">
        <f>IF(B5969,INDEX(Dow,1,WEEKDAY(E5969,2)),"")</f>
        <v/>
      </c>
      <c r="M5969">
        <f>IF(B5969,(1+Trend)^D5969,"")</f>
        <v/>
      </c>
      <c r="N5969">
        <f>IF(B5969,EXP(SUMPRODUCT(LN(1+(EvEff-1)*INDEX(Affected,0,C5969)*EXP(-((E5969-EvCenter)^2)/(2*EvSigma^2))))),"")</f>
        <v/>
      </c>
      <c r="O5969">
        <f>IF(B5969,ROUND(MAX(0,J5969*K5969*L5969*M5969*N5969),2),"")</f>
        <v/>
      </c>
    </row>
    <row r="5970">
      <c r="A5970" t="n">
        <v>5969</v>
      </c>
      <c r="B5970">
        <f>A5970&lt;=MineCount*Days</f>
        <v/>
      </c>
      <c r="C5970">
        <f>IF(B5970,INT((A5970-1)/Days)+1,"")</f>
        <v/>
      </c>
      <c r="D5970">
        <f>IF(B5970,MOD(A5970-1,Days),"")</f>
        <v/>
      </c>
      <c r="E5970" s="16">
        <f>IF(B5970,StartDate+D5970,"")</f>
        <v/>
      </c>
      <c r="F5970">
        <f>IF(B5970,MAX(MOD(SIN(Seed*0.1373+C5970*12.9898+D5970*78.233)*43758.5453,1),1E-9),"")</f>
        <v/>
      </c>
      <c r="G5970">
        <f>IF(B5970,MOD(SIN(Seed*0.5917+C5970*39.3468+D5970*11.135)*24634.6345,1),"")</f>
        <v/>
      </c>
      <c r="H5970">
        <f>IF(B5970,SQRT(-2*LN(F5970))*COS(2*PI()*G5970),"")</f>
        <v/>
      </c>
      <c r="I5970">
        <f>IF(B5970,IF(D5970=0,H5970,Rho*I5969+SQRT(1-Rho^2)*H5970),"")</f>
        <v/>
      </c>
      <c r="J5970">
        <f>IF(B5970,IF(Dist="Normal",DistA+DistB*I5970,DistA+(DistB-DistA)*NORMSDIST(I5970)),"")</f>
        <v/>
      </c>
      <c r="K5970">
        <f>IF(B5970,INDEX(MineScale,C5970),"")</f>
        <v/>
      </c>
      <c r="L5970">
        <f>IF(B5970,INDEX(Dow,1,WEEKDAY(E5970,2)),"")</f>
        <v/>
      </c>
      <c r="M5970">
        <f>IF(B5970,(1+Trend)^D5970,"")</f>
        <v/>
      </c>
      <c r="N5970">
        <f>IF(B5970,EXP(SUMPRODUCT(LN(1+(EvEff-1)*INDEX(Affected,0,C5970)*EXP(-((E5970-EvCenter)^2)/(2*EvSigma^2))))),"")</f>
        <v/>
      </c>
      <c r="O5970">
        <f>IF(B5970,ROUND(MAX(0,J5970*K5970*L5970*M5970*N5970),2),"")</f>
        <v/>
      </c>
    </row>
    <row r="5971">
      <c r="A5971" t="n">
        <v>5970</v>
      </c>
      <c r="B5971">
        <f>A5971&lt;=MineCount*Days</f>
        <v/>
      </c>
      <c r="C5971">
        <f>IF(B5971,INT((A5971-1)/Days)+1,"")</f>
        <v/>
      </c>
      <c r="D5971">
        <f>IF(B5971,MOD(A5971-1,Days),"")</f>
        <v/>
      </c>
      <c r="E5971" s="16">
        <f>IF(B5971,StartDate+D5971,"")</f>
        <v/>
      </c>
      <c r="F5971">
        <f>IF(B5971,MAX(MOD(SIN(Seed*0.1373+C5971*12.9898+D5971*78.233)*43758.5453,1),1E-9),"")</f>
        <v/>
      </c>
      <c r="G5971">
        <f>IF(B5971,MOD(SIN(Seed*0.5917+C5971*39.3468+D5971*11.135)*24634.6345,1),"")</f>
        <v/>
      </c>
      <c r="H5971">
        <f>IF(B5971,SQRT(-2*LN(F5971))*COS(2*PI()*G5971),"")</f>
        <v/>
      </c>
      <c r="I5971">
        <f>IF(B5971,IF(D5971=0,H5971,Rho*I5970+SQRT(1-Rho^2)*H5971),"")</f>
        <v/>
      </c>
      <c r="J5971">
        <f>IF(B5971,IF(Dist="Normal",DistA+DistB*I5971,DistA+(DistB-DistA)*NORMSDIST(I5971)),"")</f>
        <v/>
      </c>
      <c r="K5971">
        <f>IF(B5971,INDEX(MineScale,C5971),"")</f>
        <v/>
      </c>
      <c r="L5971">
        <f>IF(B5971,INDEX(Dow,1,WEEKDAY(E5971,2)),"")</f>
        <v/>
      </c>
      <c r="M5971">
        <f>IF(B5971,(1+Trend)^D5971,"")</f>
        <v/>
      </c>
      <c r="N5971">
        <f>IF(B5971,EXP(SUMPRODUCT(LN(1+(EvEff-1)*INDEX(Affected,0,C5971)*EXP(-((E5971-EvCenter)^2)/(2*EvSigma^2))))),"")</f>
        <v/>
      </c>
      <c r="O5971">
        <f>IF(B5971,ROUND(MAX(0,J5971*K5971*L5971*M5971*N5971),2),"")</f>
        <v/>
      </c>
    </row>
    <row r="5972">
      <c r="A5972" t="n">
        <v>5971</v>
      </c>
      <c r="B5972">
        <f>A5972&lt;=MineCount*Days</f>
        <v/>
      </c>
      <c r="C5972">
        <f>IF(B5972,INT((A5972-1)/Days)+1,"")</f>
        <v/>
      </c>
      <c r="D5972">
        <f>IF(B5972,MOD(A5972-1,Days),"")</f>
        <v/>
      </c>
      <c r="E5972" s="16">
        <f>IF(B5972,StartDate+D5972,"")</f>
        <v/>
      </c>
      <c r="F5972">
        <f>IF(B5972,MAX(MOD(SIN(Seed*0.1373+C5972*12.9898+D5972*78.233)*43758.5453,1),1E-9),"")</f>
        <v/>
      </c>
      <c r="G5972">
        <f>IF(B5972,MOD(SIN(Seed*0.5917+C5972*39.3468+D5972*11.135)*24634.6345,1),"")</f>
        <v/>
      </c>
      <c r="H5972">
        <f>IF(B5972,SQRT(-2*LN(F5972))*COS(2*PI()*G5972),"")</f>
        <v/>
      </c>
      <c r="I5972">
        <f>IF(B5972,IF(D5972=0,H5972,Rho*I5971+SQRT(1-Rho^2)*H5972),"")</f>
        <v/>
      </c>
      <c r="J5972">
        <f>IF(B5972,IF(Dist="Normal",DistA+DistB*I5972,DistA+(DistB-DistA)*NORMSDIST(I5972)),"")</f>
        <v/>
      </c>
      <c r="K5972">
        <f>IF(B5972,INDEX(MineScale,C5972),"")</f>
        <v/>
      </c>
      <c r="L5972">
        <f>IF(B5972,INDEX(Dow,1,WEEKDAY(E5972,2)),"")</f>
        <v/>
      </c>
      <c r="M5972">
        <f>IF(B5972,(1+Trend)^D5972,"")</f>
        <v/>
      </c>
      <c r="N5972">
        <f>IF(B5972,EXP(SUMPRODUCT(LN(1+(EvEff-1)*INDEX(Affected,0,C5972)*EXP(-((E5972-EvCenter)^2)/(2*EvSigma^2))))),"")</f>
        <v/>
      </c>
      <c r="O5972">
        <f>IF(B5972,ROUND(MAX(0,J5972*K5972*L5972*M5972*N5972),2),"")</f>
        <v/>
      </c>
    </row>
    <row r="5973">
      <c r="A5973" t="n">
        <v>5972</v>
      </c>
      <c r="B5973">
        <f>A5973&lt;=MineCount*Days</f>
        <v/>
      </c>
      <c r="C5973">
        <f>IF(B5973,INT((A5973-1)/Days)+1,"")</f>
        <v/>
      </c>
      <c r="D5973">
        <f>IF(B5973,MOD(A5973-1,Days),"")</f>
        <v/>
      </c>
      <c r="E5973" s="16">
        <f>IF(B5973,StartDate+D5973,"")</f>
        <v/>
      </c>
      <c r="F5973">
        <f>IF(B5973,MAX(MOD(SIN(Seed*0.1373+C5973*12.9898+D5973*78.233)*43758.5453,1),1E-9),"")</f>
        <v/>
      </c>
      <c r="G5973">
        <f>IF(B5973,MOD(SIN(Seed*0.5917+C5973*39.3468+D5973*11.135)*24634.6345,1),"")</f>
        <v/>
      </c>
      <c r="H5973">
        <f>IF(B5973,SQRT(-2*LN(F5973))*COS(2*PI()*G5973),"")</f>
        <v/>
      </c>
      <c r="I5973">
        <f>IF(B5973,IF(D5973=0,H5973,Rho*I5972+SQRT(1-Rho^2)*H5973),"")</f>
        <v/>
      </c>
      <c r="J5973">
        <f>IF(B5973,IF(Dist="Normal",DistA+DistB*I5973,DistA+(DistB-DistA)*NORMSDIST(I5973)),"")</f>
        <v/>
      </c>
      <c r="K5973">
        <f>IF(B5973,INDEX(MineScale,C5973),"")</f>
        <v/>
      </c>
      <c r="L5973">
        <f>IF(B5973,INDEX(Dow,1,WEEKDAY(E5973,2)),"")</f>
        <v/>
      </c>
      <c r="M5973">
        <f>IF(B5973,(1+Trend)^D5973,"")</f>
        <v/>
      </c>
      <c r="N5973">
        <f>IF(B5973,EXP(SUMPRODUCT(LN(1+(EvEff-1)*INDEX(Affected,0,C5973)*EXP(-((E5973-EvCenter)^2)/(2*EvSigma^2))))),"")</f>
        <v/>
      </c>
      <c r="O5973">
        <f>IF(B5973,ROUND(MAX(0,J5973*K5973*L5973*M5973*N5973),2),"")</f>
        <v/>
      </c>
    </row>
    <row r="5974">
      <c r="A5974" t="n">
        <v>5973</v>
      </c>
      <c r="B5974">
        <f>A5974&lt;=MineCount*Days</f>
        <v/>
      </c>
      <c r="C5974">
        <f>IF(B5974,INT((A5974-1)/Days)+1,"")</f>
        <v/>
      </c>
      <c r="D5974">
        <f>IF(B5974,MOD(A5974-1,Days),"")</f>
        <v/>
      </c>
      <c r="E5974" s="16">
        <f>IF(B5974,StartDate+D5974,"")</f>
        <v/>
      </c>
      <c r="F5974">
        <f>IF(B5974,MAX(MOD(SIN(Seed*0.1373+C5974*12.9898+D5974*78.233)*43758.5453,1),1E-9),"")</f>
        <v/>
      </c>
      <c r="G5974">
        <f>IF(B5974,MOD(SIN(Seed*0.5917+C5974*39.3468+D5974*11.135)*24634.6345,1),"")</f>
        <v/>
      </c>
      <c r="H5974">
        <f>IF(B5974,SQRT(-2*LN(F5974))*COS(2*PI()*G5974),"")</f>
        <v/>
      </c>
      <c r="I5974">
        <f>IF(B5974,IF(D5974=0,H5974,Rho*I5973+SQRT(1-Rho^2)*H5974),"")</f>
        <v/>
      </c>
      <c r="J5974">
        <f>IF(B5974,IF(Dist="Normal",DistA+DistB*I5974,DistA+(DistB-DistA)*NORMSDIST(I5974)),"")</f>
        <v/>
      </c>
      <c r="K5974">
        <f>IF(B5974,INDEX(MineScale,C5974),"")</f>
        <v/>
      </c>
      <c r="L5974">
        <f>IF(B5974,INDEX(Dow,1,WEEKDAY(E5974,2)),"")</f>
        <v/>
      </c>
      <c r="M5974">
        <f>IF(B5974,(1+Trend)^D5974,"")</f>
        <v/>
      </c>
      <c r="N5974">
        <f>IF(B5974,EXP(SUMPRODUCT(LN(1+(EvEff-1)*INDEX(Affected,0,C5974)*EXP(-((E5974-EvCenter)^2)/(2*EvSigma^2))))),"")</f>
        <v/>
      </c>
      <c r="O5974">
        <f>IF(B5974,ROUND(MAX(0,J5974*K5974*L5974*M5974*N5974),2),"")</f>
        <v/>
      </c>
    </row>
    <row r="5975">
      <c r="A5975" t="n">
        <v>5974</v>
      </c>
      <c r="B5975">
        <f>A5975&lt;=MineCount*Days</f>
        <v/>
      </c>
      <c r="C5975">
        <f>IF(B5975,INT((A5975-1)/Days)+1,"")</f>
        <v/>
      </c>
      <c r="D5975">
        <f>IF(B5975,MOD(A5975-1,Days),"")</f>
        <v/>
      </c>
      <c r="E5975" s="16">
        <f>IF(B5975,StartDate+D5975,"")</f>
        <v/>
      </c>
      <c r="F5975">
        <f>IF(B5975,MAX(MOD(SIN(Seed*0.1373+C5975*12.9898+D5975*78.233)*43758.5453,1),1E-9),"")</f>
        <v/>
      </c>
      <c r="G5975">
        <f>IF(B5975,MOD(SIN(Seed*0.5917+C5975*39.3468+D5975*11.135)*24634.6345,1),"")</f>
        <v/>
      </c>
      <c r="H5975">
        <f>IF(B5975,SQRT(-2*LN(F5975))*COS(2*PI()*G5975),"")</f>
        <v/>
      </c>
      <c r="I5975">
        <f>IF(B5975,IF(D5975=0,H5975,Rho*I5974+SQRT(1-Rho^2)*H5975),"")</f>
        <v/>
      </c>
      <c r="J5975">
        <f>IF(B5975,IF(Dist="Normal",DistA+DistB*I5975,DistA+(DistB-DistA)*NORMSDIST(I5975)),"")</f>
        <v/>
      </c>
      <c r="K5975">
        <f>IF(B5975,INDEX(MineScale,C5975),"")</f>
        <v/>
      </c>
      <c r="L5975">
        <f>IF(B5975,INDEX(Dow,1,WEEKDAY(E5975,2)),"")</f>
        <v/>
      </c>
      <c r="M5975">
        <f>IF(B5975,(1+Trend)^D5975,"")</f>
        <v/>
      </c>
      <c r="N5975">
        <f>IF(B5975,EXP(SUMPRODUCT(LN(1+(EvEff-1)*INDEX(Affected,0,C5975)*EXP(-((E5975-EvCenter)^2)/(2*EvSigma^2))))),"")</f>
        <v/>
      </c>
      <c r="O5975">
        <f>IF(B5975,ROUND(MAX(0,J5975*K5975*L5975*M5975*N5975),2),"")</f>
        <v/>
      </c>
    </row>
    <row r="5976">
      <c r="A5976" t="n">
        <v>5975</v>
      </c>
      <c r="B5976">
        <f>A5976&lt;=MineCount*Days</f>
        <v/>
      </c>
      <c r="C5976">
        <f>IF(B5976,INT((A5976-1)/Days)+1,"")</f>
        <v/>
      </c>
      <c r="D5976">
        <f>IF(B5976,MOD(A5976-1,Days),"")</f>
        <v/>
      </c>
      <c r="E5976" s="16">
        <f>IF(B5976,StartDate+D5976,"")</f>
        <v/>
      </c>
      <c r="F5976">
        <f>IF(B5976,MAX(MOD(SIN(Seed*0.1373+C5976*12.9898+D5976*78.233)*43758.5453,1),1E-9),"")</f>
        <v/>
      </c>
      <c r="G5976">
        <f>IF(B5976,MOD(SIN(Seed*0.5917+C5976*39.3468+D5976*11.135)*24634.6345,1),"")</f>
        <v/>
      </c>
      <c r="H5976">
        <f>IF(B5976,SQRT(-2*LN(F5976))*COS(2*PI()*G5976),"")</f>
        <v/>
      </c>
      <c r="I5976">
        <f>IF(B5976,IF(D5976=0,H5976,Rho*I5975+SQRT(1-Rho^2)*H5976),"")</f>
        <v/>
      </c>
      <c r="J5976">
        <f>IF(B5976,IF(Dist="Normal",DistA+DistB*I5976,DistA+(DistB-DistA)*NORMSDIST(I5976)),"")</f>
        <v/>
      </c>
      <c r="K5976">
        <f>IF(B5976,INDEX(MineScale,C5976),"")</f>
        <v/>
      </c>
      <c r="L5976">
        <f>IF(B5976,INDEX(Dow,1,WEEKDAY(E5976,2)),"")</f>
        <v/>
      </c>
      <c r="M5976">
        <f>IF(B5976,(1+Trend)^D5976,"")</f>
        <v/>
      </c>
      <c r="N5976">
        <f>IF(B5976,EXP(SUMPRODUCT(LN(1+(EvEff-1)*INDEX(Affected,0,C5976)*EXP(-((E5976-EvCenter)^2)/(2*EvSigma^2))))),"")</f>
        <v/>
      </c>
      <c r="O5976">
        <f>IF(B5976,ROUND(MAX(0,J5976*K5976*L5976*M5976*N5976),2),"")</f>
        <v/>
      </c>
    </row>
    <row r="5977">
      <c r="A5977" t="n">
        <v>5976</v>
      </c>
      <c r="B5977">
        <f>A5977&lt;=MineCount*Days</f>
        <v/>
      </c>
      <c r="C5977">
        <f>IF(B5977,INT((A5977-1)/Days)+1,"")</f>
        <v/>
      </c>
      <c r="D5977">
        <f>IF(B5977,MOD(A5977-1,Days),"")</f>
        <v/>
      </c>
      <c r="E5977" s="16">
        <f>IF(B5977,StartDate+D5977,"")</f>
        <v/>
      </c>
      <c r="F5977">
        <f>IF(B5977,MAX(MOD(SIN(Seed*0.1373+C5977*12.9898+D5977*78.233)*43758.5453,1),1E-9),"")</f>
        <v/>
      </c>
      <c r="G5977">
        <f>IF(B5977,MOD(SIN(Seed*0.5917+C5977*39.3468+D5977*11.135)*24634.6345,1),"")</f>
        <v/>
      </c>
      <c r="H5977">
        <f>IF(B5977,SQRT(-2*LN(F5977))*COS(2*PI()*G5977),"")</f>
        <v/>
      </c>
      <c r="I5977">
        <f>IF(B5977,IF(D5977=0,H5977,Rho*I5976+SQRT(1-Rho^2)*H5977),"")</f>
        <v/>
      </c>
      <c r="J5977">
        <f>IF(B5977,IF(Dist="Normal",DistA+DistB*I5977,DistA+(DistB-DistA)*NORMSDIST(I5977)),"")</f>
        <v/>
      </c>
      <c r="K5977">
        <f>IF(B5977,INDEX(MineScale,C5977),"")</f>
        <v/>
      </c>
      <c r="L5977">
        <f>IF(B5977,INDEX(Dow,1,WEEKDAY(E5977,2)),"")</f>
        <v/>
      </c>
      <c r="M5977">
        <f>IF(B5977,(1+Trend)^D5977,"")</f>
        <v/>
      </c>
      <c r="N5977">
        <f>IF(B5977,EXP(SUMPRODUCT(LN(1+(EvEff-1)*INDEX(Affected,0,C5977)*EXP(-((E5977-EvCenter)^2)/(2*EvSigma^2))))),"")</f>
        <v/>
      </c>
      <c r="O5977">
        <f>IF(B5977,ROUND(MAX(0,J5977*K5977*L5977*M5977*N5977),2),"")</f>
        <v/>
      </c>
    </row>
    <row r="5978">
      <c r="A5978" t="n">
        <v>5977</v>
      </c>
      <c r="B5978">
        <f>A5978&lt;=MineCount*Days</f>
        <v/>
      </c>
      <c r="C5978">
        <f>IF(B5978,INT((A5978-1)/Days)+1,"")</f>
        <v/>
      </c>
      <c r="D5978">
        <f>IF(B5978,MOD(A5978-1,Days),"")</f>
        <v/>
      </c>
      <c r="E5978" s="16">
        <f>IF(B5978,StartDate+D5978,"")</f>
        <v/>
      </c>
      <c r="F5978">
        <f>IF(B5978,MAX(MOD(SIN(Seed*0.1373+C5978*12.9898+D5978*78.233)*43758.5453,1),1E-9),"")</f>
        <v/>
      </c>
      <c r="G5978">
        <f>IF(B5978,MOD(SIN(Seed*0.5917+C5978*39.3468+D5978*11.135)*24634.6345,1),"")</f>
        <v/>
      </c>
      <c r="H5978">
        <f>IF(B5978,SQRT(-2*LN(F5978))*COS(2*PI()*G5978),"")</f>
        <v/>
      </c>
      <c r="I5978">
        <f>IF(B5978,IF(D5978=0,H5978,Rho*I5977+SQRT(1-Rho^2)*H5978),"")</f>
        <v/>
      </c>
      <c r="J5978">
        <f>IF(B5978,IF(Dist="Normal",DistA+DistB*I5978,DistA+(DistB-DistA)*NORMSDIST(I5978)),"")</f>
        <v/>
      </c>
      <c r="K5978">
        <f>IF(B5978,INDEX(MineScale,C5978),"")</f>
        <v/>
      </c>
      <c r="L5978">
        <f>IF(B5978,INDEX(Dow,1,WEEKDAY(E5978,2)),"")</f>
        <v/>
      </c>
      <c r="M5978">
        <f>IF(B5978,(1+Trend)^D5978,"")</f>
        <v/>
      </c>
      <c r="N5978">
        <f>IF(B5978,EXP(SUMPRODUCT(LN(1+(EvEff-1)*INDEX(Affected,0,C5978)*EXP(-((E5978-EvCenter)^2)/(2*EvSigma^2))))),"")</f>
        <v/>
      </c>
      <c r="O5978">
        <f>IF(B5978,ROUND(MAX(0,J5978*K5978*L5978*M5978*N5978),2),"")</f>
        <v/>
      </c>
    </row>
    <row r="5979">
      <c r="A5979" t="n">
        <v>5978</v>
      </c>
      <c r="B5979">
        <f>A5979&lt;=MineCount*Days</f>
        <v/>
      </c>
      <c r="C5979">
        <f>IF(B5979,INT((A5979-1)/Days)+1,"")</f>
        <v/>
      </c>
      <c r="D5979">
        <f>IF(B5979,MOD(A5979-1,Days),"")</f>
        <v/>
      </c>
      <c r="E5979" s="16">
        <f>IF(B5979,StartDate+D5979,"")</f>
        <v/>
      </c>
      <c r="F5979">
        <f>IF(B5979,MAX(MOD(SIN(Seed*0.1373+C5979*12.9898+D5979*78.233)*43758.5453,1),1E-9),"")</f>
        <v/>
      </c>
      <c r="G5979">
        <f>IF(B5979,MOD(SIN(Seed*0.5917+C5979*39.3468+D5979*11.135)*24634.6345,1),"")</f>
        <v/>
      </c>
      <c r="H5979">
        <f>IF(B5979,SQRT(-2*LN(F5979))*COS(2*PI()*G5979),"")</f>
        <v/>
      </c>
      <c r="I5979">
        <f>IF(B5979,IF(D5979=0,H5979,Rho*I5978+SQRT(1-Rho^2)*H5979),"")</f>
        <v/>
      </c>
      <c r="J5979">
        <f>IF(B5979,IF(Dist="Normal",DistA+DistB*I5979,DistA+(DistB-DistA)*NORMSDIST(I5979)),"")</f>
        <v/>
      </c>
      <c r="K5979">
        <f>IF(B5979,INDEX(MineScale,C5979),"")</f>
        <v/>
      </c>
      <c r="L5979">
        <f>IF(B5979,INDEX(Dow,1,WEEKDAY(E5979,2)),"")</f>
        <v/>
      </c>
      <c r="M5979">
        <f>IF(B5979,(1+Trend)^D5979,"")</f>
        <v/>
      </c>
      <c r="N5979">
        <f>IF(B5979,EXP(SUMPRODUCT(LN(1+(EvEff-1)*INDEX(Affected,0,C5979)*EXP(-((E5979-EvCenter)^2)/(2*EvSigma^2))))),"")</f>
        <v/>
      </c>
      <c r="O5979">
        <f>IF(B5979,ROUND(MAX(0,J5979*K5979*L5979*M5979*N5979),2),"")</f>
        <v/>
      </c>
    </row>
    <row r="5980">
      <c r="A5980" t="n">
        <v>5979</v>
      </c>
      <c r="B5980">
        <f>A5980&lt;=MineCount*Days</f>
        <v/>
      </c>
      <c r="C5980">
        <f>IF(B5980,INT((A5980-1)/Days)+1,"")</f>
        <v/>
      </c>
      <c r="D5980">
        <f>IF(B5980,MOD(A5980-1,Days),"")</f>
        <v/>
      </c>
      <c r="E5980" s="16">
        <f>IF(B5980,StartDate+D5980,"")</f>
        <v/>
      </c>
      <c r="F5980">
        <f>IF(B5980,MAX(MOD(SIN(Seed*0.1373+C5980*12.9898+D5980*78.233)*43758.5453,1),1E-9),"")</f>
        <v/>
      </c>
      <c r="G5980">
        <f>IF(B5980,MOD(SIN(Seed*0.5917+C5980*39.3468+D5980*11.135)*24634.6345,1),"")</f>
        <v/>
      </c>
      <c r="H5980">
        <f>IF(B5980,SQRT(-2*LN(F5980))*COS(2*PI()*G5980),"")</f>
        <v/>
      </c>
      <c r="I5980">
        <f>IF(B5980,IF(D5980=0,H5980,Rho*I5979+SQRT(1-Rho^2)*H5980),"")</f>
        <v/>
      </c>
      <c r="J5980">
        <f>IF(B5980,IF(Dist="Normal",DistA+DistB*I5980,DistA+(DistB-DistA)*NORMSDIST(I5980)),"")</f>
        <v/>
      </c>
      <c r="K5980">
        <f>IF(B5980,INDEX(MineScale,C5980),"")</f>
        <v/>
      </c>
      <c r="L5980">
        <f>IF(B5980,INDEX(Dow,1,WEEKDAY(E5980,2)),"")</f>
        <v/>
      </c>
      <c r="M5980">
        <f>IF(B5980,(1+Trend)^D5980,"")</f>
        <v/>
      </c>
      <c r="N5980">
        <f>IF(B5980,EXP(SUMPRODUCT(LN(1+(EvEff-1)*INDEX(Affected,0,C5980)*EXP(-((E5980-EvCenter)^2)/(2*EvSigma^2))))),"")</f>
        <v/>
      </c>
      <c r="O5980">
        <f>IF(B5980,ROUND(MAX(0,J5980*K5980*L5980*M5980*N5980),2),"")</f>
        <v/>
      </c>
    </row>
    <row r="5981">
      <c r="A5981" t="n">
        <v>5980</v>
      </c>
      <c r="B5981">
        <f>A5981&lt;=MineCount*Days</f>
        <v/>
      </c>
      <c r="C5981">
        <f>IF(B5981,INT((A5981-1)/Days)+1,"")</f>
        <v/>
      </c>
      <c r="D5981">
        <f>IF(B5981,MOD(A5981-1,Days),"")</f>
        <v/>
      </c>
      <c r="E5981" s="16">
        <f>IF(B5981,StartDate+D5981,"")</f>
        <v/>
      </c>
      <c r="F5981">
        <f>IF(B5981,MAX(MOD(SIN(Seed*0.1373+C5981*12.9898+D5981*78.233)*43758.5453,1),1E-9),"")</f>
        <v/>
      </c>
      <c r="G5981">
        <f>IF(B5981,MOD(SIN(Seed*0.5917+C5981*39.3468+D5981*11.135)*24634.6345,1),"")</f>
        <v/>
      </c>
      <c r="H5981">
        <f>IF(B5981,SQRT(-2*LN(F5981))*COS(2*PI()*G5981),"")</f>
        <v/>
      </c>
      <c r="I5981">
        <f>IF(B5981,IF(D5981=0,H5981,Rho*I5980+SQRT(1-Rho^2)*H5981),"")</f>
        <v/>
      </c>
      <c r="J5981">
        <f>IF(B5981,IF(Dist="Normal",DistA+DistB*I5981,DistA+(DistB-DistA)*NORMSDIST(I5981)),"")</f>
        <v/>
      </c>
      <c r="K5981">
        <f>IF(B5981,INDEX(MineScale,C5981),"")</f>
        <v/>
      </c>
      <c r="L5981">
        <f>IF(B5981,INDEX(Dow,1,WEEKDAY(E5981,2)),"")</f>
        <v/>
      </c>
      <c r="M5981">
        <f>IF(B5981,(1+Trend)^D5981,"")</f>
        <v/>
      </c>
      <c r="N5981">
        <f>IF(B5981,EXP(SUMPRODUCT(LN(1+(EvEff-1)*INDEX(Affected,0,C5981)*EXP(-((E5981-EvCenter)^2)/(2*EvSigma^2))))),"")</f>
        <v/>
      </c>
      <c r="O5981">
        <f>IF(B5981,ROUND(MAX(0,J5981*K5981*L5981*M5981*N5981),2),"")</f>
        <v/>
      </c>
    </row>
    <row r="5982">
      <c r="A5982" t="n">
        <v>5981</v>
      </c>
      <c r="B5982">
        <f>A5982&lt;=MineCount*Days</f>
        <v/>
      </c>
      <c r="C5982">
        <f>IF(B5982,INT((A5982-1)/Days)+1,"")</f>
        <v/>
      </c>
      <c r="D5982">
        <f>IF(B5982,MOD(A5982-1,Days),"")</f>
        <v/>
      </c>
      <c r="E5982" s="16">
        <f>IF(B5982,StartDate+D5982,"")</f>
        <v/>
      </c>
      <c r="F5982">
        <f>IF(B5982,MAX(MOD(SIN(Seed*0.1373+C5982*12.9898+D5982*78.233)*43758.5453,1),1E-9),"")</f>
        <v/>
      </c>
      <c r="G5982">
        <f>IF(B5982,MOD(SIN(Seed*0.5917+C5982*39.3468+D5982*11.135)*24634.6345,1),"")</f>
        <v/>
      </c>
      <c r="H5982">
        <f>IF(B5982,SQRT(-2*LN(F5982))*COS(2*PI()*G5982),"")</f>
        <v/>
      </c>
      <c r="I5982">
        <f>IF(B5982,IF(D5982=0,H5982,Rho*I5981+SQRT(1-Rho^2)*H5982),"")</f>
        <v/>
      </c>
      <c r="J5982">
        <f>IF(B5982,IF(Dist="Normal",DistA+DistB*I5982,DistA+(DistB-DistA)*NORMSDIST(I5982)),"")</f>
        <v/>
      </c>
      <c r="K5982">
        <f>IF(B5982,INDEX(MineScale,C5982),"")</f>
        <v/>
      </c>
      <c r="L5982">
        <f>IF(B5982,INDEX(Dow,1,WEEKDAY(E5982,2)),"")</f>
        <v/>
      </c>
      <c r="M5982">
        <f>IF(B5982,(1+Trend)^D5982,"")</f>
        <v/>
      </c>
      <c r="N5982">
        <f>IF(B5982,EXP(SUMPRODUCT(LN(1+(EvEff-1)*INDEX(Affected,0,C5982)*EXP(-((E5982-EvCenter)^2)/(2*EvSigma^2))))),"")</f>
        <v/>
      </c>
      <c r="O5982">
        <f>IF(B5982,ROUND(MAX(0,J5982*K5982*L5982*M5982*N5982),2),"")</f>
        <v/>
      </c>
    </row>
    <row r="5983">
      <c r="A5983" t="n">
        <v>5982</v>
      </c>
      <c r="B5983">
        <f>A5983&lt;=MineCount*Days</f>
        <v/>
      </c>
      <c r="C5983">
        <f>IF(B5983,INT((A5983-1)/Days)+1,"")</f>
        <v/>
      </c>
      <c r="D5983">
        <f>IF(B5983,MOD(A5983-1,Days),"")</f>
        <v/>
      </c>
      <c r="E5983" s="16">
        <f>IF(B5983,StartDate+D5983,"")</f>
        <v/>
      </c>
      <c r="F5983">
        <f>IF(B5983,MAX(MOD(SIN(Seed*0.1373+C5983*12.9898+D5983*78.233)*43758.5453,1),1E-9),"")</f>
        <v/>
      </c>
      <c r="G5983">
        <f>IF(B5983,MOD(SIN(Seed*0.5917+C5983*39.3468+D5983*11.135)*24634.6345,1),"")</f>
        <v/>
      </c>
      <c r="H5983">
        <f>IF(B5983,SQRT(-2*LN(F5983))*COS(2*PI()*G5983),"")</f>
        <v/>
      </c>
      <c r="I5983">
        <f>IF(B5983,IF(D5983=0,H5983,Rho*I5982+SQRT(1-Rho^2)*H5983),"")</f>
        <v/>
      </c>
      <c r="J5983">
        <f>IF(B5983,IF(Dist="Normal",DistA+DistB*I5983,DistA+(DistB-DistA)*NORMSDIST(I5983)),"")</f>
        <v/>
      </c>
      <c r="K5983">
        <f>IF(B5983,INDEX(MineScale,C5983),"")</f>
        <v/>
      </c>
      <c r="L5983">
        <f>IF(B5983,INDEX(Dow,1,WEEKDAY(E5983,2)),"")</f>
        <v/>
      </c>
      <c r="M5983">
        <f>IF(B5983,(1+Trend)^D5983,"")</f>
        <v/>
      </c>
      <c r="N5983">
        <f>IF(B5983,EXP(SUMPRODUCT(LN(1+(EvEff-1)*INDEX(Affected,0,C5983)*EXP(-((E5983-EvCenter)^2)/(2*EvSigma^2))))),"")</f>
        <v/>
      </c>
      <c r="O5983">
        <f>IF(B5983,ROUND(MAX(0,J5983*K5983*L5983*M5983*N5983),2),"")</f>
        <v/>
      </c>
    </row>
    <row r="5984">
      <c r="A5984" t="n">
        <v>5983</v>
      </c>
      <c r="B5984">
        <f>A5984&lt;=MineCount*Days</f>
        <v/>
      </c>
      <c r="C5984">
        <f>IF(B5984,INT((A5984-1)/Days)+1,"")</f>
        <v/>
      </c>
      <c r="D5984">
        <f>IF(B5984,MOD(A5984-1,Days),"")</f>
        <v/>
      </c>
      <c r="E5984" s="16">
        <f>IF(B5984,StartDate+D5984,"")</f>
        <v/>
      </c>
      <c r="F5984">
        <f>IF(B5984,MAX(MOD(SIN(Seed*0.1373+C5984*12.9898+D5984*78.233)*43758.5453,1),1E-9),"")</f>
        <v/>
      </c>
      <c r="G5984">
        <f>IF(B5984,MOD(SIN(Seed*0.5917+C5984*39.3468+D5984*11.135)*24634.6345,1),"")</f>
        <v/>
      </c>
      <c r="H5984">
        <f>IF(B5984,SQRT(-2*LN(F5984))*COS(2*PI()*G5984),"")</f>
        <v/>
      </c>
      <c r="I5984">
        <f>IF(B5984,IF(D5984=0,H5984,Rho*I5983+SQRT(1-Rho^2)*H5984),"")</f>
        <v/>
      </c>
      <c r="J5984">
        <f>IF(B5984,IF(Dist="Normal",DistA+DistB*I5984,DistA+(DistB-DistA)*NORMSDIST(I5984)),"")</f>
        <v/>
      </c>
      <c r="K5984">
        <f>IF(B5984,INDEX(MineScale,C5984),"")</f>
        <v/>
      </c>
      <c r="L5984">
        <f>IF(B5984,INDEX(Dow,1,WEEKDAY(E5984,2)),"")</f>
        <v/>
      </c>
      <c r="M5984">
        <f>IF(B5984,(1+Trend)^D5984,"")</f>
        <v/>
      </c>
      <c r="N5984">
        <f>IF(B5984,EXP(SUMPRODUCT(LN(1+(EvEff-1)*INDEX(Affected,0,C5984)*EXP(-((E5984-EvCenter)^2)/(2*EvSigma^2))))),"")</f>
        <v/>
      </c>
      <c r="O5984">
        <f>IF(B5984,ROUND(MAX(0,J5984*K5984*L5984*M5984*N5984),2),"")</f>
        <v/>
      </c>
    </row>
    <row r="5985">
      <c r="A5985" t="n">
        <v>5984</v>
      </c>
      <c r="B5985">
        <f>A5985&lt;=MineCount*Days</f>
        <v/>
      </c>
      <c r="C5985">
        <f>IF(B5985,INT((A5985-1)/Days)+1,"")</f>
        <v/>
      </c>
      <c r="D5985">
        <f>IF(B5985,MOD(A5985-1,Days),"")</f>
        <v/>
      </c>
      <c r="E5985" s="16">
        <f>IF(B5985,StartDate+D5985,"")</f>
        <v/>
      </c>
      <c r="F5985">
        <f>IF(B5985,MAX(MOD(SIN(Seed*0.1373+C5985*12.9898+D5985*78.233)*43758.5453,1),1E-9),"")</f>
        <v/>
      </c>
      <c r="G5985">
        <f>IF(B5985,MOD(SIN(Seed*0.5917+C5985*39.3468+D5985*11.135)*24634.6345,1),"")</f>
        <v/>
      </c>
      <c r="H5985">
        <f>IF(B5985,SQRT(-2*LN(F5985))*COS(2*PI()*G5985),"")</f>
        <v/>
      </c>
      <c r="I5985">
        <f>IF(B5985,IF(D5985=0,H5985,Rho*I5984+SQRT(1-Rho^2)*H5985),"")</f>
        <v/>
      </c>
      <c r="J5985">
        <f>IF(B5985,IF(Dist="Normal",DistA+DistB*I5985,DistA+(DistB-DistA)*NORMSDIST(I5985)),"")</f>
        <v/>
      </c>
      <c r="K5985">
        <f>IF(B5985,INDEX(MineScale,C5985),"")</f>
        <v/>
      </c>
      <c r="L5985">
        <f>IF(B5985,INDEX(Dow,1,WEEKDAY(E5985,2)),"")</f>
        <v/>
      </c>
      <c r="M5985">
        <f>IF(B5985,(1+Trend)^D5985,"")</f>
        <v/>
      </c>
      <c r="N5985">
        <f>IF(B5985,EXP(SUMPRODUCT(LN(1+(EvEff-1)*INDEX(Affected,0,C5985)*EXP(-((E5985-EvCenter)^2)/(2*EvSigma^2))))),"")</f>
        <v/>
      </c>
      <c r="O5985">
        <f>IF(B5985,ROUND(MAX(0,J5985*K5985*L5985*M5985*N5985),2),"")</f>
        <v/>
      </c>
    </row>
    <row r="5986">
      <c r="A5986" t="n">
        <v>5985</v>
      </c>
      <c r="B5986">
        <f>A5986&lt;=MineCount*Days</f>
        <v/>
      </c>
      <c r="C5986">
        <f>IF(B5986,INT((A5986-1)/Days)+1,"")</f>
        <v/>
      </c>
      <c r="D5986">
        <f>IF(B5986,MOD(A5986-1,Days),"")</f>
        <v/>
      </c>
      <c r="E5986" s="16">
        <f>IF(B5986,StartDate+D5986,"")</f>
        <v/>
      </c>
      <c r="F5986">
        <f>IF(B5986,MAX(MOD(SIN(Seed*0.1373+C5986*12.9898+D5986*78.233)*43758.5453,1),1E-9),"")</f>
        <v/>
      </c>
      <c r="G5986">
        <f>IF(B5986,MOD(SIN(Seed*0.5917+C5986*39.3468+D5986*11.135)*24634.6345,1),"")</f>
        <v/>
      </c>
      <c r="H5986">
        <f>IF(B5986,SQRT(-2*LN(F5986))*COS(2*PI()*G5986),"")</f>
        <v/>
      </c>
      <c r="I5986">
        <f>IF(B5986,IF(D5986=0,H5986,Rho*I5985+SQRT(1-Rho^2)*H5986),"")</f>
        <v/>
      </c>
      <c r="J5986">
        <f>IF(B5986,IF(Dist="Normal",DistA+DistB*I5986,DistA+(DistB-DistA)*NORMSDIST(I5986)),"")</f>
        <v/>
      </c>
      <c r="K5986">
        <f>IF(B5986,INDEX(MineScale,C5986),"")</f>
        <v/>
      </c>
      <c r="L5986">
        <f>IF(B5986,INDEX(Dow,1,WEEKDAY(E5986,2)),"")</f>
        <v/>
      </c>
      <c r="M5986">
        <f>IF(B5986,(1+Trend)^D5986,"")</f>
        <v/>
      </c>
      <c r="N5986">
        <f>IF(B5986,EXP(SUMPRODUCT(LN(1+(EvEff-1)*INDEX(Affected,0,C5986)*EXP(-((E5986-EvCenter)^2)/(2*EvSigma^2))))),"")</f>
        <v/>
      </c>
      <c r="O5986">
        <f>IF(B5986,ROUND(MAX(0,J5986*K5986*L5986*M5986*N5986),2),"")</f>
        <v/>
      </c>
    </row>
    <row r="5987">
      <c r="A5987" t="n">
        <v>5986</v>
      </c>
      <c r="B5987">
        <f>A5987&lt;=MineCount*Days</f>
        <v/>
      </c>
      <c r="C5987">
        <f>IF(B5987,INT((A5987-1)/Days)+1,"")</f>
        <v/>
      </c>
      <c r="D5987">
        <f>IF(B5987,MOD(A5987-1,Days),"")</f>
        <v/>
      </c>
      <c r="E5987" s="16">
        <f>IF(B5987,StartDate+D5987,"")</f>
        <v/>
      </c>
      <c r="F5987">
        <f>IF(B5987,MAX(MOD(SIN(Seed*0.1373+C5987*12.9898+D5987*78.233)*43758.5453,1),1E-9),"")</f>
        <v/>
      </c>
      <c r="G5987">
        <f>IF(B5987,MOD(SIN(Seed*0.5917+C5987*39.3468+D5987*11.135)*24634.6345,1),"")</f>
        <v/>
      </c>
      <c r="H5987">
        <f>IF(B5987,SQRT(-2*LN(F5987))*COS(2*PI()*G5987),"")</f>
        <v/>
      </c>
      <c r="I5987">
        <f>IF(B5987,IF(D5987=0,H5987,Rho*I5986+SQRT(1-Rho^2)*H5987),"")</f>
        <v/>
      </c>
      <c r="J5987">
        <f>IF(B5987,IF(Dist="Normal",DistA+DistB*I5987,DistA+(DistB-DistA)*NORMSDIST(I5987)),"")</f>
        <v/>
      </c>
      <c r="K5987">
        <f>IF(B5987,INDEX(MineScale,C5987),"")</f>
        <v/>
      </c>
      <c r="L5987">
        <f>IF(B5987,INDEX(Dow,1,WEEKDAY(E5987,2)),"")</f>
        <v/>
      </c>
      <c r="M5987">
        <f>IF(B5987,(1+Trend)^D5987,"")</f>
        <v/>
      </c>
      <c r="N5987">
        <f>IF(B5987,EXP(SUMPRODUCT(LN(1+(EvEff-1)*INDEX(Affected,0,C5987)*EXP(-((E5987-EvCenter)^2)/(2*EvSigma^2))))),"")</f>
        <v/>
      </c>
      <c r="O5987">
        <f>IF(B5987,ROUND(MAX(0,J5987*K5987*L5987*M5987*N5987),2),"")</f>
        <v/>
      </c>
    </row>
    <row r="5988">
      <c r="A5988" t="n">
        <v>5987</v>
      </c>
      <c r="B5988">
        <f>A5988&lt;=MineCount*Days</f>
        <v/>
      </c>
      <c r="C5988">
        <f>IF(B5988,INT((A5988-1)/Days)+1,"")</f>
        <v/>
      </c>
      <c r="D5988">
        <f>IF(B5988,MOD(A5988-1,Days),"")</f>
        <v/>
      </c>
      <c r="E5988" s="16">
        <f>IF(B5988,StartDate+D5988,"")</f>
        <v/>
      </c>
      <c r="F5988">
        <f>IF(B5988,MAX(MOD(SIN(Seed*0.1373+C5988*12.9898+D5988*78.233)*43758.5453,1),1E-9),"")</f>
        <v/>
      </c>
      <c r="G5988">
        <f>IF(B5988,MOD(SIN(Seed*0.5917+C5988*39.3468+D5988*11.135)*24634.6345,1),"")</f>
        <v/>
      </c>
      <c r="H5988">
        <f>IF(B5988,SQRT(-2*LN(F5988))*COS(2*PI()*G5988),"")</f>
        <v/>
      </c>
      <c r="I5988">
        <f>IF(B5988,IF(D5988=0,H5988,Rho*I5987+SQRT(1-Rho^2)*H5988),"")</f>
        <v/>
      </c>
      <c r="J5988">
        <f>IF(B5988,IF(Dist="Normal",DistA+DistB*I5988,DistA+(DistB-DistA)*NORMSDIST(I5988)),"")</f>
        <v/>
      </c>
      <c r="K5988">
        <f>IF(B5988,INDEX(MineScale,C5988),"")</f>
        <v/>
      </c>
      <c r="L5988">
        <f>IF(B5988,INDEX(Dow,1,WEEKDAY(E5988,2)),"")</f>
        <v/>
      </c>
      <c r="M5988">
        <f>IF(B5988,(1+Trend)^D5988,"")</f>
        <v/>
      </c>
      <c r="N5988">
        <f>IF(B5988,EXP(SUMPRODUCT(LN(1+(EvEff-1)*INDEX(Affected,0,C5988)*EXP(-((E5988-EvCenter)^2)/(2*EvSigma^2))))),"")</f>
        <v/>
      </c>
      <c r="O5988">
        <f>IF(B5988,ROUND(MAX(0,J5988*K5988*L5988*M5988*N5988),2),"")</f>
        <v/>
      </c>
    </row>
    <row r="5989">
      <c r="A5989" t="n">
        <v>5988</v>
      </c>
      <c r="B5989">
        <f>A5989&lt;=MineCount*Days</f>
        <v/>
      </c>
      <c r="C5989">
        <f>IF(B5989,INT((A5989-1)/Days)+1,"")</f>
        <v/>
      </c>
      <c r="D5989">
        <f>IF(B5989,MOD(A5989-1,Days),"")</f>
        <v/>
      </c>
      <c r="E5989" s="16">
        <f>IF(B5989,StartDate+D5989,"")</f>
        <v/>
      </c>
      <c r="F5989">
        <f>IF(B5989,MAX(MOD(SIN(Seed*0.1373+C5989*12.9898+D5989*78.233)*43758.5453,1),1E-9),"")</f>
        <v/>
      </c>
      <c r="G5989">
        <f>IF(B5989,MOD(SIN(Seed*0.5917+C5989*39.3468+D5989*11.135)*24634.6345,1),"")</f>
        <v/>
      </c>
      <c r="H5989">
        <f>IF(B5989,SQRT(-2*LN(F5989))*COS(2*PI()*G5989),"")</f>
        <v/>
      </c>
      <c r="I5989">
        <f>IF(B5989,IF(D5989=0,H5989,Rho*I5988+SQRT(1-Rho^2)*H5989),"")</f>
        <v/>
      </c>
      <c r="J5989">
        <f>IF(B5989,IF(Dist="Normal",DistA+DistB*I5989,DistA+(DistB-DistA)*NORMSDIST(I5989)),"")</f>
        <v/>
      </c>
      <c r="K5989">
        <f>IF(B5989,INDEX(MineScale,C5989),"")</f>
        <v/>
      </c>
      <c r="L5989">
        <f>IF(B5989,INDEX(Dow,1,WEEKDAY(E5989,2)),"")</f>
        <v/>
      </c>
      <c r="M5989">
        <f>IF(B5989,(1+Trend)^D5989,"")</f>
        <v/>
      </c>
      <c r="N5989">
        <f>IF(B5989,EXP(SUMPRODUCT(LN(1+(EvEff-1)*INDEX(Affected,0,C5989)*EXP(-((E5989-EvCenter)^2)/(2*EvSigma^2))))),"")</f>
        <v/>
      </c>
      <c r="O5989">
        <f>IF(B5989,ROUND(MAX(0,J5989*K5989*L5989*M5989*N5989),2),"")</f>
        <v/>
      </c>
    </row>
    <row r="5990">
      <c r="A5990" t="n">
        <v>5989</v>
      </c>
      <c r="B5990">
        <f>A5990&lt;=MineCount*Days</f>
        <v/>
      </c>
      <c r="C5990">
        <f>IF(B5990,INT((A5990-1)/Days)+1,"")</f>
        <v/>
      </c>
      <c r="D5990">
        <f>IF(B5990,MOD(A5990-1,Days),"")</f>
        <v/>
      </c>
      <c r="E5990" s="16">
        <f>IF(B5990,StartDate+D5990,"")</f>
        <v/>
      </c>
      <c r="F5990">
        <f>IF(B5990,MAX(MOD(SIN(Seed*0.1373+C5990*12.9898+D5990*78.233)*43758.5453,1),1E-9),"")</f>
        <v/>
      </c>
      <c r="G5990">
        <f>IF(B5990,MOD(SIN(Seed*0.5917+C5990*39.3468+D5990*11.135)*24634.6345,1),"")</f>
        <v/>
      </c>
      <c r="H5990">
        <f>IF(B5990,SQRT(-2*LN(F5990))*COS(2*PI()*G5990),"")</f>
        <v/>
      </c>
      <c r="I5990">
        <f>IF(B5990,IF(D5990=0,H5990,Rho*I5989+SQRT(1-Rho^2)*H5990),"")</f>
        <v/>
      </c>
      <c r="J5990">
        <f>IF(B5990,IF(Dist="Normal",DistA+DistB*I5990,DistA+(DistB-DistA)*NORMSDIST(I5990)),"")</f>
        <v/>
      </c>
      <c r="K5990">
        <f>IF(B5990,INDEX(MineScale,C5990),"")</f>
        <v/>
      </c>
      <c r="L5990">
        <f>IF(B5990,INDEX(Dow,1,WEEKDAY(E5990,2)),"")</f>
        <v/>
      </c>
      <c r="M5990">
        <f>IF(B5990,(1+Trend)^D5990,"")</f>
        <v/>
      </c>
      <c r="N5990">
        <f>IF(B5990,EXP(SUMPRODUCT(LN(1+(EvEff-1)*INDEX(Affected,0,C5990)*EXP(-((E5990-EvCenter)^2)/(2*EvSigma^2))))),"")</f>
        <v/>
      </c>
      <c r="O5990">
        <f>IF(B5990,ROUND(MAX(0,J5990*K5990*L5990*M5990*N5990),2),"")</f>
        <v/>
      </c>
    </row>
    <row r="5991">
      <c r="A5991" t="n">
        <v>5990</v>
      </c>
      <c r="B5991">
        <f>A5991&lt;=MineCount*Days</f>
        <v/>
      </c>
      <c r="C5991">
        <f>IF(B5991,INT((A5991-1)/Days)+1,"")</f>
        <v/>
      </c>
      <c r="D5991">
        <f>IF(B5991,MOD(A5991-1,Days),"")</f>
        <v/>
      </c>
      <c r="E5991" s="16">
        <f>IF(B5991,StartDate+D5991,"")</f>
        <v/>
      </c>
      <c r="F5991">
        <f>IF(B5991,MAX(MOD(SIN(Seed*0.1373+C5991*12.9898+D5991*78.233)*43758.5453,1),1E-9),"")</f>
        <v/>
      </c>
      <c r="G5991">
        <f>IF(B5991,MOD(SIN(Seed*0.5917+C5991*39.3468+D5991*11.135)*24634.6345,1),"")</f>
        <v/>
      </c>
      <c r="H5991">
        <f>IF(B5991,SQRT(-2*LN(F5991))*COS(2*PI()*G5991),"")</f>
        <v/>
      </c>
      <c r="I5991">
        <f>IF(B5991,IF(D5991=0,H5991,Rho*I5990+SQRT(1-Rho^2)*H5991),"")</f>
        <v/>
      </c>
      <c r="J5991">
        <f>IF(B5991,IF(Dist="Normal",DistA+DistB*I5991,DistA+(DistB-DistA)*NORMSDIST(I5991)),"")</f>
        <v/>
      </c>
      <c r="K5991">
        <f>IF(B5991,INDEX(MineScale,C5991),"")</f>
        <v/>
      </c>
      <c r="L5991">
        <f>IF(B5991,INDEX(Dow,1,WEEKDAY(E5991,2)),"")</f>
        <v/>
      </c>
      <c r="M5991">
        <f>IF(B5991,(1+Trend)^D5991,"")</f>
        <v/>
      </c>
      <c r="N5991">
        <f>IF(B5991,EXP(SUMPRODUCT(LN(1+(EvEff-1)*INDEX(Affected,0,C5991)*EXP(-((E5991-EvCenter)^2)/(2*EvSigma^2))))),"")</f>
        <v/>
      </c>
      <c r="O5991">
        <f>IF(B5991,ROUND(MAX(0,J5991*K5991*L5991*M5991*N5991),2),"")</f>
        <v/>
      </c>
    </row>
    <row r="5992">
      <c r="A5992" t="n">
        <v>5991</v>
      </c>
      <c r="B5992">
        <f>A5992&lt;=MineCount*Days</f>
        <v/>
      </c>
      <c r="C5992">
        <f>IF(B5992,INT((A5992-1)/Days)+1,"")</f>
        <v/>
      </c>
      <c r="D5992">
        <f>IF(B5992,MOD(A5992-1,Days),"")</f>
        <v/>
      </c>
      <c r="E5992" s="16">
        <f>IF(B5992,StartDate+D5992,"")</f>
        <v/>
      </c>
      <c r="F5992">
        <f>IF(B5992,MAX(MOD(SIN(Seed*0.1373+C5992*12.9898+D5992*78.233)*43758.5453,1),1E-9),"")</f>
        <v/>
      </c>
      <c r="G5992">
        <f>IF(B5992,MOD(SIN(Seed*0.5917+C5992*39.3468+D5992*11.135)*24634.6345,1),"")</f>
        <v/>
      </c>
      <c r="H5992">
        <f>IF(B5992,SQRT(-2*LN(F5992))*COS(2*PI()*G5992),"")</f>
        <v/>
      </c>
      <c r="I5992">
        <f>IF(B5992,IF(D5992=0,H5992,Rho*I5991+SQRT(1-Rho^2)*H5992),"")</f>
        <v/>
      </c>
      <c r="J5992">
        <f>IF(B5992,IF(Dist="Normal",DistA+DistB*I5992,DistA+(DistB-DistA)*NORMSDIST(I5992)),"")</f>
        <v/>
      </c>
      <c r="K5992">
        <f>IF(B5992,INDEX(MineScale,C5992),"")</f>
        <v/>
      </c>
      <c r="L5992">
        <f>IF(B5992,INDEX(Dow,1,WEEKDAY(E5992,2)),"")</f>
        <v/>
      </c>
      <c r="M5992">
        <f>IF(B5992,(1+Trend)^D5992,"")</f>
        <v/>
      </c>
      <c r="N5992">
        <f>IF(B5992,EXP(SUMPRODUCT(LN(1+(EvEff-1)*INDEX(Affected,0,C5992)*EXP(-((E5992-EvCenter)^2)/(2*EvSigma^2))))),"")</f>
        <v/>
      </c>
      <c r="O5992">
        <f>IF(B5992,ROUND(MAX(0,J5992*K5992*L5992*M5992*N5992),2),"")</f>
        <v/>
      </c>
    </row>
    <row r="5993">
      <c r="A5993" t="n">
        <v>5992</v>
      </c>
      <c r="B5993">
        <f>A5993&lt;=MineCount*Days</f>
        <v/>
      </c>
      <c r="C5993">
        <f>IF(B5993,INT((A5993-1)/Days)+1,"")</f>
        <v/>
      </c>
      <c r="D5993">
        <f>IF(B5993,MOD(A5993-1,Days),"")</f>
        <v/>
      </c>
      <c r="E5993" s="16">
        <f>IF(B5993,StartDate+D5993,"")</f>
        <v/>
      </c>
      <c r="F5993">
        <f>IF(B5993,MAX(MOD(SIN(Seed*0.1373+C5993*12.9898+D5993*78.233)*43758.5453,1),1E-9),"")</f>
        <v/>
      </c>
      <c r="G5993">
        <f>IF(B5993,MOD(SIN(Seed*0.5917+C5993*39.3468+D5993*11.135)*24634.6345,1),"")</f>
        <v/>
      </c>
      <c r="H5993">
        <f>IF(B5993,SQRT(-2*LN(F5993))*COS(2*PI()*G5993),"")</f>
        <v/>
      </c>
      <c r="I5993">
        <f>IF(B5993,IF(D5993=0,H5993,Rho*I5992+SQRT(1-Rho^2)*H5993),"")</f>
        <v/>
      </c>
      <c r="J5993">
        <f>IF(B5993,IF(Dist="Normal",DistA+DistB*I5993,DistA+(DistB-DistA)*NORMSDIST(I5993)),"")</f>
        <v/>
      </c>
      <c r="K5993">
        <f>IF(B5993,INDEX(MineScale,C5993),"")</f>
        <v/>
      </c>
      <c r="L5993">
        <f>IF(B5993,INDEX(Dow,1,WEEKDAY(E5993,2)),"")</f>
        <v/>
      </c>
      <c r="M5993">
        <f>IF(B5993,(1+Trend)^D5993,"")</f>
        <v/>
      </c>
      <c r="N5993">
        <f>IF(B5993,EXP(SUMPRODUCT(LN(1+(EvEff-1)*INDEX(Affected,0,C5993)*EXP(-((E5993-EvCenter)^2)/(2*EvSigma^2))))),"")</f>
        <v/>
      </c>
      <c r="O5993">
        <f>IF(B5993,ROUND(MAX(0,J5993*K5993*L5993*M5993*N5993),2),"")</f>
        <v/>
      </c>
    </row>
    <row r="5994">
      <c r="A5994" t="n">
        <v>5993</v>
      </c>
      <c r="B5994">
        <f>A5994&lt;=MineCount*Days</f>
        <v/>
      </c>
      <c r="C5994">
        <f>IF(B5994,INT((A5994-1)/Days)+1,"")</f>
        <v/>
      </c>
      <c r="D5994">
        <f>IF(B5994,MOD(A5994-1,Days),"")</f>
        <v/>
      </c>
      <c r="E5994" s="16">
        <f>IF(B5994,StartDate+D5994,"")</f>
        <v/>
      </c>
      <c r="F5994">
        <f>IF(B5994,MAX(MOD(SIN(Seed*0.1373+C5994*12.9898+D5994*78.233)*43758.5453,1),1E-9),"")</f>
        <v/>
      </c>
      <c r="G5994">
        <f>IF(B5994,MOD(SIN(Seed*0.5917+C5994*39.3468+D5994*11.135)*24634.6345,1),"")</f>
        <v/>
      </c>
      <c r="H5994">
        <f>IF(B5994,SQRT(-2*LN(F5994))*COS(2*PI()*G5994),"")</f>
        <v/>
      </c>
      <c r="I5994">
        <f>IF(B5994,IF(D5994=0,H5994,Rho*I5993+SQRT(1-Rho^2)*H5994),"")</f>
        <v/>
      </c>
      <c r="J5994">
        <f>IF(B5994,IF(Dist="Normal",DistA+DistB*I5994,DistA+(DistB-DistA)*NORMSDIST(I5994)),"")</f>
        <v/>
      </c>
      <c r="K5994">
        <f>IF(B5994,INDEX(MineScale,C5994),"")</f>
        <v/>
      </c>
      <c r="L5994">
        <f>IF(B5994,INDEX(Dow,1,WEEKDAY(E5994,2)),"")</f>
        <v/>
      </c>
      <c r="M5994">
        <f>IF(B5994,(1+Trend)^D5994,"")</f>
        <v/>
      </c>
      <c r="N5994">
        <f>IF(B5994,EXP(SUMPRODUCT(LN(1+(EvEff-1)*INDEX(Affected,0,C5994)*EXP(-((E5994-EvCenter)^2)/(2*EvSigma^2))))),"")</f>
        <v/>
      </c>
      <c r="O5994">
        <f>IF(B5994,ROUND(MAX(0,J5994*K5994*L5994*M5994*N5994),2),"")</f>
        <v/>
      </c>
    </row>
    <row r="5995">
      <c r="A5995" t="n">
        <v>5994</v>
      </c>
      <c r="B5995">
        <f>A5995&lt;=MineCount*Days</f>
        <v/>
      </c>
      <c r="C5995">
        <f>IF(B5995,INT((A5995-1)/Days)+1,"")</f>
        <v/>
      </c>
      <c r="D5995">
        <f>IF(B5995,MOD(A5995-1,Days),"")</f>
        <v/>
      </c>
      <c r="E5995" s="16">
        <f>IF(B5995,StartDate+D5995,"")</f>
        <v/>
      </c>
      <c r="F5995">
        <f>IF(B5995,MAX(MOD(SIN(Seed*0.1373+C5995*12.9898+D5995*78.233)*43758.5453,1),1E-9),"")</f>
        <v/>
      </c>
      <c r="G5995">
        <f>IF(B5995,MOD(SIN(Seed*0.5917+C5995*39.3468+D5995*11.135)*24634.6345,1),"")</f>
        <v/>
      </c>
      <c r="H5995">
        <f>IF(B5995,SQRT(-2*LN(F5995))*COS(2*PI()*G5995),"")</f>
        <v/>
      </c>
      <c r="I5995">
        <f>IF(B5995,IF(D5995=0,H5995,Rho*I5994+SQRT(1-Rho^2)*H5995),"")</f>
        <v/>
      </c>
      <c r="J5995">
        <f>IF(B5995,IF(Dist="Normal",DistA+DistB*I5995,DistA+(DistB-DistA)*NORMSDIST(I5995)),"")</f>
        <v/>
      </c>
      <c r="K5995">
        <f>IF(B5995,INDEX(MineScale,C5995),"")</f>
        <v/>
      </c>
      <c r="L5995">
        <f>IF(B5995,INDEX(Dow,1,WEEKDAY(E5995,2)),"")</f>
        <v/>
      </c>
      <c r="M5995">
        <f>IF(B5995,(1+Trend)^D5995,"")</f>
        <v/>
      </c>
      <c r="N5995">
        <f>IF(B5995,EXP(SUMPRODUCT(LN(1+(EvEff-1)*INDEX(Affected,0,C5995)*EXP(-((E5995-EvCenter)^2)/(2*EvSigma^2))))),"")</f>
        <v/>
      </c>
      <c r="O5995">
        <f>IF(B5995,ROUND(MAX(0,J5995*K5995*L5995*M5995*N5995),2),"")</f>
        <v/>
      </c>
    </row>
    <row r="5996">
      <c r="A5996" t="n">
        <v>5995</v>
      </c>
      <c r="B5996">
        <f>A5996&lt;=MineCount*Days</f>
        <v/>
      </c>
      <c r="C5996">
        <f>IF(B5996,INT((A5996-1)/Days)+1,"")</f>
        <v/>
      </c>
      <c r="D5996">
        <f>IF(B5996,MOD(A5996-1,Days),"")</f>
        <v/>
      </c>
      <c r="E5996" s="16">
        <f>IF(B5996,StartDate+D5996,"")</f>
        <v/>
      </c>
      <c r="F5996">
        <f>IF(B5996,MAX(MOD(SIN(Seed*0.1373+C5996*12.9898+D5996*78.233)*43758.5453,1),1E-9),"")</f>
        <v/>
      </c>
      <c r="G5996">
        <f>IF(B5996,MOD(SIN(Seed*0.5917+C5996*39.3468+D5996*11.135)*24634.6345,1),"")</f>
        <v/>
      </c>
      <c r="H5996">
        <f>IF(B5996,SQRT(-2*LN(F5996))*COS(2*PI()*G5996),"")</f>
        <v/>
      </c>
      <c r="I5996">
        <f>IF(B5996,IF(D5996=0,H5996,Rho*I5995+SQRT(1-Rho^2)*H5996),"")</f>
        <v/>
      </c>
      <c r="J5996">
        <f>IF(B5996,IF(Dist="Normal",DistA+DistB*I5996,DistA+(DistB-DistA)*NORMSDIST(I5996)),"")</f>
        <v/>
      </c>
      <c r="K5996">
        <f>IF(B5996,INDEX(MineScale,C5996),"")</f>
        <v/>
      </c>
      <c r="L5996">
        <f>IF(B5996,INDEX(Dow,1,WEEKDAY(E5996,2)),"")</f>
        <v/>
      </c>
      <c r="M5996">
        <f>IF(B5996,(1+Trend)^D5996,"")</f>
        <v/>
      </c>
      <c r="N5996">
        <f>IF(B5996,EXP(SUMPRODUCT(LN(1+(EvEff-1)*INDEX(Affected,0,C5996)*EXP(-((E5996-EvCenter)^2)/(2*EvSigma^2))))),"")</f>
        <v/>
      </c>
      <c r="O5996">
        <f>IF(B5996,ROUND(MAX(0,J5996*K5996*L5996*M5996*N5996),2),"")</f>
        <v/>
      </c>
    </row>
    <row r="5997">
      <c r="A5997" t="n">
        <v>5996</v>
      </c>
      <c r="B5997">
        <f>A5997&lt;=MineCount*Days</f>
        <v/>
      </c>
      <c r="C5997">
        <f>IF(B5997,INT((A5997-1)/Days)+1,"")</f>
        <v/>
      </c>
      <c r="D5997">
        <f>IF(B5997,MOD(A5997-1,Days),"")</f>
        <v/>
      </c>
      <c r="E5997" s="16">
        <f>IF(B5997,StartDate+D5997,"")</f>
        <v/>
      </c>
      <c r="F5997">
        <f>IF(B5997,MAX(MOD(SIN(Seed*0.1373+C5997*12.9898+D5997*78.233)*43758.5453,1),1E-9),"")</f>
        <v/>
      </c>
      <c r="G5997">
        <f>IF(B5997,MOD(SIN(Seed*0.5917+C5997*39.3468+D5997*11.135)*24634.6345,1),"")</f>
        <v/>
      </c>
      <c r="H5997">
        <f>IF(B5997,SQRT(-2*LN(F5997))*COS(2*PI()*G5997),"")</f>
        <v/>
      </c>
      <c r="I5997">
        <f>IF(B5997,IF(D5997=0,H5997,Rho*I5996+SQRT(1-Rho^2)*H5997),"")</f>
        <v/>
      </c>
      <c r="J5997">
        <f>IF(B5997,IF(Dist="Normal",DistA+DistB*I5997,DistA+(DistB-DistA)*NORMSDIST(I5997)),"")</f>
        <v/>
      </c>
      <c r="K5997">
        <f>IF(B5997,INDEX(MineScale,C5997),"")</f>
        <v/>
      </c>
      <c r="L5997">
        <f>IF(B5997,INDEX(Dow,1,WEEKDAY(E5997,2)),"")</f>
        <v/>
      </c>
      <c r="M5997">
        <f>IF(B5997,(1+Trend)^D5997,"")</f>
        <v/>
      </c>
      <c r="N5997">
        <f>IF(B5997,EXP(SUMPRODUCT(LN(1+(EvEff-1)*INDEX(Affected,0,C5997)*EXP(-((E5997-EvCenter)^2)/(2*EvSigma^2))))),"")</f>
        <v/>
      </c>
      <c r="O5997">
        <f>IF(B5997,ROUND(MAX(0,J5997*K5997*L5997*M5997*N5997),2),"")</f>
        <v/>
      </c>
    </row>
    <row r="5998">
      <c r="A5998" t="n">
        <v>5997</v>
      </c>
      <c r="B5998">
        <f>A5998&lt;=MineCount*Days</f>
        <v/>
      </c>
      <c r="C5998">
        <f>IF(B5998,INT((A5998-1)/Days)+1,"")</f>
        <v/>
      </c>
      <c r="D5998">
        <f>IF(B5998,MOD(A5998-1,Days),"")</f>
        <v/>
      </c>
      <c r="E5998" s="16">
        <f>IF(B5998,StartDate+D5998,"")</f>
        <v/>
      </c>
      <c r="F5998">
        <f>IF(B5998,MAX(MOD(SIN(Seed*0.1373+C5998*12.9898+D5998*78.233)*43758.5453,1),1E-9),"")</f>
        <v/>
      </c>
      <c r="G5998">
        <f>IF(B5998,MOD(SIN(Seed*0.5917+C5998*39.3468+D5998*11.135)*24634.6345,1),"")</f>
        <v/>
      </c>
      <c r="H5998">
        <f>IF(B5998,SQRT(-2*LN(F5998))*COS(2*PI()*G5998),"")</f>
        <v/>
      </c>
      <c r="I5998">
        <f>IF(B5998,IF(D5998=0,H5998,Rho*I5997+SQRT(1-Rho^2)*H5998),"")</f>
        <v/>
      </c>
      <c r="J5998">
        <f>IF(B5998,IF(Dist="Normal",DistA+DistB*I5998,DistA+(DistB-DistA)*NORMSDIST(I5998)),"")</f>
        <v/>
      </c>
      <c r="K5998">
        <f>IF(B5998,INDEX(MineScale,C5998),"")</f>
        <v/>
      </c>
      <c r="L5998">
        <f>IF(B5998,INDEX(Dow,1,WEEKDAY(E5998,2)),"")</f>
        <v/>
      </c>
      <c r="M5998">
        <f>IF(B5998,(1+Trend)^D5998,"")</f>
        <v/>
      </c>
      <c r="N5998">
        <f>IF(B5998,EXP(SUMPRODUCT(LN(1+(EvEff-1)*INDEX(Affected,0,C5998)*EXP(-((E5998-EvCenter)^2)/(2*EvSigma^2))))),"")</f>
        <v/>
      </c>
      <c r="O5998">
        <f>IF(B5998,ROUND(MAX(0,J5998*K5998*L5998*M5998*N5998),2),"")</f>
        <v/>
      </c>
    </row>
    <row r="5999">
      <c r="A5999" t="n">
        <v>5998</v>
      </c>
      <c r="B5999">
        <f>A5999&lt;=MineCount*Days</f>
        <v/>
      </c>
      <c r="C5999">
        <f>IF(B5999,INT((A5999-1)/Days)+1,"")</f>
        <v/>
      </c>
      <c r="D5999">
        <f>IF(B5999,MOD(A5999-1,Days),"")</f>
        <v/>
      </c>
      <c r="E5999" s="16">
        <f>IF(B5999,StartDate+D5999,"")</f>
        <v/>
      </c>
      <c r="F5999">
        <f>IF(B5999,MAX(MOD(SIN(Seed*0.1373+C5999*12.9898+D5999*78.233)*43758.5453,1),1E-9),"")</f>
        <v/>
      </c>
      <c r="G5999">
        <f>IF(B5999,MOD(SIN(Seed*0.5917+C5999*39.3468+D5999*11.135)*24634.6345,1),"")</f>
        <v/>
      </c>
      <c r="H5999">
        <f>IF(B5999,SQRT(-2*LN(F5999))*COS(2*PI()*G5999),"")</f>
        <v/>
      </c>
      <c r="I5999">
        <f>IF(B5999,IF(D5999=0,H5999,Rho*I5998+SQRT(1-Rho^2)*H5999),"")</f>
        <v/>
      </c>
      <c r="J5999">
        <f>IF(B5999,IF(Dist="Normal",DistA+DistB*I5999,DistA+(DistB-DistA)*NORMSDIST(I5999)),"")</f>
        <v/>
      </c>
      <c r="K5999">
        <f>IF(B5999,INDEX(MineScale,C5999),"")</f>
        <v/>
      </c>
      <c r="L5999">
        <f>IF(B5999,INDEX(Dow,1,WEEKDAY(E5999,2)),"")</f>
        <v/>
      </c>
      <c r="M5999">
        <f>IF(B5999,(1+Trend)^D5999,"")</f>
        <v/>
      </c>
      <c r="N5999">
        <f>IF(B5999,EXP(SUMPRODUCT(LN(1+(EvEff-1)*INDEX(Affected,0,C5999)*EXP(-((E5999-EvCenter)^2)/(2*EvSigma^2))))),"")</f>
        <v/>
      </c>
      <c r="O5999">
        <f>IF(B5999,ROUND(MAX(0,J5999*K5999*L5999*M5999*N5999),2),"")</f>
        <v/>
      </c>
    </row>
    <row r="6000">
      <c r="A6000" t="n">
        <v>5999</v>
      </c>
      <c r="B6000">
        <f>A6000&lt;=MineCount*Days</f>
        <v/>
      </c>
      <c r="C6000">
        <f>IF(B6000,INT((A6000-1)/Days)+1,"")</f>
        <v/>
      </c>
      <c r="D6000">
        <f>IF(B6000,MOD(A6000-1,Days),"")</f>
        <v/>
      </c>
      <c r="E6000" s="16">
        <f>IF(B6000,StartDate+D6000,"")</f>
        <v/>
      </c>
      <c r="F6000">
        <f>IF(B6000,MAX(MOD(SIN(Seed*0.1373+C6000*12.9898+D6000*78.233)*43758.5453,1),1E-9),"")</f>
        <v/>
      </c>
      <c r="G6000">
        <f>IF(B6000,MOD(SIN(Seed*0.5917+C6000*39.3468+D6000*11.135)*24634.6345,1),"")</f>
        <v/>
      </c>
      <c r="H6000">
        <f>IF(B6000,SQRT(-2*LN(F6000))*COS(2*PI()*G6000),"")</f>
        <v/>
      </c>
      <c r="I6000">
        <f>IF(B6000,IF(D6000=0,H6000,Rho*I5999+SQRT(1-Rho^2)*H6000),"")</f>
        <v/>
      </c>
      <c r="J6000">
        <f>IF(B6000,IF(Dist="Normal",DistA+DistB*I6000,DistA+(DistB-DistA)*NORMSDIST(I6000)),"")</f>
        <v/>
      </c>
      <c r="K6000">
        <f>IF(B6000,INDEX(MineScale,C6000),"")</f>
        <v/>
      </c>
      <c r="L6000">
        <f>IF(B6000,INDEX(Dow,1,WEEKDAY(E6000,2)),"")</f>
        <v/>
      </c>
      <c r="M6000">
        <f>IF(B6000,(1+Trend)^D6000,"")</f>
        <v/>
      </c>
      <c r="N6000">
        <f>IF(B6000,EXP(SUMPRODUCT(LN(1+(EvEff-1)*INDEX(Affected,0,C6000)*EXP(-((E6000-EvCenter)^2)/(2*EvSigma^2))))),"")</f>
        <v/>
      </c>
      <c r="O6000">
        <f>IF(B6000,ROUND(MAX(0,J6000*K6000*L6000*M6000*N6000),2),"")</f>
        <v/>
      </c>
    </row>
    <row r="6001">
      <c r="A6001" t="n">
        <v>6000</v>
      </c>
      <c r="B6001">
        <f>A6001&lt;=MineCount*Days</f>
        <v/>
      </c>
      <c r="C6001">
        <f>IF(B6001,INT((A6001-1)/Days)+1,"")</f>
        <v/>
      </c>
      <c r="D6001">
        <f>IF(B6001,MOD(A6001-1,Days),"")</f>
        <v/>
      </c>
      <c r="E6001" s="16">
        <f>IF(B6001,StartDate+D6001,"")</f>
        <v/>
      </c>
      <c r="F6001">
        <f>IF(B6001,MAX(MOD(SIN(Seed*0.1373+C6001*12.9898+D6001*78.233)*43758.5453,1),1E-9),"")</f>
        <v/>
      </c>
      <c r="G6001">
        <f>IF(B6001,MOD(SIN(Seed*0.5917+C6001*39.3468+D6001*11.135)*24634.6345,1),"")</f>
        <v/>
      </c>
      <c r="H6001">
        <f>IF(B6001,SQRT(-2*LN(F6001))*COS(2*PI()*G6001),"")</f>
        <v/>
      </c>
      <c r="I6001">
        <f>IF(B6001,IF(D6001=0,H6001,Rho*I6000+SQRT(1-Rho^2)*H6001),"")</f>
        <v/>
      </c>
      <c r="J6001">
        <f>IF(B6001,IF(Dist="Normal",DistA+DistB*I6001,DistA+(DistB-DistA)*NORMSDIST(I6001)),"")</f>
        <v/>
      </c>
      <c r="K6001">
        <f>IF(B6001,INDEX(MineScale,C6001),"")</f>
        <v/>
      </c>
      <c r="L6001">
        <f>IF(B6001,INDEX(Dow,1,WEEKDAY(E6001,2)),"")</f>
        <v/>
      </c>
      <c r="M6001">
        <f>IF(B6001,(1+Trend)^D6001,"")</f>
        <v/>
      </c>
      <c r="N6001">
        <f>IF(B6001,EXP(SUMPRODUCT(LN(1+(EvEff-1)*INDEX(Affected,0,C6001)*EXP(-((E6001-EvCenter)^2)/(2*EvSigma^2))))),"")</f>
        <v/>
      </c>
      <c r="O6001">
        <f>IF(B6001,ROUND(MAX(0,J6001*K6001*L6001*M6001*N6001),2),"")</f>
        <v/>
      </c>
    </row>
    <row r="6002">
      <c r="A6002" t="n">
        <v>6001</v>
      </c>
      <c r="B6002">
        <f>A6002&lt;=MineCount*Days</f>
        <v/>
      </c>
      <c r="C6002">
        <f>IF(B6002,INT((A6002-1)/Days)+1,"")</f>
        <v/>
      </c>
      <c r="D6002">
        <f>IF(B6002,MOD(A6002-1,Days),"")</f>
        <v/>
      </c>
      <c r="E6002" s="16">
        <f>IF(B6002,StartDate+D6002,"")</f>
        <v/>
      </c>
      <c r="F6002">
        <f>IF(B6002,MAX(MOD(SIN(Seed*0.1373+C6002*12.9898+D6002*78.233)*43758.5453,1),1E-9),"")</f>
        <v/>
      </c>
      <c r="G6002">
        <f>IF(B6002,MOD(SIN(Seed*0.5917+C6002*39.3468+D6002*11.135)*24634.6345,1),"")</f>
        <v/>
      </c>
      <c r="H6002">
        <f>IF(B6002,SQRT(-2*LN(F6002))*COS(2*PI()*G6002),"")</f>
        <v/>
      </c>
      <c r="I6002">
        <f>IF(B6002,IF(D6002=0,H6002,Rho*I6001+SQRT(1-Rho^2)*H6002),"")</f>
        <v/>
      </c>
      <c r="J6002">
        <f>IF(B6002,IF(Dist="Normal",DistA+DistB*I6002,DistA+(DistB-DistA)*NORMSDIST(I6002)),"")</f>
        <v/>
      </c>
      <c r="K6002">
        <f>IF(B6002,INDEX(MineScale,C6002),"")</f>
        <v/>
      </c>
      <c r="L6002">
        <f>IF(B6002,INDEX(Dow,1,WEEKDAY(E6002,2)),"")</f>
        <v/>
      </c>
      <c r="M6002">
        <f>IF(B6002,(1+Trend)^D6002,"")</f>
        <v/>
      </c>
      <c r="N6002">
        <f>IF(B6002,EXP(SUMPRODUCT(LN(1+(EvEff-1)*INDEX(Affected,0,C6002)*EXP(-((E6002-EvCenter)^2)/(2*EvSigma^2))))),"")</f>
        <v/>
      </c>
      <c r="O6002">
        <f>IF(B6002,ROUND(MAX(0,J6002*K6002*L6002*M6002*N6002),2),"")</f>
        <v/>
      </c>
    </row>
    <row r="6003">
      <c r="A6003" t="n">
        <v>6002</v>
      </c>
      <c r="B6003">
        <f>A6003&lt;=MineCount*Days</f>
        <v/>
      </c>
      <c r="C6003">
        <f>IF(B6003,INT((A6003-1)/Days)+1,"")</f>
        <v/>
      </c>
      <c r="D6003">
        <f>IF(B6003,MOD(A6003-1,Days),"")</f>
        <v/>
      </c>
      <c r="E6003" s="16">
        <f>IF(B6003,StartDate+D6003,"")</f>
        <v/>
      </c>
      <c r="F6003">
        <f>IF(B6003,MAX(MOD(SIN(Seed*0.1373+C6003*12.9898+D6003*78.233)*43758.5453,1),1E-9),"")</f>
        <v/>
      </c>
      <c r="G6003">
        <f>IF(B6003,MOD(SIN(Seed*0.5917+C6003*39.3468+D6003*11.135)*24634.6345,1),"")</f>
        <v/>
      </c>
      <c r="H6003">
        <f>IF(B6003,SQRT(-2*LN(F6003))*COS(2*PI()*G6003),"")</f>
        <v/>
      </c>
      <c r="I6003">
        <f>IF(B6003,IF(D6003=0,H6003,Rho*I6002+SQRT(1-Rho^2)*H6003),"")</f>
        <v/>
      </c>
      <c r="J6003">
        <f>IF(B6003,IF(Dist="Normal",DistA+DistB*I6003,DistA+(DistB-DistA)*NORMSDIST(I6003)),"")</f>
        <v/>
      </c>
      <c r="K6003">
        <f>IF(B6003,INDEX(MineScale,C6003),"")</f>
        <v/>
      </c>
      <c r="L6003">
        <f>IF(B6003,INDEX(Dow,1,WEEKDAY(E6003,2)),"")</f>
        <v/>
      </c>
      <c r="M6003">
        <f>IF(B6003,(1+Trend)^D6003,"")</f>
        <v/>
      </c>
      <c r="N6003">
        <f>IF(B6003,EXP(SUMPRODUCT(LN(1+(EvEff-1)*INDEX(Affected,0,C6003)*EXP(-((E6003-EvCenter)^2)/(2*EvSigma^2))))),"")</f>
        <v/>
      </c>
      <c r="O6003">
        <f>IF(B6003,ROUND(MAX(0,J6003*K6003*L6003*M6003*N6003),2),"")</f>
        <v/>
      </c>
    </row>
    <row r="6004">
      <c r="A6004" t="n">
        <v>6003</v>
      </c>
      <c r="B6004">
        <f>A6004&lt;=MineCount*Days</f>
        <v/>
      </c>
      <c r="C6004">
        <f>IF(B6004,INT((A6004-1)/Days)+1,"")</f>
        <v/>
      </c>
      <c r="D6004">
        <f>IF(B6004,MOD(A6004-1,Days),"")</f>
        <v/>
      </c>
      <c r="E6004" s="16">
        <f>IF(B6004,StartDate+D6004,"")</f>
        <v/>
      </c>
      <c r="F6004">
        <f>IF(B6004,MAX(MOD(SIN(Seed*0.1373+C6004*12.9898+D6004*78.233)*43758.5453,1),1E-9),"")</f>
        <v/>
      </c>
      <c r="G6004">
        <f>IF(B6004,MOD(SIN(Seed*0.5917+C6004*39.3468+D6004*11.135)*24634.6345,1),"")</f>
        <v/>
      </c>
      <c r="H6004">
        <f>IF(B6004,SQRT(-2*LN(F6004))*COS(2*PI()*G6004),"")</f>
        <v/>
      </c>
      <c r="I6004">
        <f>IF(B6004,IF(D6004=0,H6004,Rho*I6003+SQRT(1-Rho^2)*H6004),"")</f>
        <v/>
      </c>
      <c r="J6004">
        <f>IF(B6004,IF(Dist="Normal",DistA+DistB*I6004,DistA+(DistB-DistA)*NORMSDIST(I6004)),"")</f>
        <v/>
      </c>
      <c r="K6004">
        <f>IF(B6004,INDEX(MineScale,C6004),"")</f>
        <v/>
      </c>
      <c r="L6004">
        <f>IF(B6004,INDEX(Dow,1,WEEKDAY(E6004,2)),"")</f>
        <v/>
      </c>
      <c r="M6004">
        <f>IF(B6004,(1+Trend)^D6004,"")</f>
        <v/>
      </c>
      <c r="N6004">
        <f>IF(B6004,EXP(SUMPRODUCT(LN(1+(EvEff-1)*INDEX(Affected,0,C6004)*EXP(-((E6004-EvCenter)^2)/(2*EvSigma^2))))),"")</f>
        <v/>
      </c>
      <c r="O6004">
        <f>IF(B6004,ROUND(MAX(0,J6004*K6004*L6004*M6004*N6004),2),"")</f>
        <v/>
      </c>
    </row>
    <row r="6005">
      <c r="A6005" t="n">
        <v>6004</v>
      </c>
      <c r="B6005">
        <f>A6005&lt;=MineCount*Days</f>
        <v/>
      </c>
      <c r="C6005">
        <f>IF(B6005,INT((A6005-1)/Days)+1,"")</f>
        <v/>
      </c>
      <c r="D6005">
        <f>IF(B6005,MOD(A6005-1,Days),"")</f>
        <v/>
      </c>
      <c r="E6005" s="16">
        <f>IF(B6005,StartDate+D6005,"")</f>
        <v/>
      </c>
      <c r="F6005">
        <f>IF(B6005,MAX(MOD(SIN(Seed*0.1373+C6005*12.9898+D6005*78.233)*43758.5453,1),1E-9),"")</f>
        <v/>
      </c>
      <c r="G6005">
        <f>IF(B6005,MOD(SIN(Seed*0.5917+C6005*39.3468+D6005*11.135)*24634.6345,1),"")</f>
        <v/>
      </c>
      <c r="H6005">
        <f>IF(B6005,SQRT(-2*LN(F6005))*COS(2*PI()*G6005),"")</f>
        <v/>
      </c>
      <c r="I6005">
        <f>IF(B6005,IF(D6005=0,H6005,Rho*I6004+SQRT(1-Rho^2)*H6005),"")</f>
        <v/>
      </c>
      <c r="J6005">
        <f>IF(B6005,IF(Dist="Normal",DistA+DistB*I6005,DistA+(DistB-DistA)*NORMSDIST(I6005)),"")</f>
        <v/>
      </c>
      <c r="K6005">
        <f>IF(B6005,INDEX(MineScale,C6005),"")</f>
        <v/>
      </c>
      <c r="L6005">
        <f>IF(B6005,INDEX(Dow,1,WEEKDAY(E6005,2)),"")</f>
        <v/>
      </c>
      <c r="M6005">
        <f>IF(B6005,(1+Trend)^D6005,"")</f>
        <v/>
      </c>
      <c r="N6005">
        <f>IF(B6005,EXP(SUMPRODUCT(LN(1+(EvEff-1)*INDEX(Affected,0,C6005)*EXP(-((E6005-EvCenter)^2)/(2*EvSigma^2))))),"")</f>
        <v/>
      </c>
      <c r="O6005">
        <f>IF(B6005,ROUND(MAX(0,J6005*K6005*L6005*M6005*N6005),2),"")</f>
        <v/>
      </c>
    </row>
    <row r="6006">
      <c r="A6006" t="n">
        <v>6005</v>
      </c>
      <c r="B6006">
        <f>A6006&lt;=MineCount*Days</f>
        <v/>
      </c>
      <c r="C6006">
        <f>IF(B6006,INT((A6006-1)/Days)+1,"")</f>
        <v/>
      </c>
      <c r="D6006">
        <f>IF(B6006,MOD(A6006-1,Days),"")</f>
        <v/>
      </c>
      <c r="E6006" s="16">
        <f>IF(B6006,StartDate+D6006,"")</f>
        <v/>
      </c>
      <c r="F6006">
        <f>IF(B6006,MAX(MOD(SIN(Seed*0.1373+C6006*12.9898+D6006*78.233)*43758.5453,1),1E-9),"")</f>
        <v/>
      </c>
      <c r="G6006">
        <f>IF(B6006,MOD(SIN(Seed*0.5917+C6006*39.3468+D6006*11.135)*24634.6345,1),"")</f>
        <v/>
      </c>
      <c r="H6006">
        <f>IF(B6006,SQRT(-2*LN(F6006))*COS(2*PI()*G6006),"")</f>
        <v/>
      </c>
      <c r="I6006">
        <f>IF(B6006,IF(D6006=0,H6006,Rho*I6005+SQRT(1-Rho^2)*H6006),"")</f>
        <v/>
      </c>
      <c r="J6006">
        <f>IF(B6006,IF(Dist="Normal",DistA+DistB*I6006,DistA+(DistB-DistA)*NORMSDIST(I6006)),"")</f>
        <v/>
      </c>
      <c r="K6006">
        <f>IF(B6006,INDEX(MineScale,C6006),"")</f>
        <v/>
      </c>
      <c r="L6006">
        <f>IF(B6006,INDEX(Dow,1,WEEKDAY(E6006,2)),"")</f>
        <v/>
      </c>
      <c r="M6006">
        <f>IF(B6006,(1+Trend)^D6006,"")</f>
        <v/>
      </c>
      <c r="N6006">
        <f>IF(B6006,EXP(SUMPRODUCT(LN(1+(EvEff-1)*INDEX(Affected,0,C6006)*EXP(-((E6006-EvCenter)^2)/(2*EvSigma^2))))),"")</f>
        <v/>
      </c>
      <c r="O6006">
        <f>IF(B6006,ROUND(MAX(0,J6006*K6006*L6006*M6006*N6006),2),"")</f>
        <v/>
      </c>
    </row>
    <row r="6007">
      <c r="A6007" t="n">
        <v>6006</v>
      </c>
      <c r="B6007">
        <f>A6007&lt;=MineCount*Days</f>
        <v/>
      </c>
      <c r="C6007">
        <f>IF(B6007,INT((A6007-1)/Days)+1,"")</f>
        <v/>
      </c>
      <c r="D6007">
        <f>IF(B6007,MOD(A6007-1,Days),"")</f>
        <v/>
      </c>
      <c r="E6007" s="16">
        <f>IF(B6007,StartDate+D6007,"")</f>
        <v/>
      </c>
      <c r="F6007">
        <f>IF(B6007,MAX(MOD(SIN(Seed*0.1373+C6007*12.9898+D6007*78.233)*43758.5453,1),1E-9),"")</f>
        <v/>
      </c>
      <c r="G6007">
        <f>IF(B6007,MOD(SIN(Seed*0.5917+C6007*39.3468+D6007*11.135)*24634.6345,1),"")</f>
        <v/>
      </c>
      <c r="H6007">
        <f>IF(B6007,SQRT(-2*LN(F6007))*COS(2*PI()*G6007),"")</f>
        <v/>
      </c>
      <c r="I6007">
        <f>IF(B6007,IF(D6007=0,H6007,Rho*I6006+SQRT(1-Rho^2)*H6007),"")</f>
        <v/>
      </c>
      <c r="J6007">
        <f>IF(B6007,IF(Dist="Normal",DistA+DistB*I6007,DistA+(DistB-DistA)*NORMSDIST(I6007)),"")</f>
        <v/>
      </c>
      <c r="K6007">
        <f>IF(B6007,INDEX(MineScale,C6007),"")</f>
        <v/>
      </c>
      <c r="L6007">
        <f>IF(B6007,INDEX(Dow,1,WEEKDAY(E6007,2)),"")</f>
        <v/>
      </c>
      <c r="M6007">
        <f>IF(B6007,(1+Trend)^D6007,"")</f>
        <v/>
      </c>
      <c r="N6007">
        <f>IF(B6007,EXP(SUMPRODUCT(LN(1+(EvEff-1)*INDEX(Affected,0,C6007)*EXP(-((E6007-EvCenter)^2)/(2*EvSigma^2))))),"")</f>
        <v/>
      </c>
      <c r="O6007">
        <f>IF(B6007,ROUND(MAX(0,J6007*K6007*L6007*M6007*N6007),2),"")</f>
        <v/>
      </c>
    </row>
    <row r="6008">
      <c r="A6008" t="n">
        <v>6007</v>
      </c>
      <c r="B6008">
        <f>A6008&lt;=MineCount*Days</f>
        <v/>
      </c>
      <c r="C6008">
        <f>IF(B6008,INT((A6008-1)/Days)+1,"")</f>
        <v/>
      </c>
      <c r="D6008">
        <f>IF(B6008,MOD(A6008-1,Days),"")</f>
        <v/>
      </c>
      <c r="E6008" s="16">
        <f>IF(B6008,StartDate+D6008,"")</f>
        <v/>
      </c>
      <c r="F6008">
        <f>IF(B6008,MAX(MOD(SIN(Seed*0.1373+C6008*12.9898+D6008*78.233)*43758.5453,1),1E-9),"")</f>
        <v/>
      </c>
      <c r="G6008">
        <f>IF(B6008,MOD(SIN(Seed*0.5917+C6008*39.3468+D6008*11.135)*24634.6345,1),"")</f>
        <v/>
      </c>
      <c r="H6008">
        <f>IF(B6008,SQRT(-2*LN(F6008))*COS(2*PI()*G6008),"")</f>
        <v/>
      </c>
      <c r="I6008">
        <f>IF(B6008,IF(D6008=0,H6008,Rho*I6007+SQRT(1-Rho^2)*H6008),"")</f>
        <v/>
      </c>
      <c r="J6008">
        <f>IF(B6008,IF(Dist="Normal",DistA+DistB*I6008,DistA+(DistB-DistA)*NORMSDIST(I6008)),"")</f>
        <v/>
      </c>
      <c r="K6008">
        <f>IF(B6008,INDEX(MineScale,C6008),"")</f>
        <v/>
      </c>
      <c r="L6008">
        <f>IF(B6008,INDEX(Dow,1,WEEKDAY(E6008,2)),"")</f>
        <v/>
      </c>
      <c r="M6008">
        <f>IF(B6008,(1+Trend)^D6008,"")</f>
        <v/>
      </c>
      <c r="N6008">
        <f>IF(B6008,EXP(SUMPRODUCT(LN(1+(EvEff-1)*INDEX(Affected,0,C6008)*EXP(-((E6008-EvCenter)^2)/(2*EvSigma^2))))),"")</f>
        <v/>
      </c>
      <c r="O6008">
        <f>IF(B6008,ROUND(MAX(0,J6008*K6008*L6008*M6008*N6008),2),"")</f>
        <v/>
      </c>
    </row>
    <row r="6009">
      <c r="A6009" t="n">
        <v>6008</v>
      </c>
      <c r="B6009">
        <f>A6009&lt;=MineCount*Days</f>
        <v/>
      </c>
      <c r="C6009">
        <f>IF(B6009,INT((A6009-1)/Days)+1,"")</f>
        <v/>
      </c>
      <c r="D6009">
        <f>IF(B6009,MOD(A6009-1,Days),"")</f>
        <v/>
      </c>
      <c r="E6009" s="16">
        <f>IF(B6009,StartDate+D6009,"")</f>
        <v/>
      </c>
      <c r="F6009">
        <f>IF(B6009,MAX(MOD(SIN(Seed*0.1373+C6009*12.9898+D6009*78.233)*43758.5453,1),1E-9),"")</f>
        <v/>
      </c>
      <c r="G6009">
        <f>IF(B6009,MOD(SIN(Seed*0.5917+C6009*39.3468+D6009*11.135)*24634.6345,1),"")</f>
        <v/>
      </c>
      <c r="H6009">
        <f>IF(B6009,SQRT(-2*LN(F6009))*COS(2*PI()*G6009),"")</f>
        <v/>
      </c>
      <c r="I6009">
        <f>IF(B6009,IF(D6009=0,H6009,Rho*I6008+SQRT(1-Rho^2)*H6009),"")</f>
        <v/>
      </c>
      <c r="J6009">
        <f>IF(B6009,IF(Dist="Normal",DistA+DistB*I6009,DistA+(DistB-DistA)*NORMSDIST(I6009)),"")</f>
        <v/>
      </c>
      <c r="K6009">
        <f>IF(B6009,INDEX(MineScale,C6009),"")</f>
        <v/>
      </c>
      <c r="L6009">
        <f>IF(B6009,INDEX(Dow,1,WEEKDAY(E6009,2)),"")</f>
        <v/>
      </c>
      <c r="M6009">
        <f>IF(B6009,(1+Trend)^D6009,"")</f>
        <v/>
      </c>
      <c r="N6009">
        <f>IF(B6009,EXP(SUMPRODUCT(LN(1+(EvEff-1)*INDEX(Affected,0,C6009)*EXP(-((E6009-EvCenter)^2)/(2*EvSigma^2))))),"")</f>
        <v/>
      </c>
      <c r="O6009">
        <f>IF(B6009,ROUND(MAX(0,J6009*K6009*L6009*M6009*N6009),2),"")</f>
        <v/>
      </c>
    </row>
    <row r="6010">
      <c r="A6010" t="n">
        <v>6009</v>
      </c>
      <c r="B6010">
        <f>A6010&lt;=MineCount*Days</f>
        <v/>
      </c>
      <c r="C6010">
        <f>IF(B6010,INT((A6010-1)/Days)+1,"")</f>
        <v/>
      </c>
      <c r="D6010">
        <f>IF(B6010,MOD(A6010-1,Days),"")</f>
        <v/>
      </c>
      <c r="E6010" s="16">
        <f>IF(B6010,StartDate+D6010,"")</f>
        <v/>
      </c>
      <c r="F6010">
        <f>IF(B6010,MAX(MOD(SIN(Seed*0.1373+C6010*12.9898+D6010*78.233)*43758.5453,1),1E-9),"")</f>
        <v/>
      </c>
      <c r="G6010">
        <f>IF(B6010,MOD(SIN(Seed*0.5917+C6010*39.3468+D6010*11.135)*24634.6345,1),"")</f>
        <v/>
      </c>
      <c r="H6010">
        <f>IF(B6010,SQRT(-2*LN(F6010))*COS(2*PI()*G6010),"")</f>
        <v/>
      </c>
      <c r="I6010">
        <f>IF(B6010,IF(D6010=0,H6010,Rho*I6009+SQRT(1-Rho^2)*H6010),"")</f>
        <v/>
      </c>
      <c r="J6010">
        <f>IF(B6010,IF(Dist="Normal",DistA+DistB*I6010,DistA+(DistB-DistA)*NORMSDIST(I6010)),"")</f>
        <v/>
      </c>
      <c r="K6010">
        <f>IF(B6010,INDEX(MineScale,C6010),"")</f>
        <v/>
      </c>
      <c r="L6010">
        <f>IF(B6010,INDEX(Dow,1,WEEKDAY(E6010,2)),"")</f>
        <v/>
      </c>
      <c r="M6010">
        <f>IF(B6010,(1+Trend)^D6010,"")</f>
        <v/>
      </c>
      <c r="N6010">
        <f>IF(B6010,EXP(SUMPRODUCT(LN(1+(EvEff-1)*INDEX(Affected,0,C6010)*EXP(-((E6010-EvCenter)^2)/(2*EvSigma^2))))),"")</f>
        <v/>
      </c>
      <c r="O6010">
        <f>IF(B6010,ROUND(MAX(0,J6010*K6010*L6010*M6010*N6010),2),"")</f>
        <v/>
      </c>
    </row>
    <row r="6011">
      <c r="A6011" t="n">
        <v>6010</v>
      </c>
      <c r="B6011">
        <f>A6011&lt;=MineCount*Days</f>
        <v/>
      </c>
      <c r="C6011">
        <f>IF(B6011,INT((A6011-1)/Days)+1,"")</f>
        <v/>
      </c>
      <c r="D6011">
        <f>IF(B6011,MOD(A6011-1,Days),"")</f>
        <v/>
      </c>
      <c r="E6011" s="16">
        <f>IF(B6011,StartDate+D6011,"")</f>
        <v/>
      </c>
      <c r="F6011">
        <f>IF(B6011,MAX(MOD(SIN(Seed*0.1373+C6011*12.9898+D6011*78.233)*43758.5453,1),1E-9),"")</f>
        <v/>
      </c>
      <c r="G6011">
        <f>IF(B6011,MOD(SIN(Seed*0.5917+C6011*39.3468+D6011*11.135)*24634.6345,1),"")</f>
        <v/>
      </c>
      <c r="H6011">
        <f>IF(B6011,SQRT(-2*LN(F6011))*COS(2*PI()*G6011),"")</f>
        <v/>
      </c>
      <c r="I6011">
        <f>IF(B6011,IF(D6011=0,H6011,Rho*I6010+SQRT(1-Rho^2)*H6011),"")</f>
        <v/>
      </c>
      <c r="J6011">
        <f>IF(B6011,IF(Dist="Normal",DistA+DistB*I6011,DistA+(DistB-DistA)*NORMSDIST(I6011)),"")</f>
        <v/>
      </c>
      <c r="K6011">
        <f>IF(B6011,INDEX(MineScale,C6011),"")</f>
        <v/>
      </c>
      <c r="L6011">
        <f>IF(B6011,INDEX(Dow,1,WEEKDAY(E6011,2)),"")</f>
        <v/>
      </c>
      <c r="M6011">
        <f>IF(B6011,(1+Trend)^D6011,"")</f>
        <v/>
      </c>
      <c r="N6011">
        <f>IF(B6011,EXP(SUMPRODUCT(LN(1+(EvEff-1)*INDEX(Affected,0,C6011)*EXP(-((E6011-EvCenter)^2)/(2*EvSigma^2))))),"")</f>
        <v/>
      </c>
      <c r="O6011">
        <f>IF(B6011,ROUND(MAX(0,J6011*K6011*L6011*M6011*N6011),2),"")</f>
        <v/>
      </c>
    </row>
    <row r="6012">
      <c r="A6012" t="n">
        <v>6011</v>
      </c>
      <c r="B6012">
        <f>A6012&lt;=MineCount*Days</f>
        <v/>
      </c>
      <c r="C6012">
        <f>IF(B6012,INT((A6012-1)/Days)+1,"")</f>
        <v/>
      </c>
      <c r="D6012">
        <f>IF(B6012,MOD(A6012-1,Days),"")</f>
        <v/>
      </c>
      <c r="E6012" s="16">
        <f>IF(B6012,StartDate+D6012,"")</f>
        <v/>
      </c>
      <c r="F6012">
        <f>IF(B6012,MAX(MOD(SIN(Seed*0.1373+C6012*12.9898+D6012*78.233)*43758.5453,1),1E-9),"")</f>
        <v/>
      </c>
      <c r="G6012">
        <f>IF(B6012,MOD(SIN(Seed*0.5917+C6012*39.3468+D6012*11.135)*24634.6345,1),"")</f>
        <v/>
      </c>
      <c r="H6012">
        <f>IF(B6012,SQRT(-2*LN(F6012))*COS(2*PI()*G6012),"")</f>
        <v/>
      </c>
      <c r="I6012">
        <f>IF(B6012,IF(D6012=0,H6012,Rho*I6011+SQRT(1-Rho^2)*H6012),"")</f>
        <v/>
      </c>
      <c r="J6012">
        <f>IF(B6012,IF(Dist="Normal",DistA+DistB*I6012,DistA+(DistB-DistA)*NORMSDIST(I6012)),"")</f>
        <v/>
      </c>
      <c r="K6012">
        <f>IF(B6012,INDEX(MineScale,C6012),"")</f>
        <v/>
      </c>
      <c r="L6012">
        <f>IF(B6012,INDEX(Dow,1,WEEKDAY(E6012,2)),"")</f>
        <v/>
      </c>
      <c r="M6012">
        <f>IF(B6012,(1+Trend)^D6012,"")</f>
        <v/>
      </c>
      <c r="N6012">
        <f>IF(B6012,EXP(SUMPRODUCT(LN(1+(EvEff-1)*INDEX(Affected,0,C6012)*EXP(-((E6012-EvCenter)^2)/(2*EvSigma^2))))),"")</f>
        <v/>
      </c>
      <c r="O6012">
        <f>IF(B6012,ROUND(MAX(0,J6012*K6012*L6012*M6012*N6012),2),"")</f>
        <v/>
      </c>
    </row>
    <row r="6013">
      <c r="A6013" t="n">
        <v>6012</v>
      </c>
      <c r="B6013">
        <f>A6013&lt;=MineCount*Days</f>
        <v/>
      </c>
      <c r="C6013">
        <f>IF(B6013,INT((A6013-1)/Days)+1,"")</f>
        <v/>
      </c>
      <c r="D6013">
        <f>IF(B6013,MOD(A6013-1,Days),"")</f>
        <v/>
      </c>
      <c r="E6013" s="16">
        <f>IF(B6013,StartDate+D6013,"")</f>
        <v/>
      </c>
      <c r="F6013">
        <f>IF(B6013,MAX(MOD(SIN(Seed*0.1373+C6013*12.9898+D6013*78.233)*43758.5453,1),1E-9),"")</f>
        <v/>
      </c>
      <c r="G6013">
        <f>IF(B6013,MOD(SIN(Seed*0.5917+C6013*39.3468+D6013*11.135)*24634.6345,1),"")</f>
        <v/>
      </c>
      <c r="H6013">
        <f>IF(B6013,SQRT(-2*LN(F6013))*COS(2*PI()*G6013),"")</f>
        <v/>
      </c>
      <c r="I6013">
        <f>IF(B6013,IF(D6013=0,H6013,Rho*I6012+SQRT(1-Rho^2)*H6013),"")</f>
        <v/>
      </c>
      <c r="J6013">
        <f>IF(B6013,IF(Dist="Normal",DistA+DistB*I6013,DistA+(DistB-DistA)*NORMSDIST(I6013)),"")</f>
        <v/>
      </c>
      <c r="K6013">
        <f>IF(B6013,INDEX(MineScale,C6013),"")</f>
        <v/>
      </c>
      <c r="L6013">
        <f>IF(B6013,INDEX(Dow,1,WEEKDAY(E6013,2)),"")</f>
        <v/>
      </c>
      <c r="M6013">
        <f>IF(B6013,(1+Trend)^D6013,"")</f>
        <v/>
      </c>
      <c r="N6013">
        <f>IF(B6013,EXP(SUMPRODUCT(LN(1+(EvEff-1)*INDEX(Affected,0,C6013)*EXP(-((E6013-EvCenter)^2)/(2*EvSigma^2))))),"")</f>
        <v/>
      </c>
      <c r="O6013">
        <f>IF(B6013,ROUND(MAX(0,J6013*K6013*L6013*M6013*N6013),2),"")</f>
        <v/>
      </c>
    </row>
    <row r="6014">
      <c r="A6014" t="n">
        <v>6013</v>
      </c>
      <c r="B6014">
        <f>A6014&lt;=MineCount*Days</f>
        <v/>
      </c>
      <c r="C6014">
        <f>IF(B6014,INT((A6014-1)/Days)+1,"")</f>
        <v/>
      </c>
      <c r="D6014">
        <f>IF(B6014,MOD(A6014-1,Days),"")</f>
        <v/>
      </c>
      <c r="E6014" s="16">
        <f>IF(B6014,StartDate+D6014,"")</f>
        <v/>
      </c>
      <c r="F6014">
        <f>IF(B6014,MAX(MOD(SIN(Seed*0.1373+C6014*12.9898+D6014*78.233)*43758.5453,1),1E-9),"")</f>
        <v/>
      </c>
      <c r="G6014">
        <f>IF(B6014,MOD(SIN(Seed*0.5917+C6014*39.3468+D6014*11.135)*24634.6345,1),"")</f>
        <v/>
      </c>
      <c r="H6014">
        <f>IF(B6014,SQRT(-2*LN(F6014))*COS(2*PI()*G6014),"")</f>
        <v/>
      </c>
      <c r="I6014">
        <f>IF(B6014,IF(D6014=0,H6014,Rho*I6013+SQRT(1-Rho^2)*H6014),"")</f>
        <v/>
      </c>
      <c r="J6014">
        <f>IF(B6014,IF(Dist="Normal",DistA+DistB*I6014,DistA+(DistB-DistA)*NORMSDIST(I6014)),"")</f>
        <v/>
      </c>
      <c r="K6014">
        <f>IF(B6014,INDEX(MineScale,C6014),"")</f>
        <v/>
      </c>
      <c r="L6014">
        <f>IF(B6014,INDEX(Dow,1,WEEKDAY(E6014,2)),"")</f>
        <v/>
      </c>
      <c r="M6014">
        <f>IF(B6014,(1+Trend)^D6014,"")</f>
        <v/>
      </c>
      <c r="N6014">
        <f>IF(B6014,EXP(SUMPRODUCT(LN(1+(EvEff-1)*INDEX(Affected,0,C6014)*EXP(-((E6014-EvCenter)^2)/(2*EvSigma^2))))),"")</f>
        <v/>
      </c>
      <c r="O6014">
        <f>IF(B6014,ROUND(MAX(0,J6014*K6014*L6014*M6014*N6014),2),"")</f>
        <v/>
      </c>
    </row>
    <row r="6015">
      <c r="A6015" t="n">
        <v>6014</v>
      </c>
      <c r="B6015">
        <f>A6015&lt;=MineCount*Days</f>
        <v/>
      </c>
      <c r="C6015">
        <f>IF(B6015,INT((A6015-1)/Days)+1,"")</f>
        <v/>
      </c>
      <c r="D6015">
        <f>IF(B6015,MOD(A6015-1,Days),"")</f>
        <v/>
      </c>
      <c r="E6015" s="16">
        <f>IF(B6015,StartDate+D6015,"")</f>
        <v/>
      </c>
      <c r="F6015">
        <f>IF(B6015,MAX(MOD(SIN(Seed*0.1373+C6015*12.9898+D6015*78.233)*43758.5453,1),1E-9),"")</f>
        <v/>
      </c>
      <c r="G6015">
        <f>IF(B6015,MOD(SIN(Seed*0.5917+C6015*39.3468+D6015*11.135)*24634.6345,1),"")</f>
        <v/>
      </c>
      <c r="H6015">
        <f>IF(B6015,SQRT(-2*LN(F6015))*COS(2*PI()*G6015),"")</f>
        <v/>
      </c>
      <c r="I6015">
        <f>IF(B6015,IF(D6015=0,H6015,Rho*I6014+SQRT(1-Rho^2)*H6015),"")</f>
        <v/>
      </c>
      <c r="J6015">
        <f>IF(B6015,IF(Dist="Normal",DistA+DistB*I6015,DistA+(DistB-DistA)*NORMSDIST(I6015)),"")</f>
        <v/>
      </c>
      <c r="K6015">
        <f>IF(B6015,INDEX(MineScale,C6015),"")</f>
        <v/>
      </c>
      <c r="L6015">
        <f>IF(B6015,INDEX(Dow,1,WEEKDAY(E6015,2)),"")</f>
        <v/>
      </c>
      <c r="M6015">
        <f>IF(B6015,(1+Trend)^D6015,"")</f>
        <v/>
      </c>
      <c r="N6015">
        <f>IF(B6015,EXP(SUMPRODUCT(LN(1+(EvEff-1)*INDEX(Affected,0,C6015)*EXP(-((E6015-EvCenter)^2)/(2*EvSigma^2))))),"")</f>
        <v/>
      </c>
      <c r="O6015">
        <f>IF(B6015,ROUND(MAX(0,J6015*K6015*L6015*M6015*N6015),2),"")</f>
        <v/>
      </c>
    </row>
    <row r="6016">
      <c r="A6016" t="n">
        <v>6015</v>
      </c>
      <c r="B6016">
        <f>A6016&lt;=MineCount*Days</f>
        <v/>
      </c>
      <c r="C6016">
        <f>IF(B6016,INT((A6016-1)/Days)+1,"")</f>
        <v/>
      </c>
      <c r="D6016">
        <f>IF(B6016,MOD(A6016-1,Days),"")</f>
        <v/>
      </c>
      <c r="E6016" s="16">
        <f>IF(B6016,StartDate+D6016,"")</f>
        <v/>
      </c>
      <c r="F6016">
        <f>IF(B6016,MAX(MOD(SIN(Seed*0.1373+C6016*12.9898+D6016*78.233)*43758.5453,1),1E-9),"")</f>
        <v/>
      </c>
      <c r="G6016">
        <f>IF(B6016,MOD(SIN(Seed*0.5917+C6016*39.3468+D6016*11.135)*24634.6345,1),"")</f>
        <v/>
      </c>
      <c r="H6016">
        <f>IF(B6016,SQRT(-2*LN(F6016))*COS(2*PI()*G6016),"")</f>
        <v/>
      </c>
      <c r="I6016">
        <f>IF(B6016,IF(D6016=0,H6016,Rho*I6015+SQRT(1-Rho^2)*H6016),"")</f>
        <v/>
      </c>
      <c r="J6016">
        <f>IF(B6016,IF(Dist="Normal",DistA+DistB*I6016,DistA+(DistB-DistA)*NORMSDIST(I6016)),"")</f>
        <v/>
      </c>
      <c r="K6016">
        <f>IF(B6016,INDEX(MineScale,C6016),"")</f>
        <v/>
      </c>
      <c r="L6016">
        <f>IF(B6016,INDEX(Dow,1,WEEKDAY(E6016,2)),"")</f>
        <v/>
      </c>
      <c r="M6016">
        <f>IF(B6016,(1+Trend)^D6016,"")</f>
        <v/>
      </c>
      <c r="N6016">
        <f>IF(B6016,EXP(SUMPRODUCT(LN(1+(EvEff-1)*INDEX(Affected,0,C6016)*EXP(-((E6016-EvCenter)^2)/(2*EvSigma^2))))),"")</f>
        <v/>
      </c>
      <c r="O6016">
        <f>IF(B6016,ROUND(MAX(0,J6016*K6016*L6016*M6016*N6016),2),"")</f>
        <v/>
      </c>
    </row>
    <row r="6017">
      <c r="A6017" t="n">
        <v>6016</v>
      </c>
      <c r="B6017">
        <f>A6017&lt;=MineCount*Days</f>
        <v/>
      </c>
      <c r="C6017">
        <f>IF(B6017,INT((A6017-1)/Days)+1,"")</f>
        <v/>
      </c>
      <c r="D6017">
        <f>IF(B6017,MOD(A6017-1,Days),"")</f>
        <v/>
      </c>
      <c r="E6017" s="16">
        <f>IF(B6017,StartDate+D6017,"")</f>
        <v/>
      </c>
      <c r="F6017">
        <f>IF(B6017,MAX(MOD(SIN(Seed*0.1373+C6017*12.9898+D6017*78.233)*43758.5453,1),1E-9),"")</f>
        <v/>
      </c>
      <c r="G6017">
        <f>IF(B6017,MOD(SIN(Seed*0.5917+C6017*39.3468+D6017*11.135)*24634.6345,1),"")</f>
        <v/>
      </c>
      <c r="H6017">
        <f>IF(B6017,SQRT(-2*LN(F6017))*COS(2*PI()*G6017),"")</f>
        <v/>
      </c>
      <c r="I6017">
        <f>IF(B6017,IF(D6017=0,H6017,Rho*I6016+SQRT(1-Rho^2)*H6017),"")</f>
        <v/>
      </c>
      <c r="J6017">
        <f>IF(B6017,IF(Dist="Normal",DistA+DistB*I6017,DistA+(DistB-DistA)*NORMSDIST(I6017)),"")</f>
        <v/>
      </c>
      <c r="K6017">
        <f>IF(B6017,INDEX(MineScale,C6017),"")</f>
        <v/>
      </c>
      <c r="L6017">
        <f>IF(B6017,INDEX(Dow,1,WEEKDAY(E6017,2)),"")</f>
        <v/>
      </c>
      <c r="M6017">
        <f>IF(B6017,(1+Trend)^D6017,"")</f>
        <v/>
      </c>
      <c r="N6017">
        <f>IF(B6017,EXP(SUMPRODUCT(LN(1+(EvEff-1)*INDEX(Affected,0,C6017)*EXP(-((E6017-EvCenter)^2)/(2*EvSigma^2))))),"")</f>
        <v/>
      </c>
      <c r="O6017">
        <f>IF(B6017,ROUND(MAX(0,J6017*K6017*L6017*M6017*N6017),2),"")</f>
        <v/>
      </c>
    </row>
    <row r="6018">
      <c r="A6018" t="n">
        <v>6017</v>
      </c>
      <c r="B6018">
        <f>A6018&lt;=MineCount*Days</f>
        <v/>
      </c>
      <c r="C6018">
        <f>IF(B6018,INT((A6018-1)/Days)+1,"")</f>
        <v/>
      </c>
      <c r="D6018">
        <f>IF(B6018,MOD(A6018-1,Days),"")</f>
        <v/>
      </c>
      <c r="E6018" s="16">
        <f>IF(B6018,StartDate+D6018,"")</f>
        <v/>
      </c>
      <c r="F6018">
        <f>IF(B6018,MAX(MOD(SIN(Seed*0.1373+C6018*12.9898+D6018*78.233)*43758.5453,1),1E-9),"")</f>
        <v/>
      </c>
      <c r="G6018">
        <f>IF(B6018,MOD(SIN(Seed*0.5917+C6018*39.3468+D6018*11.135)*24634.6345,1),"")</f>
        <v/>
      </c>
      <c r="H6018">
        <f>IF(B6018,SQRT(-2*LN(F6018))*COS(2*PI()*G6018),"")</f>
        <v/>
      </c>
      <c r="I6018">
        <f>IF(B6018,IF(D6018=0,H6018,Rho*I6017+SQRT(1-Rho^2)*H6018),"")</f>
        <v/>
      </c>
      <c r="J6018">
        <f>IF(B6018,IF(Dist="Normal",DistA+DistB*I6018,DistA+(DistB-DistA)*NORMSDIST(I6018)),"")</f>
        <v/>
      </c>
      <c r="K6018">
        <f>IF(B6018,INDEX(MineScale,C6018),"")</f>
        <v/>
      </c>
      <c r="L6018">
        <f>IF(B6018,INDEX(Dow,1,WEEKDAY(E6018,2)),"")</f>
        <v/>
      </c>
      <c r="M6018">
        <f>IF(B6018,(1+Trend)^D6018,"")</f>
        <v/>
      </c>
      <c r="N6018">
        <f>IF(B6018,EXP(SUMPRODUCT(LN(1+(EvEff-1)*INDEX(Affected,0,C6018)*EXP(-((E6018-EvCenter)^2)/(2*EvSigma^2))))),"")</f>
        <v/>
      </c>
      <c r="O6018">
        <f>IF(B6018,ROUND(MAX(0,J6018*K6018*L6018*M6018*N6018),2),"")</f>
        <v/>
      </c>
    </row>
    <row r="6019">
      <c r="A6019" t="n">
        <v>6018</v>
      </c>
      <c r="B6019">
        <f>A6019&lt;=MineCount*Days</f>
        <v/>
      </c>
      <c r="C6019">
        <f>IF(B6019,INT((A6019-1)/Days)+1,"")</f>
        <v/>
      </c>
      <c r="D6019">
        <f>IF(B6019,MOD(A6019-1,Days),"")</f>
        <v/>
      </c>
      <c r="E6019" s="16">
        <f>IF(B6019,StartDate+D6019,"")</f>
        <v/>
      </c>
      <c r="F6019">
        <f>IF(B6019,MAX(MOD(SIN(Seed*0.1373+C6019*12.9898+D6019*78.233)*43758.5453,1),1E-9),"")</f>
        <v/>
      </c>
      <c r="G6019">
        <f>IF(B6019,MOD(SIN(Seed*0.5917+C6019*39.3468+D6019*11.135)*24634.6345,1),"")</f>
        <v/>
      </c>
      <c r="H6019">
        <f>IF(B6019,SQRT(-2*LN(F6019))*COS(2*PI()*G6019),"")</f>
        <v/>
      </c>
      <c r="I6019">
        <f>IF(B6019,IF(D6019=0,H6019,Rho*I6018+SQRT(1-Rho^2)*H6019),"")</f>
        <v/>
      </c>
      <c r="J6019">
        <f>IF(B6019,IF(Dist="Normal",DistA+DistB*I6019,DistA+(DistB-DistA)*NORMSDIST(I6019)),"")</f>
        <v/>
      </c>
      <c r="K6019">
        <f>IF(B6019,INDEX(MineScale,C6019),"")</f>
        <v/>
      </c>
      <c r="L6019">
        <f>IF(B6019,INDEX(Dow,1,WEEKDAY(E6019,2)),"")</f>
        <v/>
      </c>
      <c r="M6019">
        <f>IF(B6019,(1+Trend)^D6019,"")</f>
        <v/>
      </c>
      <c r="N6019">
        <f>IF(B6019,EXP(SUMPRODUCT(LN(1+(EvEff-1)*INDEX(Affected,0,C6019)*EXP(-((E6019-EvCenter)^2)/(2*EvSigma^2))))),"")</f>
        <v/>
      </c>
      <c r="O6019">
        <f>IF(B6019,ROUND(MAX(0,J6019*K6019*L6019*M6019*N6019),2),"")</f>
        <v/>
      </c>
    </row>
    <row r="6020">
      <c r="A6020" t="n">
        <v>6019</v>
      </c>
      <c r="B6020">
        <f>A6020&lt;=MineCount*Days</f>
        <v/>
      </c>
      <c r="C6020">
        <f>IF(B6020,INT((A6020-1)/Days)+1,"")</f>
        <v/>
      </c>
      <c r="D6020">
        <f>IF(B6020,MOD(A6020-1,Days),"")</f>
        <v/>
      </c>
      <c r="E6020" s="16">
        <f>IF(B6020,StartDate+D6020,"")</f>
        <v/>
      </c>
      <c r="F6020">
        <f>IF(B6020,MAX(MOD(SIN(Seed*0.1373+C6020*12.9898+D6020*78.233)*43758.5453,1),1E-9),"")</f>
        <v/>
      </c>
      <c r="G6020">
        <f>IF(B6020,MOD(SIN(Seed*0.5917+C6020*39.3468+D6020*11.135)*24634.6345,1),"")</f>
        <v/>
      </c>
      <c r="H6020">
        <f>IF(B6020,SQRT(-2*LN(F6020))*COS(2*PI()*G6020),"")</f>
        <v/>
      </c>
      <c r="I6020">
        <f>IF(B6020,IF(D6020=0,H6020,Rho*I6019+SQRT(1-Rho^2)*H6020),"")</f>
        <v/>
      </c>
      <c r="J6020">
        <f>IF(B6020,IF(Dist="Normal",DistA+DistB*I6020,DistA+(DistB-DistA)*NORMSDIST(I6020)),"")</f>
        <v/>
      </c>
      <c r="K6020">
        <f>IF(B6020,INDEX(MineScale,C6020),"")</f>
        <v/>
      </c>
      <c r="L6020">
        <f>IF(B6020,INDEX(Dow,1,WEEKDAY(E6020,2)),"")</f>
        <v/>
      </c>
      <c r="M6020">
        <f>IF(B6020,(1+Trend)^D6020,"")</f>
        <v/>
      </c>
      <c r="N6020">
        <f>IF(B6020,EXP(SUMPRODUCT(LN(1+(EvEff-1)*INDEX(Affected,0,C6020)*EXP(-((E6020-EvCenter)^2)/(2*EvSigma^2))))),"")</f>
        <v/>
      </c>
      <c r="O6020">
        <f>IF(B6020,ROUND(MAX(0,J6020*K6020*L6020*M6020*N6020),2),"")</f>
        <v/>
      </c>
    </row>
    <row r="6021">
      <c r="A6021" t="n">
        <v>6020</v>
      </c>
      <c r="B6021">
        <f>A6021&lt;=MineCount*Days</f>
        <v/>
      </c>
      <c r="C6021">
        <f>IF(B6021,INT((A6021-1)/Days)+1,"")</f>
        <v/>
      </c>
      <c r="D6021">
        <f>IF(B6021,MOD(A6021-1,Days),"")</f>
        <v/>
      </c>
      <c r="E6021" s="16">
        <f>IF(B6021,StartDate+D6021,"")</f>
        <v/>
      </c>
      <c r="F6021">
        <f>IF(B6021,MAX(MOD(SIN(Seed*0.1373+C6021*12.9898+D6021*78.233)*43758.5453,1),1E-9),"")</f>
        <v/>
      </c>
      <c r="G6021">
        <f>IF(B6021,MOD(SIN(Seed*0.5917+C6021*39.3468+D6021*11.135)*24634.6345,1),"")</f>
        <v/>
      </c>
      <c r="H6021">
        <f>IF(B6021,SQRT(-2*LN(F6021))*COS(2*PI()*G6021),"")</f>
        <v/>
      </c>
      <c r="I6021">
        <f>IF(B6021,IF(D6021=0,H6021,Rho*I6020+SQRT(1-Rho^2)*H6021),"")</f>
        <v/>
      </c>
      <c r="J6021">
        <f>IF(B6021,IF(Dist="Normal",DistA+DistB*I6021,DistA+(DistB-DistA)*NORMSDIST(I6021)),"")</f>
        <v/>
      </c>
      <c r="K6021">
        <f>IF(B6021,INDEX(MineScale,C6021),"")</f>
        <v/>
      </c>
      <c r="L6021">
        <f>IF(B6021,INDEX(Dow,1,WEEKDAY(E6021,2)),"")</f>
        <v/>
      </c>
      <c r="M6021">
        <f>IF(B6021,(1+Trend)^D6021,"")</f>
        <v/>
      </c>
      <c r="N6021">
        <f>IF(B6021,EXP(SUMPRODUCT(LN(1+(EvEff-1)*INDEX(Affected,0,C6021)*EXP(-((E6021-EvCenter)^2)/(2*EvSigma^2))))),"")</f>
        <v/>
      </c>
      <c r="O6021">
        <f>IF(B6021,ROUND(MAX(0,J6021*K6021*L6021*M6021*N6021),2),"")</f>
        <v/>
      </c>
    </row>
    <row r="6022">
      <c r="A6022" t="n">
        <v>6021</v>
      </c>
      <c r="B6022">
        <f>A6022&lt;=MineCount*Days</f>
        <v/>
      </c>
      <c r="C6022">
        <f>IF(B6022,INT((A6022-1)/Days)+1,"")</f>
        <v/>
      </c>
      <c r="D6022">
        <f>IF(B6022,MOD(A6022-1,Days),"")</f>
        <v/>
      </c>
      <c r="E6022" s="16">
        <f>IF(B6022,StartDate+D6022,"")</f>
        <v/>
      </c>
      <c r="F6022">
        <f>IF(B6022,MAX(MOD(SIN(Seed*0.1373+C6022*12.9898+D6022*78.233)*43758.5453,1),1E-9),"")</f>
        <v/>
      </c>
      <c r="G6022">
        <f>IF(B6022,MOD(SIN(Seed*0.5917+C6022*39.3468+D6022*11.135)*24634.6345,1),"")</f>
        <v/>
      </c>
      <c r="H6022">
        <f>IF(B6022,SQRT(-2*LN(F6022))*COS(2*PI()*G6022),"")</f>
        <v/>
      </c>
      <c r="I6022">
        <f>IF(B6022,IF(D6022=0,H6022,Rho*I6021+SQRT(1-Rho^2)*H6022),"")</f>
        <v/>
      </c>
      <c r="J6022">
        <f>IF(B6022,IF(Dist="Normal",DistA+DistB*I6022,DistA+(DistB-DistA)*NORMSDIST(I6022)),"")</f>
        <v/>
      </c>
      <c r="K6022">
        <f>IF(B6022,INDEX(MineScale,C6022),"")</f>
        <v/>
      </c>
      <c r="L6022">
        <f>IF(B6022,INDEX(Dow,1,WEEKDAY(E6022,2)),"")</f>
        <v/>
      </c>
      <c r="M6022">
        <f>IF(B6022,(1+Trend)^D6022,"")</f>
        <v/>
      </c>
      <c r="N6022">
        <f>IF(B6022,EXP(SUMPRODUCT(LN(1+(EvEff-1)*INDEX(Affected,0,C6022)*EXP(-((E6022-EvCenter)^2)/(2*EvSigma^2))))),"")</f>
        <v/>
      </c>
      <c r="O6022">
        <f>IF(B6022,ROUND(MAX(0,J6022*K6022*L6022*M6022*N6022),2),"")</f>
        <v/>
      </c>
    </row>
    <row r="6023">
      <c r="A6023" t="n">
        <v>6022</v>
      </c>
      <c r="B6023">
        <f>A6023&lt;=MineCount*Days</f>
        <v/>
      </c>
      <c r="C6023">
        <f>IF(B6023,INT((A6023-1)/Days)+1,"")</f>
        <v/>
      </c>
      <c r="D6023">
        <f>IF(B6023,MOD(A6023-1,Days),"")</f>
        <v/>
      </c>
      <c r="E6023" s="16">
        <f>IF(B6023,StartDate+D6023,"")</f>
        <v/>
      </c>
      <c r="F6023">
        <f>IF(B6023,MAX(MOD(SIN(Seed*0.1373+C6023*12.9898+D6023*78.233)*43758.5453,1),1E-9),"")</f>
        <v/>
      </c>
      <c r="G6023">
        <f>IF(B6023,MOD(SIN(Seed*0.5917+C6023*39.3468+D6023*11.135)*24634.6345,1),"")</f>
        <v/>
      </c>
      <c r="H6023">
        <f>IF(B6023,SQRT(-2*LN(F6023))*COS(2*PI()*G6023),"")</f>
        <v/>
      </c>
      <c r="I6023">
        <f>IF(B6023,IF(D6023=0,H6023,Rho*I6022+SQRT(1-Rho^2)*H6023),"")</f>
        <v/>
      </c>
      <c r="J6023">
        <f>IF(B6023,IF(Dist="Normal",DistA+DistB*I6023,DistA+(DistB-DistA)*NORMSDIST(I6023)),"")</f>
        <v/>
      </c>
      <c r="K6023">
        <f>IF(B6023,INDEX(MineScale,C6023),"")</f>
        <v/>
      </c>
      <c r="L6023">
        <f>IF(B6023,INDEX(Dow,1,WEEKDAY(E6023,2)),"")</f>
        <v/>
      </c>
      <c r="M6023">
        <f>IF(B6023,(1+Trend)^D6023,"")</f>
        <v/>
      </c>
      <c r="N6023">
        <f>IF(B6023,EXP(SUMPRODUCT(LN(1+(EvEff-1)*INDEX(Affected,0,C6023)*EXP(-((E6023-EvCenter)^2)/(2*EvSigma^2))))),"")</f>
        <v/>
      </c>
      <c r="O6023">
        <f>IF(B6023,ROUND(MAX(0,J6023*K6023*L6023*M6023*N6023),2),"")</f>
        <v/>
      </c>
    </row>
    <row r="6024">
      <c r="A6024" t="n">
        <v>6023</v>
      </c>
      <c r="B6024">
        <f>A6024&lt;=MineCount*Days</f>
        <v/>
      </c>
      <c r="C6024">
        <f>IF(B6024,INT((A6024-1)/Days)+1,"")</f>
        <v/>
      </c>
      <c r="D6024">
        <f>IF(B6024,MOD(A6024-1,Days),"")</f>
        <v/>
      </c>
      <c r="E6024" s="16">
        <f>IF(B6024,StartDate+D6024,"")</f>
        <v/>
      </c>
      <c r="F6024">
        <f>IF(B6024,MAX(MOD(SIN(Seed*0.1373+C6024*12.9898+D6024*78.233)*43758.5453,1),1E-9),"")</f>
        <v/>
      </c>
      <c r="G6024">
        <f>IF(B6024,MOD(SIN(Seed*0.5917+C6024*39.3468+D6024*11.135)*24634.6345,1),"")</f>
        <v/>
      </c>
      <c r="H6024">
        <f>IF(B6024,SQRT(-2*LN(F6024))*COS(2*PI()*G6024),"")</f>
        <v/>
      </c>
      <c r="I6024">
        <f>IF(B6024,IF(D6024=0,H6024,Rho*I6023+SQRT(1-Rho^2)*H6024),"")</f>
        <v/>
      </c>
      <c r="J6024">
        <f>IF(B6024,IF(Dist="Normal",DistA+DistB*I6024,DistA+(DistB-DistA)*NORMSDIST(I6024)),"")</f>
        <v/>
      </c>
      <c r="K6024">
        <f>IF(B6024,INDEX(MineScale,C6024),"")</f>
        <v/>
      </c>
      <c r="L6024">
        <f>IF(B6024,INDEX(Dow,1,WEEKDAY(E6024,2)),"")</f>
        <v/>
      </c>
      <c r="M6024">
        <f>IF(B6024,(1+Trend)^D6024,"")</f>
        <v/>
      </c>
      <c r="N6024">
        <f>IF(B6024,EXP(SUMPRODUCT(LN(1+(EvEff-1)*INDEX(Affected,0,C6024)*EXP(-((E6024-EvCenter)^2)/(2*EvSigma^2))))),"")</f>
        <v/>
      </c>
      <c r="O6024">
        <f>IF(B6024,ROUND(MAX(0,J6024*K6024*L6024*M6024*N6024),2),"")</f>
        <v/>
      </c>
    </row>
    <row r="6025">
      <c r="A6025" t="n">
        <v>6024</v>
      </c>
      <c r="B6025">
        <f>A6025&lt;=MineCount*Days</f>
        <v/>
      </c>
      <c r="C6025">
        <f>IF(B6025,INT((A6025-1)/Days)+1,"")</f>
        <v/>
      </c>
      <c r="D6025">
        <f>IF(B6025,MOD(A6025-1,Days),"")</f>
        <v/>
      </c>
      <c r="E6025" s="16">
        <f>IF(B6025,StartDate+D6025,"")</f>
        <v/>
      </c>
      <c r="F6025">
        <f>IF(B6025,MAX(MOD(SIN(Seed*0.1373+C6025*12.9898+D6025*78.233)*43758.5453,1),1E-9),"")</f>
        <v/>
      </c>
      <c r="G6025">
        <f>IF(B6025,MOD(SIN(Seed*0.5917+C6025*39.3468+D6025*11.135)*24634.6345,1),"")</f>
        <v/>
      </c>
      <c r="H6025">
        <f>IF(B6025,SQRT(-2*LN(F6025))*COS(2*PI()*G6025),"")</f>
        <v/>
      </c>
      <c r="I6025">
        <f>IF(B6025,IF(D6025=0,H6025,Rho*I6024+SQRT(1-Rho^2)*H6025),"")</f>
        <v/>
      </c>
      <c r="J6025">
        <f>IF(B6025,IF(Dist="Normal",DistA+DistB*I6025,DistA+(DistB-DistA)*NORMSDIST(I6025)),"")</f>
        <v/>
      </c>
      <c r="K6025">
        <f>IF(B6025,INDEX(MineScale,C6025),"")</f>
        <v/>
      </c>
      <c r="L6025">
        <f>IF(B6025,INDEX(Dow,1,WEEKDAY(E6025,2)),"")</f>
        <v/>
      </c>
      <c r="M6025">
        <f>IF(B6025,(1+Trend)^D6025,"")</f>
        <v/>
      </c>
      <c r="N6025">
        <f>IF(B6025,EXP(SUMPRODUCT(LN(1+(EvEff-1)*INDEX(Affected,0,C6025)*EXP(-((E6025-EvCenter)^2)/(2*EvSigma^2))))),"")</f>
        <v/>
      </c>
      <c r="O6025">
        <f>IF(B6025,ROUND(MAX(0,J6025*K6025*L6025*M6025*N6025),2),"")</f>
        <v/>
      </c>
    </row>
    <row r="6026">
      <c r="A6026" t="n">
        <v>6025</v>
      </c>
      <c r="B6026">
        <f>A6026&lt;=MineCount*Days</f>
        <v/>
      </c>
      <c r="C6026">
        <f>IF(B6026,INT((A6026-1)/Days)+1,"")</f>
        <v/>
      </c>
      <c r="D6026">
        <f>IF(B6026,MOD(A6026-1,Days),"")</f>
        <v/>
      </c>
      <c r="E6026" s="16">
        <f>IF(B6026,StartDate+D6026,"")</f>
        <v/>
      </c>
      <c r="F6026">
        <f>IF(B6026,MAX(MOD(SIN(Seed*0.1373+C6026*12.9898+D6026*78.233)*43758.5453,1),1E-9),"")</f>
        <v/>
      </c>
      <c r="G6026">
        <f>IF(B6026,MOD(SIN(Seed*0.5917+C6026*39.3468+D6026*11.135)*24634.6345,1),"")</f>
        <v/>
      </c>
      <c r="H6026">
        <f>IF(B6026,SQRT(-2*LN(F6026))*COS(2*PI()*G6026),"")</f>
        <v/>
      </c>
      <c r="I6026">
        <f>IF(B6026,IF(D6026=0,H6026,Rho*I6025+SQRT(1-Rho^2)*H6026),"")</f>
        <v/>
      </c>
      <c r="J6026">
        <f>IF(B6026,IF(Dist="Normal",DistA+DistB*I6026,DistA+(DistB-DistA)*NORMSDIST(I6026)),"")</f>
        <v/>
      </c>
      <c r="K6026">
        <f>IF(B6026,INDEX(MineScale,C6026),"")</f>
        <v/>
      </c>
      <c r="L6026">
        <f>IF(B6026,INDEX(Dow,1,WEEKDAY(E6026,2)),"")</f>
        <v/>
      </c>
      <c r="M6026">
        <f>IF(B6026,(1+Trend)^D6026,"")</f>
        <v/>
      </c>
      <c r="N6026">
        <f>IF(B6026,EXP(SUMPRODUCT(LN(1+(EvEff-1)*INDEX(Affected,0,C6026)*EXP(-((E6026-EvCenter)^2)/(2*EvSigma^2))))),"")</f>
        <v/>
      </c>
      <c r="O6026">
        <f>IF(B6026,ROUND(MAX(0,J6026*K6026*L6026*M6026*N6026),2),"")</f>
        <v/>
      </c>
    </row>
    <row r="6027">
      <c r="A6027" t="n">
        <v>6026</v>
      </c>
      <c r="B6027">
        <f>A6027&lt;=MineCount*Days</f>
        <v/>
      </c>
      <c r="C6027">
        <f>IF(B6027,INT((A6027-1)/Days)+1,"")</f>
        <v/>
      </c>
      <c r="D6027">
        <f>IF(B6027,MOD(A6027-1,Days),"")</f>
        <v/>
      </c>
      <c r="E6027" s="16">
        <f>IF(B6027,StartDate+D6027,"")</f>
        <v/>
      </c>
      <c r="F6027">
        <f>IF(B6027,MAX(MOD(SIN(Seed*0.1373+C6027*12.9898+D6027*78.233)*43758.5453,1),1E-9),"")</f>
        <v/>
      </c>
      <c r="G6027">
        <f>IF(B6027,MOD(SIN(Seed*0.5917+C6027*39.3468+D6027*11.135)*24634.6345,1),"")</f>
        <v/>
      </c>
      <c r="H6027">
        <f>IF(B6027,SQRT(-2*LN(F6027))*COS(2*PI()*G6027),"")</f>
        <v/>
      </c>
      <c r="I6027">
        <f>IF(B6027,IF(D6027=0,H6027,Rho*I6026+SQRT(1-Rho^2)*H6027),"")</f>
        <v/>
      </c>
      <c r="J6027">
        <f>IF(B6027,IF(Dist="Normal",DistA+DistB*I6027,DistA+(DistB-DistA)*NORMSDIST(I6027)),"")</f>
        <v/>
      </c>
      <c r="K6027">
        <f>IF(B6027,INDEX(MineScale,C6027),"")</f>
        <v/>
      </c>
      <c r="L6027">
        <f>IF(B6027,INDEX(Dow,1,WEEKDAY(E6027,2)),"")</f>
        <v/>
      </c>
      <c r="M6027">
        <f>IF(B6027,(1+Trend)^D6027,"")</f>
        <v/>
      </c>
      <c r="N6027">
        <f>IF(B6027,EXP(SUMPRODUCT(LN(1+(EvEff-1)*INDEX(Affected,0,C6027)*EXP(-((E6027-EvCenter)^2)/(2*EvSigma^2))))),"")</f>
        <v/>
      </c>
      <c r="O6027">
        <f>IF(B6027,ROUND(MAX(0,J6027*K6027*L6027*M6027*N6027),2),"")</f>
        <v/>
      </c>
    </row>
    <row r="6028">
      <c r="A6028" t="n">
        <v>6027</v>
      </c>
      <c r="B6028">
        <f>A6028&lt;=MineCount*Days</f>
        <v/>
      </c>
      <c r="C6028">
        <f>IF(B6028,INT((A6028-1)/Days)+1,"")</f>
        <v/>
      </c>
      <c r="D6028">
        <f>IF(B6028,MOD(A6028-1,Days),"")</f>
        <v/>
      </c>
      <c r="E6028" s="16">
        <f>IF(B6028,StartDate+D6028,"")</f>
        <v/>
      </c>
      <c r="F6028">
        <f>IF(B6028,MAX(MOD(SIN(Seed*0.1373+C6028*12.9898+D6028*78.233)*43758.5453,1),1E-9),"")</f>
        <v/>
      </c>
      <c r="G6028">
        <f>IF(B6028,MOD(SIN(Seed*0.5917+C6028*39.3468+D6028*11.135)*24634.6345,1),"")</f>
        <v/>
      </c>
      <c r="H6028">
        <f>IF(B6028,SQRT(-2*LN(F6028))*COS(2*PI()*G6028),"")</f>
        <v/>
      </c>
      <c r="I6028">
        <f>IF(B6028,IF(D6028=0,H6028,Rho*I6027+SQRT(1-Rho^2)*H6028),"")</f>
        <v/>
      </c>
      <c r="J6028">
        <f>IF(B6028,IF(Dist="Normal",DistA+DistB*I6028,DistA+(DistB-DistA)*NORMSDIST(I6028)),"")</f>
        <v/>
      </c>
      <c r="K6028">
        <f>IF(B6028,INDEX(MineScale,C6028),"")</f>
        <v/>
      </c>
      <c r="L6028">
        <f>IF(B6028,INDEX(Dow,1,WEEKDAY(E6028,2)),"")</f>
        <v/>
      </c>
      <c r="M6028">
        <f>IF(B6028,(1+Trend)^D6028,"")</f>
        <v/>
      </c>
      <c r="N6028">
        <f>IF(B6028,EXP(SUMPRODUCT(LN(1+(EvEff-1)*INDEX(Affected,0,C6028)*EXP(-((E6028-EvCenter)^2)/(2*EvSigma^2))))),"")</f>
        <v/>
      </c>
      <c r="O6028">
        <f>IF(B6028,ROUND(MAX(0,J6028*K6028*L6028*M6028*N6028),2),"")</f>
        <v/>
      </c>
    </row>
    <row r="6029">
      <c r="A6029" t="n">
        <v>6028</v>
      </c>
      <c r="B6029">
        <f>A6029&lt;=MineCount*Days</f>
        <v/>
      </c>
      <c r="C6029">
        <f>IF(B6029,INT((A6029-1)/Days)+1,"")</f>
        <v/>
      </c>
      <c r="D6029">
        <f>IF(B6029,MOD(A6029-1,Days),"")</f>
        <v/>
      </c>
      <c r="E6029" s="16">
        <f>IF(B6029,StartDate+D6029,"")</f>
        <v/>
      </c>
      <c r="F6029">
        <f>IF(B6029,MAX(MOD(SIN(Seed*0.1373+C6029*12.9898+D6029*78.233)*43758.5453,1),1E-9),"")</f>
        <v/>
      </c>
      <c r="G6029">
        <f>IF(B6029,MOD(SIN(Seed*0.5917+C6029*39.3468+D6029*11.135)*24634.6345,1),"")</f>
        <v/>
      </c>
      <c r="H6029">
        <f>IF(B6029,SQRT(-2*LN(F6029))*COS(2*PI()*G6029),"")</f>
        <v/>
      </c>
      <c r="I6029">
        <f>IF(B6029,IF(D6029=0,H6029,Rho*I6028+SQRT(1-Rho^2)*H6029),"")</f>
        <v/>
      </c>
      <c r="J6029">
        <f>IF(B6029,IF(Dist="Normal",DistA+DistB*I6029,DistA+(DistB-DistA)*NORMSDIST(I6029)),"")</f>
        <v/>
      </c>
      <c r="K6029">
        <f>IF(B6029,INDEX(MineScale,C6029),"")</f>
        <v/>
      </c>
      <c r="L6029">
        <f>IF(B6029,INDEX(Dow,1,WEEKDAY(E6029,2)),"")</f>
        <v/>
      </c>
      <c r="M6029">
        <f>IF(B6029,(1+Trend)^D6029,"")</f>
        <v/>
      </c>
      <c r="N6029">
        <f>IF(B6029,EXP(SUMPRODUCT(LN(1+(EvEff-1)*INDEX(Affected,0,C6029)*EXP(-((E6029-EvCenter)^2)/(2*EvSigma^2))))),"")</f>
        <v/>
      </c>
      <c r="O6029">
        <f>IF(B6029,ROUND(MAX(0,J6029*K6029*L6029*M6029*N6029),2),"")</f>
        <v/>
      </c>
    </row>
    <row r="6030">
      <c r="A6030" t="n">
        <v>6029</v>
      </c>
      <c r="B6030">
        <f>A6030&lt;=MineCount*Days</f>
        <v/>
      </c>
      <c r="C6030">
        <f>IF(B6030,INT((A6030-1)/Days)+1,"")</f>
        <v/>
      </c>
      <c r="D6030">
        <f>IF(B6030,MOD(A6030-1,Days),"")</f>
        <v/>
      </c>
      <c r="E6030" s="16">
        <f>IF(B6030,StartDate+D6030,"")</f>
        <v/>
      </c>
      <c r="F6030">
        <f>IF(B6030,MAX(MOD(SIN(Seed*0.1373+C6030*12.9898+D6030*78.233)*43758.5453,1),1E-9),"")</f>
        <v/>
      </c>
      <c r="G6030">
        <f>IF(B6030,MOD(SIN(Seed*0.5917+C6030*39.3468+D6030*11.135)*24634.6345,1),"")</f>
        <v/>
      </c>
      <c r="H6030">
        <f>IF(B6030,SQRT(-2*LN(F6030))*COS(2*PI()*G6030),"")</f>
        <v/>
      </c>
      <c r="I6030">
        <f>IF(B6030,IF(D6030=0,H6030,Rho*I6029+SQRT(1-Rho^2)*H6030),"")</f>
        <v/>
      </c>
      <c r="J6030">
        <f>IF(B6030,IF(Dist="Normal",DistA+DistB*I6030,DistA+(DistB-DistA)*NORMSDIST(I6030)),"")</f>
        <v/>
      </c>
      <c r="K6030">
        <f>IF(B6030,INDEX(MineScale,C6030),"")</f>
        <v/>
      </c>
      <c r="L6030">
        <f>IF(B6030,INDEX(Dow,1,WEEKDAY(E6030,2)),"")</f>
        <v/>
      </c>
      <c r="M6030">
        <f>IF(B6030,(1+Trend)^D6030,"")</f>
        <v/>
      </c>
      <c r="N6030">
        <f>IF(B6030,EXP(SUMPRODUCT(LN(1+(EvEff-1)*INDEX(Affected,0,C6030)*EXP(-((E6030-EvCenter)^2)/(2*EvSigma^2))))),"")</f>
        <v/>
      </c>
      <c r="O6030">
        <f>IF(B6030,ROUND(MAX(0,J6030*K6030*L6030*M6030*N6030),2),"")</f>
        <v/>
      </c>
    </row>
    <row r="6031">
      <c r="A6031" t="n">
        <v>6030</v>
      </c>
      <c r="B6031">
        <f>A6031&lt;=MineCount*Days</f>
        <v/>
      </c>
      <c r="C6031">
        <f>IF(B6031,INT((A6031-1)/Days)+1,"")</f>
        <v/>
      </c>
      <c r="D6031">
        <f>IF(B6031,MOD(A6031-1,Days),"")</f>
        <v/>
      </c>
      <c r="E6031" s="16">
        <f>IF(B6031,StartDate+D6031,"")</f>
        <v/>
      </c>
      <c r="F6031">
        <f>IF(B6031,MAX(MOD(SIN(Seed*0.1373+C6031*12.9898+D6031*78.233)*43758.5453,1),1E-9),"")</f>
        <v/>
      </c>
      <c r="G6031">
        <f>IF(B6031,MOD(SIN(Seed*0.5917+C6031*39.3468+D6031*11.135)*24634.6345,1),"")</f>
        <v/>
      </c>
      <c r="H6031">
        <f>IF(B6031,SQRT(-2*LN(F6031))*COS(2*PI()*G6031),"")</f>
        <v/>
      </c>
      <c r="I6031">
        <f>IF(B6031,IF(D6031=0,H6031,Rho*I6030+SQRT(1-Rho^2)*H6031),"")</f>
        <v/>
      </c>
      <c r="J6031">
        <f>IF(B6031,IF(Dist="Normal",DistA+DistB*I6031,DistA+(DistB-DistA)*NORMSDIST(I6031)),"")</f>
        <v/>
      </c>
      <c r="K6031">
        <f>IF(B6031,INDEX(MineScale,C6031),"")</f>
        <v/>
      </c>
      <c r="L6031">
        <f>IF(B6031,INDEX(Dow,1,WEEKDAY(E6031,2)),"")</f>
        <v/>
      </c>
      <c r="M6031">
        <f>IF(B6031,(1+Trend)^D6031,"")</f>
        <v/>
      </c>
      <c r="N6031">
        <f>IF(B6031,EXP(SUMPRODUCT(LN(1+(EvEff-1)*INDEX(Affected,0,C6031)*EXP(-((E6031-EvCenter)^2)/(2*EvSigma^2))))),"")</f>
        <v/>
      </c>
      <c r="O6031">
        <f>IF(B6031,ROUND(MAX(0,J6031*K6031*L6031*M6031*N6031),2),"")</f>
        <v/>
      </c>
    </row>
    <row r="6032">
      <c r="A6032" t="n">
        <v>6031</v>
      </c>
      <c r="B6032">
        <f>A6032&lt;=MineCount*Days</f>
        <v/>
      </c>
      <c r="C6032">
        <f>IF(B6032,INT((A6032-1)/Days)+1,"")</f>
        <v/>
      </c>
      <c r="D6032">
        <f>IF(B6032,MOD(A6032-1,Days),"")</f>
        <v/>
      </c>
      <c r="E6032" s="16">
        <f>IF(B6032,StartDate+D6032,"")</f>
        <v/>
      </c>
      <c r="F6032">
        <f>IF(B6032,MAX(MOD(SIN(Seed*0.1373+C6032*12.9898+D6032*78.233)*43758.5453,1),1E-9),"")</f>
        <v/>
      </c>
      <c r="G6032">
        <f>IF(B6032,MOD(SIN(Seed*0.5917+C6032*39.3468+D6032*11.135)*24634.6345,1),"")</f>
        <v/>
      </c>
      <c r="H6032">
        <f>IF(B6032,SQRT(-2*LN(F6032))*COS(2*PI()*G6032),"")</f>
        <v/>
      </c>
      <c r="I6032">
        <f>IF(B6032,IF(D6032=0,H6032,Rho*I6031+SQRT(1-Rho^2)*H6032),"")</f>
        <v/>
      </c>
      <c r="J6032">
        <f>IF(B6032,IF(Dist="Normal",DistA+DistB*I6032,DistA+(DistB-DistA)*NORMSDIST(I6032)),"")</f>
        <v/>
      </c>
      <c r="K6032">
        <f>IF(B6032,INDEX(MineScale,C6032),"")</f>
        <v/>
      </c>
      <c r="L6032">
        <f>IF(B6032,INDEX(Dow,1,WEEKDAY(E6032,2)),"")</f>
        <v/>
      </c>
      <c r="M6032">
        <f>IF(B6032,(1+Trend)^D6032,"")</f>
        <v/>
      </c>
      <c r="N6032">
        <f>IF(B6032,EXP(SUMPRODUCT(LN(1+(EvEff-1)*INDEX(Affected,0,C6032)*EXP(-((E6032-EvCenter)^2)/(2*EvSigma^2))))),"")</f>
        <v/>
      </c>
      <c r="O6032">
        <f>IF(B6032,ROUND(MAX(0,J6032*K6032*L6032*M6032*N6032),2),"")</f>
        <v/>
      </c>
    </row>
    <row r="6033">
      <c r="A6033" t="n">
        <v>6032</v>
      </c>
      <c r="B6033">
        <f>A6033&lt;=MineCount*Days</f>
        <v/>
      </c>
      <c r="C6033">
        <f>IF(B6033,INT((A6033-1)/Days)+1,"")</f>
        <v/>
      </c>
      <c r="D6033">
        <f>IF(B6033,MOD(A6033-1,Days),"")</f>
        <v/>
      </c>
      <c r="E6033" s="16">
        <f>IF(B6033,StartDate+D6033,"")</f>
        <v/>
      </c>
      <c r="F6033">
        <f>IF(B6033,MAX(MOD(SIN(Seed*0.1373+C6033*12.9898+D6033*78.233)*43758.5453,1),1E-9),"")</f>
        <v/>
      </c>
      <c r="G6033">
        <f>IF(B6033,MOD(SIN(Seed*0.5917+C6033*39.3468+D6033*11.135)*24634.6345,1),"")</f>
        <v/>
      </c>
      <c r="H6033">
        <f>IF(B6033,SQRT(-2*LN(F6033))*COS(2*PI()*G6033),"")</f>
        <v/>
      </c>
      <c r="I6033">
        <f>IF(B6033,IF(D6033=0,H6033,Rho*I6032+SQRT(1-Rho^2)*H6033),"")</f>
        <v/>
      </c>
      <c r="J6033">
        <f>IF(B6033,IF(Dist="Normal",DistA+DistB*I6033,DistA+(DistB-DistA)*NORMSDIST(I6033)),"")</f>
        <v/>
      </c>
      <c r="K6033">
        <f>IF(B6033,INDEX(MineScale,C6033),"")</f>
        <v/>
      </c>
      <c r="L6033">
        <f>IF(B6033,INDEX(Dow,1,WEEKDAY(E6033,2)),"")</f>
        <v/>
      </c>
      <c r="M6033">
        <f>IF(B6033,(1+Trend)^D6033,"")</f>
        <v/>
      </c>
      <c r="N6033">
        <f>IF(B6033,EXP(SUMPRODUCT(LN(1+(EvEff-1)*INDEX(Affected,0,C6033)*EXP(-((E6033-EvCenter)^2)/(2*EvSigma^2))))),"")</f>
        <v/>
      </c>
      <c r="O6033">
        <f>IF(B6033,ROUND(MAX(0,J6033*K6033*L6033*M6033*N6033),2),"")</f>
        <v/>
      </c>
    </row>
    <row r="6034">
      <c r="A6034" t="n">
        <v>6033</v>
      </c>
      <c r="B6034">
        <f>A6034&lt;=MineCount*Days</f>
        <v/>
      </c>
      <c r="C6034">
        <f>IF(B6034,INT((A6034-1)/Days)+1,"")</f>
        <v/>
      </c>
      <c r="D6034">
        <f>IF(B6034,MOD(A6034-1,Days),"")</f>
        <v/>
      </c>
      <c r="E6034" s="16">
        <f>IF(B6034,StartDate+D6034,"")</f>
        <v/>
      </c>
      <c r="F6034">
        <f>IF(B6034,MAX(MOD(SIN(Seed*0.1373+C6034*12.9898+D6034*78.233)*43758.5453,1),1E-9),"")</f>
        <v/>
      </c>
      <c r="G6034">
        <f>IF(B6034,MOD(SIN(Seed*0.5917+C6034*39.3468+D6034*11.135)*24634.6345,1),"")</f>
        <v/>
      </c>
      <c r="H6034">
        <f>IF(B6034,SQRT(-2*LN(F6034))*COS(2*PI()*G6034),"")</f>
        <v/>
      </c>
      <c r="I6034">
        <f>IF(B6034,IF(D6034=0,H6034,Rho*I6033+SQRT(1-Rho^2)*H6034),"")</f>
        <v/>
      </c>
      <c r="J6034">
        <f>IF(B6034,IF(Dist="Normal",DistA+DistB*I6034,DistA+(DistB-DistA)*NORMSDIST(I6034)),"")</f>
        <v/>
      </c>
      <c r="K6034">
        <f>IF(B6034,INDEX(MineScale,C6034),"")</f>
        <v/>
      </c>
      <c r="L6034">
        <f>IF(B6034,INDEX(Dow,1,WEEKDAY(E6034,2)),"")</f>
        <v/>
      </c>
      <c r="M6034">
        <f>IF(B6034,(1+Trend)^D6034,"")</f>
        <v/>
      </c>
      <c r="N6034">
        <f>IF(B6034,EXP(SUMPRODUCT(LN(1+(EvEff-1)*INDEX(Affected,0,C6034)*EXP(-((E6034-EvCenter)^2)/(2*EvSigma^2))))),"")</f>
        <v/>
      </c>
      <c r="O6034">
        <f>IF(B6034,ROUND(MAX(0,J6034*K6034*L6034*M6034*N6034),2),"")</f>
        <v/>
      </c>
    </row>
    <row r="6035">
      <c r="A6035" t="n">
        <v>6034</v>
      </c>
      <c r="B6035">
        <f>A6035&lt;=MineCount*Days</f>
        <v/>
      </c>
      <c r="C6035">
        <f>IF(B6035,INT((A6035-1)/Days)+1,"")</f>
        <v/>
      </c>
      <c r="D6035">
        <f>IF(B6035,MOD(A6035-1,Days),"")</f>
        <v/>
      </c>
      <c r="E6035" s="16">
        <f>IF(B6035,StartDate+D6035,"")</f>
        <v/>
      </c>
      <c r="F6035">
        <f>IF(B6035,MAX(MOD(SIN(Seed*0.1373+C6035*12.9898+D6035*78.233)*43758.5453,1),1E-9),"")</f>
        <v/>
      </c>
      <c r="G6035">
        <f>IF(B6035,MOD(SIN(Seed*0.5917+C6035*39.3468+D6035*11.135)*24634.6345,1),"")</f>
        <v/>
      </c>
      <c r="H6035">
        <f>IF(B6035,SQRT(-2*LN(F6035))*COS(2*PI()*G6035),"")</f>
        <v/>
      </c>
      <c r="I6035">
        <f>IF(B6035,IF(D6035=0,H6035,Rho*I6034+SQRT(1-Rho^2)*H6035),"")</f>
        <v/>
      </c>
      <c r="J6035">
        <f>IF(B6035,IF(Dist="Normal",DistA+DistB*I6035,DistA+(DistB-DistA)*NORMSDIST(I6035)),"")</f>
        <v/>
      </c>
      <c r="K6035">
        <f>IF(B6035,INDEX(MineScale,C6035),"")</f>
        <v/>
      </c>
      <c r="L6035">
        <f>IF(B6035,INDEX(Dow,1,WEEKDAY(E6035,2)),"")</f>
        <v/>
      </c>
      <c r="M6035">
        <f>IF(B6035,(1+Trend)^D6035,"")</f>
        <v/>
      </c>
      <c r="N6035">
        <f>IF(B6035,EXP(SUMPRODUCT(LN(1+(EvEff-1)*INDEX(Affected,0,C6035)*EXP(-((E6035-EvCenter)^2)/(2*EvSigma^2))))),"")</f>
        <v/>
      </c>
      <c r="O6035">
        <f>IF(B6035,ROUND(MAX(0,J6035*K6035*L6035*M6035*N6035),2),"")</f>
        <v/>
      </c>
    </row>
    <row r="6036">
      <c r="A6036" t="n">
        <v>6035</v>
      </c>
      <c r="B6036">
        <f>A6036&lt;=MineCount*Days</f>
        <v/>
      </c>
      <c r="C6036">
        <f>IF(B6036,INT((A6036-1)/Days)+1,"")</f>
        <v/>
      </c>
      <c r="D6036">
        <f>IF(B6036,MOD(A6036-1,Days),"")</f>
        <v/>
      </c>
      <c r="E6036" s="16">
        <f>IF(B6036,StartDate+D6036,"")</f>
        <v/>
      </c>
      <c r="F6036">
        <f>IF(B6036,MAX(MOD(SIN(Seed*0.1373+C6036*12.9898+D6036*78.233)*43758.5453,1),1E-9),"")</f>
        <v/>
      </c>
      <c r="G6036">
        <f>IF(B6036,MOD(SIN(Seed*0.5917+C6036*39.3468+D6036*11.135)*24634.6345,1),"")</f>
        <v/>
      </c>
      <c r="H6036">
        <f>IF(B6036,SQRT(-2*LN(F6036))*COS(2*PI()*G6036),"")</f>
        <v/>
      </c>
      <c r="I6036">
        <f>IF(B6036,IF(D6036=0,H6036,Rho*I6035+SQRT(1-Rho^2)*H6036),"")</f>
        <v/>
      </c>
      <c r="J6036">
        <f>IF(B6036,IF(Dist="Normal",DistA+DistB*I6036,DistA+(DistB-DistA)*NORMSDIST(I6036)),"")</f>
        <v/>
      </c>
      <c r="K6036">
        <f>IF(B6036,INDEX(MineScale,C6036),"")</f>
        <v/>
      </c>
      <c r="L6036">
        <f>IF(B6036,INDEX(Dow,1,WEEKDAY(E6036,2)),"")</f>
        <v/>
      </c>
      <c r="M6036">
        <f>IF(B6036,(1+Trend)^D6036,"")</f>
        <v/>
      </c>
      <c r="N6036">
        <f>IF(B6036,EXP(SUMPRODUCT(LN(1+(EvEff-1)*INDEX(Affected,0,C6036)*EXP(-((E6036-EvCenter)^2)/(2*EvSigma^2))))),"")</f>
        <v/>
      </c>
      <c r="O6036">
        <f>IF(B6036,ROUND(MAX(0,J6036*K6036*L6036*M6036*N6036),2),"")</f>
        <v/>
      </c>
    </row>
    <row r="6037">
      <c r="A6037" t="n">
        <v>6036</v>
      </c>
      <c r="B6037">
        <f>A6037&lt;=MineCount*Days</f>
        <v/>
      </c>
      <c r="C6037">
        <f>IF(B6037,INT((A6037-1)/Days)+1,"")</f>
        <v/>
      </c>
      <c r="D6037">
        <f>IF(B6037,MOD(A6037-1,Days),"")</f>
        <v/>
      </c>
      <c r="E6037" s="16">
        <f>IF(B6037,StartDate+D6037,"")</f>
        <v/>
      </c>
      <c r="F6037">
        <f>IF(B6037,MAX(MOD(SIN(Seed*0.1373+C6037*12.9898+D6037*78.233)*43758.5453,1),1E-9),"")</f>
        <v/>
      </c>
      <c r="G6037">
        <f>IF(B6037,MOD(SIN(Seed*0.5917+C6037*39.3468+D6037*11.135)*24634.6345,1),"")</f>
        <v/>
      </c>
      <c r="H6037">
        <f>IF(B6037,SQRT(-2*LN(F6037))*COS(2*PI()*G6037),"")</f>
        <v/>
      </c>
      <c r="I6037">
        <f>IF(B6037,IF(D6037=0,H6037,Rho*I6036+SQRT(1-Rho^2)*H6037),"")</f>
        <v/>
      </c>
      <c r="J6037">
        <f>IF(B6037,IF(Dist="Normal",DistA+DistB*I6037,DistA+(DistB-DistA)*NORMSDIST(I6037)),"")</f>
        <v/>
      </c>
      <c r="K6037">
        <f>IF(B6037,INDEX(MineScale,C6037),"")</f>
        <v/>
      </c>
      <c r="L6037">
        <f>IF(B6037,INDEX(Dow,1,WEEKDAY(E6037,2)),"")</f>
        <v/>
      </c>
      <c r="M6037">
        <f>IF(B6037,(1+Trend)^D6037,"")</f>
        <v/>
      </c>
      <c r="N6037">
        <f>IF(B6037,EXP(SUMPRODUCT(LN(1+(EvEff-1)*INDEX(Affected,0,C6037)*EXP(-((E6037-EvCenter)^2)/(2*EvSigma^2))))),"")</f>
        <v/>
      </c>
      <c r="O6037">
        <f>IF(B6037,ROUND(MAX(0,J6037*K6037*L6037*M6037*N6037),2),"")</f>
        <v/>
      </c>
    </row>
    <row r="6038">
      <c r="A6038" t="n">
        <v>6037</v>
      </c>
      <c r="B6038">
        <f>A6038&lt;=MineCount*Days</f>
        <v/>
      </c>
      <c r="C6038">
        <f>IF(B6038,INT((A6038-1)/Days)+1,"")</f>
        <v/>
      </c>
      <c r="D6038">
        <f>IF(B6038,MOD(A6038-1,Days),"")</f>
        <v/>
      </c>
      <c r="E6038" s="16">
        <f>IF(B6038,StartDate+D6038,"")</f>
        <v/>
      </c>
      <c r="F6038">
        <f>IF(B6038,MAX(MOD(SIN(Seed*0.1373+C6038*12.9898+D6038*78.233)*43758.5453,1),1E-9),"")</f>
        <v/>
      </c>
      <c r="G6038">
        <f>IF(B6038,MOD(SIN(Seed*0.5917+C6038*39.3468+D6038*11.135)*24634.6345,1),"")</f>
        <v/>
      </c>
      <c r="H6038">
        <f>IF(B6038,SQRT(-2*LN(F6038))*COS(2*PI()*G6038),"")</f>
        <v/>
      </c>
      <c r="I6038">
        <f>IF(B6038,IF(D6038=0,H6038,Rho*I6037+SQRT(1-Rho^2)*H6038),"")</f>
        <v/>
      </c>
      <c r="J6038">
        <f>IF(B6038,IF(Dist="Normal",DistA+DistB*I6038,DistA+(DistB-DistA)*NORMSDIST(I6038)),"")</f>
        <v/>
      </c>
      <c r="K6038">
        <f>IF(B6038,INDEX(MineScale,C6038),"")</f>
        <v/>
      </c>
      <c r="L6038">
        <f>IF(B6038,INDEX(Dow,1,WEEKDAY(E6038,2)),"")</f>
        <v/>
      </c>
      <c r="M6038">
        <f>IF(B6038,(1+Trend)^D6038,"")</f>
        <v/>
      </c>
      <c r="N6038">
        <f>IF(B6038,EXP(SUMPRODUCT(LN(1+(EvEff-1)*INDEX(Affected,0,C6038)*EXP(-((E6038-EvCenter)^2)/(2*EvSigma^2))))),"")</f>
        <v/>
      </c>
      <c r="O6038">
        <f>IF(B6038,ROUND(MAX(0,J6038*K6038*L6038*M6038*N6038),2),"")</f>
        <v/>
      </c>
    </row>
    <row r="6039">
      <c r="A6039" t="n">
        <v>6038</v>
      </c>
      <c r="B6039">
        <f>A6039&lt;=MineCount*Days</f>
        <v/>
      </c>
      <c r="C6039">
        <f>IF(B6039,INT((A6039-1)/Days)+1,"")</f>
        <v/>
      </c>
      <c r="D6039">
        <f>IF(B6039,MOD(A6039-1,Days),"")</f>
        <v/>
      </c>
      <c r="E6039" s="16">
        <f>IF(B6039,StartDate+D6039,"")</f>
        <v/>
      </c>
      <c r="F6039">
        <f>IF(B6039,MAX(MOD(SIN(Seed*0.1373+C6039*12.9898+D6039*78.233)*43758.5453,1),1E-9),"")</f>
        <v/>
      </c>
      <c r="G6039">
        <f>IF(B6039,MOD(SIN(Seed*0.5917+C6039*39.3468+D6039*11.135)*24634.6345,1),"")</f>
        <v/>
      </c>
      <c r="H6039">
        <f>IF(B6039,SQRT(-2*LN(F6039))*COS(2*PI()*G6039),"")</f>
        <v/>
      </c>
      <c r="I6039">
        <f>IF(B6039,IF(D6039=0,H6039,Rho*I6038+SQRT(1-Rho^2)*H6039),"")</f>
        <v/>
      </c>
      <c r="J6039">
        <f>IF(B6039,IF(Dist="Normal",DistA+DistB*I6039,DistA+(DistB-DistA)*NORMSDIST(I6039)),"")</f>
        <v/>
      </c>
      <c r="K6039">
        <f>IF(B6039,INDEX(MineScale,C6039),"")</f>
        <v/>
      </c>
      <c r="L6039">
        <f>IF(B6039,INDEX(Dow,1,WEEKDAY(E6039,2)),"")</f>
        <v/>
      </c>
      <c r="M6039">
        <f>IF(B6039,(1+Trend)^D6039,"")</f>
        <v/>
      </c>
      <c r="N6039">
        <f>IF(B6039,EXP(SUMPRODUCT(LN(1+(EvEff-1)*INDEX(Affected,0,C6039)*EXP(-((E6039-EvCenter)^2)/(2*EvSigma^2))))),"")</f>
        <v/>
      </c>
      <c r="O6039">
        <f>IF(B6039,ROUND(MAX(0,J6039*K6039*L6039*M6039*N6039),2),"")</f>
        <v/>
      </c>
    </row>
    <row r="6040">
      <c r="A6040" t="n">
        <v>6039</v>
      </c>
      <c r="B6040">
        <f>A6040&lt;=MineCount*Days</f>
        <v/>
      </c>
      <c r="C6040">
        <f>IF(B6040,INT((A6040-1)/Days)+1,"")</f>
        <v/>
      </c>
      <c r="D6040">
        <f>IF(B6040,MOD(A6040-1,Days),"")</f>
        <v/>
      </c>
      <c r="E6040" s="16">
        <f>IF(B6040,StartDate+D6040,"")</f>
        <v/>
      </c>
      <c r="F6040">
        <f>IF(B6040,MAX(MOD(SIN(Seed*0.1373+C6040*12.9898+D6040*78.233)*43758.5453,1),1E-9),"")</f>
        <v/>
      </c>
      <c r="G6040">
        <f>IF(B6040,MOD(SIN(Seed*0.5917+C6040*39.3468+D6040*11.135)*24634.6345,1),"")</f>
        <v/>
      </c>
      <c r="H6040">
        <f>IF(B6040,SQRT(-2*LN(F6040))*COS(2*PI()*G6040),"")</f>
        <v/>
      </c>
      <c r="I6040">
        <f>IF(B6040,IF(D6040=0,H6040,Rho*I6039+SQRT(1-Rho^2)*H6040),"")</f>
        <v/>
      </c>
      <c r="J6040">
        <f>IF(B6040,IF(Dist="Normal",DistA+DistB*I6040,DistA+(DistB-DistA)*NORMSDIST(I6040)),"")</f>
        <v/>
      </c>
      <c r="K6040">
        <f>IF(B6040,INDEX(MineScale,C6040),"")</f>
        <v/>
      </c>
      <c r="L6040">
        <f>IF(B6040,INDEX(Dow,1,WEEKDAY(E6040,2)),"")</f>
        <v/>
      </c>
      <c r="M6040">
        <f>IF(B6040,(1+Trend)^D6040,"")</f>
        <v/>
      </c>
      <c r="N6040">
        <f>IF(B6040,EXP(SUMPRODUCT(LN(1+(EvEff-1)*INDEX(Affected,0,C6040)*EXP(-((E6040-EvCenter)^2)/(2*EvSigma^2))))),"")</f>
        <v/>
      </c>
      <c r="O6040">
        <f>IF(B6040,ROUND(MAX(0,J6040*K6040*L6040*M6040*N6040),2),"")</f>
        <v/>
      </c>
    </row>
    <row r="6041">
      <c r="A6041" t="n">
        <v>6040</v>
      </c>
      <c r="B6041">
        <f>A6041&lt;=MineCount*Days</f>
        <v/>
      </c>
      <c r="C6041">
        <f>IF(B6041,INT((A6041-1)/Days)+1,"")</f>
        <v/>
      </c>
      <c r="D6041">
        <f>IF(B6041,MOD(A6041-1,Days),"")</f>
        <v/>
      </c>
      <c r="E6041" s="16">
        <f>IF(B6041,StartDate+D6041,"")</f>
        <v/>
      </c>
      <c r="F6041">
        <f>IF(B6041,MAX(MOD(SIN(Seed*0.1373+C6041*12.9898+D6041*78.233)*43758.5453,1),1E-9),"")</f>
        <v/>
      </c>
      <c r="G6041">
        <f>IF(B6041,MOD(SIN(Seed*0.5917+C6041*39.3468+D6041*11.135)*24634.6345,1),"")</f>
        <v/>
      </c>
      <c r="H6041">
        <f>IF(B6041,SQRT(-2*LN(F6041))*COS(2*PI()*G6041),"")</f>
        <v/>
      </c>
      <c r="I6041">
        <f>IF(B6041,IF(D6041=0,H6041,Rho*I6040+SQRT(1-Rho^2)*H6041),"")</f>
        <v/>
      </c>
      <c r="J6041">
        <f>IF(B6041,IF(Dist="Normal",DistA+DistB*I6041,DistA+(DistB-DistA)*NORMSDIST(I6041)),"")</f>
        <v/>
      </c>
      <c r="K6041">
        <f>IF(B6041,INDEX(MineScale,C6041),"")</f>
        <v/>
      </c>
      <c r="L6041">
        <f>IF(B6041,INDEX(Dow,1,WEEKDAY(E6041,2)),"")</f>
        <v/>
      </c>
      <c r="M6041">
        <f>IF(B6041,(1+Trend)^D6041,"")</f>
        <v/>
      </c>
      <c r="N6041">
        <f>IF(B6041,EXP(SUMPRODUCT(LN(1+(EvEff-1)*INDEX(Affected,0,C6041)*EXP(-((E6041-EvCenter)^2)/(2*EvSigma^2))))),"")</f>
        <v/>
      </c>
      <c r="O6041">
        <f>IF(B6041,ROUND(MAX(0,J6041*K6041*L6041*M6041*N6041),2),"")</f>
        <v/>
      </c>
    </row>
    <row r="6042">
      <c r="A6042" t="n">
        <v>6041</v>
      </c>
      <c r="B6042">
        <f>A6042&lt;=MineCount*Days</f>
        <v/>
      </c>
      <c r="C6042">
        <f>IF(B6042,INT((A6042-1)/Days)+1,"")</f>
        <v/>
      </c>
      <c r="D6042">
        <f>IF(B6042,MOD(A6042-1,Days),"")</f>
        <v/>
      </c>
      <c r="E6042" s="16">
        <f>IF(B6042,StartDate+D6042,"")</f>
        <v/>
      </c>
      <c r="F6042">
        <f>IF(B6042,MAX(MOD(SIN(Seed*0.1373+C6042*12.9898+D6042*78.233)*43758.5453,1),1E-9),"")</f>
        <v/>
      </c>
      <c r="G6042">
        <f>IF(B6042,MOD(SIN(Seed*0.5917+C6042*39.3468+D6042*11.135)*24634.6345,1),"")</f>
        <v/>
      </c>
      <c r="H6042">
        <f>IF(B6042,SQRT(-2*LN(F6042))*COS(2*PI()*G6042),"")</f>
        <v/>
      </c>
      <c r="I6042">
        <f>IF(B6042,IF(D6042=0,H6042,Rho*I6041+SQRT(1-Rho^2)*H6042),"")</f>
        <v/>
      </c>
      <c r="J6042">
        <f>IF(B6042,IF(Dist="Normal",DistA+DistB*I6042,DistA+(DistB-DistA)*NORMSDIST(I6042)),"")</f>
        <v/>
      </c>
      <c r="K6042">
        <f>IF(B6042,INDEX(MineScale,C6042),"")</f>
        <v/>
      </c>
      <c r="L6042">
        <f>IF(B6042,INDEX(Dow,1,WEEKDAY(E6042,2)),"")</f>
        <v/>
      </c>
      <c r="M6042">
        <f>IF(B6042,(1+Trend)^D6042,"")</f>
        <v/>
      </c>
      <c r="N6042">
        <f>IF(B6042,EXP(SUMPRODUCT(LN(1+(EvEff-1)*INDEX(Affected,0,C6042)*EXP(-((E6042-EvCenter)^2)/(2*EvSigma^2))))),"")</f>
        <v/>
      </c>
      <c r="O6042">
        <f>IF(B6042,ROUND(MAX(0,J6042*K6042*L6042*M6042*N6042),2),"")</f>
        <v/>
      </c>
    </row>
    <row r="6043">
      <c r="A6043" t="n">
        <v>6042</v>
      </c>
      <c r="B6043">
        <f>A6043&lt;=MineCount*Days</f>
        <v/>
      </c>
      <c r="C6043">
        <f>IF(B6043,INT((A6043-1)/Days)+1,"")</f>
        <v/>
      </c>
      <c r="D6043">
        <f>IF(B6043,MOD(A6043-1,Days),"")</f>
        <v/>
      </c>
      <c r="E6043" s="16">
        <f>IF(B6043,StartDate+D6043,"")</f>
        <v/>
      </c>
      <c r="F6043">
        <f>IF(B6043,MAX(MOD(SIN(Seed*0.1373+C6043*12.9898+D6043*78.233)*43758.5453,1),1E-9),"")</f>
        <v/>
      </c>
      <c r="G6043">
        <f>IF(B6043,MOD(SIN(Seed*0.5917+C6043*39.3468+D6043*11.135)*24634.6345,1),"")</f>
        <v/>
      </c>
      <c r="H6043">
        <f>IF(B6043,SQRT(-2*LN(F6043))*COS(2*PI()*G6043),"")</f>
        <v/>
      </c>
      <c r="I6043">
        <f>IF(B6043,IF(D6043=0,H6043,Rho*I6042+SQRT(1-Rho^2)*H6043),"")</f>
        <v/>
      </c>
      <c r="J6043">
        <f>IF(B6043,IF(Dist="Normal",DistA+DistB*I6043,DistA+(DistB-DistA)*NORMSDIST(I6043)),"")</f>
        <v/>
      </c>
      <c r="K6043">
        <f>IF(B6043,INDEX(MineScale,C6043),"")</f>
        <v/>
      </c>
      <c r="L6043">
        <f>IF(B6043,INDEX(Dow,1,WEEKDAY(E6043,2)),"")</f>
        <v/>
      </c>
      <c r="M6043">
        <f>IF(B6043,(1+Trend)^D6043,"")</f>
        <v/>
      </c>
      <c r="N6043">
        <f>IF(B6043,EXP(SUMPRODUCT(LN(1+(EvEff-1)*INDEX(Affected,0,C6043)*EXP(-((E6043-EvCenter)^2)/(2*EvSigma^2))))),"")</f>
        <v/>
      </c>
      <c r="O6043">
        <f>IF(B6043,ROUND(MAX(0,J6043*K6043*L6043*M6043*N6043),2),"")</f>
        <v/>
      </c>
    </row>
    <row r="6044">
      <c r="A6044" t="n">
        <v>6043</v>
      </c>
      <c r="B6044">
        <f>A6044&lt;=MineCount*Days</f>
        <v/>
      </c>
      <c r="C6044">
        <f>IF(B6044,INT((A6044-1)/Days)+1,"")</f>
        <v/>
      </c>
      <c r="D6044">
        <f>IF(B6044,MOD(A6044-1,Days),"")</f>
        <v/>
      </c>
      <c r="E6044" s="16">
        <f>IF(B6044,StartDate+D6044,"")</f>
        <v/>
      </c>
      <c r="F6044">
        <f>IF(B6044,MAX(MOD(SIN(Seed*0.1373+C6044*12.9898+D6044*78.233)*43758.5453,1),1E-9),"")</f>
        <v/>
      </c>
      <c r="G6044">
        <f>IF(B6044,MOD(SIN(Seed*0.5917+C6044*39.3468+D6044*11.135)*24634.6345,1),"")</f>
        <v/>
      </c>
      <c r="H6044">
        <f>IF(B6044,SQRT(-2*LN(F6044))*COS(2*PI()*G6044),"")</f>
        <v/>
      </c>
      <c r="I6044">
        <f>IF(B6044,IF(D6044=0,H6044,Rho*I6043+SQRT(1-Rho^2)*H6044),"")</f>
        <v/>
      </c>
      <c r="J6044">
        <f>IF(B6044,IF(Dist="Normal",DistA+DistB*I6044,DistA+(DistB-DistA)*NORMSDIST(I6044)),"")</f>
        <v/>
      </c>
      <c r="K6044">
        <f>IF(B6044,INDEX(MineScale,C6044),"")</f>
        <v/>
      </c>
      <c r="L6044">
        <f>IF(B6044,INDEX(Dow,1,WEEKDAY(E6044,2)),"")</f>
        <v/>
      </c>
      <c r="M6044">
        <f>IF(B6044,(1+Trend)^D6044,"")</f>
        <v/>
      </c>
      <c r="N6044">
        <f>IF(B6044,EXP(SUMPRODUCT(LN(1+(EvEff-1)*INDEX(Affected,0,C6044)*EXP(-((E6044-EvCenter)^2)/(2*EvSigma^2))))),"")</f>
        <v/>
      </c>
      <c r="O6044">
        <f>IF(B6044,ROUND(MAX(0,J6044*K6044*L6044*M6044*N6044),2),"")</f>
        <v/>
      </c>
    </row>
    <row r="6045">
      <c r="A6045" t="n">
        <v>6044</v>
      </c>
      <c r="B6045">
        <f>A6045&lt;=MineCount*Days</f>
        <v/>
      </c>
      <c r="C6045">
        <f>IF(B6045,INT((A6045-1)/Days)+1,"")</f>
        <v/>
      </c>
      <c r="D6045">
        <f>IF(B6045,MOD(A6045-1,Days),"")</f>
        <v/>
      </c>
      <c r="E6045" s="16">
        <f>IF(B6045,StartDate+D6045,"")</f>
        <v/>
      </c>
      <c r="F6045">
        <f>IF(B6045,MAX(MOD(SIN(Seed*0.1373+C6045*12.9898+D6045*78.233)*43758.5453,1),1E-9),"")</f>
        <v/>
      </c>
      <c r="G6045">
        <f>IF(B6045,MOD(SIN(Seed*0.5917+C6045*39.3468+D6045*11.135)*24634.6345,1),"")</f>
        <v/>
      </c>
      <c r="H6045">
        <f>IF(B6045,SQRT(-2*LN(F6045))*COS(2*PI()*G6045),"")</f>
        <v/>
      </c>
      <c r="I6045">
        <f>IF(B6045,IF(D6045=0,H6045,Rho*I6044+SQRT(1-Rho^2)*H6045),"")</f>
        <v/>
      </c>
      <c r="J6045">
        <f>IF(B6045,IF(Dist="Normal",DistA+DistB*I6045,DistA+(DistB-DistA)*NORMSDIST(I6045)),"")</f>
        <v/>
      </c>
      <c r="K6045">
        <f>IF(B6045,INDEX(MineScale,C6045),"")</f>
        <v/>
      </c>
      <c r="L6045">
        <f>IF(B6045,INDEX(Dow,1,WEEKDAY(E6045,2)),"")</f>
        <v/>
      </c>
      <c r="M6045">
        <f>IF(B6045,(1+Trend)^D6045,"")</f>
        <v/>
      </c>
      <c r="N6045">
        <f>IF(B6045,EXP(SUMPRODUCT(LN(1+(EvEff-1)*INDEX(Affected,0,C6045)*EXP(-((E6045-EvCenter)^2)/(2*EvSigma^2))))),"")</f>
        <v/>
      </c>
      <c r="O6045">
        <f>IF(B6045,ROUND(MAX(0,J6045*K6045*L6045*M6045*N6045),2),"")</f>
        <v/>
      </c>
    </row>
    <row r="6046">
      <c r="A6046" t="n">
        <v>6045</v>
      </c>
      <c r="B6046">
        <f>A6046&lt;=MineCount*Days</f>
        <v/>
      </c>
      <c r="C6046">
        <f>IF(B6046,INT((A6046-1)/Days)+1,"")</f>
        <v/>
      </c>
      <c r="D6046">
        <f>IF(B6046,MOD(A6046-1,Days),"")</f>
        <v/>
      </c>
      <c r="E6046" s="16">
        <f>IF(B6046,StartDate+D6046,"")</f>
        <v/>
      </c>
      <c r="F6046">
        <f>IF(B6046,MAX(MOD(SIN(Seed*0.1373+C6046*12.9898+D6046*78.233)*43758.5453,1),1E-9),"")</f>
        <v/>
      </c>
      <c r="G6046">
        <f>IF(B6046,MOD(SIN(Seed*0.5917+C6046*39.3468+D6046*11.135)*24634.6345,1),"")</f>
        <v/>
      </c>
      <c r="H6046">
        <f>IF(B6046,SQRT(-2*LN(F6046))*COS(2*PI()*G6046),"")</f>
        <v/>
      </c>
      <c r="I6046">
        <f>IF(B6046,IF(D6046=0,H6046,Rho*I6045+SQRT(1-Rho^2)*H6046),"")</f>
        <v/>
      </c>
      <c r="J6046">
        <f>IF(B6046,IF(Dist="Normal",DistA+DistB*I6046,DistA+(DistB-DistA)*NORMSDIST(I6046)),"")</f>
        <v/>
      </c>
      <c r="K6046">
        <f>IF(B6046,INDEX(MineScale,C6046),"")</f>
        <v/>
      </c>
      <c r="L6046">
        <f>IF(B6046,INDEX(Dow,1,WEEKDAY(E6046,2)),"")</f>
        <v/>
      </c>
      <c r="M6046">
        <f>IF(B6046,(1+Trend)^D6046,"")</f>
        <v/>
      </c>
      <c r="N6046">
        <f>IF(B6046,EXP(SUMPRODUCT(LN(1+(EvEff-1)*INDEX(Affected,0,C6046)*EXP(-((E6046-EvCenter)^2)/(2*EvSigma^2))))),"")</f>
        <v/>
      </c>
      <c r="O6046">
        <f>IF(B6046,ROUND(MAX(0,J6046*K6046*L6046*M6046*N6046),2),"")</f>
        <v/>
      </c>
    </row>
    <row r="6047">
      <c r="A6047" t="n">
        <v>6046</v>
      </c>
      <c r="B6047">
        <f>A6047&lt;=MineCount*Days</f>
        <v/>
      </c>
      <c r="C6047">
        <f>IF(B6047,INT((A6047-1)/Days)+1,"")</f>
        <v/>
      </c>
      <c r="D6047">
        <f>IF(B6047,MOD(A6047-1,Days),"")</f>
        <v/>
      </c>
      <c r="E6047" s="16">
        <f>IF(B6047,StartDate+D6047,"")</f>
        <v/>
      </c>
      <c r="F6047">
        <f>IF(B6047,MAX(MOD(SIN(Seed*0.1373+C6047*12.9898+D6047*78.233)*43758.5453,1),1E-9),"")</f>
        <v/>
      </c>
      <c r="G6047">
        <f>IF(B6047,MOD(SIN(Seed*0.5917+C6047*39.3468+D6047*11.135)*24634.6345,1),"")</f>
        <v/>
      </c>
      <c r="H6047">
        <f>IF(B6047,SQRT(-2*LN(F6047))*COS(2*PI()*G6047),"")</f>
        <v/>
      </c>
      <c r="I6047">
        <f>IF(B6047,IF(D6047=0,H6047,Rho*I6046+SQRT(1-Rho^2)*H6047),"")</f>
        <v/>
      </c>
      <c r="J6047">
        <f>IF(B6047,IF(Dist="Normal",DistA+DistB*I6047,DistA+(DistB-DistA)*NORMSDIST(I6047)),"")</f>
        <v/>
      </c>
      <c r="K6047">
        <f>IF(B6047,INDEX(MineScale,C6047),"")</f>
        <v/>
      </c>
      <c r="L6047">
        <f>IF(B6047,INDEX(Dow,1,WEEKDAY(E6047,2)),"")</f>
        <v/>
      </c>
      <c r="M6047">
        <f>IF(B6047,(1+Trend)^D6047,"")</f>
        <v/>
      </c>
      <c r="N6047">
        <f>IF(B6047,EXP(SUMPRODUCT(LN(1+(EvEff-1)*INDEX(Affected,0,C6047)*EXP(-((E6047-EvCenter)^2)/(2*EvSigma^2))))),"")</f>
        <v/>
      </c>
      <c r="O6047">
        <f>IF(B6047,ROUND(MAX(0,J6047*K6047*L6047*M6047*N6047),2),"")</f>
        <v/>
      </c>
    </row>
    <row r="6048">
      <c r="A6048" t="n">
        <v>6047</v>
      </c>
      <c r="B6048">
        <f>A6048&lt;=MineCount*Days</f>
        <v/>
      </c>
      <c r="C6048">
        <f>IF(B6048,INT((A6048-1)/Days)+1,"")</f>
        <v/>
      </c>
      <c r="D6048">
        <f>IF(B6048,MOD(A6048-1,Days),"")</f>
        <v/>
      </c>
      <c r="E6048" s="16">
        <f>IF(B6048,StartDate+D6048,"")</f>
        <v/>
      </c>
      <c r="F6048">
        <f>IF(B6048,MAX(MOD(SIN(Seed*0.1373+C6048*12.9898+D6048*78.233)*43758.5453,1),1E-9),"")</f>
        <v/>
      </c>
      <c r="G6048">
        <f>IF(B6048,MOD(SIN(Seed*0.5917+C6048*39.3468+D6048*11.135)*24634.6345,1),"")</f>
        <v/>
      </c>
      <c r="H6048">
        <f>IF(B6048,SQRT(-2*LN(F6048))*COS(2*PI()*G6048),"")</f>
        <v/>
      </c>
      <c r="I6048">
        <f>IF(B6048,IF(D6048=0,H6048,Rho*I6047+SQRT(1-Rho^2)*H6048),"")</f>
        <v/>
      </c>
      <c r="J6048">
        <f>IF(B6048,IF(Dist="Normal",DistA+DistB*I6048,DistA+(DistB-DistA)*NORMSDIST(I6048)),"")</f>
        <v/>
      </c>
      <c r="K6048">
        <f>IF(B6048,INDEX(MineScale,C6048),"")</f>
        <v/>
      </c>
      <c r="L6048">
        <f>IF(B6048,INDEX(Dow,1,WEEKDAY(E6048,2)),"")</f>
        <v/>
      </c>
      <c r="M6048">
        <f>IF(B6048,(1+Trend)^D6048,"")</f>
        <v/>
      </c>
      <c r="N6048">
        <f>IF(B6048,EXP(SUMPRODUCT(LN(1+(EvEff-1)*INDEX(Affected,0,C6048)*EXP(-((E6048-EvCenter)^2)/(2*EvSigma^2))))),"")</f>
        <v/>
      </c>
      <c r="O6048">
        <f>IF(B6048,ROUND(MAX(0,J6048*K6048*L6048*M6048*N6048),2),"")</f>
        <v/>
      </c>
    </row>
    <row r="6049">
      <c r="A6049" t="n">
        <v>6048</v>
      </c>
      <c r="B6049">
        <f>A6049&lt;=MineCount*Days</f>
        <v/>
      </c>
      <c r="C6049">
        <f>IF(B6049,INT((A6049-1)/Days)+1,"")</f>
        <v/>
      </c>
      <c r="D6049">
        <f>IF(B6049,MOD(A6049-1,Days),"")</f>
        <v/>
      </c>
      <c r="E6049" s="16">
        <f>IF(B6049,StartDate+D6049,"")</f>
        <v/>
      </c>
      <c r="F6049">
        <f>IF(B6049,MAX(MOD(SIN(Seed*0.1373+C6049*12.9898+D6049*78.233)*43758.5453,1),1E-9),"")</f>
        <v/>
      </c>
      <c r="G6049">
        <f>IF(B6049,MOD(SIN(Seed*0.5917+C6049*39.3468+D6049*11.135)*24634.6345,1),"")</f>
        <v/>
      </c>
      <c r="H6049">
        <f>IF(B6049,SQRT(-2*LN(F6049))*COS(2*PI()*G6049),"")</f>
        <v/>
      </c>
      <c r="I6049">
        <f>IF(B6049,IF(D6049=0,H6049,Rho*I6048+SQRT(1-Rho^2)*H6049),"")</f>
        <v/>
      </c>
      <c r="J6049">
        <f>IF(B6049,IF(Dist="Normal",DistA+DistB*I6049,DistA+(DistB-DistA)*NORMSDIST(I6049)),"")</f>
        <v/>
      </c>
      <c r="K6049">
        <f>IF(B6049,INDEX(MineScale,C6049),"")</f>
        <v/>
      </c>
      <c r="L6049">
        <f>IF(B6049,INDEX(Dow,1,WEEKDAY(E6049,2)),"")</f>
        <v/>
      </c>
      <c r="M6049">
        <f>IF(B6049,(1+Trend)^D6049,"")</f>
        <v/>
      </c>
      <c r="N6049">
        <f>IF(B6049,EXP(SUMPRODUCT(LN(1+(EvEff-1)*INDEX(Affected,0,C6049)*EXP(-((E6049-EvCenter)^2)/(2*EvSigma^2))))),"")</f>
        <v/>
      </c>
      <c r="O6049">
        <f>IF(B6049,ROUND(MAX(0,J6049*K6049*L6049*M6049*N6049),2),"")</f>
        <v/>
      </c>
    </row>
    <row r="6050">
      <c r="A6050" t="n">
        <v>6049</v>
      </c>
      <c r="B6050">
        <f>A6050&lt;=MineCount*Days</f>
        <v/>
      </c>
      <c r="C6050">
        <f>IF(B6050,INT((A6050-1)/Days)+1,"")</f>
        <v/>
      </c>
      <c r="D6050">
        <f>IF(B6050,MOD(A6050-1,Days),"")</f>
        <v/>
      </c>
      <c r="E6050" s="16">
        <f>IF(B6050,StartDate+D6050,"")</f>
        <v/>
      </c>
      <c r="F6050">
        <f>IF(B6050,MAX(MOD(SIN(Seed*0.1373+C6050*12.9898+D6050*78.233)*43758.5453,1),1E-9),"")</f>
        <v/>
      </c>
      <c r="G6050">
        <f>IF(B6050,MOD(SIN(Seed*0.5917+C6050*39.3468+D6050*11.135)*24634.6345,1),"")</f>
        <v/>
      </c>
      <c r="H6050">
        <f>IF(B6050,SQRT(-2*LN(F6050))*COS(2*PI()*G6050),"")</f>
        <v/>
      </c>
      <c r="I6050">
        <f>IF(B6050,IF(D6050=0,H6050,Rho*I6049+SQRT(1-Rho^2)*H6050),"")</f>
        <v/>
      </c>
      <c r="J6050">
        <f>IF(B6050,IF(Dist="Normal",DistA+DistB*I6050,DistA+(DistB-DistA)*NORMSDIST(I6050)),"")</f>
        <v/>
      </c>
      <c r="K6050">
        <f>IF(B6050,INDEX(MineScale,C6050),"")</f>
        <v/>
      </c>
      <c r="L6050">
        <f>IF(B6050,INDEX(Dow,1,WEEKDAY(E6050,2)),"")</f>
        <v/>
      </c>
      <c r="M6050">
        <f>IF(B6050,(1+Trend)^D6050,"")</f>
        <v/>
      </c>
      <c r="N6050">
        <f>IF(B6050,EXP(SUMPRODUCT(LN(1+(EvEff-1)*INDEX(Affected,0,C6050)*EXP(-((E6050-EvCenter)^2)/(2*EvSigma^2))))),"")</f>
        <v/>
      </c>
      <c r="O6050">
        <f>IF(B6050,ROUND(MAX(0,J6050*K6050*L6050*M6050*N6050),2),"")</f>
        <v/>
      </c>
    </row>
    <row r="6051">
      <c r="A6051" t="n">
        <v>6050</v>
      </c>
      <c r="B6051">
        <f>A6051&lt;=MineCount*Days</f>
        <v/>
      </c>
      <c r="C6051">
        <f>IF(B6051,INT((A6051-1)/Days)+1,"")</f>
        <v/>
      </c>
      <c r="D6051">
        <f>IF(B6051,MOD(A6051-1,Days),"")</f>
        <v/>
      </c>
      <c r="E6051" s="16">
        <f>IF(B6051,StartDate+D6051,"")</f>
        <v/>
      </c>
      <c r="F6051">
        <f>IF(B6051,MAX(MOD(SIN(Seed*0.1373+C6051*12.9898+D6051*78.233)*43758.5453,1),1E-9),"")</f>
        <v/>
      </c>
      <c r="G6051">
        <f>IF(B6051,MOD(SIN(Seed*0.5917+C6051*39.3468+D6051*11.135)*24634.6345,1),"")</f>
        <v/>
      </c>
      <c r="H6051">
        <f>IF(B6051,SQRT(-2*LN(F6051))*COS(2*PI()*G6051),"")</f>
        <v/>
      </c>
      <c r="I6051">
        <f>IF(B6051,IF(D6051=0,H6051,Rho*I6050+SQRT(1-Rho^2)*H6051),"")</f>
        <v/>
      </c>
      <c r="J6051">
        <f>IF(B6051,IF(Dist="Normal",DistA+DistB*I6051,DistA+(DistB-DistA)*NORMSDIST(I6051)),"")</f>
        <v/>
      </c>
      <c r="K6051">
        <f>IF(B6051,INDEX(MineScale,C6051),"")</f>
        <v/>
      </c>
      <c r="L6051">
        <f>IF(B6051,INDEX(Dow,1,WEEKDAY(E6051,2)),"")</f>
        <v/>
      </c>
      <c r="M6051">
        <f>IF(B6051,(1+Trend)^D6051,"")</f>
        <v/>
      </c>
      <c r="N6051">
        <f>IF(B6051,EXP(SUMPRODUCT(LN(1+(EvEff-1)*INDEX(Affected,0,C6051)*EXP(-((E6051-EvCenter)^2)/(2*EvSigma^2))))),"")</f>
        <v/>
      </c>
      <c r="O6051">
        <f>IF(B6051,ROUND(MAX(0,J6051*K6051*L6051*M6051*N6051),2),"")</f>
        <v/>
      </c>
    </row>
    <row r="6052">
      <c r="A6052" t="n">
        <v>6051</v>
      </c>
      <c r="B6052">
        <f>A6052&lt;=MineCount*Days</f>
        <v/>
      </c>
      <c r="C6052">
        <f>IF(B6052,INT((A6052-1)/Days)+1,"")</f>
        <v/>
      </c>
      <c r="D6052">
        <f>IF(B6052,MOD(A6052-1,Days),"")</f>
        <v/>
      </c>
      <c r="E6052" s="16">
        <f>IF(B6052,StartDate+D6052,"")</f>
        <v/>
      </c>
      <c r="F6052">
        <f>IF(B6052,MAX(MOD(SIN(Seed*0.1373+C6052*12.9898+D6052*78.233)*43758.5453,1),1E-9),"")</f>
        <v/>
      </c>
      <c r="G6052">
        <f>IF(B6052,MOD(SIN(Seed*0.5917+C6052*39.3468+D6052*11.135)*24634.6345,1),"")</f>
        <v/>
      </c>
      <c r="H6052">
        <f>IF(B6052,SQRT(-2*LN(F6052))*COS(2*PI()*G6052),"")</f>
        <v/>
      </c>
      <c r="I6052">
        <f>IF(B6052,IF(D6052=0,H6052,Rho*I6051+SQRT(1-Rho^2)*H6052),"")</f>
        <v/>
      </c>
      <c r="J6052">
        <f>IF(B6052,IF(Dist="Normal",DistA+DistB*I6052,DistA+(DistB-DistA)*NORMSDIST(I6052)),"")</f>
        <v/>
      </c>
      <c r="K6052">
        <f>IF(B6052,INDEX(MineScale,C6052),"")</f>
        <v/>
      </c>
      <c r="L6052">
        <f>IF(B6052,INDEX(Dow,1,WEEKDAY(E6052,2)),"")</f>
        <v/>
      </c>
      <c r="M6052">
        <f>IF(B6052,(1+Trend)^D6052,"")</f>
        <v/>
      </c>
      <c r="N6052">
        <f>IF(B6052,EXP(SUMPRODUCT(LN(1+(EvEff-1)*INDEX(Affected,0,C6052)*EXP(-((E6052-EvCenter)^2)/(2*EvSigma^2))))),"")</f>
        <v/>
      </c>
      <c r="O6052">
        <f>IF(B6052,ROUND(MAX(0,J6052*K6052*L6052*M6052*N6052),2),"")</f>
        <v/>
      </c>
    </row>
    <row r="6053">
      <c r="A6053" t="n">
        <v>6052</v>
      </c>
      <c r="B6053">
        <f>A6053&lt;=MineCount*Days</f>
        <v/>
      </c>
      <c r="C6053">
        <f>IF(B6053,INT((A6053-1)/Days)+1,"")</f>
        <v/>
      </c>
      <c r="D6053">
        <f>IF(B6053,MOD(A6053-1,Days),"")</f>
        <v/>
      </c>
      <c r="E6053" s="16">
        <f>IF(B6053,StartDate+D6053,"")</f>
        <v/>
      </c>
      <c r="F6053">
        <f>IF(B6053,MAX(MOD(SIN(Seed*0.1373+C6053*12.9898+D6053*78.233)*43758.5453,1),1E-9),"")</f>
        <v/>
      </c>
      <c r="G6053">
        <f>IF(B6053,MOD(SIN(Seed*0.5917+C6053*39.3468+D6053*11.135)*24634.6345,1),"")</f>
        <v/>
      </c>
      <c r="H6053">
        <f>IF(B6053,SQRT(-2*LN(F6053))*COS(2*PI()*G6053),"")</f>
        <v/>
      </c>
      <c r="I6053">
        <f>IF(B6053,IF(D6053=0,H6053,Rho*I6052+SQRT(1-Rho^2)*H6053),"")</f>
        <v/>
      </c>
      <c r="J6053">
        <f>IF(B6053,IF(Dist="Normal",DistA+DistB*I6053,DistA+(DistB-DistA)*NORMSDIST(I6053)),"")</f>
        <v/>
      </c>
      <c r="K6053">
        <f>IF(B6053,INDEX(MineScale,C6053),"")</f>
        <v/>
      </c>
      <c r="L6053">
        <f>IF(B6053,INDEX(Dow,1,WEEKDAY(E6053,2)),"")</f>
        <v/>
      </c>
      <c r="M6053">
        <f>IF(B6053,(1+Trend)^D6053,"")</f>
        <v/>
      </c>
      <c r="N6053">
        <f>IF(B6053,EXP(SUMPRODUCT(LN(1+(EvEff-1)*INDEX(Affected,0,C6053)*EXP(-((E6053-EvCenter)^2)/(2*EvSigma^2))))),"")</f>
        <v/>
      </c>
      <c r="O6053">
        <f>IF(B6053,ROUND(MAX(0,J6053*K6053*L6053*M6053*N6053),2),"")</f>
        <v/>
      </c>
    </row>
    <row r="6054">
      <c r="A6054" t="n">
        <v>6053</v>
      </c>
      <c r="B6054">
        <f>A6054&lt;=MineCount*Days</f>
        <v/>
      </c>
      <c r="C6054">
        <f>IF(B6054,INT((A6054-1)/Days)+1,"")</f>
        <v/>
      </c>
      <c r="D6054">
        <f>IF(B6054,MOD(A6054-1,Days),"")</f>
        <v/>
      </c>
      <c r="E6054" s="16">
        <f>IF(B6054,StartDate+D6054,"")</f>
        <v/>
      </c>
      <c r="F6054">
        <f>IF(B6054,MAX(MOD(SIN(Seed*0.1373+C6054*12.9898+D6054*78.233)*43758.5453,1),1E-9),"")</f>
        <v/>
      </c>
      <c r="G6054">
        <f>IF(B6054,MOD(SIN(Seed*0.5917+C6054*39.3468+D6054*11.135)*24634.6345,1),"")</f>
        <v/>
      </c>
      <c r="H6054">
        <f>IF(B6054,SQRT(-2*LN(F6054))*COS(2*PI()*G6054),"")</f>
        <v/>
      </c>
      <c r="I6054">
        <f>IF(B6054,IF(D6054=0,H6054,Rho*I6053+SQRT(1-Rho^2)*H6054),"")</f>
        <v/>
      </c>
      <c r="J6054">
        <f>IF(B6054,IF(Dist="Normal",DistA+DistB*I6054,DistA+(DistB-DistA)*NORMSDIST(I6054)),"")</f>
        <v/>
      </c>
      <c r="K6054">
        <f>IF(B6054,INDEX(MineScale,C6054),"")</f>
        <v/>
      </c>
      <c r="L6054">
        <f>IF(B6054,INDEX(Dow,1,WEEKDAY(E6054,2)),"")</f>
        <v/>
      </c>
      <c r="M6054">
        <f>IF(B6054,(1+Trend)^D6054,"")</f>
        <v/>
      </c>
      <c r="N6054">
        <f>IF(B6054,EXP(SUMPRODUCT(LN(1+(EvEff-1)*INDEX(Affected,0,C6054)*EXP(-((E6054-EvCenter)^2)/(2*EvSigma^2))))),"")</f>
        <v/>
      </c>
      <c r="O6054">
        <f>IF(B6054,ROUND(MAX(0,J6054*K6054*L6054*M6054*N6054),2),"")</f>
        <v/>
      </c>
    </row>
    <row r="6055">
      <c r="A6055" t="n">
        <v>6054</v>
      </c>
      <c r="B6055">
        <f>A6055&lt;=MineCount*Days</f>
        <v/>
      </c>
      <c r="C6055">
        <f>IF(B6055,INT((A6055-1)/Days)+1,"")</f>
        <v/>
      </c>
      <c r="D6055">
        <f>IF(B6055,MOD(A6055-1,Days),"")</f>
        <v/>
      </c>
      <c r="E6055" s="16">
        <f>IF(B6055,StartDate+D6055,"")</f>
        <v/>
      </c>
      <c r="F6055">
        <f>IF(B6055,MAX(MOD(SIN(Seed*0.1373+C6055*12.9898+D6055*78.233)*43758.5453,1),1E-9),"")</f>
        <v/>
      </c>
      <c r="G6055">
        <f>IF(B6055,MOD(SIN(Seed*0.5917+C6055*39.3468+D6055*11.135)*24634.6345,1),"")</f>
        <v/>
      </c>
      <c r="H6055">
        <f>IF(B6055,SQRT(-2*LN(F6055))*COS(2*PI()*G6055),"")</f>
        <v/>
      </c>
      <c r="I6055">
        <f>IF(B6055,IF(D6055=0,H6055,Rho*I6054+SQRT(1-Rho^2)*H6055),"")</f>
        <v/>
      </c>
      <c r="J6055">
        <f>IF(B6055,IF(Dist="Normal",DistA+DistB*I6055,DistA+(DistB-DistA)*NORMSDIST(I6055)),"")</f>
        <v/>
      </c>
      <c r="K6055">
        <f>IF(B6055,INDEX(MineScale,C6055),"")</f>
        <v/>
      </c>
      <c r="L6055">
        <f>IF(B6055,INDEX(Dow,1,WEEKDAY(E6055,2)),"")</f>
        <v/>
      </c>
      <c r="M6055">
        <f>IF(B6055,(1+Trend)^D6055,"")</f>
        <v/>
      </c>
      <c r="N6055">
        <f>IF(B6055,EXP(SUMPRODUCT(LN(1+(EvEff-1)*INDEX(Affected,0,C6055)*EXP(-((E6055-EvCenter)^2)/(2*EvSigma^2))))),"")</f>
        <v/>
      </c>
      <c r="O6055">
        <f>IF(B6055,ROUND(MAX(0,J6055*K6055*L6055*M6055*N6055),2),"")</f>
        <v/>
      </c>
    </row>
    <row r="6056">
      <c r="A6056" t="n">
        <v>6055</v>
      </c>
      <c r="B6056">
        <f>A6056&lt;=MineCount*Days</f>
        <v/>
      </c>
      <c r="C6056">
        <f>IF(B6056,INT((A6056-1)/Days)+1,"")</f>
        <v/>
      </c>
      <c r="D6056">
        <f>IF(B6056,MOD(A6056-1,Days),"")</f>
        <v/>
      </c>
      <c r="E6056" s="16">
        <f>IF(B6056,StartDate+D6056,"")</f>
        <v/>
      </c>
      <c r="F6056">
        <f>IF(B6056,MAX(MOD(SIN(Seed*0.1373+C6056*12.9898+D6056*78.233)*43758.5453,1),1E-9),"")</f>
        <v/>
      </c>
      <c r="G6056">
        <f>IF(B6056,MOD(SIN(Seed*0.5917+C6056*39.3468+D6056*11.135)*24634.6345,1),"")</f>
        <v/>
      </c>
      <c r="H6056">
        <f>IF(B6056,SQRT(-2*LN(F6056))*COS(2*PI()*G6056),"")</f>
        <v/>
      </c>
      <c r="I6056">
        <f>IF(B6056,IF(D6056=0,H6056,Rho*I6055+SQRT(1-Rho^2)*H6056),"")</f>
        <v/>
      </c>
      <c r="J6056">
        <f>IF(B6056,IF(Dist="Normal",DistA+DistB*I6056,DistA+(DistB-DistA)*NORMSDIST(I6056)),"")</f>
        <v/>
      </c>
      <c r="K6056">
        <f>IF(B6056,INDEX(MineScale,C6056),"")</f>
        <v/>
      </c>
      <c r="L6056">
        <f>IF(B6056,INDEX(Dow,1,WEEKDAY(E6056,2)),"")</f>
        <v/>
      </c>
      <c r="M6056">
        <f>IF(B6056,(1+Trend)^D6056,"")</f>
        <v/>
      </c>
      <c r="N6056">
        <f>IF(B6056,EXP(SUMPRODUCT(LN(1+(EvEff-1)*INDEX(Affected,0,C6056)*EXP(-((E6056-EvCenter)^2)/(2*EvSigma^2))))),"")</f>
        <v/>
      </c>
      <c r="O6056">
        <f>IF(B6056,ROUND(MAX(0,J6056*K6056*L6056*M6056*N6056),2),"")</f>
        <v/>
      </c>
    </row>
    <row r="6057">
      <c r="A6057" t="n">
        <v>6056</v>
      </c>
      <c r="B6057">
        <f>A6057&lt;=MineCount*Days</f>
        <v/>
      </c>
      <c r="C6057">
        <f>IF(B6057,INT((A6057-1)/Days)+1,"")</f>
        <v/>
      </c>
      <c r="D6057">
        <f>IF(B6057,MOD(A6057-1,Days),"")</f>
        <v/>
      </c>
      <c r="E6057" s="16">
        <f>IF(B6057,StartDate+D6057,"")</f>
        <v/>
      </c>
      <c r="F6057">
        <f>IF(B6057,MAX(MOD(SIN(Seed*0.1373+C6057*12.9898+D6057*78.233)*43758.5453,1),1E-9),"")</f>
        <v/>
      </c>
      <c r="G6057">
        <f>IF(B6057,MOD(SIN(Seed*0.5917+C6057*39.3468+D6057*11.135)*24634.6345,1),"")</f>
        <v/>
      </c>
      <c r="H6057">
        <f>IF(B6057,SQRT(-2*LN(F6057))*COS(2*PI()*G6057),"")</f>
        <v/>
      </c>
      <c r="I6057">
        <f>IF(B6057,IF(D6057=0,H6057,Rho*I6056+SQRT(1-Rho^2)*H6057),"")</f>
        <v/>
      </c>
      <c r="J6057">
        <f>IF(B6057,IF(Dist="Normal",DistA+DistB*I6057,DistA+(DistB-DistA)*NORMSDIST(I6057)),"")</f>
        <v/>
      </c>
      <c r="K6057">
        <f>IF(B6057,INDEX(MineScale,C6057),"")</f>
        <v/>
      </c>
      <c r="L6057">
        <f>IF(B6057,INDEX(Dow,1,WEEKDAY(E6057,2)),"")</f>
        <v/>
      </c>
      <c r="M6057">
        <f>IF(B6057,(1+Trend)^D6057,"")</f>
        <v/>
      </c>
      <c r="N6057">
        <f>IF(B6057,EXP(SUMPRODUCT(LN(1+(EvEff-1)*INDEX(Affected,0,C6057)*EXP(-((E6057-EvCenter)^2)/(2*EvSigma^2))))),"")</f>
        <v/>
      </c>
      <c r="O6057">
        <f>IF(B6057,ROUND(MAX(0,J6057*K6057*L6057*M6057*N6057),2),"")</f>
        <v/>
      </c>
    </row>
    <row r="6058">
      <c r="A6058" t="n">
        <v>6057</v>
      </c>
      <c r="B6058">
        <f>A6058&lt;=MineCount*Days</f>
        <v/>
      </c>
      <c r="C6058">
        <f>IF(B6058,INT((A6058-1)/Days)+1,"")</f>
        <v/>
      </c>
      <c r="D6058">
        <f>IF(B6058,MOD(A6058-1,Days),"")</f>
        <v/>
      </c>
      <c r="E6058" s="16">
        <f>IF(B6058,StartDate+D6058,"")</f>
        <v/>
      </c>
      <c r="F6058">
        <f>IF(B6058,MAX(MOD(SIN(Seed*0.1373+C6058*12.9898+D6058*78.233)*43758.5453,1),1E-9),"")</f>
        <v/>
      </c>
      <c r="G6058">
        <f>IF(B6058,MOD(SIN(Seed*0.5917+C6058*39.3468+D6058*11.135)*24634.6345,1),"")</f>
        <v/>
      </c>
      <c r="H6058">
        <f>IF(B6058,SQRT(-2*LN(F6058))*COS(2*PI()*G6058),"")</f>
        <v/>
      </c>
      <c r="I6058">
        <f>IF(B6058,IF(D6058=0,H6058,Rho*I6057+SQRT(1-Rho^2)*H6058),"")</f>
        <v/>
      </c>
      <c r="J6058">
        <f>IF(B6058,IF(Dist="Normal",DistA+DistB*I6058,DistA+(DistB-DistA)*NORMSDIST(I6058)),"")</f>
        <v/>
      </c>
      <c r="K6058">
        <f>IF(B6058,INDEX(MineScale,C6058),"")</f>
        <v/>
      </c>
      <c r="L6058">
        <f>IF(B6058,INDEX(Dow,1,WEEKDAY(E6058,2)),"")</f>
        <v/>
      </c>
      <c r="M6058">
        <f>IF(B6058,(1+Trend)^D6058,"")</f>
        <v/>
      </c>
      <c r="N6058">
        <f>IF(B6058,EXP(SUMPRODUCT(LN(1+(EvEff-1)*INDEX(Affected,0,C6058)*EXP(-((E6058-EvCenter)^2)/(2*EvSigma^2))))),"")</f>
        <v/>
      </c>
      <c r="O6058">
        <f>IF(B6058,ROUND(MAX(0,J6058*K6058*L6058*M6058*N6058),2),"")</f>
        <v/>
      </c>
    </row>
    <row r="6059">
      <c r="A6059" t="n">
        <v>6058</v>
      </c>
      <c r="B6059">
        <f>A6059&lt;=MineCount*Days</f>
        <v/>
      </c>
      <c r="C6059">
        <f>IF(B6059,INT((A6059-1)/Days)+1,"")</f>
        <v/>
      </c>
      <c r="D6059">
        <f>IF(B6059,MOD(A6059-1,Days),"")</f>
        <v/>
      </c>
      <c r="E6059" s="16">
        <f>IF(B6059,StartDate+D6059,"")</f>
        <v/>
      </c>
      <c r="F6059">
        <f>IF(B6059,MAX(MOD(SIN(Seed*0.1373+C6059*12.9898+D6059*78.233)*43758.5453,1),1E-9),"")</f>
        <v/>
      </c>
      <c r="G6059">
        <f>IF(B6059,MOD(SIN(Seed*0.5917+C6059*39.3468+D6059*11.135)*24634.6345,1),"")</f>
        <v/>
      </c>
      <c r="H6059">
        <f>IF(B6059,SQRT(-2*LN(F6059))*COS(2*PI()*G6059),"")</f>
        <v/>
      </c>
      <c r="I6059">
        <f>IF(B6059,IF(D6059=0,H6059,Rho*I6058+SQRT(1-Rho^2)*H6059),"")</f>
        <v/>
      </c>
      <c r="J6059">
        <f>IF(B6059,IF(Dist="Normal",DistA+DistB*I6059,DistA+(DistB-DistA)*NORMSDIST(I6059)),"")</f>
        <v/>
      </c>
      <c r="K6059">
        <f>IF(B6059,INDEX(MineScale,C6059),"")</f>
        <v/>
      </c>
      <c r="L6059">
        <f>IF(B6059,INDEX(Dow,1,WEEKDAY(E6059,2)),"")</f>
        <v/>
      </c>
      <c r="M6059">
        <f>IF(B6059,(1+Trend)^D6059,"")</f>
        <v/>
      </c>
      <c r="N6059">
        <f>IF(B6059,EXP(SUMPRODUCT(LN(1+(EvEff-1)*INDEX(Affected,0,C6059)*EXP(-((E6059-EvCenter)^2)/(2*EvSigma^2))))),"")</f>
        <v/>
      </c>
      <c r="O6059">
        <f>IF(B6059,ROUND(MAX(0,J6059*K6059*L6059*M6059*N6059),2),"")</f>
        <v/>
      </c>
    </row>
    <row r="6060">
      <c r="A6060" t="n">
        <v>6059</v>
      </c>
      <c r="B6060">
        <f>A6060&lt;=MineCount*Days</f>
        <v/>
      </c>
      <c r="C6060">
        <f>IF(B6060,INT((A6060-1)/Days)+1,"")</f>
        <v/>
      </c>
      <c r="D6060">
        <f>IF(B6060,MOD(A6060-1,Days),"")</f>
        <v/>
      </c>
      <c r="E6060" s="16">
        <f>IF(B6060,StartDate+D6060,"")</f>
        <v/>
      </c>
      <c r="F6060">
        <f>IF(B6060,MAX(MOD(SIN(Seed*0.1373+C6060*12.9898+D6060*78.233)*43758.5453,1),1E-9),"")</f>
        <v/>
      </c>
      <c r="G6060">
        <f>IF(B6060,MOD(SIN(Seed*0.5917+C6060*39.3468+D6060*11.135)*24634.6345,1),"")</f>
        <v/>
      </c>
      <c r="H6060">
        <f>IF(B6060,SQRT(-2*LN(F6060))*COS(2*PI()*G6060),"")</f>
        <v/>
      </c>
      <c r="I6060">
        <f>IF(B6060,IF(D6060=0,H6060,Rho*I6059+SQRT(1-Rho^2)*H6060),"")</f>
        <v/>
      </c>
      <c r="J6060">
        <f>IF(B6060,IF(Dist="Normal",DistA+DistB*I6060,DistA+(DistB-DistA)*NORMSDIST(I6060)),"")</f>
        <v/>
      </c>
      <c r="K6060">
        <f>IF(B6060,INDEX(MineScale,C6060),"")</f>
        <v/>
      </c>
      <c r="L6060">
        <f>IF(B6060,INDEX(Dow,1,WEEKDAY(E6060,2)),"")</f>
        <v/>
      </c>
      <c r="M6060">
        <f>IF(B6060,(1+Trend)^D6060,"")</f>
        <v/>
      </c>
      <c r="N6060">
        <f>IF(B6060,EXP(SUMPRODUCT(LN(1+(EvEff-1)*INDEX(Affected,0,C6060)*EXP(-((E6060-EvCenter)^2)/(2*EvSigma^2))))),"")</f>
        <v/>
      </c>
      <c r="O6060">
        <f>IF(B6060,ROUND(MAX(0,J6060*K6060*L6060*M6060*N6060),2),"")</f>
        <v/>
      </c>
    </row>
    <row r="6061">
      <c r="A6061" t="n">
        <v>6060</v>
      </c>
      <c r="B6061">
        <f>A6061&lt;=MineCount*Days</f>
        <v/>
      </c>
      <c r="C6061">
        <f>IF(B6061,INT((A6061-1)/Days)+1,"")</f>
        <v/>
      </c>
      <c r="D6061">
        <f>IF(B6061,MOD(A6061-1,Days),"")</f>
        <v/>
      </c>
      <c r="E6061" s="16">
        <f>IF(B6061,StartDate+D6061,"")</f>
        <v/>
      </c>
      <c r="F6061">
        <f>IF(B6061,MAX(MOD(SIN(Seed*0.1373+C6061*12.9898+D6061*78.233)*43758.5453,1),1E-9),"")</f>
        <v/>
      </c>
      <c r="G6061">
        <f>IF(B6061,MOD(SIN(Seed*0.5917+C6061*39.3468+D6061*11.135)*24634.6345,1),"")</f>
        <v/>
      </c>
      <c r="H6061">
        <f>IF(B6061,SQRT(-2*LN(F6061))*COS(2*PI()*G6061),"")</f>
        <v/>
      </c>
      <c r="I6061">
        <f>IF(B6061,IF(D6061=0,H6061,Rho*I6060+SQRT(1-Rho^2)*H6061),"")</f>
        <v/>
      </c>
      <c r="J6061">
        <f>IF(B6061,IF(Dist="Normal",DistA+DistB*I6061,DistA+(DistB-DistA)*NORMSDIST(I6061)),"")</f>
        <v/>
      </c>
      <c r="K6061">
        <f>IF(B6061,INDEX(MineScale,C6061),"")</f>
        <v/>
      </c>
      <c r="L6061">
        <f>IF(B6061,INDEX(Dow,1,WEEKDAY(E6061,2)),"")</f>
        <v/>
      </c>
      <c r="M6061">
        <f>IF(B6061,(1+Trend)^D6061,"")</f>
        <v/>
      </c>
      <c r="N6061">
        <f>IF(B6061,EXP(SUMPRODUCT(LN(1+(EvEff-1)*INDEX(Affected,0,C6061)*EXP(-((E6061-EvCenter)^2)/(2*EvSigma^2))))),"")</f>
        <v/>
      </c>
      <c r="O6061">
        <f>IF(B6061,ROUND(MAX(0,J6061*K6061*L6061*M6061*N6061),2),"")</f>
        <v/>
      </c>
    </row>
    <row r="6062">
      <c r="A6062" t="n">
        <v>6061</v>
      </c>
      <c r="B6062">
        <f>A6062&lt;=MineCount*Days</f>
        <v/>
      </c>
      <c r="C6062">
        <f>IF(B6062,INT((A6062-1)/Days)+1,"")</f>
        <v/>
      </c>
      <c r="D6062">
        <f>IF(B6062,MOD(A6062-1,Days),"")</f>
        <v/>
      </c>
      <c r="E6062" s="16">
        <f>IF(B6062,StartDate+D6062,"")</f>
        <v/>
      </c>
      <c r="F6062">
        <f>IF(B6062,MAX(MOD(SIN(Seed*0.1373+C6062*12.9898+D6062*78.233)*43758.5453,1),1E-9),"")</f>
        <v/>
      </c>
      <c r="G6062">
        <f>IF(B6062,MOD(SIN(Seed*0.5917+C6062*39.3468+D6062*11.135)*24634.6345,1),"")</f>
        <v/>
      </c>
      <c r="H6062">
        <f>IF(B6062,SQRT(-2*LN(F6062))*COS(2*PI()*G6062),"")</f>
        <v/>
      </c>
      <c r="I6062">
        <f>IF(B6062,IF(D6062=0,H6062,Rho*I6061+SQRT(1-Rho^2)*H6062),"")</f>
        <v/>
      </c>
      <c r="J6062">
        <f>IF(B6062,IF(Dist="Normal",DistA+DistB*I6062,DistA+(DistB-DistA)*NORMSDIST(I6062)),"")</f>
        <v/>
      </c>
      <c r="K6062">
        <f>IF(B6062,INDEX(MineScale,C6062),"")</f>
        <v/>
      </c>
      <c r="L6062">
        <f>IF(B6062,INDEX(Dow,1,WEEKDAY(E6062,2)),"")</f>
        <v/>
      </c>
      <c r="M6062">
        <f>IF(B6062,(1+Trend)^D6062,"")</f>
        <v/>
      </c>
      <c r="N6062">
        <f>IF(B6062,EXP(SUMPRODUCT(LN(1+(EvEff-1)*INDEX(Affected,0,C6062)*EXP(-((E6062-EvCenter)^2)/(2*EvSigma^2))))),"")</f>
        <v/>
      </c>
      <c r="O6062">
        <f>IF(B6062,ROUND(MAX(0,J6062*K6062*L6062*M6062*N6062),2),"")</f>
        <v/>
      </c>
    </row>
    <row r="6063">
      <c r="A6063" t="n">
        <v>6062</v>
      </c>
      <c r="B6063">
        <f>A6063&lt;=MineCount*Days</f>
        <v/>
      </c>
      <c r="C6063">
        <f>IF(B6063,INT((A6063-1)/Days)+1,"")</f>
        <v/>
      </c>
      <c r="D6063">
        <f>IF(B6063,MOD(A6063-1,Days),"")</f>
        <v/>
      </c>
      <c r="E6063" s="16">
        <f>IF(B6063,StartDate+D6063,"")</f>
        <v/>
      </c>
      <c r="F6063">
        <f>IF(B6063,MAX(MOD(SIN(Seed*0.1373+C6063*12.9898+D6063*78.233)*43758.5453,1),1E-9),"")</f>
        <v/>
      </c>
      <c r="G6063">
        <f>IF(B6063,MOD(SIN(Seed*0.5917+C6063*39.3468+D6063*11.135)*24634.6345,1),"")</f>
        <v/>
      </c>
      <c r="H6063">
        <f>IF(B6063,SQRT(-2*LN(F6063))*COS(2*PI()*G6063),"")</f>
        <v/>
      </c>
      <c r="I6063">
        <f>IF(B6063,IF(D6063=0,H6063,Rho*I6062+SQRT(1-Rho^2)*H6063),"")</f>
        <v/>
      </c>
      <c r="J6063">
        <f>IF(B6063,IF(Dist="Normal",DistA+DistB*I6063,DistA+(DistB-DistA)*NORMSDIST(I6063)),"")</f>
        <v/>
      </c>
      <c r="K6063">
        <f>IF(B6063,INDEX(MineScale,C6063),"")</f>
        <v/>
      </c>
      <c r="L6063">
        <f>IF(B6063,INDEX(Dow,1,WEEKDAY(E6063,2)),"")</f>
        <v/>
      </c>
      <c r="M6063">
        <f>IF(B6063,(1+Trend)^D6063,"")</f>
        <v/>
      </c>
      <c r="N6063">
        <f>IF(B6063,EXP(SUMPRODUCT(LN(1+(EvEff-1)*INDEX(Affected,0,C6063)*EXP(-((E6063-EvCenter)^2)/(2*EvSigma^2))))),"")</f>
        <v/>
      </c>
      <c r="O6063">
        <f>IF(B6063,ROUND(MAX(0,J6063*K6063*L6063*M6063*N6063),2),"")</f>
        <v/>
      </c>
    </row>
    <row r="6064">
      <c r="A6064" t="n">
        <v>6063</v>
      </c>
      <c r="B6064">
        <f>A6064&lt;=MineCount*Days</f>
        <v/>
      </c>
      <c r="C6064">
        <f>IF(B6064,INT((A6064-1)/Days)+1,"")</f>
        <v/>
      </c>
      <c r="D6064">
        <f>IF(B6064,MOD(A6064-1,Days),"")</f>
        <v/>
      </c>
      <c r="E6064" s="16">
        <f>IF(B6064,StartDate+D6064,"")</f>
        <v/>
      </c>
      <c r="F6064">
        <f>IF(B6064,MAX(MOD(SIN(Seed*0.1373+C6064*12.9898+D6064*78.233)*43758.5453,1),1E-9),"")</f>
        <v/>
      </c>
      <c r="G6064">
        <f>IF(B6064,MOD(SIN(Seed*0.5917+C6064*39.3468+D6064*11.135)*24634.6345,1),"")</f>
        <v/>
      </c>
      <c r="H6064">
        <f>IF(B6064,SQRT(-2*LN(F6064))*COS(2*PI()*G6064),"")</f>
        <v/>
      </c>
      <c r="I6064">
        <f>IF(B6064,IF(D6064=0,H6064,Rho*I6063+SQRT(1-Rho^2)*H6064),"")</f>
        <v/>
      </c>
      <c r="J6064">
        <f>IF(B6064,IF(Dist="Normal",DistA+DistB*I6064,DistA+(DistB-DistA)*NORMSDIST(I6064)),"")</f>
        <v/>
      </c>
      <c r="K6064">
        <f>IF(B6064,INDEX(MineScale,C6064),"")</f>
        <v/>
      </c>
      <c r="L6064">
        <f>IF(B6064,INDEX(Dow,1,WEEKDAY(E6064,2)),"")</f>
        <v/>
      </c>
      <c r="M6064">
        <f>IF(B6064,(1+Trend)^D6064,"")</f>
        <v/>
      </c>
      <c r="N6064">
        <f>IF(B6064,EXP(SUMPRODUCT(LN(1+(EvEff-1)*INDEX(Affected,0,C6064)*EXP(-((E6064-EvCenter)^2)/(2*EvSigma^2))))),"")</f>
        <v/>
      </c>
      <c r="O6064">
        <f>IF(B6064,ROUND(MAX(0,J6064*K6064*L6064*M6064*N6064),2),"")</f>
        <v/>
      </c>
    </row>
    <row r="6065">
      <c r="A6065" t="n">
        <v>6064</v>
      </c>
      <c r="B6065">
        <f>A6065&lt;=MineCount*Days</f>
        <v/>
      </c>
      <c r="C6065">
        <f>IF(B6065,INT((A6065-1)/Days)+1,"")</f>
        <v/>
      </c>
      <c r="D6065">
        <f>IF(B6065,MOD(A6065-1,Days),"")</f>
        <v/>
      </c>
      <c r="E6065" s="16">
        <f>IF(B6065,StartDate+D6065,"")</f>
        <v/>
      </c>
      <c r="F6065">
        <f>IF(B6065,MAX(MOD(SIN(Seed*0.1373+C6065*12.9898+D6065*78.233)*43758.5453,1),1E-9),"")</f>
        <v/>
      </c>
      <c r="G6065">
        <f>IF(B6065,MOD(SIN(Seed*0.5917+C6065*39.3468+D6065*11.135)*24634.6345,1),"")</f>
        <v/>
      </c>
      <c r="H6065">
        <f>IF(B6065,SQRT(-2*LN(F6065))*COS(2*PI()*G6065),"")</f>
        <v/>
      </c>
      <c r="I6065">
        <f>IF(B6065,IF(D6065=0,H6065,Rho*I6064+SQRT(1-Rho^2)*H6065),"")</f>
        <v/>
      </c>
      <c r="J6065">
        <f>IF(B6065,IF(Dist="Normal",DistA+DistB*I6065,DistA+(DistB-DistA)*NORMSDIST(I6065)),"")</f>
        <v/>
      </c>
      <c r="K6065">
        <f>IF(B6065,INDEX(MineScale,C6065),"")</f>
        <v/>
      </c>
      <c r="L6065">
        <f>IF(B6065,INDEX(Dow,1,WEEKDAY(E6065,2)),"")</f>
        <v/>
      </c>
      <c r="M6065">
        <f>IF(B6065,(1+Trend)^D6065,"")</f>
        <v/>
      </c>
      <c r="N6065">
        <f>IF(B6065,EXP(SUMPRODUCT(LN(1+(EvEff-1)*INDEX(Affected,0,C6065)*EXP(-((E6065-EvCenter)^2)/(2*EvSigma^2))))),"")</f>
        <v/>
      </c>
      <c r="O6065">
        <f>IF(B6065,ROUND(MAX(0,J6065*K6065*L6065*M6065*N6065),2),"")</f>
        <v/>
      </c>
    </row>
    <row r="6066">
      <c r="A6066" t="n">
        <v>6065</v>
      </c>
      <c r="B6066">
        <f>A6066&lt;=MineCount*Days</f>
        <v/>
      </c>
      <c r="C6066">
        <f>IF(B6066,INT((A6066-1)/Days)+1,"")</f>
        <v/>
      </c>
      <c r="D6066">
        <f>IF(B6066,MOD(A6066-1,Days),"")</f>
        <v/>
      </c>
      <c r="E6066" s="16">
        <f>IF(B6066,StartDate+D6066,"")</f>
        <v/>
      </c>
      <c r="F6066">
        <f>IF(B6066,MAX(MOD(SIN(Seed*0.1373+C6066*12.9898+D6066*78.233)*43758.5453,1),1E-9),"")</f>
        <v/>
      </c>
      <c r="G6066">
        <f>IF(B6066,MOD(SIN(Seed*0.5917+C6066*39.3468+D6066*11.135)*24634.6345,1),"")</f>
        <v/>
      </c>
      <c r="H6066">
        <f>IF(B6066,SQRT(-2*LN(F6066))*COS(2*PI()*G6066),"")</f>
        <v/>
      </c>
      <c r="I6066">
        <f>IF(B6066,IF(D6066=0,H6066,Rho*I6065+SQRT(1-Rho^2)*H6066),"")</f>
        <v/>
      </c>
      <c r="J6066">
        <f>IF(B6066,IF(Dist="Normal",DistA+DistB*I6066,DistA+(DistB-DistA)*NORMSDIST(I6066)),"")</f>
        <v/>
      </c>
      <c r="K6066">
        <f>IF(B6066,INDEX(MineScale,C6066),"")</f>
        <v/>
      </c>
      <c r="L6066">
        <f>IF(B6066,INDEX(Dow,1,WEEKDAY(E6066,2)),"")</f>
        <v/>
      </c>
      <c r="M6066">
        <f>IF(B6066,(1+Trend)^D6066,"")</f>
        <v/>
      </c>
      <c r="N6066">
        <f>IF(B6066,EXP(SUMPRODUCT(LN(1+(EvEff-1)*INDEX(Affected,0,C6066)*EXP(-((E6066-EvCenter)^2)/(2*EvSigma^2))))),"")</f>
        <v/>
      </c>
      <c r="O6066">
        <f>IF(B6066,ROUND(MAX(0,J6066*K6066*L6066*M6066*N6066),2),"")</f>
        <v/>
      </c>
    </row>
    <row r="6067">
      <c r="A6067" t="n">
        <v>6066</v>
      </c>
      <c r="B6067">
        <f>A6067&lt;=MineCount*Days</f>
        <v/>
      </c>
      <c r="C6067">
        <f>IF(B6067,INT((A6067-1)/Days)+1,"")</f>
        <v/>
      </c>
      <c r="D6067">
        <f>IF(B6067,MOD(A6067-1,Days),"")</f>
        <v/>
      </c>
      <c r="E6067" s="16">
        <f>IF(B6067,StartDate+D6067,"")</f>
        <v/>
      </c>
      <c r="F6067">
        <f>IF(B6067,MAX(MOD(SIN(Seed*0.1373+C6067*12.9898+D6067*78.233)*43758.5453,1),1E-9),"")</f>
        <v/>
      </c>
      <c r="G6067">
        <f>IF(B6067,MOD(SIN(Seed*0.5917+C6067*39.3468+D6067*11.135)*24634.6345,1),"")</f>
        <v/>
      </c>
      <c r="H6067">
        <f>IF(B6067,SQRT(-2*LN(F6067))*COS(2*PI()*G6067),"")</f>
        <v/>
      </c>
      <c r="I6067">
        <f>IF(B6067,IF(D6067=0,H6067,Rho*I6066+SQRT(1-Rho^2)*H6067),"")</f>
        <v/>
      </c>
      <c r="J6067">
        <f>IF(B6067,IF(Dist="Normal",DistA+DistB*I6067,DistA+(DistB-DistA)*NORMSDIST(I6067)),"")</f>
        <v/>
      </c>
      <c r="K6067">
        <f>IF(B6067,INDEX(MineScale,C6067),"")</f>
        <v/>
      </c>
      <c r="L6067">
        <f>IF(B6067,INDEX(Dow,1,WEEKDAY(E6067,2)),"")</f>
        <v/>
      </c>
      <c r="M6067">
        <f>IF(B6067,(1+Trend)^D6067,"")</f>
        <v/>
      </c>
      <c r="N6067">
        <f>IF(B6067,EXP(SUMPRODUCT(LN(1+(EvEff-1)*INDEX(Affected,0,C6067)*EXP(-((E6067-EvCenter)^2)/(2*EvSigma^2))))),"")</f>
        <v/>
      </c>
      <c r="O6067">
        <f>IF(B6067,ROUND(MAX(0,J6067*K6067*L6067*M6067*N6067),2),"")</f>
        <v/>
      </c>
    </row>
    <row r="6068">
      <c r="A6068" t="n">
        <v>6067</v>
      </c>
      <c r="B6068">
        <f>A6068&lt;=MineCount*Days</f>
        <v/>
      </c>
      <c r="C6068">
        <f>IF(B6068,INT((A6068-1)/Days)+1,"")</f>
        <v/>
      </c>
      <c r="D6068">
        <f>IF(B6068,MOD(A6068-1,Days),"")</f>
        <v/>
      </c>
      <c r="E6068" s="16">
        <f>IF(B6068,StartDate+D6068,"")</f>
        <v/>
      </c>
      <c r="F6068">
        <f>IF(B6068,MAX(MOD(SIN(Seed*0.1373+C6068*12.9898+D6068*78.233)*43758.5453,1),1E-9),"")</f>
        <v/>
      </c>
      <c r="G6068">
        <f>IF(B6068,MOD(SIN(Seed*0.5917+C6068*39.3468+D6068*11.135)*24634.6345,1),"")</f>
        <v/>
      </c>
      <c r="H6068">
        <f>IF(B6068,SQRT(-2*LN(F6068))*COS(2*PI()*G6068),"")</f>
        <v/>
      </c>
      <c r="I6068">
        <f>IF(B6068,IF(D6068=0,H6068,Rho*I6067+SQRT(1-Rho^2)*H6068),"")</f>
        <v/>
      </c>
      <c r="J6068">
        <f>IF(B6068,IF(Dist="Normal",DistA+DistB*I6068,DistA+(DistB-DistA)*NORMSDIST(I6068)),"")</f>
        <v/>
      </c>
      <c r="K6068">
        <f>IF(B6068,INDEX(MineScale,C6068),"")</f>
        <v/>
      </c>
      <c r="L6068">
        <f>IF(B6068,INDEX(Dow,1,WEEKDAY(E6068,2)),"")</f>
        <v/>
      </c>
      <c r="M6068">
        <f>IF(B6068,(1+Trend)^D6068,"")</f>
        <v/>
      </c>
      <c r="N6068">
        <f>IF(B6068,EXP(SUMPRODUCT(LN(1+(EvEff-1)*INDEX(Affected,0,C6068)*EXP(-((E6068-EvCenter)^2)/(2*EvSigma^2))))),"")</f>
        <v/>
      </c>
      <c r="O6068">
        <f>IF(B6068,ROUND(MAX(0,J6068*K6068*L6068*M6068*N6068),2),"")</f>
        <v/>
      </c>
    </row>
    <row r="6069">
      <c r="A6069" t="n">
        <v>6068</v>
      </c>
      <c r="B6069">
        <f>A6069&lt;=MineCount*Days</f>
        <v/>
      </c>
      <c r="C6069">
        <f>IF(B6069,INT((A6069-1)/Days)+1,"")</f>
        <v/>
      </c>
      <c r="D6069">
        <f>IF(B6069,MOD(A6069-1,Days),"")</f>
        <v/>
      </c>
      <c r="E6069" s="16">
        <f>IF(B6069,StartDate+D6069,"")</f>
        <v/>
      </c>
      <c r="F6069">
        <f>IF(B6069,MAX(MOD(SIN(Seed*0.1373+C6069*12.9898+D6069*78.233)*43758.5453,1),1E-9),"")</f>
        <v/>
      </c>
      <c r="G6069">
        <f>IF(B6069,MOD(SIN(Seed*0.5917+C6069*39.3468+D6069*11.135)*24634.6345,1),"")</f>
        <v/>
      </c>
      <c r="H6069">
        <f>IF(B6069,SQRT(-2*LN(F6069))*COS(2*PI()*G6069),"")</f>
        <v/>
      </c>
      <c r="I6069">
        <f>IF(B6069,IF(D6069=0,H6069,Rho*I6068+SQRT(1-Rho^2)*H6069),"")</f>
        <v/>
      </c>
      <c r="J6069">
        <f>IF(B6069,IF(Dist="Normal",DistA+DistB*I6069,DistA+(DistB-DistA)*NORMSDIST(I6069)),"")</f>
        <v/>
      </c>
      <c r="K6069">
        <f>IF(B6069,INDEX(MineScale,C6069),"")</f>
        <v/>
      </c>
      <c r="L6069">
        <f>IF(B6069,INDEX(Dow,1,WEEKDAY(E6069,2)),"")</f>
        <v/>
      </c>
      <c r="M6069">
        <f>IF(B6069,(1+Trend)^D6069,"")</f>
        <v/>
      </c>
      <c r="N6069">
        <f>IF(B6069,EXP(SUMPRODUCT(LN(1+(EvEff-1)*INDEX(Affected,0,C6069)*EXP(-((E6069-EvCenter)^2)/(2*EvSigma^2))))),"")</f>
        <v/>
      </c>
      <c r="O6069">
        <f>IF(B6069,ROUND(MAX(0,J6069*K6069*L6069*M6069*N6069),2),"")</f>
        <v/>
      </c>
    </row>
    <row r="6070">
      <c r="A6070" t="n">
        <v>6069</v>
      </c>
      <c r="B6070">
        <f>A6070&lt;=MineCount*Days</f>
        <v/>
      </c>
      <c r="C6070">
        <f>IF(B6070,INT((A6070-1)/Days)+1,"")</f>
        <v/>
      </c>
      <c r="D6070">
        <f>IF(B6070,MOD(A6070-1,Days),"")</f>
        <v/>
      </c>
      <c r="E6070" s="16">
        <f>IF(B6070,StartDate+D6070,"")</f>
        <v/>
      </c>
      <c r="F6070">
        <f>IF(B6070,MAX(MOD(SIN(Seed*0.1373+C6070*12.9898+D6070*78.233)*43758.5453,1),1E-9),"")</f>
        <v/>
      </c>
      <c r="G6070">
        <f>IF(B6070,MOD(SIN(Seed*0.5917+C6070*39.3468+D6070*11.135)*24634.6345,1),"")</f>
        <v/>
      </c>
      <c r="H6070">
        <f>IF(B6070,SQRT(-2*LN(F6070))*COS(2*PI()*G6070),"")</f>
        <v/>
      </c>
      <c r="I6070">
        <f>IF(B6070,IF(D6070=0,H6070,Rho*I6069+SQRT(1-Rho^2)*H6070),"")</f>
        <v/>
      </c>
      <c r="J6070">
        <f>IF(B6070,IF(Dist="Normal",DistA+DistB*I6070,DistA+(DistB-DistA)*NORMSDIST(I6070)),"")</f>
        <v/>
      </c>
      <c r="K6070">
        <f>IF(B6070,INDEX(MineScale,C6070),"")</f>
        <v/>
      </c>
      <c r="L6070">
        <f>IF(B6070,INDEX(Dow,1,WEEKDAY(E6070,2)),"")</f>
        <v/>
      </c>
      <c r="M6070">
        <f>IF(B6070,(1+Trend)^D6070,"")</f>
        <v/>
      </c>
      <c r="N6070">
        <f>IF(B6070,EXP(SUMPRODUCT(LN(1+(EvEff-1)*INDEX(Affected,0,C6070)*EXP(-((E6070-EvCenter)^2)/(2*EvSigma^2))))),"")</f>
        <v/>
      </c>
      <c r="O6070">
        <f>IF(B6070,ROUND(MAX(0,J6070*K6070*L6070*M6070*N6070),2),"")</f>
        <v/>
      </c>
    </row>
    <row r="6071">
      <c r="A6071" t="n">
        <v>6070</v>
      </c>
      <c r="B6071">
        <f>A6071&lt;=MineCount*Days</f>
        <v/>
      </c>
      <c r="C6071">
        <f>IF(B6071,INT((A6071-1)/Days)+1,"")</f>
        <v/>
      </c>
      <c r="D6071">
        <f>IF(B6071,MOD(A6071-1,Days),"")</f>
        <v/>
      </c>
      <c r="E6071" s="16">
        <f>IF(B6071,StartDate+D6071,"")</f>
        <v/>
      </c>
      <c r="F6071">
        <f>IF(B6071,MAX(MOD(SIN(Seed*0.1373+C6071*12.9898+D6071*78.233)*43758.5453,1),1E-9),"")</f>
        <v/>
      </c>
      <c r="G6071">
        <f>IF(B6071,MOD(SIN(Seed*0.5917+C6071*39.3468+D6071*11.135)*24634.6345,1),"")</f>
        <v/>
      </c>
      <c r="H6071">
        <f>IF(B6071,SQRT(-2*LN(F6071))*COS(2*PI()*G6071),"")</f>
        <v/>
      </c>
      <c r="I6071">
        <f>IF(B6071,IF(D6071=0,H6071,Rho*I6070+SQRT(1-Rho^2)*H6071),"")</f>
        <v/>
      </c>
      <c r="J6071">
        <f>IF(B6071,IF(Dist="Normal",DistA+DistB*I6071,DistA+(DistB-DistA)*NORMSDIST(I6071)),"")</f>
        <v/>
      </c>
      <c r="K6071">
        <f>IF(B6071,INDEX(MineScale,C6071),"")</f>
        <v/>
      </c>
      <c r="L6071">
        <f>IF(B6071,INDEX(Dow,1,WEEKDAY(E6071,2)),"")</f>
        <v/>
      </c>
      <c r="M6071">
        <f>IF(B6071,(1+Trend)^D6071,"")</f>
        <v/>
      </c>
      <c r="N6071">
        <f>IF(B6071,EXP(SUMPRODUCT(LN(1+(EvEff-1)*INDEX(Affected,0,C6071)*EXP(-((E6071-EvCenter)^2)/(2*EvSigma^2))))),"")</f>
        <v/>
      </c>
      <c r="O6071">
        <f>IF(B6071,ROUND(MAX(0,J6071*K6071*L6071*M6071*N6071),2),"")</f>
        <v/>
      </c>
    </row>
    <row r="6072">
      <c r="A6072" t="n">
        <v>6071</v>
      </c>
      <c r="B6072">
        <f>A6072&lt;=MineCount*Days</f>
        <v/>
      </c>
      <c r="C6072">
        <f>IF(B6072,INT((A6072-1)/Days)+1,"")</f>
        <v/>
      </c>
      <c r="D6072">
        <f>IF(B6072,MOD(A6072-1,Days),"")</f>
        <v/>
      </c>
      <c r="E6072" s="16">
        <f>IF(B6072,StartDate+D6072,"")</f>
        <v/>
      </c>
      <c r="F6072">
        <f>IF(B6072,MAX(MOD(SIN(Seed*0.1373+C6072*12.9898+D6072*78.233)*43758.5453,1),1E-9),"")</f>
        <v/>
      </c>
      <c r="G6072">
        <f>IF(B6072,MOD(SIN(Seed*0.5917+C6072*39.3468+D6072*11.135)*24634.6345,1),"")</f>
        <v/>
      </c>
      <c r="H6072">
        <f>IF(B6072,SQRT(-2*LN(F6072))*COS(2*PI()*G6072),"")</f>
        <v/>
      </c>
      <c r="I6072">
        <f>IF(B6072,IF(D6072=0,H6072,Rho*I6071+SQRT(1-Rho^2)*H6072),"")</f>
        <v/>
      </c>
      <c r="J6072">
        <f>IF(B6072,IF(Dist="Normal",DistA+DistB*I6072,DistA+(DistB-DistA)*NORMSDIST(I6072)),"")</f>
        <v/>
      </c>
      <c r="K6072">
        <f>IF(B6072,INDEX(MineScale,C6072),"")</f>
        <v/>
      </c>
      <c r="L6072">
        <f>IF(B6072,INDEX(Dow,1,WEEKDAY(E6072,2)),"")</f>
        <v/>
      </c>
      <c r="M6072">
        <f>IF(B6072,(1+Trend)^D6072,"")</f>
        <v/>
      </c>
      <c r="N6072">
        <f>IF(B6072,EXP(SUMPRODUCT(LN(1+(EvEff-1)*INDEX(Affected,0,C6072)*EXP(-((E6072-EvCenter)^2)/(2*EvSigma^2))))),"")</f>
        <v/>
      </c>
      <c r="O6072">
        <f>IF(B6072,ROUND(MAX(0,J6072*K6072*L6072*M6072*N6072),2),"")</f>
        <v/>
      </c>
    </row>
    <row r="6073">
      <c r="A6073" t="n">
        <v>6072</v>
      </c>
      <c r="B6073">
        <f>A6073&lt;=MineCount*Days</f>
        <v/>
      </c>
      <c r="C6073">
        <f>IF(B6073,INT((A6073-1)/Days)+1,"")</f>
        <v/>
      </c>
      <c r="D6073">
        <f>IF(B6073,MOD(A6073-1,Days),"")</f>
        <v/>
      </c>
      <c r="E6073" s="16">
        <f>IF(B6073,StartDate+D6073,"")</f>
        <v/>
      </c>
      <c r="F6073">
        <f>IF(B6073,MAX(MOD(SIN(Seed*0.1373+C6073*12.9898+D6073*78.233)*43758.5453,1),1E-9),"")</f>
        <v/>
      </c>
      <c r="G6073">
        <f>IF(B6073,MOD(SIN(Seed*0.5917+C6073*39.3468+D6073*11.135)*24634.6345,1),"")</f>
        <v/>
      </c>
      <c r="H6073">
        <f>IF(B6073,SQRT(-2*LN(F6073))*COS(2*PI()*G6073),"")</f>
        <v/>
      </c>
      <c r="I6073">
        <f>IF(B6073,IF(D6073=0,H6073,Rho*I6072+SQRT(1-Rho^2)*H6073),"")</f>
        <v/>
      </c>
      <c r="J6073">
        <f>IF(B6073,IF(Dist="Normal",DistA+DistB*I6073,DistA+(DistB-DistA)*NORMSDIST(I6073)),"")</f>
        <v/>
      </c>
      <c r="K6073">
        <f>IF(B6073,INDEX(MineScale,C6073),"")</f>
        <v/>
      </c>
      <c r="L6073">
        <f>IF(B6073,INDEX(Dow,1,WEEKDAY(E6073,2)),"")</f>
        <v/>
      </c>
      <c r="M6073">
        <f>IF(B6073,(1+Trend)^D6073,"")</f>
        <v/>
      </c>
      <c r="N6073">
        <f>IF(B6073,EXP(SUMPRODUCT(LN(1+(EvEff-1)*INDEX(Affected,0,C6073)*EXP(-((E6073-EvCenter)^2)/(2*EvSigma^2))))),"")</f>
        <v/>
      </c>
      <c r="O6073">
        <f>IF(B6073,ROUND(MAX(0,J6073*K6073*L6073*M6073*N6073),2),"")</f>
        <v/>
      </c>
    </row>
    <row r="6074">
      <c r="A6074" t="n">
        <v>6073</v>
      </c>
      <c r="B6074">
        <f>A6074&lt;=MineCount*Days</f>
        <v/>
      </c>
      <c r="C6074">
        <f>IF(B6074,INT((A6074-1)/Days)+1,"")</f>
        <v/>
      </c>
      <c r="D6074">
        <f>IF(B6074,MOD(A6074-1,Days),"")</f>
        <v/>
      </c>
      <c r="E6074" s="16">
        <f>IF(B6074,StartDate+D6074,"")</f>
        <v/>
      </c>
      <c r="F6074">
        <f>IF(B6074,MAX(MOD(SIN(Seed*0.1373+C6074*12.9898+D6074*78.233)*43758.5453,1),1E-9),"")</f>
        <v/>
      </c>
      <c r="G6074">
        <f>IF(B6074,MOD(SIN(Seed*0.5917+C6074*39.3468+D6074*11.135)*24634.6345,1),"")</f>
        <v/>
      </c>
      <c r="H6074">
        <f>IF(B6074,SQRT(-2*LN(F6074))*COS(2*PI()*G6074),"")</f>
        <v/>
      </c>
      <c r="I6074">
        <f>IF(B6074,IF(D6074=0,H6074,Rho*I6073+SQRT(1-Rho^2)*H6074),"")</f>
        <v/>
      </c>
      <c r="J6074">
        <f>IF(B6074,IF(Dist="Normal",DistA+DistB*I6074,DistA+(DistB-DistA)*NORMSDIST(I6074)),"")</f>
        <v/>
      </c>
      <c r="K6074">
        <f>IF(B6074,INDEX(MineScale,C6074),"")</f>
        <v/>
      </c>
      <c r="L6074">
        <f>IF(B6074,INDEX(Dow,1,WEEKDAY(E6074,2)),"")</f>
        <v/>
      </c>
      <c r="M6074">
        <f>IF(B6074,(1+Trend)^D6074,"")</f>
        <v/>
      </c>
      <c r="N6074">
        <f>IF(B6074,EXP(SUMPRODUCT(LN(1+(EvEff-1)*INDEX(Affected,0,C6074)*EXP(-((E6074-EvCenter)^2)/(2*EvSigma^2))))),"")</f>
        <v/>
      </c>
      <c r="O6074">
        <f>IF(B6074,ROUND(MAX(0,J6074*K6074*L6074*M6074*N6074),2),"")</f>
        <v/>
      </c>
    </row>
    <row r="6075">
      <c r="A6075" t="n">
        <v>6074</v>
      </c>
      <c r="B6075">
        <f>A6075&lt;=MineCount*Days</f>
        <v/>
      </c>
      <c r="C6075">
        <f>IF(B6075,INT((A6075-1)/Days)+1,"")</f>
        <v/>
      </c>
      <c r="D6075">
        <f>IF(B6075,MOD(A6075-1,Days),"")</f>
        <v/>
      </c>
      <c r="E6075" s="16">
        <f>IF(B6075,StartDate+D6075,"")</f>
        <v/>
      </c>
      <c r="F6075">
        <f>IF(B6075,MAX(MOD(SIN(Seed*0.1373+C6075*12.9898+D6075*78.233)*43758.5453,1),1E-9),"")</f>
        <v/>
      </c>
      <c r="G6075">
        <f>IF(B6075,MOD(SIN(Seed*0.5917+C6075*39.3468+D6075*11.135)*24634.6345,1),"")</f>
        <v/>
      </c>
      <c r="H6075">
        <f>IF(B6075,SQRT(-2*LN(F6075))*COS(2*PI()*G6075),"")</f>
        <v/>
      </c>
      <c r="I6075">
        <f>IF(B6075,IF(D6075=0,H6075,Rho*I6074+SQRT(1-Rho^2)*H6075),"")</f>
        <v/>
      </c>
      <c r="J6075">
        <f>IF(B6075,IF(Dist="Normal",DistA+DistB*I6075,DistA+(DistB-DistA)*NORMSDIST(I6075)),"")</f>
        <v/>
      </c>
      <c r="K6075">
        <f>IF(B6075,INDEX(MineScale,C6075),"")</f>
        <v/>
      </c>
      <c r="L6075">
        <f>IF(B6075,INDEX(Dow,1,WEEKDAY(E6075,2)),"")</f>
        <v/>
      </c>
      <c r="M6075">
        <f>IF(B6075,(1+Trend)^D6075,"")</f>
        <v/>
      </c>
      <c r="N6075">
        <f>IF(B6075,EXP(SUMPRODUCT(LN(1+(EvEff-1)*INDEX(Affected,0,C6075)*EXP(-((E6075-EvCenter)^2)/(2*EvSigma^2))))),"")</f>
        <v/>
      </c>
      <c r="O6075">
        <f>IF(B6075,ROUND(MAX(0,J6075*K6075*L6075*M6075*N6075),2),"")</f>
        <v/>
      </c>
    </row>
    <row r="6076">
      <c r="A6076" t="n">
        <v>6075</v>
      </c>
      <c r="B6076">
        <f>A6076&lt;=MineCount*Days</f>
        <v/>
      </c>
      <c r="C6076">
        <f>IF(B6076,INT((A6076-1)/Days)+1,"")</f>
        <v/>
      </c>
      <c r="D6076">
        <f>IF(B6076,MOD(A6076-1,Days),"")</f>
        <v/>
      </c>
      <c r="E6076" s="16">
        <f>IF(B6076,StartDate+D6076,"")</f>
        <v/>
      </c>
      <c r="F6076">
        <f>IF(B6076,MAX(MOD(SIN(Seed*0.1373+C6076*12.9898+D6076*78.233)*43758.5453,1),1E-9),"")</f>
        <v/>
      </c>
      <c r="G6076">
        <f>IF(B6076,MOD(SIN(Seed*0.5917+C6076*39.3468+D6076*11.135)*24634.6345,1),"")</f>
        <v/>
      </c>
      <c r="H6076">
        <f>IF(B6076,SQRT(-2*LN(F6076))*COS(2*PI()*G6076),"")</f>
        <v/>
      </c>
      <c r="I6076">
        <f>IF(B6076,IF(D6076=0,H6076,Rho*I6075+SQRT(1-Rho^2)*H6076),"")</f>
        <v/>
      </c>
      <c r="J6076">
        <f>IF(B6076,IF(Dist="Normal",DistA+DistB*I6076,DistA+(DistB-DistA)*NORMSDIST(I6076)),"")</f>
        <v/>
      </c>
      <c r="K6076">
        <f>IF(B6076,INDEX(MineScale,C6076),"")</f>
        <v/>
      </c>
      <c r="L6076">
        <f>IF(B6076,INDEX(Dow,1,WEEKDAY(E6076,2)),"")</f>
        <v/>
      </c>
      <c r="M6076">
        <f>IF(B6076,(1+Trend)^D6076,"")</f>
        <v/>
      </c>
      <c r="N6076">
        <f>IF(B6076,EXP(SUMPRODUCT(LN(1+(EvEff-1)*INDEX(Affected,0,C6076)*EXP(-((E6076-EvCenter)^2)/(2*EvSigma^2))))),"")</f>
        <v/>
      </c>
      <c r="O6076">
        <f>IF(B6076,ROUND(MAX(0,J6076*K6076*L6076*M6076*N6076),2),"")</f>
        <v/>
      </c>
    </row>
    <row r="6077">
      <c r="A6077" t="n">
        <v>6076</v>
      </c>
      <c r="B6077">
        <f>A6077&lt;=MineCount*Days</f>
        <v/>
      </c>
      <c r="C6077">
        <f>IF(B6077,INT((A6077-1)/Days)+1,"")</f>
        <v/>
      </c>
      <c r="D6077">
        <f>IF(B6077,MOD(A6077-1,Days),"")</f>
        <v/>
      </c>
      <c r="E6077" s="16">
        <f>IF(B6077,StartDate+D6077,"")</f>
        <v/>
      </c>
      <c r="F6077">
        <f>IF(B6077,MAX(MOD(SIN(Seed*0.1373+C6077*12.9898+D6077*78.233)*43758.5453,1),1E-9),"")</f>
        <v/>
      </c>
      <c r="G6077">
        <f>IF(B6077,MOD(SIN(Seed*0.5917+C6077*39.3468+D6077*11.135)*24634.6345,1),"")</f>
        <v/>
      </c>
      <c r="H6077">
        <f>IF(B6077,SQRT(-2*LN(F6077))*COS(2*PI()*G6077),"")</f>
        <v/>
      </c>
      <c r="I6077">
        <f>IF(B6077,IF(D6077=0,H6077,Rho*I6076+SQRT(1-Rho^2)*H6077),"")</f>
        <v/>
      </c>
      <c r="J6077">
        <f>IF(B6077,IF(Dist="Normal",DistA+DistB*I6077,DistA+(DistB-DistA)*NORMSDIST(I6077)),"")</f>
        <v/>
      </c>
      <c r="K6077">
        <f>IF(B6077,INDEX(MineScale,C6077),"")</f>
        <v/>
      </c>
      <c r="L6077">
        <f>IF(B6077,INDEX(Dow,1,WEEKDAY(E6077,2)),"")</f>
        <v/>
      </c>
      <c r="M6077">
        <f>IF(B6077,(1+Trend)^D6077,"")</f>
        <v/>
      </c>
      <c r="N6077">
        <f>IF(B6077,EXP(SUMPRODUCT(LN(1+(EvEff-1)*INDEX(Affected,0,C6077)*EXP(-((E6077-EvCenter)^2)/(2*EvSigma^2))))),"")</f>
        <v/>
      </c>
      <c r="O6077">
        <f>IF(B6077,ROUND(MAX(0,J6077*K6077*L6077*M6077*N6077),2),"")</f>
        <v/>
      </c>
    </row>
    <row r="6078">
      <c r="A6078" t="n">
        <v>6077</v>
      </c>
      <c r="B6078">
        <f>A6078&lt;=MineCount*Days</f>
        <v/>
      </c>
      <c r="C6078">
        <f>IF(B6078,INT((A6078-1)/Days)+1,"")</f>
        <v/>
      </c>
      <c r="D6078">
        <f>IF(B6078,MOD(A6078-1,Days),"")</f>
        <v/>
      </c>
      <c r="E6078" s="16">
        <f>IF(B6078,StartDate+D6078,"")</f>
        <v/>
      </c>
      <c r="F6078">
        <f>IF(B6078,MAX(MOD(SIN(Seed*0.1373+C6078*12.9898+D6078*78.233)*43758.5453,1),1E-9),"")</f>
        <v/>
      </c>
      <c r="G6078">
        <f>IF(B6078,MOD(SIN(Seed*0.5917+C6078*39.3468+D6078*11.135)*24634.6345,1),"")</f>
        <v/>
      </c>
      <c r="H6078">
        <f>IF(B6078,SQRT(-2*LN(F6078))*COS(2*PI()*G6078),"")</f>
        <v/>
      </c>
      <c r="I6078">
        <f>IF(B6078,IF(D6078=0,H6078,Rho*I6077+SQRT(1-Rho^2)*H6078),"")</f>
        <v/>
      </c>
      <c r="J6078">
        <f>IF(B6078,IF(Dist="Normal",DistA+DistB*I6078,DistA+(DistB-DistA)*NORMSDIST(I6078)),"")</f>
        <v/>
      </c>
      <c r="K6078">
        <f>IF(B6078,INDEX(MineScale,C6078),"")</f>
        <v/>
      </c>
      <c r="L6078">
        <f>IF(B6078,INDEX(Dow,1,WEEKDAY(E6078,2)),"")</f>
        <v/>
      </c>
      <c r="M6078">
        <f>IF(B6078,(1+Trend)^D6078,"")</f>
        <v/>
      </c>
      <c r="N6078">
        <f>IF(B6078,EXP(SUMPRODUCT(LN(1+(EvEff-1)*INDEX(Affected,0,C6078)*EXP(-((E6078-EvCenter)^2)/(2*EvSigma^2))))),"")</f>
        <v/>
      </c>
      <c r="O6078">
        <f>IF(B6078,ROUND(MAX(0,J6078*K6078*L6078*M6078*N6078),2),"")</f>
        <v/>
      </c>
    </row>
    <row r="6079">
      <c r="A6079" t="n">
        <v>6078</v>
      </c>
      <c r="B6079">
        <f>A6079&lt;=MineCount*Days</f>
        <v/>
      </c>
      <c r="C6079">
        <f>IF(B6079,INT((A6079-1)/Days)+1,"")</f>
        <v/>
      </c>
      <c r="D6079">
        <f>IF(B6079,MOD(A6079-1,Days),"")</f>
        <v/>
      </c>
      <c r="E6079" s="16">
        <f>IF(B6079,StartDate+D6079,"")</f>
        <v/>
      </c>
      <c r="F6079">
        <f>IF(B6079,MAX(MOD(SIN(Seed*0.1373+C6079*12.9898+D6079*78.233)*43758.5453,1),1E-9),"")</f>
        <v/>
      </c>
      <c r="G6079">
        <f>IF(B6079,MOD(SIN(Seed*0.5917+C6079*39.3468+D6079*11.135)*24634.6345,1),"")</f>
        <v/>
      </c>
      <c r="H6079">
        <f>IF(B6079,SQRT(-2*LN(F6079))*COS(2*PI()*G6079),"")</f>
        <v/>
      </c>
      <c r="I6079">
        <f>IF(B6079,IF(D6079=0,H6079,Rho*I6078+SQRT(1-Rho^2)*H6079),"")</f>
        <v/>
      </c>
      <c r="J6079">
        <f>IF(B6079,IF(Dist="Normal",DistA+DistB*I6079,DistA+(DistB-DistA)*NORMSDIST(I6079)),"")</f>
        <v/>
      </c>
      <c r="K6079">
        <f>IF(B6079,INDEX(MineScale,C6079),"")</f>
        <v/>
      </c>
      <c r="L6079">
        <f>IF(B6079,INDEX(Dow,1,WEEKDAY(E6079,2)),"")</f>
        <v/>
      </c>
      <c r="M6079">
        <f>IF(B6079,(1+Trend)^D6079,"")</f>
        <v/>
      </c>
      <c r="N6079">
        <f>IF(B6079,EXP(SUMPRODUCT(LN(1+(EvEff-1)*INDEX(Affected,0,C6079)*EXP(-((E6079-EvCenter)^2)/(2*EvSigma^2))))),"")</f>
        <v/>
      </c>
      <c r="O6079">
        <f>IF(B6079,ROUND(MAX(0,J6079*K6079*L6079*M6079*N6079),2),"")</f>
        <v/>
      </c>
    </row>
    <row r="6080">
      <c r="A6080" t="n">
        <v>6079</v>
      </c>
      <c r="B6080">
        <f>A6080&lt;=MineCount*Days</f>
        <v/>
      </c>
      <c r="C6080">
        <f>IF(B6080,INT((A6080-1)/Days)+1,"")</f>
        <v/>
      </c>
      <c r="D6080">
        <f>IF(B6080,MOD(A6080-1,Days),"")</f>
        <v/>
      </c>
      <c r="E6080" s="16">
        <f>IF(B6080,StartDate+D6080,"")</f>
        <v/>
      </c>
      <c r="F6080">
        <f>IF(B6080,MAX(MOD(SIN(Seed*0.1373+C6080*12.9898+D6080*78.233)*43758.5453,1),1E-9),"")</f>
        <v/>
      </c>
      <c r="G6080">
        <f>IF(B6080,MOD(SIN(Seed*0.5917+C6080*39.3468+D6080*11.135)*24634.6345,1),"")</f>
        <v/>
      </c>
      <c r="H6080">
        <f>IF(B6080,SQRT(-2*LN(F6080))*COS(2*PI()*G6080),"")</f>
        <v/>
      </c>
      <c r="I6080">
        <f>IF(B6080,IF(D6080=0,H6080,Rho*I6079+SQRT(1-Rho^2)*H6080),"")</f>
        <v/>
      </c>
      <c r="J6080">
        <f>IF(B6080,IF(Dist="Normal",DistA+DistB*I6080,DistA+(DistB-DistA)*NORMSDIST(I6080)),"")</f>
        <v/>
      </c>
      <c r="K6080">
        <f>IF(B6080,INDEX(MineScale,C6080),"")</f>
        <v/>
      </c>
      <c r="L6080">
        <f>IF(B6080,INDEX(Dow,1,WEEKDAY(E6080,2)),"")</f>
        <v/>
      </c>
      <c r="M6080">
        <f>IF(B6080,(1+Trend)^D6080,"")</f>
        <v/>
      </c>
      <c r="N6080">
        <f>IF(B6080,EXP(SUMPRODUCT(LN(1+(EvEff-1)*INDEX(Affected,0,C6080)*EXP(-((E6080-EvCenter)^2)/(2*EvSigma^2))))),"")</f>
        <v/>
      </c>
      <c r="O6080">
        <f>IF(B6080,ROUND(MAX(0,J6080*K6080*L6080*M6080*N6080),2),"")</f>
        <v/>
      </c>
    </row>
    <row r="6081">
      <c r="A6081" t="n">
        <v>6080</v>
      </c>
      <c r="B6081">
        <f>A6081&lt;=MineCount*Days</f>
        <v/>
      </c>
      <c r="C6081">
        <f>IF(B6081,INT((A6081-1)/Days)+1,"")</f>
        <v/>
      </c>
      <c r="D6081">
        <f>IF(B6081,MOD(A6081-1,Days),"")</f>
        <v/>
      </c>
      <c r="E6081" s="16">
        <f>IF(B6081,StartDate+D6081,"")</f>
        <v/>
      </c>
      <c r="F6081">
        <f>IF(B6081,MAX(MOD(SIN(Seed*0.1373+C6081*12.9898+D6081*78.233)*43758.5453,1),1E-9),"")</f>
        <v/>
      </c>
      <c r="G6081">
        <f>IF(B6081,MOD(SIN(Seed*0.5917+C6081*39.3468+D6081*11.135)*24634.6345,1),"")</f>
        <v/>
      </c>
      <c r="H6081">
        <f>IF(B6081,SQRT(-2*LN(F6081))*COS(2*PI()*G6081),"")</f>
        <v/>
      </c>
      <c r="I6081">
        <f>IF(B6081,IF(D6081=0,H6081,Rho*I6080+SQRT(1-Rho^2)*H6081),"")</f>
        <v/>
      </c>
      <c r="J6081">
        <f>IF(B6081,IF(Dist="Normal",DistA+DistB*I6081,DistA+(DistB-DistA)*NORMSDIST(I6081)),"")</f>
        <v/>
      </c>
      <c r="K6081">
        <f>IF(B6081,INDEX(MineScale,C6081),"")</f>
        <v/>
      </c>
      <c r="L6081">
        <f>IF(B6081,INDEX(Dow,1,WEEKDAY(E6081,2)),"")</f>
        <v/>
      </c>
      <c r="M6081">
        <f>IF(B6081,(1+Trend)^D6081,"")</f>
        <v/>
      </c>
      <c r="N6081">
        <f>IF(B6081,EXP(SUMPRODUCT(LN(1+(EvEff-1)*INDEX(Affected,0,C6081)*EXP(-((E6081-EvCenter)^2)/(2*EvSigma^2))))),"")</f>
        <v/>
      </c>
      <c r="O6081">
        <f>IF(B6081,ROUND(MAX(0,J6081*K6081*L6081*M6081*N6081),2),"")</f>
        <v/>
      </c>
    </row>
    <row r="6082">
      <c r="A6082" t="n">
        <v>6081</v>
      </c>
      <c r="B6082">
        <f>A6082&lt;=MineCount*Days</f>
        <v/>
      </c>
      <c r="C6082">
        <f>IF(B6082,INT((A6082-1)/Days)+1,"")</f>
        <v/>
      </c>
      <c r="D6082">
        <f>IF(B6082,MOD(A6082-1,Days),"")</f>
        <v/>
      </c>
      <c r="E6082" s="16">
        <f>IF(B6082,StartDate+D6082,"")</f>
        <v/>
      </c>
      <c r="F6082">
        <f>IF(B6082,MAX(MOD(SIN(Seed*0.1373+C6082*12.9898+D6082*78.233)*43758.5453,1),1E-9),"")</f>
        <v/>
      </c>
      <c r="G6082">
        <f>IF(B6082,MOD(SIN(Seed*0.5917+C6082*39.3468+D6082*11.135)*24634.6345,1),"")</f>
        <v/>
      </c>
      <c r="H6082">
        <f>IF(B6082,SQRT(-2*LN(F6082))*COS(2*PI()*G6082),"")</f>
        <v/>
      </c>
      <c r="I6082">
        <f>IF(B6082,IF(D6082=0,H6082,Rho*I6081+SQRT(1-Rho^2)*H6082),"")</f>
        <v/>
      </c>
      <c r="J6082">
        <f>IF(B6082,IF(Dist="Normal",DistA+DistB*I6082,DistA+(DistB-DistA)*NORMSDIST(I6082)),"")</f>
        <v/>
      </c>
      <c r="K6082">
        <f>IF(B6082,INDEX(MineScale,C6082),"")</f>
        <v/>
      </c>
      <c r="L6082">
        <f>IF(B6082,INDEX(Dow,1,WEEKDAY(E6082,2)),"")</f>
        <v/>
      </c>
      <c r="M6082">
        <f>IF(B6082,(1+Trend)^D6082,"")</f>
        <v/>
      </c>
      <c r="N6082">
        <f>IF(B6082,EXP(SUMPRODUCT(LN(1+(EvEff-1)*INDEX(Affected,0,C6082)*EXP(-((E6082-EvCenter)^2)/(2*EvSigma^2))))),"")</f>
        <v/>
      </c>
      <c r="O6082">
        <f>IF(B6082,ROUND(MAX(0,J6082*K6082*L6082*M6082*N6082),2),"")</f>
        <v/>
      </c>
    </row>
    <row r="6083">
      <c r="A6083" t="n">
        <v>6082</v>
      </c>
      <c r="B6083">
        <f>A6083&lt;=MineCount*Days</f>
        <v/>
      </c>
      <c r="C6083">
        <f>IF(B6083,INT((A6083-1)/Days)+1,"")</f>
        <v/>
      </c>
      <c r="D6083">
        <f>IF(B6083,MOD(A6083-1,Days),"")</f>
        <v/>
      </c>
      <c r="E6083" s="16">
        <f>IF(B6083,StartDate+D6083,"")</f>
        <v/>
      </c>
      <c r="F6083">
        <f>IF(B6083,MAX(MOD(SIN(Seed*0.1373+C6083*12.9898+D6083*78.233)*43758.5453,1),1E-9),"")</f>
        <v/>
      </c>
      <c r="G6083">
        <f>IF(B6083,MOD(SIN(Seed*0.5917+C6083*39.3468+D6083*11.135)*24634.6345,1),"")</f>
        <v/>
      </c>
      <c r="H6083">
        <f>IF(B6083,SQRT(-2*LN(F6083))*COS(2*PI()*G6083),"")</f>
        <v/>
      </c>
      <c r="I6083">
        <f>IF(B6083,IF(D6083=0,H6083,Rho*I6082+SQRT(1-Rho^2)*H6083),"")</f>
        <v/>
      </c>
      <c r="J6083">
        <f>IF(B6083,IF(Dist="Normal",DistA+DistB*I6083,DistA+(DistB-DistA)*NORMSDIST(I6083)),"")</f>
        <v/>
      </c>
      <c r="K6083">
        <f>IF(B6083,INDEX(MineScale,C6083),"")</f>
        <v/>
      </c>
      <c r="L6083">
        <f>IF(B6083,INDEX(Dow,1,WEEKDAY(E6083,2)),"")</f>
        <v/>
      </c>
      <c r="M6083">
        <f>IF(B6083,(1+Trend)^D6083,"")</f>
        <v/>
      </c>
      <c r="N6083">
        <f>IF(B6083,EXP(SUMPRODUCT(LN(1+(EvEff-1)*INDEX(Affected,0,C6083)*EXP(-((E6083-EvCenter)^2)/(2*EvSigma^2))))),"")</f>
        <v/>
      </c>
      <c r="O6083">
        <f>IF(B6083,ROUND(MAX(0,J6083*K6083*L6083*M6083*N6083),2),"")</f>
        <v/>
      </c>
    </row>
    <row r="6084">
      <c r="A6084" t="n">
        <v>6083</v>
      </c>
      <c r="B6084">
        <f>A6084&lt;=MineCount*Days</f>
        <v/>
      </c>
      <c r="C6084">
        <f>IF(B6084,INT((A6084-1)/Days)+1,"")</f>
        <v/>
      </c>
      <c r="D6084">
        <f>IF(B6084,MOD(A6084-1,Days),"")</f>
        <v/>
      </c>
      <c r="E6084" s="16">
        <f>IF(B6084,StartDate+D6084,"")</f>
        <v/>
      </c>
      <c r="F6084">
        <f>IF(B6084,MAX(MOD(SIN(Seed*0.1373+C6084*12.9898+D6084*78.233)*43758.5453,1),1E-9),"")</f>
        <v/>
      </c>
      <c r="G6084">
        <f>IF(B6084,MOD(SIN(Seed*0.5917+C6084*39.3468+D6084*11.135)*24634.6345,1),"")</f>
        <v/>
      </c>
      <c r="H6084">
        <f>IF(B6084,SQRT(-2*LN(F6084))*COS(2*PI()*G6084),"")</f>
        <v/>
      </c>
      <c r="I6084">
        <f>IF(B6084,IF(D6084=0,H6084,Rho*I6083+SQRT(1-Rho^2)*H6084),"")</f>
        <v/>
      </c>
      <c r="J6084">
        <f>IF(B6084,IF(Dist="Normal",DistA+DistB*I6084,DistA+(DistB-DistA)*NORMSDIST(I6084)),"")</f>
        <v/>
      </c>
      <c r="K6084">
        <f>IF(B6084,INDEX(MineScale,C6084),"")</f>
        <v/>
      </c>
      <c r="L6084">
        <f>IF(B6084,INDEX(Dow,1,WEEKDAY(E6084,2)),"")</f>
        <v/>
      </c>
      <c r="M6084">
        <f>IF(B6084,(1+Trend)^D6084,"")</f>
        <v/>
      </c>
      <c r="N6084">
        <f>IF(B6084,EXP(SUMPRODUCT(LN(1+(EvEff-1)*INDEX(Affected,0,C6084)*EXP(-((E6084-EvCenter)^2)/(2*EvSigma^2))))),"")</f>
        <v/>
      </c>
      <c r="O6084">
        <f>IF(B6084,ROUND(MAX(0,J6084*K6084*L6084*M6084*N6084),2),"")</f>
        <v/>
      </c>
    </row>
    <row r="6085">
      <c r="A6085" t="n">
        <v>6084</v>
      </c>
      <c r="B6085">
        <f>A6085&lt;=MineCount*Days</f>
        <v/>
      </c>
      <c r="C6085">
        <f>IF(B6085,INT((A6085-1)/Days)+1,"")</f>
        <v/>
      </c>
      <c r="D6085">
        <f>IF(B6085,MOD(A6085-1,Days),"")</f>
        <v/>
      </c>
      <c r="E6085" s="16">
        <f>IF(B6085,StartDate+D6085,"")</f>
        <v/>
      </c>
      <c r="F6085">
        <f>IF(B6085,MAX(MOD(SIN(Seed*0.1373+C6085*12.9898+D6085*78.233)*43758.5453,1),1E-9),"")</f>
        <v/>
      </c>
      <c r="G6085">
        <f>IF(B6085,MOD(SIN(Seed*0.5917+C6085*39.3468+D6085*11.135)*24634.6345,1),"")</f>
        <v/>
      </c>
      <c r="H6085">
        <f>IF(B6085,SQRT(-2*LN(F6085))*COS(2*PI()*G6085),"")</f>
        <v/>
      </c>
      <c r="I6085">
        <f>IF(B6085,IF(D6085=0,H6085,Rho*I6084+SQRT(1-Rho^2)*H6085),"")</f>
        <v/>
      </c>
      <c r="J6085">
        <f>IF(B6085,IF(Dist="Normal",DistA+DistB*I6085,DistA+(DistB-DistA)*NORMSDIST(I6085)),"")</f>
        <v/>
      </c>
      <c r="K6085">
        <f>IF(B6085,INDEX(MineScale,C6085),"")</f>
        <v/>
      </c>
      <c r="L6085">
        <f>IF(B6085,INDEX(Dow,1,WEEKDAY(E6085,2)),"")</f>
        <v/>
      </c>
      <c r="M6085">
        <f>IF(B6085,(1+Trend)^D6085,"")</f>
        <v/>
      </c>
      <c r="N6085">
        <f>IF(B6085,EXP(SUMPRODUCT(LN(1+(EvEff-1)*INDEX(Affected,0,C6085)*EXP(-((E6085-EvCenter)^2)/(2*EvSigma^2))))),"")</f>
        <v/>
      </c>
      <c r="O6085">
        <f>IF(B6085,ROUND(MAX(0,J6085*K6085*L6085*M6085*N6085),2),"")</f>
        <v/>
      </c>
    </row>
    <row r="6086">
      <c r="A6086" t="n">
        <v>6085</v>
      </c>
      <c r="B6086">
        <f>A6086&lt;=MineCount*Days</f>
        <v/>
      </c>
      <c r="C6086">
        <f>IF(B6086,INT((A6086-1)/Days)+1,"")</f>
        <v/>
      </c>
      <c r="D6086">
        <f>IF(B6086,MOD(A6086-1,Days),"")</f>
        <v/>
      </c>
      <c r="E6086" s="16">
        <f>IF(B6086,StartDate+D6086,"")</f>
        <v/>
      </c>
      <c r="F6086">
        <f>IF(B6086,MAX(MOD(SIN(Seed*0.1373+C6086*12.9898+D6086*78.233)*43758.5453,1),1E-9),"")</f>
        <v/>
      </c>
      <c r="G6086">
        <f>IF(B6086,MOD(SIN(Seed*0.5917+C6086*39.3468+D6086*11.135)*24634.6345,1),"")</f>
        <v/>
      </c>
      <c r="H6086">
        <f>IF(B6086,SQRT(-2*LN(F6086))*COS(2*PI()*G6086),"")</f>
        <v/>
      </c>
      <c r="I6086">
        <f>IF(B6086,IF(D6086=0,H6086,Rho*I6085+SQRT(1-Rho^2)*H6086),"")</f>
        <v/>
      </c>
      <c r="J6086">
        <f>IF(B6086,IF(Dist="Normal",DistA+DistB*I6086,DistA+(DistB-DistA)*NORMSDIST(I6086)),"")</f>
        <v/>
      </c>
      <c r="K6086">
        <f>IF(B6086,INDEX(MineScale,C6086),"")</f>
        <v/>
      </c>
      <c r="L6086">
        <f>IF(B6086,INDEX(Dow,1,WEEKDAY(E6086,2)),"")</f>
        <v/>
      </c>
      <c r="M6086">
        <f>IF(B6086,(1+Trend)^D6086,"")</f>
        <v/>
      </c>
      <c r="N6086">
        <f>IF(B6086,EXP(SUMPRODUCT(LN(1+(EvEff-1)*INDEX(Affected,0,C6086)*EXP(-((E6086-EvCenter)^2)/(2*EvSigma^2))))),"")</f>
        <v/>
      </c>
      <c r="O6086">
        <f>IF(B6086,ROUND(MAX(0,J6086*K6086*L6086*M6086*N6086),2),"")</f>
        <v/>
      </c>
    </row>
    <row r="6087">
      <c r="A6087" t="n">
        <v>6086</v>
      </c>
      <c r="B6087">
        <f>A6087&lt;=MineCount*Days</f>
        <v/>
      </c>
      <c r="C6087">
        <f>IF(B6087,INT((A6087-1)/Days)+1,"")</f>
        <v/>
      </c>
      <c r="D6087">
        <f>IF(B6087,MOD(A6087-1,Days),"")</f>
        <v/>
      </c>
      <c r="E6087" s="16">
        <f>IF(B6087,StartDate+D6087,"")</f>
        <v/>
      </c>
      <c r="F6087">
        <f>IF(B6087,MAX(MOD(SIN(Seed*0.1373+C6087*12.9898+D6087*78.233)*43758.5453,1),1E-9),"")</f>
        <v/>
      </c>
      <c r="G6087">
        <f>IF(B6087,MOD(SIN(Seed*0.5917+C6087*39.3468+D6087*11.135)*24634.6345,1),"")</f>
        <v/>
      </c>
      <c r="H6087">
        <f>IF(B6087,SQRT(-2*LN(F6087))*COS(2*PI()*G6087),"")</f>
        <v/>
      </c>
      <c r="I6087">
        <f>IF(B6087,IF(D6087=0,H6087,Rho*I6086+SQRT(1-Rho^2)*H6087),"")</f>
        <v/>
      </c>
      <c r="J6087">
        <f>IF(B6087,IF(Dist="Normal",DistA+DistB*I6087,DistA+(DistB-DistA)*NORMSDIST(I6087)),"")</f>
        <v/>
      </c>
      <c r="K6087">
        <f>IF(B6087,INDEX(MineScale,C6087),"")</f>
        <v/>
      </c>
      <c r="L6087">
        <f>IF(B6087,INDEX(Dow,1,WEEKDAY(E6087,2)),"")</f>
        <v/>
      </c>
      <c r="M6087">
        <f>IF(B6087,(1+Trend)^D6087,"")</f>
        <v/>
      </c>
      <c r="N6087">
        <f>IF(B6087,EXP(SUMPRODUCT(LN(1+(EvEff-1)*INDEX(Affected,0,C6087)*EXP(-((E6087-EvCenter)^2)/(2*EvSigma^2))))),"")</f>
        <v/>
      </c>
      <c r="O6087">
        <f>IF(B6087,ROUND(MAX(0,J6087*K6087*L6087*M6087*N6087),2),"")</f>
        <v/>
      </c>
    </row>
    <row r="6088">
      <c r="A6088" t="n">
        <v>6087</v>
      </c>
      <c r="B6088">
        <f>A6088&lt;=MineCount*Days</f>
        <v/>
      </c>
      <c r="C6088">
        <f>IF(B6088,INT((A6088-1)/Days)+1,"")</f>
        <v/>
      </c>
      <c r="D6088">
        <f>IF(B6088,MOD(A6088-1,Days),"")</f>
        <v/>
      </c>
      <c r="E6088" s="16">
        <f>IF(B6088,StartDate+D6088,"")</f>
        <v/>
      </c>
      <c r="F6088">
        <f>IF(B6088,MAX(MOD(SIN(Seed*0.1373+C6088*12.9898+D6088*78.233)*43758.5453,1),1E-9),"")</f>
        <v/>
      </c>
      <c r="G6088">
        <f>IF(B6088,MOD(SIN(Seed*0.5917+C6088*39.3468+D6088*11.135)*24634.6345,1),"")</f>
        <v/>
      </c>
      <c r="H6088">
        <f>IF(B6088,SQRT(-2*LN(F6088))*COS(2*PI()*G6088),"")</f>
        <v/>
      </c>
      <c r="I6088">
        <f>IF(B6088,IF(D6088=0,H6088,Rho*I6087+SQRT(1-Rho^2)*H6088),"")</f>
        <v/>
      </c>
      <c r="J6088">
        <f>IF(B6088,IF(Dist="Normal",DistA+DistB*I6088,DistA+(DistB-DistA)*NORMSDIST(I6088)),"")</f>
        <v/>
      </c>
      <c r="K6088">
        <f>IF(B6088,INDEX(MineScale,C6088),"")</f>
        <v/>
      </c>
      <c r="L6088">
        <f>IF(B6088,INDEX(Dow,1,WEEKDAY(E6088,2)),"")</f>
        <v/>
      </c>
      <c r="M6088">
        <f>IF(B6088,(1+Trend)^D6088,"")</f>
        <v/>
      </c>
      <c r="N6088">
        <f>IF(B6088,EXP(SUMPRODUCT(LN(1+(EvEff-1)*INDEX(Affected,0,C6088)*EXP(-((E6088-EvCenter)^2)/(2*EvSigma^2))))),"")</f>
        <v/>
      </c>
      <c r="O6088">
        <f>IF(B6088,ROUND(MAX(0,J6088*K6088*L6088*M6088*N6088),2),"")</f>
        <v/>
      </c>
    </row>
    <row r="6089">
      <c r="A6089" t="n">
        <v>6088</v>
      </c>
      <c r="B6089">
        <f>A6089&lt;=MineCount*Days</f>
        <v/>
      </c>
      <c r="C6089">
        <f>IF(B6089,INT((A6089-1)/Days)+1,"")</f>
        <v/>
      </c>
      <c r="D6089">
        <f>IF(B6089,MOD(A6089-1,Days),"")</f>
        <v/>
      </c>
      <c r="E6089" s="16">
        <f>IF(B6089,StartDate+D6089,"")</f>
        <v/>
      </c>
      <c r="F6089">
        <f>IF(B6089,MAX(MOD(SIN(Seed*0.1373+C6089*12.9898+D6089*78.233)*43758.5453,1),1E-9),"")</f>
        <v/>
      </c>
      <c r="G6089">
        <f>IF(B6089,MOD(SIN(Seed*0.5917+C6089*39.3468+D6089*11.135)*24634.6345,1),"")</f>
        <v/>
      </c>
      <c r="H6089">
        <f>IF(B6089,SQRT(-2*LN(F6089))*COS(2*PI()*G6089),"")</f>
        <v/>
      </c>
      <c r="I6089">
        <f>IF(B6089,IF(D6089=0,H6089,Rho*I6088+SQRT(1-Rho^2)*H6089),"")</f>
        <v/>
      </c>
      <c r="J6089">
        <f>IF(B6089,IF(Dist="Normal",DistA+DistB*I6089,DistA+(DistB-DistA)*NORMSDIST(I6089)),"")</f>
        <v/>
      </c>
      <c r="K6089">
        <f>IF(B6089,INDEX(MineScale,C6089),"")</f>
        <v/>
      </c>
      <c r="L6089">
        <f>IF(B6089,INDEX(Dow,1,WEEKDAY(E6089,2)),"")</f>
        <v/>
      </c>
      <c r="M6089">
        <f>IF(B6089,(1+Trend)^D6089,"")</f>
        <v/>
      </c>
      <c r="N6089">
        <f>IF(B6089,EXP(SUMPRODUCT(LN(1+(EvEff-1)*INDEX(Affected,0,C6089)*EXP(-((E6089-EvCenter)^2)/(2*EvSigma^2))))),"")</f>
        <v/>
      </c>
      <c r="O6089">
        <f>IF(B6089,ROUND(MAX(0,J6089*K6089*L6089*M6089*N6089),2),"")</f>
        <v/>
      </c>
    </row>
    <row r="6090">
      <c r="A6090" t="n">
        <v>6089</v>
      </c>
      <c r="B6090">
        <f>A6090&lt;=MineCount*Days</f>
        <v/>
      </c>
      <c r="C6090">
        <f>IF(B6090,INT((A6090-1)/Days)+1,"")</f>
        <v/>
      </c>
      <c r="D6090">
        <f>IF(B6090,MOD(A6090-1,Days),"")</f>
        <v/>
      </c>
      <c r="E6090" s="16">
        <f>IF(B6090,StartDate+D6090,"")</f>
        <v/>
      </c>
      <c r="F6090">
        <f>IF(B6090,MAX(MOD(SIN(Seed*0.1373+C6090*12.9898+D6090*78.233)*43758.5453,1),1E-9),"")</f>
        <v/>
      </c>
      <c r="G6090">
        <f>IF(B6090,MOD(SIN(Seed*0.5917+C6090*39.3468+D6090*11.135)*24634.6345,1),"")</f>
        <v/>
      </c>
      <c r="H6090">
        <f>IF(B6090,SQRT(-2*LN(F6090))*COS(2*PI()*G6090),"")</f>
        <v/>
      </c>
      <c r="I6090">
        <f>IF(B6090,IF(D6090=0,H6090,Rho*I6089+SQRT(1-Rho^2)*H6090),"")</f>
        <v/>
      </c>
      <c r="J6090">
        <f>IF(B6090,IF(Dist="Normal",DistA+DistB*I6090,DistA+(DistB-DistA)*NORMSDIST(I6090)),"")</f>
        <v/>
      </c>
      <c r="K6090">
        <f>IF(B6090,INDEX(MineScale,C6090),"")</f>
        <v/>
      </c>
      <c r="L6090">
        <f>IF(B6090,INDEX(Dow,1,WEEKDAY(E6090,2)),"")</f>
        <v/>
      </c>
      <c r="M6090">
        <f>IF(B6090,(1+Trend)^D6090,"")</f>
        <v/>
      </c>
      <c r="N6090">
        <f>IF(B6090,EXP(SUMPRODUCT(LN(1+(EvEff-1)*INDEX(Affected,0,C6090)*EXP(-((E6090-EvCenter)^2)/(2*EvSigma^2))))),"")</f>
        <v/>
      </c>
      <c r="O6090">
        <f>IF(B6090,ROUND(MAX(0,J6090*K6090*L6090*M6090*N6090),2),"")</f>
        <v/>
      </c>
    </row>
    <row r="6091">
      <c r="A6091" t="n">
        <v>6090</v>
      </c>
      <c r="B6091">
        <f>A6091&lt;=MineCount*Days</f>
        <v/>
      </c>
      <c r="C6091">
        <f>IF(B6091,INT((A6091-1)/Days)+1,"")</f>
        <v/>
      </c>
      <c r="D6091">
        <f>IF(B6091,MOD(A6091-1,Days),"")</f>
        <v/>
      </c>
      <c r="E6091" s="16">
        <f>IF(B6091,StartDate+D6091,"")</f>
        <v/>
      </c>
      <c r="F6091">
        <f>IF(B6091,MAX(MOD(SIN(Seed*0.1373+C6091*12.9898+D6091*78.233)*43758.5453,1),1E-9),"")</f>
        <v/>
      </c>
      <c r="G6091">
        <f>IF(B6091,MOD(SIN(Seed*0.5917+C6091*39.3468+D6091*11.135)*24634.6345,1),"")</f>
        <v/>
      </c>
      <c r="H6091">
        <f>IF(B6091,SQRT(-2*LN(F6091))*COS(2*PI()*G6091),"")</f>
        <v/>
      </c>
      <c r="I6091">
        <f>IF(B6091,IF(D6091=0,H6091,Rho*I6090+SQRT(1-Rho^2)*H6091),"")</f>
        <v/>
      </c>
      <c r="J6091">
        <f>IF(B6091,IF(Dist="Normal",DistA+DistB*I6091,DistA+(DistB-DistA)*NORMSDIST(I6091)),"")</f>
        <v/>
      </c>
      <c r="K6091">
        <f>IF(B6091,INDEX(MineScale,C6091),"")</f>
        <v/>
      </c>
      <c r="L6091">
        <f>IF(B6091,INDEX(Dow,1,WEEKDAY(E6091,2)),"")</f>
        <v/>
      </c>
      <c r="M6091">
        <f>IF(B6091,(1+Trend)^D6091,"")</f>
        <v/>
      </c>
      <c r="N6091">
        <f>IF(B6091,EXP(SUMPRODUCT(LN(1+(EvEff-1)*INDEX(Affected,0,C6091)*EXP(-((E6091-EvCenter)^2)/(2*EvSigma^2))))),"")</f>
        <v/>
      </c>
      <c r="O6091">
        <f>IF(B6091,ROUND(MAX(0,J6091*K6091*L6091*M6091*N6091),2),"")</f>
        <v/>
      </c>
    </row>
    <row r="6092">
      <c r="A6092" t="n">
        <v>6091</v>
      </c>
      <c r="B6092">
        <f>A6092&lt;=MineCount*Days</f>
        <v/>
      </c>
      <c r="C6092">
        <f>IF(B6092,INT((A6092-1)/Days)+1,"")</f>
        <v/>
      </c>
      <c r="D6092">
        <f>IF(B6092,MOD(A6092-1,Days),"")</f>
        <v/>
      </c>
      <c r="E6092" s="16">
        <f>IF(B6092,StartDate+D6092,"")</f>
        <v/>
      </c>
      <c r="F6092">
        <f>IF(B6092,MAX(MOD(SIN(Seed*0.1373+C6092*12.9898+D6092*78.233)*43758.5453,1),1E-9),"")</f>
        <v/>
      </c>
      <c r="G6092">
        <f>IF(B6092,MOD(SIN(Seed*0.5917+C6092*39.3468+D6092*11.135)*24634.6345,1),"")</f>
        <v/>
      </c>
      <c r="H6092">
        <f>IF(B6092,SQRT(-2*LN(F6092))*COS(2*PI()*G6092),"")</f>
        <v/>
      </c>
      <c r="I6092">
        <f>IF(B6092,IF(D6092=0,H6092,Rho*I6091+SQRT(1-Rho^2)*H6092),"")</f>
        <v/>
      </c>
      <c r="J6092">
        <f>IF(B6092,IF(Dist="Normal",DistA+DistB*I6092,DistA+(DistB-DistA)*NORMSDIST(I6092)),"")</f>
        <v/>
      </c>
      <c r="K6092">
        <f>IF(B6092,INDEX(MineScale,C6092),"")</f>
        <v/>
      </c>
      <c r="L6092">
        <f>IF(B6092,INDEX(Dow,1,WEEKDAY(E6092,2)),"")</f>
        <v/>
      </c>
      <c r="M6092">
        <f>IF(B6092,(1+Trend)^D6092,"")</f>
        <v/>
      </c>
      <c r="N6092">
        <f>IF(B6092,EXP(SUMPRODUCT(LN(1+(EvEff-1)*INDEX(Affected,0,C6092)*EXP(-((E6092-EvCenter)^2)/(2*EvSigma^2))))),"")</f>
        <v/>
      </c>
      <c r="O6092">
        <f>IF(B6092,ROUND(MAX(0,J6092*K6092*L6092*M6092*N6092),2),"")</f>
        <v/>
      </c>
    </row>
    <row r="6093">
      <c r="A6093" t="n">
        <v>6092</v>
      </c>
      <c r="B6093">
        <f>A6093&lt;=MineCount*Days</f>
        <v/>
      </c>
      <c r="C6093">
        <f>IF(B6093,INT((A6093-1)/Days)+1,"")</f>
        <v/>
      </c>
      <c r="D6093">
        <f>IF(B6093,MOD(A6093-1,Days),"")</f>
        <v/>
      </c>
      <c r="E6093" s="16">
        <f>IF(B6093,StartDate+D6093,"")</f>
        <v/>
      </c>
      <c r="F6093">
        <f>IF(B6093,MAX(MOD(SIN(Seed*0.1373+C6093*12.9898+D6093*78.233)*43758.5453,1),1E-9),"")</f>
        <v/>
      </c>
      <c r="G6093">
        <f>IF(B6093,MOD(SIN(Seed*0.5917+C6093*39.3468+D6093*11.135)*24634.6345,1),"")</f>
        <v/>
      </c>
      <c r="H6093">
        <f>IF(B6093,SQRT(-2*LN(F6093))*COS(2*PI()*G6093),"")</f>
        <v/>
      </c>
      <c r="I6093">
        <f>IF(B6093,IF(D6093=0,H6093,Rho*I6092+SQRT(1-Rho^2)*H6093),"")</f>
        <v/>
      </c>
      <c r="J6093">
        <f>IF(B6093,IF(Dist="Normal",DistA+DistB*I6093,DistA+(DistB-DistA)*NORMSDIST(I6093)),"")</f>
        <v/>
      </c>
      <c r="K6093">
        <f>IF(B6093,INDEX(MineScale,C6093),"")</f>
        <v/>
      </c>
      <c r="L6093">
        <f>IF(B6093,INDEX(Dow,1,WEEKDAY(E6093,2)),"")</f>
        <v/>
      </c>
      <c r="M6093">
        <f>IF(B6093,(1+Trend)^D6093,"")</f>
        <v/>
      </c>
      <c r="N6093">
        <f>IF(B6093,EXP(SUMPRODUCT(LN(1+(EvEff-1)*INDEX(Affected,0,C6093)*EXP(-((E6093-EvCenter)^2)/(2*EvSigma^2))))),"")</f>
        <v/>
      </c>
      <c r="O6093">
        <f>IF(B6093,ROUND(MAX(0,J6093*K6093*L6093*M6093*N6093),2),"")</f>
        <v/>
      </c>
    </row>
    <row r="6094">
      <c r="A6094" t="n">
        <v>6093</v>
      </c>
      <c r="B6094">
        <f>A6094&lt;=MineCount*Days</f>
        <v/>
      </c>
      <c r="C6094">
        <f>IF(B6094,INT((A6094-1)/Days)+1,"")</f>
        <v/>
      </c>
      <c r="D6094">
        <f>IF(B6094,MOD(A6094-1,Days),"")</f>
        <v/>
      </c>
      <c r="E6094" s="16">
        <f>IF(B6094,StartDate+D6094,"")</f>
        <v/>
      </c>
      <c r="F6094">
        <f>IF(B6094,MAX(MOD(SIN(Seed*0.1373+C6094*12.9898+D6094*78.233)*43758.5453,1),1E-9),"")</f>
        <v/>
      </c>
      <c r="G6094">
        <f>IF(B6094,MOD(SIN(Seed*0.5917+C6094*39.3468+D6094*11.135)*24634.6345,1),"")</f>
        <v/>
      </c>
      <c r="H6094">
        <f>IF(B6094,SQRT(-2*LN(F6094))*COS(2*PI()*G6094),"")</f>
        <v/>
      </c>
      <c r="I6094">
        <f>IF(B6094,IF(D6094=0,H6094,Rho*I6093+SQRT(1-Rho^2)*H6094),"")</f>
        <v/>
      </c>
      <c r="J6094">
        <f>IF(B6094,IF(Dist="Normal",DistA+DistB*I6094,DistA+(DistB-DistA)*NORMSDIST(I6094)),"")</f>
        <v/>
      </c>
      <c r="K6094">
        <f>IF(B6094,INDEX(MineScale,C6094),"")</f>
        <v/>
      </c>
      <c r="L6094">
        <f>IF(B6094,INDEX(Dow,1,WEEKDAY(E6094,2)),"")</f>
        <v/>
      </c>
      <c r="M6094">
        <f>IF(B6094,(1+Trend)^D6094,"")</f>
        <v/>
      </c>
      <c r="N6094">
        <f>IF(B6094,EXP(SUMPRODUCT(LN(1+(EvEff-1)*INDEX(Affected,0,C6094)*EXP(-((E6094-EvCenter)^2)/(2*EvSigma^2))))),"")</f>
        <v/>
      </c>
      <c r="O6094">
        <f>IF(B6094,ROUND(MAX(0,J6094*K6094*L6094*M6094*N6094),2),"")</f>
        <v/>
      </c>
    </row>
    <row r="6095">
      <c r="A6095" t="n">
        <v>6094</v>
      </c>
      <c r="B6095">
        <f>A6095&lt;=MineCount*Days</f>
        <v/>
      </c>
      <c r="C6095">
        <f>IF(B6095,INT((A6095-1)/Days)+1,"")</f>
        <v/>
      </c>
      <c r="D6095">
        <f>IF(B6095,MOD(A6095-1,Days),"")</f>
        <v/>
      </c>
      <c r="E6095" s="16">
        <f>IF(B6095,StartDate+D6095,"")</f>
        <v/>
      </c>
      <c r="F6095">
        <f>IF(B6095,MAX(MOD(SIN(Seed*0.1373+C6095*12.9898+D6095*78.233)*43758.5453,1),1E-9),"")</f>
        <v/>
      </c>
      <c r="G6095">
        <f>IF(B6095,MOD(SIN(Seed*0.5917+C6095*39.3468+D6095*11.135)*24634.6345,1),"")</f>
        <v/>
      </c>
      <c r="H6095">
        <f>IF(B6095,SQRT(-2*LN(F6095))*COS(2*PI()*G6095),"")</f>
        <v/>
      </c>
      <c r="I6095">
        <f>IF(B6095,IF(D6095=0,H6095,Rho*I6094+SQRT(1-Rho^2)*H6095),"")</f>
        <v/>
      </c>
      <c r="J6095">
        <f>IF(B6095,IF(Dist="Normal",DistA+DistB*I6095,DistA+(DistB-DistA)*NORMSDIST(I6095)),"")</f>
        <v/>
      </c>
      <c r="K6095">
        <f>IF(B6095,INDEX(MineScale,C6095),"")</f>
        <v/>
      </c>
      <c r="L6095">
        <f>IF(B6095,INDEX(Dow,1,WEEKDAY(E6095,2)),"")</f>
        <v/>
      </c>
      <c r="M6095">
        <f>IF(B6095,(1+Trend)^D6095,"")</f>
        <v/>
      </c>
      <c r="N6095">
        <f>IF(B6095,EXP(SUMPRODUCT(LN(1+(EvEff-1)*INDEX(Affected,0,C6095)*EXP(-((E6095-EvCenter)^2)/(2*EvSigma^2))))),"")</f>
        <v/>
      </c>
      <c r="O6095">
        <f>IF(B6095,ROUND(MAX(0,J6095*K6095*L6095*M6095*N6095),2),"")</f>
        <v/>
      </c>
    </row>
    <row r="6096">
      <c r="A6096" t="n">
        <v>6095</v>
      </c>
      <c r="B6096">
        <f>A6096&lt;=MineCount*Days</f>
        <v/>
      </c>
      <c r="C6096">
        <f>IF(B6096,INT((A6096-1)/Days)+1,"")</f>
        <v/>
      </c>
      <c r="D6096">
        <f>IF(B6096,MOD(A6096-1,Days),"")</f>
        <v/>
      </c>
      <c r="E6096" s="16">
        <f>IF(B6096,StartDate+D6096,"")</f>
        <v/>
      </c>
      <c r="F6096">
        <f>IF(B6096,MAX(MOD(SIN(Seed*0.1373+C6096*12.9898+D6096*78.233)*43758.5453,1),1E-9),"")</f>
        <v/>
      </c>
      <c r="G6096">
        <f>IF(B6096,MOD(SIN(Seed*0.5917+C6096*39.3468+D6096*11.135)*24634.6345,1),"")</f>
        <v/>
      </c>
      <c r="H6096">
        <f>IF(B6096,SQRT(-2*LN(F6096))*COS(2*PI()*G6096),"")</f>
        <v/>
      </c>
      <c r="I6096">
        <f>IF(B6096,IF(D6096=0,H6096,Rho*I6095+SQRT(1-Rho^2)*H6096),"")</f>
        <v/>
      </c>
      <c r="J6096">
        <f>IF(B6096,IF(Dist="Normal",DistA+DistB*I6096,DistA+(DistB-DistA)*NORMSDIST(I6096)),"")</f>
        <v/>
      </c>
      <c r="K6096">
        <f>IF(B6096,INDEX(MineScale,C6096),"")</f>
        <v/>
      </c>
      <c r="L6096">
        <f>IF(B6096,INDEX(Dow,1,WEEKDAY(E6096,2)),"")</f>
        <v/>
      </c>
      <c r="M6096">
        <f>IF(B6096,(1+Trend)^D6096,"")</f>
        <v/>
      </c>
      <c r="N6096">
        <f>IF(B6096,EXP(SUMPRODUCT(LN(1+(EvEff-1)*INDEX(Affected,0,C6096)*EXP(-((E6096-EvCenter)^2)/(2*EvSigma^2))))),"")</f>
        <v/>
      </c>
      <c r="O6096">
        <f>IF(B6096,ROUND(MAX(0,J6096*K6096*L6096*M6096*N6096),2),"")</f>
        <v/>
      </c>
    </row>
    <row r="6097">
      <c r="A6097" t="n">
        <v>6096</v>
      </c>
      <c r="B6097">
        <f>A6097&lt;=MineCount*Days</f>
        <v/>
      </c>
      <c r="C6097">
        <f>IF(B6097,INT((A6097-1)/Days)+1,"")</f>
        <v/>
      </c>
      <c r="D6097">
        <f>IF(B6097,MOD(A6097-1,Days),"")</f>
        <v/>
      </c>
      <c r="E6097" s="16">
        <f>IF(B6097,StartDate+D6097,"")</f>
        <v/>
      </c>
      <c r="F6097">
        <f>IF(B6097,MAX(MOD(SIN(Seed*0.1373+C6097*12.9898+D6097*78.233)*43758.5453,1),1E-9),"")</f>
        <v/>
      </c>
      <c r="G6097">
        <f>IF(B6097,MOD(SIN(Seed*0.5917+C6097*39.3468+D6097*11.135)*24634.6345,1),"")</f>
        <v/>
      </c>
      <c r="H6097">
        <f>IF(B6097,SQRT(-2*LN(F6097))*COS(2*PI()*G6097),"")</f>
        <v/>
      </c>
      <c r="I6097">
        <f>IF(B6097,IF(D6097=0,H6097,Rho*I6096+SQRT(1-Rho^2)*H6097),"")</f>
        <v/>
      </c>
      <c r="J6097">
        <f>IF(B6097,IF(Dist="Normal",DistA+DistB*I6097,DistA+(DistB-DistA)*NORMSDIST(I6097)),"")</f>
        <v/>
      </c>
      <c r="K6097">
        <f>IF(B6097,INDEX(MineScale,C6097),"")</f>
        <v/>
      </c>
      <c r="L6097">
        <f>IF(B6097,INDEX(Dow,1,WEEKDAY(E6097,2)),"")</f>
        <v/>
      </c>
      <c r="M6097">
        <f>IF(B6097,(1+Trend)^D6097,"")</f>
        <v/>
      </c>
      <c r="N6097">
        <f>IF(B6097,EXP(SUMPRODUCT(LN(1+(EvEff-1)*INDEX(Affected,0,C6097)*EXP(-((E6097-EvCenter)^2)/(2*EvSigma^2))))),"")</f>
        <v/>
      </c>
      <c r="O6097">
        <f>IF(B6097,ROUND(MAX(0,J6097*K6097*L6097*M6097*N6097),2),"")</f>
        <v/>
      </c>
    </row>
    <row r="6098">
      <c r="A6098" t="n">
        <v>6097</v>
      </c>
      <c r="B6098">
        <f>A6098&lt;=MineCount*Days</f>
        <v/>
      </c>
      <c r="C6098">
        <f>IF(B6098,INT((A6098-1)/Days)+1,"")</f>
        <v/>
      </c>
      <c r="D6098">
        <f>IF(B6098,MOD(A6098-1,Days),"")</f>
        <v/>
      </c>
      <c r="E6098" s="16">
        <f>IF(B6098,StartDate+D6098,"")</f>
        <v/>
      </c>
      <c r="F6098">
        <f>IF(B6098,MAX(MOD(SIN(Seed*0.1373+C6098*12.9898+D6098*78.233)*43758.5453,1),1E-9),"")</f>
        <v/>
      </c>
      <c r="G6098">
        <f>IF(B6098,MOD(SIN(Seed*0.5917+C6098*39.3468+D6098*11.135)*24634.6345,1),"")</f>
        <v/>
      </c>
      <c r="H6098">
        <f>IF(B6098,SQRT(-2*LN(F6098))*COS(2*PI()*G6098),"")</f>
        <v/>
      </c>
      <c r="I6098">
        <f>IF(B6098,IF(D6098=0,H6098,Rho*I6097+SQRT(1-Rho^2)*H6098),"")</f>
        <v/>
      </c>
      <c r="J6098">
        <f>IF(B6098,IF(Dist="Normal",DistA+DistB*I6098,DistA+(DistB-DistA)*NORMSDIST(I6098)),"")</f>
        <v/>
      </c>
      <c r="K6098">
        <f>IF(B6098,INDEX(MineScale,C6098),"")</f>
        <v/>
      </c>
      <c r="L6098">
        <f>IF(B6098,INDEX(Dow,1,WEEKDAY(E6098,2)),"")</f>
        <v/>
      </c>
      <c r="M6098">
        <f>IF(B6098,(1+Trend)^D6098,"")</f>
        <v/>
      </c>
      <c r="N6098">
        <f>IF(B6098,EXP(SUMPRODUCT(LN(1+(EvEff-1)*INDEX(Affected,0,C6098)*EXP(-((E6098-EvCenter)^2)/(2*EvSigma^2))))),"")</f>
        <v/>
      </c>
      <c r="O6098">
        <f>IF(B6098,ROUND(MAX(0,J6098*K6098*L6098*M6098*N6098),2),"")</f>
        <v/>
      </c>
    </row>
    <row r="6099">
      <c r="A6099" t="n">
        <v>6098</v>
      </c>
      <c r="B6099">
        <f>A6099&lt;=MineCount*Days</f>
        <v/>
      </c>
      <c r="C6099">
        <f>IF(B6099,INT((A6099-1)/Days)+1,"")</f>
        <v/>
      </c>
      <c r="D6099">
        <f>IF(B6099,MOD(A6099-1,Days),"")</f>
        <v/>
      </c>
      <c r="E6099" s="16">
        <f>IF(B6099,StartDate+D6099,"")</f>
        <v/>
      </c>
      <c r="F6099">
        <f>IF(B6099,MAX(MOD(SIN(Seed*0.1373+C6099*12.9898+D6099*78.233)*43758.5453,1),1E-9),"")</f>
        <v/>
      </c>
      <c r="G6099">
        <f>IF(B6099,MOD(SIN(Seed*0.5917+C6099*39.3468+D6099*11.135)*24634.6345,1),"")</f>
        <v/>
      </c>
      <c r="H6099">
        <f>IF(B6099,SQRT(-2*LN(F6099))*COS(2*PI()*G6099),"")</f>
        <v/>
      </c>
      <c r="I6099">
        <f>IF(B6099,IF(D6099=0,H6099,Rho*I6098+SQRT(1-Rho^2)*H6099),"")</f>
        <v/>
      </c>
      <c r="J6099">
        <f>IF(B6099,IF(Dist="Normal",DistA+DistB*I6099,DistA+(DistB-DistA)*NORMSDIST(I6099)),"")</f>
        <v/>
      </c>
      <c r="K6099">
        <f>IF(B6099,INDEX(MineScale,C6099),"")</f>
        <v/>
      </c>
      <c r="L6099">
        <f>IF(B6099,INDEX(Dow,1,WEEKDAY(E6099,2)),"")</f>
        <v/>
      </c>
      <c r="M6099">
        <f>IF(B6099,(1+Trend)^D6099,"")</f>
        <v/>
      </c>
      <c r="N6099">
        <f>IF(B6099,EXP(SUMPRODUCT(LN(1+(EvEff-1)*INDEX(Affected,0,C6099)*EXP(-((E6099-EvCenter)^2)/(2*EvSigma^2))))),"")</f>
        <v/>
      </c>
      <c r="O6099">
        <f>IF(B6099,ROUND(MAX(0,J6099*K6099*L6099*M6099*N6099),2),"")</f>
        <v/>
      </c>
    </row>
    <row r="6100">
      <c r="A6100" t="n">
        <v>6099</v>
      </c>
      <c r="B6100">
        <f>A6100&lt;=MineCount*Days</f>
        <v/>
      </c>
      <c r="C6100">
        <f>IF(B6100,INT((A6100-1)/Days)+1,"")</f>
        <v/>
      </c>
      <c r="D6100">
        <f>IF(B6100,MOD(A6100-1,Days),"")</f>
        <v/>
      </c>
      <c r="E6100" s="16">
        <f>IF(B6100,StartDate+D6100,"")</f>
        <v/>
      </c>
      <c r="F6100">
        <f>IF(B6100,MAX(MOD(SIN(Seed*0.1373+C6100*12.9898+D6100*78.233)*43758.5453,1),1E-9),"")</f>
        <v/>
      </c>
      <c r="G6100">
        <f>IF(B6100,MOD(SIN(Seed*0.5917+C6100*39.3468+D6100*11.135)*24634.6345,1),"")</f>
        <v/>
      </c>
      <c r="H6100">
        <f>IF(B6100,SQRT(-2*LN(F6100))*COS(2*PI()*G6100),"")</f>
        <v/>
      </c>
      <c r="I6100">
        <f>IF(B6100,IF(D6100=0,H6100,Rho*I6099+SQRT(1-Rho^2)*H6100),"")</f>
        <v/>
      </c>
      <c r="J6100">
        <f>IF(B6100,IF(Dist="Normal",DistA+DistB*I6100,DistA+(DistB-DistA)*NORMSDIST(I6100)),"")</f>
        <v/>
      </c>
      <c r="K6100">
        <f>IF(B6100,INDEX(MineScale,C6100),"")</f>
        <v/>
      </c>
      <c r="L6100">
        <f>IF(B6100,INDEX(Dow,1,WEEKDAY(E6100,2)),"")</f>
        <v/>
      </c>
      <c r="M6100">
        <f>IF(B6100,(1+Trend)^D6100,"")</f>
        <v/>
      </c>
      <c r="N6100">
        <f>IF(B6100,EXP(SUMPRODUCT(LN(1+(EvEff-1)*INDEX(Affected,0,C6100)*EXP(-((E6100-EvCenter)^2)/(2*EvSigma^2))))),"")</f>
        <v/>
      </c>
      <c r="O6100">
        <f>IF(B6100,ROUND(MAX(0,J6100*K6100*L6100*M6100*N6100),2),"")</f>
        <v/>
      </c>
    </row>
    <row r="6101">
      <c r="A6101" t="n">
        <v>6100</v>
      </c>
      <c r="B6101">
        <f>A6101&lt;=MineCount*Days</f>
        <v/>
      </c>
      <c r="C6101">
        <f>IF(B6101,INT((A6101-1)/Days)+1,"")</f>
        <v/>
      </c>
      <c r="D6101">
        <f>IF(B6101,MOD(A6101-1,Days),"")</f>
        <v/>
      </c>
      <c r="E6101" s="16">
        <f>IF(B6101,StartDate+D6101,"")</f>
        <v/>
      </c>
      <c r="F6101">
        <f>IF(B6101,MAX(MOD(SIN(Seed*0.1373+C6101*12.9898+D6101*78.233)*43758.5453,1),1E-9),"")</f>
        <v/>
      </c>
      <c r="G6101">
        <f>IF(B6101,MOD(SIN(Seed*0.5917+C6101*39.3468+D6101*11.135)*24634.6345,1),"")</f>
        <v/>
      </c>
      <c r="H6101">
        <f>IF(B6101,SQRT(-2*LN(F6101))*COS(2*PI()*G6101),"")</f>
        <v/>
      </c>
      <c r="I6101">
        <f>IF(B6101,IF(D6101=0,H6101,Rho*I6100+SQRT(1-Rho^2)*H6101),"")</f>
        <v/>
      </c>
      <c r="J6101">
        <f>IF(B6101,IF(Dist="Normal",DistA+DistB*I6101,DistA+(DistB-DistA)*NORMSDIST(I6101)),"")</f>
        <v/>
      </c>
      <c r="K6101">
        <f>IF(B6101,INDEX(MineScale,C6101),"")</f>
        <v/>
      </c>
      <c r="L6101">
        <f>IF(B6101,INDEX(Dow,1,WEEKDAY(E6101,2)),"")</f>
        <v/>
      </c>
      <c r="M6101">
        <f>IF(B6101,(1+Trend)^D6101,"")</f>
        <v/>
      </c>
      <c r="N6101">
        <f>IF(B6101,EXP(SUMPRODUCT(LN(1+(EvEff-1)*INDEX(Affected,0,C6101)*EXP(-((E6101-EvCenter)^2)/(2*EvSigma^2))))),"")</f>
        <v/>
      </c>
      <c r="O6101">
        <f>IF(B6101,ROUND(MAX(0,J6101*K6101*L6101*M6101*N6101),2),"")</f>
        <v/>
      </c>
    </row>
    <row r="6102">
      <c r="A6102" t="n">
        <v>6101</v>
      </c>
      <c r="B6102">
        <f>A6102&lt;=MineCount*Days</f>
        <v/>
      </c>
      <c r="C6102">
        <f>IF(B6102,INT((A6102-1)/Days)+1,"")</f>
        <v/>
      </c>
      <c r="D6102">
        <f>IF(B6102,MOD(A6102-1,Days),"")</f>
        <v/>
      </c>
      <c r="E6102" s="16">
        <f>IF(B6102,StartDate+D6102,"")</f>
        <v/>
      </c>
      <c r="F6102">
        <f>IF(B6102,MAX(MOD(SIN(Seed*0.1373+C6102*12.9898+D6102*78.233)*43758.5453,1),1E-9),"")</f>
        <v/>
      </c>
      <c r="G6102">
        <f>IF(B6102,MOD(SIN(Seed*0.5917+C6102*39.3468+D6102*11.135)*24634.6345,1),"")</f>
        <v/>
      </c>
      <c r="H6102">
        <f>IF(B6102,SQRT(-2*LN(F6102))*COS(2*PI()*G6102),"")</f>
        <v/>
      </c>
      <c r="I6102">
        <f>IF(B6102,IF(D6102=0,H6102,Rho*I6101+SQRT(1-Rho^2)*H6102),"")</f>
        <v/>
      </c>
      <c r="J6102">
        <f>IF(B6102,IF(Dist="Normal",DistA+DistB*I6102,DistA+(DistB-DistA)*NORMSDIST(I6102)),"")</f>
        <v/>
      </c>
      <c r="K6102">
        <f>IF(B6102,INDEX(MineScale,C6102),"")</f>
        <v/>
      </c>
      <c r="L6102">
        <f>IF(B6102,INDEX(Dow,1,WEEKDAY(E6102,2)),"")</f>
        <v/>
      </c>
      <c r="M6102">
        <f>IF(B6102,(1+Trend)^D6102,"")</f>
        <v/>
      </c>
      <c r="N6102">
        <f>IF(B6102,EXP(SUMPRODUCT(LN(1+(EvEff-1)*INDEX(Affected,0,C6102)*EXP(-((E6102-EvCenter)^2)/(2*EvSigma^2))))),"")</f>
        <v/>
      </c>
      <c r="O6102">
        <f>IF(B6102,ROUND(MAX(0,J6102*K6102*L6102*M6102*N6102),2),"")</f>
        <v/>
      </c>
    </row>
    <row r="6103">
      <c r="A6103" t="n">
        <v>6102</v>
      </c>
      <c r="B6103">
        <f>A6103&lt;=MineCount*Days</f>
        <v/>
      </c>
      <c r="C6103">
        <f>IF(B6103,INT((A6103-1)/Days)+1,"")</f>
        <v/>
      </c>
      <c r="D6103">
        <f>IF(B6103,MOD(A6103-1,Days),"")</f>
        <v/>
      </c>
      <c r="E6103" s="16">
        <f>IF(B6103,StartDate+D6103,"")</f>
        <v/>
      </c>
      <c r="F6103">
        <f>IF(B6103,MAX(MOD(SIN(Seed*0.1373+C6103*12.9898+D6103*78.233)*43758.5453,1),1E-9),"")</f>
        <v/>
      </c>
      <c r="G6103">
        <f>IF(B6103,MOD(SIN(Seed*0.5917+C6103*39.3468+D6103*11.135)*24634.6345,1),"")</f>
        <v/>
      </c>
      <c r="H6103">
        <f>IF(B6103,SQRT(-2*LN(F6103))*COS(2*PI()*G6103),"")</f>
        <v/>
      </c>
      <c r="I6103">
        <f>IF(B6103,IF(D6103=0,H6103,Rho*I6102+SQRT(1-Rho^2)*H6103),"")</f>
        <v/>
      </c>
      <c r="J6103">
        <f>IF(B6103,IF(Dist="Normal",DistA+DistB*I6103,DistA+(DistB-DistA)*NORMSDIST(I6103)),"")</f>
        <v/>
      </c>
      <c r="K6103">
        <f>IF(B6103,INDEX(MineScale,C6103),"")</f>
        <v/>
      </c>
      <c r="L6103">
        <f>IF(B6103,INDEX(Dow,1,WEEKDAY(E6103,2)),"")</f>
        <v/>
      </c>
      <c r="M6103">
        <f>IF(B6103,(1+Trend)^D6103,"")</f>
        <v/>
      </c>
      <c r="N6103">
        <f>IF(B6103,EXP(SUMPRODUCT(LN(1+(EvEff-1)*INDEX(Affected,0,C6103)*EXP(-((E6103-EvCenter)^2)/(2*EvSigma^2))))),"")</f>
        <v/>
      </c>
      <c r="O6103">
        <f>IF(B6103,ROUND(MAX(0,J6103*K6103*L6103*M6103*N6103),2),"")</f>
        <v/>
      </c>
    </row>
    <row r="6104">
      <c r="A6104" t="n">
        <v>6103</v>
      </c>
      <c r="B6104">
        <f>A6104&lt;=MineCount*Days</f>
        <v/>
      </c>
      <c r="C6104">
        <f>IF(B6104,INT((A6104-1)/Days)+1,"")</f>
        <v/>
      </c>
      <c r="D6104">
        <f>IF(B6104,MOD(A6104-1,Days),"")</f>
        <v/>
      </c>
      <c r="E6104" s="16">
        <f>IF(B6104,StartDate+D6104,"")</f>
        <v/>
      </c>
      <c r="F6104">
        <f>IF(B6104,MAX(MOD(SIN(Seed*0.1373+C6104*12.9898+D6104*78.233)*43758.5453,1),1E-9),"")</f>
        <v/>
      </c>
      <c r="G6104">
        <f>IF(B6104,MOD(SIN(Seed*0.5917+C6104*39.3468+D6104*11.135)*24634.6345,1),"")</f>
        <v/>
      </c>
      <c r="H6104">
        <f>IF(B6104,SQRT(-2*LN(F6104))*COS(2*PI()*G6104),"")</f>
        <v/>
      </c>
      <c r="I6104">
        <f>IF(B6104,IF(D6104=0,H6104,Rho*I6103+SQRT(1-Rho^2)*H6104),"")</f>
        <v/>
      </c>
      <c r="J6104">
        <f>IF(B6104,IF(Dist="Normal",DistA+DistB*I6104,DistA+(DistB-DistA)*NORMSDIST(I6104)),"")</f>
        <v/>
      </c>
      <c r="K6104">
        <f>IF(B6104,INDEX(MineScale,C6104),"")</f>
        <v/>
      </c>
      <c r="L6104">
        <f>IF(B6104,INDEX(Dow,1,WEEKDAY(E6104,2)),"")</f>
        <v/>
      </c>
      <c r="M6104">
        <f>IF(B6104,(1+Trend)^D6104,"")</f>
        <v/>
      </c>
      <c r="N6104">
        <f>IF(B6104,EXP(SUMPRODUCT(LN(1+(EvEff-1)*INDEX(Affected,0,C6104)*EXP(-((E6104-EvCenter)^2)/(2*EvSigma^2))))),"")</f>
        <v/>
      </c>
      <c r="O6104">
        <f>IF(B6104,ROUND(MAX(0,J6104*K6104*L6104*M6104*N6104),2),"")</f>
        <v/>
      </c>
    </row>
    <row r="6105">
      <c r="A6105" t="n">
        <v>6104</v>
      </c>
      <c r="B6105">
        <f>A6105&lt;=MineCount*Days</f>
        <v/>
      </c>
      <c r="C6105">
        <f>IF(B6105,INT((A6105-1)/Days)+1,"")</f>
        <v/>
      </c>
      <c r="D6105">
        <f>IF(B6105,MOD(A6105-1,Days),"")</f>
        <v/>
      </c>
      <c r="E6105" s="16">
        <f>IF(B6105,StartDate+D6105,"")</f>
        <v/>
      </c>
      <c r="F6105">
        <f>IF(B6105,MAX(MOD(SIN(Seed*0.1373+C6105*12.9898+D6105*78.233)*43758.5453,1),1E-9),"")</f>
        <v/>
      </c>
      <c r="G6105">
        <f>IF(B6105,MOD(SIN(Seed*0.5917+C6105*39.3468+D6105*11.135)*24634.6345,1),"")</f>
        <v/>
      </c>
      <c r="H6105">
        <f>IF(B6105,SQRT(-2*LN(F6105))*COS(2*PI()*G6105),"")</f>
        <v/>
      </c>
      <c r="I6105">
        <f>IF(B6105,IF(D6105=0,H6105,Rho*I6104+SQRT(1-Rho^2)*H6105),"")</f>
        <v/>
      </c>
      <c r="J6105">
        <f>IF(B6105,IF(Dist="Normal",DistA+DistB*I6105,DistA+(DistB-DistA)*NORMSDIST(I6105)),"")</f>
        <v/>
      </c>
      <c r="K6105">
        <f>IF(B6105,INDEX(MineScale,C6105),"")</f>
        <v/>
      </c>
      <c r="L6105">
        <f>IF(B6105,INDEX(Dow,1,WEEKDAY(E6105,2)),"")</f>
        <v/>
      </c>
      <c r="M6105">
        <f>IF(B6105,(1+Trend)^D6105,"")</f>
        <v/>
      </c>
      <c r="N6105">
        <f>IF(B6105,EXP(SUMPRODUCT(LN(1+(EvEff-1)*INDEX(Affected,0,C6105)*EXP(-((E6105-EvCenter)^2)/(2*EvSigma^2))))),"")</f>
        <v/>
      </c>
      <c r="O6105">
        <f>IF(B6105,ROUND(MAX(0,J6105*K6105*L6105*M6105*N6105),2),"")</f>
        <v/>
      </c>
    </row>
    <row r="6106">
      <c r="A6106" t="n">
        <v>6105</v>
      </c>
      <c r="B6106">
        <f>A6106&lt;=MineCount*Days</f>
        <v/>
      </c>
      <c r="C6106">
        <f>IF(B6106,INT((A6106-1)/Days)+1,"")</f>
        <v/>
      </c>
      <c r="D6106">
        <f>IF(B6106,MOD(A6106-1,Days),"")</f>
        <v/>
      </c>
      <c r="E6106" s="16">
        <f>IF(B6106,StartDate+D6106,"")</f>
        <v/>
      </c>
      <c r="F6106">
        <f>IF(B6106,MAX(MOD(SIN(Seed*0.1373+C6106*12.9898+D6106*78.233)*43758.5453,1),1E-9),"")</f>
        <v/>
      </c>
      <c r="G6106">
        <f>IF(B6106,MOD(SIN(Seed*0.5917+C6106*39.3468+D6106*11.135)*24634.6345,1),"")</f>
        <v/>
      </c>
      <c r="H6106">
        <f>IF(B6106,SQRT(-2*LN(F6106))*COS(2*PI()*G6106),"")</f>
        <v/>
      </c>
      <c r="I6106">
        <f>IF(B6106,IF(D6106=0,H6106,Rho*I6105+SQRT(1-Rho^2)*H6106),"")</f>
        <v/>
      </c>
      <c r="J6106">
        <f>IF(B6106,IF(Dist="Normal",DistA+DistB*I6106,DistA+(DistB-DistA)*NORMSDIST(I6106)),"")</f>
        <v/>
      </c>
      <c r="K6106">
        <f>IF(B6106,INDEX(MineScale,C6106),"")</f>
        <v/>
      </c>
      <c r="L6106">
        <f>IF(B6106,INDEX(Dow,1,WEEKDAY(E6106,2)),"")</f>
        <v/>
      </c>
      <c r="M6106">
        <f>IF(B6106,(1+Trend)^D6106,"")</f>
        <v/>
      </c>
      <c r="N6106">
        <f>IF(B6106,EXP(SUMPRODUCT(LN(1+(EvEff-1)*INDEX(Affected,0,C6106)*EXP(-((E6106-EvCenter)^2)/(2*EvSigma^2))))),"")</f>
        <v/>
      </c>
      <c r="O6106">
        <f>IF(B6106,ROUND(MAX(0,J6106*K6106*L6106*M6106*N6106),2),"")</f>
        <v/>
      </c>
    </row>
    <row r="6107">
      <c r="A6107" t="n">
        <v>6106</v>
      </c>
      <c r="B6107">
        <f>A6107&lt;=MineCount*Days</f>
        <v/>
      </c>
      <c r="C6107">
        <f>IF(B6107,INT((A6107-1)/Days)+1,"")</f>
        <v/>
      </c>
      <c r="D6107">
        <f>IF(B6107,MOD(A6107-1,Days),"")</f>
        <v/>
      </c>
      <c r="E6107" s="16">
        <f>IF(B6107,StartDate+D6107,"")</f>
        <v/>
      </c>
      <c r="F6107">
        <f>IF(B6107,MAX(MOD(SIN(Seed*0.1373+C6107*12.9898+D6107*78.233)*43758.5453,1),1E-9),"")</f>
        <v/>
      </c>
      <c r="G6107">
        <f>IF(B6107,MOD(SIN(Seed*0.5917+C6107*39.3468+D6107*11.135)*24634.6345,1),"")</f>
        <v/>
      </c>
      <c r="H6107">
        <f>IF(B6107,SQRT(-2*LN(F6107))*COS(2*PI()*G6107),"")</f>
        <v/>
      </c>
      <c r="I6107">
        <f>IF(B6107,IF(D6107=0,H6107,Rho*I6106+SQRT(1-Rho^2)*H6107),"")</f>
        <v/>
      </c>
      <c r="J6107">
        <f>IF(B6107,IF(Dist="Normal",DistA+DistB*I6107,DistA+(DistB-DistA)*NORMSDIST(I6107)),"")</f>
        <v/>
      </c>
      <c r="K6107">
        <f>IF(B6107,INDEX(MineScale,C6107),"")</f>
        <v/>
      </c>
      <c r="L6107">
        <f>IF(B6107,INDEX(Dow,1,WEEKDAY(E6107,2)),"")</f>
        <v/>
      </c>
      <c r="M6107">
        <f>IF(B6107,(1+Trend)^D6107,"")</f>
        <v/>
      </c>
      <c r="N6107">
        <f>IF(B6107,EXP(SUMPRODUCT(LN(1+(EvEff-1)*INDEX(Affected,0,C6107)*EXP(-((E6107-EvCenter)^2)/(2*EvSigma^2))))),"")</f>
        <v/>
      </c>
      <c r="O6107">
        <f>IF(B6107,ROUND(MAX(0,J6107*K6107*L6107*M6107*N6107),2),"")</f>
        <v/>
      </c>
    </row>
    <row r="6108">
      <c r="A6108" t="n">
        <v>6107</v>
      </c>
      <c r="B6108">
        <f>A6108&lt;=MineCount*Days</f>
        <v/>
      </c>
      <c r="C6108">
        <f>IF(B6108,INT((A6108-1)/Days)+1,"")</f>
        <v/>
      </c>
      <c r="D6108">
        <f>IF(B6108,MOD(A6108-1,Days),"")</f>
        <v/>
      </c>
      <c r="E6108" s="16">
        <f>IF(B6108,StartDate+D6108,"")</f>
        <v/>
      </c>
      <c r="F6108">
        <f>IF(B6108,MAX(MOD(SIN(Seed*0.1373+C6108*12.9898+D6108*78.233)*43758.5453,1),1E-9),"")</f>
        <v/>
      </c>
      <c r="G6108">
        <f>IF(B6108,MOD(SIN(Seed*0.5917+C6108*39.3468+D6108*11.135)*24634.6345,1),"")</f>
        <v/>
      </c>
      <c r="H6108">
        <f>IF(B6108,SQRT(-2*LN(F6108))*COS(2*PI()*G6108),"")</f>
        <v/>
      </c>
      <c r="I6108">
        <f>IF(B6108,IF(D6108=0,H6108,Rho*I6107+SQRT(1-Rho^2)*H6108),"")</f>
        <v/>
      </c>
      <c r="J6108">
        <f>IF(B6108,IF(Dist="Normal",DistA+DistB*I6108,DistA+(DistB-DistA)*NORMSDIST(I6108)),"")</f>
        <v/>
      </c>
      <c r="K6108">
        <f>IF(B6108,INDEX(MineScale,C6108),"")</f>
        <v/>
      </c>
      <c r="L6108">
        <f>IF(B6108,INDEX(Dow,1,WEEKDAY(E6108,2)),"")</f>
        <v/>
      </c>
      <c r="M6108">
        <f>IF(B6108,(1+Trend)^D6108,"")</f>
        <v/>
      </c>
      <c r="N6108">
        <f>IF(B6108,EXP(SUMPRODUCT(LN(1+(EvEff-1)*INDEX(Affected,0,C6108)*EXP(-((E6108-EvCenter)^2)/(2*EvSigma^2))))),"")</f>
        <v/>
      </c>
      <c r="O6108">
        <f>IF(B6108,ROUND(MAX(0,J6108*K6108*L6108*M6108*N6108),2),"")</f>
        <v/>
      </c>
    </row>
    <row r="6109">
      <c r="A6109" t="n">
        <v>6108</v>
      </c>
      <c r="B6109">
        <f>A6109&lt;=MineCount*Days</f>
        <v/>
      </c>
      <c r="C6109">
        <f>IF(B6109,INT((A6109-1)/Days)+1,"")</f>
        <v/>
      </c>
      <c r="D6109">
        <f>IF(B6109,MOD(A6109-1,Days),"")</f>
        <v/>
      </c>
      <c r="E6109" s="16">
        <f>IF(B6109,StartDate+D6109,"")</f>
        <v/>
      </c>
      <c r="F6109">
        <f>IF(B6109,MAX(MOD(SIN(Seed*0.1373+C6109*12.9898+D6109*78.233)*43758.5453,1),1E-9),"")</f>
        <v/>
      </c>
      <c r="G6109">
        <f>IF(B6109,MOD(SIN(Seed*0.5917+C6109*39.3468+D6109*11.135)*24634.6345,1),"")</f>
        <v/>
      </c>
      <c r="H6109">
        <f>IF(B6109,SQRT(-2*LN(F6109))*COS(2*PI()*G6109),"")</f>
        <v/>
      </c>
      <c r="I6109">
        <f>IF(B6109,IF(D6109=0,H6109,Rho*I6108+SQRT(1-Rho^2)*H6109),"")</f>
        <v/>
      </c>
      <c r="J6109">
        <f>IF(B6109,IF(Dist="Normal",DistA+DistB*I6109,DistA+(DistB-DistA)*NORMSDIST(I6109)),"")</f>
        <v/>
      </c>
      <c r="K6109">
        <f>IF(B6109,INDEX(MineScale,C6109),"")</f>
        <v/>
      </c>
      <c r="L6109">
        <f>IF(B6109,INDEX(Dow,1,WEEKDAY(E6109,2)),"")</f>
        <v/>
      </c>
      <c r="M6109">
        <f>IF(B6109,(1+Trend)^D6109,"")</f>
        <v/>
      </c>
      <c r="N6109">
        <f>IF(B6109,EXP(SUMPRODUCT(LN(1+(EvEff-1)*INDEX(Affected,0,C6109)*EXP(-((E6109-EvCenter)^2)/(2*EvSigma^2))))),"")</f>
        <v/>
      </c>
      <c r="O6109">
        <f>IF(B6109,ROUND(MAX(0,J6109*K6109*L6109*M6109*N6109),2),"")</f>
        <v/>
      </c>
    </row>
    <row r="6110">
      <c r="A6110" t="n">
        <v>6109</v>
      </c>
      <c r="B6110">
        <f>A6110&lt;=MineCount*Days</f>
        <v/>
      </c>
      <c r="C6110">
        <f>IF(B6110,INT((A6110-1)/Days)+1,"")</f>
        <v/>
      </c>
      <c r="D6110">
        <f>IF(B6110,MOD(A6110-1,Days),"")</f>
        <v/>
      </c>
      <c r="E6110" s="16">
        <f>IF(B6110,StartDate+D6110,"")</f>
        <v/>
      </c>
      <c r="F6110">
        <f>IF(B6110,MAX(MOD(SIN(Seed*0.1373+C6110*12.9898+D6110*78.233)*43758.5453,1),1E-9),"")</f>
        <v/>
      </c>
      <c r="G6110">
        <f>IF(B6110,MOD(SIN(Seed*0.5917+C6110*39.3468+D6110*11.135)*24634.6345,1),"")</f>
        <v/>
      </c>
      <c r="H6110">
        <f>IF(B6110,SQRT(-2*LN(F6110))*COS(2*PI()*G6110),"")</f>
        <v/>
      </c>
      <c r="I6110">
        <f>IF(B6110,IF(D6110=0,H6110,Rho*I6109+SQRT(1-Rho^2)*H6110),"")</f>
        <v/>
      </c>
      <c r="J6110">
        <f>IF(B6110,IF(Dist="Normal",DistA+DistB*I6110,DistA+(DistB-DistA)*NORMSDIST(I6110)),"")</f>
        <v/>
      </c>
      <c r="K6110">
        <f>IF(B6110,INDEX(MineScale,C6110),"")</f>
        <v/>
      </c>
      <c r="L6110">
        <f>IF(B6110,INDEX(Dow,1,WEEKDAY(E6110,2)),"")</f>
        <v/>
      </c>
      <c r="M6110">
        <f>IF(B6110,(1+Trend)^D6110,"")</f>
        <v/>
      </c>
      <c r="N6110">
        <f>IF(B6110,EXP(SUMPRODUCT(LN(1+(EvEff-1)*INDEX(Affected,0,C6110)*EXP(-((E6110-EvCenter)^2)/(2*EvSigma^2))))),"")</f>
        <v/>
      </c>
      <c r="O6110">
        <f>IF(B6110,ROUND(MAX(0,J6110*K6110*L6110*M6110*N6110),2),"")</f>
        <v/>
      </c>
    </row>
    <row r="6111">
      <c r="A6111" t="n">
        <v>6110</v>
      </c>
      <c r="B6111">
        <f>A6111&lt;=MineCount*Days</f>
        <v/>
      </c>
      <c r="C6111">
        <f>IF(B6111,INT((A6111-1)/Days)+1,"")</f>
        <v/>
      </c>
      <c r="D6111">
        <f>IF(B6111,MOD(A6111-1,Days),"")</f>
        <v/>
      </c>
      <c r="E6111" s="16">
        <f>IF(B6111,StartDate+D6111,"")</f>
        <v/>
      </c>
      <c r="F6111">
        <f>IF(B6111,MAX(MOD(SIN(Seed*0.1373+C6111*12.9898+D6111*78.233)*43758.5453,1),1E-9),"")</f>
        <v/>
      </c>
      <c r="G6111">
        <f>IF(B6111,MOD(SIN(Seed*0.5917+C6111*39.3468+D6111*11.135)*24634.6345,1),"")</f>
        <v/>
      </c>
      <c r="H6111">
        <f>IF(B6111,SQRT(-2*LN(F6111))*COS(2*PI()*G6111),"")</f>
        <v/>
      </c>
      <c r="I6111">
        <f>IF(B6111,IF(D6111=0,H6111,Rho*I6110+SQRT(1-Rho^2)*H6111),"")</f>
        <v/>
      </c>
      <c r="J6111">
        <f>IF(B6111,IF(Dist="Normal",DistA+DistB*I6111,DistA+(DistB-DistA)*NORMSDIST(I6111)),"")</f>
        <v/>
      </c>
      <c r="K6111">
        <f>IF(B6111,INDEX(MineScale,C6111),"")</f>
        <v/>
      </c>
      <c r="L6111">
        <f>IF(B6111,INDEX(Dow,1,WEEKDAY(E6111,2)),"")</f>
        <v/>
      </c>
      <c r="M6111">
        <f>IF(B6111,(1+Trend)^D6111,"")</f>
        <v/>
      </c>
      <c r="N6111">
        <f>IF(B6111,EXP(SUMPRODUCT(LN(1+(EvEff-1)*INDEX(Affected,0,C6111)*EXP(-((E6111-EvCenter)^2)/(2*EvSigma^2))))),"")</f>
        <v/>
      </c>
      <c r="O6111">
        <f>IF(B6111,ROUND(MAX(0,J6111*K6111*L6111*M6111*N6111),2),"")</f>
        <v/>
      </c>
    </row>
    <row r="6112">
      <c r="A6112" t="n">
        <v>6111</v>
      </c>
      <c r="B6112">
        <f>A6112&lt;=MineCount*Days</f>
        <v/>
      </c>
      <c r="C6112">
        <f>IF(B6112,INT((A6112-1)/Days)+1,"")</f>
        <v/>
      </c>
      <c r="D6112">
        <f>IF(B6112,MOD(A6112-1,Days),"")</f>
        <v/>
      </c>
      <c r="E6112" s="16">
        <f>IF(B6112,StartDate+D6112,"")</f>
        <v/>
      </c>
      <c r="F6112">
        <f>IF(B6112,MAX(MOD(SIN(Seed*0.1373+C6112*12.9898+D6112*78.233)*43758.5453,1),1E-9),"")</f>
        <v/>
      </c>
      <c r="G6112">
        <f>IF(B6112,MOD(SIN(Seed*0.5917+C6112*39.3468+D6112*11.135)*24634.6345,1),"")</f>
        <v/>
      </c>
      <c r="H6112">
        <f>IF(B6112,SQRT(-2*LN(F6112))*COS(2*PI()*G6112),"")</f>
        <v/>
      </c>
      <c r="I6112">
        <f>IF(B6112,IF(D6112=0,H6112,Rho*I6111+SQRT(1-Rho^2)*H6112),"")</f>
        <v/>
      </c>
      <c r="J6112">
        <f>IF(B6112,IF(Dist="Normal",DistA+DistB*I6112,DistA+(DistB-DistA)*NORMSDIST(I6112)),"")</f>
        <v/>
      </c>
      <c r="K6112">
        <f>IF(B6112,INDEX(MineScale,C6112),"")</f>
        <v/>
      </c>
      <c r="L6112">
        <f>IF(B6112,INDEX(Dow,1,WEEKDAY(E6112,2)),"")</f>
        <v/>
      </c>
      <c r="M6112">
        <f>IF(B6112,(1+Trend)^D6112,"")</f>
        <v/>
      </c>
      <c r="N6112">
        <f>IF(B6112,EXP(SUMPRODUCT(LN(1+(EvEff-1)*INDEX(Affected,0,C6112)*EXP(-((E6112-EvCenter)^2)/(2*EvSigma^2))))),"")</f>
        <v/>
      </c>
      <c r="O6112">
        <f>IF(B6112,ROUND(MAX(0,J6112*K6112*L6112*M6112*N6112),2),"")</f>
        <v/>
      </c>
    </row>
    <row r="6113">
      <c r="A6113" t="n">
        <v>6112</v>
      </c>
      <c r="B6113">
        <f>A6113&lt;=MineCount*Days</f>
        <v/>
      </c>
      <c r="C6113">
        <f>IF(B6113,INT((A6113-1)/Days)+1,"")</f>
        <v/>
      </c>
      <c r="D6113">
        <f>IF(B6113,MOD(A6113-1,Days),"")</f>
        <v/>
      </c>
      <c r="E6113" s="16">
        <f>IF(B6113,StartDate+D6113,"")</f>
        <v/>
      </c>
      <c r="F6113">
        <f>IF(B6113,MAX(MOD(SIN(Seed*0.1373+C6113*12.9898+D6113*78.233)*43758.5453,1),1E-9),"")</f>
        <v/>
      </c>
      <c r="G6113">
        <f>IF(B6113,MOD(SIN(Seed*0.5917+C6113*39.3468+D6113*11.135)*24634.6345,1),"")</f>
        <v/>
      </c>
      <c r="H6113">
        <f>IF(B6113,SQRT(-2*LN(F6113))*COS(2*PI()*G6113),"")</f>
        <v/>
      </c>
      <c r="I6113">
        <f>IF(B6113,IF(D6113=0,H6113,Rho*I6112+SQRT(1-Rho^2)*H6113),"")</f>
        <v/>
      </c>
      <c r="J6113">
        <f>IF(B6113,IF(Dist="Normal",DistA+DistB*I6113,DistA+(DistB-DistA)*NORMSDIST(I6113)),"")</f>
        <v/>
      </c>
      <c r="K6113">
        <f>IF(B6113,INDEX(MineScale,C6113),"")</f>
        <v/>
      </c>
      <c r="L6113">
        <f>IF(B6113,INDEX(Dow,1,WEEKDAY(E6113,2)),"")</f>
        <v/>
      </c>
      <c r="M6113">
        <f>IF(B6113,(1+Trend)^D6113,"")</f>
        <v/>
      </c>
      <c r="N6113">
        <f>IF(B6113,EXP(SUMPRODUCT(LN(1+(EvEff-1)*INDEX(Affected,0,C6113)*EXP(-((E6113-EvCenter)^2)/(2*EvSigma^2))))),"")</f>
        <v/>
      </c>
      <c r="O6113">
        <f>IF(B6113,ROUND(MAX(0,J6113*K6113*L6113*M6113*N6113),2),"")</f>
        <v/>
      </c>
    </row>
    <row r="6114">
      <c r="A6114" t="n">
        <v>6113</v>
      </c>
      <c r="B6114">
        <f>A6114&lt;=MineCount*Days</f>
        <v/>
      </c>
      <c r="C6114">
        <f>IF(B6114,INT((A6114-1)/Days)+1,"")</f>
        <v/>
      </c>
      <c r="D6114">
        <f>IF(B6114,MOD(A6114-1,Days),"")</f>
        <v/>
      </c>
      <c r="E6114" s="16">
        <f>IF(B6114,StartDate+D6114,"")</f>
        <v/>
      </c>
      <c r="F6114">
        <f>IF(B6114,MAX(MOD(SIN(Seed*0.1373+C6114*12.9898+D6114*78.233)*43758.5453,1),1E-9),"")</f>
        <v/>
      </c>
      <c r="G6114">
        <f>IF(B6114,MOD(SIN(Seed*0.5917+C6114*39.3468+D6114*11.135)*24634.6345,1),"")</f>
        <v/>
      </c>
      <c r="H6114">
        <f>IF(B6114,SQRT(-2*LN(F6114))*COS(2*PI()*G6114),"")</f>
        <v/>
      </c>
      <c r="I6114">
        <f>IF(B6114,IF(D6114=0,H6114,Rho*I6113+SQRT(1-Rho^2)*H6114),"")</f>
        <v/>
      </c>
      <c r="J6114">
        <f>IF(B6114,IF(Dist="Normal",DistA+DistB*I6114,DistA+(DistB-DistA)*NORMSDIST(I6114)),"")</f>
        <v/>
      </c>
      <c r="K6114">
        <f>IF(B6114,INDEX(MineScale,C6114),"")</f>
        <v/>
      </c>
      <c r="L6114">
        <f>IF(B6114,INDEX(Dow,1,WEEKDAY(E6114,2)),"")</f>
        <v/>
      </c>
      <c r="M6114">
        <f>IF(B6114,(1+Trend)^D6114,"")</f>
        <v/>
      </c>
      <c r="N6114">
        <f>IF(B6114,EXP(SUMPRODUCT(LN(1+(EvEff-1)*INDEX(Affected,0,C6114)*EXP(-((E6114-EvCenter)^2)/(2*EvSigma^2))))),"")</f>
        <v/>
      </c>
      <c r="O6114">
        <f>IF(B6114,ROUND(MAX(0,J6114*K6114*L6114*M6114*N6114),2),"")</f>
        <v/>
      </c>
    </row>
    <row r="6115">
      <c r="A6115" t="n">
        <v>6114</v>
      </c>
      <c r="B6115">
        <f>A6115&lt;=MineCount*Days</f>
        <v/>
      </c>
      <c r="C6115">
        <f>IF(B6115,INT((A6115-1)/Days)+1,"")</f>
        <v/>
      </c>
      <c r="D6115">
        <f>IF(B6115,MOD(A6115-1,Days),"")</f>
        <v/>
      </c>
      <c r="E6115" s="16">
        <f>IF(B6115,StartDate+D6115,"")</f>
        <v/>
      </c>
      <c r="F6115">
        <f>IF(B6115,MAX(MOD(SIN(Seed*0.1373+C6115*12.9898+D6115*78.233)*43758.5453,1),1E-9),"")</f>
        <v/>
      </c>
      <c r="G6115">
        <f>IF(B6115,MOD(SIN(Seed*0.5917+C6115*39.3468+D6115*11.135)*24634.6345,1),"")</f>
        <v/>
      </c>
      <c r="H6115">
        <f>IF(B6115,SQRT(-2*LN(F6115))*COS(2*PI()*G6115),"")</f>
        <v/>
      </c>
      <c r="I6115">
        <f>IF(B6115,IF(D6115=0,H6115,Rho*I6114+SQRT(1-Rho^2)*H6115),"")</f>
        <v/>
      </c>
      <c r="J6115">
        <f>IF(B6115,IF(Dist="Normal",DistA+DistB*I6115,DistA+(DistB-DistA)*NORMSDIST(I6115)),"")</f>
        <v/>
      </c>
      <c r="K6115">
        <f>IF(B6115,INDEX(MineScale,C6115),"")</f>
        <v/>
      </c>
      <c r="L6115">
        <f>IF(B6115,INDEX(Dow,1,WEEKDAY(E6115,2)),"")</f>
        <v/>
      </c>
      <c r="M6115">
        <f>IF(B6115,(1+Trend)^D6115,"")</f>
        <v/>
      </c>
      <c r="N6115">
        <f>IF(B6115,EXP(SUMPRODUCT(LN(1+(EvEff-1)*INDEX(Affected,0,C6115)*EXP(-((E6115-EvCenter)^2)/(2*EvSigma^2))))),"")</f>
        <v/>
      </c>
      <c r="O6115">
        <f>IF(B6115,ROUND(MAX(0,J6115*K6115*L6115*M6115*N6115),2),"")</f>
        <v/>
      </c>
    </row>
    <row r="6116">
      <c r="A6116" t="n">
        <v>6115</v>
      </c>
      <c r="B6116">
        <f>A6116&lt;=MineCount*Days</f>
        <v/>
      </c>
      <c r="C6116">
        <f>IF(B6116,INT((A6116-1)/Days)+1,"")</f>
        <v/>
      </c>
      <c r="D6116">
        <f>IF(B6116,MOD(A6116-1,Days),"")</f>
        <v/>
      </c>
      <c r="E6116" s="16">
        <f>IF(B6116,StartDate+D6116,"")</f>
        <v/>
      </c>
      <c r="F6116">
        <f>IF(B6116,MAX(MOD(SIN(Seed*0.1373+C6116*12.9898+D6116*78.233)*43758.5453,1),1E-9),"")</f>
        <v/>
      </c>
      <c r="G6116">
        <f>IF(B6116,MOD(SIN(Seed*0.5917+C6116*39.3468+D6116*11.135)*24634.6345,1),"")</f>
        <v/>
      </c>
      <c r="H6116">
        <f>IF(B6116,SQRT(-2*LN(F6116))*COS(2*PI()*G6116),"")</f>
        <v/>
      </c>
      <c r="I6116">
        <f>IF(B6116,IF(D6116=0,H6116,Rho*I6115+SQRT(1-Rho^2)*H6116),"")</f>
        <v/>
      </c>
      <c r="J6116">
        <f>IF(B6116,IF(Dist="Normal",DistA+DistB*I6116,DistA+(DistB-DistA)*NORMSDIST(I6116)),"")</f>
        <v/>
      </c>
      <c r="K6116">
        <f>IF(B6116,INDEX(MineScale,C6116),"")</f>
        <v/>
      </c>
      <c r="L6116">
        <f>IF(B6116,INDEX(Dow,1,WEEKDAY(E6116,2)),"")</f>
        <v/>
      </c>
      <c r="M6116">
        <f>IF(B6116,(1+Trend)^D6116,"")</f>
        <v/>
      </c>
      <c r="N6116">
        <f>IF(B6116,EXP(SUMPRODUCT(LN(1+(EvEff-1)*INDEX(Affected,0,C6116)*EXP(-((E6116-EvCenter)^2)/(2*EvSigma^2))))),"")</f>
        <v/>
      </c>
      <c r="O6116">
        <f>IF(B6116,ROUND(MAX(0,J6116*K6116*L6116*M6116*N6116),2),"")</f>
        <v/>
      </c>
    </row>
    <row r="6117">
      <c r="A6117" t="n">
        <v>6116</v>
      </c>
      <c r="B6117">
        <f>A6117&lt;=MineCount*Days</f>
        <v/>
      </c>
      <c r="C6117">
        <f>IF(B6117,INT((A6117-1)/Days)+1,"")</f>
        <v/>
      </c>
      <c r="D6117">
        <f>IF(B6117,MOD(A6117-1,Days),"")</f>
        <v/>
      </c>
      <c r="E6117" s="16">
        <f>IF(B6117,StartDate+D6117,"")</f>
        <v/>
      </c>
      <c r="F6117">
        <f>IF(B6117,MAX(MOD(SIN(Seed*0.1373+C6117*12.9898+D6117*78.233)*43758.5453,1),1E-9),"")</f>
        <v/>
      </c>
      <c r="G6117">
        <f>IF(B6117,MOD(SIN(Seed*0.5917+C6117*39.3468+D6117*11.135)*24634.6345,1),"")</f>
        <v/>
      </c>
      <c r="H6117">
        <f>IF(B6117,SQRT(-2*LN(F6117))*COS(2*PI()*G6117),"")</f>
        <v/>
      </c>
      <c r="I6117">
        <f>IF(B6117,IF(D6117=0,H6117,Rho*I6116+SQRT(1-Rho^2)*H6117),"")</f>
        <v/>
      </c>
      <c r="J6117">
        <f>IF(B6117,IF(Dist="Normal",DistA+DistB*I6117,DistA+(DistB-DistA)*NORMSDIST(I6117)),"")</f>
        <v/>
      </c>
      <c r="K6117">
        <f>IF(B6117,INDEX(MineScale,C6117),"")</f>
        <v/>
      </c>
      <c r="L6117">
        <f>IF(B6117,INDEX(Dow,1,WEEKDAY(E6117,2)),"")</f>
        <v/>
      </c>
      <c r="M6117">
        <f>IF(B6117,(1+Trend)^D6117,"")</f>
        <v/>
      </c>
      <c r="N6117">
        <f>IF(B6117,EXP(SUMPRODUCT(LN(1+(EvEff-1)*INDEX(Affected,0,C6117)*EXP(-((E6117-EvCenter)^2)/(2*EvSigma^2))))),"")</f>
        <v/>
      </c>
      <c r="O6117">
        <f>IF(B6117,ROUND(MAX(0,J6117*K6117*L6117*M6117*N6117),2),"")</f>
        <v/>
      </c>
    </row>
    <row r="6118">
      <c r="A6118" t="n">
        <v>6117</v>
      </c>
      <c r="B6118">
        <f>A6118&lt;=MineCount*Days</f>
        <v/>
      </c>
      <c r="C6118">
        <f>IF(B6118,INT((A6118-1)/Days)+1,"")</f>
        <v/>
      </c>
      <c r="D6118">
        <f>IF(B6118,MOD(A6118-1,Days),"")</f>
        <v/>
      </c>
      <c r="E6118" s="16">
        <f>IF(B6118,StartDate+D6118,"")</f>
        <v/>
      </c>
      <c r="F6118">
        <f>IF(B6118,MAX(MOD(SIN(Seed*0.1373+C6118*12.9898+D6118*78.233)*43758.5453,1),1E-9),"")</f>
        <v/>
      </c>
      <c r="G6118">
        <f>IF(B6118,MOD(SIN(Seed*0.5917+C6118*39.3468+D6118*11.135)*24634.6345,1),"")</f>
        <v/>
      </c>
      <c r="H6118">
        <f>IF(B6118,SQRT(-2*LN(F6118))*COS(2*PI()*G6118),"")</f>
        <v/>
      </c>
      <c r="I6118">
        <f>IF(B6118,IF(D6118=0,H6118,Rho*I6117+SQRT(1-Rho^2)*H6118),"")</f>
        <v/>
      </c>
      <c r="J6118">
        <f>IF(B6118,IF(Dist="Normal",DistA+DistB*I6118,DistA+(DistB-DistA)*NORMSDIST(I6118)),"")</f>
        <v/>
      </c>
      <c r="K6118">
        <f>IF(B6118,INDEX(MineScale,C6118),"")</f>
        <v/>
      </c>
      <c r="L6118">
        <f>IF(B6118,INDEX(Dow,1,WEEKDAY(E6118,2)),"")</f>
        <v/>
      </c>
      <c r="M6118">
        <f>IF(B6118,(1+Trend)^D6118,"")</f>
        <v/>
      </c>
      <c r="N6118">
        <f>IF(B6118,EXP(SUMPRODUCT(LN(1+(EvEff-1)*INDEX(Affected,0,C6118)*EXP(-((E6118-EvCenter)^2)/(2*EvSigma^2))))),"")</f>
        <v/>
      </c>
      <c r="O6118">
        <f>IF(B6118,ROUND(MAX(0,J6118*K6118*L6118*M6118*N6118),2),"")</f>
        <v/>
      </c>
    </row>
    <row r="6119">
      <c r="A6119" t="n">
        <v>6118</v>
      </c>
      <c r="B6119">
        <f>A6119&lt;=MineCount*Days</f>
        <v/>
      </c>
      <c r="C6119">
        <f>IF(B6119,INT((A6119-1)/Days)+1,"")</f>
        <v/>
      </c>
      <c r="D6119">
        <f>IF(B6119,MOD(A6119-1,Days),"")</f>
        <v/>
      </c>
      <c r="E6119" s="16">
        <f>IF(B6119,StartDate+D6119,"")</f>
        <v/>
      </c>
      <c r="F6119">
        <f>IF(B6119,MAX(MOD(SIN(Seed*0.1373+C6119*12.9898+D6119*78.233)*43758.5453,1),1E-9),"")</f>
        <v/>
      </c>
      <c r="G6119">
        <f>IF(B6119,MOD(SIN(Seed*0.5917+C6119*39.3468+D6119*11.135)*24634.6345,1),"")</f>
        <v/>
      </c>
      <c r="H6119">
        <f>IF(B6119,SQRT(-2*LN(F6119))*COS(2*PI()*G6119),"")</f>
        <v/>
      </c>
      <c r="I6119">
        <f>IF(B6119,IF(D6119=0,H6119,Rho*I6118+SQRT(1-Rho^2)*H6119),"")</f>
        <v/>
      </c>
      <c r="J6119">
        <f>IF(B6119,IF(Dist="Normal",DistA+DistB*I6119,DistA+(DistB-DistA)*NORMSDIST(I6119)),"")</f>
        <v/>
      </c>
      <c r="K6119">
        <f>IF(B6119,INDEX(MineScale,C6119),"")</f>
        <v/>
      </c>
      <c r="L6119">
        <f>IF(B6119,INDEX(Dow,1,WEEKDAY(E6119,2)),"")</f>
        <v/>
      </c>
      <c r="M6119">
        <f>IF(B6119,(1+Trend)^D6119,"")</f>
        <v/>
      </c>
      <c r="N6119">
        <f>IF(B6119,EXP(SUMPRODUCT(LN(1+(EvEff-1)*INDEX(Affected,0,C6119)*EXP(-((E6119-EvCenter)^2)/(2*EvSigma^2))))),"")</f>
        <v/>
      </c>
      <c r="O6119">
        <f>IF(B6119,ROUND(MAX(0,J6119*K6119*L6119*M6119*N6119),2),"")</f>
        <v/>
      </c>
    </row>
    <row r="6120">
      <c r="A6120" t="n">
        <v>6119</v>
      </c>
      <c r="B6120">
        <f>A6120&lt;=MineCount*Days</f>
        <v/>
      </c>
      <c r="C6120">
        <f>IF(B6120,INT((A6120-1)/Days)+1,"")</f>
        <v/>
      </c>
      <c r="D6120">
        <f>IF(B6120,MOD(A6120-1,Days),"")</f>
        <v/>
      </c>
      <c r="E6120" s="16">
        <f>IF(B6120,StartDate+D6120,"")</f>
        <v/>
      </c>
      <c r="F6120">
        <f>IF(B6120,MAX(MOD(SIN(Seed*0.1373+C6120*12.9898+D6120*78.233)*43758.5453,1),1E-9),"")</f>
        <v/>
      </c>
      <c r="G6120">
        <f>IF(B6120,MOD(SIN(Seed*0.5917+C6120*39.3468+D6120*11.135)*24634.6345,1),"")</f>
        <v/>
      </c>
      <c r="H6120">
        <f>IF(B6120,SQRT(-2*LN(F6120))*COS(2*PI()*G6120),"")</f>
        <v/>
      </c>
      <c r="I6120">
        <f>IF(B6120,IF(D6120=0,H6120,Rho*I6119+SQRT(1-Rho^2)*H6120),"")</f>
        <v/>
      </c>
      <c r="J6120">
        <f>IF(B6120,IF(Dist="Normal",DistA+DistB*I6120,DistA+(DistB-DistA)*NORMSDIST(I6120)),"")</f>
        <v/>
      </c>
      <c r="K6120">
        <f>IF(B6120,INDEX(MineScale,C6120),"")</f>
        <v/>
      </c>
      <c r="L6120">
        <f>IF(B6120,INDEX(Dow,1,WEEKDAY(E6120,2)),"")</f>
        <v/>
      </c>
      <c r="M6120">
        <f>IF(B6120,(1+Trend)^D6120,"")</f>
        <v/>
      </c>
      <c r="N6120">
        <f>IF(B6120,EXP(SUMPRODUCT(LN(1+(EvEff-1)*INDEX(Affected,0,C6120)*EXP(-((E6120-EvCenter)^2)/(2*EvSigma^2))))),"")</f>
        <v/>
      </c>
      <c r="O6120">
        <f>IF(B6120,ROUND(MAX(0,J6120*K6120*L6120*M6120*N6120),2),"")</f>
        <v/>
      </c>
    </row>
    <row r="6121">
      <c r="A6121" t="n">
        <v>6120</v>
      </c>
      <c r="B6121">
        <f>A6121&lt;=MineCount*Days</f>
        <v/>
      </c>
      <c r="C6121">
        <f>IF(B6121,INT((A6121-1)/Days)+1,"")</f>
        <v/>
      </c>
      <c r="D6121">
        <f>IF(B6121,MOD(A6121-1,Days),"")</f>
        <v/>
      </c>
      <c r="E6121" s="16">
        <f>IF(B6121,StartDate+D6121,"")</f>
        <v/>
      </c>
      <c r="F6121">
        <f>IF(B6121,MAX(MOD(SIN(Seed*0.1373+C6121*12.9898+D6121*78.233)*43758.5453,1),1E-9),"")</f>
        <v/>
      </c>
      <c r="G6121">
        <f>IF(B6121,MOD(SIN(Seed*0.5917+C6121*39.3468+D6121*11.135)*24634.6345,1),"")</f>
        <v/>
      </c>
      <c r="H6121">
        <f>IF(B6121,SQRT(-2*LN(F6121))*COS(2*PI()*G6121),"")</f>
        <v/>
      </c>
      <c r="I6121">
        <f>IF(B6121,IF(D6121=0,H6121,Rho*I6120+SQRT(1-Rho^2)*H6121),"")</f>
        <v/>
      </c>
      <c r="J6121">
        <f>IF(B6121,IF(Dist="Normal",DistA+DistB*I6121,DistA+(DistB-DistA)*NORMSDIST(I6121)),"")</f>
        <v/>
      </c>
      <c r="K6121">
        <f>IF(B6121,INDEX(MineScale,C6121),"")</f>
        <v/>
      </c>
      <c r="L6121">
        <f>IF(B6121,INDEX(Dow,1,WEEKDAY(E6121,2)),"")</f>
        <v/>
      </c>
      <c r="M6121">
        <f>IF(B6121,(1+Trend)^D6121,"")</f>
        <v/>
      </c>
      <c r="N6121">
        <f>IF(B6121,EXP(SUMPRODUCT(LN(1+(EvEff-1)*INDEX(Affected,0,C6121)*EXP(-((E6121-EvCenter)^2)/(2*EvSigma^2))))),"")</f>
        <v/>
      </c>
      <c r="O6121">
        <f>IF(B6121,ROUND(MAX(0,J6121*K6121*L6121*M6121*N6121),2),"")</f>
        <v/>
      </c>
    </row>
    <row r="6122">
      <c r="A6122" t="n">
        <v>6121</v>
      </c>
      <c r="B6122">
        <f>A6122&lt;=MineCount*Days</f>
        <v/>
      </c>
      <c r="C6122">
        <f>IF(B6122,INT((A6122-1)/Days)+1,"")</f>
        <v/>
      </c>
      <c r="D6122">
        <f>IF(B6122,MOD(A6122-1,Days),"")</f>
        <v/>
      </c>
      <c r="E6122" s="16">
        <f>IF(B6122,StartDate+D6122,"")</f>
        <v/>
      </c>
      <c r="F6122">
        <f>IF(B6122,MAX(MOD(SIN(Seed*0.1373+C6122*12.9898+D6122*78.233)*43758.5453,1),1E-9),"")</f>
        <v/>
      </c>
      <c r="G6122">
        <f>IF(B6122,MOD(SIN(Seed*0.5917+C6122*39.3468+D6122*11.135)*24634.6345,1),"")</f>
        <v/>
      </c>
      <c r="H6122">
        <f>IF(B6122,SQRT(-2*LN(F6122))*COS(2*PI()*G6122),"")</f>
        <v/>
      </c>
      <c r="I6122">
        <f>IF(B6122,IF(D6122=0,H6122,Rho*I6121+SQRT(1-Rho^2)*H6122),"")</f>
        <v/>
      </c>
      <c r="J6122">
        <f>IF(B6122,IF(Dist="Normal",DistA+DistB*I6122,DistA+(DistB-DistA)*NORMSDIST(I6122)),"")</f>
        <v/>
      </c>
      <c r="K6122">
        <f>IF(B6122,INDEX(MineScale,C6122),"")</f>
        <v/>
      </c>
      <c r="L6122">
        <f>IF(B6122,INDEX(Dow,1,WEEKDAY(E6122,2)),"")</f>
        <v/>
      </c>
      <c r="M6122">
        <f>IF(B6122,(1+Trend)^D6122,"")</f>
        <v/>
      </c>
      <c r="N6122">
        <f>IF(B6122,EXP(SUMPRODUCT(LN(1+(EvEff-1)*INDEX(Affected,0,C6122)*EXP(-((E6122-EvCenter)^2)/(2*EvSigma^2))))),"")</f>
        <v/>
      </c>
      <c r="O6122">
        <f>IF(B6122,ROUND(MAX(0,J6122*K6122*L6122*M6122*N6122),2),"")</f>
        <v/>
      </c>
    </row>
    <row r="6123">
      <c r="A6123" t="n">
        <v>6122</v>
      </c>
      <c r="B6123">
        <f>A6123&lt;=MineCount*Days</f>
        <v/>
      </c>
      <c r="C6123">
        <f>IF(B6123,INT((A6123-1)/Days)+1,"")</f>
        <v/>
      </c>
      <c r="D6123">
        <f>IF(B6123,MOD(A6123-1,Days),"")</f>
        <v/>
      </c>
      <c r="E6123" s="16">
        <f>IF(B6123,StartDate+D6123,"")</f>
        <v/>
      </c>
      <c r="F6123">
        <f>IF(B6123,MAX(MOD(SIN(Seed*0.1373+C6123*12.9898+D6123*78.233)*43758.5453,1),1E-9),"")</f>
        <v/>
      </c>
      <c r="G6123">
        <f>IF(B6123,MOD(SIN(Seed*0.5917+C6123*39.3468+D6123*11.135)*24634.6345,1),"")</f>
        <v/>
      </c>
      <c r="H6123">
        <f>IF(B6123,SQRT(-2*LN(F6123))*COS(2*PI()*G6123),"")</f>
        <v/>
      </c>
      <c r="I6123">
        <f>IF(B6123,IF(D6123=0,H6123,Rho*I6122+SQRT(1-Rho^2)*H6123),"")</f>
        <v/>
      </c>
      <c r="J6123">
        <f>IF(B6123,IF(Dist="Normal",DistA+DistB*I6123,DistA+(DistB-DistA)*NORMSDIST(I6123)),"")</f>
        <v/>
      </c>
      <c r="K6123">
        <f>IF(B6123,INDEX(MineScale,C6123),"")</f>
        <v/>
      </c>
      <c r="L6123">
        <f>IF(B6123,INDEX(Dow,1,WEEKDAY(E6123,2)),"")</f>
        <v/>
      </c>
      <c r="M6123">
        <f>IF(B6123,(1+Trend)^D6123,"")</f>
        <v/>
      </c>
      <c r="N6123">
        <f>IF(B6123,EXP(SUMPRODUCT(LN(1+(EvEff-1)*INDEX(Affected,0,C6123)*EXP(-((E6123-EvCenter)^2)/(2*EvSigma^2))))),"")</f>
        <v/>
      </c>
      <c r="O6123">
        <f>IF(B6123,ROUND(MAX(0,J6123*K6123*L6123*M6123*N6123),2),"")</f>
        <v/>
      </c>
    </row>
    <row r="6124">
      <c r="A6124" t="n">
        <v>6123</v>
      </c>
      <c r="B6124">
        <f>A6124&lt;=MineCount*Days</f>
        <v/>
      </c>
      <c r="C6124">
        <f>IF(B6124,INT((A6124-1)/Days)+1,"")</f>
        <v/>
      </c>
      <c r="D6124">
        <f>IF(B6124,MOD(A6124-1,Days),"")</f>
        <v/>
      </c>
      <c r="E6124" s="16">
        <f>IF(B6124,StartDate+D6124,"")</f>
        <v/>
      </c>
      <c r="F6124">
        <f>IF(B6124,MAX(MOD(SIN(Seed*0.1373+C6124*12.9898+D6124*78.233)*43758.5453,1),1E-9),"")</f>
        <v/>
      </c>
      <c r="G6124">
        <f>IF(B6124,MOD(SIN(Seed*0.5917+C6124*39.3468+D6124*11.135)*24634.6345,1),"")</f>
        <v/>
      </c>
      <c r="H6124">
        <f>IF(B6124,SQRT(-2*LN(F6124))*COS(2*PI()*G6124),"")</f>
        <v/>
      </c>
      <c r="I6124">
        <f>IF(B6124,IF(D6124=0,H6124,Rho*I6123+SQRT(1-Rho^2)*H6124),"")</f>
        <v/>
      </c>
      <c r="J6124">
        <f>IF(B6124,IF(Dist="Normal",DistA+DistB*I6124,DistA+(DistB-DistA)*NORMSDIST(I6124)),"")</f>
        <v/>
      </c>
      <c r="K6124">
        <f>IF(B6124,INDEX(MineScale,C6124),"")</f>
        <v/>
      </c>
      <c r="L6124">
        <f>IF(B6124,INDEX(Dow,1,WEEKDAY(E6124,2)),"")</f>
        <v/>
      </c>
      <c r="M6124">
        <f>IF(B6124,(1+Trend)^D6124,"")</f>
        <v/>
      </c>
      <c r="N6124">
        <f>IF(B6124,EXP(SUMPRODUCT(LN(1+(EvEff-1)*INDEX(Affected,0,C6124)*EXP(-((E6124-EvCenter)^2)/(2*EvSigma^2))))),"")</f>
        <v/>
      </c>
      <c r="O6124">
        <f>IF(B6124,ROUND(MAX(0,J6124*K6124*L6124*M6124*N6124),2),"")</f>
        <v/>
      </c>
    </row>
    <row r="6125">
      <c r="A6125" t="n">
        <v>6124</v>
      </c>
      <c r="B6125">
        <f>A6125&lt;=MineCount*Days</f>
        <v/>
      </c>
      <c r="C6125">
        <f>IF(B6125,INT((A6125-1)/Days)+1,"")</f>
        <v/>
      </c>
      <c r="D6125">
        <f>IF(B6125,MOD(A6125-1,Days),"")</f>
        <v/>
      </c>
      <c r="E6125" s="16">
        <f>IF(B6125,StartDate+D6125,"")</f>
        <v/>
      </c>
      <c r="F6125">
        <f>IF(B6125,MAX(MOD(SIN(Seed*0.1373+C6125*12.9898+D6125*78.233)*43758.5453,1),1E-9),"")</f>
        <v/>
      </c>
      <c r="G6125">
        <f>IF(B6125,MOD(SIN(Seed*0.5917+C6125*39.3468+D6125*11.135)*24634.6345,1),"")</f>
        <v/>
      </c>
      <c r="H6125">
        <f>IF(B6125,SQRT(-2*LN(F6125))*COS(2*PI()*G6125),"")</f>
        <v/>
      </c>
      <c r="I6125">
        <f>IF(B6125,IF(D6125=0,H6125,Rho*I6124+SQRT(1-Rho^2)*H6125),"")</f>
        <v/>
      </c>
      <c r="J6125">
        <f>IF(B6125,IF(Dist="Normal",DistA+DistB*I6125,DistA+(DistB-DistA)*NORMSDIST(I6125)),"")</f>
        <v/>
      </c>
      <c r="K6125">
        <f>IF(B6125,INDEX(MineScale,C6125),"")</f>
        <v/>
      </c>
      <c r="L6125">
        <f>IF(B6125,INDEX(Dow,1,WEEKDAY(E6125,2)),"")</f>
        <v/>
      </c>
      <c r="M6125">
        <f>IF(B6125,(1+Trend)^D6125,"")</f>
        <v/>
      </c>
      <c r="N6125">
        <f>IF(B6125,EXP(SUMPRODUCT(LN(1+(EvEff-1)*INDEX(Affected,0,C6125)*EXP(-((E6125-EvCenter)^2)/(2*EvSigma^2))))),"")</f>
        <v/>
      </c>
      <c r="O6125">
        <f>IF(B6125,ROUND(MAX(0,J6125*K6125*L6125*M6125*N6125),2),"")</f>
        <v/>
      </c>
    </row>
    <row r="6126">
      <c r="A6126" t="n">
        <v>6125</v>
      </c>
      <c r="B6126">
        <f>A6126&lt;=MineCount*Days</f>
        <v/>
      </c>
      <c r="C6126">
        <f>IF(B6126,INT((A6126-1)/Days)+1,"")</f>
        <v/>
      </c>
      <c r="D6126">
        <f>IF(B6126,MOD(A6126-1,Days),"")</f>
        <v/>
      </c>
      <c r="E6126" s="16">
        <f>IF(B6126,StartDate+D6126,"")</f>
        <v/>
      </c>
      <c r="F6126">
        <f>IF(B6126,MAX(MOD(SIN(Seed*0.1373+C6126*12.9898+D6126*78.233)*43758.5453,1),1E-9),"")</f>
        <v/>
      </c>
      <c r="G6126">
        <f>IF(B6126,MOD(SIN(Seed*0.5917+C6126*39.3468+D6126*11.135)*24634.6345,1),"")</f>
        <v/>
      </c>
      <c r="H6126">
        <f>IF(B6126,SQRT(-2*LN(F6126))*COS(2*PI()*G6126),"")</f>
        <v/>
      </c>
      <c r="I6126">
        <f>IF(B6126,IF(D6126=0,H6126,Rho*I6125+SQRT(1-Rho^2)*H6126),"")</f>
        <v/>
      </c>
      <c r="J6126">
        <f>IF(B6126,IF(Dist="Normal",DistA+DistB*I6126,DistA+(DistB-DistA)*NORMSDIST(I6126)),"")</f>
        <v/>
      </c>
      <c r="K6126">
        <f>IF(B6126,INDEX(MineScale,C6126),"")</f>
        <v/>
      </c>
      <c r="L6126">
        <f>IF(B6126,INDEX(Dow,1,WEEKDAY(E6126,2)),"")</f>
        <v/>
      </c>
      <c r="M6126">
        <f>IF(B6126,(1+Trend)^D6126,"")</f>
        <v/>
      </c>
      <c r="N6126">
        <f>IF(B6126,EXP(SUMPRODUCT(LN(1+(EvEff-1)*INDEX(Affected,0,C6126)*EXP(-((E6126-EvCenter)^2)/(2*EvSigma^2))))),"")</f>
        <v/>
      </c>
      <c r="O6126">
        <f>IF(B6126,ROUND(MAX(0,J6126*K6126*L6126*M6126*N6126),2),"")</f>
        <v/>
      </c>
    </row>
    <row r="6127">
      <c r="A6127" t="n">
        <v>6126</v>
      </c>
      <c r="B6127">
        <f>A6127&lt;=MineCount*Days</f>
        <v/>
      </c>
      <c r="C6127">
        <f>IF(B6127,INT((A6127-1)/Days)+1,"")</f>
        <v/>
      </c>
      <c r="D6127">
        <f>IF(B6127,MOD(A6127-1,Days),"")</f>
        <v/>
      </c>
      <c r="E6127" s="16">
        <f>IF(B6127,StartDate+D6127,"")</f>
        <v/>
      </c>
      <c r="F6127">
        <f>IF(B6127,MAX(MOD(SIN(Seed*0.1373+C6127*12.9898+D6127*78.233)*43758.5453,1),1E-9),"")</f>
        <v/>
      </c>
      <c r="G6127">
        <f>IF(B6127,MOD(SIN(Seed*0.5917+C6127*39.3468+D6127*11.135)*24634.6345,1),"")</f>
        <v/>
      </c>
      <c r="H6127">
        <f>IF(B6127,SQRT(-2*LN(F6127))*COS(2*PI()*G6127),"")</f>
        <v/>
      </c>
      <c r="I6127">
        <f>IF(B6127,IF(D6127=0,H6127,Rho*I6126+SQRT(1-Rho^2)*H6127),"")</f>
        <v/>
      </c>
      <c r="J6127">
        <f>IF(B6127,IF(Dist="Normal",DistA+DistB*I6127,DistA+(DistB-DistA)*NORMSDIST(I6127)),"")</f>
        <v/>
      </c>
      <c r="K6127">
        <f>IF(B6127,INDEX(MineScale,C6127),"")</f>
        <v/>
      </c>
      <c r="L6127">
        <f>IF(B6127,INDEX(Dow,1,WEEKDAY(E6127,2)),"")</f>
        <v/>
      </c>
      <c r="M6127">
        <f>IF(B6127,(1+Trend)^D6127,"")</f>
        <v/>
      </c>
      <c r="N6127">
        <f>IF(B6127,EXP(SUMPRODUCT(LN(1+(EvEff-1)*INDEX(Affected,0,C6127)*EXP(-((E6127-EvCenter)^2)/(2*EvSigma^2))))),"")</f>
        <v/>
      </c>
      <c r="O6127">
        <f>IF(B6127,ROUND(MAX(0,J6127*K6127*L6127*M6127*N6127),2),"")</f>
        <v/>
      </c>
    </row>
    <row r="6128">
      <c r="A6128" t="n">
        <v>6127</v>
      </c>
      <c r="B6128">
        <f>A6128&lt;=MineCount*Days</f>
        <v/>
      </c>
      <c r="C6128">
        <f>IF(B6128,INT((A6128-1)/Days)+1,"")</f>
        <v/>
      </c>
      <c r="D6128">
        <f>IF(B6128,MOD(A6128-1,Days),"")</f>
        <v/>
      </c>
      <c r="E6128" s="16">
        <f>IF(B6128,StartDate+D6128,"")</f>
        <v/>
      </c>
      <c r="F6128">
        <f>IF(B6128,MAX(MOD(SIN(Seed*0.1373+C6128*12.9898+D6128*78.233)*43758.5453,1),1E-9),"")</f>
        <v/>
      </c>
      <c r="G6128">
        <f>IF(B6128,MOD(SIN(Seed*0.5917+C6128*39.3468+D6128*11.135)*24634.6345,1),"")</f>
        <v/>
      </c>
      <c r="H6128">
        <f>IF(B6128,SQRT(-2*LN(F6128))*COS(2*PI()*G6128),"")</f>
        <v/>
      </c>
      <c r="I6128">
        <f>IF(B6128,IF(D6128=0,H6128,Rho*I6127+SQRT(1-Rho^2)*H6128),"")</f>
        <v/>
      </c>
      <c r="J6128">
        <f>IF(B6128,IF(Dist="Normal",DistA+DistB*I6128,DistA+(DistB-DistA)*NORMSDIST(I6128)),"")</f>
        <v/>
      </c>
      <c r="K6128">
        <f>IF(B6128,INDEX(MineScale,C6128),"")</f>
        <v/>
      </c>
      <c r="L6128">
        <f>IF(B6128,INDEX(Dow,1,WEEKDAY(E6128,2)),"")</f>
        <v/>
      </c>
      <c r="M6128">
        <f>IF(B6128,(1+Trend)^D6128,"")</f>
        <v/>
      </c>
      <c r="N6128">
        <f>IF(B6128,EXP(SUMPRODUCT(LN(1+(EvEff-1)*INDEX(Affected,0,C6128)*EXP(-((E6128-EvCenter)^2)/(2*EvSigma^2))))),"")</f>
        <v/>
      </c>
      <c r="O6128">
        <f>IF(B6128,ROUND(MAX(0,J6128*K6128*L6128*M6128*N6128),2),"")</f>
        <v/>
      </c>
    </row>
    <row r="6129">
      <c r="A6129" t="n">
        <v>6128</v>
      </c>
      <c r="B6129">
        <f>A6129&lt;=MineCount*Days</f>
        <v/>
      </c>
      <c r="C6129">
        <f>IF(B6129,INT((A6129-1)/Days)+1,"")</f>
        <v/>
      </c>
      <c r="D6129">
        <f>IF(B6129,MOD(A6129-1,Days),"")</f>
        <v/>
      </c>
      <c r="E6129" s="16">
        <f>IF(B6129,StartDate+D6129,"")</f>
        <v/>
      </c>
      <c r="F6129">
        <f>IF(B6129,MAX(MOD(SIN(Seed*0.1373+C6129*12.9898+D6129*78.233)*43758.5453,1),1E-9),"")</f>
        <v/>
      </c>
      <c r="G6129">
        <f>IF(B6129,MOD(SIN(Seed*0.5917+C6129*39.3468+D6129*11.135)*24634.6345,1),"")</f>
        <v/>
      </c>
      <c r="H6129">
        <f>IF(B6129,SQRT(-2*LN(F6129))*COS(2*PI()*G6129),"")</f>
        <v/>
      </c>
      <c r="I6129">
        <f>IF(B6129,IF(D6129=0,H6129,Rho*I6128+SQRT(1-Rho^2)*H6129),"")</f>
        <v/>
      </c>
      <c r="J6129">
        <f>IF(B6129,IF(Dist="Normal",DistA+DistB*I6129,DistA+(DistB-DistA)*NORMSDIST(I6129)),"")</f>
        <v/>
      </c>
      <c r="K6129">
        <f>IF(B6129,INDEX(MineScale,C6129),"")</f>
        <v/>
      </c>
      <c r="L6129">
        <f>IF(B6129,INDEX(Dow,1,WEEKDAY(E6129,2)),"")</f>
        <v/>
      </c>
      <c r="M6129">
        <f>IF(B6129,(1+Trend)^D6129,"")</f>
        <v/>
      </c>
      <c r="N6129">
        <f>IF(B6129,EXP(SUMPRODUCT(LN(1+(EvEff-1)*INDEX(Affected,0,C6129)*EXP(-((E6129-EvCenter)^2)/(2*EvSigma^2))))),"")</f>
        <v/>
      </c>
      <c r="O6129">
        <f>IF(B6129,ROUND(MAX(0,J6129*K6129*L6129*M6129*N6129),2),"")</f>
        <v/>
      </c>
    </row>
    <row r="6130">
      <c r="A6130" t="n">
        <v>6129</v>
      </c>
      <c r="B6130">
        <f>A6130&lt;=MineCount*Days</f>
        <v/>
      </c>
      <c r="C6130">
        <f>IF(B6130,INT((A6130-1)/Days)+1,"")</f>
        <v/>
      </c>
      <c r="D6130">
        <f>IF(B6130,MOD(A6130-1,Days),"")</f>
        <v/>
      </c>
      <c r="E6130" s="16">
        <f>IF(B6130,StartDate+D6130,"")</f>
        <v/>
      </c>
      <c r="F6130">
        <f>IF(B6130,MAX(MOD(SIN(Seed*0.1373+C6130*12.9898+D6130*78.233)*43758.5453,1),1E-9),"")</f>
        <v/>
      </c>
      <c r="G6130">
        <f>IF(B6130,MOD(SIN(Seed*0.5917+C6130*39.3468+D6130*11.135)*24634.6345,1),"")</f>
        <v/>
      </c>
      <c r="H6130">
        <f>IF(B6130,SQRT(-2*LN(F6130))*COS(2*PI()*G6130),"")</f>
        <v/>
      </c>
      <c r="I6130">
        <f>IF(B6130,IF(D6130=0,H6130,Rho*I6129+SQRT(1-Rho^2)*H6130),"")</f>
        <v/>
      </c>
      <c r="J6130">
        <f>IF(B6130,IF(Dist="Normal",DistA+DistB*I6130,DistA+(DistB-DistA)*NORMSDIST(I6130)),"")</f>
        <v/>
      </c>
      <c r="K6130">
        <f>IF(B6130,INDEX(MineScale,C6130),"")</f>
        <v/>
      </c>
      <c r="L6130">
        <f>IF(B6130,INDEX(Dow,1,WEEKDAY(E6130,2)),"")</f>
        <v/>
      </c>
      <c r="M6130">
        <f>IF(B6130,(1+Trend)^D6130,"")</f>
        <v/>
      </c>
      <c r="N6130">
        <f>IF(B6130,EXP(SUMPRODUCT(LN(1+(EvEff-1)*INDEX(Affected,0,C6130)*EXP(-((E6130-EvCenter)^2)/(2*EvSigma^2))))),"")</f>
        <v/>
      </c>
      <c r="O6130">
        <f>IF(B6130,ROUND(MAX(0,J6130*K6130*L6130*M6130*N6130),2),"")</f>
        <v/>
      </c>
    </row>
    <row r="6131">
      <c r="A6131" t="n">
        <v>6130</v>
      </c>
      <c r="B6131">
        <f>A6131&lt;=MineCount*Days</f>
        <v/>
      </c>
      <c r="C6131">
        <f>IF(B6131,INT((A6131-1)/Days)+1,"")</f>
        <v/>
      </c>
      <c r="D6131">
        <f>IF(B6131,MOD(A6131-1,Days),"")</f>
        <v/>
      </c>
      <c r="E6131" s="16">
        <f>IF(B6131,StartDate+D6131,"")</f>
        <v/>
      </c>
      <c r="F6131">
        <f>IF(B6131,MAX(MOD(SIN(Seed*0.1373+C6131*12.9898+D6131*78.233)*43758.5453,1),1E-9),"")</f>
        <v/>
      </c>
      <c r="G6131">
        <f>IF(B6131,MOD(SIN(Seed*0.5917+C6131*39.3468+D6131*11.135)*24634.6345,1),"")</f>
        <v/>
      </c>
      <c r="H6131">
        <f>IF(B6131,SQRT(-2*LN(F6131))*COS(2*PI()*G6131),"")</f>
        <v/>
      </c>
      <c r="I6131">
        <f>IF(B6131,IF(D6131=0,H6131,Rho*I6130+SQRT(1-Rho^2)*H6131),"")</f>
        <v/>
      </c>
      <c r="J6131">
        <f>IF(B6131,IF(Dist="Normal",DistA+DistB*I6131,DistA+(DistB-DistA)*NORMSDIST(I6131)),"")</f>
        <v/>
      </c>
      <c r="K6131">
        <f>IF(B6131,INDEX(MineScale,C6131),"")</f>
        <v/>
      </c>
      <c r="L6131">
        <f>IF(B6131,INDEX(Dow,1,WEEKDAY(E6131,2)),"")</f>
        <v/>
      </c>
      <c r="M6131">
        <f>IF(B6131,(1+Trend)^D6131,"")</f>
        <v/>
      </c>
      <c r="N6131">
        <f>IF(B6131,EXP(SUMPRODUCT(LN(1+(EvEff-1)*INDEX(Affected,0,C6131)*EXP(-((E6131-EvCenter)^2)/(2*EvSigma^2))))),"")</f>
        <v/>
      </c>
      <c r="O6131">
        <f>IF(B6131,ROUND(MAX(0,J6131*K6131*L6131*M6131*N6131),2),"")</f>
        <v/>
      </c>
    </row>
    <row r="6132">
      <c r="A6132" t="n">
        <v>6131</v>
      </c>
      <c r="B6132">
        <f>A6132&lt;=MineCount*Days</f>
        <v/>
      </c>
      <c r="C6132">
        <f>IF(B6132,INT((A6132-1)/Days)+1,"")</f>
        <v/>
      </c>
      <c r="D6132">
        <f>IF(B6132,MOD(A6132-1,Days),"")</f>
        <v/>
      </c>
      <c r="E6132" s="16">
        <f>IF(B6132,StartDate+D6132,"")</f>
        <v/>
      </c>
      <c r="F6132">
        <f>IF(B6132,MAX(MOD(SIN(Seed*0.1373+C6132*12.9898+D6132*78.233)*43758.5453,1),1E-9),"")</f>
        <v/>
      </c>
      <c r="G6132">
        <f>IF(B6132,MOD(SIN(Seed*0.5917+C6132*39.3468+D6132*11.135)*24634.6345,1),"")</f>
        <v/>
      </c>
      <c r="H6132">
        <f>IF(B6132,SQRT(-2*LN(F6132))*COS(2*PI()*G6132),"")</f>
        <v/>
      </c>
      <c r="I6132">
        <f>IF(B6132,IF(D6132=0,H6132,Rho*I6131+SQRT(1-Rho^2)*H6132),"")</f>
        <v/>
      </c>
      <c r="J6132">
        <f>IF(B6132,IF(Dist="Normal",DistA+DistB*I6132,DistA+(DistB-DistA)*NORMSDIST(I6132)),"")</f>
        <v/>
      </c>
      <c r="K6132">
        <f>IF(B6132,INDEX(MineScale,C6132),"")</f>
        <v/>
      </c>
      <c r="L6132">
        <f>IF(B6132,INDEX(Dow,1,WEEKDAY(E6132,2)),"")</f>
        <v/>
      </c>
      <c r="M6132">
        <f>IF(B6132,(1+Trend)^D6132,"")</f>
        <v/>
      </c>
      <c r="N6132">
        <f>IF(B6132,EXP(SUMPRODUCT(LN(1+(EvEff-1)*INDEX(Affected,0,C6132)*EXP(-((E6132-EvCenter)^2)/(2*EvSigma^2))))),"")</f>
        <v/>
      </c>
      <c r="O6132">
        <f>IF(B6132,ROUND(MAX(0,J6132*K6132*L6132*M6132*N6132),2),"")</f>
        <v/>
      </c>
    </row>
    <row r="6133">
      <c r="A6133" t="n">
        <v>6132</v>
      </c>
      <c r="B6133">
        <f>A6133&lt;=MineCount*Days</f>
        <v/>
      </c>
      <c r="C6133">
        <f>IF(B6133,INT((A6133-1)/Days)+1,"")</f>
        <v/>
      </c>
      <c r="D6133">
        <f>IF(B6133,MOD(A6133-1,Days),"")</f>
        <v/>
      </c>
      <c r="E6133" s="16">
        <f>IF(B6133,StartDate+D6133,"")</f>
        <v/>
      </c>
      <c r="F6133">
        <f>IF(B6133,MAX(MOD(SIN(Seed*0.1373+C6133*12.9898+D6133*78.233)*43758.5453,1),1E-9),"")</f>
        <v/>
      </c>
      <c r="G6133">
        <f>IF(B6133,MOD(SIN(Seed*0.5917+C6133*39.3468+D6133*11.135)*24634.6345,1),"")</f>
        <v/>
      </c>
      <c r="H6133">
        <f>IF(B6133,SQRT(-2*LN(F6133))*COS(2*PI()*G6133),"")</f>
        <v/>
      </c>
      <c r="I6133">
        <f>IF(B6133,IF(D6133=0,H6133,Rho*I6132+SQRT(1-Rho^2)*H6133),"")</f>
        <v/>
      </c>
      <c r="J6133">
        <f>IF(B6133,IF(Dist="Normal",DistA+DistB*I6133,DistA+(DistB-DistA)*NORMSDIST(I6133)),"")</f>
        <v/>
      </c>
      <c r="K6133">
        <f>IF(B6133,INDEX(MineScale,C6133),"")</f>
        <v/>
      </c>
      <c r="L6133">
        <f>IF(B6133,INDEX(Dow,1,WEEKDAY(E6133,2)),"")</f>
        <v/>
      </c>
      <c r="M6133">
        <f>IF(B6133,(1+Trend)^D6133,"")</f>
        <v/>
      </c>
      <c r="N6133">
        <f>IF(B6133,EXP(SUMPRODUCT(LN(1+(EvEff-1)*INDEX(Affected,0,C6133)*EXP(-((E6133-EvCenter)^2)/(2*EvSigma^2))))),"")</f>
        <v/>
      </c>
      <c r="O6133">
        <f>IF(B6133,ROUND(MAX(0,J6133*K6133*L6133*M6133*N6133),2),"")</f>
        <v/>
      </c>
    </row>
    <row r="6134">
      <c r="A6134" t="n">
        <v>6133</v>
      </c>
      <c r="B6134">
        <f>A6134&lt;=MineCount*Days</f>
        <v/>
      </c>
      <c r="C6134">
        <f>IF(B6134,INT((A6134-1)/Days)+1,"")</f>
        <v/>
      </c>
      <c r="D6134">
        <f>IF(B6134,MOD(A6134-1,Days),"")</f>
        <v/>
      </c>
      <c r="E6134" s="16">
        <f>IF(B6134,StartDate+D6134,"")</f>
        <v/>
      </c>
      <c r="F6134">
        <f>IF(B6134,MAX(MOD(SIN(Seed*0.1373+C6134*12.9898+D6134*78.233)*43758.5453,1),1E-9),"")</f>
        <v/>
      </c>
      <c r="G6134">
        <f>IF(B6134,MOD(SIN(Seed*0.5917+C6134*39.3468+D6134*11.135)*24634.6345,1),"")</f>
        <v/>
      </c>
      <c r="H6134">
        <f>IF(B6134,SQRT(-2*LN(F6134))*COS(2*PI()*G6134),"")</f>
        <v/>
      </c>
      <c r="I6134">
        <f>IF(B6134,IF(D6134=0,H6134,Rho*I6133+SQRT(1-Rho^2)*H6134),"")</f>
        <v/>
      </c>
      <c r="J6134">
        <f>IF(B6134,IF(Dist="Normal",DistA+DistB*I6134,DistA+(DistB-DistA)*NORMSDIST(I6134)),"")</f>
        <v/>
      </c>
      <c r="K6134">
        <f>IF(B6134,INDEX(MineScale,C6134),"")</f>
        <v/>
      </c>
      <c r="L6134">
        <f>IF(B6134,INDEX(Dow,1,WEEKDAY(E6134,2)),"")</f>
        <v/>
      </c>
      <c r="M6134">
        <f>IF(B6134,(1+Trend)^D6134,"")</f>
        <v/>
      </c>
      <c r="N6134">
        <f>IF(B6134,EXP(SUMPRODUCT(LN(1+(EvEff-1)*INDEX(Affected,0,C6134)*EXP(-((E6134-EvCenter)^2)/(2*EvSigma^2))))),"")</f>
        <v/>
      </c>
      <c r="O6134">
        <f>IF(B6134,ROUND(MAX(0,J6134*K6134*L6134*M6134*N6134),2),"")</f>
        <v/>
      </c>
    </row>
    <row r="6135">
      <c r="A6135" t="n">
        <v>6134</v>
      </c>
      <c r="B6135">
        <f>A6135&lt;=MineCount*Days</f>
        <v/>
      </c>
      <c r="C6135">
        <f>IF(B6135,INT((A6135-1)/Days)+1,"")</f>
        <v/>
      </c>
      <c r="D6135">
        <f>IF(B6135,MOD(A6135-1,Days),"")</f>
        <v/>
      </c>
      <c r="E6135" s="16">
        <f>IF(B6135,StartDate+D6135,"")</f>
        <v/>
      </c>
      <c r="F6135">
        <f>IF(B6135,MAX(MOD(SIN(Seed*0.1373+C6135*12.9898+D6135*78.233)*43758.5453,1),1E-9),"")</f>
        <v/>
      </c>
      <c r="G6135">
        <f>IF(B6135,MOD(SIN(Seed*0.5917+C6135*39.3468+D6135*11.135)*24634.6345,1),"")</f>
        <v/>
      </c>
      <c r="H6135">
        <f>IF(B6135,SQRT(-2*LN(F6135))*COS(2*PI()*G6135),"")</f>
        <v/>
      </c>
      <c r="I6135">
        <f>IF(B6135,IF(D6135=0,H6135,Rho*I6134+SQRT(1-Rho^2)*H6135),"")</f>
        <v/>
      </c>
      <c r="J6135">
        <f>IF(B6135,IF(Dist="Normal",DistA+DistB*I6135,DistA+(DistB-DistA)*NORMSDIST(I6135)),"")</f>
        <v/>
      </c>
      <c r="K6135">
        <f>IF(B6135,INDEX(MineScale,C6135),"")</f>
        <v/>
      </c>
      <c r="L6135">
        <f>IF(B6135,INDEX(Dow,1,WEEKDAY(E6135,2)),"")</f>
        <v/>
      </c>
      <c r="M6135">
        <f>IF(B6135,(1+Trend)^D6135,"")</f>
        <v/>
      </c>
      <c r="N6135">
        <f>IF(B6135,EXP(SUMPRODUCT(LN(1+(EvEff-1)*INDEX(Affected,0,C6135)*EXP(-((E6135-EvCenter)^2)/(2*EvSigma^2))))),"")</f>
        <v/>
      </c>
      <c r="O6135">
        <f>IF(B6135,ROUND(MAX(0,J6135*K6135*L6135*M6135*N6135),2),"")</f>
        <v/>
      </c>
    </row>
    <row r="6136">
      <c r="A6136" t="n">
        <v>6135</v>
      </c>
      <c r="B6136">
        <f>A6136&lt;=MineCount*Days</f>
        <v/>
      </c>
      <c r="C6136">
        <f>IF(B6136,INT((A6136-1)/Days)+1,"")</f>
        <v/>
      </c>
      <c r="D6136">
        <f>IF(B6136,MOD(A6136-1,Days),"")</f>
        <v/>
      </c>
      <c r="E6136" s="16">
        <f>IF(B6136,StartDate+D6136,"")</f>
        <v/>
      </c>
      <c r="F6136">
        <f>IF(B6136,MAX(MOD(SIN(Seed*0.1373+C6136*12.9898+D6136*78.233)*43758.5453,1),1E-9),"")</f>
        <v/>
      </c>
      <c r="G6136">
        <f>IF(B6136,MOD(SIN(Seed*0.5917+C6136*39.3468+D6136*11.135)*24634.6345,1),"")</f>
        <v/>
      </c>
      <c r="H6136">
        <f>IF(B6136,SQRT(-2*LN(F6136))*COS(2*PI()*G6136),"")</f>
        <v/>
      </c>
      <c r="I6136">
        <f>IF(B6136,IF(D6136=0,H6136,Rho*I6135+SQRT(1-Rho^2)*H6136),"")</f>
        <v/>
      </c>
      <c r="J6136">
        <f>IF(B6136,IF(Dist="Normal",DistA+DistB*I6136,DistA+(DistB-DistA)*NORMSDIST(I6136)),"")</f>
        <v/>
      </c>
      <c r="K6136">
        <f>IF(B6136,INDEX(MineScale,C6136),"")</f>
        <v/>
      </c>
      <c r="L6136">
        <f>IF(B6136,INDEX(Dow,1,WEEKDAY(E6136,2)),"")</f>
        <v/>
      </c>
      <c r="M6136">
        <f>IF(B6136,(1+Trend)^D6136,"")</f>
        <v/>
      </c>
      <c r="N6136">
        <f>IF(B6136,EXP(SUMPRODUCT(LN(1+(EvEff-1)*INDEX(Affected,0,C6136)*EXP(-((E6136-EvCenter)^2)/(2*EvSigma^2))))),"")</f>
        <v/>
      </c>
      <c r="O6136">
        <f>IF(B6136,ROUND(MAX(0,J6136*K6136*L6136*M6136*N6136),2),"")</f>
        <v/>
      </c>
    </row>
    <row r="6137">
      <c r="A6137" t="n">
        <v>6136</v>
      </c>
      <c r="B6137">
        <f>A6137&lt;=MineCount*Days</f>
        <v/>
      </c>
      <c r="C6137">
        <f>IF(B6137,INT((A6137-1)/Days)+1,"")</f>
        <v/>
      </c>
      <c r="D6137">
        <f>IF(B6137,MOD(A6137-1,Days),"")</f>
        <v/>
      </c>
      <c r="E6137" s="16">
        <f>IF(B6137,StartDate+D6137,"")</f>
        <v/>
      </c>
      <c r="F6137">
        <f>IF(B6137,MAX(MOD(SIN(Seed*0.1373+C6137*12.9898+D6137*78.233)*43758.5453,1),1E-9),"")</f>
        <v/>
      </c>
      <c r="G6137">
        <f>IF(B6137,MOD(SIN(Seed*0.5917+C6137*39.3468+D6137*11.135)*24634.6345,1),"")</f>
        <v/>
      </c>
      <c r="H6137">
        <f>IF(B6137,SQRT(-2*LN(F6137))*COS(2*PI()*G6137),"")</f>
        <v/>
      </c>
      <c r="I6137">
        <f>IF(B6137,IF(D6137=0,H6137,Rho*I6136+SQRT(1-Rho^2)*H6137),"")</f>
        <v/>
      </c>
      <c r="J6137">
        <f>IF(B6137,IF(Dist="Normal",DistA+DistB*I6137,DistA+(DistB-DistA)*NORMSDIST(I6137)),"")</f>
        <v/>
      </c>
      <c r="K6137">
        <f>IF(B6137,INDEX(MineScale,C6137),"")</f>
        <v/>
      </c>
      <c r="L6137">
        <f>IF(B6137,INDEX(Dow,1,WEEKDAY(E6137,2)),"")</f>
        <v/>
      </c>
      <c r="M6137">
        <f>IF(B6137,(1+Trend)^D6137,"")</f>
        <v/>
      </c>
      <c r="N6137">
        <f>IF(B6137,EXP(SUMPRODUCT(LN(1+(EvEff-1)*INDEX(Affected,0,C6137)*EXP(-((E6137-EvCenter)^2)/(2*EvSigma^2))))),"")</f>
        <v/>
      </c>
      <c r="O6137">
        <f>IF(B6137,ROUND(MAX(0,J6137*K6137*L6137*M6137*N6137),2),"")</f>
        <v/>
      </c>
    </row>
    <row r="6138">
      <c r="A6138" t="n">
        <v>6137</v>
      </c>
      <c r="B6138">
        <f>A6138&lt;=MineCount*Days</f>
        <v/>
      </c>
      <c r="C6138">
        <f>IF(B6138,INT((A6138-1)/Days)+1,"")</f>
        <v/>
      </c>
      <c r="D6138">
        <f>IF(B6138,MOD(A6138-1,Days),"")</f>
        <v/>
      </c>
      <c r="E6138" s="16">
        <f>IF(B6138,StartDate+D6138,"")</f>
        <v/>
      </c>
      <c r="F6138">
        <f>IF(B6138,MAX(MOD(SIN(Seed*0.1373+C6138*12.9898+D6138*78.233)*43758.5453,1),1E-9),"")</f>
        <v/>
      </c>
      <c r="G6138">
        <f>IF(B6138,MOD(SIN(Seed*0.5917+C6138*39.3468+D6138*11.135)*24634.6345,1),"")</f>
        <v/>
      </c>
      <c r="H6138">
        <f>IF(B6138,SQRT(-2*LN(F6138))*COS(2*PI()*G6138),"")</f>
        <v/>
      </c>
      <c r="I6138">
        <f>IF(B6138,IF(D6138=0,H6138,Rho*I6137+SQRT(1-Rho^2)*H6138),"")</f>
        <v/>
      </c>
      <c r="J6138">
        <f>IF(B6138,IF(Dist="Normal",DistA+DistB*I6138,DistA+(DistB-DistA)*NORMSDIST(I6138)),"")</f>
        <v/>
      </c>
      <c r="K6138">
        <f>IF(B6138,INDEX(MineScale,C6138),"")</f>
        <v/>
      </c>
      <c r="L6138">
        <f>IF(B6138,INDEX(Dow,1,WEEKDAY(E6138,2)),"")</f>
        <v/>
      </c>
      <c r="M6138">
        <f>IF(B6138,(1+Trend)^D6138,"")</f>
        <v/>
      </c>
      <c r="N6138">
        <f>IF(B6138,EXP(SUMPRODUCT(LN(1+(EvEff-1)*INDEX(Affected,0,C6138)*EXP(-((E6138-EvCenter)^2)/(2*EvSigma^2))))),"")</f>
        <v/>
      </c>
      <c r="O6138">
        <f>IF(B6138,ROUND(MAX(0,J6138*K6138*L6138*M6138*N6138),2),"")</f>
        <v/>
      </c>
    </row>
    <row r="6139">
      <c r="A6139" t="n">
        <v>6138</v>
      </c>
      <c r="B6139">
        <f>A6139&lt;=MineCount*Days</f>
        <v/>
      </c>
      <c r="C6139">
        <f>IF(B6139,INT((A6139-1)/Days)+1,"")</f>
        <v/>
      </c>
      <c r="D6139">
        <f>IF(B6139,MOD(A6139-1,Days),"")</f>
        <v/>
      </c>
      <c r="E6139" s="16">
        <f>IF(B6139,StartDate+D6139,"")</f>
        <v/>
      </c>
      <c r="F6139">
        <f>IF(B6139,MAX(MOD(SIN(Seed*0.1373+C6139*12.9898+D6139*78.233)*43758.5453,1),1E-9),"")</f>
        <v/>
      </c>
      <c r="G6139">
        <f>IF(B6139,MOD(SIN(Seed*0.5917+C6139*39.3468+D6139*11.135)*24634.6345,1),"")</f>
        <v/>
      </c>
      <c r="H6139">
        <f>IF(B6139,SQRT(-2*LN(F6139))*COS(2*PI()*G6139),"")</f>
        <v/>
      </c>
      <c r="I6139">
        <f>IF(B6139,IF(D6139=0,H6139,Rho*I6138+SQRT(1-Rho^2)*H6139),"")</f>
        <v/>
      </c>
      <c r="J6139">
        <f>IF(B6139,IF(Dist="Normal",DistA+DistB*I6139,DistA+(DistB-DistA)*NORMSDIST(I6139)),"")</f>
        <v/>
      </c>
      <c r="K6139">
        <f>IF(B6139,INDEX(MineScale,C6139),"")</f>
        <v/>
      </c>
      <c r="L6139">
        <f>IF(B6139,INDEX(Dow,1,WEEKDAY(E6139,2)),"")</f>
        <v/>
      </c>
      <c r="M6139">
        <f>IF(B6139,(1+Trend)^D6139,"")</f>
        <v/>
      </c>
      <c r="N6139">
        <f>IF(B6139,EXP(SUMPRODUCT(LN(1+(EvEff-1)*INDEX(Affected,0,C6139)*EXP(-((E6139-EvCenter)^2)/(2*EvSigma^2))))),"")</f>
        <v/>
      </c>
      <c r="O6139">
        <f>IF(B6139,ROUND(MAX(0,J6139*K6139*L6139*M6139*N6139),2),"")</f>
        <v/>
      </c>
    </row>
    <row r="6140">
      <c r="A6140" t="n">
        <v>6139</v>
      </c>
      <c r="B6140">
        <f>A6140&lt;=MineCount*Days</f>
        <v/>
      </c>
      <c r="C6140">
        <f>IF(B6140,INT((A6140-1)/Days)+1,"")</f>
        <v/>
      </c>
      <c r="D6140">
        <f>IF(B6140,MOD(A6140-1,Days),"")</f>
        <v/>
      </c>
      <c r="E6140" s="16">
        <f>IF(B6140,StartDate+D6140,"")</f>
        <v/>
      </c>
      <c r="F6140">
        <f>IF(B6140,MAX(MOD(SIN(Seed*0.1373+C6140*12.9898+D6140*78.233)*43758.5453,1),1E-9),"")</f>
        <v/>
      </c>
      <c r="G6140">
        <f>IF(B6140,MOD(SIN(Seed*0.5917+C6140*39.3468+D6140*11.135)*24634.6345,1),"")</f>
        <v/>
      </c>
      <c r="H6140">
        <f>IF(B6140,SQRT(-2*LN(F6140))*COS(2*PI()*G6140),"")</f>
        <v/>
      </c>
      <c r="I6140">
        <f>IF(B6140,IF(D6140=0,H6140,Rho*I6139+SQRT(1-Rho^2)*H6140),"")</f>
        <v/>
      </c>
      <c r="J6140">
        <f>IF(B6140,IF(Dist="Normal",DistA+DistB*I6140,DistA+(DistB-DistA)*NORMSDIST(I6140)),"")</f>
        <v/>
      </c>
      <c r="K6140">
        <f>IF(B6140,INDEX(MineScale,C6140),"")</f>
        <v/>
      </c>
      <c r="L6140">
        <f>IF(B6140,INDEX(Dow,1,WEEKDAY(E6140,2)),"")</f>
        <v/>
      </c>
      <c r="M6140">
        <f>IF(B6140,(1+Trend)^D6140,"")</f>
        <v/>
      </c>
      <c r="N6140">
        <f>IF(B6140,EXP(SUMPRODUCT(LN(1+(EvEff-1)*INDEX(Affected,0,C6140)*EXP(-((E6140-EvCenter)^2)/(2*EvSigma^2))))),"")</f>
        <v/>
      </c>
      <c r="O6140">
        <f>IF(B6140,ROUND(MAX(0,J6140*K6140*L6140*M6140*N6140),2),"")</f>
        <v/>
      </c>
    </row>
    <row r="6141">
      <c r="A6141" t="n">
        <v>6140</v>
      </c>
      <c r="B6141">
        <f>A6141&lt;=MineCount*Days</f>
        <v/>
      </c>
      <c r="C6141">
        <f>IF(B6141,INT((A6141-1)/Days)+1,"")</f>
        <v/>
      </c>
      <c r="D6141">
        <f>IF(B6141,MOD(A6141-1,Days),"")</f>
        <v/>
      </c>
      <c r="E6141" s="16">
        <f>IF(B6141,StartDate+D6141,"")</f>
        <v/>
      </c>
      <c r="F6141">
        <f>IF(B6141,MAX(MOD(SIN(Seed*0.1373+C6141*12.9898+D6141*78.233)*43758.5453,1),1E-9),"")</f>
        <v/>
      </c>
      <c r="G6141">
        <f>IF(B6141,MOD(SIN(Seed*0.5917+C6141*39.3468+D6141*11.135)*24634.6345,1),"")</f>
        <v/>
      </c>
      <c r="H6141">
        <f>IF(B6141,SQRT(-2*LN(F6141))*COS(2*PI()*G6141),"")</f>
        <v/>
      </c>
      <c r="I6141">
        <f>IF(B6141,IF(D6141=0,H6141,Rho*I6140+SQRT(1-Rho^2)*H6141),"")</f>
        <v/>
      </c>
      <c r="J6141">
        <f>IF(B6141,IF(Dist="Normal",DistA+DistB*I6141,DistA+(DistB-DistA)*NORMSDIST(I6141)),"")</f>
        <v/>
      </c>
      <c r="K6141">
        <f>IF(B6141,INDEX(MineScale,C6141),"")</f>
        <v/>
      </c>
      <c r="L6141">
        <f>IF(B6141,INDEX(Dow,1,WEEKDAY(E6141,2)),"")</f>
        <v/>
      </c>
      <c r="M6141">
        <f>IF(B6141,(1+Trend)^D6141,"")</f>
        <v/>
      </c>
      <c r="N6141">
        <f>IF(B6141,EXP(SUMPRODUCT(LN(1+(EvEff-1)*INDEX(Affected,0,C6141)*EXP(-((E6141-EvCenter)^2)/(2*EvSigma^2))))),"")</f>
        <v/>
      </c>
      <c r="O6141">
        <f>IF(B6141,ROUND(MAX(0,J6141*K6141*L6141*M6141*N6141),2),"")</f>
        <v/>
      </c>
    </row>
    <row r="6142">
      <c r="A6142" t="n">
        <v>6141</v>
      </c>
      <c r="B6142">
        <f>A6142&lt;=MineCount*Days</f>
        <v/>
      </c>
      <c r="C6142">
        <f>IF(B6142,INT((A6142-1)/Days)+1,"")</f>
        <v/>
      </c>
      <c r="D6142">
        <f>IF(B6142,MOD(A6142-1,Days),"")</f>
        <v/>
      </c>
      <c r="E6142" s="16">
        <f>IF(B6142,StartDate+D6142,"")</f>
        <v/>
      </c>
      <c r="F6142">
        <f>IF(B6142,MAX(MOD(SIN(Seed*0.1373+C6142*12.9898+D6142*78.233)*43758.5453,1),1E-9),"")</f>
        <v/>
      </c>
      <c r="G6142">
        <f>IF(B6142,MOD(SIN(Seed*0.5917+C6142*39.3468+D6142*11.135)*24634.6345,1),"")</f>
        <v/>
      </c>
      <c r="H6142">
        <f>IF(B6142,SQRT(-2*LN(F6142))*COS(2*PI()*G6142),"")</f>
        <v/>
      </c>
      <c r="I6142">
        <f>IF(B6142,IF(D6142=0,H6142,Rho*I6141+SQRT(1-Rho^2)*H6142),"")</f>
        <v/>
      </c>
      <c r="J6142">
        <f>IF(B6142,IF(Dist="Normal",DistA+DistB*I6142,DistA+(DistB-DistA)*NORMSDIST(I6142)),"")</f>
        <v/>
      </c>
      <c r="K6142">
        <f>IF(B6142,INDEX(MineScale,C6142),"")</f>
        <v/>
      </c>
      <c r="L6142">
        <f>IF(B6142,INDEX(Dow,1,WEEKDAY(E6142,2)),"")</f>
        <v/>
      </c>
      <c r="M6142">
        <f>IF(B6142,(1+Trend)^D6142,"")</f>
        <v/>
      </c>
      <c r="N6142">
        <f>IF(B6142,EXP(SUMPRODUCT(LN(1+(EvEff-1)*INDEX(Affected,0,C6142)*EXP(-((E6142-EvCenter)^2)/(2*EvSigma^2))))),"")</f>
        <v/>
      </c>
      <c r="O6142">
        <f>IF(B6142,ROUND(MAX(0,J6142*K6142*L6142*M6142*N6142),2),"")</f>
        <v/>
      </c>
    </row>
    <row r="6143">
      <c r="A6143" t="n">
        <v>6142</v>
      </c>
      <c r="B6143">
        <f>A6143&lt;=MineCount*Days</f>
        <v/>
      </c>
      <c r="C6143">
        <f>IF(B6143,INT((A6143-1)/Days)+1,"")</f>
        <v/>
      </c>
      <c r="D6143">
        <f>IF(B6143,MOD(A6143-1,Days),"")</f>
        <v/>
      </c>
      <c r="E6143" s="16">
        <f>IF(B6143,StartDate+D6143,"")</f>
        <v/>
      </c>
      <c r="F6143">
        <f>IF(B6143,MAX(MOD(SIN(Seed*0.1373+C6143*12.9898+D6143*78.233)*43758.5453,1),1E-9),"")</f>
        <v/>
      </c>
      <c r="G6143">
        <f>IF(B6143,MOD(SIN(Seed*0.5917+C6143*39.3468+D6143*11.135)*24634.6345,1),"")</f>
        <v/>
      </c>
      <c r="H6143">
        <f>IF(B6143,SQRT(-2*LN(F6143))*COS(2*PI()*G6143),"")</f>
        <v/>
      </c>
      <c r="I6143">
        <f>IF(B6143,IF(D6143=0,H6143,Rho*I6142+SQRT(1-Rho^2)*H6143),"")</f>
        <v/>
      </c>
      <c r="J6143">
        <f>IF(B6143,IF(Dist="Normal",DistA+DistB*I6143,DistA+(DistB-DistA)*NORMSDIST(I6143)),"")</f>
        <v/>
      </c>
      <c r="K6143">
        <f>IF(B6143,INDEX(MineScale,C6143),"")</f>
        <v/>
      </c>
      <c r="L6143">
        <f>IF(B6143,INDEX(Dow,1,WEEKDAY(E6143,2)),"")</f>
        <v/>
      </c>
      <c r="M6143">
        <f>IF(B6143,(1+Trend)^D6143,"")</f>
        <v/>
      </c>
      <c r="N6143">
        <f>IF(B6143,EXP(SUMPRODUCT(LN(1+(EvEff-1)*INDEX(Affected,0,C6143)*EXP(-((E6143-EvCenter)^2)/(2*EvSigma^2))))),"")</f>
        <v/>
      </c>
      <c r="O6143">
        <f>IF(B6143,ROUND(MAX(0,J6143*K6143*L6143*M6143*N6143),2),"")</f>
        <v/>
      </c>
    </row>
    <row r="6144">
      <c r="A6144" t="n">
        <v>6143</v>
      </c>
      <c r="B6144">
        <f>A6144&lt;=MineCount*Days</f>
        <v/>
      </c>
      <c r="C6144">
        <f>IF(B6144,INT((A6144-1)/Days)+1,"")</f>
        <v/>
      </c>
      <c r="D6144">
        <f>IF(B6144,MOD(A6144-1,Days),"")</f>
        <v/>
      </c>
      <c r="E6144" s="16">
        <f>IF(B6144,StartDate+D6144,"")</f>
        <v/>
      </c>
      <c r="F6144">
        <f>IF(B6144,MAX(MOD(SIN(Seed*0.1373+C6144*12.9898+D6144*78.233)*43758.5453,1),1E-9),"")</f>
        <v/>
      </c>
      <c r="G6144">
        <f>IF(B6144,MOD(SIN(Seed*0.5917+C6144*39.3468+D6144*11.135)*24634.6345,1),"")</f>
        <v/>
      </c>
      <c r="H6144">
        <f>IF(B6144,SQRT(-2*LN(F6144))*COS(2*PI()*G6144),"")</f>
        <v/>
      </c>
      <c r="I6144">
        <f>IF(B6144,IF(D6144=0,H6144,Rho*I6143+SQRT(1-Rho^2)*H6144),"")</f>
        <v/>
      </c>
      <c r="J6144">
        <f>IF(B6144,IF(Dist="Normal",DistA+DistB*I6144,DistA+(DistB-DistA)*NORMSDIST(I6144)),"")</f>
        <v/>
      </c>
      <c r="K6144">
        <f>IF(B6144,INDEX(MineScale,C6144),"")</f>
        <v/>
      </c>
      <c r="L6144">
        <f>IF(B6144,INDEX(Dow,1,WEEKDAY(E6144,2)),"")</f>
        <v/>
      </c>
      <c r="M6144">
        <f>IF(B6144,(1+Trend)^D6144,"")</f>
        <v/>
      </c>
      <c r="N6144">
        <f>IF(B6144,EXP(SUMPRODUCT(LN(1+(EvEff-1)*INDEX(Affected,0,C6144)*EXP(-((E6144-EvCenter)^2)/(2*EvSigma^2))))),"")</f>
        <v/>
      </c>
      <c r="O6144">
        <f>IF(B6144,ROUND(MAX(0,J6144*K6144*L6144*M6144*N6144),2),"")</f>
        <v/>
      </c>
    </row>
    <row r="6145">
      <c r="A6145" t="n">
        <v>6144</v>
      </c>
      <c r="B6145">
        <f>A6145&lt;=MineCount*Days</f>
        <v/>
      </c>
      <c r="C6145">
        <f>IF(B6145,INT((A6145-1)/Days)+1,"")</f>
        <v/>
      </c>
      <c r="D6145">
        <f>IF(B6145,MOD(A6145-1,Days),"")</f>
        <v/>
      </c>
      <c r="E6145" s="16">
        <f>IF(B6145,StartDate+D6145,"")</f>
        <v/>
      </c>
      <c r="F6145">
        <f>IF(B6145,MAX(MOD(SIN(Seed*0.1373+C6145*12.9898+D6145*78.233)*43758.5453,1),1E-9),"")</f>
        <v/>
      </c>
      <c r="G6145">
        <f>IF(B6145,MOD(SIN(Seed*0.5917+C6145*39.3468+D6145*11.135)*24634.6345,1),"")</f>
        <v/>
      </c>
      <c r="H6145">
        <f>IF(B6145,SQRT(-2*LN(F6145))*COS(2*PI()*G6145),"")</f>
        <v/>
      </c>
      <c r="I6145">
        <f>IF(B6145,IF(D6145=0,H6145,Rho*I6144+SQRT(1-Rho^2)*H6145),"")</f>
        <v/>
      </c>
      <c r="J6145">
        <f>IF(B6145,IF(Dist="Normal",DistA+DistB*I6145,DistA+(DistB-DistA)*NORMSDIST(I6145)),"")</f>
        <v/>
      </c>
      <c r="K6145">
        <f>IF(B6145,INDEX(MineScale,C6145),"")</f>
        <v/>
      </c>
      <c r="L6145">
        <f>IF(B6145,INDEX(Dow,1,WEEKDAY(E6145,2)),"")</f>
        <v/>
      </c>
      <c r="M6145">
        <f>IF(B6145,(1+Trend)^D6145,"")</f>
        <v/>
      </c>
      <c r="N6145">
        <f>IF(B6145,EXP(SUMPRODUCT(LN(1+(EvEff-1)*INDEX(Affected,0,C6145)*EXP(-((E6145-EvCenter)^2)/(2*EvSigma^2))))),"")</f>
        <v/>
      </c>
      <c r="O6145">
        <f>IF(B6145,ROUND(MAX(0,J6145*K6145*L6145*M6145*N6145),2),"")</f>
        <v/>
      </c>
    </row>
    <row r="6146">
      <c r="A6146" t="n">
        <v>6145</v>
      </c>
      <c r="B6146">
        <f>A6146&lt;=MineCount*Days</f>
        <v/>
      </c>
      <c r="C6146">
        <f>IF(B6146,INT((A6146-1)/Days)+1,"")</f>
        <v/>
      </c>
      <c r="D6146">
        <f>IF(B6146,MOD(A6146-1,Days),"")</f>
        <v/>
      </c>
      <c r="E6146" s="16">
        <f>IF(B6146,StartDate+D6146,"")</f>
        <v/>
      </c>
      <c r="F6146">
        <f>IF(B6146,MAX(MOD(SIN(Seed*0.1373+C6146*12.9898+D6146*78.233)*43758.5453,1),1E-9),"")</f>
        <v/>
      </c>
      <c r="G6146">
        <f>IF(B6146,MOD(SIN(Seed*0.5917+C6146*39.3468+D6146*11.135)*24634.6345,1),"")</f>
        <v/>
      </c>
      <c r="H6146">
        <f>IF(B6146,SQRT(-2*LN(F6146))*COS(2*PI()*G6146),"")</f>
        <v/>
      </c>
      <c r="I6146">
        <f>IF(B6146,IF(D6146=0,H6146,Rho*I6145+SQRT(1-Rho^2)*H6146),"")</f>
        <v/>
      </c>
      <c r="J6146">
        <f>IF(B6146,IF(Dist="Normal",DistA+DistB*I6146,DistA+(DistB-DistA)*NORMSDIST(I6146)),"")</f>
        <v/>
      </c>
      <c r="K6146">
        <f>IF(B6146,INDEX(MineScale,C6146),"")</f>
        <v/>
      </c>
      <c r="L6146">
        <f>IF(B6146,INDEX(Dow,1,WEEKDAY(E6146,2)),"")</f>
        <v/>
      </c>
      <c r="M6146">
        <f>IF(B6146,(1+Trend)^D6146,"")</f>
        <v/>
      </c>
      <c r="N6146">
        <f>IF(B6146,EXP(SUMPRODUCT(LN(1+(EvEff-1)*INDEX(Affected,0,C6146)*EXP(-((E6146-EvCenter)^2)/(2*EvSigma^2))))),"")</f>
        <v/>
      </c>
      <c r="O6146">
        <f>IF(B6146,ROUND(MAX(0,J6146*K6146*L6146*M6146*N6146),2),"")</f>
        <v/>
      </c>
    </row>
    <row r="6147">
      <c r="A6147" t="n">
        <v>6146</v>
      </c>
      <c r="B6147">
        <f>A6147&lt;=MineCount*Days</f>
        <v/>
      </c>
      <c r="C6147">
        <f>IF(B6147,INT((A6147-1)/Days)+1,"")</f>
        <v/>
      </c>
      <c r="D6147">
        <f>IF(B6147,MOD(A6147-1,Days),"")</f>
        <v/>
      </c>
      <c r="E6147" s="16">
        <f>IF(B6147,StartDate+D6147,"")</f>
        <v/>
      </c>
      <c r="F6147">
        <f>IF(B6147,MAX(MOD(SIN(Seed*0.1373+C6147*12.9898+D6147*78.233)*43758.5453,1),1E-9),"")</f>
        <v/>
      </c>
      <c r="G6147">
        <f>IF(B6147,MOD(SIN(Seed*0.5917+C6147*39.3468+D6147*11.135)*24634.6345,1),"")</f>
        <v/>
      </c>
      <c r="H6147">
        <f>IF(B6147,SQRT(-2*LN(F6147))*COS(2*PI()*G6147),"")</f>
        <v/>
      </c>
      <c r="I6147">
        <f>IF(B6147,IF(D6147=0,H6147,Rho*I6146+SQRT(1-Rho^2)*H6147),"")</f>
        <v/>
      </c>
      <c r="J6147">
        <f>IF(B6147,IF(Dist="Normal",DistA+DistB*I6147,DistA+(DistB-DistA)*NORMSDIST(I6147)),"")</f>
        <v/>
      </c>
      <c r="K6147">
        <f>IF(B6147,INDEX(MineScale,C6147),"")</f>
        <v/>
      </c>
      <c r="L6147">
        <f>IF(B6147,INDEX(Dow,1,WEEKDAY(E6147,2)),"")</f>
        <v/>
      </c>
      <c r="M6147">
        <f>IF(B6147,(1+Trend)^D6147,"")</f>
        <v/>
      </c>
      <c r="N6147">
        <f>IF(B6147,EXP(SUMPRODUCT(LN(1+(EvEff-1)*INDEX(Affected,0,C6147)*EXP(-((E6147-EvCenter)^2)/(2*EvSigma^2))))),"")</f>
        <v/>
      </c>
      <c r="O6147">
        <f>IF(B6147,ROUND(MAX(0,J6147*K6147*L6147*M6147*N6147),2),"")</f>
        <v/>
      </c>
    </row>
    <row r="6148">
      <c r="A6148" t="n">
        <v>6147</v>
      </c>
      <c r="B6148">
        <f>A6148&lt;=MineCount*Days</f>
        <v/>
      </c>
      <c r="C6148">
        <f>IF(B6148,INT((A6148-1)/Days)+1,"")</f>
        <v/>
      </c>
      <c r="D6148">
        <f>IF(B6148,MOD(A6148-1,Days),"")</f>
        <v/>
      </c>
      <c r="E6148" s="16">
        <f>IF(B6148,StartDate+D6148,"")</f>
        <v/>
      </c>
      <c r="F6148">
        <f>IF(B6148,MAX(MOD(SIN(Seed*0.1373+C6148*12.9898+D6148*78.233)*43758.5453,1),1E-9),"")</f>
        <v/>
      </c>
      <c r="G6148">
        <f>IF(B6148,MOD(SIN(Seed*0.5917+C6148*39.3468+D6148*11.135)*24634.6345,1),"")</f>
        <v/>
      </c>
      <c r="H6148">
        <f>IF(B6148,SQRT(-2*LN(F6148))*COS(2*PI()*G6148),"")</f>
        <v/>
      </c>
      <c r="I6148">
        <f>IF(B6148,IF(D6148=0,H6148,Rho*I6147+SQRT(1-Rho^2)*H6148),"")</f>
        <v/>
      </c>
      <c r="J6148">
        <f>IF(B6148,IF(Dist="Normal",DistA+DistB*I6148,DistA+(DistB-DistA)*NORMSDIST(I6148)),"")</f>
        <v/>
      </c>
      <c r="K6148">
        <f>IF(B6148,INDEX(MineScale,C6148),"")</f>
        <v/>
      </c>
      <c r="L6148">
        <f>IF(B6148,INDEX(Dow,1,WEEKDAY(E6148,2)),"")</f>
        <v/>
      </c>
      <c r="M6148">
        <f>IF(B6148,(1+Trend)^D6148,"")</f>
        <v/>
      </c>
      <c r="N6148">
        <f>IF(B6148,EXP(SUMPRODUCT(LN(1+(EvEff-1)*INDEX(Affected,0,C6148)*EXP(-((E6148-EvCenter)^2)/(2*EvSigma^2))))),"")</f>
        <v/>
      </c>
      <c r="O6148">
        <f>IF(B6148,ROUND(MAX(0,J6148*K6148*L6148*M6148*N6148),2),"")</f>
        <v/>
      </c>
    </row>
    <row r="6149">
      <c r="A6149" t="n">
        <v>6148</v>
      </c>
      <c r="B6149">
        <f>A6149&lt;=MineCount*Days</f>
        <v/>
      </c>
      <c r="C6149">
        <f>IF(B6149,INT((A6149-1)/Days)+1,"")</f>
        <v/>
      </c>
      <c r="D6149">
        <f>IF(B6149,MOD(A6149-1,Days),"")</f>
        <v/>
      </c>
      <c r="E6149" s="16">
        <f>IF(B6149,StartDate+D6149,"")</f>
        <v/>
      </c>
      <c r="F6149">
        <f>IF(B6149,MAX(MOD(SIN(Seed*0.1373+C6149*12.9898+D6149*78.233)*43758.5453,1),1E-9),"")</f>
        <v/>
      </c>
      <c r="G6149">
        <f>IF(B6149,MOD(SIN(Seed*0.5917+C6149*39.3468+D6149*11.135)*24634.6345,1),"")</f>
        <v/>
      </c>
      <c r="H6149">
        <f>IF(B6149,SQRT(-2*LN(F6149))*COS(2*PI()*G6149),"")</f>
        <v/>
      </c>
      <c r="I6149">
        <f>IF(B6149,IF(D6149=0,H6149,Rho*I6148+SQRT(1-Rho^2)*H6149),"")</f>
        <v/>
      </c>
      <c r="J6149">
        <f>IF(B6149,IF(Dist="Normal",DistA+DistB*I6149,DistA+(DistB-DistA)*NORMSDIST(I6149)),"")</f>
        <v/>
      </c>
      <c r="K6149">
        <f>IF(B6149,INDEX(MineScale,C6149),"")</f>
        <v/>
      </c>
      <c r="L6149">
        <f>IF(B6149,INDEX(Dow,1,WEEKDAY(E6149,2)),"")</f>
        <v/>
      </c>
      <c r="M6149">
        <f>IF(B6149,(1+Trend)^D6149,"")</f>
        <v/>
      </c>
      <c r="N6149">
        <f>IF(B6149,EXP(SUMPRODUCT(LN(1+(EvEff-1)*INDEX(Affected,0,C6149)*EXP(-((E6149-EvCenter)^2)/(2*EvSigma^2))))),"")</f>
        <v/>
      </c>
      <c r="O6149">
        <f>IF(B6149,ROUND(MAX(0,J6149*K6149*L6149*M6149*N6149),2),"")</f>
        <v/>
      </c>
    </row>
    <row r="6150">
      <c r="A6150" t="n">
        <v>6149</v>
      </c>
      <c r="B6150">
        <f>A6150&lt;=MineCount*Days</f>
        <v/>
      </c>
      <c r="C6150">
        <f>IF(B6150,INT((A6150-1)/Days)+1,"")</f>
        <v/>
      </c>
      <c r="D6150">
        <f>IF(B6150,MOD(A6150-1,Days),"")</f>
        <v/>
      </c>
      <c r="E6150" s="16">
        <f>IF(B6150,StartDate+D6150,"")</f>
        <v/>
      </c>
      <c r="F6150">
        <f>IF(B6150,MAX(MOD(SIN(Seed*0.1373+C6150*12.9898+D6150*78.233)*43758.5453,1),1E-9),"")</f>
        <v/>
      </c>
      <c r="G6150">
        <f>IF(B6150,MOD(SIN(Seed*0.5917+C6150*39.3468+D6150*11.135)*24634.6345,1),"")</f>
        <v/>
      </c>
      <c r="H6150">
        <f>IF(B6150,SQRT(-2*LN(F6150))*COS(2*PI()*G6150),"")</f>
        <v/>
      </c>
      <c r="I6150">
        <f>IF(B6150,IF(D6150=0,H6150,Rho*I6149+SQRT(1-Rho^2)*H6150),"")</f>
        <v/>
      </c>
      <c r="J6150">
        <f>IF(B6150,IF(Dist="Normal",DistA+DistB*I6150,DistA+(DistB-DistA)*NORMSDIST(I6150)),"")</f>
        <v/>
      </c>
      <c r="K6150">
        <f>IF(B6150,INDEX(MineScale,C6150),"")</f>
        <v/>
      </c>
      <c r="L6150">
        <f>IF(B6150,INDEX(Dow,1,WEEKDAY(E6150,2)),"")</f>
        <v/>
      </c>
      <c r="M6150">
        <f>IF(B6150,(1+Trend)^D6150,"")</f>
        <v/>
      </c>
      <c r="N6150">
        <f>IF(B6150,EXP(SUMPRODUCT(LN(1+(EvEff-1)*INDEX(Affected,0,C6150)*EXP(-((E6150-EvCenter)^2)/(2*EvSigma^2))))),"")</f>
        <v/>
      </c>
      <c r="O6150">
        <f>IF(B6150,ROUND(MAX(0,J6150*K6150*L6150*M6150*N6150),2),"")</f>
        <v/>
      </c>
    </row>
    <row r="6151">
      <c r="A6151" t="n">
        <v>6150</v>
      </c>
      <c r="B6151">
        <f>A6151&lt;=MineCount*Days</f>
        <v/>
      </c>
      <c r="C6151">
        <f>IF(B6151,INT((A6151-1)/Days)+1,"")</f>
        <v/>
      </c>
      <c r="D6151">
        <f>IF(B6151,MOD(A6151-1,Days),"")</f>
        <v/>
      </c>
      <c r="E6151" s="16">
        <f>IF(B6151,StartDate+D6151,"")</f>
        <v/>
      </c>
      <c r="F6151">
        <f>IF(B6151,MAX(MOD(SIN(Seed*0.1373+C6151*12.9898+D6151*78.233)*43758.5453,1),1E-9),"")</f>
        <v/>
      </c>
      <c r="G6151">
        <f>IF(B6151,MOD(SIN(Seed*0.5917+C6151*39.3468+D6151*11.135)*24634.6345,1),"")</f>
        <v/>
      </c>
      <c r="H6151">
        <f>IF(B6151,SQRT(-2*LN(F6151))*COS(2*PI()*G6151),"")</f>
        <v/>
      </c>
      <c r="I6151">
        <f>IF(B6151,IF(D6151=0,H6151,Rho*I6150+SQRT(1-Rho^2)*H6151),"")</f>
        <v/>
      </c>
      <c r="J6151">
        <f>IF(B6151,IF(Dist="Normal",DistA+DistB*I6151,DistA+(DistB-DistA)*NORMSDIST(I6151)),"")</f>
        <v/>
      </c>
      <c r="K6151">
        <f>IF(B6151,INDEX(MineScale,C6151),"")</f>
        <v/>
      </c>
      <c r="L6151">
        <f>IF(B6151,INDEX(Dow,1,WEEKDAY(E6151,2)),"")</f>
        <v/>
      </c>
      <c r="M6151">
        <f>IF(B6151,(1+Trend)^D6151,"")</f>
        <v/>
      </c>
      <c r="N6151">
        <f>IF(B6151,EXP(SUMPRODUCT(LN(1+(EvEff-1)*INDEX(Affected,0,C6151)*EXP(-((E6151-EvCenter)^2)/(2*EvSigma^2))))),"")</f>
        <v/>
      </c>
      <c r="O6151">
        <f>IF(B6151,ROUND(MAX(0,J6151*K6151*L6151*M6151*N6151),2),"")</f>
        <v/>
      </c>
    </row>
    <row r="6152">
      <c r="A6152" t="n">
        <v>6151</v>
      </c>
      <c r="B6152">
        <f>A6152&lt;=MineCount*Days</f>
        <v/>
      </c>
      <c r="C6152">
        <f>IF(B6152,INT((A6152-1)/Days)+1,"")</f>
        <v/>
      </c>
      <c r="D6152">
        <f>IF(B6152,MOD(A6152-1,Days),"")</f>
        <v/>
      </c>
      <c r="E6152" s="16">
        <f>IF(B6152,StartDate+D6152,"")</f>
        <v/>
      </c>
      <c r="F6152">
        <f>IF(B6152,MAX(MOD(SIN(Seed*0.1373+C6152*12.9898+D6152*78.233)*43758.5453,1),1E-9),"")</f>
        <v/>
      </c>
      <c r="G6152">
        <f>IF(B6152,MOD(SIN(Seed*0.5917+C6152*39.3468+D6152*11.135)*24634.6345,1),"")</f>
        <v/>
      </c>
      <c r="H6152">
        <f>IF(B6152,SQRT(-2*LN(F6152))*COS(2*PI()*G6152),"")</f>
        <v/>
      </c>
      <c r="I6152">
        <f>IF(B6152,IF(D6152=0,H6152,Rho*I6151+SQRT(1-Rho^2)*H6152),"")</f>
        <v/>
      </c>
      <c r="J6152">
        <f>IF(B6152,IF(Dist="Normal",DistA+DistB*I6152,DistA+(DistB-DistA)*NORMSDIST(I6152)),"")</f>
        <v/>
      </c>
      <c r="K6152">
        <f>IF(B6152,INDEX(MineScale,C6152),"")</f>
        <v/>
      </c>
      <c r="L6152">
        <f>IF(B6152,INDEX(Dow,1,WEEKDAY(E6152,2)),"")</f>
        <v/>
      </c>
      <c r="M6152">
        <f>IF(B6152,(1+Trend)^D6152,"")</f>
        <v/>
      </c>
      <c r="N6152">
        <f>IF(B6152,EXP(SUMPRODUCT(LN(1+(EvEff-1)*INDEX(Affected,0,C6152)*EXP(-((E6152-EvCenter)^2)/(2*EvSigma^2))))),"")</f>
        <v/>
      </c>
      <c r="O6152">
        <f>IF(B6152,ROUND(MAX(0,J6152*K6152*L6152*M6152*N6152),2),"")</f>
        <v/>
      </c>
    </row>
    <row r="6153">
      <c r="A6153" t="n">
        <v>6152</v>
      </c>
      <c r="B6153">
        <f>A6153&lt;=MineCount*Days</f>
        <v/>
      </c>
      <c r="C6153">
        <f>IF(B6153,INT((A6153-1)/Days)+1,"")</f>
        <v/>
      </c>
      <c r="D6153">
        <f>IF(B6153,MOD(A6153-1,Days),"")</f>
        <v/>
      </c>
      <c r="E6153" s="16">
        <f>IF(B6153,StartDate+D6153,"")</f>
        <v/>
      </c>
      <c r="F6153">
        <f>IF(B6153,MAX(MOD(SIN(Seed*0.1373+C6153*12.9898+D6153*78.233)*43758.5453,1),1E-9),"")</f>
        <v/>
      </c>
      <c r="G6153">
        <f>IF(B6153,MOD(SIN(Seed*0.5917+C6153*39.3468+D6153*11.135)*24634.6345,1),"")</f>
        <v/>
      </c>
      <c r="H6153">
        <f>IF(B6153,SQRT(-2*LN(F6153))*COS(2*PI()*G6153),"")</f>
        <v/>
      </c>
      <c r="I6153">
        <f>IF(B6153,IF(D6153=0,H6153,Rho*I6152+SQRT(1-Rho^2)*H6153),"")</f>
        <v/>
      </c>
      <c r="J6153">
        <f>IF(B6153,IF(Dist="Normal",DistA+DistB*I6153,DistA+(DistB-DistA)*NORMSDIST(I6153)),"")</f>
        <v/>
      </c>
      <c r="K6153">
        <f>IF(B6153,INDEX(MineScale,C6153),"")</f>
        <v/>
      </c>
      <c r="L6153">
        <f>IF(B6153,INDEX(Dow,1,WEEKDAY(E6153,2)),"")</f>
        <v/>
      </c>
      <c r="M6153">
        <f>IF(B6153,(1+Trend)^D6153,"")</f>
        <v/>
      </c>
      <c r="N6153">
        <f>IF(B6153,EXP(SUMPRODUCT(LN(1+(EvEff-1)*INDEX(Affected,0,C6153)*EXP(-((E6153-EvCenter)^2)/(2*EvSigma^2))))),"")</f>
        <v/>
      </c>
      <c r="O6153">
        <f>IF(B6153,ROUND(MAX(0,J6153*K6153*L6153*M6153*N6153),2),"")</f>
        <v/>
      </c>
    </row>
    <row r="6154">
      <c r="A6154" t="n">
        <v>6153</v>
      </c>
      <c r="B6154">
        <f>A6154&lt;=MineCount*Days</f>
        <v/>
      </c>
      <c r="C6154">
        <f>IF(B6154,INT((A6154-1)/Days)+1,"")</f>
        <v/>
      </c>
      <c r="D6154">
        <f>IF(B6154,MOD(A6154-1,Days),"")</f>
        <v/>
      </c>
      <c r="E6154" s="16">
        <f>IF(B6154,StartDate+D6154,"")</f>
        <v/>
      </c>
      <c r="F6154">
        <f>IF(B6154,MAX(MOD(SIN(Seed*0.1373+C6154*12.9898+D6154*78.233)*43758.5453,1),1E-9),"")</f>
        <v/>
      </c>
      <c r="G6154">
        <f>IF(B6154,MOD(SIN(Seed*0.5917+C6154*39.3468+D6154*11.135)*24634.6345,1),"")</f>
        <v/>
      </c>
      <c r="H6154">
        <f>IF(B6154,SQRT(-2*LN(F6154))*COS(2*PI()*G6154),"")</f>
        <v/>
      </c>
      <c r="I6154">
        <f>IF(B6154,IF(D6154=0,H6154,Rho*I6153+SQRT(1-Rho^2)*H6154),"")</f>
        <v/>
      </c>
      <c r="J6154">
        <f>IF(B6154,IF(Dist="Normal",DistA+DistB*I6154,DistA+(DistB-DistA)*NORMSDIST(I6154)),"")</f>
        <v/>
      </c>
      <c r="K6154">
        <f>IF(B6154,INDEX(MineScale,C6154),"")</f>
        <v/>
      </c>
      <c r="L6154">
        <f>IF(B6154,INDEX(Dow,1,WEEKDAY(E6154,2)),"")</f>
        <v/>
      </c>
      <c r="M6154">
        <f>IF(B6154,(1+Trend)^D6154,"")</f>
        <v/>
      </c>
      <c r="N6154">
        <f>IF(B6154,EXP(SUMPRODUCT(LN(1+(EvEff-1)*INDEX(Affected,0,C6154)*EXP(-((E6154-EvCenter)^2)/(2*EvSigma^2))))),"")</f>
        <v/>
      </c>
      <c r="O6154">
        <f>IF(B6154,ROUND(MAX(0,J6154*K6154*L6154*M6154*N6154),2),"")</f>
        <v/>
      </c>
    </row>
    <row r="6155">
      <c r="A6155" t="n">
        <v>6154</v>
      </c>
      <c r="B6155">
        <f>A6155&lt;=MineCount*Days</f>
        <v/>
      </c>
      <c r="C6155">
        <f>IF(B6155,INT((A6155-1)/Days)+1,"")</f>
        <v/>
      </c>
      <c r="D6155">
        <f>IF(B6155,MOD(A6155-1,Days),"")</f>
        <v/>
      </c>
      <c r="E6155" s="16">
        <f>IF(B6155,StartDate+D6155,"")</f>
        <v/>
      </c>
      <c r="F6155">
        <f>IF(B6155,MAX(MOD(SIN(Seed*0.1373+C6155*12.9898+D6155*78.233)*43758.5453,1),1E-9),"")</f>
        <v/>
      </c>
      <c r="G6155">
        <f>IF(B6155,MOD(SIN(Seed*0.5917+C6155*39.3468+D6155*11.135)*24634.6345,1),"")</f>
        <v/>
      </c>
      <c r="H6155">
        <f>IF(B6155,SQRT(-2*LN(F6155))*COS(2*PI()*G6155),"")</f>
        <v/>
      </c>
      <c r="I6155">
        <f>IF(B6155,IF(D6155=0,H6155,Rho*I6154+SQRT(1-Rho^2)*H6155),"")</f>
        <v/>
      </c>
      <c r="J6155">
        <f>IF(B6155,IF(Dist="Normal",DistA+DistB*I6155,DistA+(DistB-DistA)*NORMSDIST(I6155)),"")</f>
        <v/>
      </c>
      <c r="K6155">
        <f>IF(B6155,INDEX(MineScale,C6155),"")</f>
        <v/>
      </c>
      <c r="L6155">
        <f>IF(B6155,INDEX(Dow,1,WEEKDAY(E6155,2)),"")</f>
        <v/>
      </c>
      <c r="M6155">
        <f>IF(B6155,(1+Trend)^D6155,"")</f>
        <v/>
      </c>
      <c r="N6155">
        <f>IF(B6155,EXP(SUMPRODUCT(LN(1+(EvEff-1)*INDEX(Affected,0,C6155)*EXP(-((E6155-EvCenter)^2)/(2*EvSigma^2))))),"")</f>
        <v/>
      </c>
      <c r="O6155">
        <f>IF(B6155,ROUND(MAX(0,J6155*K6155*L6155*M6155*N6155),2),"")</f>
        <v/>
      </c>
    </row>
    <row r="6156">
      <c r="A6156" t="n">
        <v>6155</v>
      </c>
      <c r="B6156">
        <f>A6156&lt;=MineCount*Days</f>
        <v/>
      </c>
      <c r="C6156">
        <f>IF(B6156,INT((A6156-1)/Days)+1,"")</f>
        <v/>
      </c>
      <c r="D6156">
        <f>IF(B6156,MOD(A6156-1,Days),"")</f>
        <v/>
      </c>
      <c r="E6156" s="16">
        <f>IF(B6156,StartDate+D6156,"")</f>
        <v/>
      </c>
      <c r="F6156">
        <f>IF(B6156,MAX(MOD(SIN(Seed*0.1373+C6156*12.9898+D6156*78.233)*43758.5453,1),1E-9),"")</f>
        <v/>
      </c>
      <c r="G6156">
        <f>IF(B6156,MOD(SIN(Seed*0.5917+C6156*39.3468+D6156*11.135)*24634.6345,1),"")</f>
        <v/>
      </c>
      <c r="H6156">
        <f>IF(B6156,SQRT(-2*LN(F6156))*COS(2*PI()*G6156),"")</f>
        <v/>
      </c>
      <c r="I6156">
        <f>IF(B6156,IF(D6156=0,H6156,Rho*I6155+SQRT(1-Rho^2)*H6156),"")</f>
        <v/>
      </c>
      <c r="J6156">
        <f>IF(B6156,IF(Dist="Normal",DistA+DistB*I6156,DistA+(DistB-DistA)*NORMSDIST(I6156)),"")</f>
        <v/>
      </c>
      <c r="K6156">
        <f>IF(B6156,INDEX(MineScale,C6156),"")</f>
        <v/>
      </c>
      <c r="L6156">
        <f>IF(B6156,INDEX(Dow,1,WEEKDAY(E6156,2)),"")</f>
        <v/>
      </c>
      <c r="M6156">
        <f>IF(B6156,(1+Trend)^D6156,"")</f>
        <v/>
      </c>
      <c r="N6156">
        <f>IF(B6156,EXP(SUMPRODUCT(LN(1+(EvEff-1)*INDEX(Affected,0,C6156)*EXP(-((E6156-EvCenter)^2)/(2*EvSigma^2))))),"")</f>
        <v/>
      </c>
      <c r="O6156">
        <f>IF(B6156,ROUND(MAX(0,J6156*K6156*L6156*M6156*N6156),2),"")</f>
        <v/>
      </c>
    </row>
    <row r="6157">
      <c r="A6157" t="n">
        <v>6156</v>
      </c>
      <c r="B6157">
        <f>A6157&lt;=MineCount*Days</f>
        <v/>
      </c>
      <c r="C6157">
        <f>IF(B6157,INT((A6157-1)/Days)+1,"")</f>
        <v/>
      </c>
      <c r="D6157">
        <f>IF(B6157,MOD(A6157-1,Days),"")</f>
        <v/>
      </c>
      <c r="E6157" s="16">
        <f>IF(B6157,StartDate+D6157,"")</f>
        <v/>
      </c>
      <c r="F6157">
        <f>IF(B6157,MAX(MOD(SIN(Seed*0.1373+C6157*12.9898+D6157*78.233)*43758.5453,1),1E-9),"")</f>
        <v/>
      </c>
      <c r="G6157">
        <f>IF(B6157,MOD(SIN(Seed*0.5917+C6157*39.3468+D6157*11.135)*24634.6345,1),"")</f>
        <v/>
      </c>
      <c r="H6157">
        <f>IF(B6157,SQRT(-2*LN(F6157))*COS(2*PI()*G6157),"")</f>
        <v/>
      </c>
      <c r="I6157">
        <f>IF(B6157,IF(D6157=0,H6157,Rho*I6156+SQRT(1-Rho^2)*H6157),"")</f>
        <v/>
      </c>
      <c r="J6157">
        <f>IF(B6157,IF(Dist="Normal",DistA+DistB*I6157,DistA+(DistB-DistA)*NORMSDIST(I6157)),"")</f>
        <v/>
      </c>
      <c r="K6157">
        <f>IF(B6157,INDEX(MineScale,C6157),"")</f>
        <v/>
      </c>
      <c r="L6157">
        <f>IF(B6157,INDEX(Dow,1,WEEKDAY(E6157,2)),"")</f>
        <v/>
      </c>
      <c r="M6157">
        <f>IF(B6157,(1+Trend)^D6157,"")</f>
        <v/>
      </c>
      <c r="N6157">
        <f>IF(B6157,EXP(SUMPRODUCT(LN(1+(EvEff-1)*INDEX(Affected,0,C6157)*EXP(-((E6157-EvCenter)^2)/(2*EvSigma^2))))),"")</f>
        <v/>
      </c>
      <c r="O6157">
        <f>IF(B6157,ROUND(MAX(0,J6157*K6157*L6157*M6157*N6157),2),"")</f>
        <v/>
      </c>
    </row>
    <row r="6158">
      <c r="A6158" t="n">
        <v>6157</v>
      </c>
      <c r="B6158">
        <f>A6158&lt;=MineCount*Days</f>
        <v/>
      </c>
      <c r="C6158">
        <f>IF(B6158,INT((A6158-1)/Days)+1,"")</f>
        <v/>
      </c>
      <c r="D6158">
        <f>IF(B6158,MOD(A6158-1,Days),"")</f>
        <v/>
      </c>
      <c r="E6158" s="16">
        <f>IF(B6158,StartDate+D6158,"")</f>
        <v/>
      </c>
      <c r="F6158">
        <f>IF(B6158,MAX(MOD(SIN(Seed*0.1373+C6158*12.9898+D6158*78.233)*43758.5453,1),1E-9),"")</f>
        <v/>
      </c>
      <c r="G6158">
        <f>IF(B6158,MOD(SIN(Seed*0.5917+C6158*39.3468+D6158*11.135)*24634.6345,1),"")</f>
        <v/>
      </c>
      <c r="H6158">
        <f>IF(B6158,SQRT(-2*LN(F6158))*COS(2*PI()*G6158),"")</f>
        <v/>
      </c>
      <c r="I6158">
        <f>IF(B6158,IF(D6158=0,H6158,Rho*I6157+SQRT(1-Rho^2)*H6158),"")</f>
        <v/>
      </c>
      <c r="J6158">
        <f>IF(B6158,IF(Dist="Normal",DistA+DistB*I6158,DistA+(DistB-DistA)*NORMSDIST(I6158)),"")</f>
        <v/>
      </c>
      <c r="K6158">
        <f>IF(B6158,INDEX(MineScale,C6158),"")</f>
        <v/>
      </c>
      <c r="L6158">
        <f>IF(B6158,INDEX(Dow,1,WEEKDAY(E6158,2)),"")</f>
        <v/>
      </c>
      <c r="M6158">
        <f>IF(B6158,(1+Trend)^D6158,"")</f>
        <v/>
      </c>
      <c r="N6158">
        <f>IF(B6158,EXP(SUMPRODUCT(LN(1+(EvEff-1)*INDEX(Affected,0,C6158)*EXP(-((E6158-EvCenter)^2)/(2*EvSigma^2))))),"")</f>
        <v/>
      </c>
      <c r="O6158">
        <f>IF(B6158,ROUND(MAX(0,J6158*K6158*L6158*M6158*N6158),2),"")</f>
        <v/>
      </c>
    </row>
    <row r="6159">
      <c r="A6159" t="n">
        <v>6158</v>
      </c>
      <c r="B6159">
        <f>A6159&lt;=MineCount*Days</f>
        <v/>
      </c>
      <c r="C6159">
        <f>IF(B6159,INT((A6159-1)/Days)+1,"")</f>
        <v/>
      </c>
      <c r="D6159">
        <f>IF(B6159,MOD(A6159-1,Days),"")</f>
        <v/>
      </c>
      <c r="E6159" s="16">
        <f>IF(B6159,StartDate+D6159,"")</f>
        <v/>
      </c>
      <c r="F6159">
        <f>IF(B6159,MAX(MOD(SIN(Seed*0.1373+C6159*12.9898+D6159*78.233)*43758.5453,1),1E-9),"")</f>
        <v/>
      </c>
      <c r="G6159">
        <f>IF(B6159,MOD(SIN(Seed*0.5917+C6159*39.3468+D6159*11.135)*24634.6345,1),"")</f>
        <v/>
      </c>
      <c r="H6159">
        <f>IF(B6159,SQRT(-2*LN(F6159))*COS(2*PI()*G6159),"")</f>
        <v/>
      </c>
      <c r="I6159">
        <f>IF(B6159,IF(D6159=0,H6159,Rho*I6158+SQRT(1-Rho^2)*H6159),"")</f>
        <v/>
      </c>
      <c r="J6159">
        <f>IF(B6159,IF(Dist="Normal",DistA+DistB*I6159,DistA+(DistB-DistA)*NORMSDIST(I6159)),"")</f>
        <v/>
      </c>
      <c r="K6159">
        <f>IF(B6159,INDEX(MineScale,C6159),"")</f>
        <v/>
      </c>
      <c r="L6159">
        <f>IF(B6159,INDEX(Dow,1,WEEKDAY(E6159,2)),"")</f>
        <v/>
      </c>
      <c r="M6159">
        <f>IF(B6159,(1+Trend)^D6159,"")</f>
        <v/>
      </c>
      <c r="N6159">
        <f>IF(B6159,EXP(SUMPRODUCT(LN(1+(EvEff-1)*INDEX(Affected,0,C6159)*EXP(-((E6159-EvCenter)^2)/(2*EvSigma^2))))),"")</f>
        <v/>
      </c>
      <c r="O6159">
        <f>IF(B6159,ROUND(MAX(0,J6159*K6159*L6159*M6159*N6159),2),"")</f>
        <v/>
      </c>
    </row>
    <row r="6160">
      <c r="A6160" t="n">
        <v>6159</v>
      </c>
      <c r="B6160">
        <f>A6160&lt;=MineCount*Days</f>
        <v/>
      </c>
      <c r="C6160">
        <f>IF(B6160,INT((A6160-1)/Days)+1,"")</f>
        <v/>
      </c>
      <c r="D6160">
        <f>IF(B6160,MOD(A6160-1,Days),"")</f>
        <v/>
      </c>
      <c r="E6160" s="16">
        <f>IF(B6160,StartDate+D6160,"")</f>
        <v/>
      </c>
      <c r="F6160">
        <f>IF(B6160,MAX(MOD(SIN(Seed*0.1373+C6160*12.9898+D6160*78.233)*43758.5453,1),1E-9),"")</f>
        <v/>
      </c>
      <c r="G6160">
        <f>IF(B6160,MOD(SIN(Seed*0.5917+C6160*39.3468+D6160*11.135)*24634.6345,1),"")</f>
        <v/>
      </c>
      <c r="H6160">
        <f>IF(B6160,SQRT(-2*LN(F6160))*COS(2*PI()*G6160),"")</f>
        <v/>
      </c>
      <c r="I6160">
        <f>IF(B6160,IF(D6160=0,H6160,Rho*I6159+SQRT(1-Rho^2)*H6160),"")</f>
        <v/>
      </c>
      <c r="J6160">
        <f>IF(B6160,IF(Dist="Normal",DistA+DistB*I6160,DistA+(DistB-DistA)*NORMSDIST(I6160)),"")</f>
        <v/>
      </c>
      <c r="K6160">
        <f>IF(B6160,INDEX(MineScale,C6160),"")</f>
        <v/>
      </c>
      <c r="L6160">
        <f>IF(B6160,INDEX(Dow,1,WEEKDAY(E6160,2)),"")</f>
        <v/>
      </c>
      <c r="M6160">
        <f>IF(B6160,(1+Trend)^D6160,"")</f>
        <v/>
      </c>
      <c r="N6160">
        <f>IF(B6160,EXP(SUMPRODUCT(LN(1+(EvEff-1)*INDEX(Affected,0,C6160)*EXP(-((E6160-EvCenter)^2)/(2*EvSigma^2))))),"")</f>
        <v/>
      </c>
      <c r="O6160">
        <f>IF(B6160,ROUND(MAX(0,J6160*K6160*L6160*M6160*N6160),2),"")</f>
        <v/>
      </c>
    </row>
    <row r="6161">
      <c r="A6161" t="n">
        <v>6160</v>
      </c>
      <c r="B6161">
        <f>A6161&lt;=MineCount*Days</f>
        <v/>
      </c>
      <c r="C6161">
        <f>IF(B6161,INT((A6161-1)/Days)+1,"")</f>
        <v/>
      </c>
      <c r="D6161">
        <f>IF(B6161,MOD(A6161-1,Days),"")</f>
        <v/>
      </c>
      <c r="E6161" s="16">
        <f>IF(B6161,StartDate+D6161,"")</f>
        <v/>
      </c>
      <c r="F6161">
        <f>IF(B6161,MAX(MOD(SIN(Seed*0.1373+C6161*12.9898+D6161*78.233)*43758.5453,1),1E-9),"")</f>
        <v/>
      </c>
      <c r="G6161">
        <f>IF(B6161,MOD(SIN(Seed*0.5917+C6161*39.3468+D6161*11.135)*24634.6345,1),"")</f>
        <v/>
      </c>
      <c r="H6161">
        <f>IF(B6161,SQRT(-2*LN(F6161))*COS(2*PI()*G6161),"")</f>
        <v/>
      </c>
      <c r="I6161">
        <f>IF(B6161,IF(D6161=0,H6161,Rho*I6160+SQRT(1-Rho^2)*H6161),"")</f>
        <v/>
      </c>
      <c r="J6161">
        <f>IF(B6161,IF(Dist="Normal",DistA+DistB*I6161,DistA+(DistB-DistA)*NORMSDIST(I6161)),"")</f>
        <v/>
      </c>
      <c r="K6161">
        <f>IF(B6161,INDEX(MineScale,C6161),"")</f>
        <v/>
      </c>
      <c r="L6161">
        <f>IF(B6161,INDEX(Dow,1,WEEKDAY(E6161,2)),"")</f>
        <v/>
      </c>
      <c r="M6161">
        <f>IF(B6161,(1+Trend)^D6161,"")</f>
        <v/>
      </c>
      <c r="N6161">
        <f>IF(B6161,EXP(SUMPRODUCT(LN(1+(EvEff-1)*INDEX(Affected,0,C6161)*EXP(-((E6161-EvCenter)^2)/(2*EvSigma^2))))),"")</f>
        <v/>
      </c>
      <c r="O6161">
        <f>IF(B6161,ROUND(MAX(0,J6161*K6161*L6161*M6161*N6161),2),"")</f>
        <v/>
      </c>
    </row>
    <row r="6162">
      <c r="A6162" t="n">
        <v>6161</v>
      </c>
      <c r="B6162">
        <f>A6162&lt;=MineCount*Days</f>
        <v/>
      </c>
      <c r="C6162">
        <f>IF(B6162,INT((A6162-1)/Days)+1,"")</f>
        <v/>
      </c>
      <c r="D6162">
        <f>IF(B6162,MOD(A6162-1,Days),"")</f>
        <v/>
      </c>
      <c r="E6162" s="16">
        <f>IF(B6162,StartDate+D6162,"")</f>
        <v/>
      </c>
      <c r="F6162">
        <f>IF(B6162,MAX(MOD(SIN(Seed*0.1373+C6162*12.9898+D6162*78.233)*43758.5453,1),1E-9),"")</f>
        <v/>
      </c>
      <c r="G6162">
        <f>IF(B6162,MOD(SIN(Seed*0.5917+C6162*39.3468+D6162*11.135)*24634.6345,1),"")</f>
        <v/>
      </c>
      <c r="H6162">
        <f>IF(B6162,SQRT(-2*LN(F6162))*COS(2*PI()*G6162),"")</f>
        <v/>
      </c>
      <c r="I6162">
        <f>IF(B6162,IF(D6162=0,H6162,Rho*I6161+SQRT(1-Rho^2)*H6162),"")</f>
        <v/>
      </c>
      <c r="J6162">
        <f>IF(B6162,IF(Dist="Normal",DistA+DistB*I6162,DistA+(DistB-DistA)*NORMSDIST(I6162)),"")</f>
        <v/>
      </c>
      <c r="K6162">
        <f>IF(B6162,INDEX(MineScale,C6162),"")</f>
        <v/>
      </c>
      <c r="L6162">
        <f>IF(B6162,INDEX(Dow,1,WEEKDAY(E6162,2)),"")</f>
        <v/>
      </c>
      <c r="M6162">
        <f>IF(B6162,(1+Trend)^D6162,"")</f>
        <v/>
      </c>
      <c r="N6162">
        <f>IF(B6162,EXP(SUMPRODUCT(LN(1+(EvEff-1)*INDEX(Affected,0,C6162)*EXP(-((E6162-EvCenter)^2)/(2*EvSigma^2))))),"")</f>
        <v/>
      </c>
      <c r="O6162">
        <f>IF(B6162,ROUND(MAX(0,J6162*K6162*L6162*M6162*N6162),2),"")</f>
        <v/>
      </c>
    </row>
    <row r="6163">
      <c r="A6163" t="n">
        <v>6162</v>
      </c>
      <c r="B6163">
        <f>A6163&lt;=MineCount*Days</f>
        <v/>
      </c>
      <c r="C6163">
        <f>IF(B6163,INT((A6163-1)/Days)+1,"")</f>
        <v/>
      </c>
      <c r="D6163">
        <f>IF(B6163,MOD(A6163-1,Days),"")</f>
        <v/>
      </c>
      <c r="E6163" s="16">
        <f>IF(B6163,StartDate+D6163,"")</f>
        <v/>
      </c>
      <c r="F6163">
        <f>IF(B6163,MAX(MOD(SIN(Seed*0.1373+C6163*12.9898+D6163*78.233)*43758.5453,1),1E-9),"")</f>
        <v/>
      </c>
      <c r="G6163">
        <f>IF(B6163,MOD(SIN(Seed*0.5917+C6163*39.3468+D6163*11.135)*24634.6345,1),"")</f>
        <v/>
      </c>
      <c r="H6163">
        <f>IF(B6163,SQRT(-2*LN(F6163))*COS(2*PI()*G6163),"")</f>
        <v/>
      </c>
      <c r="I6163">
        <f>IF(B6163,IF(D6163=0,H6163,Rho*I6162+SQRT(1-Rho^2)*H6163),"")</f>
        <v/>
      </c>
      <c r="J6163">
        <f>IF(B6163,IF(Dist="Normal",DistA+DistB*I6163,DistA+(DistB-DistA)*NORMSDIST(I6163)),"")</f>
        <v/>
      </c>
      <c r="K6163">
        <f>IF(B6163,INDEX(MineScale,C6163),"")</f>
        <v/>
      </c>
      <c r="L6163">
        <f>IF(B6163,INDEX(Dow,1,WEEKDAY(E6163,2)),"")</f>
        <v/>
      </c>
      <c r="M6163">
        <f>IF(B6163,(1+Trend)^D6163,"")</f>
        <v/>
      </c>
      <c r="N6163">
        <f>IF(B6163,EXP(SUMPRODUCT(LN(1+(EvEff-1)*INDEX(Affected,0,C6163)*EXP(-((E6163-EvCenter)^2)/(2*EvSigma^2))))),"")</f>
        <v/>
      </c>
      <c r="O6163">
        <f>IF(B6163,ROUND(MAX(0,J6163*K6163*L6163*M6163*N6163),2),"")</f>
        <v/>
      </c>
    </row>
    <row r="6164">
      <c r="A6164" t="n">
        <v>6163</v>
      </c>
      <c r="B6164">
        <f>A6164&lt;=MineCount*Days</f>
        <v/>
      </c>
      <c r="C6164">
        <f>IF(B6164,INT((A6164-1)/Days)+1,"")</f>
        <v/>
      </c>
      <c r="D6164">
        <f>IF(B6164,MOD(A6164-1,Days),"")</f>
        <v/>
      </c>
      <c r="E6164" s="16">
        <f>IF(B6164,StartDate+D6164,"")</f>
        <v/>
      </c>
      <c r="F6164">
        <f>IF(B6164,MAX(MOD(SIN(Seed*0.1373+C6164*12.9898+D6164*78.233)*43758.5453,1),1E-9),"")</f>
        <v/>
      </c>
      <c r="G6164">
        <f>IF(B6164,MOD(SIN(Seed*0.5917+C6164*39.3468+D6164*11.135)*24634.6345,1),"")</f>
        <v/>
      </c>
      <c r="H6164">
        <f>IF(B6164,SQRT(-2*LN(F6164))*COS(2*PI()*G6164),"")</f>
        <v/>
      </c>
      <c r="I6164">
        <f>IF(B6164,IF(D6164=0,H6164,Rho*I6163+SQRT(1-Rho^2)*H6164),"")</f>
        <v/>
      </c>
      <c r="J6164">
        <f>IF(B6164,IF(Dist="Normal",DistA+DistB*I6164,DistA+(DistB-DistA)*NORMSDIST(I6164)),"")</f>
        <v/>
      </c>
      <c r="K6164">
        <f>IF(B6164,INDEX(MineScale,C6164),"")</f>
        <v/>
      </c>
      <c r="L6164">
        <f>IF(B6164,INDEX(Dow,1,WEEKDAY(E6164,2)),"")</f>
        <v/>
      </c>
      <c r="M6164">
        <f>IF(B6164,(1+Trend)^D6164,"")</f>
        <v/>
      </c>
      <c r="N6164">
        <f>IF(B6164,EXP(SUMPRODUCT(LN(1+(EvEff-1)*INDEX(Affected,0,C6164)*EXP(-((E6164-EvCenter)^2)/(2*EvSigma^2))))),"")</f>
        <v/>
      </c>
      <c r="O6164">
        <f>IF(B6164,ROUND(MAX(0,J6164*K6164*L6164*M6164*N6164),2),"")</f>
        <v/>
      </c>
    </row>
    <row r="6165">
      <c r="A6165" t="n">
        <v>6164</v>
      </c>
      <c r="B6165">
        <f>A6165&lt;=MineCount*Days</f>
        <v/>
      </c>
      <c r="C6165">
        <f>IF(B6165,INT((A6165-1)/Days)+1,"")</f>
        <v/>
      </c>
      <c r="D6165">
        <f>IF(B6165,MOD(A6165-1,Days),"")</f>
        <v/>
      </c>
      <c r="E6165" s="16">
        <f>IF(B6165,StartDate+D6165,"")</f>
        <v/>
      </c>
      <c r="F6165">
        <f>IF(B6165,MAX(MOD(SIN(Seed*0.1373+C6165*12.9898+D6165*78.233)*43758.5453,1),1E-9),"")</f>
        <v/>
      </c>
      <c r="G6165">
        <f>IF(B6165,MOD(SIN(Seed*0.5917+C6165*39.3468+D6165*11.135)*24634.6345,1),"")</f>
        <v/>
      </c>
      <c r="H6165">
        <f>IF(B6165,SQRT(-2*LN(F6165))*COS(2*PI()*G6165),"")</f>
        <v/>
      </c>
      <c r="I6165">
        <f>IF(B6165,IF(D6165=0,H6165,Rho*I6164+SQRT(1-Rho^2)*H6165),"")</f>
        <v/>
      </c>
      <c r="J6165">
        <f>IF(B6165,IF(Dist="Normal",DistA+DistB*I6165,DistA+(DistB-DistA)*NORMSDIST(I6165)),"")</f>
        <v/>
      </c>
      <c r="K6165">
        <f>IF(B6165,INDEX(MineScale,C6165),"")</f>
        <v/>
      </c>
      <c r="L6165">
        <f>IF(B6165,INDEX(Dow,1,WEEKDAY(E6165,2)),"")</f>
        <v/>
      </c>
      <c r="M6165">
        <f>IF(B6165,(1+Trend)^D6165,"")</f>
        <v/>
      </c>
      <c r="N6165">
        <f>IF(B6165,EXP(SUMPRODUCT(LN(1+(EvEff-1)*INDEX(Affected,0,C6165)*EXP(-((E6165-EvCenter)^2)/(2*EvSigma^2))))),"")</f>
        <v/>
      </c>
      <c r="O6165">
        <f>IF(B6165,ROUND(MAX(0,J6165*K6165*L6165*M6165*N6165),2),"")</f>
        <v/>
      </c>
    </row>
    <row r="6166">
      <c r="A6166" t="n">
        <v>6165</v>
      </c>
      <c r="B6166">
        <f>A6166&lt;=MineCount*Days</f>
        <v/>
      </c>
      <c r="C6166">
        <f>IF(B6166,INT((A6166-1)/Days)+1,"")</f>
        <v/>
      </c>
      <c r="D6166">
        <f>IF(B6166,MOD(A6166-1,Days),"")</f>
        <v/>
      </c>
      <c r="E6166" s="16">
        <f>IF(B6166,StartDate+D6166,"")</f>
        <v/>
      </c>
      <c r="F6166">
        <f>IF(B6166,MAX(MOD(SIN(Seed*0.1373+C6166*12.9898+D6166*78.233)*43758.5453,1),1E-9),"")</f>
        <v/>
      </c>
      <c r="G6166">
        <f>IF(B6166,MOD(SIN(Seed*0.5917+C6166*39.3468+D6166*11.135)*24634.6345,1),"")</f>
        <v/>
      </c>
      <c r="H6166">
        <f>IF(B6166,SQRT(-2*LN(F6166))*COS(2*PI()*G6166),"")</f>
        <v/>
      </c>
      <c r="I6166">
        <f>IF(B6166,IF(D6166=0,H6166,Rho*I6165+SQRT(1-Rho^2)*H6166),"")</f>
        <v/>
      </c>
      <c r="J6166">
        <f>IF(B6166,IF(Dist="Normal",DistA+DistB*I6166,DistA+(DistB-DistA)*NORMSDIST(I6166)),"")</f>
        <v/>
      </c>
      <c r="K6166">
        <f>IF(B6166,INDEX(MineScale,C6166),"")</f>
        <v/>
      </c>
      <c r="L6166">
        <f>IF(B6166,INDEX(Dow,1,WEEKDAY(E6166,2)),"")</f>
        <v/>
      </c>
      <c r="M6166">
        <f>IF(B6166,(1+Trend)^D6166,"")</f>
        <v/>
      </c>
      <c r="N6166">
        <f>IF(B6166,EXP(SUMPRODUCT(LN(1+(EvEff-1)*INDEX(Affected,0,C6166)*EXP(-((E6166-EvCenter)^2)/(2*EvSigma^2))))),"")</f>
        <v/>
      </c>
      <c r="O6166">
        <f>IF(B6166,ROUND(MAX(0,J6166*K6166*L6166*M6166*N6166),2),"")</f>
        <v/>
      </c>
    </row>
    <row r="6167">
      <c r="A6167" t="n">
        <v>6166</v>
      </c>
      <c r="B6167">
        <f>A6167&lt;=MineCount*Days</f>
        <v/>
      </c>
      <c r="C6167">
        <f>IF(B6167,INT((A6167-1)/Days)+1,"")</f>
        <v/>
      </c>
      <c r="D6167">
        <f>IF(B6167,MOD(A6167-1,Days),"")</f>
        <v/>
      </c>
      <c r="E6167" s="16">
        <f>IF(B6167,StartDate+D6167,"")</f>
        <v/>
      </c>
      <c r="F6167">
        <f>IF(B6167,MAX(MOD(SIN(Seed*0.1373+C6167*12.9898+D6167*78.233)*43758.5453,1),1E-9),"")</f>
        <v/>
      </c>
      <c r="G6167">
        <f>IF(B6167,MOD(SIN(Seed*0.5917+C6167*39.3468+D6167*11.135)*24634.6345,1),"")</f>
        <v/>
      </c>
      <c r="H6167">
        <f>IF(B6167,SQRT(-2*LN(F6167))*COS(2*PI()*G6167),"")</f>
        <v/>
      </c>
      <c r="I6167">
        <f>IF(B6167,IF(D6167=0,H6167,Rho*I6166+SQRT(1-Rho^2)*H6167),"")</f>
        <v/>
      </c>
      <c r="J6167">
        <f>IF(B6167,IF(Dist="Normal",DistA+DistB*I6167,DistA+(DistB-DistA)*NORMSDIST(I6167)),"")</f>
        <v/>
      </c>
      <c r="K6167">
        <f>IF(B6167,INDEX(MineScale,C6167),"")</f>
        <v/>
      </c>
      <c r="L6167">
        <f>IF(B6167,INDEX(Dow,1,WEEKDAY(E6167,2)),"")</f>
        <v/>
      </c>
      <c r="M6167">
        <f>IF(B6167,(1+Trend)^D6167,"")</f>
        <v/>
      </c>
      <c r="N6167">
        <f>IF(B6167,EXP(SUMPRODUCT(LN(1+(EvEff-1)*INDEX(Affected,0,C6167)*EXP(-((E6167-EvCenter)^2)/(2*EvSigma^2))))),"")</f>
        <v/>
      </c>
      <c r="O6167">
        <f>IF(B6167,ROUND(MAX(0,J6167*K6167*L6167*M6167*N6167),2),"")</f>
        <v/>
      </c>
    </row>
    <row r="6168">
      <c r="A6168" t="n">
        <v>6167</v>
      </c>
      <c r="B6168">
        <f>A6168&lt;=MineCount*Days</f>
        <v/>
      </c>
      <c r="C6168">
        <f>IF(B6168,INT((A6168-1)/Days)+1,"")</f>
        <v/>
      </c>
      <c r="D6168">
        <f>IF(B6168,MOD(A6168-1,Days),"")</f>
        <v/>
      </c>
      <c r="E6168" s="16">
        <f>IF(B6168,StartDate+D6168,"")</f>
        <v/>
      </c>
      <c r="F6168">
        <f>IF(B6168,MAX(MOD(SIN(Seed*0.1373+C6168*12.9898+D6168*78.233)*43758.5453,1),1E-9),"")</f>
        <v/>
      </c>
      <c r="G6168">
        <f>IF(B6168,MOD(SIN(Seed*0.5917+C6168*39.3468+D6168*11.135)*24634.6345,1),"")</f>
        <v/>
      </c>
      <c r="H6168">
        <f>IF(B6168,SQRT(-2*LN(F6168))*COS(2*PI()*G6168),"")</f>
        <v/>
      </c>
      <c r="I6168">
        <f>IF(B6168,IF(D6168=0,H6168,Rho*I6167+SQRT(1-Rho^2)*H6168),"")</f>
        <v/>
      </c>
      <c r="J6168">
        <f>IF(B6168,IF(Dist="Normal",DistA+DistB*I6168,DistA+(DistB-DistA)*NORMSDIST(I6168)),"")</f>
        <v/>
      </c>
      <c r="K6168">
        <f>IF(B6168,INDEX(MineScale,C6168),"")</f>
        <v/>
      </c>
      <c r="L6168">
        <f>IF(B6168,INDEX(Dow,1,WEEKDAY(E6168,2)),"")</f>
        <v/>
      </c>
      <c r="M6168">
        <f>IF(B6168,(1+Trend)^D6168,"")</f>
        <v/>
      </c>
      <c r="N6168">
        <f>IF(B6168,EXP(SUMPRODUCT(LN(1+(EvEff-1)*INDEX(Affected,0,C6168)*EXP(-((E6168-EvCenter)^2)/(2*EvSigma^2))))),"")</f>
        <v/>
      </c>
      <c r="O6168">
        <f>IF(B6168,ROUND(MAX(0,J6168*K6168*L6168*M6168*N6168),2),"")</f>
        <v/>
      </c>
    </row>
    <row r="6169">
      <c r="A6169" t="n">
        <v>6168</v>
      </c>
      <c r="B6169">
        <f>A6169&lt;=MineCount*Days</f>
        <v/>
      </c>
      <c r="C6169">
        <f>IF(B6169,INT((A6169-1)/Days)+1,"")</f>
        <v/>
      </c>
      <c r="D6169">
        <f>IF(B6169,MOD(A6169-1,Days),"")</f>
        <v/>
      </c>
      <c r="E6169" s="16">
        <f>IF(B6169,StartDate+D6169,"")</f>
        <v/>
      </c>
      <c r="F6169">
        <f>IF(B6169,MAX(MOD(SIN(Seed*0.1373+C6169*12.9898+D6169*78.233)*43758.5453,1),1E-9),"")</f>
        <v/>
      </c>
      <c r="G6169">
        <f>IF(B6169,MOD(SIN(Seed*0.5917+C6169*39.3468+D6169*11.135)*24634.6345,1),"")</f>
        <v/>
      </c>
      <c r="H6169">
        <f>IF(B6169,SQRT(-2*LN(F6169))*COS(2*PI()*G6169),"")</f>
        <v/>
      </c>
      <c r="I6169">
        <f>IF(B6169,IF(D6169=0,H6169,Rho*I6168+SQRT(1-Rho^2)*H6169),"")</f>
        <v/>
      </c>
      <c r="J6169">
        <f>IF(B6169,IF(Dist="Normal",DistA+DistB*I6169,DistA+(DistB-DistA)*NORMSDIST(I6169)),"")</f>
        <v/>
      </c>
      <c r="K6169">
        <f>IF(B6169,INDEX(MineScale,C6169),"")</f>
        <v/>
      </c>
      <c r="L6169">
        <f>IF(B6169,INDEX(Dow,1,WEEKDAY(E6169,2)),"")</f>
        <v/>
      </c>
      <c r="M6169">
        <f>IF(B6169,(1+Trend)^D6169,"")</f>
        <v/>
      </c>
      <c r="N6169">
        <f>IF(B6169,EXP(SUMPRODUCT(LN(1+(EvEff-1)*INDEX(Affected,0,C6169)*EXP(-((E6169-EvCenter)^2)/(2*EvSigma^2))))),"")</f>
        <v/>
      </c>
      <c r="O6169">
        <f>IF(B6169,ROUND(MAX(0,J6169*K6169*L6169*M6169*N6169),2),"")</f>
        <v/>
      </c>
    </row>
    <row r="6170">
      <c r="A6170" t="n">
        <v>6169</v>
      </c>
      <c r="B6170">
        <f>A6170&lt;=MineCount*Days</f>
        <v/>
      </c>
      <c r="C6170">
        <f>IF(B6170,INT((A6170-1)/Days)+1,"")</f>
        <v/>
      </c>
      <c r="D6170">
        <f>IF(B6170,MOD(A6170-1,Days),"")</f>
        <v/>
      </c>
      <c r="E6170" s="16">
        <f>IF(B6170,StartDate+D6170,"")</f>
        <v/>
      </c>
      <c r="F6170">
        <f>IF(B6170,MAX(MOD(SIN(Seed*0.1373+C6170*12.9898+D6170*78.233)*43758.5453,1),1E-9),"")</f>
        <v/>
      </c>
      <c r="G6170">
        <f>IF(B6170,MOD(SIN(Seed*0.5917+C6170*39.3468+D6170*11.135)*24634.6345,1),"")</f>
        <v/>
      </c>
      <c r="H6170">
        <f>IF(B6170,SQRT(-2*LN(F6170))*COS(2*PI()*G6170),"")</f>
        <v/>
      </c>
      <c r="I6170">
        <f>IF(B6170,IF(D6170=0,H6170,Rho*I6169+SQRT(1-Rho^2)*H6170),"")</f>
        <v/>
      </c>
      <c r="J6170">
        <f>IF(B6170,IF(Dist="Normal",DistA+DistB*I6170,DistA+(DistB-DistA)*NORMSDIST(I6170)),"")</f>
        <v/>
      </c>
      <c r="K6170">
        <f>IF(B6170,INDEX(MineScale,C6170),"")</f>
        <v/>
      </c>
      <c r="L6170">
        <f>IF(B6170,INDEX(Dow,1,WEEKDAY(E6170,2)),"")</f>
        <v/>
      </c>
      <c r="M6170">
        <f>IF(B6170,(1+Trend)^D6170,"")</f>
        <v/>
      </c>
      <c r="N6170">
        <f>IF(B6170,EXP(SUMPRODUCT(LN(1+(EvEff-1)*INDEX(Affected,0,C6170)*EXP(-((E6170-EvCenter)^2)/(2*EvSigma^2))))),"")</f>
        <v/>
      </c>
      <c r="O6170">
        <f>IF(B6170,ROUND(MAX(0,J6170*K6170*L6170*M6170*N6170),2),"")</f>
        <v/>
      </c>
    </row>
    <row r="6171">
      <c r="A6171" t="n">
        <v>6170</v>
      </c>
      <c r="B6171">
        <f>A6171&lt;=MineCount*Days</f>
        <v/>
      </c>
      <c r="C6171">
        <f>IF(B6171,INT((A6171-1)/Days)+1,"")</f>
        <v/>
      </c>
      <c r="D6171">
        <f>IF(B6171,MOD(A6171-1,Days),"")</f>
        <v/>
      </c>
      <c r="E6171" s="16">
        <f>IF(B6171,StartDate+D6171,"")</f>
        <v/>
      </c>
      <c r="F6171">
        <f>IF(B6171,MAX(MOD(SIN(Seed*0.1373+C6171*12.9898+D6171*78.233)*43758.5453,1),1E-9),"")</f>
        <v/>
      </c>
      <c r="G6171">
        <f>IF(B6171,MOD(SIN(Seed*0.5917+C6171*39.3468+D6171*11.135)*24634.6345,1),"")</f>
        <v/>
      </c>
      <c r="H6171">
        <f>IF(B6171,SQRT(-2*LN(F6171))*COS(2*PI()*G6171),"")</f>
        <v/>
      </c>
      <c r="I6171">
        <f>IF(B6171,IF(D6171=0,H6171,Rho*I6170+SQRT(1-Rho^2)*H6171),"")</f>
        <v/>
      </c>
      <c r="J6171">
        <f>IF(B6171,IF(Dist="Normal",DistA+DistB*I6171,DistA+(DistB-DistA)*NORMSDIST(I6171)),"")</f>
        <v/>
      </c>
      <c r="K6171">
        <f>IF(B6171,INDEX(MineScale,C6171),"")</f>
        <v/>
      </c>
      <c r="L6171">
        <f>IF(B6171,INDEX(Dow,1,WEEKDAY(E6171,2)),"")</f>
        <v/>
      </c>
      <c r="M6171">
        <f>IF(B6171,(1+Trend)^D6171,"")</f>
        <v/>
      </c>
      <c r="N6171">
        <f>IF(B6171,EXP(SUMPRODUCT(LN(1+(EvEff-1)*INDEX(Affected,0,C6171)*EXP(-((E6171-EvCenter)^2)/(2*EvSigma^2))))),"")</f>
        <v/>
      </c>
      <c r="O6171">
        <f>IF(B6171,ROUND(MAX(0,J6171*K6171*L6171*M6171*N6171),2),"")</f>
        <v/>
      </c>
    </row>
    <row r="6172">
      <c r="A6172" t="n">
        <v>6171</v>
      </c>
      <c r="B6172">
        <f>A6172&lt;=MineCount*Days</f>
        <v/>
      </c>
      <c r="C6172">
        <f>IF(B6172,INT((A6172-1)/Days)+1,"")</f>
        <v/>
      </c>
      <c r="D6172">
        <f>IF(B6172,MOD(A6172-1,Days),"")</f>
        <v/>
      </c>
      <c r="E6172" s="16">
        <f>IF(B6172,StartDate+D6172,"")</f>
        <v/>
      </c>
      <c r="F6172">
        <f>IF(B6172,MAX(MOD(SIN(Seed*0.1373+C6172*12.9898+D6172*78.233)*43758.5453,1),1E-9),"")</f>
        <v/>
      </c>
      <c r="G6172">
        <f>IF(B6172,MOD(SIN(Seed*0.5917+C6172*39.3468+D6172*11.135)*24634.6345,1),"")</f>
        <v/>
      </c>
      <c r="H6172">
        <f>IF(B6172,SQRT(-2*LN(F6172))*COS(2*PI()*G6172),"")</f>
        <v/>
      </c>
      <c r="I6172">
        <f>IF(B6172,IF(D6172=0,H6172,Rho*I6171+SQRT(1-Rho^2)*H6172),"")</f>
        <v/>
      </c>
      <c r="J6172">
        <f>IF(B6172,IF(Dist="Normal",DistA+DistB*I6172,DistA+(DistB-DistA)*NORMSDIST(I6172)),"")</f>
        <v/>
      </c>
      <c r="K6172">
        <f>IF(B6172,INDEX(MineScale,C6172),"")</f>
        <v/>
      </c>
      <c r="L6172">
        <f>IF(B6172,INDEX(Dow,1,WEEKDAY(E6172,2)),"")</f>
        <v/>
      </c>
      <c r="M6172">
        <f>IF(B6172,(1+Trend)^D6172,"")</f>
        <v/>
      </c>
      <c r="N6172">
        <f>IF(B6172,EXP(SUMPRODUCT(LN(1+(EvEff-1)*INDEX(Affected,0,C6172)*EXP(-((E6172-EvCenter)^2)/(2*EvSigma^2))))),"")</f>
        <v/>
      </c>
      <c r="O6172">
        <f>IF(B6172,ROUND(MAX(0,J6172*K6172*L6172*M6172*N6172),2),"")</f>
        <v/>
      </c>
    </row>
    <row r="6173">
      <c r="A6173" t="n">
        <v>6172</v>
      </c>
      <c r="B6173">
        <f>A6173&lt;=MineCount*Days</f>
        <v/>
      </c>
      <c r="C6173">
        <f>IF(B6173,INT((A6173-1)/Days)+1,"")</f>
        <v/>
      </c>
      <c r="D6173">
        <f>IF(B6173,MOD(A6173-1,Days),"")</f>
        <v/>
      </c>
      <c r="E6173" s="16">
        <f>IF(B6173,StartDate+D6173,"")</f>
        <v/>
      </c>
      <c r="F6173">
        <f>IF(B6173,MAX(MOD(SIN(Seed*0.1373+C6173*12.9898+D6173*78.233)*43758.5453,1),1E-9),"")</f>
        <v/>
      </c>
      <c r="G6173">
        <f>IF(B6173,MOD(SIN(Seed*0.5917+C6173*39.3468+D6173*11.135)*24634.6345,1),"")</f>
        <v/>
      </c>
      <c r="H6173">
        <f>IF(B6173,SQRT(-2*LN(F6173))*COS(2*PI()*G6173),"")</f>
        <v/>
      </c>
      <c r="I6173">
        <f>IF(B6173,IF(D6173=0,H6173,Rho*I6172+SQRT(1-Rho^2)*H6173),"")</f>
        <v/>
      </c>
      <c r="J6173">
        <f>IF(B6173,IF(Dist="Normal",DistA+DistB*I6173,DistA+(DistB-DistA)*NORMSDIST(I6173)),"")</f>
        <v/>
      </c>
      <c r="K6173">
        <f>IF(B6173,INDEX(MineScale,C6173),"")</f>
        <v/>
      </c>
      <c r="L6173">
        <f>IF(B6173,INDEX(Dow,1,WEEKDAY(E6173,2)),"")</f>
        <v/>
      </c>
      <c r="M6173">
        <f>IF(B6173,(1+Trend)^D6173,"")</f>
        <v/>
      </c>
      <c r="N6173">
        <f>IF(B6173,EXP(SUMPRODUCT(LN(1+(EvEff-1)*INDEX(Affected,0,C6173)*EXP(-((E6173-EvCenter)^2)/(2*EvSigma^2))))),"")</f>
        <v/>
      </c>
      <c r="O6173">
        <f>IF(B6173,ROUND(MAX(0,J6173*K6173*L6173*M6173*N6173),2),"")</f>
        <v/>
      </c>
    </row>
    <row r="6174">
      <c r="A6174" t="n">
        <v>6173</v>
      </c>
      <c r="B6174">
        <f>A6174&lt;=MineCount*Days</f>
        <v/>
      </c>
      <c r="C6174">
        <f>IF(B6174,INT((A6174-1)/Days)+1,"")</f>
        <v/>
      </c>
      <c r="D6174">
        <f>IF(B6174,MOD(A6174-1,Days),"")</f>
        <v/>
      </c>
      <c r="E6174" s="16">
        <f>IF(B6174,StartDate+D6174,"")</f>
        <v/>
      </c>
      <c r="F6174">
        <f>IF(B6174,MAX(MOD(SIN(Seed*0.1373+C6174*12.9898+D6174*78.233)*43758.5453,1),1E-9),"")</f>
        <v/>
      </c>
      <c r="G6174">
        <f>IF(B6174,MOD(SIN(Seed*0.5917+C6174*39.3468+D6174*11.135)*24634.6345,1),"")</f>
        <v/>
      </c>
      <c r="H6174">
        <f>IF(B6174,SQRT(-2*LN(F6174))*COS(2*PI()*G6174),"")</f>
        <v/>
      </c>
      <c r="I6174">
        <f>IF(B6174,IF(D6174=0,H6174,Rho*I6173+SQRT(1-Rho^2)*H6174),"")</f>
        <v/>
      </c>
      <c r="J6174">
        <f>IF(B6174,IF(Dist="Normal",DistA+DistB*I6174,DistA+(DistB-DistA)*NORMSDIST(I6174)),"")</f>
        <v/>
      </c>
      <c r="K6174">
        <f>IF(B6174,INDEX(MineScale,C6174),"")</f>
        <v/>
      </c>
      <c r="L6174">
        <f>IF(B6174,INDEX(Dow,1,WEEKDAY(E6174,2)),"")</f>
        <v/>
      </c>
      <c r="M6174">
        <f>IF(B6174,(1+Trend)^D6174,"")</f>
        <v/>
      </c>
      <c r="N6174">
        <f>IF(B6174,EXP(SUMPRODUCT(LN(1+(EvEff-1)*INDEX(Affected,0,C6174)*EXP(-((E6174-EvCenter)^2)/(2*EvSigma^2))))),"")</f>
        <v/>
      </c>
      <c r="O6174">
        <f>IF(B6174,ROUND(MAX(0,J6174*K6174*L6174*M6174*N6174),2),"")</f>
        <v/>
      </c>
    </row>
    <row r="6175">
      <c r="A6175" t="n">
        <v>6174</v>
      </c>
      <c r="B6175">
        <f>A6175&lt;=MineCount*Days</f>
        <v/>
      </c>
      <c r="C6175">
        <f>IF(B6175,INT((A6175-1)/Days)+1,"")</f>
        <v/>
      </c>
      <c r="D6175">
        <f>IF(B6175,MOD(A6175-1,Days),"")</f>
        <v/>
      </c>
      <c r="E6175" s="16">
        <f>IF(B6175,StartDate+D6175,"")</f>
        <v/>
      </c>
      <c r="F6175">
        <f>IF(B6175,MAX(MOD(SIN(Seed*0.1373+C6175*12.9898+D6175*78.233)*43758.5453,1),1E-9),"")</f>
        <v/>
      </c>
      <c r="G6175">
        <f>IF(B6175,MOD(SIN(Seed*0.5917+C6175*39.3468+D6175*11.135)*24634.6345,1),"")</f>
        <v/>
      </c>
      <c r="H6175">
        <f>IF(B6175,SQRT(-2*LN(F6175))*COS(2*PI()*G6175),"")</f>
        <v/>
      </c>
      <c r="I6175">
        <f>IF(B6175,IF(D6175=0,H6175,Rho*I6174+SQRT(1-Rho^2)*H6175),"")</f>
        <v/>
      </c>
      <c r="J6175">
        <f>IF(B6175,IF(Dist="Normal",DistA+DistB*I6175,DistA+(DistB-DistA)*NORMSDIST(I6175)),"")</f>
        <v/>
      </c>
      <c r="K6175">
        <f>IF(B6175,INDEX(MineScale,C6175),"")</f>
        <v/>
      </c>
      <c r="L6175">
        <f>IF(B6175,INDEX(Dow,1,WEEKDAY(E6175,2)),"")</f>
        <v/>
      </c>
      <c r="M6175">
        <f>IF(B6175,(1+Trend)^D6175,"")</f>
        <v/>
      </c>
      <c r="N6175">
        <f>IF(B6175,EXP(SUMPRODUCT(LN(1+(EvEff-1)*INDEX(Affected,0,C6175)*EXP(-((E6175-EvCenter)^2)/(2*EvSigma^2))))),"")</f>
        <v/>
      </c>
      <c r="O6175">
        <f>IF(B6175,ROUND(MAX(0,J6175*K6175*L6175*M6175*N6175),2),"")</f>
        <v/>
      </c>
    </row>
    <row r="6176">
      <c r="A6176" t="n">
        <v>6175</v>
      </c>
      <c r="B6176">
        <f>A6176&lt;=MineCount*Days</f>
        <v/>
      </c>
      <c r="C6176">
        <f>IF(B6176,INT((A6176-1)/Days)+1,"")</f>
        <v/>
      </c>
      <c r="D6176">
        <f>IF(B6176,MOD(A6176-1,Days),"")</f>
        <v/>
      </c>
      <c r="E6176" s="16">
        <f>IF(B6176,StartDate+D6176,"")</f>
        <v/>
      </c>
      <c r="F6176">
        <f>IF(B6176,MAX(MOD(SIN(Seed*0.1373+C6176*12.9898+D6176*78.233)*43758.5453,1),1E-9),"")</f>
        <v/>
      </c>
      <c r="G6176">
        <f>IF(B6176,MOD(SIN(Seed*0.5917+C6176*39.3468+D6176*11.135)*24634.6345,1),"")</f>
        <v/>
      </c>
      <c r="H6176">
        <f>IF(B6176,SQRT(-2*LN(F6176))*COS(2*PI()*G6176),"")</f>
        <v/>
      </c>
      <c r="I6176">
        <f>IF(B6176,IF(D6176=0,H6176,Rho*I6175+SQRT(1-Rho^2)*H6176),"")</f>
        <v/>
      </c>
      <c r="J6176">
        <f>IF(B6176,IF(Dist="Normal",DistA+DistB*I6176,DistA+(DistB-DistA)*NORMSDIST(I6176)),"")</f>
        <v/>
      </c>
      <c r="K6176">
        <f>IF(B6176,INDEX(MineScale,C6176),"")</f>
        <v/>
      </c>
      <c r="L6176">
        <f>IF(B6176,INDEX(Dow,1,WEEKDAY(E6176,2)),"")</f>
        <v/>
      </c>
      <c r="M6176">
        <f>IF(B6176,(1+Trend)^D6176,"")</f>
        <v/>
      </c>
      <c r="N6176">
        <f>IF(B6176,EXP(SUMPRODUCT(LN(1+(EvEff-1)*INDEX(Affected,0,C6176)*EXP(-((E6176-EvCenter)^2)/(2*EvSigma^2))))),"")</f>
        <v/>
      </c>
      <c r="O6176">
        <f>IF(B6176,ROUND(MAX(0,J6176*K6176*L6176*M6176*N6176),2),"")</f>
        <v/>
      </c>
    </row>
    <row r="6177">
      <c r="A6177" t="n">
        <v>6176</v>
      </c>
      <c r="B6177">
        <f>A6177&lt;=MineCount*Days</f>
        <v/>
      </c>
      <c r="C6177">
        <f>IF(B6177,INT((A6177-1)/Days)+1,"")</f>
        <v/>
      </c>
      <c r="D6177">
        <f>IF(B6177,MOD(A6177-1,Days),"")</f>
        <v/>
      </c>
      <c r="E6177" s="16">
        <f>IF(B6177,StartDate+D6177,"")</f>
        <v/>
      </c>
      <c r="F6177">
        <f>IF(B6177,MAX(MOD(SIN(Seed*0.1373+C6177*12.9898+D6177*78.233)*43758.5453,1),1E-9),"")</f>
        <v/>
      </c>
      <c r="G6177">
        <f>IF(B6177,MOD(SIN(Seed*0.5917+C6177*39.3468+D6177*11.135)*24634.6345,1),"")</f>
        <v/>
      </c>
      <c r="H6177">
        <f>IF(B6177,SQRT(-2*LN(F6177))*COS(2*PI()*G6177),"")</f>
        <v/>
      </c>
      <c r="I6177">
        <f>IF(B6177,IF(D6177=0,H6177,Rho*I6176+SQRT(1-Rho^2)*H6177),"")</f>
        <v/>
      </c>
      <c r="J6177">
        <f>IF(B6177,IF(Dist="Normal",DistA+DistB*I6177,DistA+(DistB-DistA)*NORMSDIST(I6177)),"")</f>
        <v/>
      </c>
      <c r="K6177">
        <f>IF(B6177,INDEX(MineScale,C6177),"")</f>
        <v/>
      </c>
      <c r="L6177">
        <f>IF(B6177,INDEX(Dow,1,WEEKDAY(E6177,2)),"")</f>
        <v/>
      </c>
      <c r="M6177">
        <f>IF(B6177,(1+Trend)^D6177,"")</f>
        <v/>
      </c>
      <c r="N6177">
        <f>IF(B6177,EXP(SUMPRODUCT(LN(1+(EvEff-1)*INDEX(Affected,0,C6177)*EXP(-((E6177-EvCenter)^2)/(2*EvSigma^2))))),"")</f>
        <v/>
      </c>
      <c r="O6177">
        <f>IF(B6177,ROUND(MAX(0,J6177*K6177*L6177*M6177*N6177),2),"")</f>
        <v/>
      </c>
    </row>
    <row r="6178">
      <c r="A6178" t="n">
        <v>6177</v>
      </c>
      <c r="B6178">
        <f>A6178&lt;=MineCount*Days</f>
        <v/>
      </c>
      <c r="C6178">
        <f>IF(B6178,INT((A6178-1)/Days)+1,"")</f>
        <v/>
      </c>
      <c r="D6178">
        <f>IF(B6178,MOD(A6178-1,Days),"")</f>
        <v/>
      </c>
      <c r="E6178" s="16">
        <f>IF(B6178,StartDate+D6178,"")</f>
        <v/>
      </c>
      <c r="F6178">
        <f>IF(B6178,MAX(MOD(SIN(Seed*0.1373+C6178*12.9898+D6178*78.233)*43758.5453,1),1E-9),"")</f>
        <v/>
      </c>
      <c r="G6178">
        <f>IF(B6178,MOD(SIN(Seed*0.5917+C6178*39.3468+D6178*11.135)*24634.6345,1),"")</f>
        <v/>
      </c>
      <c r="H6178">
        <f>IF(B6178,SQRT(-2*LN(F6178))*COS(2*PI()*G6178),"")</f>
        <v/>
      </c>
      <c r="I6178">
        <f>IF(B6178,IF(D6178=0,H6178,Rho*I6177+SQRT(1-Rho^2)*H6178),"")</f>
        <v/>
      </c>
      <c r="J6178">
        <f>IF(B6178,IF(Dist="Normal",DistA+DistB*I6178,DistA+(DistB-DistA)*NORMSDIST(I6178)),"")</f>
        <v/>
      </c>
      <c r="K6178">
        <f>IF(B6178,INDEX(MineScale,C6178),"")</f>
        <v/>
      </c>
      <c r="L6178">
        <f>IF(B6178,INDEX(Dow,1,WEEKDAY(E6178,2)),"")</f>
        <v/>
      </c>
      <c r="M6178">
        <f>IF(B6178,(1+Trend)^D6178,"")</f>
        <v/>
      </c>
      <c r="N6178">
        <f>IF(B6178,EXP(SUMPRODUCT(LN(1+(EvEff-1)*INDEX(Affected,0,C6178)*EXP(-((E6178-EvCenter)^2)/(2*EvSigma^2))))),"")</f>
        <v/>
      </c>
      <c r="O6178">
        <f>IF(B6178,ROUND(MAX(0,J6178*K6178*L6178*M6178*N6178),2),"")</f>
        <v/>
      </c>
    </row>
    <row r="6179">
      <c r="A6179" t="n">
        <v>6178</v>
      </c>
      <c r="B6179">
        <f>A6179&lt;=MineCount*Days</f>
        <v/>
      </c>
      <c r="C6179">
        <f>IF(B6179,INT((A6179-1)/Days)+1,"")</f>
        <v/>
      </c>
      <c r="D6179">
        <f>IF(B6179,MOD(A6179-1,Days),"")</f>
        <v/>
      </c>
      <c r="E6179" s="16">
        <f>IF(B6179,StartDate+D6179,"")</f>
        <v/>
      </c>
      <c r="F6179">
        <f>IF(B6179,MAX(MOD(SIN(Seed*0.1373+C6179*12.9898+D6179*78.233)*43758.5453,1),1E-9),"")</f>
        <v/>
      </c>
      <c r="G6179">
        <f>IF(B6179,MOD(SIN(Seed*0.5917+C6179*39.3468+D6179*11.135)*24634.6345,1),"")</f>
        <v/>
      </c>
      <c r="H6179">
        <f>IF(B6179,SQRT(-2*LN(F6179))*COS(2*PI()*G6179),"")</f>
        <v/>
      </c>
      <c r="I6179">
        <f>IF(B6179,IF(D6179=0,H6179,Rho*I6178+SQRT(1-Rho^2)*H6179),"")</f>
        <v/>
      </c>
      <c r="J6179">
        <f>IF(B6179,IF(Dist="Normal",DistA+DistB*I6179,DistA+(DistB-DistA)*NORMSDIST(I6179)),"")</f>
        <v/>
      </c>
      <c r="K6179">
        <f>IF(B6179,INDEX(MineScale,C6179),"")</f>
        <v/>
      </c>
      <c r="L6179">
        <f>IF(B6179,INDEX(Dow,1,WEEKDAY(E6179,2)),"")</f>
        <v/>
      </c>
      <c r="M6179">
        <f>IF(B6179,(1+Trend)^D6179,"")</f>
        <v/>
      </c>
      <c r="N6179">
        <f>IF(B6179,EXP(SUMPRODUCT(LN(1+(EvEff-1)*INDEX(Affected,0,C6179)*EXP(-((E6179-EvCenter)^2)/(2*EvSigma^2))))),"")</f>
        <v/>
      </c>
      <c r="O6179">
        <f>IF(B6179,ROUND(MAX(0,J6179*K6179*L6179*M6179*N6179),2),"")</f>
        <v/>
      </c>
    </row>
    <row r="6180">
      <c r="A6180" t="n">
        <v>6179</v>
      </c>
      <c r="B6180">
        <f>A6180&lt;=MineCount*Days</f>
        <v/>
      </c>
      <c r="C6180">
        <f>IF(B6180,INT((A6180-1)/Days)+1,"")</f>
        <v/>
      </c>
      <c r="D6180">
        <f>IF(B6180,MOD(A6180-1,Days),"")</f>
        <v/>
      </c>
      <c r="E6180" s="16">
        <f>IF(B6180,StartDate+D6180,"")</f>
        <v/>
      </c>
      <c r="F6180">
        <f>IF(B6180,MAX(MOD(SIN(Seed*0.1373+C6180*12.9898+D6180*78.233)*43758.5453,1),1E-9),"")</f>
        <v/>
      </c>
      <c r="G6180">
        <f>IF(B6180,MOD(SIN(Seed*0.5917+C6180*39.3468+D6180*11.135)*24634.6345,1),"")</f>
        <v/>
      </c>
      <c r="H6180">
        <f>IF(B6180,SQRT(-2*LN(F6180))*COS(2*PI()*G6180),"")</f>
        <v/>
      </c>
      <c r="I6180">
        <f>IF(B6180,IF(D6180=0,H6180,Rho*I6179+SQRT(1-Rho^2)*H6180),"")</f>
        <v/>
      </c>
      <c r="J6180">
        <f>IF(B6180,IF(Dist="Normal",DistA+DistB*I6180,DistA+(DistB-DistA)*NORMSDIST(I6180)),"")</f>
        <v/>
      </c>
      <c r="K6180">
        <f>IF(B6180,INDEX(MineScale,C6180),"")</f>
        <v/>
      </c>
      <c r="L6180">
        <f>IF(B6180,INDEX(Dow,1,WEEKDAY(E6180,2)),"")</f>
        <v/>
      </c>
      <c r="M6180">
        <f>IF(B6180,(1+Trend)^D6180,"")</f>
        <v/>
      </c>
      <c r="N6180">
        <f>IF(B6180,EXP(SUMPRODUCT(LN(1+(EvEff-1)*INDEX(Affected,0,C6180)*EXP(-((E6180-EvCenter)^2)/(2*EvSigma^2))))),"")</f>
        <v/>
      </c>
      <c r="O6180">
        <f>IF(B6180,ROUND(MAX(0,J6180*K6180*L6180*M6180*N6180),2),"")</f>
        <v/>
      </c>
    </row>
    <row r="6181">
      <c r="A6181" t="n">
        <v>6180</v>
      </c>
      <c r="B6181">
        <f>A6181&lt;=MineCount*Days</f>
        <v/>
      </c>
      <c r="C6181">
        <f>IF(B6181,INT((A6181-1)/Days)+1,"")</f>
        <v/>
      </c>
      <c r="D6181">
        <f>IF(B6181,MOD(A6181-1,Days),"")</f>
        <v/>
      </c>
      <c r="E6181" s="16">
        <f>IF(B6181,StartDate+D6181,"")</f>
        <v/>
      </c>
      <c r="F6181">
        <f>IF(B6181,MAX(MOD(SIN(Seed*0.1373+C6181*12.9898+D6181*78.233)*43758.5453,1),1E-9),"")</f>
        <v/>
      </c>
      <c r="G6181">
        <f>IF(B6181,MOD(SIN(Seed*0.5917+C6181*39.3468+D6181*11.135)*24634.6345,1),"")</f>
        <v/>
      </c>
      <c r="H6181">
        <f>IF(B6181,SQRT(-2*LN(F6181))*COS(2*PI()*G6181),"")</f>
        <v/>
      </c>
      <c r="I6181">
        <f>IF(B6181,IF(D6181=0,H6181,Rho*I6180+SQRT(1-Rho^2)*H6181),"")</f>
        <v/>
      </c>
      <c r="J6181">
        <f>IF(B6181,IF(Dist="Normal",DistA+DistB*I6181,DistA+(DistB-DistA)*NORMSDIST(I6181)),"")</f>
        <v/>
      </c>
      <c r="K6181">
        <f>IF(B6181,INDEX(MineScale,C6181),"")</f>
        <v/>
      </c>
      <c r="L6181">
        <f>IF(B6181,INDEX(Dow,1,WEEKDAY(E6181,2)),"")</f>
        <v/>
      </c>
      <c r="M6181">
        <f>IF(B6181,(1+Trend)^D6181,"")</f>
        <v/>
      </c>
      <c r="N6181">
        <f>IF(B6181,EXP(SUMPRODUCT(LN(1+(EvEff-1)*INDEX(Affected,0,C6181)*EXP(-((E6181-EvCenter)^2)/(2*EvSigma^2))))),"")</f>
        <v/>
      </c>
      <c r="O6181">
        <f>IF(B6181,ROUND(MAX(0,J6181*K6181*L6181*M6181*N6181),2),"")</f>
        <v/>
      </c>
    </row>
    <row r="6182">
      <c r="A6182" t="n">
        <v>6181</v>
      </c>
      <c r="B6182">
        <f>A6182&lt;=MineCount*Days</f>
        <v/>
      </c>
      <c r="C6182">
        <f>IF(B6182,INT((A6182-1)/Days)+1,"")</f>
        <v/>
      </c>
      <c r="D6182">
        <f>IF(B6182,MOD(A6182-1,Days),"")</f>
        <v/>
      </c>
      <c r="E6182" s="16">
        <f>IF(B6182,StartDate+D6182,"")</f>
        <v/>
      </c>
      <c r="F6182">
        <f>IF(B6182,MAX(MOD(SIN(Seed*0.1373+C6182*12.9898+D6182*78.233)*43758.5453,1),1E-9),"")</f>
        <v/>
      </c>
      <c r="G6182">
        <f>IF(B6182,MOD(SIN(Seed*0.5917+C6182*39.3468+D6182*11.135)*24634.6345,1),"")</f>
        <v/>
      </c>
      <c r="H6182">
        <f>IF(B6182,SQRT(-2*LN(F6182))*COS(2*PI()*G6182),"")</f>
        <v/>
      </c>
      <c r="I6182">
        <f>IF(B6182,IF(D6182=0,H6182,Rho*I6181+SQRT(1-Rho^2)*H6182),"")</f>
        <v/>
      </c>
      <c r="J6182">
        <f>IF(B6182,IF(Dist="Normal",DistA+DistB*I6182,DistA+(DistB-DistA)*NORMSDIST(I6182)),"")</f>
        <v/>
      </c>
      <c r="K6182">
        <f>IF(B6182,INDEX(MineScale,C6182),"")</f>
        <v/>
      </c>
      <c r="L6182">
        <f>IF(B6182,INDEX(Dow,1,WEEKDAY(E6182,2)),"")</f>
        <v/>
      </c>
      <c r="M6182">
        <f>IF(B6182,(1+Trend)^D6182,"")</f>
        <v/>
      </c>
      <c r="N6182">
        <f>IF(B6182,EXP(SUMPRODUCT(LN(1+(EvEff-1)*INDEX(Affected,0,C6182)*EXP(-((E6182-EvCenter)^2)/(2*EvSigma^2))))),"")</f>
        <v/>
      </c>
      <c r="O6182">
        <f>IF(B6182,ROUND(MAX(0,J6182*K6182*L6182*M6182*N6182),2),"")</f>
        <v/>
      </c>
    </row>
    <row r="6183">
      <c r="A6183" t="n">
        <v>6182</v>
      </c>
      <c r="B6183">
        <f>A6183&lt;=MineCount*Days</f>
        <v/>
      </c>
      <c r="C6183">
        <f>IF(B6183,INT((A6183-1)/Days)+1,"")</f>
        <v/>
      </c>
      <c r="D6183">
        <f>IF(B6183,MOD(A6183-1,Days),"")</f>
        <v/>
      </c>
      <c r="E6183" s="16">
        <f>IF(B6183,StartDate+D6183,"")</f>
        <v/>
      </c>
      <c r="F6183">
        <f>IF(B6183,MAX(MOD(SIN(Seed*0.1373+C6183*12.9898+D6183*78.233)*43758.5453,1),1E-9),"")</f>
        <v/>
      </c>
      <c r="G6183">
        <f>IF(B6183,MOD(SIN(Seed*0.5917+C6183*39.3468+D6183*11.135)*24634.6345,1),"")</f>
        <v/>
      </c>
      <c r="H6183">
        <f>IF(B6183,SQRT(-2*LN(F6183))*COS(2*PI()*G6183),"")</f>
        <v/>
      </c>
      <c r="I6183">
        <f>IF(B6183,IF(D6183=0,H6183,Rho*I6182+SQRT(1-Rho^2)*H6183),"")</f>
        <v/>
      </c>
      <c r="J6183">
        <f>IF(B6183,IF(Dist="Normal",DistA+DistB*I6183,DistA+(DistB-DistA)*NORMSDIST(I6183)),"")</f>
        <v/>
      </c>
      <c r="K6183">
        <f>IF(B6183,INDEX(MineScale,C6183),"")</f>
        <v/>
      </c>
      <c r="L6183">
        <f>IF(B6183,INDEX(Dow,1,WEEKDAY(E6183,2)),"")</f>
        <v/>
      </c>
      <c r="M6183">
        <f>IF(B6183,(1+Trend)^D6183,"")</f>
        <v/>
      </c>
      <c r="N6183">
        <f>IF(B6183,EXP(SUMPRODUCT(LN(1+(EvEff-1)*INDEX(Affected,0,C6183)*EXP(-((E6183-EvCenter)^2)/(2*EvSigma^2))))),"")</f>
        <v/>
      </c>
      <c r="O6183">
        <f>IF(B6183,ROUND(MAX(0,J6183*K6183*L6183*M6183*N6183),2),"")</f>
        <v/>
      </c>
    </row>
    <row r="6184">
      <c r="A6184" t="n">
        <v>6183</v>
      </c>
      <c r="B6184">
        <f>A6184&lt;=MineCount*Days</f>
        <v/>
      </c>
      <c r="C6184">
        <f>IF(B6184,INT((A6184-1)/Days)+1,"")</f>
        <v/>
      </c>
      <c r="D6184">
        <f>IF(B6184,MOD(A6184-1,Days),"")</f>
        <v/>
      </c>
      <c r="E6184" s="16">
        <f>IF(B6184,StartDate+D6184,"")</f>
        <v/>
      </c>
      <c r="F6184">
        <f>IF(B6184,MAX(MOD(SIN(Seed*0.1373+C6184*12.9898+D6184*78.233)*43758.5453,1),1E-9),"")</f>
        <v/>
      </c>
      <c r="G6184">
        <f>IF(B6184,MOD(SIN(Seed*0.5917+C6184*39.3468+D6184*11.135)*24634.6345,1),"")</f>
        <v/>
      </c>
      <c r="H6184">
        <f>IF(B6184,SQRT(-2*LN(F6184))*COS(2*PI()*G6184),"")</f>
        <v/>
      </c>
      <c r="I6184">
        <f>IF(B6184,IF(D6184=0,H6184,Rho*I6183+SQRT(1-Rho^2)*H6184),"")</f>
        <v/>
      </c>
      <c r="J6184">
        <f>IF(B6184,IF(Dist="Normal",DistA+DistB*I6184,DistA+(DistB-DistA)*NORMSDIST(I6184)),"")</f>
        <v/>
      </c>
      <c r="K6184">
        <f>IF(B6184,INDEX(MineScale,C6184),"")</f>
        <v/>
      </c>
      <c r="L6184">
        <f>IF(B6184,INDEX(Dow,1,WEEKDAY(E6184,2)),"")</f>
        <v/>
      </c>
      <c r="M6184">
        <f>IF(B6184,(1+Trend)^D6184,"")</f>
        <v/>
      </c>
      <c r="N6184">
        <f>IF(B6184,EXP(SUMPRODUCT(LN(1+(EvEff-1)*INDEX(Affected,0,C6184)*EXP(-((E6184-EvCenter)^2)/(2*EvSigma^2))))),"")</f>
        <v/>
      </c>
      <c r="O6184">
        <f>IF(B6184,ROUND(MAX(0,J6184*K6184*L6184*M6184*N6184),2),"")</f>
        <v/>
      </c>
    </row>
    <row r="6185">
      <c r="A6185" t="n">
        <v>6184</v>
      </c>
      <c r="B6185">
        <f>A6185&lt;=MineCount*Days</f>
        <v/>
      </c>
      <c r="C6185">
        <f>IF(B6185,INT((A6185-1)/Days)+1,"")</f>
        <v/>
      </c>
      <c r="D6185">
        <f>IF(B6185,MOD(A6185-1,Days),"")</f>
        <v/>
      </c>
      <c r="E6185" s="16">
        <f>IF(B6185,StartDate+D6185,"")</f>
        <v/>
      </c>
      <c r="F6185">
        <f>IF(B6185,MAX(MOD(SIN(Seed*0.1373+C6185*12.9898+D6185*78.233)*43758.5453,1),1E-9),"")</f>
        <v/>
      </c>
      <c r="G6185">
        <f>IF(B6185,MOD(SIN(Seed*0.5917+C6185*39.3468+D6185*11.135)*24634.6345,1),"")</f>
        <v/>
      </c>
      <c r="H6185">
        <f>IF(B6185,SQRT(-2*LN(F6185))*COS(2*PI()*G6185),"")</f>
        <v/>
      </c>
      <c r="I6185">
        <f>IF(B6185,IF(D6185=0,H6185,Rho*I6184+SQRT(1-Rho^2)*H6185),"")</f>
        <v/>
      </c>
      <c r="J6185">
        <f>IF(B6185,IF(Dist="Normal",DistA+DistB*I6185,DistA+(DistB-DistA)*NORMSDIST(I6185)),"")</f>
        <v/>
      </c>
      <c r="K6185">
        <f>IF(B6185,INDEX(MineScale,C6185),"")</f>
        <v/>
      </c>
      <c r="L6185">
        <f>IF(B6185,INDEX(Dow,1,WEEKDAY(E6185,2)),"")</f>
        <v/>
      </c>
      <c r="M6185">
        <f>IF(B6185,(1+Trend)^D6185,"")</f>
        <v/>
      </c>
      <c r="N6185">
        <f>IF(B6185,EXP(SUMPRODUCT(LN(1+(EvEff-1)*INDEX(Affected,0,C6185)*EXP(-((E6185-EvCenter)^2)/(2*EvSigma^2))))),"")</f>
        <v/>
      </c>
      <c r="O6185">
        <f>IF(B6185,ROUND(MAX(0,J6185*K6185*L6185*M6185*N6185),2),"")</f>
        <v/>
      </c>
    </row>
    <row r="6186">
      <c r="A6186" t="n">
        <v>6185</v>
      </c>
      <c r="B6186">
        <f>A6186&lt;=MineCount*Days</f>
        <v/>
      </c>
      <c r="C6186">
        <f>IF(B6186,INT((A6186-1)/Days)+1,"")</f>
        <v/>
      </c>
      <c r="D6186">
        <f>IF(B6186,MOD(A6186-1,Days),"")</f>
        <v/>
      </c>
      <c r="E6186" s="16">
        <f>IF(B6186,StartDate+D6186,"")</f>
        <v/>
      </c>
      <c r="F6186">
        <f>IF(B6186,MAX(MOD(SIN(Seed*0.1373+C6186*12.9898+D6186*78.233)*43758.5453,1),1E-9),"")</f>
        <v/>
      </c>
      <c r="G6186">
        <f>IF(B6186,MOD(SIN(Seed*0.5917+C6186*39.3468+D6186*11.135)*24634.6345,1),"")</f>
        <v/>
      </c>
      <c r="H6186">
        <f>IF(B6186,SQRT(-2*LN(F6186))*COS(2*PI()*G6186),"")</f>
        <v/>
      </c>
      <c r="I6186">
        <f>IF(B6186,IF(D6186=0,H6186,Rho*I6185+SQRT(1-Rho^2)*H6186),"")</f>
        <v/>
      </c>
      <c r="J6186">
        <f>IF(B6186,IF(Dist="Normal",DistA+DistB*I6186,DistA+(DistB-DistA)*NORMSDIST(I6186)),"")</f>
        <v/>
      </c>
      <c r="K6186">
        <f>IF(B6186,INDEX(MineScale,C6186),"")</f>
        <v/>
      </c>
      <c r="L6186">
        <f>IF(B6186,INDEX(Dow,1,WEEKDAY(E6186,2)),"")</f>
        <v/>
      </c>
      <c r="M6186">
        <f>IF(B6186,(1+Trend)^D6186,"")</f>
        <v/>
      </c>
      <c r="N6186">
        <f>IF(B6186,EXP(SUMPRODUCT(LN(1+(EvEff-1)*INDEX(Affected,0,C6186)*EXP(-((E6186-EvCenter)^2)/(2*EvSigma^2))))),"")</f>
        <v/>
      </c>
      <c r="O6186">
        <f>IF(B6186,ROUND(MAX(0,J6186*K6186*L6186*M6186*N6186),2),"")</f>
        <v/>
      </c>
    </row>
    <row r="6187">
      <c r="A6187" t="n">
        <v>6186</v>
      </c>
      <c r="B6187">
        <f>A6187&lt;=MineCount*Days</f>
        <v/>
      </c>
      <c r="C6187">
        <f>IF(B6187,INT((A6187-1)/Days)+1,"")</f>
        <v/>
      </c>
      <c r="D6187">
        <f>IF(B6187,MOD(A6187-1,Days),"")</f>
        <v/>
      </c>
      <c r="E6187" s="16">
        <f>IF(B6187,StartDate+D6187,"")</f>
        <v/>
      </c>
      <c r="F6187">
        <f>IF(B6187,MAX(MOD(SIN(Seed*0.1373+C6187*12.9898+D6187*78.233)*43758.5453,1),1E-9),"")</f>
        <v/>
      </c>
      <c r="G6187">
        <f>IF(B6187,MOD(SIN(Seed*0.5917+C6187*39.3468+D6187*11.135)*24634.6345,1),"")</f>
        <v/>
      </c>
      <c r="H6187">
        <f>IF(B6187,SQRT(-2*LN(F6187))*COS(2*PI()*G6187),"")</f>
        <v/>
      </c>
      <c r="I6187">
        <f>IF(B6187,IF(D6187=0,H6187,Rho*I6186+SQRT(1-Rho^2)*H6187),"")</f>
        <v/>
      </c>
      <c r="J6187">
        <f>IF(B6187,IF(Dist="Normal",DistA+DistB*I6187,DistA+(DistB-DistA)*NORMSDIST(I6187)),"")</f>
        <v/>
      </c>
      <c r="K6187">
        <f>IF(B6187,INDEX(MineScale,C6187),"")</f>
        <v/>
      </c>
      <c r="L6187">
        <f>IF(B6187,INDEX(Dow,1,WEEKDAY(E6187,2)),"")</f>
        <v/>
      </c>
      <c r="M6187">
        <f>IF(B6187,(1+Trend)^D6187,"")</f>
        <v/>
      </c>
      <c r="N6187">
        <f>IF(B6187,EXP(SUMPRODUCT(LN(1+(EvEff-1)*INDEX(Affected,0,C6187)*EXP(-((E6187-EvCenter)^2)/(2*EvSigma^2))))),"")</f>
        <v/>
      </c>
      <c r="O6187">
        <f>IF(B6187,ROUND(MAX(0,J6187*K6187*L6187*M6187*N6187),2),"")</f>
        <v/>
      </c>
    </row>
    <row r="6188">
      <c r="A6188" t="n">
        <v>6187</v>
      </c>
      <c r="B6188">
        <f>A6188&lt;=MineCount*Days</f>
        <v/>
      </c>
      <c r="C6188">
        <f>IF(B6188,INT((A6188-1)/Days)+1,"")</f>
        <v/>
      </c>
      <c r="D6188">
        <f>IF(B6188,MOD(A6188-1,Days),"")</f>
        <v/>
      </c>
      <c r="E6188" s="16">
        <f>IF(B6188,StartDate+D6188,"")</f>
        <v/>
      </c>
      <c r="F6188">
        <f>IF(B6188,MAX(MOD(SIN(Seed*0.1373+C6188*12.9898+D6188*78.233)*43758.5453,1),1E-9),"")</f>
        <v/>
      </c>
      <c r="G6188">
        <f>IF(B6188,MOD(SIN(Seed*0.5917+C6188*39.3468+D6188*11.135)*24634.6345,1),"")</f>
        <v/>
      </c>
      <c r="H6188">
        <f>IF(B6188,SQRT(-2*LN(F6188))*COS(2*PI()*G6188),"")</f>
        <v/>
      </c>
      <c r="I6188">
        <f>IF(B6188,IF(D6188=0,H6188,Rho*I6187+SQRT(1-Rho^2)*H6188),"")</f>
        <v/>
      </c>
      <c r="J6188">
        <f>IF(B6188,IF(Dist="Normal",DistA+DistB*I6188,DistA+(DistB-DistA)*NORMSDIST(I6188)),"")</f>
        <v/>
      </c>
      <c r="K6188">
        <f>IF(B6188,INDEX(MineScale,C6188),"")</f>
        <v/>
      </c>
      <c r="L6188">
        <f>IF(B6188,INDEX(Dow,1,WEEKDAY(E6188,2)),"")</f>
        <v/>
      </c>
      <c r="M6188">
        <f>IF(B6188,(1+Trend)^D6188,"")</f>
        <v/>
      </c>
      <c r="N6188">
        <f>IF(B6188,EXP(SUMPRODUCT(LN(1+(EvEff-1)*INDEX(Affected,0,C6188)*EXP(-((E6188-EvCenter)^2)/(2*EvSigma^2))))),"")</f>
        <v/>
      </c>
      <c r="O6188">
        <f>IF(B6188,ROUND(MAX(0,J6188*K6188*L6188*M6188*N6188),2),"")</f>
        <v/>
      </c>
    </row>
    <row r="6189">
      <c r="A6189" t="n">
        <v>6188</v>
      </c>
      <c r="B6189">
        <f>A6189&lt;=MineCount*Days</f>
        <v/>
      </c>
      <c r="C6189">
        <f>IF(B6189,INT((A6189-1)/Days)+1,"")</f>
        <v/>
      </c>
      <c r="D6189">
        <f>IF(B6189,MOD(A6189-1,Days),"")</f>
        <v/>
      </c>
      <c r="E6189" s="16">
        <f>IF(B6189,StartDate+D6189,"")</f>
        <v/>
      </c>
      <c r="F6189">
        <f>IF(B6189,MAX(MOD(SIN(Seed*0.1373+C6189*12.9898+D6189*78.233)*43758.5453,1),1E-9),"")</f>
        <v/>
      </c>
      <c r="G6189">
        <f>IF(B6189,MOD(SIN(Seed*0.5917+C6189*39.3468+D6189*11.135)*24634.6345,1),"")</f>
        <v/>
      </c>
      <c r="H6189">
        <f>IF(B6189,SQRT(-2*LN(F6189))*COS(2*PI()*G6189),"")</f>
        <v/>
      </c>
      <c r="I6189">
        <f>IF(B6189,IF(D6189=0,H6189,Rho*I6188+SQRT(1-Rho^2)*H6189),"")</f>
        <v/>
      </c>
      <c r="J6189">
        <f>IF(B6189,IF(Dist="Normal",DistA+DistB*I6189,DistA+(DistB-DistA)*NORMSDIST(I6189)),"")</f>
        <v/>
      </c>
      <c r="K6189">
        <f>IF(B6189,INDEX(MineScale,C6189),"")</f>
        <v/>
      </c>
      <c r="L6189">
        <f>IF(B6189,INDEX(Dow,1,WEEKDAY(E6189,2)),"")</f>
        <v/>
      </c>
      <c r="M6189">
        <f>IF(B6189,(1+Trend)^D6189,"")</f>
        <v/>
      </c>
      <c r="N6189">
        <f>IF(B6189,EXP(SUMPRODUCT(LN(1+(EvEff-1)*INDEX(Affected,0,C6189)*EXP(-((E6189-EvCenter)^2)/(2*EvSigma^2))))),"")</f>
        <v/>
      </c>
      <c r="O6189">
        <f>IF(B6189,ROUND(MAX(0,J6189*K6189*L6189*M6189*N6189),2),"")</f>
        <v/>
      </c>
    </row>
    <row r="6190">
      <c r="A6190" t="n">
        <v>6189</v>
      </c>
      <c r="B6190">
        <f>A6190&lt;=MineCount*Days</f>
        <v/>
      </c>
      <c r="C6190">
        <f>IF(B6190,INT((A6190-1)/Days)+1,"")</f>
        <v/>
      </c>
      <c r="D6190">
        <f>IF(B6190,MOD(A6190-1,Days),"")</f>
        <v/>
      </c>
      <c r="E6190" s="16">
        <f>IF(B6190,StartDate+D6190,"")</f>
        <v/>
      </c>
      <c r="F6190">
        <f>IF(B6190,MAX(MOD(SIN(Seed*0.1373+C6190*12.9898+D6190*78.233)*43758.5453,1),1E-9),"")</f>
        <v/>
      </c>
      <c r="G6190">
        <f>IF(B6190,MOD(SIN(Seed*0.5917+C6190*39.3468+D6190*11.135)*24634.6345,1),"")</f>
        <v/>
      </c>
      <c r="H6190">
        <f>IF(B6190,SQRT(-2*LN(F6190))*COS(2*PI()*G6190),"")</f>
        <v/>
      </c>
      <c r="I6190">
        <f>IF(B6190,IF(D6190=0,H6190,Rho*I6189+SQRT(1-Rho^2)*H6190),"")</f>
        <v/>
      </c>
      <c r="J6190">
        <f>IF(B6190,IF(Dist="Normal",DistA+DistB*I6190,DistA+(DistB-DistA)*NORMSDIST(I6190)),"")</f>
        <v/>
      </c>
      <c r="K6190">
        <f>IF(B6190,INDEX(MineScale,C6190),"")</f>
        <v/>
      </c>
      <c r="L6190">
        <f>IF(B6190,INDEX(Dow,1,WEEKDAY(E6190,2)),"")</f>
        <v/>
      </c>
      <c r="M6190">
        <f>IF(B6190,(1+Trend)^D6190,"")</f>
        <v/>
      </c>
      <c r="N6190">
        <f>IF(B6190,EXP(SUMPRODUCT(LN(1+(EvEff-1)*INDEX(Affected,0,C6190)*EXP(-((E6190-EvCenter)^2)/(2*EvSigma^2))))),"")</f>
        <v/>
      </c>
      <c r="O6190">
        <f>IF(B6190,ROUND(MAX(0,J6190*K6190*L6190*M6190*N6190),2),"")</f>
        <v/>
      </c>
    </row>
    <row r="6191">
      <c r="A6191" t="n">
        <v>6190</v>
      </c>
      <c r="B6191">
        <f>A6191&lt;=MineCount*Days</f>
        <v/>
      </c>
      <c r="C6191">
        <f>IF(B6191,INT((A6191-1)/Days)+1,"")</f>
        <v/>
      </c>
      <c r="D6191">
        <f>IF(B6191,MOD(A6191-1,Days),"")</f>
        <v/>
      </c>
      <c r="E6191" s="16">
        <f>IF(B6191,StartDate+D6191,"")</f>
        <v/>
      </c>
      <c r="F6191">
        <f>IF(B6191,MAX(MOD(SIN(Seed*0.1373+C6191*12.9898+D6191*78.233)*43758.5453,1),1E-9),"")</f>
        <v/>
      </c>
      <c r="G6191">
        <f>IF(B6191,MOD(SIN(Seed*0.5917+C6191*39.3468+D6191*11.135)*24634.6345,1),"")</f>
        <v/>
      </c>
      <c r="H6191">
        <f>IF(B6191,SQRT(-2*LN(F6191))*COS(2*PI()*G6191),"")</f>
        <v/>
      </c>
      <c r="I6191">
        <f>IF(B6191,IF(D6191=0,H6191,Rho*I6190+SQRT(1-Rho^2)*H6191),"")</f>
        <v/>
      </c>
      <c r="J6191">
        <f>IF(B6191,IF(Dist="Normal",DistA+DistB*I6191,DistA+(DistB-DistA)*NORMSDIST(I6191)),"")</f>
        <v/>
      </c>
      <c r="K6191">
        <f>IF(B6191,INDEX(MineScale,C6191),"")</f>
        <v/>
      </c>
      <c r="L6191">
        <f>IF(B6191,INDEX(Dow,1,WEEKDAY(E6191,2)),"")</f>
        <v/>
      </c>
      <c r="M6191">
        <f>IF(B6191,(1+Trend)^D6191,"")</f>
        <v/>
      </c>
      <c r="N6191">
        <f>IF(B6191,EXP(SUMPRODUCT(LN(1+(EvEff-1)*INDEX(Affected,0,C6191)*EXP(-((E6191-EvCenter)^2)/(2*EvSigma^2))))),"")</f>
        <v/>
      </c>
      <c r="O6191">
        <f>IF(B6191,ROUND(MAX(0,J6191*K6191*L6191*M6191*N6191),2),"")</f>
        <v/>
      </c>
    </row>
    <row r="6192">
      <c r="A6192" t="n">
        <v>6191</v>
      </c>
      <c r="B6192">
        <f>A6192&lt;=MineCount*Days</f>
        <v/>
      </c>
      <c r="C6192">
        <f>IF(B6192,INT((A6192-1)/Days)+1,"")</f>
        <v/>
      </c>
      <c r="D6192">
        <f>IF(B6192,MOD(A6192-1,Days),"")</f>
        <v/>
      </c>
      <c r="E6192" s="16">
        <f>IF(B6192,StartDate+D6192,"")</f>
        <v/>
      </c>
      <c r="F6192">
        <f>IF(B6192,MAX(MOD(SIN(Seed*0.1373+C6192*12.9898+D6192*78.233)*43758.5453,1),1E-9),"")</f>
        <v/>
      </c>
      <c r="G6192">
        <f>IF(B6192,MOD(SIN(Seed*0.5917+C6192*39.3468+D6192*11.135)*24634.6345,1),"")</f>
        <v/>
      </c>
      <c r="H6192">
        <f>IF(B6192,SQRT(-2*LN(F6192))*COS(2*PI()*G6192),"")</f>
        <v/>
      </c>
      <c r="I6192">
        <f>IF(B6192,IF(D6192=0,H6192,Rho*I6191+SQRT(1-Rho^2)*H6192),"")</f>
        <v/>
      </c>
      <c r="J6192">
        <f>IF(B6192,IF(Dist="Normal",DistA+DistB*I6192,DistA+(DistB-DistA)*NORMSDIST(I6192)),"")</f>
        <v/>
      </c>
      <c r="K6192">
        <f>IF(B6192,INDEX(MineScale,C6192),"")</f>
        <v/>
      </c>
      <c r="L6192">
        <f>IF(B6192,INDEX(Dow,1,WEEKDAY(E6192,2)),"")</f>
        <v/>
      </c>
      <c r="M6192">
        <f>IF(B6192,(1+Trend)^D6192,"")</f>
        <v/>
      </c>
      <c r="N6192">
        <f>IF(B6192,EXP(SUMPRODUCT(LN(1+(EvEff-1)*INDEX(Affected,0,C6192)*EXP(-((E6192-EvCenter)^2)/(2*EvSigma^2))))),"")</f>
        <v/>
      </c>
      <c r="O6192">
        <f>IF(B6192,ROUND(MAX(0,J6192*K6192*L6192*M6192*N6192),2),"")</f>
        <v/>
      </c>
    </row>
    <row r="6193">
      <c r="A6193" t="n">
        <v>6192</v>
      </c>
      <c r="B6193">
        <f>A6193&lt;=MineCount*Days</f>
        <v/>
      </c>
      <c r="C6193">
        <f>IF(B6193,INT((A6193-1)/Days)+1,"")</f>
        <v/>
      </c>
      <c r="D6193">
        <f>IF(B6193,MOD(A6193-1,Days),"")</f>
        <v/>
      </c>
      <c r="E6193" s="16">
        <f>IF(B6193,StartDate+D6193,"")</f>
        <v/>
      </c>
      <c r="F6193">
        <f>IF(B6193,MAX(MOD(SIN(Seed*0.1373+C6193*12.9898+D6193*78.233)*43758.5453,1),1E-9),"")</f>
        <v/>
      </c>
      <c r="G6193">
        <f>IF(B6193,MOD(SIN(Seed*0.5917+C6193*39.3468+D6193*11.135)*24634.6345,1),"")</f>
        <v/>
      </c>
      <c r="H6193">
        <f>IF(B6193,SQRT(-2*LN(F6193))*COS(2*PI()*G6193),"")</f>
        <v/>
      </c>
      <c r="I6193">
        <f>IF(B6193,IF(D6193=0,H6193,Rho*I6192+SQRT(1-Rho^2)*H6193),"")</f>
        <v/>
      </c>
      <c r="J6193">
        <f>IF(B6193,IF(Dist="Normal",DistA+DistB*I6193,DistA+(DistB-DistA)*NORMSDIST(I6193)),"")</f>
        <v/>
      </c>
      <c r="K6193">
        <f>IF(B6193,INDEX(MineScale,C6193),"")</f>
        <v/>
      </c>
      <c r="L6193">
        <f>IF(B6193,INDEX(Dow,1,WEEKDAY(E6193,2)),"")</f>
        <v/>
      </c>
      <c r="M6193">
        <f>IF(B6193,(1+Trend)^D6193,"")</f>
        <v/>
      </c>
      <c r="N6193">
        <f>IF(B6193,EXP(SUMPRODUCT(LN(1+(EvEff-1)*INDEX(Affected,0,C6193)*EXP(-((E6193-EvCenter)^2)/(2*EvSigma^2))))),"")</f>
        <v/>
      </c>
      <c r="O6193">
        <f>IF(B6193,ROUND(MAX(0,J6193*K6193*L6193*M6193*N6193),2),"")</f>
        <v/>
      </c>
    </row>
    <row r="6194">
      <c r="A6194" t="n">
        <v>6193</v>
      </c>
      <c r="B6194">
        <f>A6194&lt;=MineCount*Days</f>
        <v/>
      </c>
      <c r="C6194">
        <f>IF(B6194,INT((A6194-1)/Days)+1,"")</f>
        <v/>
      </c>
      <c r="D6194">
        <f>IF(B6194,MOD(A6194-1,Days),"")</f>
        <v/>
      </c>
      <c r="E6194" s="16">
        <f>IF(B6194,StartDate+D6194,"")</f>
        <v/>
      </c>
      <c r="F6194">
        <f>IF(B6194,MAX(MOD(SIN(Seed*0.1373+C6194*12.9898+D6194*78.233)*43758.5453,1),1E-9),"")</f>
        <v/>
      </c>
      <c r="G6194">
        <f>IF(B6194,MOD(SIN(Seed*0.5917+C6194*39.3468+D6194*11.135)*24634.6345,1),"")</f>
        <v/>
      </c>
      <c r="H6194">
        <f>IF(B6194,SQRT(-2*LN(F6194))*COS(2*PI()*G6194),"")</f>
        <v/>
      </c>
      <c r="I6194">
        <f>IF(B6194,IF(D6194=0,H6194,Rho*I6193+SQRT(1-Rho^2)*H6194),"")</f>
        <v/>
      </c>
      <c r="J6194">
        <f>IF(B6194,IF(Dist="Normal",DistA+DistB*I6194,DistA+(DistB-DistA)*NORMSDIST(I6194)),"")</f>
        <v/>
      </c>
      <c r="K6194">
        <f>IF(B6194,INDEX(MineScale,C6194),"")</f>
        <v/>
      </c>
      <c r="L6194">
        <f>IF(B6194,INDEX(Dow,1,WEEKDAY(E6194,2)),"")</f>
        <v/>
      </c>
      <c r="M6194">
        <f>IF(B6194,(1+Trend)^D6194,"")</f>
        <v/>
      </c>
      <c r="N6194">
        <f>IF(B6194,EXP(SUMPRODUCT(LN(1+(EvEff-1)*INDEX(Affected,0,C6194)*EXP(-((E6194-EvCenter)^2)/(2*EvSigma^2))))),"")</f>
        <v/>
      </c>
      <c r="O6194">
        <f>IF(B6194,ROUND(MAX(0,J6194*K6194*L6194*M6194*N6194),2),"")</f>
        <v/>
      </c>
    </row>
    <row r="6195">
      <c r="A6195" t="n">
        <v>6194</v>
      </c>
      <c r="B6195">
        <f>A6195&lt;=MineCount*Days</f>
        <v/>
      </c>
      <c r="C6195">
        <f>IF(B6195,INT((A6195-1)/Days)+1,"")</f>
        <v/>
      </c>
      <c r="D6195">
        <f>IF(B6195,MOD(A6195-1,Days),"")</f>
        <v/>
      </c>
      <c r="E6195" s="16">
        <f>IF(B6195,StartDate+D6195,"")</f>
        <v/>
      </c>
      <c r="F6195">
        <f>IF(B6195,MAX(MOD(SIN(Seed*0.1373+C6195*12.9898+D6195*78.233)*43758.5453,1),1E-9),"")</f>
        <v/>
      </c>
      <c r="G6195">
        <f>IF(B6195,MOD(SIN(Seed*0.5917+C6195*39.3468+D6195*11.135)*24634.6345,1),"")</f>
        <v/>
      </c>
      <c r="H6195">
        <f>IF(B6195,SQRT(-2*LN(F6195))*COS(2*PI()*G6195),"")</f>
        <v/>
      </c>
      <c r="I6195">
        <f>IF(B6195,IF(D6195=0,H6195,Rho*I6194+SQRT(1-Rho^2)*H6195),"")</f>
        <v/>
      </c>
      <c r="J6195">
        <f>IF(B6195,IF(Dist="Normal",DistA+DistB*I6195,DistA+(DistB-DistA)*NORMSDIST(I6195)),"")</f>
        <v/>
      </c>
      <c r="K6195">
        <f>IF(B6195,INDEX(MineScale,C6195),"")</f>
        <v/>
      </c>
      <c r="L6195">
        <f>IF(B6195,INDEX(Dow,1,WEEKDAY(E6195,2)),"")</f>
        <v/>
      </c>
      <c r="M6195">
        <f>IF(B6195,(1+Trend)^D6195,"")</f>
        <v/>
      </c>
      <c r="N6195">
        <f>IF(B6195,EXP(SUMPRODUCT(LN(1+(EvEff-1)*INDEX(Affected,0,C6195)*EXP(-((E6195-EvCenter)^2)/(2*EvSigma^2))))),"")</f>
        <v/>
      </c>
      <c r="O6195">
        <f>IF(B6195,ROUND(MAX(0,J6195*K6195*L6195*M6195*N6195),2),"")</f>
        <v/>
      </c>
    </row>
    <row r="6196">
      <c r="A6196" t="n">
        <v>6195</v>
      </c>
      <c r="B6196">
        <f>A6196&lt;=MineCount*Days</f>
        <v/>
      </c>
      <c r="C6196">
        <f>IF(B6196,INT((A6196-1)/Days)+1,"")</f>
        <v/>
      </c>
      <c r="D6196">
        <f>IF(B6196,MOD(A6196-1,Days),"")</f>
        <v/>
      </c>
      <c r="E6196" s="16">
        <f>IF(B6196,StartDate+D6196,"")</f>
        <v/>
      </c>
      <c r="F6196">
        <f>IF(B6196,MAX(MOD(SIN(Seed*0.1373+C6196*12.9898+D6196*78.233)*43758.5453,1),1E-9),"")</f>
        <v/>
      </c>
      <c r="G6196">
        <f>IF(B6196,MOD(SIN(Seed*0.5917+C6196*39.3468+D6196*11.135)*24634.6345,1),"")</f>
        <v/>
      </c>
      <c r="H6196">
        <f>IF(B6196,SQRT(-2*LN(F6196))*COS(2*PI()*G6196),"")</f>
        <v/>
      </c>
      <c r="I6196">
        <f>IF(B6196,IF(D6196=0,H6196,Rho*I6195+SQRT(1-Rho^2)*H6196),"")</f>
        <v/>
      </c>
      <c r="J6196">
        <f>IF(B6196,IF(Dist="Normal",DistA+DistB*I6196,DistA+(DistB-DistA)*NORMSDIST(I6196)),"")</f>
        <v/>
      </c>
      <c r="K6196">
        <f>IF(B6196,INDEX(MineScale,C6196),"")</f>
        <v/>
      </c>
      <c r="L6196">
        <f>IF(B6196,INDEX(Dow,1,WEEKDAY(E6196,2)),"")</f>
        <v/>
      </c>
      <c r="M6196">
        <f>IF(B6196,(1+Trend)^D6196,"")</f>
        <v/>
      </c>
      <c r="N6196">
        <f>IF(B6196,EXP(SUMPRODUCT(LN(1+(EvEff-1)*INDEX(Affected,0,C6196)*EXP(-((E6196-EvCenter)^2)/(2*EvSigma^2))))),"")</f>
        <v/>
      </c>
      <c r="O6196">
        <f>IF(B6196,ROUND(MAX(0,J6196*K6196*L6196*M6196*N6196),2),"")</f>
        <v/>
      </c>
    </row>
    <row r="6197">
      <c r="A6197" t="n">
        <v>6196</v>
      </c>
      <c r="B6197">
        <f>A6197&lt;=MineCount*Days</f>
        <v/>
      </c>
      <c r="C6197">
        <f>IF(B6197,INT((A6197-1)/Days)+1,"")</f>
        <v/>
      </c>
      <c r="D6197">
        <f>IF(B6197,MOD(A6197-1,Days),"")</f>
        <v/>
      </c>
      <c r="E6197" s="16">
        <f>IF(B6197,StartDate+D6197,"")</f>
        <v/>
      </c>
      <c r="F6197">
        <f>IF(B6197,MAX(MOD(SIN(Seed*0.1373+C6197*12.9898+D6197*78.233)*43758.5453,1),1E-9),"")</f>
        <v/>
      </c>
      <c r="G6197">
        <f>IF(B6197,MOD(SIN(Seed*0.5917+C6197*39.3468+D6197*11.135)*24634.6345,1),"")</f>
        <v/>
      </c>
      <c r="H6197">
        <f>IF(B6197,SQRT(-2*LN(F6197))*COS(2*PI()*G6197),"")</f>
        <v/>
      </c>
      <c r="I6197">
        <f>IF(B6197,IF(D6197=0,H6197,Rho*I6196+SQRT(1-Rho^2)*H6197),"")</f>
        <v/>
      </c>
      <c r="J6197">
        <f>IF(B6197,IF(Dist="Normal",DistA+DistB*I6197,DistA+(DistB-DistA)*NORMSDIST(I6197)),"")</f>
        <v/>
      </c>
      <c r="K6197">
        <f>IF(B6197,INDEX(MineScale,C6197),"")</f>
        <v/>
      </c>
      <c r="L6197">
        <f>IF(B6197,INDEX(Dow,1,WEEKDAY(E6197,2)),"")</f>
        <v/>
      </c>
      <c r="M6197">
        <f>IF(B6197,(1+Trend)^D6197,"")</f>
        <v/>
      </c>
      <c r="N6197">
        <f>IF(B6197,EXP(SUMPRODUCT(LN(1+(EvEff-1)*INDEX(Affected,0,C6197)*EXP(-((E6197-EvCenter)^2)/(2*EvSigma^2))))),"")</f>
        <v/>
      </c>
      <c r="O6197">
        <f>IF(B6197,ROUND(MAX(0,J6197*K6197*L6197*M6197*N6197),2),"")</f>
        <v/>
      </c>
    </row>
    <row r="6198">
      <c r="A6198" t="n">
        <v>6197</v>
      </c>
      <c r="B6198">
        <f>A6198&lt;=MineCount*Days</f>
        <v/>
      </c>
      <c r="C6198">
        <f>IF(B6198,INT((A6198-1)/Days)+1,"")</f>
        <v/>
      </c>
      <c r="D6198">
        <f>IF(B6198,MOD(A6198-1,Days),"")</f>
        <v/>
      </c>
      <c r="E6198" s="16">
        <f>IF(B6198,StartDate+D6198,"")</f>
        <v/>
      </c>
      <c r="F6198">
        <f>IF(B6198,MAX(MOD(SIN(Seed*0.1373+C6198*12.9898+D6198*78.233)*43758.5453,1),1E-9),"")</f>
        <v/>
      </c>
      <c r="G6198">
        <f>IF(B6198,MOD(SIN(Seed*0.5917+C6198*39.3468+D6198*11.135)*24634.6345,1),"")</f>
        <v/>
      </c>
      <c r="H6198">
        <f>IF(B6198,SQRT(-2*LN(F6198))*COS(2*PI()*G6198),"")</f>
        <v/>
      </c>
      <c r="I6198">
        <f>IF(B6198,IF(D6198=0,H6198,Rho*I6197+SQRT(1-Rho^2)*H6198),"")</f>
        <v/>
      </c>
      <c r="J6198">
        <f>IF(B6198,IF(Dist="Normal",DistA+DistB*I6198,DistA+(DistB-DistA)*NORMSDIST(I6198)),"")</f>
        <v/>
      </c>
      <c r="K6198">
        <f>IF(B6198,INDEX(MineScale,C6198),"")</f>
        <v/>
      </c>
      <c r="L6198">
        <f>IF(B6198,INDEX(Dow,1,WEEKDAY(E6198,2)),"")</f>
        <v/>
      </c>
      <c r="M6198">
        <f>IF(B6198,(1+Trend)^D6198,"")</f>
        <v/>
      </c>
      <c r="N6198">
        <f>IF(B6198,EXP(SUMPRODUCT(LN(1+(EvEff-1)*INDEX(Affected,0,C6198)*EXP(-((E6198-EvCenter)^2)/(2*EvSigma^2))))),"")</f>
        <v/>
      </c>
      <c r="O6198">
        <f>IF(B6198,ROUND(MAX(0,J6198*K6198*L6198*M6198*N6198),2),"")</f>
        <v/>
      </c>
    </row>
    <row r="6199">
      <c r="A6199" t="n">
        <v>6198</v>
      </c>
      <c r="B6199">
        <f>A6199&lt;=MineCount*Days</f>
        <v/>
      </c>
      <c r="C6199">
        <f>IF(B6199,INT((A6199-1)/Days)+1,"")</f>
        <v/>
      </c>
      <c r="D6199">
        <f>IF(B6199,MOD(A6199-1,Days),"")</f>
        <v/>
      </c>
      <c r="E6199" s="16">
        <f>IF(B6199,StartDate+D6199,"")</f>
        <v/>
      </c>
      <c r="F6199">
        <f>IF(B6199,MAX(MOD(SIN(Seed*0.1373+C6199*12.9898+D6199*78.233)*43758.5453,1),1E-9),"")</f>
        <v/>
      </c>
      <c r="G6199">
        <f>IF(B6199,MOD(SIN(Seed*0.5917+C6199*39.3468+D6199*11.135)*24634.6345,1),"")</f>
        <v/>
      </c>
      <c r="H6199">
        <f>IF(B6199,SQRT(-2*LN(F6199))*COS(2*PI()*G6199),"")</f>
        <v/>
      </c>
      <c r="I6199">
        <f>IF(B6199,IF(D6199=0,H6199,Rho*I6198+SQRT(1-Rho^2)*H6199),"")</f>
        <v/>
      </c>
      <c r="J6199">
        <f>IF(B6199,IF(Dist="Normal",DistA+DistB*I6199,DistA+(DistB-DistA)*NORMSDIST(I6199)),"")</f>
        <v/>
      </c>
      <c r="K6199">
        <f>IF(B6199,INDEX(MineScale,C6199),"")</f>
        <v/>
      </c>
      <c r="L6199">
        <f>IF(B6199,INDEX(Dow,1,WEEKDAY(E6199,2)),"")</f>
        <v/>
      </c>
      <c r="M6199">
        <f>IF(B6199,(1+Trend)^D6199,"")</f>
        <v/>
      </c>
      <c r="N6199">
        <f>IF(B6199,EXP(SUMPRODUCT(LN(1+(EvEff-1)*INDEX(Affected,0,C6199)*EXP(-((E6199-EvCenter)^2)/(2*EvSigma^2))))),"")</f>
        <v/>
      </c>
      <c r="O6199">
        <f>IF(B6199,ROUND(MAX(0,J6199*K6199*L6199*M6199*N6199),2),"")</f>
        <v/>
      </c>
    </row>
    <row r="6200">
      <c r="A6200" t="n">
        <v>6199</v>
      </c>
      <c r="B6200">
        <f>A6200&lt;=MineCount*Days</f>
        <v/>
      </c>
      <c r="C6200">
        <f>IF(B6200,INT((A6200-1)/Days)+1,"")</f>
        <v/>
      </c>
      <c r="D6200">
        <f>IF(B6200,MOD(A6200-1,Days),"")</f>
        <v/>
      </c>
      <c r="E6200" s="16">
        <f>IF(B6200,StartDate+D6200,"")</f>
        <v/>
      </c>
      <c r="F6200">
        <f>IF(B6200,MAX(MOD(SIN(Seed*0.1373+C6200*12.9898+D6200*78.233)*43758.5453,1),1E-9),"")</f>
        <v/>
      </c>
      <c r="G6200">
        <f>IF(B6200,MOD(SIN(Seed*0.5917+C6200*39.3468+D6200*11.135)*24634.6345,1),"")</f>
        <v/>
      </c>
      <c r="H6200">
        <f>IF(B6200,SQRT(-2*LN(F6200))*COS(2*PI()*G6200),"")</f>
        <v/>
      </c>
      <c r="I6200">
        <f>IF(B6200,IF(D6200=0,H6200,Rho*I6199+SQRT(1-Rho^2)*H6200),"")</f>
        <v/>
      </c>
      <c r="J6200">
        <f>IF(B6200,IF(Dist="Normal",DistA+DistB*I6200,DistA+(DistB-DistA)*NORMSDIST(I6200)),"")</f>
        <v/>
      </c>
      <c r="K6200">
        <f>IF(B6200,INDEX(MineScale,C6200),"")</f>
        <v/>
      </c>
      <c r="L6200">
        <f>IF(B6200,INDEX(Dow,1,WEEKDAY(E6200,2)),"")</f>
        <v/>
      </c>
      <c r="M6200">
        <f>IF(B6200,(1+Trend)^D6200,"")</f>
        <v/>
      </c>
      <c r="N6200">
        <f>IF(B6200,EXP(SUMPRODUCT(LN(1+(EvEff-1)*INDEX(Affected,0,C6200)*EXP(-((E6200-EvCenter)^2)/(2*EvSigma^2))))),"")</f>
        <v/>
      </c>
      <c r="O6200">
        <f>IF(B6200,ROUND(MAX(0,J6200*K6200*L6200*M6200*N6200),2),"")</f>
        <v/>
      </c>
    </row>
    <row r="6201">
      <c r="A6201" t="n">
        <v>6200</v>
      </c>
      <c r="B6201">
        <f>A6201&lt;=MineCount*Days</f>
        <v/>
      </c>
      <c r="C6201">
        <f>IF(B6201,INT((A6201-1)/Days)+1,"")</f>
        <v/>
      </c>
      <c r="D6201">
        <f>IF(B6201,MOD(A6201-1,Days),"")</f>
        <v/>
      </c>
      <c r="E6201" s="16">
        <f>IF(B6201,StartDate+D6201,"")</f>
        <v/>
      </c>
      <c r="F6201">
        <f>IF(B6201,MAX(MOD(SIN(Seed*0.1373+C6201*12.9898+D6201*78.233)*43758.5453,1),1E-9),"")</f>
        <v/>
      </c>
      <c r="G6201">
        <f>IF(B6201,MOD(SIN(Seed*0.5917+C6201*39.3468+D6201*11.135)*24634.6345,1),"")</f>
        <v/>
      </c>
      <c r="H6201">
        <f>IF(B6201,SQRT(-2*LN(F6201))*COS(2*PI()*G6201),"")</f>
        <v/>
      </c>
      <c r="I6201">
        <f>IF(B6201,IF(D6201=0,H6201,Rho*I6200+SQRT(1-Rho^2)*H6201),"")</f>
        <v/>
      </c>
      <c r="J6201">
        <f>IF(B6201,IF(Dist="Normal",DistA+DistB*I6201,DistA+(DistB-DistA)*NORMSDIST(I6201)),"")</f>
        <v/>
      </c>
      <c r="K6201">
        <f>IF(B6201,INDEX(MineScale,C6201),"")</f>
        <v/>
      </c>
      <c r="L6201">
        <f>IF(B6201,INDEX(Dow,1,WEEKDAY(E6201,2)),"")</f>
        <v/>
      </c>
      <c r="M6201">
        <f>IF(B6201,(1+Trend)^D6201,"")</f>
        <v/>
      </c>
      <c r="N6201">
        <f>IF(B6201,EXP(SUMPRODUCT(LN(1+(EvEff-1)*INDEX(Affected,0,C6201)*EXP(-((E6201-EvCenter)^2)/(2*EvSigma^2))))),"")</f>
        <v/>
      </c>
      <c r="O6201">
        <f>IF(B6201,ROUND(MAX(0,J6201*K6201*L6201*M6201*N6201),2),"")</f>
        <v/>
      </c>
    </row>
    <row r="6202">
      <c r="A6202" t="n">
        <v>6201</v>
      </c>
      <c r="B6202">
        <f>A6202&lt;=MineCount*Days</f>
        <v/>
      </c>
      <c r="C6202">
        <f>IF(B6202,INT((A6202-1)/Days)+1,"")</f>
        <v/>
      </c>
      <c r="D6202">
        <f>IF(B6202,MOD(A6202-1,Days),"")</f>
        <v/>
      </c>
      <c r="E6202" s="16">
        <f>IF(B6202,StartDate+D6202,"")</f>
        <v/>
      </c>
      <c r="F6202">
        <f>IF(B6202,MAX(MOD(SIN(Seed*0.1373+C6202*12.9898+D6202*78.233)*43758.5453,1),1E-9),"")</f>
        <v/>
      </c>
      <c r="G6202">
        <f>IF(B6202,MOD(SIN(Seed*0.5917+C6202*39.3468+D6202*11.135)*24634.6345,1),"")</f>
        <v/>
      </c>
      <c r="H6202">
        <f>IF(B6202,SQRT(-2*LN(F6202))*COS(2*PI()*G6202),"")</f>
        <v/>
      </c>
      <c r="I6202">
        <f>IF(B6202,IF(D6202=0,H6202,Rho*I6201+SQRT(1-Rho^2)*H6202),"")</f>
        <v/>
      </c>
      <c r="J6202">
        <f>IF(B6202,IF(Dist="Normal",DistA+DistB*I6202,DistA+(DistB-DistA)*NORMSDIST(I6202)),"")</f>
        <v/>
      </c>
      <c r="K6202">
        <f>IF(B6202,INDEX(MineScale,C6202),"")</f>
        <v/>
      </c>
      <c r="L6202">
        <f>IF(B6202,INDEX(Dow,1,WEEKDAY(E6202,2)),"")</f>
        <v/>
      </c>
      <c r="M6202">
        <f>IF(B6202,(1+Trend)^D6202,"")</f>
        <v/>
      </c>
      <c r="N6202">
        <f>IF(B6202,EXP(SUMPRODUCT(LN(1+(EvEff-1)*INDEX(Affected,0,C6202)*EXP(-((E6202-EvCenter)^2)/(2*EvSigma^2))))),"")</f>
        <v/>
      </c>
      <c r="O6202">
        <f>IF(B6202,ROUND(MAX(0,J6202*K6202*L6202*M6202*N6202),2),"")</f>
        <v/>
      </c>
    </row>
    <row r="6203">
      <c r="A6203" t="n">
        <v>6202</v>
      </c>
      <c r="B6203">
        <f>A6203&lt;=MineCount*Days</f>
        <v/>
      </c>
      <c r="C6203">
        <f>IF(B6203,INT((A6203-1)/Days)+1,"")</f>
        <v/>
      </c>
      <c r="D6203">
        <f>IF(B6203,MOD(A6203-1,Days),"")</f>
        <v/>
      </c>
      <c r="E6203" s="16">
        <f>IF(B6203,StartDate+D6203,"")</f>
        <v/>
      </c>
      <c r="F6203">
        <f>IF(B6203,MAX(MOD(SIN(Seed*0.1373+C6203*12.9898+D6203*78.233)*43758.5453,1),1E-9),"")</f>
        <v/>
      </c>
      <c r="G6203">
        <f>IF(B6203,MOD(SIN(Seed*0.5917+C6203*39.3468+D6203*11.135)*24634.6345,1),"")</f>
        <v/>
      </c>
      <c r="H6203">
        <f>IF(B6203,SQRT(-2*LN(F6203))*COS(2*PI()*G6203),"")</f>
        <v/>
      </c>
      <c r="I6203">
        <f>IF(B6203,IF(D6203=0,H6203,Rho*I6202+SQRT(1-Rho^2)*H6203),"")</f>
        <v/>
      </c>
      <c r="J6203">
        <f>IF(B6203,IF(Dist="Normal",DistA+DistB*I6203,DistA+(DistB-DistA)*NORMSDIST(I6203)),"")</f>
        <v/>
      </c>
      <c r="K6203">
        <f>IF(B6203,INDEX(MineScale,C6203),"")</f>
        <v/>
      </c>
      <c r="L6203">
        <f>IF(B6203,INDEX(Dow,1,WEEKDAY(E6203,2)),"")</f>
        <v/>
      </c>
      <c r="M6203">
        <f>IF(B6203,(1+Trend)^D6203,"")</f>
        <v/>
      </c>
      <c r="N6203">
        <f>IF(B6203,EXP(SUMPRODUCT(LN(1+(EvEff-1)*INDEX(Affected,0,C6203)*EXP(-((E6203-EvCenter)^2)/(2*EvSigma^2))))),"")</f>
        <v/>
      </c>
      <c r="O6203">
        <f>IF(B6203,ROUND(MAX(0,J6203*K6203*L6203*M6203*N6203),2),"")</f>
        <v/>
      </c>
    </row>
    <row r="6204">
      <c r="A6204" t="n">
        <v>6203</v>
      </c>
      <c r="B6204">
        <f>A6204&lt;=MineCount*Days</f>
        <v/>
      </c>
      <c r="C6204">
        <f>IF(B6204,INT((A6204-1)/Days)+1,"")</f>
        <v/>
      </c>
      <c r="D6204">
        <f>IF(B6204,MOD(A6204-1,Days),"")</f>
        <v/>
      </c>
      <c r="E6204" s="16">
        <f>IF(B6204,StartDate+D6204,"")</f>
        <v/>
      </c>
      <c r="F6204">
        <f>IF(B6204,MAX(MOD(SIN(Seed*0.1373+C6204*12.9898+D6204*78.233)*43758.5453,1),1E-9),"")</f>
        <v/>
      </c>
      <c r="G6204">
        <f>IF(B6204,MOD(SIN(Seed*0.5917+C6204*39.3468+D6204*11.135)*24634.6345,1),"")</f>
        <v/>
      </c>
      <c r="H6204">
        <f>IF(B6204,SQRT(-2*LN(F6204))*COS(2*PI()*G6204),"")</f>
        <v/>
      </c>
      <c r="I6204">
        <f>IF(B6204,IF(D6204=0,H6204,Rho*I6203+SQRT(1-Rho^2)*H6204),"")</f>
        <v/>
      </c>
      <c r="J6204">
        <f>IF(B6204,IF(Dist="Normal",DistA+DistB*I6204,DistA+(DistB-DistA)*NORMSDIST(I6204)),"")</f>
        <v/>
      </c>
      <c r="K6204">
        <f>IF(B6204,INDEX(MineScale,C6204),"")</f>
        <v/>
      </c>
      <c r="L6204">
        <f>IF(B6204,INDEX(Dow,1,WEEKDAY(E6204,2)),"")</f>
        <v/>
      </c>
      <c r="M6204">
        <f>IF(B6204,(1+Trend)^D6204,"")</f>
        <v/>
      </c>
      <c r="N6204">
        <f>IF(B6204,EXP(SUMPRODUCT(LN(1+(EvEff-1)*INDEX(Affected,0,C6204)*EXP(-((E6204-EvCenter)^2)/(2*EvSigma^2))))),"")</f>
        <v/>
      </c>
      <c r="O6204">
        <f>IF(B6204,ROUND(MAX(0,J6204*K6204*L6204*M6204*N6204),2),"")</f>
        <v/>
      </c>
    </row>
    <row r="6205">
      <c r="A6205" t="n">
        <v>6204</v>
      </c>
      <c r="B6205">
        <f>A6205&lt;=MineCount*Days</f>
        <v/>
      </c>
      <c r="C6205">
        <f>IF(B6205,INT((A6205-1)/Days)+1,"")</f>
        <v/>
      </c>
      <c r="D6205">
        <f>IF(B6205,MOD(A6205-1,Days),"")</f>
        <v/>
      </c>
      <c r="E6205" s="16">
        <f>IF(B6205,StartDate+D6205,"")</f>
        <v/>
      </c>
      <c r="F6205">
        <f>IF(B6205,MAX(MOD(SIN(Seed*0.1373+C6205*12.9898+D6205*78.233)*43758.5453,1),1E-9),"")</f>
        <v/>
      </c>
      <c r="G6205">
        <f>IF(B6205,MOD(SIN(Seed*0.5917+C6205*39.3468+D6205*11.135)*24634.6345,1),"")</f>
        <v/>
      </c>
      <c r="H6205">
        <f>IF(B6205,SQRT(-2*LN(F6205))*COS(2*PI()*G6205),"")</f>
        <v/>
      </c>
      <c r="I6205">
        <f>IF(B6205,IF(D6205=0,H6205,Rho*I6204+SQRT(1-Rho^2)*H6205),"")</f>
        <v/>
      </c>
      <c r="J6205">
        <f>IF(B6205,IF(Dist="Normal",DistA+DistB*I6205,DistA+(DistB-DistA)*NORMSDIST(I6205)),"")</f>
        <v/>
      </c>
      <c r="K6205">
        <f>IF(B6205,INDEX(MineScale,C6205),"")</f>
        <v/>
      </c>
      <c r="L6205">
        <f>IF(B6205,INDEX(Dow,1,WEEKDAY(E6205,2)),"")</f>
        <v/>
      </c>
      <c r="M6205">
        <f>IF(B6205,(1+Trend)^D6205,"")</f>
        <v/>
      </c>
      <c r="N6205">
        <f>IF(B6205,EXP(SUMPRODUCT(LN(1+(EvEff-1)*INDEX(Affected,0,C6205)*EXP(-((E6205-EvCenter)^2)/(2*EvSigma^2))))),"")</f>
        <v/>
      </c>
      <c r="O6205">
        <f>IF(B6205,ROUND(MAX(0,J6205*K6205*L6205*M6205*N6205),2),"")</f>
        <v/>
      </c>
    </row>
    <row r="6206">
      <c r="A6206" t="n">
        <v>6205</v>
      </c>
      <c r="B6206">
        <f>A6206&lt;=MineCount*Days</f>
        <v/>
      </c>
      <c r="C6206">
        <f>IF(B6206,INT((A6206-1)/Days)+1,"")</f>
        <v/>
      </c>
      <c r="D6206">
        <f>IF(B6206,MOD(A6206-1,Days),"")</f>
        <v/>
      </c>
      <c r="E6206" s="16">
        <f>IF(B6206,StartDate+D6206,"")</f>
        <v/>
      </c>
      <c r="F6206">
        <f>IF(B6206,MAX(MOD(SIN(Seed*0.1373+C6206*12.9898+D6206*78.233)*43758.5453,1),1E-9),"")</f>
        <v/>
      </c>
      <c r="G6206">
        <f>IF(B6206,MOD(SIN(Seed*0.5917+C6206*39.3468+D6206*11.135)*24634.6345,1),"")</f>
        <v/>
      </c>
      <c r="H6206">
        <f>IF(B6206,SQRT(-2*LN(F6206))*COS(2*PI()*G6206),"")</f>
        <v/>
      </c>
      <c r="I6206">
        <f>IF(B6206,IF(D6206=0,H6206,Rho*I6205+SQRT(1-Rho^2)*H6206),"")</f>
        <v/>
      </c>
      <c r="J6206">
        <f>IF(B6206,IF(Dist="Normal",DistA+DistB*I6206,DistA+(DistB-DistA)*NORMSDIST(I6206)),"")</f>
        <v/>
      </c>
      <c r="K6206">
        <f>IF(B6206,INDEX(MineScale,C6206),"")</f>
        <v/>
      </c>
      <c r="L6206">
        <f>IF(B6206,INDEX(Dow,1,WEEKDAY(E6206,2)),"")</f>
        <v/>
      </c>
      <c r="M6206">
        <f>IF(B6206,(1+Trend)^D6206,"")</f>
        <v/>
      </c>
      <c r="N6206">
        <f>IF(B6206,EXP(SUMPRODUCT(LN(1+(EvEff-1)*INDEX(Affected,0,C6206)*EXP(-((E6206-EvCenter)^2)/(2*EvSigma^2))))),"")</f>
        <v/>
      </c>
      <c r="O6206">
        <f>IF(B6206,ROUND(MAX(0,J6206*K6206*L6206*M6206*N6206),2),"")</f>
        <v/>
      </c>
    </row>
    <row r="6207">
      <c r="A6207" t="n">
        <v>6206</v>
      </c>
      <c r="B6207">
        <f>A6207&lt;=MineCount*Days</f>
        <v/>
      </c>
      <c r="C6207">
        <f>IF(B6207,INT((A6207-1)/Days)+1,"")</f>
        <v/>
      </c>
      <c r="D6207">
        <f>IF(B6207,MOD(A6207-1,Days),"")</f>
        <v/>
      </c>
      <c r="E6207" s="16">
        <f>IF(B6207,StartDate+D6207,"")</f>
        <v/>
      </c>
      <c r="F6207">
        <f>IF(B6207,MAX(MOD(SIN(Seed*0.1373+C6207*12.9898+D6207*78.233)*43758.5453,1),1E-9),"")</f>
        <v/>
      </c>
      <c r="G6207">
        <f>IF(B6207,MOD(SIN(Seed*0.5917+C6207*39.3468+D6207*11.135)*24634.6345,1),"")</f>
        <v/>
      </c>
      <c r="H6207">
        <f>IF(B6207,SQRT(-2*LN(F6207))*COS(2*PI()*G6207),"")</f>
        <v/>
      </c>
      <c r="I6207">
        <f>IF(B6207,IF(D6207=0,H6207,Rho*I6206+SQRT(1-Rho^2)*H6207),"")</f>
        <v/>
      </c>
      <c r="J6207">
        <f>IF(B6207,IF(Dist="Normal",DistA+DistB*I6207,DistA+(DistB-DistA)*NORMSDIST(I6207)),"")</f>
        <v/>
      </c>
      <c r="K6207">
        <f>IF(B6207,INDEX(MineScale,C6207),"")</f>
        <v/>
      </c>
      <c r="L6207">
        <f>IF(B6207,INDEX(Dow,1,WEEKDAY(E6207,2)),"")</f>
        <v/>
      </c>
      <c r="M6207">
        <f>IF(B6207,(1+Trend)^D6207,"")</f>
        <v/>
      </c>
      <c r="N6207">
        <f>IF(B6207,EXP(SUMPRODUCT(LN(1+(EvEff-1)*INDEX(Affected,0,C6207)*EXP(-((E6207-EvCenter)^2)/(2*EvSigma^2))))),"")</f>
        <v/>
      </c>
      <c r="O6207">
        <f>IF(B6207,ROUND(MAX(0,J6207*K6207*L6207*M6207*N6207),2),"")</f>
        <v/>
      </c>
    </row>
    <row r="6208">
      <c r="A6208" t="n">
        <v>6207</v>
      </c>
      <c r="B6208">
        <f>A6208&lt;=MineCount*Days</f>
        <v/>
      </c>
      <c r="C6208">
        <f>IF(B6208,INT((A6208-1)/Days)+1,"")</f>
        <v/>
      </c>
      <c r="D6208">
        <f>IF(B6208,MOD(A6208-1,Days),"")</f>
        <v/>
      </c>
      <c r="E6208" s="16">
        <f>IF(B6208,StartDate+D6208,"")</f>
        <v/>
      </c>
      <c r="F6208">
        <f>IF(B6208,MAX(MOD(SIN(Seed*0.1373+C6208*12.9898+D6208*78.233)*43758.5453,1),1E-9),"")</f>
        <v/>
      </c>
      <c r="G6208">
        <f>IF(B6208,MOD(SIN(Seed*0.5917+C6208*39.3468+D6208*11.135)*24634.6345,1),"")</f>
        <v/>
      </c>
      <c r="H6208">
        <f>IF(B6208,SQRT(-2*LN(F6208))*COS(2*PI()*G6208),"")</f>
        <v/>
      </c>
      <c r="I6208">
        <f>IF(B6208,IF(D6208=0,H6208,Rho*I6207+SQRT(1-Rho^2)*H6208),"")</f>
        <v/>
      </c>
      <c r="J6208">
        <f>IF(B6208,IF(Dist="Normal",DistA+DistB*I6208,DistA+(DistB-DistA)*NORMSDIST(I6208)),"")</f>
        <v/>
      </c>
      <c r="K6208">
        <f>IF(B6208,INDEX(MineScale,C6208),"")</f>
        <v/>
      </c>
      <c r="L6208">
        <f>IF(B6208,INDEX(Dow,1,WEEKDAY(E6208,2)),"")</f>
        <v/>
      </c>
      <c r="M6208">
        <f>IF(B6208,(1+Trend)^D6208,"")</f>
        <v/>
      </c>
      <c r="N6208">
        <f>IF(B6208,EXP(SUMPRODUCT(LN(1+(EvEff-1)*INDEX(Affected,0,C6208)*EXP(-((E6208-EvCenter)^2)/(2*EvSigma^2))))),"")</f>
        <v/>
      </c>
      <c r="O6208">
        <f>IF(B6208,ROUND(MAX(0,J6208*K6208*L6208*M6208*N6208),2),"")</f>
        <v/>
      </c>
    </row>
    <row r="6209">
      <c r="A6209" t="n">
        <v>6208</v>
      </c>
      <c r="B6209">
        <f>A6209&lt;=MineCount*Days</f>
        <v/>
      </c>
      <c r="C6209">
        <f>IF(B6209,INT((A6209-1)/Days)+1,"")</f>
        <v/>
      </c>
      <c r="D6209">
        <f>IF(B6209,MOD(A6209-1,Days),"")</f>
        <v/>
      </c>
      <c r="E6209" s="16">
        <f>IF(B6209,StartDate+D6209,"")</f>
        <v/>
      </c>
      <c r="F6209">
        <f>IF(B6209,MAX(MOD(SIN(Seed*0.1373+C6209*12.9898+D6209*78.233)*43758.5453,1),1E-9),"")</f>
        <v/>
      </c>
      <c r="G6209">
        <f>IF(B6209,MOD(SIN(Seed*0.5917+C6209*39.3468+D6209*11.135)*24634.6345,1),"")</f>
        <v/>
      </c>
      <c r="H6209">
        <f>IF(B6209,SQRT(-2*LN(F6209))*COS(2*PI()*G6209),"")</f>
        <v/>
      </c>
      <c r="I6209">
        <f>IF(B6209,IF(D6209=0,H6209,Rho*I6208+SQRT(1-Rho^2)*H6209),"")</f>
        <v/>
      </c>
      <c r="J6209">
        <f>IF(B6209,IF(Dist="Normal",DistA+DistB*I6209,DistA+(DistB-DistA)*NORMSDIST(I6209)),"")</f>
        <v/>
      </c>
      <c r="K6209">
        <f>IF(B6209,INDEX(MineScale,C6209),"")</f>
        <v/>
      </c>
      <c r="L6209">
        <f>IF(B6209,INDEX(Dow,1,WEEKDAY(E6209,2)),"")</f>
        <v/>
      </c>
      <c r="M6209">
        <f>IF(B6209,(1+Trend)^D6209,"")</f>
        <v/>
      </c>
      <c r="N6209">
        <f>IF(B6209,EXP(SUMPRODUCT(LN(1+(EvEff-1)*INDEX(Affected,0,C6209)*EXP(-((E6209-EvCenter)^2)/(2*EvSigma^2))))),"")</f>
        <v/>
      </c>
      <c r="O6209">
        <f>IF(B6209,ROUND(MAX(0,J6209*K6209*L6209*M6209*N6209),2),"")</f>
        <v/>
      </c>
    </row>
    <row r="6210">
      <c r="A6210" t="n">
        <v>6209</v>
      </c>
      <c r="B6210">
        <f>A6210&lt;=MineCount*Days</f>
        <v/>
      </c>
      <c r="C6210">
        <f>IF(B6210,INT((A6210-1)/Days)+1,"")</f>
        <v/>
      </c>
      <c r="D6210">
        <f>IF(B6210,MOD(A6210-1,Days),"")</f>
        <v/>
      </c>
      <c r="E6210" s="16">
        <f>IF(B6210,StartDate+D6210,"")</f>
        <v/>
      </c>
      <c r="F6210">
        <f>IF(B6210,MAX(MOD(SIN(Seed*0.1373+C6210*12.9898+D6210*78.233)*43758.5453,1),1E-9),"")</f>
        <v/>
      </c>
      <c r="G6210">
        <f>IF(B6210,MOD(SIN(Seed*0.5917+C6210*39.3468+D6210*11.135)*24634.6345,1),"")</f>
        <v/>
      </c>
      <c r="H6210">
        <f>IF(B6210,SQRT(-2*LN(F6210))*COS(2*PI()*G6210),"")</f>
        <v/>
      </c>
      <c r="I6210">
        <f>IF(B6210,IF(D6210=0,H6210,Rho*I6209+SQRT(1-Rho^2)*H6210),"")</f>
        <v/>
      </c>
      <c r="J6210">
        <f>IF(B6210,IF(Dist="Normal",DistA+DistB*I6210,DistA+(DistB-DistA)*NORMSDIST(I6210)),"")</f>
        <v/>
      </c>
      <c r="K6210">
        <f>IF(B6210,INDEX(MineScale,C6210),"")</f>
        <v/>
      </c>
      <c r="L6210">
        <f>IF(B6210,INDEX(Dow,1,WEEKDAY(E6210,2)),"")</f>
        <v/>
      </c>
      <c r="M6210">
        <f>IF(B6210,(1+Trend)^D6210,"")</f>
        <v/>
      </c>
      <c r="N6210">
        <f>IF(B6210,EXP(SUMPRODUCT(LN(1+(EvEff-1)*INDEX(Affected,0,C6210)*EXP(-((E6210-EvCenter)^2)/(2*EvSigma^2))))),"")</f>
        <v/>
      </c>
      <c r="O6210">
        <f>IF(B6210,ROUND(MAX(0,J6210*K6210*L6210*M6210*N6210),2),"")</f>
        <v/>
      </c>
    </row>
    <row r="6211">
      <c r="A6211" t="n">
        <v>6210</v>
      </c>
      <c r="B6211">
        <f>A6211&lt;=MineCount*Days</f>
        <v/>
      </c>
      <c r="C6211">
        <f>IF(B6211,INT((A6211-1)/Days)+1,"")</f>
        <v/>
      </c>
      <c r="D6211">
        <f>IF(B6211,MOD(A6211-1,Days),"")</f>
        <v/>
      </c>
      <c r="E6211" s="16">
        <f>IF(B6211,StartDate+D6211,"")</f>
        <v/>
      </c>
      <c r="F6211">
        <f>IF(B6211,MAX(MOD(SIN(Seed*0.1373+C6211*12.9898+D6211*78.233)*43758.5453,1),1E-9),"")</f>
        <v/>
      </c>
      <c r="G6211">
        <f>IF(B6211,MOD(SIN(Seed*0.5917+C6211*39.3468+D6211*11.135)*24634.6345,1),"")</f>
        <v/>
      </c>
      <c r="H6211">
        <f>IF(B6211,SQRT(-2*LN(F6211))*COS(2*PI()*G6211),"")</f>
        <v/>
      </c>
      <c r="I6211">
        <f>IF(B6211,IF(D6211=0,H6211,Rho*I6210+SQRT(1-Rho^2)*H6211),"")</f>
        <v/>
      </c>
      <c r="J6211">
        <f>IF(B6211,IF(Dist="Normal",DistA+DistB*I6211,DistA+(DistB-DistA)*NORMSDIST(I6211)),"")</f>
        <v/>
      </c>
      <c r="K6211">
        <f>IF(B6211,INDEX(MineScale,C6211),"")</f>
        <v/>
      </c>
      <c r="L6211">
        <f>IF(B6211,INDEX(Dow,1,WEEKDAY(E6211,2)),"")</f>
        <v/>
      </c>
      <c r="M6211">
        <f>IF(B6211,(1+Trend)^D6211,"")</f>
        <v/>
      </c>
      <c r="N6211">
        <f>IF(B6211,EXP(SUMPRODUCT(LN(1+(EvEff-1)*INDEX(Affected,0,C6211)*EXP(-((E6211-EvCenter)^2)/(2*EvSigma^2))))),"")</f>
        <v/>
      </c>
      <c r="O6211">
        <f>IF(B6211,ROUND(MAX(0,J6211*K6211*L6211*M6211*N6211),2),"")</f>
        <v/>
      </c>
    </row>
    <row r="6212">
      <c r="A6212" t="n">
        <v>6211</v>
      </c>
      <c r="B6212">
        <f>A6212&lt;=MineCount*Days</f>
        <v/>
      </c>
      <c r="C6212">
        <f>IF(B6212,INT((A6212-1)/Days)+1,"")</f>
        <v/>
      </c>
      <c r="D6212">
        <f>IF(B6212,MOD(A6212-1,Days),"")</f>
        <v/>
      </c>
      <c r="E6212" s="16">
        <f>IF(B6212,StartDate+D6212,"")</f>
        <v/>
      </c>
      <c r="F6212">
        <f>IF(B6212,MAX(MOD(SIN(Seed*0.1373+C6212*12.9898+D6212*78.233)*43758.5453,1),1E-9),"")</f>
        <v/>
      </c>
      <c r="G6212">
        <f>IF(B6212,MOD(SIN(Seed*0.5917+C6212*39.3468+D6212*11.135)*24634.6345,1),"")</f>
        <v/>
      </c>
      <c r="H6212">
        <f>IF(B6212,SQRT(-2*LN(F6212))*COS(2*PI()*G6212),"")</f>
        <v/>
      </c>
      <c r="I6212">
        <f>IF(B6212,IF(D6212=0,H6212,Rho*I6211+SQRT(1-Rho^2)*H6212),"")</f>
        <v/>
      </c>
      <c r="J6212">
        <f>IF(B6212,IF(Dist="Normal",DistA+DistB*I6212,DistA+(DistB-DistA)*NORMSDIST(I6212)),"")</f>
        <v/>
      </c>
      <c r="K6212">
        <f>IF(B6212,INDEX(MineScale,C6212),"")</f>
        <v/>
      </c>
      <c r="L6212">
        <f>IF(B6212,INDEX(Dow,1,WEEKDAY(E6212,2)),"")</f>
        <v/>
      </c>
      <c r="M6212">
        <f>IF(B6212,(1+Trend)^D6212,"")</f>
        <v/>
      </c>
      <c r="N6212">
        <f>IF(B6212,EXP(SUMPRODUCT(LN(1+(EvEff-1)*INDEX(Affected,0,C6212)*EXP(-((E6212-EvCenter)^2)/(2*EvSigma^2))))),"")</f>
        <v/>
      </c>
      <c r="O6212">
        <f>IF(B6212,ROUND(MAX(0,J6212*K6212*L6212*M6212*N6212),2),"")</f>
        <v/>
      </c>
    </row>
    <row r="6213">
      <c r="A6213" t="n">
        <v>6212</v>
      </c>
      <c r="B6213">
        <f>A6213&lt;=MineCount*Days</f>
        <v/>
      </c>
      <c r="C6213">
        <f>IF(B6213,INT((A6213-1)/Days)+1,"")</f>
        <v/>
      </c>
      <c r="D6213">
        <f>IF(B6213,MOD(A6213-1,Days),"")</f>
        <v/>
      </c>
      <c r="E6213" s="16">
        <f>IF(B6213,StartDate+D6213,"")</f>
        <v/>
      </c>
      <c r="F6213">
        <f>IF(B6213,MAX(MOD(SIN(Seed*0.1373+C6213*12.9898+D6213*78.233)*43758.5453,1),1E-9),"")</f>
        <v/>
      </c>
      <c r="G6213">
        <f>IF(B6213,MOD(SIN(Seed*0.5917+C6213*39.3468+D6213*11.135)*24634.6345,1),"")</f>
        <v/>
      </c>
      <c r="H6213">
        <f>IF(B6213,SQRT(-2*LN(F6213))*COS(2*PI()*G6213),"")</f>
        <v/>
      </c>
      <c r="I6213">
        <f>IF(B6213,IF(D6213=0,H6213,Rho*I6212+SQRT(1-Rho^2)*H6213),"")</f>
        <v/>
      </c>
      <c r="J6213">
        <f>IF(B6213,IF(Dist="Normal",DistA+DistB*I6213,DistA+(DistB-DistA)*NORMSDIST(I6213)),"")</f>
        <v/>
      </c>
      <c r="K6213">
        <f>IF(B6213,INDEX(MineScale,C6213),"")</f>
        <v/>
      </c>
      <c r="L6213">
        <f>IF(B6213,INDEX(Dow,1,WEEKDAY(E6213,2)),"")</f>
        <v/>
      </c>
      <c r="M6213">
        <f>IF(B6213,(1+Trend)^D6213,"")</f>
        <v/>
      </c>
      <c r="N6213">
        <f>IF(B6213,EXP(SUMPRODUCT(LN(1+(EvEff-1)*INDEX(Affected,0,C6213)*EXP(-((E6213-EvCenter)^2)/(2*EvSigma^2))))),"")</f>
        <v/>
      </c>
      <c r="O6213">
        <f>IF(B6213,ROUND(MAX(0,J6213*K6213*L6213*M6213*N6213),2),"")</f>
        <v/>
      </c>
    </row>
    <row r="6214">
      <c r="A6214" t="n">
        <v>6213</v>
      </c>
      <c r="B6214">
        <f>A6214&lt;=MineCount*Days</f>
        <v/>
      </c>
      <c r="C6214">
        <f>IF(B6214,INT((A6214-1)/Days)+1,"")</f>
        <v/>
      </c>
      <c r="D6214">
        <f>IF(B6214,MOD(A6214-1,Days),"")</f>
        <v/>
      </c>
      <c r="E6214" s="16">
        <f>IF(B6214,StartDate+D6214,"")</f>
        <v/>
      </c>
      <c r="F6214">
        <f>IF(B6214,MAX(MOD(SIN(Seed*0.1373+C6214*12.9898+D6214*78.233)*43758.5453,1),1E-9),"")</f>
        <v/>
      </c>
      <c r="G6214">
        <f>IF(B6214,MOD(SIN(Seed*0.5917+C6214*39.3468+D6214*11.135)*24634.6345,1),"")</f>
        <v/>
      </c>
      <c r="H6214">
        <f>IF(B6214,SQRT(-2*LN(F6214))*COS(2*PI()*G6214),"")</f>
        <v/>
      </c>
      <c r="I6214">
        <f>IF(B6214,IF(D6214=0,H6214,Rho*I6213+SQRT(1-Rho^2)*H6214),"")</f>
        <v/>
      </c>
      <c r="J6214">
        <f>IF(B6214,IF(Dist="Normal",DistA+DistB*I6214,DistA+(DistB-DistA)*NORMSDIST(I6214)),"")</f>
        <v/>
      </c>
      <c r="K6214">
        <f>IF(B6214,INDEX(MineScale,C6214),"")</f>
        <v/>
      </c>
      <c r="L6214">
        <f>IF(B6214,INDEX(Dow,1,WEEKDAY(E6214,2)),"")</f>
        <v/>
      </c>
      <c r="M6214">
        <f>IF(B6214,(1+Trend)^D6214,"")</f>
        <v/>
      </c>
      <c r="N6214">
        <f>IF(B6214,EXP(SUMPRODUCT(LN(1+(EvEff-1)*INDEX(Affected,0,C6214)*EXP(-((E6214-EvCenter)^2)/(2*EvSigma^2))))),"")</f>
        <v/>
      </c>
      <c r="O6214">
        <f>IF(B6214,ROUND(MAX(0,J6214*K6214*L6214*M6214*N6214),2),"")</f>
        <v/>
      </c>
    </row>
    <row r="6215">
      <c r="A6215" t="n">
        <v>6214</v>
      </c>
      <c r="B6215">
        <f>A6215&lt;=MineCount*Days</f>
        <v/>
      </c>
      <c r="C6215">
        <f>IF(B6215,INT((A6215-1)/Days)+1,"")</f>
        <v/>
      </c>
      <c r="D6215">
        <f>IF(B6215,MOD(A6215-1,Days),"")</f>
        <v/>
      </c>
      <c r="E6215" s="16">
        <f>IF(B6215,StartDate+D6215,"")</f>
        <v/>
      </c>
      <c r="F6215">
        <f>IF(B6215,MAX(MOD(SIN(Seed*0.1373+C6215*12.9898+D6215*78.233)*43758.5453,1),1E-9),"")</f>
        <v/>
      </c>
      <c r="G6215">
        <f>IF(B6215,MOD(SIN(Seed*0.5917+C6215*39.3468+D6215*11.135)*24634.6345,1),"")</f>
        <v/>
      </c>
      <c r="H6215">
        <f>IF(B6215,SQRT(-2*LN(F6215))*COS(2*PI()*G6215),"")</f>
        <v/>
      </c>
      <c r="I6215">
        <f>IF(B6215,IF(D6215=0,H6215,Rho*I6214+SQRT(1-Rho^2)*H6215),"")</f>
        <v/>
      </c>
      <c r="J6215">
        <f>IF(B6215,IF(Dist="Normal",DistA+DistB*I6215,DistA+(DistB-DistA)*NORMSDIST(I6215)),"")</f>
        <v/>
      </c>
      <c r="K6215">
        <f>IF(B6215,INDEX(MineScale,C6215),"")</f>
        <v/>
      </c>
      <c r="L6215">
        <f>IF(B6215,INDEX(Dow,1,WEEKDAY(E6215,2)),"")</f>
        <v/>
      </c>
      <c r="M6215">
        <f>IF(B6215,(1+Trend)^D6215,"")</f>
        <v/>
      </c>
      <c r="N6215">
        <f>IF(B6215,EXP(SUMPRODUCT(LN(1+(EvEff-1)*INDEX(Affected,0,C6215)*EXP(-((E6215-EvCenter)^2)/(2*EvSigma^2))))),"")</f>
        <v/>
      </c>
      <c r="O6215">
        <f>IF(B6215,ROUND(MAX(0,J6215*K6215*L6215*M6215*N6215),2),"")</f>
        <v/>
      </c>
    </row>
    <row r="6216">
      <c r="A6216" t="n">
        <v>6215</v>
      </c>
      <c r="B6216">
        <f>A6216&lt;=MineCount*Days</f>
        <v/>
      </c>
      <c r="C6216">
        <f>IF(B6216,INT((A6216-1)/Days)+1,"")</f>
        <v/>
      </c>
      <c r="D6216">
        <f>IF(B6216,MOD(A6216-1,Days),"")</f>
        <v/>
      </c>
      <c r="E6216" s="16">
        <f>IF(B6216,StartDate+D6216,"")</f>
        <v/>
      </c>
      <c r="F6216">
        <f>IF(B6216,MAX(MOD(SIN(Seed*0.1373+C6216*12.9898+D6216*78.233)*43758.5453,1),1E-9),"")</f>
        <v/>
      </c>
      <c r="G6216">
        <f>IF(B6216,MOD(SIN(Seed*0.5917+C6216*39.3468+D6216*11.135)*24634.6345,1),"")</f>
        <v/>
      </c>
      <c r="H6216">
        <f>IF(B6216,SQRT(-2*LN(F6216))*COS(2*PI()*G6216),"")</f>
        <v/>
      </c>
      <c r="I6216">
        <f>IF(B6216,IF(D6216=0,H6216,Rho*I6215+SQRT(1-Rho^2)*H6216),"")</f>
        <v/>
      </c>
      <c r="J6216">
        <f>IF(B6216,IF(Dist="Normal",DistA+DistB*I6216,DistA+(DistB-DistA)*NORMSDIST(I6216)),"")</f>
        <v/>
      </c>
      <c r="K6216">
        <f>IF(B6216,INDEX(MineScale,C6216),"")</f>
        <v/>
      </c>
      <c r="L6216">
        <f>IF(B6216,INDEX(Dow,1,WEEKDAY(E6216,2)),"")</f>
        <v/>
      </c>
      <c r="M6216">
        <f>IF(B6216,(1+Trend)^D6216,"")</f>
        <v/>
      </c>
      <c r="N6216">
        <f>IF(B6216,EXP(SUMPRODUCT(LN(1+(EvEff-1)*INDEX(Affected,0,C6216)*EXP(-((E6216-EvCenter)^2)/(2*EvSigma^2))))),"")</f>
        <v/>
      </c>
      <c r="O6216">
        <f>IF(B6216,ROUND(MAX(0,J6216*K6216*L6216*M6216*N6216),2),"")</f>
        <v/>
      </c>
    </row>
    <row r="6217">
      <c r="A6217" t="n">
        <v>6216</v>
      </c>
      <c r="B6217">
        <f>A6217&lt;=MineCount*Days</f>
        <v/>
      </c>
      <c r="C6217">
        <f>IF(B6217,INT((A6217-1)/Days)+1,"")</f>
        <v/>
      </c>
      <c r="D6217">
        <f>IF(B6217,MOD(A6217-1,Days),"")</f>
        <v/>
      </c>
      <c r="E6217" s="16">
        <f>IF(B6217,StartDate+D6217,"")</f>
        <v/>
      </c>
      <c r="F6217">
        <f>IF(B6217,MAX(MOD(SIN(Seed*0.1373+C6217*12.9898+D6217*78.233)*43758.5453,1),1E-9),"")</f>
        <v/>
      </c>
      <c r="G6217">
        <f>IF(B6217,MOD(SIN(Seed*0.5917+C6217*39.3468+D6217*11.135)*24634.6345,1),"")</f>
        <v/>
      </c>
      <c r="H6217">
        <f>IF(B6217,SQRT(-2*LN(F6217))*COS(2*PI()*G6217),"")</f>
        <v/>
      </c>
      <c r="I6217">
        <f>IF(B6217,IF(D6217=0,H6217,Rho*I6216+SQRT(1-Rho^2)*H6217),"")</f>
        <v/>
      </c>
      <c r="J6217">
        <f>IF(B6217,IF(Dist="Normal",DistA+DistB*I6217,DistA+(DistB-DistA)*NORMSDIST(I6217)),"")</f>
        <v/>
      </c>
      <c r="K6217">
        <f>IF(B6217,INDEX(MineScale,C6217),"")</f>
        <v/>
      </c>
      <c r="L6217">
        <f>IF(B6217,INDEX(Dow,1,WEEKDAY(E6217,2)),"")</f>
        <v/>
      </c>
      <c r="M6217">
        <f>IF(B6217,(1+Trend)^D6217,"")</f>
        <v/>
      </c>
      <c r="N6217">
        <f>IF(B6217,EXP(SUMPRODUCT(LN(1+(EvEff-1)*INDEX(Affected,0,C6217)*EXP(-((E6217-EvCenter)^2)/(2*EvSigma^2))))),"")</f>
        <v/>
      </c>
      <c r="O6217">
        <f>IF(B6217,ROUND(MAX(0,J6217*K6217*L6217*M6217*N6217),2),"")</f>
        <v/>
      </c>
    </row>
    <row r="6218">
      <c r="A6218" t="n">
        <v>6217</v>
      </c>
      <c r="B6218">
        <f>A6218&lt;=MineCount*Days</f>
        <v/>
      </c>
      <c r="C6218">
        <f>IF(B6218,INT((A6218-1)/Days)+1,"")</f>
        <v/>
      </c>
      <c r="D6218">
        <f>IF(B6218,MOD(A6218-1,Days),"")</f>
        <v/>
      </c>
      <c r="E6218" s="16">
        <f>IF(B6218,StartDate+D6218,"")</f>
        <v/>
      </c>
      <c r="F6218">
        <f>IF(B6218,MAX(MOD(SIN(Seed*0.1373+C6218*12.9898+D6218*78.233)*43758.5453,1),1E-9),"")</f>
        <v/>
      </c>
      <c r="G6218">
        <f>IF(B6218,MOD(SIN(Seed*0.5917+C6218*39.3468+D6218*11.135)*24634.6345,1),"")</f>
        <v/>
      </c>
      <c r="H6218">
        <f>IF(B6218,SQRT(-2*LN(F6218))*COS(2*PI()*G6218),"")</f>
        <v/>
      </c>
      <c r="I6218">
        <f>IF(B6218,IF(D6218=0,H6218,Rho*I6217+SQRT(1-Rho^2)*H6218),"")</f>
        <v/>
      </c>
      <c r="J6218">
        <f>IF(B6218,IF(Dist="Normal",DistA+DistB*I6218,DistA+(DistB-DistA)*NORMSDIST(I6218)),"")</f>
        <v/>
      </c>
      <c r="K6218">
        <f>IF(B6218,INDEX(MineScale,C6218),"")</f>
        <v/>
      </c>
      <c r="L6218">
        <f>IF(B6218,INDEX(Dow,1,WEEKDAY(E6218,2)),"")</f>
        <v/>
      </c>
      <c r="M6218">
        <f>IF(B6218,(1+Trend)^D6218,"")</f>
        <v/>
      </c>
      <c r="N6218">
        <f>IF(B6218,EXP(SUMPRODUCT(LN(1+(EvEff-1)*INDEX(Affected,0,C6218)*EXP(-((E6218-EvCenter)^2)/(2*EvSigma^2))))),"")</f>
        <v/>
      </c>
      <c r="O6218">
        <f>IF(B6218,ROUND(MAX(0,J6218*K6218*L6218*M6218*N6218),2),"")</f>
        <v/>
      </c>
    </row>
    <row r="6219">
      <c r="A6219" t="n">
        <v>6218</v>
      </c>
      <c r="B6219">
        <f>A6219&lt;=MineCount*Days</f>
        <v/>
      </c>
      <c r="C6219">
        <f>IF(B6219,INT((A6219-1)/Days)+1,"")</f>
        <v/>
      </c>
      <c r="D6219">
        <f>IF(B6219,MOD(A6219-1,Days),"")</f>
        <v/>
      </c>
      <c r="E6219" s="16">
        <f>IF(B6219,StartDate+D6219,"")</f>
        <v/>
      </c>
      <c r="F6219">
        <f>IF(B6219,MAX(MOD(SIN(Seed*0.1373+C6219*12.9898+D6219*78.233)*43758.5453,1),1E-9),"")</f>
        <v/>
      </c>
      <c r="G6219">
        <f>IF(B6219,MOD(SIN(Seed*0.5917+C6219*39.3468+D6219*11.135)*24634.6345,1),"")</f>
        <v/>
      </c>
      <c r="H6219">
        <f>IF(B6219,SQRT(-2*LN(F6219))*COS(2*PI()*G6219),"")</f>
        <v/>
      </c>
      <c r="I6219">
        <f>IF(B6219,IF(D6219=0,H6219,Rho*I6218+SQRT(1-Rho^2)*H6219),"")</f>
        <v/>
      </c>
      <c r="J6219">
        <f>IF(B6219,IF(Dist="Normal",DistA+DistB*I6219,DistA+(DistB-DistA)*NORMSDIST(I6219)),"")</f>
        <v/>
      </c>
      <c r="K6219">
        <f>IF(B6219,INDEX(MineScale,C6219),"")</f>
        <v/>
      </c>
      <c r="L6219">
        <f>IF(B6219,INDEX(Dow,1,WEEKDAY(E6219,2)),"")</f>
        <v/>
      </c>
      <c r="M6219">
        <f>IF(B6219,(1+Trend)^D6219,"")</f>
        <v/>
      </c>
      <c r="N6219">
        <f>IF(B6219,EXP(SUMPRODUCT(LN(1+(EvEff-1)*INDEX(Affected,0,C6219)*EXP(-((E6219-EvCenter)^2)/(2*EvSigma^2))))),"")</f>
        <v/>
      </c>
      <c r="O6219">
        <f>IF(B6219,ROUND(MAX(0,J6219*K6219*L6219*M6219*N6219),2),"")</f>
        <v/>
      </c>
    </row>
    <row r="6220">
      <c r="A6220" t="n">
        <v>6219</v>
      </c>
      <c r="B6220">
        <f>A6220&lt;=MineCount*Days</f>
        <v/>
      </c>
      <c r="C6220">
        <f>IF(B6220,INT((A6220-1)/Days)+1,"")</f>
        <v/>
      </c>
      <c r="D6220">
        <f>IF(B6220,MOD(A6220-1,Days),"")</f>
        <v/>
      </c>
      <c r="E6220" s="16">
        <f>IF(B6220,StartDate+D6220,"")</f>
        <v/>
      </c>
      <c r="F6220">
        <f>IF(B6220,MAX(MOD(SIN(Seed*0.1373+C6220*12.9898+D6220*78.233)*43758.5453,1),1E-9),"")</f>
        <v/>
      </c>
      <c r="G6220">
        <f>IF(B6220,MOD(SIN(Seed*0.5917+C6220*39.3468+D6220*11.135)*24634.6345,1),"")</f>
        <v/>
      </c>
      <c r="H6220">
        <f>IF(B6220,SQRT(-2*LN(F6220))*COS(2*PI()*G6220),"")</f>
        <v/>
      </c>
      <c r="I6220">
        <f>IF(B6220,IF(D6220=0,H6220,Rho*I6219+SQRT(1-Rho^2)*H6220),"")</f>
        <v/>
      </c>
      <c r="J6220">
        <f>IF(B6220,IF(Dist="Normal",DistA+DistB*I6220,DistA+(DistB-DistA)*NORMSDIST(I6220)),"")</f>
        <v/>
      </c>
      <c r="K6220">
        <f>IF(B6220,INDEX(MineScale,C6220),"")</f>
        <v/>
      </c>
      <c r="L6220">
        <f>IF(B6220,INDEX(Dow,1,WEEKDAY(E6220,2)),"")</f>
        <v/>
      </c>
      <c r="M6220">
        <f>IF(B6220,(1+Trend)^D6220,"")</f>
        <v/>
      </c>
      <c r="N6220">
        <f>IF(B6220,EXP(SUMPRODUCT(LN(1+(EvEff-1)*INDEX(Affected,0,C6220)*EXP(-((E6220-EvCenter)^2)/(2*EvSigma^2))))),"")</f>
        <v/>
      </c>
      <c r="O6220">
        <f>IF(B6220,ROUND(MAX(0,J6220*K6220*L6220*M6220*N6220),2),"")</f>
        <v/>
      </c>
    </row>
    <row r="6221">
      <c r="A6221" t="n">
        <v>6220</v>
      </c>
      <c r="B6221">
        <f>A6221&lt;=MineCount*Days</f>
        <v/>
      </c>
      <c r="C6221">
        <f>IF(B6221,INT((A6221-1)/Days)+1,"")</f>
        <v/>
      </c>
      <c r="D6221">
        <f>IF(B6221,MOD(A6221-1,Days),"")</f>
        <v/>
      </c>
      <c r="E6221" s="16">
        <f>IF(B6221,StartDate+D6221,"")</f>
        <v/>
      </c>
      <c r="F6221">
        <f>IF(B6221,MAX(MOD(SIN(Seed*0.1373+C6221*12.9898+D6221*78.233)*43758.5453,1),1E-9),"")</f>
        <v/>
      </c>
      <c r="G6221">
        <f>IF(B6221,MOD(SIN(Seed*0.5917+C6221*39.3468+D6221*11.135)*24634.6345,1),"")</f>
        <v/>
      </c>
      <c r="H6221">
        <f>IF(B6221,SQRT(-2*LN(F6221))*COS(2*PI()*G6221),"")</f>
        <v/>
      </c>
      <c r="I6221">
        <f>IF(B6221,IF(D6221=0,H6221,Rho*I6220+SQRT(1-Rho^2)*H6221),"")</f>
        <v/>
      </c>
      <c r="J6221">
        <f>IF(B6221,IF(Dist="Normal",DistA+DistB*I6221,DistA+(DistB-DistA)*NORMSDIST(I6221)),"")</f>
        <v/>
      </c>
      <c r="K6221">
        <f>IF(B6221,INDEX(MineScale,C6221),"")</f>
        <v/>
      </c>
      <c r="L6221">
        <f>IF(B6221,INDEX(Dow,1,WEEKDAY(E6221,2)),"")</f>
        <v/>
      </c>
      <c r="M6221">
        <f>IF(B6221,(1+Trend)^D6221,"")</f>
        <v/>
      </c>
      <c r="N6221">
        <f>IF(B6221,EXP(SUMPRODUCT(LN(1+(EvEff-1)*INDEX(Affected,0,C6221)*EXP(-((E6221-EvCenter)^2)/(2*EvSigma^2))))),"")</f>
        <v/>
      </c>
      <c r="O6221">
        <f>IF(B6221,ROUND(MAX(0,J6221*K6221*L6221*M6221*N6221),2),"")</f>
        <v/>
      </c>
    </row>
    <row r="6222">
      <c r="A6222" t="n">
        <v>6221</v>
      </c>
      <c r="B6222">
        <f>A6222&lt;=MineCount*Days</f>
        <v/>
      </c>
      <c r="C6222">
        <f>IF(B6222,INT((A6222-1)/Days)+1,"")</f>
        <v/>
      </c>
      <c r="D6222">
        <f>IF(B6222,MOD(A6222-1,Days),"")</f>
        <v/>
      </c>
      <c r="E6222" s="16">
        <f>IF(B6222,StartDate+D6222,"")</f>
        <v/>
      </c>
      <c r="F6222">
        <f>IF(B6222,MAX(MOD(SIN(Seed*0.1373+C6222*12.9898+D6222*78.233)*43758.5453,1),1E-9),"")</f>
        <v/>
      </c>
      <c r="G6222">
        <f>IF(B6222,MOD(SIN(Seed*0.5917+C6222*39.3468+D6222*11.135)*24634.6345,1),"")</f>
        <v/>
      </c>
      <c r="H6222">
        <f>IF(B6222,SQRT(-2*LN(F6222))*COS(2*PI()*G6222),"")</f>
        <v/>
      </c>
      <c r="I6222">
        <f>IF(B6222,IF(D6222=0,H6222,Rho*I6221+SQRT(1-Rho^2)*H6222),"")</f>
        <v/>
      </c>
      <c r="J6222">
        <f>IF(B6222,IF(Dist="Normal",DistA+DistB*I6222,DistA+(DistB-DistA)*NORMSDIST(I6222)),"")</f>
        <v/>
      </c>
      <c r="K6222">
        <f>IF(B6222,INDEX(MineScale,C6222),"")</f>
        <v/>
      </c>
      <c r="L6222">
        <f>IF(B6222,INDEX(Dow,1,WEEKDAY(E6222,2)),"")</f>
        <v/>
      </c>
      <c r="M6222">
        <f>IF(B6222,(1+Trend)^D6222,"")</f>
        <v/>
      </c>
      <c r="N6222">
        <f>IF(B6222,EXP(SUMPRODUCT(LN(1+(EvEff-1)*INDEX(Affected,0,C6222)*EXP(-((E6222-EvCenter)^2)/(2*EvSigma^2))))),"")</f>
        <v/>
      </c>
      <c r="O6222">
        <f>IF(B6222,ROUND(MAX(0,J6222*K6222*L6222*M6222*N6222),2),"")</f>
        <v/>
      </c>
    </row>
    <row r="6223">
      <c r="A6223" t="n">
        <v>6222</v>
      </c>
      <c r="B6223">
        <f>A6223&lt;=MineCount*Days</f>
        <v/>
      </c>
      <c r="C6223">
        <f>IF(B6223,INT((A6223-1)/Days)+1,"")</f>
        <v/>
      </c>
      <c r="D6223">
        <f>IF(B6223,MOD(A6223-1,Days),"")</f>
        <v/>
      </c>
      <c r="E6223" s="16">
        <f>IF(B6223,StartDate+D6223,"")</f>
        <v/>
      </c>
      <c r="F6223">
        <f>IF(B6223,MAX(MOD(SIN(Seed*0.1373+C6223*12.9898+D6223*78.233)*43758.5453,1),1E-9),"")</f>
        <v/>
      </c>
      <c r="G6223">
        <f>IF(B6223,MOD(SIN(Seed*0.5917+C6223*39.3468+D6223*11.135)*24634.6345,1),"")</f>
        <v/>
      </c>
      <c r="H6223">
        <f>IF(B6223,SQRT(-2*LN(F6223))*COS(2*PI()*G6223),"")</f>
        <v/>
      </c>
      <c r="I6223">
        <f>IF(B6223,IF(D6223=0,H6223,Rho*I6222+SQRT(1-Rho^2)*H6223),"")</f>
        <v/>
      </c>
      <c r="J6223">
        <f>IF(B6223,IF(Dist="Normal",DistA+DistB*I6223,DistA+(DistB-DistA)*NORMSDIST(I6223)),"")</f>
        <v/>
      </c>
      <c r="K6223">
        <f>IF(B6223,INDEX(MineScale,C6223),"")</f>
        <v/>
      </c>
      <c r="L6223">
        <f>IF(B6223,INDEX(Dow,1,WEEKDAY(E6223,2)),"")</f>
        <v/>
      </c>
      <c r="M6223">
        <f>IF(B6223,(1+Trend)^D6223,"")</f>
        <v/>
      </c>
      <c r="N6223">
        <f>IF(B6223,EXP(SUMPRODUCT(LN(1+(EvEff-1)*INDEX(Affected,0,C6223)*EXP(-((E6223-EvCenter)^2)/(2*EvSigma^2))))),"")</f>
        <v/>
      </c>
      <c r="O6223">
        <f>IF(B6223,ROUND(MAX(0,J6223*K6223*L6223*M6223*N6223),2),"")</f>
        <v/>
      </c>
    </row>
    <row r="6224">
      <c r="A6224" t="n">
        <v>6223</v>
      </c>
      <c r="B6224">
        <f>A6224&lt;=MineCount*Days</f>
        <v/>
      </c>
      <c r="C6224">
        <f>IF(B6224,INT((A6224-1)/Days)+1,"")</f>
        <v/>
      </c>
      <c r="D6224">
        <f>IF(B6224,MOD(A6224-1,Days),"")</f>
        <v/>
      </c>
      <c r="E6224" s="16">
        <f>IF(B6224,StartDate+D6224,"")</f>
        <v/>
      </c>
      <c r="F6224">
        <f>IF(B6224,MAX(MOD(SIN(Seed*0.1373+C6224*12.9898+D6224*78.233)*43758.5453,1),1E-9),"")</f>
        <v/>
      </c>
      <c r="G6224">
        <f>IF(B6224,MOD(SIN(Seed*0.5917+C6224*39.3468+D6224*11.135)*24634.6345,1),"")</f>
        <v/>
      </c>
      <c r="H6224">
        <f>IF(B6224,SQRT(-2*LN(F6224))*COS(2*PI()*G6224),"")</f>
        <v/>
      </c>
      <c r="I6224">
        <f>IF(B6224,IF(D6224=0,H6224,Rho*I6223+SQRT(1-Rho^2)*H6224),"")</f>
        <v/>
      </c>
      <c r="J6224">
        <f>IF(B6224,IF(Dist="Normal",DistA+DistB*I6224,DistA+(DistB-DistA)*NORMSDIST(I6224)),"")</f>
        <v/>
      </c>
      <c r="K6224">
        <f>IF(B6224,INDEX(MineScale,C6224),"")</f>
        <v/>
      </c>
      <c r="L6224">
        <f>IF(B6224,INDEX(Dow,1,WEEKDAY(E6224,2)),"")</f>
        <v/>
      </c>
      <c r="M6224">
        <f>IF(B6224,(1+Trend)^D6224,"")</f>
        <v/>
      </c>
      <c r="N6224">
        <f>IF(B6224,EXP(SUMPRODUCT(LN(1+(EvEff-1)*INDEX(Affected,0,C6224)*EXP(-((E6224-EvCenter)^2)/(2*EvSigma^2))))),"")</f>
        <v/>
      </c>
      <c r="O6224">
        <f>IF(B6224,ROUND(MAX(0,J6224*K6224*L6224*M6224*N6224),2),"")</f>
        <v/>
      </c>
    </row>
    <row r="6225">
      <c r="A6225" t="n">
        <v>6224</v>
      </c>
      <c r="B6225">
        <f>A6225&lt;=MineCount*Days</f>
        <v/>
      </c>
      <c r="C6225">
        <f>IF(B6225,INT((A6225-1)/Days)+1,"")</f>
        <v/>
      </c>
      <c r="D6225">
        <f>IF(B6225,MOD(A6225-1,Days),"")</f>
        <v/>
      </c>
      <c r="E6225" s="16">
        <f>IF(B6225,StartDate+D6225,"")</f>
        <v/>
      </c>
      <c r="F6225">
        <f>IF(B6225,MAX(MOD(SIN(Seed*0.1373+C6225*12.9898+D6225*78.233)*43758.5453,1),1E-9),"")</f>
        <v/>
      </c>
      <c r="G6225">
        <f>IF(B6225,MOD(SIN(Seed*0.5917+C6225*39.3468+D6225*11.135)*24634.6345,1),"")</f>
        <v/>
      </c>
      <c r="H6225">
        <f>IF(B6225,SQRT(-2*LN(F6225))*COS(2*PI()*G6225),"")</f>
        <v/>
      </c>
      <c r="I6225">
        <f>IF(B6225,IF(D6225=0,H6225,Rho*I6224+SQRT(1-Rho^2)*H6225),"")</f>
        <v/>
      </c>
      <c r="J6225">
        <f>IF(B6225,IF(Dist="Normal",DistA+DistB*I6225,DistA+(DistB-DistA)*NORMSDIST(I6225)),"")</f>
        <v/>
      </c>
      <c r="K6225">
        <f>IF(B6225,INDEX(MineScale,C6225),"")</f>
        <v/>
      </c>
      <c r="L6225">
        <f>IF(B6225,INDEX(Dow,1,WEEKDAY(E6225,2)),"")</f>
        <v/>
      </c>
      <c r="M6225">
        <f>IF(B6225,(1+Trend)^D6225,"")</f>
        <v/>
      </c>
      <c r="N6225">
        <f>IF(B6225,EXP(SUMPRODUCT(LN(1+(EvEff-1)*INDEX(Affected,0,C6225)*EXP(-((E6225-EvCenter)^2)/(2*EvSigma^2))))),"")</f>
        <v/>
      </c>
      <c r="O6225">
        <f>IF(B6225,ROUND(MAX(0,J6225*K6225*L6225*M6225*N6225),2),"")</f>
        <v/>
      </c>
    </row>
    <row r="6226">
      <c r="A6226" t="n">
        <v>6225</v>
      </c>
      <c r="B6226">
        <f>A6226&lt;=MineCount*Days</f>
        <v/>
      </c>
      <c r="C6226">
        <f>IF(B6226,INT((A6226-1)/Days)+1,"")</f>
        <v/>
      </c>
      <c r="D6226">
        <f>IF(B6226,MOD(A6226-1,Days),"")</f>
        <v/>
      </c>
      <c r="E6226" s="16">
        <f>IF(B6226,StartDate+D6226,"")</f>
        <v/>
      </c>
      <c r="F6226">
        <f>IF(B6226,MAX(MOD(SIN(Seed*0.1373+C6226*12.9898+D6226*78.233)*43758.5453,1),1E-9),"")</f>
        <v/>
      </c>
      <c r="G6226">
        <f>IF(B6226,MOD(SIN(Seed*0.5917+C6226*39.3468+D6226*11.135)*24634.6345,1),"")</f>
        <v/>
      </c>
      <c r="H6226">
        <f>IF(B6226,SQRT(-2*LN(F6226))*COS(2*PI()*G6226),"")</f>
        <v/>
      </c>
      <c r="I6226">
        <f>IF(B6226,IF(D6226=0,H6226,Rho*I6225+SQRT(1-Rho^2)*H6226),"")</f>
        <v/>
      </c>
      <c r="J6226">
        <f>IF(B6226,IF(Dist="Normal",DistA+DistB*I6226,DistA+(DistB-DistA)*NORMSDIST(I6226)),"")</f>
        <v/>
      </c>
      <c r="K6226">
        <f>IF(B6226,INDEX(MineScale,C6226),"")</f>
        <v/>
      </c>
      <c r="L6226">
        <f>IF(B6226,INDEX(Dow,1,WEEKDAY(E6226,2)),"")</f>
        <v/>
      </c>
      <c r="M6226">
        <f>IF(B6226,(1+Trend)^D6226,"")</f>
        <v/>
      </c>
      <c r="N6226">
        <f>IF(B6226,EXP(SUMPRODUCT(LN(1+(EvEff-1)*INDEX(Affected,0,C6226)*EXP(-((E6226-EvCenter)^2)/(2*EvSigma^2))))),"")</f>
        <v/>
      </c>
      <c r="O6226">
        <f>IF(B6226,ROUND(MAX(0,J6226*K6226*L6226*M6226*N6226),2),"")</f>
        <v/>
      </c>
    </row>
    <row r="6227">
      <c r="A6227" t="n">
        <v>6226</v>
      </c>
      <c r="B6227">
        <f>A6227&lt;=MineCount*Days</f>
        <v/>
      </c>
      <c r="C6227">
        <f>IF(B6227,INT((A6227-1)/Days)+1,"")</f>
        <v/>
      </c>
      <c r="D6227">
        <f>IF(B6227,MOD(A6227-1,Days),"")</f>
        <v/>
      </c>
      <c r="E6227" s="16">
        <f>IF(B6227,StartDate+D6227,"")</f>
        <v/>
      </c>
      <c r="F6227">
        <f>IF(B6227,MAX(MOD(SIN(Seed*0.1373+C6227*12.9898+D6227*78.233)*43758.5453,1),1E-9),"")</f>
        <v/>
      </c>
      <c r="G6227">
        <f>IF(B6227,MOD(SIN(Seed*0.5917+C6227*39.3468+D6227*11.135)*24634.6345,1),"")</f>
        <v/>
      </c>
      <c r="H6227">
        <f>IF(B6227,SQRT(-2*LN(F6227))*COS(2*PI()*G6227),"")</f>
        <v/>
      </c>
      <c r="I6227">
        <f>IF(B6227,IF(D6227=0,H6227,Rho*I6226+SQRT(1-Rho^2)*H6227),"")</f>
        <v/>
      </c>
      <c r="J6227">
        <f>IF(B6227,IF(Dist="Normal",DistA+DistB*I6227,DistA+(DistB-DistA)*NORMSDIST(I6227)),"")</f>
        <v/>
      </c>
      <c r="K6227">
        <f>IF(B6227,INDEX(MineScale,C6227),"")</f>
        <v/>
      </c>
      <c r="L6227">
        <f>IF(B6227,INDEX(Dow,1,WEEKDAY(E6227,2)),"")</f>
        <v/>
      </c>
      <c r="M6227">
        <f>IF(B6227,(1+Trend)^D6227,"")</f>
        <v/>
      </c>
      <c r="N6227">
        <f>IF(B6227,EXP(SUMPRODUCT(LN(1+(EvEff-1)*INDEX(Affected,0,C6227)*EXP(-((E6227-EvCenter)^2)/(2*EvSigma^2))))),"")</f>
        <v/>
      </c>
      <c r="O6227">
        <f>IF(B6227,ROUND(MAX(0,J6227*K6227*L6227*M6227*N6227),2),"")</f>
        <v/>
      </c>
    </row>
    <row r="6228">
      <c r="A6228" t="n">
        <v>6227</v>
      </c>
      <c r="B6228">
        <f>A6228&lt;=MineCount*Days</f>
        <v/>
      </c>
      <c r="C6228">
        <f>IF(B6228,INT((A6228-1)/Days)+1,"")</f>
        <v/>
      </c>
      <c r="D6228">
        <f>IF(B6228,MOD(A6228-1,Days),"")</f>
        <v/>
      </c>
      <c r="E6228" s="16">
        <f>IF(B6228,StartDate+D6228,"")</f>
        <v/>
      </c>
      <c r="F6228">
        <f>IF(B6228,MAX(MOD(SIN(Seed*0.1373+C6228*12.9898+D6228*78.233)*43758.5453,1),1E-9),"")</f>
        <v/>
      </c>
      <c r="G6228">
        <f>IF(B6228,MOD(SIN(Seed*0.5917+C6228*39.3468+D6228*11.135)*24634.6345,1),"")</f>
        <v/>
      </c>
      <c r="H6228">
        <f>IF(B6228,SQRT(-2*LN(F6228))*COS(2*PI()*G6228),"")</f>
        <v/>
      </c>
      <c r="I6228">
        <f>IF(B6228,IF(D6228=0,H6228,Rho*I6227+SQRT(1-Rho^2)*H6228),"")</f>
        <v/>
      </c>
      <c r="J6228">
        <f>IF(B6228,IF(Dist="Normal",DistA+DistB*I6228,DistA+(DistB-DistA)*NORMSDIST(I6228)),"")</f>
        <v/>
      </c>
      <c r="K6228">
        <f>IF(B6228,INDEX(MineScale,C6228),"")</f>
        <v/>
      </c>
      <c r="L6228">
        <f>IF(B6228,INDEX(Dow,1,WEEKDAY(E6228,2)),"")</f>
        <v/>
      </c>
      <c r="M6228">
        <f>IF(B6228,(1+Trend)^D6228,"")</f>
        <v/>
      </c>
      <c r="N6228">
        <f>IF(B6228,EXP(SUMPRODUCT(LN(1+(EvEff-1)*INDEX(Affected,0,C6228)*EXP(-((E6228-EvCenter)^2)/(2*EvSigma^2))))),"")</f>
        <v/>
      </c>
      <c r="O6228">
        <f>IF(B6228,ROUND(MAX(0,J6228*K6228*L6228*M6228*N6228),2),"")</f>
        <v/>
      </c>
    </row>
    <row r="6229">
      <c r="A6229" t="n">
        <v>6228</v>
      </c>
      <c r="B6229">
        <f>A6229&lt;=MineCount*Days</f>
        <v/>
      </c>
      <c r="C6229">
        <f>IF(B6229,INT((A6229-1)/Days)+1,"")</f>
        <v/>
      </c>
      <c r="D6229">
        <f>IF(B6229,MOD(A6229-1,Days),"")</f>
        <v/>
      </c>
      <c r="E6229" s="16">
        <f>IF(B6229,StartDate+D6229,"")</f>
        <v/>
      </c>
      <c r="F6229">
        <f>IF(B6229,MAX(MOD(SIN(Seed*0.1373+C6229*12.9898+D6229*78.233)*43758.5453,1),1E-9),"")</f>
        <v/>
      </c>
      <c r="G6229">
        <f>IF(B6229,MOD(SIN(Seed*0.5917+C6229*39.3468+D6229*11.135)*24634.6345,1),"")</f>
        <v/>
      </c>
      <c r="H6229">
        <f>IF(B6229,SQRT(-2*LN(F6229))*COS(2*PI()*G6229),"")</f>
        <v/>
      </c>
      <c r="I6229">
        <f>IF(B6229,IF(D6229=0,H6229,Rho*I6228+SQRT(1-Rho^2)*H6229),"")</f>
        <v/>
      </c>
      <c r="J6229">
        <f>IF(B6229,IF(Dist="Normal",DistA+DistB*I6229,DistA+(DistB-DistA)*NORMSDIST(I6229)),"")</f>
        <v/>
      </c>
      <c r="K6229">
        <f>IF(B6229,INDEX(MineScale,C6229),"")</f>
        <v/>
      </c>
      <c r="L6229">
        <f>IF(B6229,INDEX(Dow,1,WEEKDAY(E6229,2)),"")</f>
        <v/>
      </c>
      <c r="M6229">
        <f>IF(B6229,(1+Trend)^D6229,"")</f>
        <v/>
      </c>
      <c r="N6229">
        <f>IF(B6229,EXP(SUMPRODUCT(LN(1+(EvEff-1)*INDEX(Affected,0,C6229)*EXP(-((E6229-EvCenter)^2)/(2*EvSigma^2))))),"")</f>
        <v/>
      </c>
      <c r="O6229">
        <f>IF(B6229,ROUND(MAX(0,J6229*K6229*L6229*M6229*N6229),2),"")</f>
        <v/>
      </c>
    </row>
    <row r="6230">
      <c r="A6230" t="n">
        <v>6229</v>
      </c>
      <c r="B6230">
        <f>A6230&lt;=MineCount*Days</f>
        <v/>
      </c>
      <c r="C6230">
        <f>IF(B6230,INT((A6230-1)/Days)+1,"")</f>
        <v/>
      </c>
      <c r="D6230">
        <f>IF(B6230,MOD(A6230-1,Days),"")</f>
        <v/>
      </c>
      <c r="E6230" s="16">
        <f>IF(B6230,StartDate+D6230,"")</f>
        <v/>
      </c>
      <c r="F6230">
        <f>IF(B6230,MAX(MOD(SIN(Seed*0.1373+C6230*12.9898+D6230*78.233)*43758.5453,1),1E-9),"")</f>
        <v/>
      </c>
      <c r="G6230">
        <f>IF(B6230,MOD(SIN(Seed*0.5917+C6230*39.3468+D6230*11.135)*24634.6345,1),"")</f>
        <v/>
      </c>
      <c r="H6230">
        <f>IF(B6230,SQRT(-2*LN(F6230))*COS(2*PI()*G6230),"")</f>
        <v/>
      </c>
      <c r="I6230">
        <f>IF(B6230,IF(D6230=0,H6230,Rho*I6229+SQRT(1-Rho^2)*H6230),"")</f>
        <v/>
      </c>
      <c r="J6230">
        <f>IF(B6230,IF(Dist="Normal",DistA+DistB*I6230,DistA+(DistB-DistA)*NORMSDIST(I6230)),"")</f>
        <v/>
      </c>
      <c r="K6230">
        <f>IF(B6230,INDEX(MineScale,C6230),"")</f>
        <v/>
      </c>
      <c r="L6230">
        <f>IF(B6230,INDEX(Dow,1,WEEKDAY(E6230,2)),"")</f>
        <v/>
      </c>
      <c r="M6230">
        <f>IF(B6230,(1+Trend)^D6230,"")</f>
        <v/>
      </c>
      <c r="N6230">
        <f>IF(B6230,EXP(SUMPRODUCT(LN(1+(EvEff-1)*INDEX(Affected,0,C6230)*EXP(-((E6230-EvCenter)^2)/(2*EvSigma^2))))),"")</f>
        <v/>
      </c>
      <c r="O6230">
        <f>IF(B6230,ROUND(MAX(0,J6230*K6230*L6230*M6230*N6230),2),"")</f>
        <v/>
      </c>
    </row>
    <row r="6231">
      <c r="A6231" t="n">
        <v>6230</v>
      </c>
      <c r="B6231">
        <f>A6231&lt;=MineCount*Days</f>
        <v/>
      </c>
      <c r="C6231">
        <f>IF(B6231,INT((A6231-1)/Days)+1,"")</f>
        <v/>
      </c>
      <c r="D6231">
        <f>IF(B6231,MOD(A6231-1,Days),"")</f>
        <v/>
      </c>
      <c r="E6231" s="16">
        <f>IF(B6231,StartDate+D6231,"")</f>
        <v/>
      </c>
      <c r="F6231">
        <f>IF(B6231,MAX(MOD(SIN(Seed*0.1373+C6231*12.9898+D6231*78.233)*43758.5453,1),1E-9),"")</f>
        <v/>
      </c>
      <c r="G6231">
        <f>IF(B6231,MOD(SIN(Seed*0.5917+C6231*39.3468+D6231*11.135)*24634.6345,1),"")</f>
        <v/>
      </c>
      <c r="H6231">
        <f>IF(B6231,SQRT(-2*LN(F6231))*COS(2*PI()*G6231),"")</f>
        <v/>
      </c>
      <c r="I6231">
        <f>IF(B6231,IF(D6231=0,H6231,Rho*I6230+SQRT(1-Rho^2)*H6231),"")</f>
        <v/>
      </c>
      <c r="J6231">
        <f>IF(B6231,IF(Dist="Normal",DistA+DistB*I6231,DistA+(DistB-DistA)*NORMSDIST(I6231)),"")</f>
        <v/>
      </c>
      <c r="K6231">
        <f>IF(B6231,INDEX(MineScale,C6231),"")</f>
        <v/>
      </c>
      <c r="L6231">
        <f>IF(B6231,INDEX(Dow,1,WEEKDAY(E6231,2)),"")</f>
        <v/>
      </c>
      <c r="M6231">
        <f>IF(B6231,(1+Trend)^D6231,"")</f>
        <v/>
      </c>
      <c r="N6231">
        <f>IF(B6231,EXP(SUMPRODUCT(LN(1+(EvEff-1)*INDEX(Affected,0,C6231)*EXP(-((E6231-EvCenter)^2)/(2*EvSigma^2))))),"")</f>
        <v/>
      </c>
      <c r="O6231">
        <f>IF(B6231,ROUND(MAX(0,J6231*K6231*L6231*M6231*N6231),2),"")</f>
        <v/>
      </c>
    </row>
    <row r="6232">
      <c r="A6232" t="n">
        <v>6231</v>
      </c>
      <c r="B6232">
        <f>A6232&lt;=MineCount*Days</f>
        <v/>
      </c>
      <c r="C6232">
        <f>IF(B6232,INT((A6232-1)/Days)+1,"")</f>
        <v/>
      </c>
      <c r="D6232">
        <f>IF(B6232,MOD(A6232-1,Days),"")</f>
        <v/>
      </c>
      <c r="E6232" s="16">
        <f>IF(B6232,StartDate+D6232,"")</f>
        <v/>
      </c>
      <c r="F6232">
        <f>IF(B6232,MAX(MOD(SIN(Seed*0.1373+C6232*12.9898+D6232*78.233)*43758.5453,1),1E-9),"")</f>
        <v/>
      </c>
      <c r="G6232">
        <f>IF(B6232,MOD(SIN(Seed*0.5917+C6232*39.3468+D6232*11.135)*24634.6345,1),"")</f>
        <v/>
      </c>
      <c r="H6232">
        <f>IF(B6232,SQRT(-2*LN(F6232))*COS(2*PI()*G6232),"")</f>
        <v/>
      </c>
      <c r="I6232">
        <f>IF(B6232,IF(D6232=0,H6232,Rho*I6231+SQRT(1-Rho^2)*H6232),"")</f>
        <v/>
      </c>
      <c r="J6232">
        <f>IF(B6232,IF(Dist="Normal",DistA+DistB*I6232,DistA+(DistB-DistA)*NORMSDIST(I6232)),"")</f>
        <v/>
      </c>
      <c r="K6232">
        <f>IF(B6232,INDEX(MineScale,C6232),"")</f>
        <v/>
      </c>
      <c r="L6232">
        <f>IF(B6232,INDEX(Dow,1,WEEKDAY(E6232,2)),"")</f>
        <v/>
      </c>
      <c r="M6232">
        <f>IF(B6232,(1+Trend)^D6232,"")</f>
        <v/>
      </c>
      <c r="N6232">
        <f>IF(B6232,EXP(SUMPRODUCT(LN(1+(EvEff-1)*INDEX(Affected,0,C6232)*EXP(-((E6232-EvCenter)^2)/(2*EvSigma^2))))),"")</f>
        <v/>
      </c>
      <c r="O6232">
        <f>IF(B6232,ROUND(MAX(0,J6232*K6232*L6232*M6232*N6232),2),"")</f>
        <v/>
      </c>
    </row>
    <row r="6233">
      <c r="A6233" t="n">
        <v>6232</v>
      </c>
      <c r="B6233">
        <f>A6233&lt;=MineCount*Days</f>
        <v/>
      </c>
      <c r="C6233">
        <f>IF(B6233,INT((A6233-1)/Days)+1,"")</f>
        <v/>
      </c>
      <c r="D6233">
        <f>IF(B6233,MOD(A6233-1,Days),"")</f>
        <v/>
      </c>
      <c r="E6233" s="16">
        <f>IF(B6233,StartDate+D6233,"")</f>
        <v/>
      </c>
      <c r="F6233">
        <f>IF(B6233,MAX(MOD(SIN(Seed*0.1373+C6233*12.9898+D6233*78.233)*43758.5453,1),1E-9),"")</f>
        <v/>
      </c>
      <c r="G6233">
        <f>IF(B6233,MOD(SIN(Seed*0.5917+C6233*39.3468+D6233*11.135)*24634.6345,1),"")</f>
        <v/>
      </c>
      <c r="H6233">
        <f>IF(B6233,SQRT(-2*LN(F6233))*COS(2*PI()*G6233),"")</f>
        <v/>
      </c>
      <c r="I6233">
        <f>IF(B6233,IF(D6233=0,H6233,Rho*I6232+SQRT(1-Rho^2)*H6233),"")</f>
        <v/>
      </c>
      <c r="J6233">
        <f>IF(B6233,IF(Dist="Normal",DistA+DistB*I6233,DistA+(DistB-DistA)*NORMSDIST(I6233)),"")</f>
        <v/>
      </c>
      <c r="K6233">
        <f>IF(B6233,INDEX(MineScale,C6233),"")</f>
        <v/>
      </c>
      <c r="L6233">
        <f>IF(B6233,INDEX(Dow,1,WEEKDAY(E6233,2)),"")</f>
        <v/>
      </c>
      <c r="M6233">
        <f>IF(B6233,(1+Trend)^D6233,"")</f>
        <v/>
      </c>
      <c r="N6233">
        <f>IF(B6233,EXP(SUMPRODUCT(LN(1+(EvEff-1)*INDEX(Affected,0,C6233)*EXP(-((E6233-EvCenter)^2)/(2*EvSigma^2))))),"")</f>
        <v/>
      </c>
      <c r="O6233">
        <f>IF(B6233,ROUND(MAX(0,J6233*K6233*L6233*M6233*N6233),2),"")</f>
        <v/>
      </c>
    </row>
    <row r="6234">
      <c r="A6234" t="n">
        <v>6233</v>
      </c>
      <c r="B6234">
        <f>A6234&lt;=MineCount*Days</f>
        <v/>
      </c>
      <c r="C6234">
        <f>IF(B6234,INT((A6234-1)/Days)+1,"")</f>
        <v/>
      </c>
      <c r="D6234">
        <f>IF(B6234,MOD(A6234-1,Days),"")</f>
        <v/>
      </c>
      <c r="E6234" s="16">
        <f>IF(B6234,StartDate+D6234,"")</f>
        <v/>
      </c>
      <c r="F6234">
        <f>IF(B6234,MAX(MOD(SIN(Seed*0.1373+C6234*12.9898+D6234*78.233)*43758.5453,1),1E-9),"")</f>
        <v/>
      </c>
      <c r="G6234">
        <f>IF(B6234,MOD(SIN(Seed*0.5917+C6234*39.3468+D6234*11.135)*24634.6345,1),"")</f>
        <v/>
      </c>
      <c r="H6234">
        <f>IF(B6234,SQRT(-2*LN(F6234))*COS(2*PI()*G6234),"")</f>
        <v/>
      </c>
      <c r="I6234">
        <f>IF(B6234,IF(D6234=0,H6234,Rho*I6233+SQRT(1-Rho^2)*H6234),"")</f>
        <v/>
      </c>
      <c r="J6234">
        <f>IF(B6234,IF(Dist="Normal",DistA+DistB*I6234,DistA+(DistB-DistA)*NORMSDIST(I6234)),"")</f>
        <v/>
      </c>
      <c r="K6234">
        <f>IF(B6234,INDEX(MineScale,C6234),"")</f>
        <v/>
      </c>
      <c r="L6234">
        <f>IF(B6234,INDEX(Dow,1,WEEKDAY(E6234,2)),"")</f>
        <v/>
      </c>
      <c r="M6234">
        <f>IF(B6234,(1+Trend)^D6234,"")</f>
        <v/>
      </c>
      <c r="N6234">
        <f>IF(B6234,EXP(SUMPRODUCT(LN(1+(EvEff-1)*INDEX(Affected,0,C6234)*EXP(-((E6234-EvCenter)^2)/(2*EvSigma^2))))),"")</f>
        <v/>
      </c>
      <c r="O6234">
        <f>IF(B6234,ROUND(MAX(0,J6234*K6234*L6234*M6234*N6234),2),"")</f>
        <v/>
      </c>
    </row>
    <row r="6235">
      <c r="A6235" t="n">
        <v>6234</v>
      </c>
      <c r="B6235">
        <f>A6235&lt;=MineCount*Days</f>
        <v/>
      </c>
      <c r="C6235">
        <f>IF(B6235,INT((A6235-1)/Days)+1,"")</f>
        <v/>
      </c>
      <c r="D6235">
        <f>IF(B6235,MOD(A6235-1,Days),"")</f>
        <v/>
      </c>
      <c r="E6235" s="16">
        <f>IF(B6235,StartDate+D6235,"")</f>
        <v/>
      </c>
      <c r="F6235">
        <f>IF(B6235,MAX(MOD(SIN(Seed*0.1373+C6235*12.9898+D6235*78.233)*43758.5453,1),1E-9),"")</f>
        <v/>
      </c>
      <c r="G6235">
        <f>IF(B6235,MOD(SIN(Seed*0.5917+C6235*39.3468+D6235*11.135)*24634.6345,1),"")</f>
        <v/>
      </c>
      <c r="H6235">
        <f>IF(B6235,SQRT(-2*LN(F6235))*COS(2*PI()*G6235),"")</f>
        <v/>
      </c>
      <c r="I6235">
        <f>IF(B6235,IF(D6235=0,H6235,Rho*I6234+SQRT(1-Rho^2)*H6235),"")</f>
        <v/>
      </c>
      <c r="J6235">
        <f>IF(B6235,IF(Dist="Normal",DistA+DistB*I6235,DistA+(DistB-DistA)*NORMSDIST(I6235)),"")</f>
        <v/>
      </c>
      <c r="K6235">
        <f>IF(B6235,INDEX(MineScale,C6235),"")</f>
        <v/>
      </c>
      <c r="L6235">
        <f>IF(B6235,INDEX(Dow,1,WEEKDAY(E6235,2)),"")</f>
        <v/>
      </c>
      <c r="M6235">
        <f>IF(B6235,(1+Trend)^D6235,"")</f>
        <v/>
      </c>
      <c r="N6235">
        <f>IF(B6235,EXP(SUMPRODUCT(LN(1+(EvEff-1)*INDEX(Affected,0,C6235)*EXP(-((E6235-EvCenter)^2)/(2*EvSigma^2))))),"")</f>
        <v/>
      </c>
      <c r="O6235">
        <f>IF(B6235,ROUND(MAX(0,J6235*K6235*L6235*M6235*N6235),2),"")</f>
        <v/>
      </c>
    </row>
    <row r="6236">
      <c r="A6236" t="n">
        <v>6235</v>
      </c>
      <c r="B6236">
        <f>A6236&lt;=MineCount*Days</f>
        <v/>
      </c>
      <c r="C6236">
        <f>IF(B6236,INT((A6236-1)/Days)+1,"")</f>
        <v/>
      </c>
      <c r="D6236">
        <f>IF(B6236,MOD(A6236-1,Days),"")</f>
        <v/>
      </c>
      <c r="E6236" s="16">
        <f>IF(B6236,StartDate+D6236,"")</f>
        <v/>
      </c>
      <c r="F6236">
        <f>IF(B6236,MAX(MOD(SIN(Seed*0.1373+C6236*12.9898+D6236*78.233)*43758.5453,1),1E-9),"")</f>
        <v/>
      </c>
      <c r="G6236">
        <f>IF(B6236,MOD(SIN(Seed*0.5917+C6236*39.3468+D6236*11.135)*24634.6345,1),"")</f>
        <v/>
      </c>
      <c r="H6236">
        <f>IF(B6236,SQRT(-2*LN(F6236))*COS(2*PI()*G6236),"")</f>
        <v/>
      </c>
      <c r="I6236">
        <f>IF(B6236,IF(D6236=0,H6236,Rho*I6235+SQRT(1-Rho^2)*H6236),"")</f>
        <v/>
      </c>
      <c r="J6236">
        <f>IF(B6236,IF(Dist="Normal",DistA+DistB*I6236,DistA+(DistB-DistA)*NORMSDIST(I6236)),"")</f>
        <v/>
      </c>
      <c r="K6236">
        <f>IF(B6236,INDEX(MineScale,C6236),"")</f>
        <v/>
      </c>
      <c r="L6236">
        <f>IF(B6236,INDEX(Dow,1,WEEKDAY(E6236,2)),"")</f>
        <v/>
      </c>
      <c r="M6236">
        <f>IF(B6236,(1+Trend)^D6236,"")</f>
        <v/>
      </c>
      <c r="N6236">
        <f>IF(B6236,EXP(SUMPRODUCT(LN(1+(EvEff-1)*INDEX(Affected,0,C6236)*EXP(-((E6236-EvCenter)^2)/(2*EvSigma^2))))),"")</f>
        <v/>
      </c>
      <c r="O6236">
        <f>IF(B6236,ROUND(MAX(0,J6236*K6236*L6236*M6236*N6236),2),"")</f>
        <v/>
      </c>
    </row>
    <row r="6237">
      <c r="A6237" t="n">
        <v>6236</v>
      </c>
      <c r="B6237">
        <f>A6237&lt;=MineCount*Days</f>
        <v/>
      </c>
      <c r="C6237">
        <f>IF(B6237,INT((A6237-1)/Days)+1,"")</f>
        <v/>
      </c>
      <c r="D6237">
        <f>IF(B6237,MOD(A6237-1,Days),"")</f>
        <v/>
      </c>
      <c r="E6237" s="16">
        <f>IF(B6237,StartDate+D6237,"")</f>
        <v/>
      </c>
      <c r="F6237">
        <f>IF(B6237,MAX(MOD(SIN(Seed*0.1373+C6237*12.9898+D6237*78.233)*43758.5453,1),1E-9),"")</f>
        <v/>
      </c>
      <c r="G6237">
        <f>IF(B6237,MOD(SIN(Seed*0.5917+C6237*39.3468+D6237*11.135)*24634.6345,1),"")</f>
        <v/>
      </c>
      <c r="H6237">
        <f>IF(B6237,SQRT(-2*LN(F6237))*COS(2*PI()*G6237),"")</f>
        <v/>
      </c>
      <c r="I6237">
        <f>IF(B6237,IF(D6237=0,H6237,Rho*I6236+SQRT(1-Rho^2)*H6237),"")</f>
        <v/>
      </c>
      <c r="J6237">
        <f>IF(B6237,IF(Dist="Normal",DistA+DistB*I6237,DistA+(DistB-DistA)*NORMSDIST(I6237)),"")</f>
        <v/>
      </c>
      <c r="K6237">
        <f>IF(B6237,INDEX(MineScale,C6237),"")</f>
        <v/>
      </c>
      <c r="L6237">
        <f>IF(B6237,INDEX(Dow,1,WEEKDAY(E6237,2)),"")</f>
        <v/>
      </c>
      <c r="M6237">
        <f>IF(B6237,(1+Trend)^D6237,"")</f>
        <v/>
      </c>
      <c r="N6237">
        <f>IF(B6237,EXP(SUMPRODUCT(LN(1+(EvEff-1)*INDEX(Affected,0,C6237)*EXP(-((E6237-EvCenter)^2)/(2*EvSigma^2))))),"")</f>
        <v/>
      </c>
      <c r="O6237">
        <f>IF(B6237,ROUND(MAX(0,J6237*K6237*L6237*M6237*N6237),2),"")</f>
        <v/>
      </c>
    </row>
    <row r="6238">
      <c r="A6238" t="n">
        <v>6237</v>
      </c>
      <c r="B6238">
        <f>A6238&lt;=MineCount*Days</f>
        <v/>
      </c>
      <c r="C6238">
        <f>IF(B6238,INT((A6238-1)/Days)+1,"")</f>
        <v/>
      </c>
      <c r="D6238">
        <f>IF(B6238,MOD(A6238-1,Days),"")</f>
        <v/>
      </c>
      <c r="E6238" s="16">
        <f>IF(B6238,StartDate+D6238,"")</f>
        <v/>
      </c>
      <c r="F6238">
        <f>IF(B6238,MAX(MOD(SIN(Seed*0.1373+C6238*12.9898+D6238*78.233)*43758.5453,1),1E-9),"")</f>
        <v/>
      </c>
      <c r="G6238">
        <f>IF(B6238,MOD(SIN(Seed*0.5917+C6238*39.3468+D6238*11.135)*24634.6345,1),"")</f>
        <v/>
      </c>
      <c r="H6238">
        <f>IF(B6238,SQRT(-2*LN(F6238))*COS(2*PI()*G6238),"")</f>
        <v/>
      </c>
      <c r="I6238">
        <f>IF(B6238,IF(D6238=0,H6238,Rho*I6237+SQRT(1-Rho^2)*H6238),"")</f>
        <v/>
      </c>
      <c r="J6238">
        <f>IF(B6238,IF(Dist="Normal",DistA+DistB*I6238,DistA+(DistB-DistA)*NORMSDIST(I6238)),"")</f>
        <v/>
      </c>
      <c r="K6238">
        <f>IF(B6238,INDEX(MineScale,C6238),"")</f>
        <v/>
      </c>
      <c r="L6238">
        <f>IF(B6238,INDEX(Dow,1,WEEKDAY(E6238,2)),"")</f>
        <v/>
      </c>
      <c r="M6238">
        <f>IF(B6238,(1+Trend)^D6238,"")</f>
        <v/>
      </c>
      <c r="N6238">
        <f>IF(B6238,EXP(SUMPRODUCT(LN(1+(EvEff-1)*INDEX(Affected,0,C6238)*EXP(-((E6238-EvCenter)^2)/(2*EvSigma^2))))),"")</f>
        <v/>
      </c>
      <c r="O6238">
        <f>IF(B6238,ROUND(MAX(0,J6238*K6238*L6238*M6238*N6238),2),"")</f>
        <v/>
      </c>
    </row>
    <row r="6239">
      <c r="A6239" t="n">
        <v>6238</v>
      </c>
      <c r="B6239">
        <f>A6239&lt;=MineCount*Days</f>
        <v/>
      </c>
      <c r="C6239">
        <f>IF(B6239,INT((A6239-1)/Days)+1,"")</f>
        <v/>
      </c>
      <c r="D6239">
        <f>IF(B6239,MOD(A6239-1,Days),"")</f>
        <v/>
      </c>
      <c r="E6239" s="16">
        <f>IF(B6239,StartDate+D6239,"")</f>
        <v/>
      </c>
      <c r="F6239">
        <f>IF(B6239,MAX(MOD(SIN(Seed*0.1373+C6239*12.9898+D6239*78.233)*43758.5453,1),1E-9),"")</f>
        <v/>
      </c>
      <c r="G6239">
        <f>IF(B6239,MOD(SIN(Seed*0.5917+C6239*39.3468+D6239*11.135)*24634.6345,1),"")</f>
        <v/>
      </c>
      <c r="H6239">
        <f>IF(B6239,SQRT(-2*LN(F6239))*COS(2*PI()*G6239),"")</f>
        <v/>
      </c>
      <c r="I6239">
        <f>IF(B6239,IF(D6239=0,H6239,Rho*I6238+SQRT(1-Rho^2)*H6239),"")</f>
        <v/>
      </c>
      <c r="J6239">
        <f>IF(B6239,IF(Dist="Normal",DistA+DistB*I6239,DistA+(DistB-DistA)*NORMSDIST(I6239)),"")</f>
        <v/>
      </c>
      <c r="K6239">
        <f>IF(B6239,INDEX(MineScale,C6239),"")</f>
        <v/>
      </c>
      <c r="L6239">
        <f>IF(B6239,INDEX(Dow,1,WEEKDAY(E6239,2)),"")</f>
        <v/>
      </c>
      <c r="M6239">
        <f>IF(B6239,(1+Trend)^D6239,"")</f>
        <v/>
      </c>
      <c r="N6239">
        <f>IF(B6239,EXP(SUMPRODUCT(LN(1+(EvEff-1)*INDEX(Affected,0,C6239)*EXP(-((E6239-EvCenter)^2)/(2*EvSigma^2))))),"")</f>
        <v/>
      </c>
      <c r="O6239">
        <f>IF(B6239,ROUND(MAX(0,J6239*K6239*L6239*M6239*N6239),2),"")</f>
        <v/>
      </c>
    </row>
    <row r="6240">
      <c r="A6240" t="n">
        <v>6239</v>
      </c>
      <c r="B6240">
        <f>A6240&lt;=MineCount*Days</f>
        <v/>
      </c>
      <c r="C6240">
        <f>IF(B6240,INT((A6240-1)/Days)+1,"")</f>
        <v/>
      </c>
      <c r="D6240">
        <f>IF(B6240,MOD(A6240-1,Days),"")</f>
        <v/>
      </c>
      <c r="E6240" s="16">
        <f>IF(B6240,StartDate+D6240,"")</f>
        <v/>
      </c>
      <c r="F6240">
        <f>IF(B6240,MAX(MOD(SIN(Seed*0.1373+C6240*12.9898+D6240*78.233)*43758.5453,1),1E-9),"")</f>
        <v/>
      </c>
      <c r="G6240">
        <f>IF(B6240,MOD(SIN(Seed*0.5917+C6240*39.3468+D6240*11.135)*24634.6345,1),"")</f>
        <v/>
      </c>
      <c r="H6240">
        <f>IF(B6240,SQRT(-2*LN(F6240))*COS(2*PI()*G6240),"")</f>
        <v/>
      </c>
      <c r="I6240">
        <f>IF(B6240,IF(D6240=0,H6240,Rho*I6239+SQRT(1-Rho^2)*H6240),"")</f>
        <v/>
      </c>
      <c r="J6240">
        <f>IF(B6240,IF(Dist="Normal",DistA+DistB*I6240,DistA+(DistB-DistA)*NORMSDIST(I6240)),"")</f>
        <v/>
      </c>
      <c r="K6240">
        <f>IF(B6240,INDEX(MineScale,C6240),"")</f>
        <v/>
      </c>
      <c r="L6240">
        <f>IF(B6240,INDEX(Dow,1,WEEKDAY(E6240,2)),"")</f>
        <v/>
      </c>
      <c r="M6240">
        <f>IF(B6240,(1+Trend)^D6240,"")</f>
        <v/>
      </c>
      <c r="N6240">
        <f>IF(B6240,EXP(SUMPRODUCT(LN(1+(EvEff-1)*INDEX(Affected,0,C6240)*EXP(-((E6240-EvCenter)^2)/(2*EvSigma^2))))),"")</f>
        <v/>
      </c>
      <c r="O6240">
        <f>IF(B6240,ROUND(MAX(0,J6240*K6240*L6240*M6240*N6240),2),"")</f>
        <v/>
      </c>
    </row>
    <row r="6241">
      <c r="A6241" t="n">
        <v>6240</v>
      </c>
      <c r="B6241">
        <f>A6241&lt;=MineCount*Days</f>
        <v/>
      </c>
      <c r="C6241">
        <f>IF(B6241,INT((A6241-1)/Days)+1,"")</f>
        <v/>
      </c>
      <c r="D6241">
        <f>IF(B6241,MOD(A6241-1,Days),"")</f>
        <v/>
      </c>
      <c r="E6241" s="16">
        <f>IF(B6241,StartDate+D6241,"")</f>
        <v/>
      </c>
      <c r="F6241">
        <f>IF(B6241,MAX(MOD(SIN(Seed*0.1373+C6241*12.9898+D6241*78.233)*43758.5453,1),1E-9),"")</f>
        <v/>
      </c>
      <c r="G6241">
        <f>IF(B6241,MOD(SIN(Seed*0.5917+C6241*39.3468+D6241*11.135)*24634.6345,1),"")</f>
        <v/>
      </c>
      <c r="H6241">
        <f>IF(B6241,SQRT(-2*LN(F6241))*COS(2*PI()*G6241),"")</f>
        <v/>
      </c>
      <c r="I6241">
        <f>IF(B6241,IF(D6241=0,H6241,Rho*I6240+SQRT(1-Rho^2)*H6241),"")</f>
        <v/>
      </c>
      <c r="J6241">
        <f>IF(B6241,IF(Dist="Normal",DistA+DistB*I6241,DistA+(DistB-DistA)*NORMSDIST(I6241)),"")</f>
        <v/>
      </c>
      <c r="K6241">
        <f>IF(B6241,INDEX(MineScale,C6241),"")</f>
        <v/>
      </c>
      <c r="L6241">
        <f>IF(B6241,INDEX(Dow,1,WEEKDAY(E6241,2)),"")</f>
        <v/>
      </c>
      <c r="M6241">
        <f>IF(B6241,(1+Trend)^D6241,"")</f>
        <v/>
      </c>
      <c r="N6241">
        <f>IF(B6241,EXP(SUMPRODUCT(LN(1+(EvEff-1)*INDEX(Affected,0,C6241)*EXP(-((E6241-EvCenter)^2)/(2*EvSigma^2))))),"")</f>
        <v/>
      </c>
      <c r="O6241">
        <f>IF(B6241,ROUND(MAX(0,J6241*K6241*L6241*M6241*N6241),2),"")</f>
        <v/>
      </c>
    </row>
    <row r="6242">
      <c r="A6242" t="n">
        <v>6241</v>
      </c>
      <c r="B6242">
        <f>A6242&lt;=MineCount*Days</f>
        <v/>
      </c>
      <c r="C6242">
        <f>IF(B6242,INT((A6242-1)/Days)+1,"")</f>
        <v/>
      </c>
      <c r="D6242">
        <f>IF(B6242,MOD(A6242-1,Days),"")</f>
        <v/>
      </c>
      <c r="E6242" s="16">
        <f>IF(B6242,StartDate+D6242,"")</f>
        <v/>
      </c>
      <c r="F6242">
        <f>IF(B6242,MAX(MOD(SIN(Seed*0.1373+C6242*12.9898+D6242*78.233)*43758.5453,1),1E-9),"")</f>
        <v/>
      </c>
      <c r="G6242">
        <f>IF(B6242,MOD(SIN(Seed*0.5917+C6242*39.3468+D6242*11.135)*24634.6345,1),"")</f>
        <v/>
      </c>
      <c r="H6242">
        <f>IF(B6242,SQRT(-2*LN(F6242))*COS(2*PI()*G6242),"")</f>
        <v/>
      </c>
      <c r="I6242">
        <f>IF(B6242,IF(D6242=0,H6242,Rho*I6241+SQRT(1-Rho^2)*H6242),"")</f>
        <v/>
      </c>
      <c r="J6242">
        <f>IF(B6242,IF(Dist="Normal",DistA+DistB*I6242,DistA+(DistB-DistA)*NORMSDIST(I6242)),"")</f>
        <v/>
      </c>
      <c r="K6242">
        <f>IF(B6242,INDEX(MineScale,C6242),"")</f>
        <v/>
      </c>
      <c r="L6242">
        <f>IF(B6242,INDEX(Dow,1,WEEKDAY(E6242,2)),"")</f>
        <v/>
      </c>
      <c r="M6242">
        <f>IF(B6242,(1+Trend)^D6242,"")</f>
        <v/>
      </c>
      <c r="N6242">
        <f>IF(B6242,EXP(SUMPRODUCT(LN(1+(EvEff-1)*INDEX(Affected,0,C6242)*EXP(-((E6242-EvCenter)^2)/(2*EvSigma^2))))),"")</f>
        <v/>
      </c>
      <c r="O6242">
        <f>IF(B6242,ROUND(MAX(0,J6242*K6242*L6242*M6242*N6242),2),"")</f>
        <v/>
      </c>
    </row>
    <row r="6243">
      <c r="A6243" t="n">
        <v>6242</v>
      </c>
      <c r="B6243">
        <f>A6243&lt;=MineCount*Days</f>
        <v/>
      </c>
      <c r="C6243">
        <f>IF(B6243,INT((A6243-1)/Days)+1,"")</f>
        <v/>
      </c>
      <c r="D6243">
        <f>IF(B6243,MOD(A6243-1,Days),"")</f>
        <v/>
      </c>
      <c r="E6243" s="16">
        <f>IF(B6243,StartDate+D6243,"")</f>
        <v/>
      </c>
      <c r="F6243">
        <f>IF(B6243,MAX(MOD(SIN(Seed*0.1373+C6243*12.9898+D6243*78.233)*43758.5453,1),1E-9),"")</f>
        <v/>
      </c>
      <c r="G6243">
        <f>IF(B6243,MOD(SIN(Seed*0.5917+C6243*39.3468+D6243*11.135)*24634.6345,1),"")</f>
        <v/>
      </c>
      <c r="H6243">
        <f>IF(B6243,SQRT(-2*LN(F6243))*COS(2*PI()*G6243),"")</f>
        <v/>
      </c>
      <c r="I6243">
        <f>IF(B6243,IF(D6243=0,H6243,Rho*I6242+SQRT(1-Rho^2)*H6243),"")</f>
        <v/>
      </c>
      <c r="J6243">
        <f>IF(B6243,IF(Dist="Normal",DistA+DistB*I6243,DistA+(DistB-DistA)*NORMSDIST(I6243)),"")</f>
        <v/>
      </c>
      <c r="K6243">
        <f>IF(B6243,INDEX(MineScale,C6243),"")</f>
        <v/>
      </c>
      <c r="L6243">
        <f>IF(B6243,INDEX(Dow,1,WEEKDAY(E6243,2)),"")</f>
        <v/>
      </c>
      <c r="M6243">
        <f>IF(B6243,(1+Trend)^D6243,"")</f>
        <v/>
      </c>
      <c r="N6243">
        <f>IF(B6243,EXP(SUMPRODUCT(LN(1+(EvEff-1)*INDEX(Affected,0,C6243)*EXP(-((E6243-EvCenter)^2)/(2*EvSigma^2))))),"")</f>
        <v/>
      </c>
      <c r="O6243">
        <f>IF(B6243,ROUND(MAX(0,J6243*K6243*L6243*M6243*N6243),2),"")</f>
        <v/>
      </c>
    </row>
    <row r="6244">
      <c r="A6244" t="n">
        <v>6243</v>
      </c>
      <c r="B6244">
        <f>A6244&lt;=MineCount*Days</f>
        <v/>
      </c>
      <c r="C6244">
        <f>IF(B6244,INT((A6244-1)/Days)+1,"")</f>
        <v/>
      </c>
      <c r="D6244">
        <f>IF(B6244,MOD(A6244-1,Days),"")</f>
        <v/>
      </c>
      <c r="E6244" s="16">
        <f>IF(B6244,StartDate+D6244,"")</f>
        <v/>
      </c>
      <c r="F6244">
        <f>IF(B6244,MAX(MOD(SIN(Seed*0.1373+C6244*12.9898+D6244*78.233)*43758.5453,1),1E-9),"")</f>
        <v/>
      </c>
      <c r="G6244">
        <f>IF(B6244,MOD(SIN(Seed*0.5917+C6244*39.3468+D6244*11.135)*24634.6345,1),"")</f>
        <v/>
      </c>
      <c r="H6244">
        <f>IF(B6244,SQRT(-2*LN(F6244))*COS(2*PI()*G6244),"")</f>
        <v/>
      </c>
      <c r="I6244">
        <f>IF(B6244,IF(D6244=0,H6244,Rho*I6243+SQRT(1-Rho^2)*H6244),"")</f>
        <v/>
      </c>
      <c r="J6244">
        <f>IF(B6244,IF(Dist="Normal",DistA+DistB*I6244,DistA+(DistB-DistA)*NORMSDIST(I6244)),"")</f>
        <v/>
      </c>
      <c r="K6244">
        <f>IF(B6244,INDEX(MineScale,C6244),"")</f>
        <v/>
      </c>
      <c r="L6244">
        <f>IF(B6244,INDEX(Dow,1,WEEKDAY(E6244,2)),"")</f>
        <v/>
      </c>
      <c r="M6244">
        <f>IF(B6244,(1+Trend)^D6244,"")</f>
        <v/>
      </c>
      <c r="N6244">
        <f>IF(B6244,EXP(SUMPRODUCT(LN(1+(EvEff-1)*INDEX(Affected,0,C6244)*EXP(-((E6244-EvCenter)^2)/(2*EvSigma^2))))),"")</f>
        <v/>
      </c>
      <c r="O6244">
        <f>IF(B6244,ROUND(MAX(0,J6244*K6244*L6244*M6244*N6244),2),"")</f>
        <v/>
      </c>
    </row>
    <row r="6245">
      <c r="A6245" t="n">
        <v>6244</v>
      </c>
      <c r="B6245">
        <f>A6245&lt;=MineCount*Days</f>
        <v/>
      </c>
      <c r="C6245">
        <f>IF(B6245,INT((A6245-1)/Days)+1,"")</f>
        <v/>
      </c>
      <c r="D6245">
        <f>IF(B6245,MOD(A6245-1,Days),"")</f>
        <v/>
      </c>
      <c r="E6245" s="16">
        <f>IF(B6245,StartDate+D6245,"")</f>
        <v/>
      </c>
      <c r="F6245">
        <f>IF(B6245,MAX(MOD(SIN(Seed*0.1373+C6245*12.9898+D6245*78.233)*43758.5453,1),1E-9),"")</f>
        <v/>
      </c>
      <c r="G6245">
        <f>IF(B6245,MOD(SIN(Seed*0.5917+C6245*39.3468+D6245*11.135)*24634.6345,1),"")</f>
        <v/>
      </c>
      <c r="H6245">
        <f>IF(B6245,SQRT(-2*LN(F6245))*COS(2*PI()*G6245),"")</f>
        <v/>
      </c>
      <c r="I6245">
        <f>IF(B6245,IF(D6245=0,H6245,Rho*I6244+SQRT(1-Rho^2)*H6245),"")</f>
        <v/>
      </c>
      <c r="J6245">
        <f>IF(B6245,IF(Dist="Normal",DistA+DistB*I6245,DistA+(DistB-DistA)*NORMSDIST(I6245)),"")</f>
        <v/>
      </c>
      <c r="K6245">
        <f>IF(B6245,INDEX(MineScale,C6245),"")</f>
        <v/>
      </c>
      <c r="L6245">
        <f>IF(B6245,INDEX(Dow,1,WEEKDAY(E6245,2)),"")</f>
        <v/>
      </c>
      <c r="M6245">
        <f>IF(B6245,(1+Trend)^D6245,"")</f>
        <v/>
      </c>
      <c r="N6245">
        <f>IF(B6245,EXP(SUMPRODUCT(LN(1+(EvEff-1)*INDEX(Affected,0,C6245)*EXP(-((E6245-EvCenter)^2)/(2*EvSigma^2))))),"")</f>
        <v/>
      </c>
      <c r="O6245">
        <f>IF(B6245,ROUND(MAX(0,J6245*K6245*L6245*M6245*N6245),2),"")</f>
        <v/>
      </c>
    </row>
    <row r="6246">
      <c r="A6246" t="n">
        <v>6245</v>
      </c>
      <c r="B6246">
        <f>A6246&lt;=MineCount*Days</f>
        <v/>
      </c>
      <c r="C6246">
        <f>IF(B6246,INT((A6246-1)/Days)+1,"")</f>
        <v/>
      </c>
      <c r="D6246">
        <f>IF(B6246,MOD(A6246-1,Days),"")</f>
        <v/>
      </c>
      <c r="E6246" s="16">
        <f>IF(B6246,StartDate+D6246,"")</f>
        <v/>
      </c>
      <c r="F6246">
        <f>IF(B6246,MAX(MOD(SIN(Seed*0.1373+C6246*12.9898+D6246*78.233)*43758.5453,1),1E-9),"")</f>
        <v/>
      </c>
      <c r="G6246">
        <f>IF(B6246,MOD(SIN(Seed*0.5917+C6246*39.3468+D6246*11.135)*24634.6345,1),"")</f>
        <v/>
      </c>
      <c r="H6246">
        <f>IF(B6246,SQRT(-2*LN(F6246))*COS(2*PI()*G6246),"")</f>
        <v/>
      </c>
      <c r="I6246">
        <f>IF(B6246,IF(D6246=0,H6246,Rho*I6245+SQRT(1-Rho^2)*H6246),"")</f>
        <v/>
      </c>
      <c r="J6246">
        <f>IF(B6246,IF(Dist="Normal",DistA+DistB*I6246,DistA+(DistB-DistA)*NORMSDIST(I6246)),"")</f>
        <v/>
      </c>
      <c r="K6246">
        <f>IF(B6246,INDEX(MineScale,C6246),"")</f>
        <v/>
      </c>
      <c r="L6246">
        <f>IF(B6246,INDEX(Dow,1,WEEKDAY(E6246,2)),"")</f>
        <v/>
      </c>
      <c r="M6246">
        <f>IF(B6246,(1+Trend)^D6246,"")</f>
        <v/>
      </c>
      <c r="N6246">
        <f>IF(B6246,EXP(SUMPRODUCT(LN(1+(EvEff-1)*INDEX(Affected,0,C6246)*EXP(-((E6246-EvCenter)^2)/(2*EvSigma^2))))),"")</f>
        <v/>
      </c>
      <c r="O6246">
        <f>IF(B6246,ROUND(MAX(0,J6246*K6246*L6246*M6246*N6246),2),"")</f>
        <v/>
      </c>
    </row>
    <row r="6247">
      <c r="A6247" t="n">
        <v>6246</v>
      </c>
      <c r="B6247">
        <f>A6247&lt;=MineCount*Days</f>
        <v/>
      </c>
      <c r="C6247">
        <f>IF(B6247,INT((A6247-1)/Days)+1,"")</f>
        <v/>
      </c>
      <c r="D6247">
        <f>IF(B6247,MOD(A6247-1,Days),"")</f>
        <v/>
      </c>
      <c r="E6247" s="16">
        <f>IF(B6247,StartDate+D6247,"")</f>
        <v/>
      </c>
      <c r="F6247">
        <f>IF(B6247,MAX(MOD(SIN(Seed*0.1373+C6247*12.9898+D6247*78.233)*43758.5453,1),1E-9),"")</f>
        <v/>
      </c>
      <c r="G6247">
        <f>IF(B6247,MOD(SIN(Seed*0.5917+C6247*39.3468+D6247*11.135)*24634.6345,1),"")</f>
        <v/>
      </c>
      <c r="H6247">
        <f>IF(B6247,SQRT(-2*LN(F6247))*COS(2*PI()*G6247),"")</f>
        <v/>
      </c>
      <c r="I6247">
        <f>IF(B6247,IF(D6247=0,H6247,Rho*I6246+SQRT(1-Rho^2)*H6247),"")</f>
        <v/>
      </c>
      <c r="J6247">
        <f>IF(B6247,IF(Dist="Normal",DistA+DistB*I6247,DistA+(DistB-DistA)*NORMSDIST(I6247)),"")</f>
        <v/>
      </c>
      <c r="K6247">
        <f>IF(B6247,INDEX(MineScale,C6247),"")</f>
        <v/>
      </c>
      <c r="L6247">
        <f>IF(B6247,INDEX(Dow,1,WEEKDAY(E6247,2)),"")</f>
        <v/>
      </c>
      <c r="M6247">
        <f>IF(B6247,(1+Trend)^D6247,"")</f>
        <v/>
      </c>
      <c r="N6247">
        <f>IF(B6247,EXP(SUMPRODUCT(LN(1+(EvEff-1)*INDEX(Affected,0,C6247)*EXP(-((E6247-EvCenter)^2)/(2*EvSigma^2))))),"")</f>
        <v/>
      </c>
      <c r="O6247">
        <f>IF(B6247,ROUND(MAX(0,J6247*K6247*L6247*M6247*N6247),2),"")</f>
        <v/>
      </c>
    </row>
    <row r="6248">
      <c r="A6248" t="n">
        <v>6247</v>
      </c>
      <c r="B6248">
        <f>A6248&lt;=MineCount*Days</f>
        <v/>
      </c>
      <c r="C6248">
        <f>IF(B6248,INT((A6248-1)/Days)+1,"")</f>
        <v/>
      </c>
      <c r="D6248">
        <f>IF(B6248,MOD(A6248-1,Days),"")</f>
        <v/>
      </c>
      <c r="E6248" s="16">
        <f>IF(B6248,StartDate+D6248,"")</f>
        <v/>
      </c>
      <c r="F6248">
        <f>IF(B6248,MAX(MOD(SIN(Seed*0.1373+C6248*12.9898+D6248*78.233)*43758.5453,1),1E-9),"")</f>
        <v/>
      </c>
      <c r="G6248">
        <f>IF(B6248,MOD(SIN(Seed*0.5917+C6248*39.3468+D6248*11.135)*24634.6345,1),"")</f>
        <v/>
      </c>
      <c r="H6248">
        <f>IF(B6248,SQRT(-2*LN(F6248))*COS(2*PI()*G6248),"")</f>
        <v/>
      </c>
      <c r="I6248">
        <f>IF(B6248,IF(D6248=0,H6248,Rho*I6247+SQRT(1-Rho^2)*H6248),"")</f>
        <v/>
      </c>
      <c r="J6248">
        <f>IF(B6248,IF(Dist="Normal",DistA+DistB*I6248,DistA+(DistB-DistA)*NORMSDIST(I6248)),"")</f>
        <v/>
      </c>
      <c r="K6248">
        <f>IF(B6248,INDEX(MineScale,C6248),"")</f>
        <v/>
      </c>
      <c r="L6248">
        <f>IF(B6248,INDEX(Dow,1,WEEKDAY(E6248,2)),"")</f>
        <v/>
      </c>
      <c r="M6248">
        <f>IF(B6248,(1+Trend)^D6248,"")</f>
        <v/>
      </c>
      <c r="N6248">
        <f>IF(B6248,EXP(SUMPRODUCT(LN(1+(EvEff-1)*INDEX(Affected,0,C6248)*EXP(-((E6248-EvCenter)^2)/(2*EvSigma^2))))),"")</f>
        <v/>
      </c>
      <c r="O6248">
        <f>IF(B6248,ROUND(MAX(0,J6248*K6248*L6248*M6248*N6248),2),"")</f>
        <v/>
      </c>
    </row>
    <row r="6249">
      <c r="A6249" t="n">
        <v>6248</v>
      </c>
      <c r="B6249">
        <f>A6249&lt;=MineCount*Days</f>
        <v/>
      </c>
      <c r="C6249">
        <f>IF(B6249,INT((A6249-1)/Days)+1,"")</f>
        <v/>
      </c>
      <c r="D6249">
        <f>IF(B6249,MOD(A6249-1,Days),"")</f>
        <v/>
      </c>
      <c r="E6249" s="16">
        <f>IF(B6249,StartDate+D6249,"")</f>
        <v/>
      </c>
      <c r="F6249">
        <f>IF(B6249,MAX(MOD(SIN(Seed*0.1373+C6249*12.9898+D6249*78.233)*43758.5453,1),1E-9),"")</f>
        <v/>
      </c>
      <c r="G6249">
        <f>IF(B6249,MOD(SIN(Seed*0.5917+C6249*39.3468+D6249*11.135)*24634.6345,1),"")</f>
        <v/>
      </c>
      <c r="H6249">
        <f>IF(B6249,SQRT(-2*LN(F6249))*COS(2*PI()*G6249),"")</f>
        <v/>
      </c>
      <c r="I6249">
        <f>IF(B6249,IF(D6249=0,H6249,Rho*I6248+SQRT(1-Rho^2)*H6249),"")</f>
        <v/>
      </c>
      <c r="J6249">
        <f>IF(B6249,IF(Dist="Normal",DistA+DistB*I6249,DistA+(DistB-DistA)*NORMSDIST(I6249)),"")</f>
        <v/>
      </c>
      <c r="K6249">
        <f>IF(B6249,INDEX(MineScale,C6249),"")</f>
        <v/>
      </c>
      <c r="L6249">
        <f>IF(B6249,INDEX(Dow,1,WEEKDAY(E6249,2)),"")</f>
        <v/>
      </c>
      <c r="M6249">
        <f>IF(B6249,(1+Trend)^D6249,"")</f>
        <v/>
      </c>
      <c r="N6249">
        <f>IF(B6249,EXP(SUMPRODUCT(LN(1+(EvEff-1)*INDEX(Affected,0,C6249)*EXP(-((E6249-EvCenter)^2)/(2*EvSigma^2))))),"")</f>
        <v/>
      </c>
      <c r="O6249">
        <f>IF(B6249,ROUND(MAX(0,J6249*K6249*L6249*M6249*N6249),2),"")</f>
        <v/>
      </c>
    </row>
    <row r="6250">
      <c r="A6250" t="n">
        <v>6249</v>
      </c>
      <c r="B6250">
        <f>A6250&lt;=MineCount*Days</f>
        <v/>
      </c>
      <c r="C6250">
        <f>IF(B6250,INT((A6250-1)/Days)+1,"")</f>
        <v/>
      </c>
      <c r="D6250">
        <f>IF(B6250,MOD(A6250-1,Days),"")</f>
        <v/>
      </c>
      <c r="E6250" s="16">
        <f>IF(B6250,StartDate+D6250,"")</f>
        <v/>
      </c>
      <c r="F6250">
        <f>IF(B6250,MAX(MOD(SIN(Seed*0.1373+C6250*12.9898+D6250*78.233)*43758.5453,1),1E-9),"")</f>
        <v/>
      </c>
      <c r="G6250">
        <f>IF(B6250,MOD(SIN(Seed*0.5917+C6250*39.3468+D6250*11.135)*24634.6345,1),"")</f>
        <v/>
      </c>
      <c r="H6250">
        <f>IF(B6250,SQRT(-2*LN(F6250))*COS(2*PI()*G6250),"")</f>
        <v/>
      </c>
      <c r="I6250">
        <f>IF(B6250,IF(D6250=0,H6250,Rho*I6249+SQRT(1-Rho^2)*H6250),"")</f>
        <v/>
      </c>
      <c r="J6250">
        <f>IF(B6250,IF(Dist="Normal",DistA+DistB*I6250,DistA+(DistB-DistA)*NORMSDIST(I6250)),"")</f>
        <v/>
      </c>
      <c r="K6250">
        <f>IF(B6250,INDEX(MineScale,C6250),"")</f>
        <v/>
      </c>
      <c r="L6250">
        <f>IF(B6250,INDEX(Dow,1,WEEKDAY(E6250,2)),"")</f>
        <v/>
      </c>
      <c r="M6250">
        <f>IF(B6250,(1+Trend)^D6250,"")</f>
        <v/>
      </c>
      <c r="N6250">
        <f>IF(B6250,EXP(SUMPRODUCT(LN(1+(EvEff-1)*INDEX(Affected,0,C6250)*EXP(-((E6250-EvCenter)^2)/(2*EvSigma^2))))),"")</f>
        <v/>
      </c>
      <c r="O6250">
        <f>IF(B6250,ROUND(MAX(0,J6250*K6250*L6250*M6250*N6250),2),"")</f>
        <v/>
      </c>
    </row>
    <row r="6251">
      <c r="A6251" t="n">
        <v>6250</v>
      </c>
      <c r="B6251">
        <f>A6251&lt;=MineCount*Days</f>
        <v/>
      </c>
      <c r="C6251">
        <f>IF(B6251,INT((A6251-1)/Days)+1,"")</f>
        <v/>
      </c>
      <c r="D6251">
        <f>IF(B6251,MOD(A6251-1,Days),"")</f>
        <v/>
      </c>
      <c r="E6251" s="16">
        <f>IF(B6251,StartDate+D6251,"")</f>
        <v/>
      </c>
      <c r="F6251">
        <f>IF(B6251,MAX(MOD(SIN(Seed*0.1373+C6251*12.9898+D6251*78.233)*43758.5453,1),1E-9),"")</f>
        <v/>
      </c>
      <c r="G6251">
        <f>IF(B6251,MOD(SIN(Seed*0.5917+C6251*39.3468+D6251*11.135)*24634.6345,1),"")</f>
        <v/>
      </c>
      <c r="H6251">
        <f>IF(B6251,SQRT(-2*LN(F6251))*COS(2*PI()*G6251),"")</f>
        <v/>
      </c>
      <c r="I6251">
        <f>IF(B6251,IF(D6251=0,H6251,Rho*I6250+SQRT(1-Rho^2)*H6251),"")</f>
        <v/>
      </c>
      <c r="J6251">
        <f>IF(B6251,IF(Dist="Normal",DistA+DistB*I6251,DistA+(DistB-DistA)*NORMSDIST(I6251)),"")</f>
        <v/>
      </c>
      <c r="K6251">
        <f>IF(B6251,INDEX(MineScale,C6251),"")</f>
        <v/>
      </c>
      <c r="L6251">
        <f>IF(B6251,INDEX(Dow,1,WEEKDAY(E6251,2)),"")</f>
        <v/>
      </c>
      <c r="M6251">
        <f>IF(B6251,(1+Trend)^D6251,"")</f>
        <v/>
      </c>
      <c r="N6251">
        <f>IF(B6251,EXP(SUMPRODUCT(LN(1+(EvEff-1)*INDEX(Affected,0,C6251)*EXP(-((E6251-EvCenter)^2)/(2*EvSigma^2))))),"")</f>
        <v/>
      </c>
      <c r="O6251">
        <f>IF(B6251,ROUND(MAX(0,J6251*K6251*L6251*M6251*N6251),2),"")</f>
        <v/>
      </c>
    </row>
    <row r="6252">
      <c r="A6252" t="n">
        <v>6251</v>
      </c>
      <c r="B6252">
        <f>A6252&lt;=MineCount*Days</f>
        <v/>
      </c>
      <c r="C6252">
        <f>IF(B6252,INT((A6252-1)/Days)+1,"")</f>
        <v/>
      </c>
      <c r="D6252">
        <f>IF(B6252,MOD(A6252-1,Days),"")</f>
        <v/>
      </c>
      <c r="E6252" s="16">
        <f>IF(B6252,StartDate+D6252,"")</f>
        <v/>
      </c>
      <c r="F6252">
        <f>IF(B6252,MAX(MOD(SIN(Seed*0.1373+C6252*12.9898+D6252*78.233)*43758.5453,1),1E-9),"")</f>
        <v/>
      </c>
      <c r="G6252">
        <f>IF(B6252,MOD(SIN(Seed*0.5917+C6252*39.3468+D6252*11.135)*24634.6345,1),"")</f>
        <v/>
      </c>
      <c r="H6252">
        <f>IF(B6252,SQRT(-2*LN(F6252))*COS(2*PI()*G6252),"")</f>
        <v/>
      </c>
      <c r="I6252">
        <f>IF(B6252,IF(D6252=0,H6252,Rho*I6251+SQRT(1-Rho^2)*H6252),"")</f>
        <v/>
      </c>
      <c r="J6252">
        <f>IF(B6252,IF(Dist="Normal",DistA+DistB*I6252,DistA+(DistB-DistA)*NORMSDIST(I6252)),"")</f>
        <v/>
      </c>
      <c r="K6252">
        <f>IF(B6252,INDEX(MineScale,C6252),"")</f>
        <v/>
      </c>
      <c r="L6252">
        <f>IF(B6252,INDEX(Dow,1,WEEKDAY(E6252,2)),"")</f>
        <v/>
      </c>
      <c r="M6252">
        <f>IF(B6252,(1+Trend)^D6252,"")</f>
        <v/>
      </c>
      <c r="N6252">
        <f>IF(B6252,EXP(SUMPRODUCT(LN(1+(EvEff-1)*INDEX(Affected,0,C6252)*EXP(-((E6252-EvCenter)^2)/(2*EvSigma^2))))),"")</f>
        <v/>
      </c>
      <c r="O6252">
        <f>IF(B6252,ROUND(MAX(0,J6252*K6252*L6252*M6252*N6252),2),"")</f>
        <v/>
      </c>
    </row>
    <row r="6253">
      <c r="A6253" t="n">
        <v>6252</v>
      </c>
      <c r="B6253">
        <f>A6253&lt;=MineCount*Days</f>
        <v/>
      </c>
      <c r="C6253">
        <f>IF(B6253,INT((A6253-1)/Days)+1,"")</f>
        <v/>
      </c>
      <c r="D6253">
        <f>IF(B6253,MOD(A6253-1,Days),"")</f>
        <v/>
      </c>
      <c r="E6253" s="16">
        <f>IF(B6253,StartDate+D6253,"")</f>
        <v/>
      </c>
      <c r="F6253">
        <f>IF(B6253,MAX(MOD(SIN(Seed*0.1373+C6253*12.9898+D6253*78.233)*43758.5453,1),1E-9),"")</f>
        <v/>
      </c>
      <c r="G6253">
        <f>IF(B6253,MOD(SIN(Seed*0.5917+C6253*39.3468+D6253*11.135)*24634.6345,1),"")</f>
        <v/>
      </c>
      <c r="H6253">
        <f>IF(B6253,SQRT(-2*LN(F6253))*COS(2*PI()*G6253),"")</f>
        <v/>
      </c>
      <c r="I6253">
        <f>IF(B6253,IF(D6253=0,H6253,Rho*I6252+SQRT(1-Rho^2)*H6253),"")</f>
        <v/>
      </c>
      <c r="J6253">
        <f>IF(B6253,IF(Dist="Normal",DistA+DistB*I6253,DistA+(DistB-DistA)*NORMSDIST(I6253)),"")</f>
        <v/>
      </c>
      <c r="K6253">
        <f>IF(B6253,INDEX(MineScale,C6253),"")</f>
        <v/>
      </c>
      <c r="L6253">
        <f>IF(B6253,INDEX(Dow,1,WEEKDAY(E6253,2)),"")</f>
        <v/>
      </c>
      <c r="M6253">
        <f>IF(B6253,(1+Trend)^D6253,"")</f>
        <v/>
      </c>
      <c r="N6253">
        <f>IF(B6253,EXP(SUMPRODUCT(LN(1+(EvEff-1)*INDEX(Affected,0,C6253)*EXP(-((E6253-EvCenter)^2)/(2*EvSigma^2))))),"")</f>
        <v/>
      </c>
      <c r="O6253">
        <f>IF(B6253,ROUND(MAX(0,J6253*K6253*L6253*M6253*N6253),2),"")</f>
        <v/>
      </c>
    </row>
    <row r="6254">
      <c r="A6254" t="n">
        <v>6253</v>
      </c>
      <c r="B6254">
        <f>A6254&lt;=MineCount*Days</f>
        <v/>
      </c>
      <c r="C6254">
        <f>IF(B6254,INT((A6254-1)/Days)+1,"")</f>
        <v/>
      </c>
      <c r="D6254">
        <f>IF(B6254,MOD(A6254-1,Days),"")</f>
        <v/>
      </c>
      <c r="E6254" s="16">
        <f>IF(B6254,StartDate+D6254,"")</f>
        <v/>
      </c>
      <c r="F6254">
        <f>IF(B6254,MAX(MOD(SIN(Seed*0.1373+C6254*12.9898+D6254*78.233)*43758.5453,1),1E-9),"")</f>
        <v/>
      </c>
      <c r="G6254">
        <f>IF(B6254,MOD(SIN(Seed*0.5917+C6254*39.3468+D6254*11.135)*24634.6345,1),"")</f>
        <v/>
      </c>
      <c r="H6254">
        <f>IF(B6254,SQRT(-2*LN(F6254))*COS(2*PI()*G6254),"")</f>
        <v/>
      </c>
      <c r="I6254">
        <f>IF(B6254,IF(D6254=0,H6254,Rho*I6253+SQRT(1-Rho^2)*H6254),"")</f>
        <v/>
      </c>
      <c r="J6254">
        <f>IF(B6254,IF(Dist="Normal",DistA+DistB*I6254,DistA+(DistB-DistA)*NORMSDIST(I6254)),"")</f>
        <v/>
      </c>
      <c r="K6254">
        <f>IF(B6254,INDEX(MineScale,C6254),"")</f>
        <v/>
      </c>
      <c r="L6254">
        <f>IF(B6254,INDEX(Dow,1,WEEKDAY(E6254,2)),"")</f>
        <v/>
      </c>
      <c r="M6254">
        <f>IF(B6254,(1+Trend)^D6254,"")</f>
        <v/>
      </c>
      <c r="N6254">
        <f>IF(B6254,EXP(SUMPRODUCT(LN(1+(EvEff-1)*INDEX(Affected,0,C6254)*EXP(-((E6254-EvCenter)^2)/(2*EvSigma^2))))),"")</f>
        <v/>
      </c>
      <c r="O6254">
        <f>IF(B6254,ROUND(MAX(0,J6254*K6254*L6254*M6254*N6254),2),"")</f>
        <v/>
      </c>
    </row>
    <row r="6255">
      <c r="A6255" t="n">
        <v>6254</v>
      </c>
      <c r="B6255">
        <f>A6255&lt;=MineCount*Days</f>
        <v/>
      </c>
      <c r="C6255">
        <f>IF(B6255,INT((A6255-1)/Days)+1,"")</f>
        <v/>
      </c>
      <c r="D6255">
        <f>IF(B6255,MOD(A6255-1,Days),"")</f>
        <v/>
      </c>
      <c r="E6255" s="16">
        <f>IF(B6255,StartDate+D6255,"")</f>
        <v/>
      </c>
      <c r="F6255">
        <f>IF(B6255,MAX(MOD(SIN(Seed*0.1373+C6255*12.9898+D6255*78.233)*43758.5453,1),1E-9),"")</f>
        <v/>
      </c>
      <c r="G6255">
        <f>IF(B6255,MOD(SIN(Seed*0.5917+C6255*39.3468+D6255*11.135)*24634.6345,1),"")</f>
        <v/>
      </c>
      <c r="H6255">
        <f>IF(B6255,SQRT(-2*LN(F6255))*COS(2*PI()*G6255),"")</f>
        <v/>
      </c>
      <c r="I6255">
        <f>IF(B6255,IF(D6255=0,H6255,Rho*I6254+SQRT(1-Rho^2)*H6255),"")</f>
        <v/>
      </c>
      <c r="J6255">
        <f>IF(B6255,IF(Dist="Normal",DistA+DistB*I6255,DistA+(DistB-DistA)*NORMSDIST(I6255)),"")</f>
        <v/>
      </c>
      <c r="K6255">
        <f>IF(B6255,INDEX(MineScale,C6255),"")</f>
        <v/>
      </c>
      <c r="L6255">
        <f>IF(B6255,INDEX(Dow,1,WEEKDAY(E6255,2)),"")</f>
        <v/>
      </c>
      <c r="M6255">
        <f>IF(B6255,(1+Trend)^D6255,"")</f>
        <v/>
      </c>
      <c r="N6255">
        <f>IF(B6255,EXP(SUMPRODUCT(LN(1+(EvEff-1)*INDEX(Affected,0,C6255)*EXP(-((E6255-EvCenter)^2)/(2*EvSigma^2))))),"")</f>
        <v/>
      </c>
      <c r="O6255">
        <f>IF(B6255,ROUND(MAX(0,J6255*K6255*L6255*M6255*N6255),2),"")</f>
        <v/>
      </c>
    </row>
    <row r="6256">
      <c r="A6256" t="n">
        <v>6255</v>
      </c>
      <c r="B6256">
        <f>A6256&lt;=MineCount*Days</f>
        <v/>
      </c>
      <c r="C6256">
        <f>IF(B6256,INT((A6256-1)/Days)+1,"")</f>
        <v/>
      </c>
      <c r="D6256">
        <f>IF(B6256,MOD(A6256-1,Days),"")</f>
        <v/>
      </c>
      <c r="E6256" s="16">
        <f>IF(B6256,StartDate+D6256,"")</f>
        <v/>
      </c>
      <c r="F6256">
        <f>IF(B6256,MAX(MOD(SIN(Seed*0.1373+C6256*12.9898+D6256*78.233)*43758.5453,1),1E-9),"")</f>
        <v/>
      </c>
      <c r="G6256">
        <f>IF(B6256,MOD(SIN(Seed*0.5917+C6256*39.3468+D6256*11.135)*24634.6345,1),"")</f>
        <v/>
      </c>
      <c r="H6256">
        <f>IF(B6256,SQRT(-2*LN(F6256))*COS(2*PI()*G6256),"")</f>
        <v/>
      </c>
      <c r="I6256">
        <f>IF(B6256,IF(D6256=0,H6256,Rho*I6255+SQRT(1-Rho^2)*H6256),"")</f>
        <v/>
      </c>
      <c r="J6256">
        <f>IF(B6256,IF(Dist="Normal",DistA+DistB*I6256,DistA+(DistB-DistA)*NORMSDIST(I6256)),"")</f>
        <v/>
      </c>
      <c r="K6256">
        <f>IF(B6256,INDEX(MineScale,C6256),"")</f>
        <v/>
      </c>
      <c r="L6256">
        <f>IF(B6256,INDEX(Dow,1,WEEKDAY(E6256,2)),"")</f>
        <v/>
      </c>
      <c r="M6256">
        <f>IF(B6256,(1+Trend)^D6256,"")</f>
        <v/>
      </c>
      <c r="N6256">
        <f>IF(B6256,EXP(SUMPRODUCT(LN(1+(EvEff-1)*INDEX(Affected,0,C6256)*EXP(-((E6256-EvCenter)^2)/(2*EvSigma^2))))),"")</f>
        <v/>
      </c>
      <c r="O6256">
        <f>IF(B6256,ROUND(MAX(0,J6256*K6256*L6256*M6256*N6256),2),"")</f>
        <v/>
      </c>
    </row>
    <row r="6257">
      <c r="A6257" t="n">
        <v>6256</v>
      </c>
      <c r="B6257">
        <f>A6257&lt;=MineCount*Days</f>
        <v/>
      </c>
      <c r="C6257">
        <f>IF(B6257,INT((A6257-1)/Days)+1,"")</f>
        <v/>
      </c>
      <c r="D6257">
        <f>IF(B6257,MOD(A6257-1,Days),"")</f>
        <v/>
      </c>
      <c r="E6257" s="16">
        <f>IF(B6257,StartDate+D6257,"")</f>
        <v/>
      </c>
      <c r="F6257">
        <f>IF(B6257,MAX(MOD(SIN(Seed*0.1373+C6257*12.9898+D6257*78.233)*43758.5453,1),1E-9),"")</f>
        <v/>
      </c>
      <c r="G6257">
        <f>IF(B6257,MOD(SIN(Seed*0.5917+C6257*39.3468+D6257*11.135)*24634.6345,1),"")</f>
        <v/>
      </c>
      <c r="H6257">
        <f>IF(B6257,SQRT(-2*LN(F6257))*COS(2*PI()*G6257),"")</f>
        <v/>
      </c>
      <c r="I6257">
        <f>IF(B6257,IF(D6257=0,H6257,Rho*I6256+SQRT(1-Rho^2)*H6257),"")</f>
        <v/>
      </c>
      <c r="J6257">
        <f>IF(B6257,IF(Dist="Normal",DistA+DistB*I6257,DistA+(DistB-DistA)*NORMSDIST(I6257)),"")</f>
        <v/>
      </c>
      <c r="K6257">
        <f>IF(B6257,INDEX(MineScale,C6257),"")</f>
        <v/>
      </c>
      <c r="L6257">
        <f>IF(B6257,INDEX(Dow,1,WEEKDAY(E6257,2)),"")</f>
        <v/>
      </c>
      <c r="M6257">
        <f>IF(B6257,(1+Trend)^D6257,"")</f>
        <v/>
      </c>
      <c r="N6257">
        <f>IF(B6257,EXP(SUMPRODUCT(LN(1+(EvEff-1)*INDEX(Affected,0,C6257)*EXP(-((E6257-EvCenter)^2)/(2*EvSigma^2))))),"")</f>
        <v/>
      </c>
      <c r="O6257">
        <f>IF(B6257,ROUND(MAX(0,J6257*K6257*L6257*M6257*N6257),2),"")</f>
        <v/>
      </c>
    </row>
    <row r="6258">
      <c r="A6258" t="n">
        <v>6257</v>
      </c>
      <c r="B6258">
        <f>A6258&lt;=MineCount*Days</f>
        <v/>
      </c>
      <c r="C6258">
        <f>IF(B6258,INT((A6258-1)/Days)+1,"")</f>
        <v/>
      </c>
      <c r="D6258">
        <f>IF(B6258,MOD(A6258-1,Days),"")</f>
        <v/>
      </c>
      <c r="E6258" s="16">
        <f>IF(B6258,StartDate+D6258,"")</f>
        <v/>
      </c>
      <c r="F6258">
        <f>IF(B6258,MAX(MOD(SIN(Seed*0.1373+C6258*12.9898+D6258*78.233)*43758.5453,1),1E-9),"")</f>
        <v/>
      </c>
      <c r="G6258">
        <f>IF(B6258,MOD(SIN(Seed*0.5917+C6258*39.3468+D6258*11.135)*24634.6345,1),"")</f>
        <v/>
      </c>
      <c r="H6258">
        <f>IF(B6258,SQRT(-2*LN(F6258))*COS(2*PI()*G6258),"")</f>
        <v/>
      </c>
      <c r="I6258">
        <f>IF(B6258,IF(D6258=0,H6258,Rho*I6257+SQRT(1-Rho^2)*H6258),"")</f>
        <v/>
      </c>
      <c r="J6258">
        <f>IF(B6258,IF(Dist="Normal",DistA+DistB*I6258,DistA+(DistB-DistA)*NORMSDIST(I6258)),"")</f>
        <v/>
      </c>
      <c r="K6258">
        <f>IF(B6258,INDEX(MineScale,C6258),"")</f>
        <v/>
      </c>
      <c r="L6258">
        <f>IF(B6258,INDEX(Dow,1,WEEKDAY(E6258,2)),"")</f>
        <v/>
      </c>
      <c r="M6258">
        <f>IF(B6258,(1+Trend)^D6258,"")</f>
        <v/>
      </c>
      <c r="N6258">
        <f>IF(B6258,EXP(SUMPRODUCT(LN(1+(EvEff-1)*INDEX(Affected,0,C6258)*EXP(-((E6258-EvCenter)^2)/(2*EvSigma^2))))),"")</f>
        <v/>
      </c>
      <c r="O6258">
        <f>IF(B6258,ROUND(MAX(0,J6258*K6258*L6258*M6258*N6258),2),"")</f>
        <v/>
      </c>
    </row>
    <row r="6259">
      <c r="A6259" t="n">
        <v>6258</v>
      </c>
      <c r="B6259">
        <f>A6259&lt;=MineCount*Days</f>
        <v/>
      </c>
      <c r="C6259">
        <f>IF(B6259,INT((A6259-1)/Days)+1,"")</f>
        <v/>
      </c>
      <c r="D6259">
        <f>IF(B6259,MOD(A6259-1,Days),"")</f>
        <v/>
      </c>
      <c r="E6259" s="16">
        <f>IF(B6259,StartDate+D6259,"")</f>
        <v/>
      </c>
      <c r="F6259">
        <f>IF(B6259,MAX(MOD(SIN(Seed*0.1373+C6259*12.9898+D6259*78.233)*43758.5453,1),1E-9),"")</f>
        <v/>
      </c>
      <c r="G6259">
        <f>IF(B6259,MOD(SIN(Seed*0.5917+C6259*39.3468+D6259*11.135)*24634.6345,1),"")</f>
        <v/>
      </c>
      <c r="H6259">
        <f>IF(B6259,SQRT(-2*LN(F6259))*COS(2*PI()*G6259),"")</f>
        <v/>
      </c>
      <c r="I6259">
        <f>IF(B6259,IF(D6259=0,H6259,Rho*I6258+SQRT(1-Rho^2)*H6259),"")</f>
        <v/>
      </c>
      <c r="J6259">
        <f>IF(B6259,IF(Dist="Normal",DistA+DistB*I6259,DistA+(DistB-DistA)*NORMSDIST(I6259)),"")</f>
        <v/>
      </c>
      <c r="K6259">
        <f>IF(B6259,INDEX(MineScale,C6259),"")</f>
        <v/>
      </c>
      <c r="L6259">
        <f>IF(B6259,INDEX(Dow,1,WEEKDAY(E6259,2)),"")</f>
        <v/>
      </c>
      <c r="M6259">
        <f>IF(B6259,(1+Trend)^D6259,"")</f>
        <v/>
      </c>
      <c r="N6259">
        <f>IF(B6259,EXP(SUMPRODUCT(LN(1+(EvEff-1)*INDEX(Affected,0,C6259)*EXP(-((E6259-EvCenter)^2)/(2*EvSigma^2))))),"")</f>
        <v/>
      </c>
      <c r="O6259">
        <f>IF(B6259,ROUND(MAX(0,J6259*K6259*L6259*M6259*N6259),2),"")</f>
        <v/>
      </c>
    </row>
    <row r="6260">
      <c r="A6260" t="n">
        <v>6259</v>
      </c>
      <c r="B6260">
        <f>A6260&lt;=MineCount*Days</f>
        <v/>
      </c>
      <c r="C6260">
        <f>IF(B6260,INT((A6260-1)/Days)+1,"")</f>
        <v/>
      </c>
      <c r="D6260">
        <f>IF(B6260,MOD(A6260-1,Days),"")</f>
        <v/>
      </c>
      <c r="E6260" s="16">
        <f>IF(B6260,StartDate+D6260,"")</f>
        <v/>
      </c>
      <c r="F6260">
        <f>IF(B6260,MAX(MOD(SIN(Seed*0.1373+C6260*12.9898+D6260*78.233)*43758.5453,1),1E-9),"")</f>
        <v/>
      </c>
      <c r="G6260">
        <f>IF(B6260,MOD(SIN(Seed*0.5917+C6260*39.3468+D6260*11.135)*24634.6345,1),"")</f>
        <v/>
      </c>
      <c r="H6260">
        <f>IF(B6260,SQRT(-2*LN(F6260))*COS(2*PI()*G6260),"")</f>
        <v/>
      </c>
      <c r="I6260">
        <f>IF(B6260,IF(D6260=0,H6260,Rho*I6259+SQRT(1-Rho^2)*H6260),"")</f>
        <v/>
      </c>
      <c r="J6260">
        <f>IF(B6260,IF(Dist="Normal",DistA+DistB*I6260,DistA+(DistB-DistA)*NORMSDIST(I6260)),"")</f>
        <v/>
      </c>
      <c r="K6260">
        <f>IF(B6260,INDEX(MineScale,C6260),"")</f>
        <v/>
      </c>
      <c r="L6260">
        <f>IF(B6260,INDEX(Dow,1,WEEKDAY(E6260,2)),"")</f>
        <v/>
      </c>
      <c r="M6260">
        <f>IF(B6260,(1+Trend)^D6260,"")</f>
        <v/>
      </c>
      <c r="N6260">
        <f>IF(B6260,EXP(SUMPRODUCT(LN(1+(EvEff-1)*INDEX(Affected,0,C6260)*EXP(-((E6260-EvCenter)^2)/(2*EvSigma^2))))),"")</f>
        <v/>
      </c>
      <c r="O6260">
        <f>IF(B6260,ROUND(MAX(0,J6260*K6260*L6260*M6260*N6260),2),"")</f>
        <v/>
      </c>
    </row>
    <row r="6261">
      <c r="A6261" t="n">
        <v>6260</v>
      </c>
      <c r="B6261">
        <f>A6261&lt;=MineCount*Days</f>
        <v/>
      </c>
      <c r="C6261">
        <f>IF(B6261,INT((A6261-1)/Days)+1,"")</f>
        <v/>
      </c>
      <c r="D6261">
        <f>IF(B6261,MOD(A6261-1,Days),"")</f>
        <v/>
      </c>
      <c r="E6261" s="16">
        <f>IF(B6261,StartDate+D6261,"")</f>
        <v/>
      </c>
      <c r="F6261">
        <f>IF(B6261,MAX(MOD(SIN(Seed*0.1373+C6261*12.9898+D6261*78.233)*43758.5453,1),1E-9),"")</f>
        <v/>
      </c>
      <c r="G6261">
        <f>IF(B6261,MOD(SIN(Seed*0.5917+C6261*39.3468+D6261*11.135)*24634.6345,1),"")</f>
        <v/>
      </c>
      <c r="H6261">
        <f>IF(B6261,SQRT(-2*LN(F6261))*COS(2*PI()*G6261),"")</f>
        <v/>
      </c>
      <c r="I6261">
        <f>IF(B6261,IF(D6261=0,H6261,Rho*I6260+SQRT(1-Rho^2)*H6261),"")</f>
        <v/>
      </c>
      <c r="J6261">
        <f>IF(B6261,IF(Dist="Normal",DistA+DistB*I6261,DistA+(DistB-DistA)*NORMSDIST(I6261)),"")</f>
        <v/>
      </c>
      <c r="K6261">
        <f>IF(B6261,INDEX(MineScale,C6261),"")</f>
        <v/>
      </c>
      <c r="L6261">
        <f>IF(B6261,INDEX(Dow,1,WEEKDAY(E6261,2)),"")</f>
        <v/>
      </c>
      <c r="M6261">
        <f>IF(B6261,(1+Trend)^D6261,"")</f>
        <v/>
      </c>
      <c r="N6261">
        <f>IF(B6261,EXP(SUMPRODUCT(LN(1+(EvEff-1)*INDEX(Affected,0,C6261)*EXP(-((E6261-EvCenter)^2)/(2*EvSigma^2))))),"")</f>
        <v/>
      </c>
      <c r="O6261">
        <f>IF(B6261,ROUND(MAX(0,J6261*K6261*L6261*M6261*N6261),2),"")</f>
        <v/>
      </c>
    </row>
    <row r="6262">
      <c r="A6262" t="n">
        <v>6261</v>
      </c>
      <c r="B6262">
        <f>A6262&lt;=MineCount*Days</f>
        <v/>
      </c>
      <c r="C6262">
        <f>IF(B6262,INT((A6262-1)/Days)+1,"")</f>
        <v/>
      </c>
      <c r="D6262">
        <f>IF(B6262,MOD(A6262-1,Days),"")</f>
        <v/>
      </c>
      <c r="E6262" s="16">
        <f>IF(B6262,StartDate+D6262,"")</f>
        <v/>
      </c>
      <c r="F6262">
        <f>IF(B6262,MAX(MOD(SIN(Seed*0.1373+C6262*12.9898+D6262*78.233)*43758.5453,1),1E-9),"")</f>
        <v/>
      </c>
      <c r="G6262">
        <f>IF(B6262,MOD(SIN(Seed*0.5917+C6262*39.3468+D6262*11.135)*24634.6345,1),"")</f>
        <v/>
      </c>
      <c r="H6262">
        <f>IF(B6262,SQRT(-2*LN(F6262))*COS(2*PI()*G6262),"")</f>
        <v/>
      </c>
      <c r="I6262">
        <f>IF(B6262,IF(D6262=0,H6262,Rho*I6261+SQRT(1-Rho^2)*H6262),"")</f>
        <v/>
      </c>
      <c r="J6262">
        <f>IF(B6262,IF(Dist="Normal",DistA+DistB*I6262,DistA+(DistB-DistA)*NORMSDIST(I6262)),"")</f>
        <v/>
      </c>
      <c r="K6262">
        <f>IF(B6262,INDEX(MineScale,C6262),"")</f>
        <v/>
      </c>
      <c r="L6262">
        <f>IF(B6262,INDEX(Dow,1,WEEKDAY(E6262,2)),"")</f>
        <v/>
      </c>
      <c r="M6262">
        <f>IF(B6262,(1+Trend)^D6262,"")</f>
        <v/>
      </c>
      <c r="N6262">
        <f>IF(B6262,EXP(SUMPRODUCT(LN(1+(EvEff-1)*INDEX(Affected,0,C6262)*EXP(-((E6262-EvCenter)^2)/(2*EvSigma^2))))),"")</f>
        <v/>
      </c>
      <c r="O6262">
        <f>IF(B6262,ROUND(MAX(0,J6262*K6262*L6262*M6262*N6262),2),"")</f>
        <v/>
      </c>
    </row>
    <row r="6263">
      <c r="A6263" t="n">
        <v>6262</v>
      </c>
      <c r="B6263">
        <f>A6263&lt;=MineCount*Days</f>
        <v/>
      </c>
      <c r="C6263">
        <f>IF(B6263,INT((A6263-1)/Days)+1,"")</f>
        <v/>
      </c>
      <c r="D6263">
        <f>IF(B6263,MOD(A6263-1,Days),"")</f>
        <v/>
      </c>
      <c r="E6263" s="16">
        <f>IF(B6263,StartDate+D6263,"")</f>
        <v/>
      </c>
      <c r="F6263">
        <f>IF(B6263,MAX(MOD(SIN(Seed*0.1373+C6263*12.9898+D6263*78.233)*43758.5453,1),1E-9),"")</f>
        <v/>
      </c>
      <c r="G6263">
        <f>IF(B6263,MOD(SIN(Seed*0.5917+C6263*39.3468+D6263*11.135)*24634.6345,1),"")</f>
        <v/>
      </c>
      <c r="H6263">
        <f>IF(B6263,SQRT(-2*LN(F6263))*COS(2*PI()*G6263),"")</f>
        <v/>
      </c>
      <c r="I6263">
        <f>IF(B6263,IF(D6263=0,H6263,Rho*I6262+SQRT(1-Rho^2)*H6263),"")</f>
        <v/>
      </c>
      <c r="J6263">
        <f>IF(B6263,IF(Dist="Normal",DistA+DistB*I6263,DistA+(DistB-DistA)*NORMSDIST(I6263)),"")</f>
        <v/>
      </c>
      <c r="K6263">
        <f>IF(B6263,INDEX(MineScale,C6263),"")</f>
        <v/>
      </c>
      <c r="L6263">
        <f>IF(B6263,INDEX(Dow,1,WEEKDAY(E6263,2)),"")</f>
        <v/>
      </c>
      <c r="M6263">
        <f>IF(B6263,(1+Trend)^D6263,"")</f>
        <v/>
      </c>
      <c r="N6263">
        <f>IF(B6263,EXP(SUMPRODUCT(LN(1+(EvEff-1)*INDEX(Affected,0,C6263)*EXP(-((E6263-EvCenter)^2)/(2*EvSigma^2))))),"")</f>
        <v/>
      </c>
      <c r="O6263">
        <f>IF(B6263,ROUND(MAX(0,J6263*K6263*L6263*M6263*N6263),2),"")</f>
        <v/>
      </c>
    </row>
    <row r="6264">
      <c r="A6264" t="n">
        <v>6263</v>
      </c>
      <c r="B6264">
        <f>A6264&lt;=MineCount*Days</f>
        <v/>
      </c>
      <c r="C6264">
        <f>IF(B6264,INT((A6264-1)/Days)+1,"")</f>
        <v/>
      </c>
      <c r="D6264">
        <f>IF(B6264,MOD(A6264-1,Days),"")</f>
        <v/>
      </c>
      <c r="E6264" s="16">
        <f>IF(B6264,StartDate+D6264,"")</f>
        <v/>
      </c>
      <c r="F6264">
        <f>IF(B6264,MAX(MOD(SIN(Seed*0.1373+C6264*12.9898+D6264*78.233)*43758.5453,1),1E-9),"")</f>
        <v/>
      </c>
      <c r="G6264">
        <f>IF(B6264,MOD(SIN(Seed*0.5917+C6264*39.3468+D6264*11.135)*24634.6345,1),"")</f>
        <v/>
      </c>
      <c r="H6264">
        <f>IF(B6264,SQRT(-2*LN(F6264))*COS(2*PI()*G6264),"")</f>
        <v/>
      </c>
      <c r="I6264">
        <f>IF(B6264,IF(D6264=0,H6264,Rho*I6263+SQRT(1-Rho^2)*H6264),"")</f>
        <v/>
      </c>
      <c r="J6264">
        <f>IF(B6264,IF(Dist="Normal",DistA+DistB*I6264,DistA+(DistB-DistA)*NORMSDIST(I6264)),"")</f>
        <v/>
      </c>
      <c r="K6264">
        <f>IF(B6264,INDEX(MineScale,C6264),"")</f>
        <v/>
      </c>
      <c r="L6264">
        <f>IF(B6264,INDEX(Dow,1,WEEKDAY(E6264,2)),"")</f>
        <v/>
      </c>
      <c r="M6264">
        <f>IF(B6264,(1+Trend)^D6264,"")</f>
        <v/>
      </c>
      <c r="N6264">
        <f>IF(B6264,EXP(SUMPRODUCT(LN(1+(EvEff-1)*INDEX(Affected,0,C6264)*EXP(-((E6264-EvCenter)^2)/(2*EvSigma^2))))),"")</f>
        <v/>
      </c>
      <c r="O6264">
        <f>IF(B6264,ROUND(MAX(0,J6264*K6264*L6264*M6264*N6264),2),"")</f>
        <v/>
      </c>
    </row>
    <row r="6265">
      <c r="A6265" t="n">
        <v>6264</v>
      </c>
      <c r="B6265">
        <f>A6265&lt;=MineCount*Days</f>
        <v/>
      </c>
      <c r="C6265">
        <f>IF(B6265,INT((A6265-1)/Days)+1,"")</f>
        <v/>
      </c>
      <c r="D6265">
        <f>IF(B6265,MOD(A6265-1,Days),"")</f>
        <v/>
      </c>
      <c r="E6265" s="16">
        <f>IF(B6265,StartDate+D6265,"")</f>
        <v/>
      </c>
      <c r="F6265">
        <f>IF(B6265,MAX(MOD(SIN(Seed*0.1373+C6265*12.9898+D6265*78.233)*43758.5453,1),1E-9),"")</f>
        <v/>
      </c>
      <c r="G6265">
        <f>IF(B6265,MOD(SIN(Seed*0.5917+C6265*39.3468+D6265*11.135)*24634.6345,1),"")</f>
        <v/>
      </c>
      <c r="H6265">
        <f>IF(B6265,SQRT(-2*LN(F6265))*COS(2*PI()*G6265),"")</f>
        <v/>
      </c>
      <c r="I6265">
        <f>IF(B6265,IF(D6265=0,H6265,Rho*I6264+SQRT(1-Rho^2)*H6265),"")</f>
        <v/>
      </c>
      <c r="J6265">
        <f>IF(B6265,IF(Dist="Normal",DistA+DistB*I6265,DistA+(DistB-DistA)*NORMSDIST(I6265)),"")</f>
        <v/>
      </c>
      <c r="K6265">
        <f>IF(B6265,INDEX(MineScale,C6265),"")</f>
        <v/>
      </c>
      <c r="L6265">
        <f>IF(B6265,INDEX(Dow,1,WEEKDAY(E6265,2)),"")</f>
        <v/>
      </c>
      <c r="M6265">
        <f>IF(B6265,(1+Trend)^D6265,"")</f>
        <v/>
      </c>
      <c r="N6265">
        <f>IF(B6265,EXP(SUMPRODUCT(LN(1+(EvEff-1)*INDEX(Affected,0,C6265)*EXP(-((E6265-EvCenter)^2)/(2*EvSigma^2))))),"")</f>
        <v/>
      </c>
      <c r="O6265">
        <f>IF(B6265,ROUND(MAX(0,J6265*K6265*L6265*M6265*N6265),2),"")</f>
        <v/>
      </c>
    </row>
    <row r="6266">
      <c r="A6266" t="n">
        <v>6265</v>
      </c>
      <c r="B6266">
        <f>A6266&lt;=MineCount*Days</f>
        <v/>
      </c>
      <c r="C6266">
        <f>IF(B6266,INT((A6266-1)/Days)+1,"")</f>
        <v/>
      </c>
      <c r="D6266">
        <f>IF(B6266,MOD(A6266-1,Days),"")</f>
        <v/>
      </c>
      <c r="E6266" s="16">
        <f>IF(B6266,StartDate+D6266,"")</f>
        <v/>
      </c>
      <c r="F6266">
        <f>IF(B6266,MAX(MOD(SIN(Seed*0.1373+C6266*12.9898+D6266*78.233)*43758.5453,1),1E-9),"")</f>
        <v/>
      </c>
      <c r="G6266">
        <f>IF(B6266,MOD(SIN(Seed*0.5917+C6266*39.3468+D6266*11.135)*24634.6345,1),"")</f>
        <v/>
      </c>
      <c r="H6266">
        <f>IF(B6266,SQRT(-2*LN(F6266))*COS(2*PI()*G6266),"")</f>
        <v/>
      </c>
      <c r="I6266">
        <f>IF(B6266,IF(D6266=0,H6266,Rho*I6265+SQRT(1-Rho^2)*H6266),"")</f>
        <v/>
      </c>
      <c r="J6266">
        <f>IF(B6266,IF(Dist="Normal",DistA+DistB*I6266,DistA+(DistB-DistA)*NORMSDIST(I6266)),"")</f>
        <v/>
      </c>
      <c r="K6266">
        <f>IF(B6266,INDEX(MineScale,C6266),"")</f>
        <v/>
      </c>
      <c r="L6266">
        <f>IF(B6266,INDEX(Dow,1,WEEKDAY(E6266,2)),"")</f>
        <v/>
      </c>
      <c r="M6266">
        <f>IF(B6266,(1+Trend)^D6266,"")</f>
        <v/>
      </c>
      <c r="N6266">
        <f>IF(B6266,EXP(SUMPRODUCT(LN(1+(EvEff-1)*INDEX(Affected,0,C6266)*EXP(-((E6266-EvCenter)^2)/(2*EvSigma^2))))),"")</f>
        <v/>
      </c>
      <c r="O6266">
        <f>IF(B6266,ROUND(MAX(0,J6266*K6266*L6266*M6266*N6266),2),"")</f>
        <v/>
      </c>
    </row>
    <row r="6267">
      <c r="A6267" t="n">
        <v>6266</v>
      </c>
      <c r="B6267">
        <f>A6267&lt;=MineCount*Days</f>
        <v/>
      </c>
      <c r="C6267">
        <f>IF(B6267,INT((A6267-1)/Days)+1,"")</f>
        <v/>
      </c>
      <c r="D6267">
        <f>IF(B6267,MOD(A6267-1,Days),"")</f>
        <v/>
      </c>
      <c r="E6267" s="16">
        <f>IF(B6267,StartDate+D6267,"")</f>
        <v/>
      </c>
      <c r="F6267">
        <f>IF(B6267,MAX(MOD(SIN(Seed*0.1373+C6267*12.9898+D6267*78.233)*43758.5453,1),1E-9),"")</f>
        <v/>
      </c>
      <c r="G6267">
        <f>IF(B6267,MOD(SIN(Seed*0.5917+C6267*39.3468+D6267*11.135)*24634.6345,1),"")</f>
        <v/>
      </c>
      <c r="H6267">
        <f>IF(B6267,SQRT(-2*LN(F6267))*COS(2*PI()*G6267),"")</f>
        <v/>
      </c>
      <c r="I6267">
        <f>IF(B6267,IF(D6267=0,H6267,Rho*I6266+SQRT(1-Rho^2)*H6267),"")</f>
        <v/>
      </c>
      <c r="J6267">
        <f>IF(B6267,IF(Dist="Normal",DistA+DistB*I6267,DistA+(DistB-DistA)*NORMSDIST(I6267)),"")</f>
        <v/>
      </c>
      <c r="K6267">
        <f>IF(B6267,INDEX(MineScale,C6267),"")</f>
        <v/>
      </c>
      <c r="L6267">
        <f>IF(B6267,INDEX(Dow,1,WEEKDAY(E6267,2)),"")</f>
        <v/>
      </c>
      <c r="M6267">
        <f>IF(B6267,(1+Trend)^D6267,"")</f>
        <v/>
      </c>
      <c r="N6267">
        <f>IF(B6267,EXP(SUMPRODUCT(LN(1+(EvEff-1)*INDEX(Affected,0,C6267)*EXP(-((E6267-EvCenter)^2)/(2*EvSigma^2))))),"")</f>
        <v/>
      </c>
      <c r="O6267">
        <f>IF(B6267,ROUND(MAX(0,J6267*K6267*L6267*M6267*N6267),2),"")</f>
        <v/>
      </c>
    </row>
    <row r="6268">
      <c r="A6268" t="n">
        <v>6267</v>
      </c>
      <c r="B6268">
        <f>A6268&lt;=MineCount*Days</f>
        <v/>
      </c>
      <c r="C6268">
        <f>IF(B6268,INT((A6268-1)/Days)+1,"")</f>
        <v/>
      </c>
      <c r="D6268">
        <f>IF(B6268,MOD(A6268-1,Days),"")</f>
        <v/>
      </c>
      <c r="E6268" s="16">
        <f>IF(B6268,StartDate+D6268,"")</f>
        <v/>
      </c>
      <c r="F6268">
        <f>IF(B6268,MAX(MOD(SIN(Seed*0.1373+C6268*12.9898+D6268*78.233)*43758.5453,1),1E-9),"")</f>
        <v/>
      </c>
      <c r="G6268">
        <f>IF(B6268,MOD(SIN(Seed*0.5917+C6268*39.3468+D6268*11.135)*24634.6345,1),"")</f>
        <v/>
      </c>
      <c r="H6268">
        <f>IF(B6268,SQRT(-2*LN(F6268))*COS(2*PI()*G6268),"")</f>
        <v/>
      </c>
      <c r="I6268">
        <f>IF(B6268,IF(D6268=0,H6268,Rho*I6267+SQRT(1-Rho^2)*H6268),"")</f>
        <v/>
      </c>
      <c r="J6268">
        <f>IF(B6268,IF(Dist="Normal",DistA+DistB*I6268,DistA+(DistB-DistA)*NORMSDIST(I6268)),"")</f>
        <v/>
      </c>
      <c r="K6268">
        <f>IF(B6268,INDEX(MineScale,C6268),"")</f>
        <v/>
      </c>
      <c r="L6268">
        <f>IF(B6268,INDEX(Dow,1,WEEKDAY(E6268,2)),"")</f>
        <v/>
      </c>
      <c r="M6268">
        <f>IF(B6268,(1+Trend)^D6268,"")</f>
        <v/>
      </c>
      <c r="N6268">
        <f>IF(B6268,EXP(SUMPRODUCT(LN(1+(EvEff-1)*INDEX(Affected,0,C6268)*EXP(-((E6268-EvCenter)^2)/(2*EvSigma^2))))),"")</f>
        <v/>
      </c>
      <c r="O6268">
        <f>IF(B6268,ROUND(MAX(0,J6268*K6268*L6268*M6268*N6268),2),"")</f>
        <v/>
      </c>
    </row>
    <row r="6269">
      <c r="A6269" t="n">
        <v>6268</v>
      </c>
      <c r="B6269">
        <f>A6269&lt;=MineCount*Days</f>
        <v/>
      </c>
      <c r="C6269">
        <f>IF(B6269,INT((A6269-1)/Days)+1,"")</f>
        <v/>
      </c>
      <c r="D6269">
        <f>IF(B6269,MOD(A6269-1,Days),"")</f>
        <v/>
      </c>
      <c r="E6269" s="16">
        <f>IF(B6269,StartDate+D6269,"")</f>
        <v/>
      </c>
      <c r="F6269">
        <f>IF(B6269,MAX(MOD(SIN(Seed*0.1373+C6269*12.9898+D6269*78.233)*43758.5453,1),1E-9),"")</f>
        <v/>
      </c>
      <c r="G6269">
        <f>IF(B6269,MOD(SIN(Seed*0.5917+C6269*39.3468+D6269*11.135)*24634.6345,1),"")</f>
        <v/>
      </c>
      <c r="H6269">
        <f>IF(B6269,SQRT(-2*LN(F6269))*COS(2*PI()*G6269),"")</f>
        <v/>
      </c>
      <c r="I6269">
        <f>IF(B6269,IF(D6269=0,H6269,Rho*I6268+SQRT(1-Rho^2)*H6269),"")</f>
        <v/>
      </c>
      <c r="J6269">
        <f>IF(B6269,IF(Dist="Normal",DistA+DistB*I6269,DistA+(DistB-DistA)*NORMSDIST(I6269)),"")</f>
        <v/>
      </c>
      <c r="K6269">
        <f>IF(B6269,INDEX(MineScale,C6269),"")</f>
        <v/>
      </c>
      <c r="L6269">
        <f>IF(B6269,INDEX(Dow,1,WEEKDAY(E6269,2)),"")</f>
        <v/>
      </c>
      <c r="M6269">
        <f>IF(B6269,(1+Trend)^D6269,"")</f>
        <v/>
      </c>
      <c r="N6269">
        <f>IF(B6269,EXP(SUMPRODUCT(LN(1+(EvEff-1)*INDEX(Affected,0,C6269)*EXP(-((E6269-EvCenter)^2)/(2*EvSigma^2))))),"")</f>
        <v/>
      </c>
      <c r="O6269">
        <f>IF(B6269,ROUND(MAX(0,J6269*K6269*L6269*M6269*N6269),2),"")</f>
        <v/>
      </c>
    </row>
    <row r="6270">
      <c r="A6270" t="n">
        <v>6269</v>
      </c>
      <c r="B6270">
        <f>A6270&lt;=MineCount*Days</f>
        <v/>
      </c>
      <c r="C6270">
        <f>IF(B6270,INT((A6270-1)/Days)+1,"")</f>
        <v/>
      </c>
      <c r="D6270">
        <f>IF(B6270,MOD(A6270-1,Days),"")</f>
        <v/>
      </c>
      <c r="E6270" s="16">
        <f>IF(B6270,StartDate+D6270,"")</f>
        <v/>
      </c>
      <c r="F6270">
        <f>IF(B6270,MAX(MOD(SIN(Seed*0.1373+C6270*12.9898+D6270*78.233)*43758.5453,1),1E-9),"")</f>
        <v/>
      </c>
      <c r="G6270">
        <f>IF(B6270,MOD(SIN(Seed*0.5917+C6270*39.3468+D6270*11.135)*24634.6345,1),"")</f>
        <v/>
      </c>
      <c r="H6270">
        <f>IF(B6270,SQRT(-2*LN(F6270))*COS(2*PI()*G6270),"")</f>
        <v/>
      </c>
      <c r="I6270">
        <f>IF(B6270,IF(D6270=0,H6270,Rho*I6269+SQRT(1-Rho^2)*H6270),"")</f>
        <v/>
      </c>
      <c r="J6270">
        <f>IF(B6270,IF(Dist="Normal",DistA+DistB*I6270,DistA+(DistB-DistA)*NORMSDIST(I6270)),"")</f>
        <v/>
      </c>
      <c r="K6270">
        <f>IF(B6270,INDEX(MineScale,C6270),"")</f>
        <v/>
      </c>
      <c r="L6270">
        <f>IF(B6270,INDEX(Dow,1,WEEKDAY(E6270,2)),"")</f>
        <v/>
      </c>
      <c r="M6270">
        <f>IF(B6270,(1+Trend)^D6270,"")</f>
        <v/>
      </c>
      <c r="N6270">
        <f>IF(B6270,EXP(SUMPRODUCT(LN(1+(EvEff-1)*INDEX(Affected,0,C6270)*EXP(-((E6270-EvCenter)^2)/(2*EvSigma^2))))),"")</f>
        <v/>
      </c>
      <c r="O6270">
        <f>IF(B6270,ROUND(MAX(0,J6270*K6270*L6270*M6270*N6270),2),"")</f>
        <v/>
      </c>
    </row>
    <row r="6271">
      <c r="A6271" t="n">
        <v>6270</v>
      </c>
      <c r="B6271">
        <f>A6271&lt;=MineCount*Days</f>
        <v/>
      </c>
      <c r="C6271">
        <f>IF(B6271,INT((A6271-1)/Days)+1,"")</f>
        <v/>
      </c>
      <c r="D6271">
        <f>IF(B6271,MOD(A6271-1,Days),"")</f>
        <v/>
      </c>
      <c r="E6271" s="16">
        <f>IF(B6271,StartDate+D6271,"")</f>
        <v/>
      </c>
      <c r="F6271">
        <f>IF(B6271,MAX(MOD(SIN(Seed*0.1373+C6271*12.9898+D6271*78.233)*43758.5453,1),1E-9),"")</f>
        <v/>
      </c>
      <c r="G6271">
        <f>IF(B6271,MOD(SIN(Seed*0.5917+C6271*39.3468+D6271*11.135)*24634.6345,1),"")</f>
        <v/>
      </c>
      <c r="H6271">
        <f>IF(B6271,SQRT(-2*LN(F6271))*COS(2*PI()*G6271),"")</f>
        <v/>
      </c>
      <c r="I6271">
        <f>IF(B6271,IF(D6271=0,H6271,Rho*I6270+SQRT(1-Rho^2)*H6271),"")</f>
        <v/>
      </c>
      <c r="J6271">
        <f>IF(B6271,IF(Dist="Normal",DistA+DistB*I6271,DistA+(DistB-DistA)*NORMSDIST(I6271)),"")</f>
        <v/>
      </c>
      <c r="K6271">
        <f>IF(B6271,INDEX(MineScale,C6271),"")</f>
        <v/>
      </c>
      <c r="L6271">
        <f>IF(B6271,INDEX(Dow,1,WEEKDAY(E6271,2)),"")</f>
        <v/>
      </c>
      <c r="M6271">
        <f>IF(B6271,(1+Trend)^D6271,"")</f>
        <v/>
      </c>
      <c r="N6271">
        <f>IF(B6271,EXP(SUMPRODUCT(LN(1+(EvEff-1)*INDEX(Affected,0,C6271)*EXP(-((E6271-EvCenter)^2)/(2*EvSigma^2))))),"")</f>
        <v/>
      </c>
      <c r="O6271">
        <f>IF(B6271,ROUND(MAX(0,J6271*K6271*L6271*M6271*N6271),2),"")</f>
        <v/>
      </c>
    </row>
    <row r="6272">
      <c r="A6272" t="n">
        <v>6271</v>
      </c>
      <c r="B6272">
        <f>A6272&lt;=MineCount*Days</f>
        <v/>
      </c>
      <c r="C6272">
        <f>IF(B6272,INT((A6272-1)/Days)+1,"")</f>
        <v/>
      </c>
      <c r="D6272">
        <f>IF(B6272,MOD(A6272-1,Days),"")</f>
        <v/>
      </c>
      <c r="E6272" s="16">
        <f>IF(B6272,StartDate+D6272,"")</f>
        <v/>
      </c>
      <c r="F6272">
        <f>IF(B6272,MAX(MOD(SIN(Seed*0.1373+C6272*12.9898+D6272*78.233)*43758.5453,1),1E-9),"")</f>
        <v/>
      </c>
      <c r="G6272">
        <f>IF(B6272,MOD(SIN(Seed*0.5917+C6272*39.3468+D6272*11.135)*24634.6345,1),"")</f>
        <v/>
      </c>
      <c r="H6272">
        <f>IF(B6272,SQRT(-2*LN(F6272))*COS(2*PI()*G6272),"")</f>
        <v/>
      </c>
      <c r="I6272">
        <f>IF(B6272,IF(D6272=0,H6272,Rho*I6271+SQRT(1-Rho^2)*H6272),"")</f>
        <v/>
      </c>
      <c r="J6272">
        <f>IF(B6272,IF(Dist="Normal",DistA+DistB*I6272,DistA+(DistB-DistA)*NORMSDIST(I6272)),"")</f>
        <v/>
      </c>
      <c r="K6272">
        <f>IF(B6272,INDEX(MineScale,C6272),"")</f>
        <v/>
      </c>
      <c r="L6272">
        <f>IF(B6272,INDEX(Dow,1,WEEKDAY(E6272,2)),"")</f>
        <v/>
      </c>
      <c r="M6272">
        <f>IF(B6272,(1+Trend)^D6272,"")</f>
        <v/>
      </c>
      <c r="N6272">
        <f>IF(B6272,EXP(SUMPRODUCT(LN(1+(EvEff-1)*INDEX(Affected,0,C6272)*EXP(-((E6272-EvCenter)^2)/(2*EvSigma^2))))),"")</f>
        <v/>
      </c>
      <c r="O6272">
        <f>IF(B6272,ROUND(MAX(0,J6272*K6272*L6272*M6272*N6272),2),"")</f>
        <v/>
      </c>
    </row>
    <row r="6273">
      <c r="A6273" t="n">
        <v>6272</v>
      </c>
      <c r="B6273">
        <f>A6273&lt;=MineCount*Days</f>
        <v/>
      </c>
      <c r="C6273">
        <f>IF(B6273,INT((A6273-1)/Days)+1,"")</f>
        <v/>
      </c>
      <c r="D6273">
        <f>IF(B6273,MOD(A6273-1,Days),"")</f>
        <v/>
      </c>
      <c r="E6273" s="16">
        <f>IF(B6273,StartDate+D6273,"")</f>
        <v/>
      </c>
      <c r="F6273">
        <f>IF(B6273,MAX(MOD(SIN(Seed*0.1373+C6273*12.9898+D6273*78.233)*43758.5453,1),1E-9),"")</f>
        <v/>
      </c>
      <c r="G6273">
        <f>IF(B6273,MOD(SIN(Seed*0.5917+C6273*39.3468+D6273*11.135)*24634.6345,1),"")</f>
        <v/>
      </c>
      <c r="H6273">
        <f>IF(B6273,SQRT(-2*LN(F6273))*COS(2*PI()*G6273),"")</f>
        <v/>
      </c>
      <c r="I6273">
        <f>IF(B6273,IF(D6273=0,H6273,Rho*I6272+SQRT(1-Rho^2)*H6273),"")</f>
        <v/>
      </c>
      <c r="J6273">
        <f>IF(B6273,IF(Dist="Normal",DistA+DistB*I6273,DistA+(DistB-DistA)*NORMSDIST(I6273)),"")</f>
        <v/>
      </c>
      <c r="K6273">
        <f>IF(B6273,INDEX(MineScale,C6273),"")</f>
        <v/>
      </c>
      <c r="L6273">
        <f>IF(B6273,INDEX(Dow,1,WEEKDAY(E6273,2)),"")</f>
        <v/>
      </c>
      <c r="M6273">
        <f>IF(B6273,(1+Trend)^D6273,"")</f>
        <v/>
      </c>
      <c r="N6273">
        <f>IF(B6273,EXP(SUMPRODUCT(LN(1+(EvEff-1)*INDEX(Affected,0,C6273)*EXP(-((E6273-EvCenter)^2)/(2*EvSigma^2))))),"")</f>
        <v/>
      </c>
      <c r="O6273">
        <f>IF(B6273,ROUND(MAX(0,J6273*K6273*L6273*M6273*N6273),2),"")</f>
        <v/>
      </c>
    </row>
    <row r="6274">
      <c r="A6274" t="n">
        <v>6273</v>
      </c>
      <c r="B6274">
        <f>A6274&lt;=MineCount*Days</f>
        <v/>
      </c>
      <c r="C6274">
        <f>IF(B6274,INT((A6274-1)/Days)+1,"")</f>
        <v/>
      </c>
      <c r="D6274">
        <f>IF(B6274,MOD(A6274-1,Days),"")</f>
        <v/>
      </c>
      <c r="E6274" s="16">
        <f>IF(B6274,StartDate+D6274,"")</f>
        <v/>
      </c>
      <c r="F6274">
        <f>IF(B6274,MAX(MOD(SIN(Seed*0.1373+C6274*12.9898+D6274*78.233)*43758.5453,1),1E-9),"")</f>
        <v/>
      </c>
      <c r="G6274">
        <f>IF(B6274,MOD(SIN(Seed*0.5917+C6274*39.3468+D6274*11.135)*24634.6345,1),"")</f>
        <v/>
      </c>
      <c r="H6274">
        <f>IF(B6274,SQRT(-2*LN(F6274))*COS(2*PI()*G6274),"")</f>
        <v/>
      </c>
      <c r="I6274">
        <f>IF(B6274,IF(D6274=0,H6274,Rho*I6273+SQRT(1-Rho^2)*H6274),"")</f>
        <v/>
      </c>
      <c r="J6274">
        <f>IF(B6274,IF(Dist="Normal",DistA+DistB*I6274,DistA+(DistB-DistA)*NORMSDIST(I6274)),"")</f>
        <v/>
      </c>
      <c r="K6274">
        <f>IF(B6274,INDEX(MineScale,C6274),"")</f>
        <v/>
      </c>
      <c r="L6274">
        <f>IF(B6274,INDEX(Dow,1,WEEKDAY(E6274,2)),"")</f>
        <v/>
      </c>
      <c r="M6274">
        <f>IF(B6274,(1+Trend)^D6274,"")</f>
        <v/>
      </c>
      <c r="N6274">
        <f>IF(B6274,EXP(SUMPRODUCT(LN(1+(EvEff-1)*INDEX(Affected,0,C6274)*EXP(-((E6274-EvCenter)^2)/(2*EvSigma^2))))),"")</f>
        <v/>
      </c>
      <c r="O6274">
        <f>IF(B6274,ROUND(MAX(0,J6274*K6274*L6274*M6274*N6274),2),"")</f>
        <v/>
      </c>
    </row>
    <row r="6275">
      <c r="A6275" t="n">
        <v>6274</v>
      </c>
      <c r="B6275">
        <f>A6275&lt;=MineCount*Days</f>
        <v/>
      </c>
      <c r="C6275">
        <f>IF(B6275,INT((A6275-1)/Days)+1,"")</f>
        <v/>
      </c>
      <c r="D6275">
        <f>IF(B6275,MOD(A6275-1,Days),"")</f>
        <v/>
      </c>
      <c r="E6275" s="16">
        <f>IF(B6275,StartDate+D6275,"")</f>
        <v/>
      </c>
      <c r="F6275">
        <f>IF(B6275,MAX(MOD(SIN(Seed*0.1373+C6275*12.9898+D6275*78.233)*43758.5453,1),1E-9),"")</f>
        <v/>
      </c>
      <c r="G6275">
        <f>IF(B6275,MOD(SIN(Seed*0.5917+C6275*39.3468+D6275*11.135)*24634.6345,1),"")</f>
        <v/>
      </c>
      <c r="H6275">
        <f>IF(B6275,SQRT(-2*LN(F6275))*COS(2*PI()*G6275),"")</f>
        <v/>
      </c>
      <c r="I6275">
        <f>IF(B6275,IF(D6275=0,H6275,Rho*I6274+SQRT(1-Rho^2)*H6275),"")</f>
        <v/>
      </c>
      <c r="J6275">
        <f>IF(B6275,IF(Dist="Normal",DistA+DistB*I6275,DistA+(DistB-DistA)*NORMSDIST(I6275)),"")</f>
        <v/>
      </c>
      <c r="K6275">
        <f>IF(B6275,INDEX(MineScale,C6275),"")</f>
        <v/>
      </c>
      <c r="L6275">
        <f>IF(B6275,INDEX(Dow,1,WEEKDAY(E6275,2)),"")</f>
        <v/>
      </c>
      <c r="M6275">
        <f>IF(B6275,(1+Trend)^D6275,"")</f>
        <v/>
      </c>
      <c r="N6275">
        <f>IF(B6275,EXP(SUMPRODUCT(LN(1+(EvEff-1)*INDEX(Affected,0,C6275)*EXP(-((E6275-EvCenter)^2)/(2*EvSigma^2))))),"")</f>
        <v/>
      </c>
      <c r="O6275">
        <f>IF(B6275,ROUND(MAX(0,J6275*K6275*L6275*M6275*N6275),2),"")</f>
        <v/>
      </c>
    </row>
    <row r="6276">
      <c r="A6276" t="n">
        <v>6275</v>
      </c>
      <c r="B6276">
        <f>A6276&lt;=MineCount*Days</f>
        <v/>
      </c>
      <c r="C6276">
        <f>IF(B6276,INT((A6276-1)/Days)+1,"")</f>
        <v/>
      </c>
      <c r="D6276">
        <f>IF(B6276,MOD(A6276-1,Days),"")</f>
        <v/>
      </c>
      <c r="E6276" s="16">
        <f>IF(B6276,StartDate+D6276,"")</f>
        <v/>
      </c>
      <c r="F6276">
        <f>IF(B6276,MAX(MOD(SIN(Seed*0.1373+C6276*12.9898+D6276*78.233)*43758.5453,1),1E-9),"")</f>
        <v/>
      </c>
      <c r="G6276">
        <f>IF(B6276,MOD(SIN(Seed*0.5917+C6276*39.3468+D6276*11.135)*24634.6345,1),"")</f>
        <v/>
      </c>
      <c r="H6276">
        <f>IF(B6276,SQRT(-2*LN(F6276))*COS(2*PI()*G6276),"")</f>
        <v/>
      </c>
      <c r="I6276">
        <f>IF(B6276,IF(D6276=0,H6276,Rho*I6275+SQRT(1-Rho^2)*H6276),"")</f>
        <v/>
      </c>
      <c r="J6276">
        <f>IF(B6276,IF(Dist="Normal",DistA+DistB*I6276,DistA+(DistB-DistA)*NORMSDIST(I6276)),"")</f>
        <v/>
      </c>
      <c r="K6276">
        <f>IF(B6276,INDEX(MineScale,C6276),"")</f>
        <v/>
      </c>
      <c r="L6276">
        <f>IF(B6276,INDEX(Dow,1,WEEKDAY(E6276,2)),"")</f>
        <v/>
      </c>
      <c r="M6276">
        <f>IF(B6276,(1+Trend)^D6276,"")</f>
        <v/>
      </c>
      <c r="N6276">
        <f>IF(B6276,EXP(SUMPRODUCT(LN(1+(EvEff-1)*INDEX(Affected,0,C6276)*EXP(-((E6276-EvCenter)^2)/(2*EvSigma^2))))),"")</f>
        <v/>
      </c>
      <c r="O6276">
        <f>IF(B6276,ROUND(MAX(0,J6276*K6276*L6276*M6276*N6276),2),"")</f>
        <v/>
      </c>
    </row>
    <row r="6277">
      <c r="A6277" t="n">
        <v>6276</v>
      </c>
      <c r="B6277">
        <f>A6277&lt;=MineCount*Days</f>
        <v/>
      </c>
      <c r="C6277">
        <f>IF(B6277,INT((A6277-1)/Days)+1,"")</f>
        <v/>
      </c>
      <c r="D6277">
        <f>IF(B6277,MOD(A6277-1,Days),"")</f>
        <v/>
      </c>
      <c r="E6277" s="16">
        <f>IF(B6277,StartDate+D6277,"")</f>
        <v/>
      </c>
      <c r="F6277">
        <f>IF(B6277,MAX(MOD(SIN(Seed*0.1373+C6277*12.9898+D6277*78.233)*43758.5453,1),1E-9),"")</f>
        <v/>
      </c>
      <c r="G6277">
        <f>IF(B6277,MOD(SIN(Seed*0.5917+C6277*39.3468+D6277*11.135)*24634.6345,1),"")</f>
        <v/>
      </c>
      <c r="H6277">
        <f>IF(B6277,SQRT(-2*LN(F6277))*COS(2*PI()*G6277),"")</f>
        <v/>
      </c>
      <c r="I6277">
        <f>IF(B6277,IF(D6277=0,H6277,Rho*I6276+SQRT(1-Rho^2)*H6277),"")</f>
        <v/>
      </c>
      <c r="J6277">
        <f>IF(B6277,IF(Dist="Normal",DistA+DistB*I6277,DistA+(DistB-DistA)*NORMSDIST(I6277)),"")</f>
        <v/>
      </c>
      <c r="K6277">
        <f>IF(B6277,INDEX(MineScale,C6277),"")</f>
        <v/>
      </c>
      <c r="L6277">
        <f>IF(B6277,INDEX(Dow,1,WEEKDAY(E6277,2)),"")</f>
        <v/>
      </c>
      <c r="M6277">
        <f>IF(B6277,(1+Trend)^D6277,"")</f>
        <v/>
      </c>
      <c r="N6277">
        <f>IF(B6277,EXP(SUMPRODUCT(LN(1+(EvEff-1)*INDEX(Affected,0,C6277)*EXP(-((E6277-EvCenter)^2)/(2*EvSigma^2))))),"")</f>
        <v/>
      </c>
      <c r="O6277">
        <f>IF(B6277,ROUND(MAX(0,J6277*K6277*L6277*M6277*N6277),2),"")</f>
        <v/>
      </c>
    </row>
    <row r="6278">
      <c r="A6278" t="n">
        <v>6277</v>
      </c>
      <c r="B6278">
        <f>A6278&lt;=MineCount*Days</f>
        <v/>
      </c>
      <c r="C6278">
        <f>IF(B6278,INT((A6278-1)/Days)+1,"")</f>
        <v/>
      </c>
      <c r="D6278">
        <f>IF(B6278,MOD(A6278-1,Days),"")</f>
        <v/>
      </c>
      <c r="E6278" s="16">
        <f>IF(B6278,StartDate+D6278,"")</f>
        <v/>
      </c>
      <c r="F6278">
        <f>IF(B6278,MAX(MOD(SIN(Seed*0.1373+C6278*12.9898+D6278*78.233)*43758.5453,1),1E-9),"")</f>
        <v/>
      </c>
      <c r="G6278">
        <f>IF(B6278,MOD(SIN(Seed*0.5917+C6278*39.3468+D6278*11.135)*24634.6345,1),"")</f>
        <v/>
      </c>
      <c r="H6278">
        <f>IF(B6278,SQRT(-2*LN(F6278))*COS(2*PI()*G6278),"")</f>
        <v/>
      </c>
      <c r="I6278">
        <f>IF(B6278,IF(D6278=0,H6278,Rho*I6277+SQRT(1-Rho^2)*H6278),"")</f>
        <v/>
      </c>
      <c r="J6278">
        <f>IF(B6278,IF(Dist="Normal",DistA+DistB*I6278,DistA+(DistB-DistA)*NORMSDIST(I6278)),"")</f>
        <v/>
      </c>
      <c r="K6278">
        <f>IF(B6278,INDEX(MineScale,C6278),"")</f>
        <v/>
      </c>
      <c r="L6278">
        <f>IF(B6278,INDEX(Dow,1,WEEKDAY(E6278,2)),"")</f>
        <v/>
      </c>
      <c r="M6278">
        <f>IF(B6278,(1+Trend)^D6278,"")</f>
        <v/>
      </c>
      <c r="N6278">
        <f>IF(B6278,EXP(SUMPRODUCT(LN(1+(EvEff-1)*INDEX(Affected,0,C6278)*EXP(-((E6278-EvCenter)^2)/(2*EvSigma^2))))),"")</f>
        <v/>
      </c>
      <c r="O6278">
        <f>IF(B6278,ROUND(MAX(0,J6278*K6278*L6278*M6278*N6278),2),"")</f>
        <v/>
      </c>
    </row>
    <row r="6279">
      <c r="A6279" t="n">
        <v>6278</v>
      </c>
      <c r="B6279">
        <f>A6279&lt;=MineCount*Days</f>
        <v/>
      </c>
      <c r="C6279">
        <f>IF(B6279,INT((A6279-1)/Days)+1,"")</f>
        <v/>
      </c>
      <c r="D6279">
        <f>IF(B6279,MOD(A6279-1,Days),"")</f>
        <v/>
      </c>
      <c r="E6279" s="16">
        <f>IF(B6279,StartDate+D6279,"")</f>
        <v/>
      </c>
      <c r="F6279">
        <f>IF(B6279,MAX(MOD(SIN(Seed*0.1373+C6279*12.9898+D6279*78.233)*43758.5453,1),1E-9),"")</f>
        <v/>
      </c>
      <c r="G6279">
        <f>IF(B6279,MOD(SIN(Seed*0.5917+C6279*39.3468+D6279*11.135)*24634.6345,1),"")</f>
        <v/>
      </c>
      <c r="H6279">
        <f>IF(B6279,SQRT(-2*LN(F6279))*COS(2*PI()*G6279),"")</f>
        <v/>
      </c>
      <c r="I6279">
        <f>IF(B6279,IF(D6279=0,H6279,Rho*I6278+SQRT(1-Rho^2)*H6279),"")</f>
        <v/>
      </c>
      <c r="J6279">
        <f>IF(B6279,IF(Dist="Normal",DistA+DistB*I6279,DistA+(DistB-DistA)*NORMSDIST(I6279)),"")</f>
        <v/>
      </c>
      <c r="K6279">
        <f>IF(B6279,INDEX(MineScale,C6279),"")</f>
        <v/>
      </c>
      <c r="L6279">
        <f>IF(B6279,INDEX(Dow,1,WEEKDAY(E6279,2)),"")</f>
        <v/>
      </c>
      <c r="M6279">
        <f>IF(B6279,(1+Trend)^D6279,"")</f>
        <v/>
      </c>
      <c r="N6279">
        <f>IF(B6279,EXP(SUMPRODUCT(LN(1+(EvEff-1)*INDEX(Affected,0,C6279)*EXP(-((E6279-EvCenter)^2)/(2*EvSigma^2))))),"")</f>
        <v/>
      </c>
      <c r="O6279">
        <f>IF(B6279,ROUND(MAX(0,J6279*K6279*L6279*M6279*N6279),2),"")</f>
        <v/>
      </c>
    </row>
    <row r="6280">
      <c r="A6280" t="n">
        <v>6279</v>
      </c>
      <c r="B6280">
        <f>A6280&lt;=MineCount*Days</f>
        <v/>
      </c>
      <c r="C6280">
        <f>IF(B6280,INT((A6280-1)/Days)+1,"")</f>
        <v/>
      </c>
      <c r="D6280">
        <f>IF(B6280,MOD(A6280-1,Days),"")</f>
        <v/>
      </c>
      <c r="E6280" s="16">
        <f>IF(B6280,StartDate+D6280,"")</f>
        <v/>
      </c>
      <c r="F6280">
        <f>IF(B6280,MAX(MOD(SIN(Seed*0.1373+C6280*12.9898+D6280*78.233)*43758.5453,1),1E-9),"")</f>
        <v/>
      </c>
      <c r="G6280">
        <f>IF(B6280,MOD(SIN(Seed*0.5917+C6280*39.3468+D6280*11.135)*24634.6345,1),"")</f>
        <v/>
      </c>
      <c r="H6280">
        <f>IF(B6280,SQRT(-2*LN(F6280))*COS(2*PI()*G6280),"")</f>
        <v/>
      </c>
      <c r="I6280">
        <f>IF(B6280,IF(D6280=0,H6280,Rho*I6279+SQRT(1-Rho^2)*H6280),"")</f>
        <v/>
      </c>
      <c r="J6280">
        <f>IF(B6280,IF(Dist="Normal",DistA+DistB*I6280,DistA+(DistB-DistA)*NORMSDIST(I6280)),"")</f>
        <v/>
      </c>
      <c r="K6280">
        <f>IF(B6280,INDEX(MineScale,C6280),"")</f>
        <v/>
      </c>
      <c r="L6280">
        <f>IF(B6280,INDEX(Dow,1,WEEKDAY(E6280,2)),"")</f>
        <v/>
      </c>
      <c r="M6280">
        <f>IF(B6280,(1+Trend)^D6280,"")</f>
        <v/>
      </c>
      <c r="N6280">
        <f>IF(B6280,EXP(SUMPRODUCT(LN(1+(EvEff-1)*INDEX(Affected,0,C6280)*EXP(-((E6280-EvCenter)^2)/(2*EvSigma^2))))),"")</f>
        <v/>
      </c>
      <c r="O6280">
        <f>IF(B6280,ROUND(MAX(0,J6280*K6280*L6280*M6280*N6280),2),"")</f>
        <v/>
      </c>
    </row>
    <row r="6281">
      <c r="A6281" t="n">
        <v>6280</v>
      </c>
      <c r="B6281">
        <f>A6281&lt;=MineCount*Days</f>
        <v/>
      </c>
      <c r="C6281">
        <f>IF(B6281,INT((A6281-1)/Days)+1,"")</f>
        <v/>
      </c>
      <c r="D6281">
        <f>IF(B6281,MOD(A6281-1,Days),"")</f>
        <v/>
      </c>
      <c r="E6281" s="16">
        <f>IF(B6281,StartDate+D6281,"")</f>
        <v/>
      </c>
      <c r="F6281">
        <f>IF(B6281,MAX(MOD(SIN(Seed*0.1373+C6281*12.9898+D6281*78.233)*43758.5453,1),1E-9),"")</f>
        <v/>
      </c>
      <c r="G6281">
        <f>IF(B6281,MOD(SIN(Seed*0.5917+C6281*39.3468+D6281*11.135)*24634.6345,1),"")</f>
        <v/>
      </c>
      <c r="H6281">
        <f>IF(B6281,SQRT(-2*LN(F6281))*COS(2*PI()*G6281),"")</f>
        <v/>
      </c>
      <c r="I6281">
        <f>IF(B6281,IF(D6281=0,H6281,Rho*I6280+SQRT(1-Rho^2)*H6281),"")</f>
        <v/>
      </c>
      <c r="J6281">
        <f>IF(B6281,IF(Dist="Normal",DistA+DistB*I6281,DistA+(DistB-DistA)*NORMSDIST(I6281)),"")</f>
        <v/>
      </c>
      <c r="K6281">
        <f>IF(B6281,INDEX(MineScale,C6281),"")</f>
        <v/>
      </c>
      <c r="L6281">
        <f>IF(B6281,INDEX(Dow,1,WEEKDAY(E6281,2)),"")</f>
        <v/>
      </c>
      <c r="M6281">
        <f>IF(B6281,(1+Trend)^D6281,"")</f>
        <v/>
      </c>
      <c r="N6281">
        <f>IF(B6281,EXP(SUMPRODUCT(LN(1+(EvEff-1)*INDEX(Affected,0,C6281)*EXP(-((E6281-EvCenter)^2)/(2*EvSigma^2))))),"")</f>
        <v/>
      </c>
      <c r="O6281">
        <f>IF(B6281,ROUND(MAX(0,J6281*K6281*L6281*M6281*N6281),2),"")</f>
        <v/>
      </c>
    </row>
    <row r="6282">
      <c r="A6282" t="n">
        <v>6281</v>
      </c>
      <c r="B6282">
        <f>A6282&lt;=MineCount*Days</f>
        <v/>
      </c>
      <c r="C6282">
        <f>IF(B6282,INT((A6282-1)/Days)+1,"")</f>
        <v/>
      </c>
      <c r="D6282">
        <f>IF(B6282,MOD(A6282-1,Days),"")</f>
        <v/>
      </c>
      <c r="E6282" s="16">
        <f>IF(B6282,StartDate+D6282,"")</f>
        <v/>
      </c>
      <c r="F6282">
        <f>IF(B6282,MAX(MOD(SIN(Seed*0.1373+C6282*12.9898+D6282*78.233)*43758.5453,1),1E-9),"")</f>
        <v/>
      </c>
      <c r="G6282">
        <f>IF(B6282,MOD(SIN(Seed*0.5917+C6282*39.3468+D6282*11.135)*24634.6345,1),"")</f>
        <v/>
      </c>
      <c r="H6282">
        <f>IF(B6282,SQRT(-2*LN(F6282))*COS(2*PI()*G6282),"")</f>
        <v/>
      </c>
      <c r="I6282">
        <f>IF(B6282,IF(D6282=0,H6282,Rho*I6281+SQRT(1-Rho^2)*H6282),"")</f>
        <v/>
      </c>
      <c r="J6282">
        <f>IF(B6282,IF(Dist="Normal",DistA+DistB*I6282,DistA+(DistB-DistA)*NORMSDIST(I6282)),"")</f>
        <v/>
      </c>
      <c r="K6282">
        <f>IF(B6282,INDEX(MineScale,C6282),"")</f>
        <v/>
      </c>
      <c r="L6282">
        <f>IF(B6282,INDEX(Dow,1,WEEKDAY(E6282,2)),"")</f>
        <v/>
      </c>
      <c r="M6282">
        <f>IF(B6282,(1+Trend)^D6282,"")</f>
        <v/>
      </c>
      <c r="N6282">
        <f>IF(B6282,EXP(SUMPRODUCT(LN(1+(EvEff-1)*INDEX(Affected,0,C6282)*EXP(-((E6282-EvCenter)^2)/(2*EvSigma^2))))),"")</f>
        <v/>
      </c>
      <c r="O6282">
        <f>IF(B6282,ROUND(MAX(0,J6282*K6282*L6282*M6282*N6282),2),"")</f>
        <v/>
      </c>
    </row>
    <row r="6283">
      <c r="A6283" t="n">
        <v>6282</v>
      </c>
      <c r="B6283">
        <f>A6283&lt;=MineCount*Days</f>
        <v/>
      </c>
      <c r="C6283">
        <f>IF(B6283,INT((A6283-1)/Days)+1,"")</f>
        <v/>
      </c>
      <c r="D6283">
        <f>IF(B6283,MOD(A6283-1,Days),"")</f>
        <v/>
      </c>
      <c r="E6283" s="16">
        <f>IF(B6283,StartDate+D6283,"")</f>
        <v/>
      </c>
      <c r="F6283">
        <f>IF(B6283,MAX(MOD(SIN(Seed*0.1373+C6283*12.9898+D6283*78.233)*43758.5453,1),1E-9),"")</f>
        <v/>
      </c>
      <c r="G6283">
        <f>IF(B6283,MOD(SIN(Seed*0.5917+C6283*39.3468+D6283*11.135)*24634.6345,1),"")</f>
        <v/>
      </c>
      <c r="H6283">
        <f>IF(B6283,SQRT(-2*LN(F6283))*COS(2*PI()*G6283),"")</f>
        <v/>
      </c>
      <c r="I6283">
        <f>IF(B6283,IF(D6283=0,H6283,Rho*I6282+SQRT(1-Rho^2)*H6283),"")</f>
        <v/>
      </c>
      <c r="J6283">
        <f>IF(B6283,IF(Dist="Normal",DistA+DistB*I6283,DistA+(DistB-DistA)*NORMSDIST(I6283)),"")</f>
        <v/>
      </c>
      <c r="K6283">
        <f>IF(B6283,INDEX(MineScale,C6283),"")</f>
        <v/>
      </c>
      <c r="L6283">
        <f>IF(B6283,INDEX(Dow,1,WEEKDAY(E6283,2)),"")</f>
        <v/>
      </c>
      <c r="M6283">
        <f>IF(B6283,(1+Trend)^D6283,"")</f>
        <v/>
      </c>
      <c r="N6283">
        <f>IF(B6283,EXP(SUMPRODUCT(LN(1+(EvEff-1)*INDEX(Affected,0,C6283)*EXP(-((E6283-EvCenter)^2)/(2*EvSigma^2))))),"")</f>
        <v/>
      </c>
      <c r="O6283">
        <f>IF(B6283,ROUND(MAX(0,J6283*K6283*L6283*M6283*N6283),2),"")</f>
        <v/>
      </c>
    </row>
    <row r="6284">
      <c r="A6284" t="n">
        <v>6283</v>
      </c>
      <c r="B6284">
        <f>A6284&lt;=MineCount*Days</f>
        <v/>
      </c>
      <c r="C6284">
        <f>IF(B6284,INT((A6284-1)/Days)+1,"")</f>
        <v/>
      </c>
      <c r="D6284">
        <f>IF(B6284,MOD(A6284-1,Days),"")</f>
        <v/>
      </c>
      <c r="E6284" s="16">
        <f>IF(B6284,StartDate+D6284,"")</f>
        <v/>
      </c>
      <c r="F6284">
        <f>IF(B6284,MAX(MOD(SIN(Seed*0.1373+C6284*12.9898+D6284*78.233)*43758.5453,1),1E-9),"")</f>
        <v/>
      </c>
      <c r="G6284">
        <f>IF(B6284,MOD(SIN(Seed*0.5917+C6284*39.3468+D6284*11.135)*24634.6345,1),"")</f>
        <v/>
      </c>
      <c r="H6284">
        <f>IF(B6284,SQRT(-2*LN(F6284))*COS(2*PI()*G6284),"")</f>
        <v/>
      </c>
      <c r="I6284">
        <f>IF(B6284,IF(D6284=0,H6284,Rho*I6283+SQRT(1-Rho^2)*H6284),"")</f>
        <v/>
      </c>
      <c r="J6284">
        <f>IF(B6284,IF(Dist="Normal",DistA+DistB*I6284,DistA+(DistB-DistA)*NORMSDIST(I6284)),"")</f>
        <v/>
      </c>
      <c r="K6284">
        <f>IF(B6284,INDEX(MineScale,C6284),"")</f>
        <v/>
      </c>
      <c r="L6284">
        <f>IF(B6284,INDEX(Dow,1,WEEKDAY(E6284,2)),"")</f>
        <v/>
      </c>
      <c r="M6284">
        <f>IF(B6284,(1+Trend)^D6284,"")</f>
        <v/>
      </c>
      <c r="N6284">
        <f>IF(B6284,EXP(SUMPRODUCT(LN(1+(EvEff-1)*INDEX(Affected,0,C6284)*EXP(-((E6284-EvCenter)^2)/(2*EvSigma^2))))),"")</f>
        <v/>
      </c>
      <c r="O6284">
        <f>IF(B6284,ROUND(MAX(0,J6284*K6284*L6284*M6284*N6284),2),"")</f>
        <v/>
      </c>
    </row>
    <row r="6285">
      <c r="A6285" t="n">
        <v>6284</v>
      </c>
      <c r="B6285">
        <f>A6285&lt;=MineCount*Days</f>
        <v/>
      </c>
      <c r="C6285">
        <f>IF(B6285,INT((A6285-1)/Days)+1,"")</f>
        <v/>
      </c>
      <c r="D6285">
        <f>IF(B6285,MOD(A6285-1,Days),"")</f>
        <v/>
      </c>
      <c r="E6285" s="16">
        <f>IF(B6285,StartDate+D6285,"")</f>
        <v/>
      </c>
      <c r="F6285">
        <f>IF(B6285,MAX(MOD(SIN(Seed*0.1373+C6285*12.9898+D6285*78.233)*43758.5453,1),1E-9),"")</f>
        <v/>
      </c>
      <c r="G6285">
        <f>IF(B6285,MOD(SIN(Seed*0.5917+C6285*39.3468+D6285*11.135)*24634.6345,1),"")</f>
        <v/>
      </c>
      <c r="H6285">
        <f>IF(B6285,SQRT(-2*LN(F6285))*COS(2*PI()*G6285),"")</f>
        <v/>
      </c>
      <c r="I6285">
        <f>IF(B6285,IF(D6285=0,H6285,Rho*I6284+SQRT(1-Rho^2)*H6285),"")</f>
        <v/>
      </c>
      <c r="J6285">
        <f>IF(B6285,IF(Dist="Normal",DistA+DistB*I6285,DistA+(DistB-DistA)*NORMSDIST(I6285)),"")</f>
        <v/>
      </c>
      <c r="K6285">
        <f>IF(B6285,INDEX(MineScale,C6285),"")</f>
        <v/>
      </c>
      <c r="L6285">
        <f>IF(B6285,INDEX(Dow,1,WEEKDAY(E6285,2)),"")</f>
        <v/>
      </c>
      <c r="M6285">
        <f>IF(B6285,(1+Trend)^D6285,"")</f>
        <v/>
      </c>
      <c r="N6285">
        <f>IF(B6285,EXP(SUMPRODUCT(LN(1+(EvEff-1)*INDEX(Affected,0,C6285)*EXP(-((E6285-EvCenter)^2)/(2*EvSigma^2))))),"")</f>
        <v/>
      </c>
      <c r="O6285">
        <f>IF(B6285,ROUND(MAX(0,J6285*K6285*L6285*M6285*N6285),2),"")</f>
        <v/>
      </c>
    </row>
    <row r="6286">
      <c r="A6286" t="n">
        <v>6285</v>
      </c>
      <c r="B6286">
        <f>A6286&lt;=MineCount*Days</f>
        <v/>
      </c>
      <c r="C6286">
        <f>IF(B6286,INT((A6286-1)/Days)+1,"")</f>
        <v/>
      </c>
      <c r="D6286">
        <f>IF(B6286,MOD(A6286-1,Days),"")</f>
        <v/>
      </c>
      <c r="E6286" s="16">
        <f>IF(B6286,StartDate+D6286,"")</f>
        <v/>
      </c>
      <c r="F6286">
        <f>IF(B6286,MAX(MOD(SIN(Seed*0.1373+C6286*12.9898+D6286*78.233)*43758.5453,1),1E-9),"")</f>
        <v/>
      </c>
      <c r="G6286">
        <f>IF(B6286,MOD(SIN(Seed*0.5917+C6286*39.3468+D6286*11.135)*24634.6345,1),"")</f>
        <v/>
      </c>
      <c r="H6286">
        <f>IF(B6286,SQRT(-2*LN(F6286))*COS(2*PI()*G6286),"")</f>
        <v/>
      </c>
      <c r="I6286">
        <f>IF(B6286,IF(D6286=0,H6286,Rho*I6285+SQRT(1-Rho^2)*H6286),"")</f>
        <v/>
      </c>
      <c r="J6286">
        <f>IF(B6286,IF(Dist="Normal",DistA+DistB*I6286,DistA+(DistB-DistA)*NORMSDIST(I6286)),"")</f>
        <v/>
      </c>
      <c r="K6286">
        <f>IF(B6286,INDEX(MineScale,C6286),"")</f>
        <v/>
      </c>
      <c r="L6286">
        <f>IF(B6286,INDEX(Dow,1,WEEKDAY(E6286,2)),"")</f>
        <v/>
      </c>
      <c r="M6286">
        <f>IF(B6286,(1+Trend)^D6286,"")</f>
        <v/>
      </c>
      <c r="N6286">
        <f>IF(B6286,EXP(SUMPRODUCT(LN(1+(EvEff-1)*INDEX(Affected,0,C6286)*EXP(-((E6286-EvCenter)^2)/(2*EvSigma^2))))),"")</f>
        <v/>
      </c>
      <c r="O6286">
        <f>IF(B6286,ROUND(MAX(0,J6286*K6286*L6286*M6286*N6286),2),"")</f>
        <v/>
      </c>
    </row>
    <row r="6287">
      <c r="A6287" t="n">
        <v>6286</v>
      </c>
      <c r="B6287">
        <f>A6287&lt;=MineCount*Days</f>
        <v/>
      </c>
      <c r="C6287">
        <f>IF(B6287,INT((A6287-1)/Days)+1,"")</f>
        <v/>
      </c>
      <c r="D6287">
        <f>IF(B6287,MOD(A6287-1,Days),"")</f>
        <v/>
      </c>
      <c r="E6287" s="16">
        <f>IF(B6287,StartDate+D6287,"")</f>
        <v/>
      </c>
      <c r="F6287">
        <f>IF(B6287,MAX(MOD(SIN(Seed*0.1373+C6287*12.9898+D6287*78.233)*43758.5453,1),1E-9),"")</f>
        <v/>
      </c>
      <c r="G6287">
        <f>IF(B6287,MOD(SIN(Seed*0.5917+C6287*39.3468+D6287*11.135)*24634.6345,1),"")</f>
        <v/>
      </c>
      <c r="H6287">
        <f>IF(B6287,SQRT(-2*LN(F6287))*COS(2*PI()*G6287),"")</f>
        <v/>
      </c>
      <c r="I6287">
        <f>IF(B6287,IF(D6287=0,H6287,Rho*I6286+SQRT(1-Rho^2)*H6287),"")</f>
        <v/>
      </c>
      <c r="J6287">
        <f>IF(B6287,IF(Dist="Normal",DistA+DistB*I6287,DistA+(DistB-DistA)*NORMSDIST(I6287)),"")</f>
        <v/>
      </c>
      <c r="K6287">
        <f>IF(B6287,INDEX(MineScale,C6287),"")</f>
        <v/>
      </c>
      <c r="L6287">
        <f>IF(B6287,INDEX(Dow,1,WEEKDAY(E6287,2)),"")</f>
        <v/>
      </c>
      <c r="M6287">
        <f>IF(B6287,(1+Trend)^D6287,"")</f>
        <v/>
      </c>
      <c r="N6287">
        <f>IF(B6287,EXP(SUMPRODUCT(LN(1+(EvEff-1)*INDEX(Affected,0,C6287)*EXP(-((E6287-EvCenter)^2)/(2*EvSigma^2))))),"")</f>
        <v/>
      </c>
      <c r="O6287">
        <f>IF(B6287,ROUND(MAX(0,J6287*K6287*L6287*M6287*N6287),2),"")</f>
        <v/>
      </c>
    </row>
    <row r="6288">
      <c r="A6288" t="n">
        <v>6287</v>
      </c>
      <c r="B6288">
        <f>A6288&lt;=MineCount*Days</f>
        <v/>
      </c>
      <c r="C6288">
        <f>IF(B6288,INT((A6288-1)/Days)+1,"")</f>
        <v/>
      </c>
      <c r="D6288">
        <f>IF(B6288,MOD(A6288-1,Days),"")</f>
        <v/>
      </c>
      <c r="E6288" s="16">
        <f>IF(B6288,StartDate+D6288,"")</f>
        <v/>
      </c>
      <c r="F6288">
        <f>IF(B6288,MAX(MOD(SIN(Seed*0.1373+C6288*12.9898+D6288*78.233)*43758.5453,1),1E-9),"")</f>
        <v/>
      </c>
      <c r="G6288">
        <f>IF(B6288,MOD(SIN(Seed*0.5917+C6288*39.3468+D6288*11.135)*24634.6345,1),"")</f>
        <v/>
      </c>
      <c r="H6288">
        <f>IF(B6288,SQRT(-2*LN(F6288))*COS(2*PI()*G6288),"")</f>
        <v/>
      </c>
      <c r="I6288">
        <f>IF(B6288,IF(D6288=0,H6288,Rho*I6287+SQRT(1-Rho^2)*H6288),"")</f>
        <v/>
      </c>
      <c r="J6288">
        <f>IF(B6288,IF(Dist="Normal",DistA+DistB*I6288,DistA+(DistB-DistA)*NORMSDIST(I6288)),"")</f>
        <v/>
      </c>
      <c r="K6288">
        <f>IF(B6288,INDEX(MineScale,C6288),"")</f>
        <v/>
      </c>
      <c r="L6288">
        <f>IF(B6288,INDEX(Dow,1,WEEKDAY(E6288,2)),"")</f>
        <v/>
      </c>
      <c r="M6288">
        <f>IF(B6288,(1+Trend)^D6288,"")</f>
        <v/>
      </c>
      <c r="N6288">
        <f>IF(B6288,EXP(SUMPRODUCT(LN(1+(EvEff-1)*INDEX(Affected,0,C6288)*EXP(-((E6288-EvCenter)^2)/(2*EvSigma^2))))),"")</f>
        <v/>
      </c>
      <c r="O6288">
        <f>IF(B6288,ROUND(MAX(0,J6288*K6288*L6288*M6288*N6288),2),"")</f>
        <v/>
      </c>
    </row>
    <row r="6289">
      <c r="A6289" t="n">
        <v>6288</v>
      </c>
      <c r="B6289">
        <f>A6289&lt;=MineCount*Days</f>
        <v/>
      </c>
      <c r="C6289">
        <f>IF(B6289,INT((A6289-1)/Days)+1,"")</f>
        <v/>
      </c>
      <c r="D6289">
        <f>IF(B6289,MOD(A6289-1,Days),"")</f>
        <v/>
      </c>
      <c r="E6289" s="16">
        <f>IF(B6289,StartDate+D6289,"")</f>
        <v/>
      </c>
      <c r="F6289">
        <f>IF(B6289,MAX(MOD(SIN(Seed*0.1373+C6289*12.9898+D6289*78.233)*43758.5453,1),1E-9),"")</f>
        <v/>
      </c>
      <c r="G6289">
        <f>IF(B6289,MOD(SIN(Seed*0.5917+C6289*39.3468+D6289*11.135)*24634.6345,1),"")</f>
        <v/>
      </c>
      <c r="H6289">
        <f>IF(B6289,SQRT(-2*LN(F6289))*COS(2*PI()*G6289),"")</f>
        <v/>
      </c>
      <c r="I6289">
        <f>IF(B6289,IF(D6289=0,H6289,Rho*I6288+SQRT(1-Rho^2)*H6289),"")</f>
        <v/>
      </c>
      <c r="J6289">
        <f>IF(B6289,IF(Dist="Normal",DistA+DistB*I6289,DistA+(DistB-DistA)*NORMSDIST(I6289)),"")</f>
        <v/>
      </c>
      <c r="K6289">
        <f>IF(B6289,INDEX(MineScale,C6289),"")</f>
        <v/>
      </c>
      <c r="L6289">
        <f>IF(B6289,INDEX(Dow,1,WEEKDAY(E6289,2)),"")</f>
        <v/>
      </c>
      <c r="M6289">
        <f>IF(B6289,(1+Trend)^D6289,"")</f>
        <v/>
      </c>
      <c r="N6289">
        <f>IF(B6289,EXP(SUMPRODUCT(LN(1+(EvEff-1)*INDEX(Affected,0,C6289)*EXP(-((E6289-EvCenter)^2)/(2*EvSigma^2))))),"")</f>
        <v/>
      </c>
      <c r="O6289">
        <f>IF(B6289,ROUND(MAX(0,J6289*K6289*L6289*M6289*N6289),2),"")</f>
        <v/>
      </c>
    </row>
    <row r="6290">
      <c r="A6290" t="n">
        <v>6289</v>
      </c>
      <c r="B6290">
        <f>A6290&lt;=MineCount*Days</f>
        <v/>
      </c>
      <c r="C6290">
        <f>IF(B6290,INT((A6290-1)/Days)+1,"")</f>
        <v/>
      </c>
      <c r="D6290">
        <f>IF(B6290,MOD(A6290-1,Days),"")</f>
        <v/>
      </c>
      <c r="E6290" s="16">
        <f>IF(B6290,StartDate+D6290,"")</f>
        <v/>
      </c>
      <c r="F6290">
        <f>IF(B6290,MAX(MOD(SIN(Seed*0.1373+C6290*12.9898+D6290*78.233)*43758.5453,1),1E-9),"")</f>
        <v/>
      </c>
      <c r="G6290">
        <f>IF(B6290,MOD(SIN(Seed*0.5917+C6290*39.3468+D6290*11.135)*24634.6345,1),"")</f>
        <v/>
      </c>
      <c r="H6290">
        <f>IF(B6290,SQRT(-2*LN(F6290))*COS(2*PI()*G6290),"")</f>
        <v/>
      </c>
      <c r="I6290">
        <f>IF(B6290,IF(D6290=0,H6290,Rho*I6289+SQRT(1-Rho^2)*H6290),"")</f>
        <v/>
      </c>
      <c r="J6290">
        <f>IF(B6290,IF(Dist="Normal",DistA+DistB*I6290,DistA+(DistB-DistA)*NORMSDIST(I6290)),"")</f>
        <v/>
      </c>
      <c r="K6290">
        <f>IF(B6290,INDEX(MineScale,C6290),"")</f>
        <v/>
      </c>
      <c r="L6290">
        <f>IF(B6290,INDEX(Dow,1,WEEKDAY(E6290,2)),"")</f>
        <v/>
      </c>
      <c r="M6290">
        <f>IF(B6290,(1+Trend)^D6290,"")</f>
        <v/>
      </c>
      <c r="N6290">
        <f>IF(B6290,EXP(SUMPRODUCT(LN(1+(EvEff-1)*INDEX(Affected,0,C6290)*EXP(-((E6290-EvCenter)^2)/(2*EvSigma^2))))),"")</f>
        <v/>
      </c>
      <c r="O6290">
        <f>IF(B6290,ROUND(MAX(0,J6290*K6290*L6290*M6290*N6290),2),"")</f>
        <v/>
      </c>
    </row>
    <row r="6291">
      <c r="A6291" t="n">
        <v>6290</v>
      </c>
      <c r="B6291">
        <f>A6291&lt;=MineCount*Days</f>
        <v/>
      </c>
      <c r="C6291">
        <f>IF(B6291,INT((A6291-1)/Days)+1,"")</f>
        <v/>
      </c>
      <c r="D6291">
        <f>IF(B6291,MOD(A6291-1,Days),"")</f>
        <v/>
      </c>
      <c r="E6291" s="16">
        <f>IF(B6291,StartDate+D6291,"")</f>
        <v/>
      </c>
      <c r="F6291">
        <f>IF(B6291,MAX(MOD(SIN(Seed*0.1373+C6291*12.9898+D6291*78.233)*43758.5453,1),1E-9),"")</f>
        <v/>
      </c>
      <c r="G6291">
        <f>IF(B6291,MOD(SIN(Seed*0.5917+C6291*39.3468+D6291*11.135)*24634.6345,1),"")</f>
        <v/>
      </c>
      <c r="H6291">
        <f>IF(B6291,SQRT(-2*LN(F6291))*COS(2*PI()*G6291),"")</f>
        <v/>
      </c>
      <c r="I6291">
        <f>IF(B6291,IF(D6291=0,H6291,Rho*I6290+SQRT(1-Rho^2)*H6291),"")</f>
        <v/>
      </c>
      <c r="J6291">
        <f>IF(B6291,IF(Dist="Normal",DistA+DistB*I6291,DistA+(DistB-DistA)*NORMSDIST(I6291)),"")</f>
        <v/>
      </c>
      <c r="K6291">
        <f>IF(B6291,INDEX(MineScale,C6291),"")</f>
        <v/>
      </c>
      <c r="L6291">
        <f>IF(B6291,INDEX(Dow,1,WEEKDAY(E6291,2)),"")</f>
        <v/>
      </c>
      <c r="M6291">
        <f>IF(B6291,(1+Trend)^D6291,"")</f>
        <v/>
      </c>
      <c r="N6291">
        <f>IF(B6291,EXP(SUMPRODUCT(LN(1+(EvEff-1)*INDEX(Affected,0,C6291)*EXP(-((E6291-EvCenter)^2)/(2*EvSigma^2))))),"")</f>
        <v/>
      </c>
      <c r="O6291">
        <f>IF(B6291,ROUND(MAX(0,J6291*K6291*L6291*M6291*N6291),2),"")</f>
        <v/>
      </c>
    </row>
    <row r="6292">
      <c r="A6292" t="n">
        <v>6291</v>
      </c>
      <c r="B6292">
        <f>A6292&lt;=MineCount*Days</f>
        <v/>
      </c>
      <c r="C6292">
        <f>IF(B6292,INT((A6292-1)/Days)+1,"")</f>
        <v/>
      </c>
      <c r="D6292">
        <f>IF(B6292,MOD(A6292-1,Days),"")</f>
        <v/>
      </c>
      <c r="E6292" s="16">
        <f>IF(B6292,StartDate+D6292,"")</f>
        <v/>
      </c>
      <c r="F6292">
        <f>IF(B6292,MAX(MOD(SIN(Seed*0.1373+C6292*12.9898+D6292*78.233)*43758.5453,1),1E-9),"")</f>
        <v/>
      </c>
      <c r="G6292">
        <f>IF(B6292,MOD(SIN(Seed*0.5917+C6292*39.3468+D6292*11.135)*24634.6345,1),"")</f>
        <v/>
      </c>
      <c r="H6292">
        <f>IF(B6292,SQRT(-2*LN(F6292))*COS(2*PI()*G6292),"")</f>
        <v/>
      </c>
      <c r="I6292">
        <f>IF(B6292,IF(D6292=0,H6292,Rho*I6291+SQRT(1-Rho^2)*H6292),"")</f>
        <v/>
      </c>
      <c r="J6292">
        <f>IF(B6292,IF(Dist="Normal",DistA+DistB*I6292,DistA+(DistB-DistA)*NORMSDIST(I6292)),"")</f>
        <v/>
      </c>
      <c r="K6292">
        <f>IF(B6292,INDEX(MineScale,C6292),"")</f>
        <v/>
      </c>
      <c r="L6292">
        <f>IF(B6292,INDEX(Dow,1,WEEKDAY(E6292,2)),"")</f>
        <v/>
      </c>
      <c r="M6292">
        <f>IF(B6292,(1+Trend)^D6292,"")</f>
        <v/>
      </c>
      <c r="N6292">
        <f>IF(B6292,EXP(SUMPRODUCT(LN(1+(EvEff-1)*INDEX(Affected,0,C6292)*EXP(-((E6292-EvCenter)^2)/(2*EvSigma^2))))),"")</f>
        <v/>
      </c>
      <c r="O6292">
        <f>IF(B6292,ROUND(MAX(0,J6292*K6292*L6292*M6292*N6292),2),"")</f>
        <v/>
      </c>
    </row>
    <row r="6293">
      <c r="A6293" t="n">
        <v>6292</v>
      </c>
      <c r="B6293">
        <f>A6293&lt;=MineCount*Days</f>
        <v/>
      </c>
      <c r="C6293">
        <f>IF(B6293,INT((A6293-1)/Days)+1,"")</f>
        <v/>
      </c>
      <c r="D6293">
        <f>IF(B6293,MOD(A6293-1,Days),"")</f>
        <v/>
      </c>
      <c r="E6293" s="16">
        <f>IF(B6293,StartDate+D6293,"")</f>
        <v/>
      </c>
      <c r="F6293">
        <f>IF(B6293,MAX(MOD(SIN(Seed*0.1373+C6293*12.9898+D6293*78.233)*43758.5453,1),1E-9),"")</f>
        <v/>
      </c>
      <c r="G6293">
        <f>IF(B6293,MOD(SIN(Seed*0.5917+C6293*39.3468+D6293*11.135)*24634.6345,1),"")</f>
        <v/>
      </c>
      <c r="H6293">
        <f>IF(B6293,SQRT(-2*LN(F6293))*COS(2*PI()*G6293),"")</f>
        <v/>
      </c>
      <c r="I6293">
        <f>IF(B6293,IF(D6293=0,H6293,Rho*I6292+SQRT(1-Rho^2)*H6293),"")</f>
        <v/>
      </c>
      <c r="J6293">
        <f>IF(B6293,IF(Dist="Normal",DistA+DistB*I6293,DistA+(DistB-DistA)*NORMSDIST(I6293)),"")</f>
        <v/>
      </c>
      <c r="K6293">
        <f>IF(B6293,INDEX(MineScale,C6293),"")</f>
        <v/>
      </c>
      <c r="L6293">
        <f>IF(B6293,INDEX(Dow,1,WEEKDAY(E6293,2)),"")</f>
        <v/>
      </c>
      <c r="M6293">
        <f>IF(B6293,(1+Trend)^D6293,"")</f>
        <v/>
      </c>
      <c r="N6293">
        <f>IF(B6293,EXP(SUMPRODUCT(LN(1+(EvEff-1)*INDEX(Affected,0,C6293)*EXP(-((E6293-EvCenter)^2)/(2*EvSigma^2))))),"")</f>
        <v/>
      </c>
      <c r="O6293">
        <f>IF(B6293,ROUND(MAX(0,J6293*K6293*L6293*M6293*N6293),2),"")</f>
        <v/>
      </c>
    </row>
    <row r="6294">
      <c r="A6294" t="n">
        <v>6293</v>
      </c>
      <c r="B6294">
        <f>A6294&lt;=MineCount*Days</f>
        <v/>
      </c>
      <c r="C6294">
        <f>IF(B6294,INT((A6294-1)/Days)+1,"")</f>
        <v/>
      </c>
      <c r="D6294">
        <f>IF(B6294,MOD(A6294-1,Days),"")</f>
        <v/>
      </c>
      <c r="E6294" s="16">
        <f>IF(B6294,StartDate+D6294,"")</f>
        <v/>
      </c>
      <c r="F6294">
        <f>IF(B6294,MAX(MOD(SIN(Seed*0.1373+C6294*12.9898+D6294*78.233)*43758.5453,1),1E-9),"")</f>
        <v/>
      </c>
      <c r="G6294">
        <f>IF(B6294,MOD(SIN(Seed*0.5917+C6294*39.3468+D6294*11.135)*24634.6345,1),"")</f>
        <v/>
      </c>
      <c r="H6294">
        <f>IF(B6294,SQRT(-2*LN(F6294))*COS(2*PI()*G6294),"")</f>
        <v/>
      </c>
      <c r="I6294">
        <f>IF(B6294,IF(D6294=0,H6294,Rho*I6293+SQRT(1-Rho^2)*H6294),"")</f>
        <v/>
      </c>
      <c r="J6294">
        <f>IF(B6294,IF(Dist="Normal",DistA+DistB*I6294,DistA+(DistB-DistA)*NORMSDIST(I6294)),"")</f>
        <v/>
      </c>
      <c r="K6294">
        <f>IF(B6294,INDEX(MineScale,C6294),"")</f>
        <v/>
      </c>
      <c r="L6294">
        <f>IF(B6294,INDEX(Dow,1,WEEKDAY(E6294,2)),"")</f>
        <v/>
      </c>
      <c r="M6294">
        <f>IF(B6294,(1+Trend)^D6294,"")</f>
        <v/>
      </c>
      <c r="N6294">
        <f>IF(B6294,EXP(SUMPRODUCT(LN(1+(EvEff-1)*INDEX(Affected,0,C6294)*EXP(-((E6294-EvCenter)^2)/(2*EvSigma^2))))),"")</f>
        <v/>
      </c>
      <c r="O6294">
        <f>IF(B6294,ROUND(MAX(0,J6294*K6294*L6294*M6294*N6294),2),"")</f>
        <v/>
      </c>
    </row>
    <row r="6295">
      <c r="A6295" t="n">
        <v>6294</v>
      </c>
      <c r="B6295">
        <f>A6295&lt;=MineCount*Days</f>
        <v/>
      </c>
      <c r="C6295">
        <f>IF(B6295,INT((A6295-1)/Days)+1,"")</f>
        <v/>
      </c>
      <c r="D6295">
        <f>IF(B6295,MOD(A6295-1,Days),"")</f>
        <v/>
      </c>
      <c r="E6295" s="16">
        <f>IF(B6295,StartDate+D6295,"")</f>
        <v/>
      </c>
      <c r="F6295">
        <f>IF(B6295,MAX(MOD(SIN(Seed*0.1373+C6295*12.9898+D6295*78.233)*43758.5453,1),1E-9),"")</f>
        <v/>
      </c>
      <c r="G6295">
        <f>IF(B6295,MOD(SIN(Seed*0.5917+C6295*39.3468+D6295*11.135)*24634.6345,1),"")</f>
        <v/>
      </c>
      <c r="H6295">
        <f>IF(B6295,SQRT(-2*LN(F6295))*COS(2*PI()*G6295),"")</f>
        <v/>
      </c>
      <c r="I6295">
        <f>IF(B6295,IF(D6295=0,H6295,Rho*I6294+SQRT(1-Rho^2)*H6295),"")</f>
        <v/>
      </c>
      <c r="J6295">
        <f>IF(B6295,IF(Dist="Normal",DistA+DistB*I6295,DistA+(DistB-DistA)*NORMSDIST(I6295)),"")</f>
        <v/>
      </c>
      <c r="K6295">
        <f>IF(B6295,INDEX(MineScale,C6295),"")</f>
        <v/>
      </c>
      <c r="L6295">
        <f>IF(B6295,INDEX(Dow,1,WEEKDAY(E6295,2)),"")</f>
        <v/>
      </c>
      <c r="M6295">
        <f>IF(B6295,(1+Trend)^D6295,"")</f>
        <v/>
      </c>
      <c r="N6295">
        <f>IF(B6295,EXP(SUMPRODUCT(LN(1+(EvEff-1)*INDEX(Affected,0,C6295)*EXP(-((E6295-EvCenter)^2)/(2*EvSigma^2))))),"")</f>
        <v/>
      </c>
      <c r="O6295">
        <f>IF(B6295,ROUND(MAX(0,J6295*K6295*L6295*M6295*N6295),2),"")</f>
        <v/>
      </c>
    </row>
    <row r="6296">
      <c r="A6296" t="n">
        <v>6295</v>
      </c>
      <c r="B6296">
        <f>A6296&lt;=MineCount*Days</f>
        <v/>
      </c>
      <c r="C6296">
        <f>IF(B6296,INT((A6296-1)/Days)+1,"")</f>
        <v/>
      </c>
      <c r="D6296">
        <f>IF(B6296,MOD(A6296-1,Days),"")</f>
        <v/>
      </c>
      <c r="E6296" s="16">
        <f>IF(B6296,StartDate+D6296,"")</f>
        <v/>
      </c>
      <c r="F6296">
        <f>IF(B6296,MAX(MOD(SIN(Seed*0.1373+C6296*12.9898+D6296*78.233)*43758.5453,1),1E-9),"")</f>
        <v/>
      </c>
      <c r="G6296">
        <f>IF(B6296,MOD(SIN(Seed*0.5917+C6296*39.3468+D6296*11.135)*24634.6345,1),"")</f>
        <v/>
      </c>
      <c r="H6296">
        <f>IF(B6296,SQRT(-2*LN(F6296))*COS(2*PI()*G6296),"")</f>
        <v/>
      </c>
      <c r="I6296">
        <f>IF(B6296,IF(D6296=0,H6296,Rho*I6295+SQRT(1-Rho^2)*H6296),"")</f>
        <v/>
      </c>
      <c r="J6296">
        <f>IF(B6296,IF(Dist="Normal",DistA+DistB*I6296,DistA+(DistB-DistA)*NORMSDIST(I6296)),"")</f>
        <v/>
      </c>
      <c r="K6296">
        <f>IF(B6296,INDEX(MineScale,C6296),"")</f>
        <v/>
      </c>
      <c r="L6296">
        <f>IF(B6296,INDEX(Dow,1,WEEKDAY(E6296,2)),"")</f>
        <v/>
      </c>
      <c r="M6296">
        <f>IF(B6296,(1+Trend)^D6296,"")</f>
        <v/>
      </c>
      <c r="N6296">
        <f>IF(B6296,EXP(SUMPRODUCT(LN(1+(EvEff-1)*INDEX(Affected,0,C6296)*EXP(-((E6296-EvCenter)^2)/(2*EvSigma^2))))),"")</f>
        <v/>
      </c>
      <c r="O6296">
        <f>IF(B6296,ROUND(MAX(0,J6296*K6296*L6296*M6296*N6296),2),"")</f>
        <v/>
      </c>
    </row>
    <row r="6297">
      <c r="A6297" t="n">
        <v>6296</v>
      </c>
      <c r="B6297">
        <f>A6297&lt;=MineCount*Days</f>
        <v/>
      </c>
      <c r="C6297">
        <f>IF(B6297,INT((A6297-1)/Days)+1,"")</f>
        <v/>
      </c>
      <c r="D6297">
        <f>IF(B6297,MOD(A6297-1,Days),"")</f>
        <v/>
      </c>
      <c r="E6297" s="16">
        <f>IF(B6297,StartDate+D6297,"")</f>
        <v/>
      </c>
      <c r="F6297">
        <f>IF(B6297,MAX(MOD(SIN(Seed*0.1373+C6297*12.9898+D6297*78.233)*43758.5453,1),1E-9),"")</f>
        <v/>
      </c>
      <c r="G6297">
        <f>IF(B6297,MOD(SIN(Seed*0.5917+C6297*39.3468+D6297*11.135)*24634.6345,1),"")</f>
        <v/>
      </c>
      <c r="H6297">
        <f>IF(B6297,SQRT(-2*LN(F6297))*COS(2*PI()*G6297),"")</f>
        <v/>
      </c>
      <c r="I6297">
        <f>IF(B6297,IF(D6297=0,H6297,Rho*I6296+SQRT(1-Rho^2)*H6297),"")</f>
        <v/>
      </c>
      <c r="J6297">
        <f>IF(B6297,IF(Dist="Normal",DistA+DistB*I6297,DistA+(DistB-DistA)*NORMSDIST(I6297)),"")</f>
        <v/>
      </c>
      <c r="K6297">
        <f>IF(B6297,INDEX(MineScale,C6297),"")</f>
        <v/>
      </c>
      <c r="L6297">
        <f>IF(B6297,INDEX(Dow,1,WEEKDAY(E6297,2)),"")</f>
        <v/>
      </c>
      <c r="M6297">
        <f>IF(B6297,(1+Trend)^D6297,"")</f>
        <v/>
      </c>
      <c r="N6297">
        <f>IF(B6297,EXP(SUMPRODUCT(LN(1+(EvEff-1)*INDEX(Affected,0,C6297)*EXP(-((E6297-EvCenter)^2)/(2*EvSigma^2))))),"")</f>
        <v/>
      </c>
      <c r="O6297">
        <f>IF(B6297,ROUND(MAX(0,J6297*K6297*L6297*M6297*N6297),2),"")</f>
        <v/>
      </c>
    </row>
    <row r="6298">
      <c r="A6298" t="n">
        <v>6297</v>
      </c>
      <c r="B6298">
        <f>A6298&lt;=MineCount*Days</f>
        <v/>
      </c>
      <c r="C6298">
        <f>IF(B6298,INT((A6298-1)/Days)+1,"")</f>
        <v/>
      </c>
      <c r="D6298">
        <f>IF(B6298,MOD(A6298-1,Days),"")</f>
        <v/>
      </c>
      <c r="E6298" s="16">
        <f>IF(B6298,StartDate+D6298,"")</f>
        <v/>
      </c>
      <c r="F6298">
        <f>IF(B6298,MAX(MOD(SIN(Seed*0.1373+C6298*12.9898+D6298*78.233)*43758.5453,1),1E-9),"")</f>
        <v/>
      </c>
      <c r="G6298">
        <f>IF(B6298,MOD(SIN(Seed*0.5917+C6298*39.3468+D6298*11.135)*24634.6345,1),"")</f>
        <v/>
      </c>
      <c r="H6298">
        <f>IF(B6298,SQRT(-2*LN(F6298))*COS(2*PI()*G6298),"")</f>
        <v/>
      </c>
      <c r="I6298">
        <f>IF(B6298,IF(D6298=0,H6298,Rho*I6297+SQRT(1-Rho^2)*H6298),"")</f>
        <v/>
      </c>
      <c r="J6298">
        <f>IF(B6298,IF(Dist="Normal",DistA+DistB*I6298,DistA+(DistB-DistA)*NORMSDIST(I6298)),"")</f>
        <v/>
      </c>
      <c r="K6298">
        <f>IF(B6298,INDEX(MineScale,C6298),"")</f>
        <v/>
      </c>
      <c r="L6298">
        <f>IF(B6298,INDEX(Dow,1,WEEKDAY(E6298,2)),"")</f>
        <v/>
      </c>
      <c r="M6298">
        <f>IF(B6298,(1+Trend)^D6298,"")</f>
        <v/>
      </c>
      <c r="N6298">
        <f>IF(B6298,EXP(SUMPRODUCT(LN(1+(EvEff-1)*INDEX(Affected,0,C6298)*EXP(-((E6298-EvCenter)^2)/(2*EvSigma^2))))),"")</f>
        <v/>
      </c>
      <c r="O6298">
        <f>IF(B6298,ROUND(MAX(0,J6298*K6298*L6298*M6298*N6298),2),"")</f>
        <v/>
      </c>
    </row>
    <row r="6299">
      <c r="A6299" t="n">
        <v>6298</v>
      </c>
      <c r="B6299">
        <f>A6299&lt;=MineCount*Days</f>
        <v/>
      </c>
      <c r="C6299">
        <f>IF(B6299,INT((A6299-1)/Days)+1,"")</f>
        <v/>
      </c>
      <c r="D6299">
        <f>IF(B6299,MOD(A6299-1,Days),"")</f>
        <v/>
      </c>
      <c r="E6299" s="16">
        <f>IF(B6299,StartDate+D6299,"")</f>
        <v/>
      </c>
      <c r="F6299">
        <f>IF(B6299,MAX(MOD(SIN(Seed*0.1373+C6299*12.9898+D6299*78.233)*43758.5453,1),1E-9),"")</f>
        <v/>
      </c>
      <c r="G6299">
        <f>IF(B6299,MOD(SIN(Seed*0.5917+C6299*39.3468+D6299*11.135)*24634.6345,1),"")</f>
        <v/>
      </c>
      <c r="H6299">
        <f>IF(B6299,SQRT(-2*LN(F6299))*COS(2*PI()*G6299),"")</f>
        <v/>
      </c>
      <c r="I6299">
        <f>IF(B6299,IF(D6299=0,H6299,Rho*I6298+SQRT(1-Rho^2)*H6299),"")</f>
        <v/>
      </c>
      <c r="J6299">
        <f>IF(B6299,IF(Dist="Normal",DistA+DistB*I6299,DistA+(DistB-DistA)*NORMSDIST(I6299)),"")</f>
        <v/>
      </c>
      <c r="K6299">
        <f>IF(B6299,INDEX(MineScale,C6299),"")</f>
        <v/>
      </c>
      <c r="L6299">
        <f>IF(B6299,INDEX(Dow,1,WEEKDAY(E6299,2)),"")</f>
        <v/>
      </c>
      <c r="M6299">
        <f>IF(B6299,(1+Trend)^D6299,"")</f>
        <v/>
      </c>
      <c r="N6299">
        <f>IF(B6299,EXP(SUMPRODUCT(LN(1+(EvEff-1)*INDEX(Affected,0,C6299)*EXP(-((E6299-EvCenter)^2)/(2*EvSigma^2))))),"")</f>
        <v/>
      </c>
      <c r="O6299">
        <f>IF(B6299,ROUND(MAX(0,J6299*K6299*L6299*M6299*N6299),2),"")</f>
        <v/>
      </c>
    </row>
    <row r="6300">
      <c r="A6300" t="n">
        <v>6299</v>
      </c>
      <c r="B6300">
        <f>A6300&lt;=MineCount*Days</f>
        <v/>
      </c>
      <c r="C6300">
        <f>IF(B6300,INT((A6300-1)/Days)+1,"")</f>
        <v/>
      </c>
      <c r="D6300">
        <f>IF(B6300,MOD(A6300-1,Days),"")</f>
        <v/>
      </c>
      <c r="E6300" s="16">
        <f>IF(B6300,StartDate+D6300,"")</f>
        <v/>
      </c>
      <c r="F6300">
        <f>IF(B6300,MAX(MOD(SIN(Seed*0.1373+C6300*12.9898+D6300*78.233)*43758.5453,1),1E-9),"")</f>
        <v/>
      </c>
      <c r="G6300">
        <f>IF(B6300,MOD(SIN(Seed*0.5917+C6300*39.3468+D6300*11.135)*24634.6345,1),"")</f>
        <v/>
      </c>
      <c r="H6300">
        <f>IF(B6300,SQRT(-2*LN(F6300))*COS(2*PI()*G6300),"")</f>
        <v/>
      </c>
      <c r="I6300">
        <f>IF(B6300,IF(D6300=0,H6300,Rho*I6299+SQRT(1-Rho^2)*H6300),"")</f>
        <v/>
      </c>
      <c r="J6300">
        <f>IF(B6300,IF(Dist="Normal",DistA+DistB*I6300,DistA+(DistB-DistA)*NORMSDIST(I6300)),"")</f>
        <v/>
      </c>
      <c r="K6300">
        <f>IF(B6300,INDEX(MineScale,C6300),"")</f>
        <v/>
      </c>
      <c r="L6300">
        <f>IF(B6300,INDEX(Dow,1,WEEKDAY(E6300,2)),"")</f>
        <v/>
      </c>
      <c r="M6300">
        <f>IF(B6300,(1+Trend)^D6300,"")</f>
        <v/>
      </c>
      <c r="N6300">
        <f>IF(B6300,EXP(SUMPRODUCT(LN(1+(EvEff-1)*INDEX(Affected,0,C6300)*EXP(-((E6300-EvCenter)^2)/(2*EvSigma^2))))),"")</f>
        <v/>
      </c>
      <c r="O6300">
        <f>IF(B6300,ROUND(MAX(0,J6300*K6300*L6300*M6300*N6300),2),"")</f>
        <v/>
      </c>
    </row>
    <row r="6301">
      <c r="A6301" t="n">
        <v>6300</v>
      </c>
      <c r="B6301">
        <f>A6301&lt;=MineCount*Days</f>
        <v/>
      </c>
      <c r="C6301">
        <f>IF(B6301,INT((A6301-1)/Days)+1,"")</f>
        <v/>
      </c>
      <c r="D6301">
        <f>IF(B6301,MOD(A6301-1,Days),"")</f>
        <v/>
      </c>
      <c r="E6301" s="16">
        <f>IF(B6301,StartDate+D6301,"")</f>
        <v/>
      </c>
      <c r="F6301">
        <f>IF(B6301,MAX(MOD(SIN(Seed*0.1373+C6301*12.9898+D6301*78.233)*43758.5453,1),1E-9),"")</f>
        <v/>
      </c>
      <c r="G6301">
        <f>IF(B6301,MOD(SIN(Seed*0.5917+C6301*39.3468+D6301*11.135)*24634.6345,1),"")</f>
        <v/>
      </c>
      <c r="H6301">
        <f>IF(B6301,SQRT(-2*LN(F6301))*COS(2*PI()*G6301),"")</f>
        <v/>
      </c>
      <c r="I6301">
        <f>IF(B6301,IF(D6301=0,H6301,Rho*I6300+SQRT(1-Rho^2)*H6301),"")</f>
        <v/>
      </c>
      <c r="J6301">
        <f>IF(B6301,IF(Dist="Normal",DistA+DistB*I6301,DistA+(DistB-DistA)*NORMSDIST(I6301)),"")</f>
        <v/>
      </c>
      <c r="K6301">
        <f>IF(B6301,INDEX(MineScale,C6301),"")</f>
        <v/>
      </c>
      <c r="L6301">
        <f>IF(B6301,INDEX(Dow,1,WEEKDAY(E6301,2)),"")</f>
        <v/>
      </c>
      <c r="M6301">
        <f>IF(B6301,(1+Trend)^D6301,"")</f>
        <v/>
      </c>
      <c r="N6301">
        <f>IF(B6301,EXP(SUMPRODUCT(LN(1+(EvEff-1)*INDEX(Affected,0,C6301)*EXP(-((E6301-EvCenter)^2)/(2*EvSigma^2))))),"")</f>
        <v/>
      </c>
      <c r="O6301">
        <f>IF(B6301,ROUND(MAX(0,J6301*K6301*L6301*M6301*N6301),2),"")</f>
        <v/>
      </c>
    </row>
    <row r="6302">
      <c r="A6302" t="n">
        <v>6301</v>
      </c>
      <c r="B6302">
        <f>A6302&lt;=MineCount*Days</f>
        <v/>
      </c>
      <c r="C6302">
        <f>IF(B6302,INT((A6302-1)/Days)+1,"")</f>
        <v/>
      </c>
      <c r="D6302">
        <f>IF(B6302,MOD(A6302-1,Days),"")</f>
        <v/>
      </c>
      <c r="E6302" s="16">
        <f>IF(B6302,StartDate+D6302,"")</f>
        <v/>
      </c>
      <c r="F6302">
        <f>IF(B6302,MAX(MOD(SIN(Seed*0.1373+C6302*12.9898+D6302*78.233)*43758.5453,1),1E-9),"")</f>
        <v/>
      </c>
      <c r="G6302">
        <f>IF(B6302,MOD(SIN(Seed*0.5917+C6302*39.3468+D6302*11.135)*24634.6345,1),"")</f>
        <v/>
      </c>
      <c r="H6302">
        <f>IF(B6302,SQRT(-2*LN(F6302))*COS(2*PI()*G6302),"")</f>
        <v/>
      </c>
      <c r="I6302">
        <f>IF(B6302,IF(D6302=0,H6302,Rho*I6301+SQRT(1-Rho^2)*H6302),"")</f>
        <v/>
      </c>
      <c r="J6302">
        <f>IF(B6302,IF(Dist="Normal",DistA+DistB*I6302,DistA+(DistB-DistA)*NORMSDIST(I6302)),"")</f>
        <v/>
      </c>
      <c r="K6302">
        <f>IF(B6302,INDEX(MineScale,C6302),"")</f>
        <v/>
      </c>
      <c r="L6302">
        <f>IF(B6302,INDEX(Dow,1,WEEKDAY(E6302,2)),"")</f>
        <v/>
      </c>
      <c r="M6302">
        <f>IF(B6302,(1+Trend)^D6302,"")</f>
        <v/>
      </c>
      <c r="N6302">
        <f>IF(B6302,EXP(SUMPRODUCT(LN(1+(EvEff-1)*INDEX(Affected,0,C6302)*EXP(-((E6302-EvCenter)^2)/(2*EvSigma^2))))),"")</f>
        <v/>
      </c>
      <c r="O6302">
        <f>IF(B6302,ROUND(MAX(0,J6302*K6302*L6302*M6302*N6302),2),"")</f>
        <v/>
      </c>
    </row>
    <row r="6303">
      <c r="A6303" t="n">
        <v>6302</v>
      </c>
      <c r="B6303">
        <f>A6303&lt;=MineCount*Days</f>
        <v/>
      </c>
      <c r="C6303">
        <f>IF(B6303,INT((A6303-1)/Days)+1,"")</f>
        <v/>
      </c>
      <c r="D6303">
        <f>IF(B6303,MOD(A6303-1,Days),"")</f>
        <v/>
      </c>
      <c r="E6303" s="16">
        <f>IF(B6303,StartDate+D6303,"")</f>
        <v/>
      </c>
      <c r="F6303">
        <f>IF(B6303,MAX(MOD(SIN(Seed*0.1373+C6303*12.9898+D6303*78.233)*43758.5453,1),1E-9),"")</f>
        <v/>
      </c>
      <c r="G6303">
        <f>IF(B6303,MOD(SIN(Seed*0.5917+C6303*39.3468+D6303*11.135)*24634.6345,1),"")</f>
        <v/>
      </c>
      <c r="H6303">
        <f>IF(B6303,SQRT(-2*LN(F6303))*COS(2*PI()*G6303),"")</f>
        <v/>
      </c>
      <c r="I6303">
        <f>IF(B6303,IF(D6303=0,H6303,Rho*I6302+SQRT(1-Rho^2)*H6303),"")</f>
        <v/>
      </c>
      <c r="J6303">
        <f>IF(B6303,IF(Dist="Normal",DistA+DistB*I6303,DistA+(DistB-DistA)*NORMSDIST(I6303)),"")</f>
        <v/>
      </c>
      <c r="K6303">
        <f>IF(B6303,INDEX(MineScale,C6303),"")</f>
        <v/>
      </c>
      <c r="L6303">
        <f>IF(B6303,INDEX(Dow,1,WEEKDAY(E6303,2)),"")</f>
        <v/>
      </c>
      <c r="M6303">
        <f>IF(B6303,(1+Trend)^D6303,"")</f>
        <v/>
      </c>
      <c r="N6303">
        <f>IF(B6303,EXP(SUMPRODUCT(LN(1+(EvEff-1)*INDEX(Affected,0,C6303)*EXP(-((E6303-EvCenter)^2)/(2*EvSigma^2))))),"")</f>
        <v/>
      </c>
      <c r="O6303">
        <f>IF(B6303,ROUND(MAX(0,J6303*K6303*L6303*M6303*N6303),2),"")</f>
        <v/>
      </c>
    </row>
    <row r="6304">
      <c r="A6304" t="n">
        <v>6303</v>
      </c>
      <c r="B6304">
        <f>A6304&lt;=MineCount*Days</f>
        <v/>
      </c>
      <c r="C6304">
        <f>IF(B6304,INT((A6304-1)/Days)+1,"")</f>
        <v/>
      </c>
      <c r="D6304">
        <f>IF(B6304,MOD(A6304-1,Days),"")</f>
        <v/>
      </c>
      <c r="E6304" s="16">
        <f>IF(B6304,StartDate+D6304,"")</f>
        <v/>
      </c>
      <c r="F6304">
        <f>IF(B6304,MAX(MOD(SIN(Seed*0.1373+C6304*12.9898+D6304*78.233)*43758.5453,1),1E-9),"")</f>
        <v/>
      </c>
      <c r="G6304">
        <f>IF(B6304,MOD(SIN(Seed*0.5917+C6304*39.3468+D6304*11.135)*24634.6345,1),"")</f>
        <v/>
      </c>
      <c r="H6304">
        <f>IF(B6304,SQRT(-2*LN(F6304))*COS(2*PI()*G6304),"")</f>
        <v/>
      </c>
      <c r="I6304">
        <f>IF(B6304,IF(D6304=0,H6304,Rho*I6303+SQRT(1-Rho^2)*H6304),"")</f>
        <v/>
      </c>
      <c r="J6304">
        <f>IF(B6304,IF(Dist="Normal",DistA+DistB*I6304,DistA+(DistB-DistA)*NORMSDIST(I6304)),"")</f>
        <v/>
      </c>
      <c r="K6304">
        <f>IF(B6304,INDEX(MineScale,C6304),"")</f>
        <v/>
      </c>
      <c r="L6304">
        <f>IF(B6304,INDEX(Dow,1,WEEKDAY(E6304,2)),"")</f>
        <v/>
      </c>
      <c r="M6304">
        <f>IF(B6304,(1+Trend)^D6304,"")</f>
        <v/>
      </c>
      <c r="N6304">
        <f>IF(B6304,EXP(SUMPRODUCT(LN(1+(EvEff-1)*INDEX(Affected,0,C6304)*EXP(-((E6304-EvCenter)^2)/(2*EvSigma^2))))),"")</f>
        <v/>
      </c>
      <c r="O6304">
        <f>IF(B6304,ROUND(MAX(0,J6304*K6304*L6304*M6304*N6304),2),"")</f>
        <v/>
      </c>
    </row>
    <row r="6305">
      <c r="A6305" t="n">
        <v>6304</v>
      </c>
      <c r="B6305">
        <f>A6305&lt;=MineCount*Days</f>
        <v/>
      </c>
      <c r="C6305">
        <f>IF(B6305,INT((A6305-1)/Days)+1,"")</f>
        <v/>
      </c>
      <c r="D6305">
        <f>IF(B6305,MOD(A6305-1,Days),"")</f>
        <v/>
      </c>
      <c r="E6305" s="16">
        <f>IF(B6305,StartDate+D6305,"")</f>
        <v/>
      </c>
      <c r="F6305">
        <f>IF(B6305,MAX(MOD(SIN(Seed*0.1373+C6305*12.9898+D6305*78.233)*43758.5453,1),1E-9),"")</f>
        <v/>
      </c>
      <c r="G6305">
        <f>IF(B6305,MOD(SIN(Seed*0.5917+C6305*39.3468+D6305*11.135)*24634.6345,1),"")</f>
        <v/>
      </c>
      <c r="H6305">
        <f>IF(B6305,SQRT(-2*LN(F6305))*COS(2*PI()*G6305),"")</f>
        <v/>
      </c>
      <c r="I6305">
        <f>IF(B6305,IF(D6305=0,H6305,Rho*I6304+SQRT(1-Rho^2)*H6305),"")</f>
        <v/>
      </c>
      <c r="J6305">
        <f>IF(B6305,IF(Dist="Normal",DistA+DistB*I6305,DistA+(DistB-DistA)*NORMSDIST(I6305)),"")</f>
        <v/>
      </c>
      <c r="K6305">
        <f>IF(B6305,INDEX(MineScale,C6305),"")</f>
        <v/>
      </c>
      <c r="L6305">
        <f>IF(B6305,INDEX(Dow,1,WEEKDAY(E6305,2)),"")</f>
        <v/>
      </c>
      <c r="M6305">
        <f>IF(B6305,(1+Trend)^D6305,"")</f>
        <v/>
      </c>
      <c r="N6305">
        <f>IF(B6305,EXP(SUMPRODUCT(LN(1+(EvEff-1)*INDEX(Affected,0,C6305)*EXP(-((E6305-EvCenter)^2)/(2*EvSigma^2))))),"")</f>
        <v/>
      </c>
      <c r="O6305">
        <f>IF(B6305,ROUND(MAX(0,J6305*K6305*L6305*M6305*N6305),2),"")</f>
        <v/>
      </c>
    </row>
    <row r="6306">
      <c r="A6306" t="n">
        <v>6305</v>
      </c>
      <c r="B6306">
        <f>A6306&lt;=MineCount*Days</f>
        <v/>
      </c>
      <c r="C6306">
        <f>IF(B6306,INT((A6306-1)/Days)+1,"")</f>
        <v/>
      </c>
      <c r="D6306">
        <f>IF(B6306,MOD(A6306-1,Days),"")</f>
        <v/>
      </c>
      <c r="E6306" s="16">
        <f>IF(B6306,StartDate+D6306,"")</f>
        <v/>
      </c>
      <c r="F6306">
        <f>IF(B6306,MAX(MOD(SIN(Seed*0.1373+C6306*12.9898+D6306*78.233)*43758.5453,1),1E-9),"")</f>
        <v/>
      </c>
      <c r="G6306">
        <f>IF(B6306,MOD(SIN(Seed*0.5917+C6306*39.3468+D6306*11.135)*24634.6345,1),"")</f>
        <v/>
      </c>
      <c r="H6306">
        <f>IF(B6306,SQRT(-2*LN(F6306))*COS(2*PI()*G6306),"")</f>
        <v/>
      </c>
      <c r="I6306">
        <f>IF(B6306,IF(D6306=0,H6306,Rho*I6305+SQRT(1-Rho^2)*H6306),"")</f>
        <v/>
      </c>
      <c r="J6306">
        <f>IF(B6306,IF(Dist="Normal",DistA+DistB*I6306,DistA+(DistB-DistA)*NORMSDIST(I6306)),"")</f>
        <v/>
      </c>
      <c r="K6306">
        <f>IF(B6306,INDEX(MineScale,C6306),"")</f>
        <v/>
      </c>
      <c r="L6306">
        <f>IF(B6306,INDEX(Dow,1,WEEKDAY(E6306,2)),"")</f>
        <v/>
      </c>
      <c r="M6306">
        <f>IF(B6306,(1+Trend)^D6306,"")</f>
        <v/>
      </c>
      <c r="N6306">
        <f>IF(B6306,EXP(SUMPRODUCT(LN(1+(EvEff-1)*INDEX(Affected,0,C6306)*EXP(-((E6306-EvCenter)^2)/(2*EvSigma^2))))),"")</f>
        <v/>
      </c>
      <c r="O6306">
        <f>IF(B6306,ROUND(MAX(0,J6306*K6306*L6306*M6306*N6306),2),"")</f>
        <v/>
      </c>
    </row>
    <row r="6307">
      <c r="A6307" t="n">
        <v>6306</v>
      </c>
      <c r="B6307">
        <f>A6307&lt;=MineCount*Days</f>
        <v/>
      </c>
      <c r="C6307">
        <f>IF(B6307,INT((A6307-1)/Days)+1,"")</f>
        <v/>
      </c>
      <c r="D6307">
        <f>IF(B6307,MOD(A6307-1,Days),"")</f>
        <v/>
      </c>
      <c r="E6307" s="16">
        <f>IF(B6307,StartDate+D6307,"")</f>
        <v/>
      </c>
      <c r="F6307">
        <f>IF(B6307,MAX(MOD(SIN(Seed*0.1373+C6307*12.9898+D6307*78.233)*43758.5453,1),1E-9),"")</f>
        <v/>
      </c>
      <c r="G6307">
        <f>IF(B6307,MOD(SIN(Seed*0.5917+C6307*39.3468+D6307*11.135)*24634.6345,1),"")</f>
        <v/>
      </c>
      <c r="H6307">
        <f>IF(B6307,SQRT(-2*LN(F6307))*COS(2*PI()*G6307),"")</f>
        <v/>
      </c>
      <c r="I6307">
        <f>IF(B6307,IF(D6307=0,H6307,Rho*I6306+SQRT(1-Rho^2)*H6307),"")</f>
        <v/>
      </c>
      <c r="J6307">
        <f>IF(B6307,IF(Dist="Normal",DistA+DistB*I6307,DistA+(DistB-DistA)*NORMSDIST(I6307)),"")</f>
        <v/>
      </c>
      <c r="K6307">
        <f>IF(B6307,INDEX(MineScale,C6307),"")</f>
        <v/>
      </c>
      <c r="L6307">
        <f>IF(B6307,INDEX(Dow,1,WEEKDAY(E6307,2)),"")</f>
        <v/>
      </c>
      <c r="M6307">
        <f>IF(B6307,(1+Trend)^D6307,"")</f>
        <v/>
      </c>
      <c r="N6307">
        <f>IF(B6307,EXP(SUMPRODUCT(LN(1+(EvEff-1)*INDEX(Affected,0,C6307)*EXP(-((E6307-EvCenter)^2)/(2*EvSigma^2))))),"")</f>
        <v/>
      </c>
      <c r="O6307">
        <f>IF(B6307,ROUND(MAX(0,J6307*K6307*L6307*M6307*N6307),2),"")</f>
        <v/>
      </c>
    </row>
    <row r="6308">
      <c r="A6308" t="n">
        <v>6307</v>
      </c>
      <c r="B6308">
        <f>A6308&lt;=MineCount*Days</f>
        <v/>
      </c>
      <c r="C6308">
        <f>IF(B6308,INT((A6308-1)/Days)+1,"")</f>
        <v/>
      </c>
      <c r="D6308">
        <f>IF(B6308,MOD(A6308-1,Days),"")</f>
        <v/>
      </c>
      <c r="E6308" s="16">
        <f>IF(B6308,StartDate+D6308,"")</f>
        <v/>
      </c>
      <c r="F6308">
        <f>IF(B6308,MAX(MOD(SIN(Seed*0.1373+C6308*12.9898+D6308*78.233)*43758.5453,1),1E-9),"")</f>
        <v/>
      </c>
      <c r="G6308">
        <f>IF(B6308,MOD(SIN(Seed*0.5917+C6308*39.3468+D6308*11.135)*24634.6345,1),"")</f>
        <v/>
      </c>
      <c r="H6308">
        <f>IF(B6308,SQRT(-2*LN(F6308))*COS(2*PI()*G6308),"")</f>
        <v/>
      </c>
      <c r="I6308">
        <f>IF(B6308,IF(D6308=0,H6308,Rho*I6307+SQRT(1-Rho^2)*H6308),"")</f>
        <v/>
      </c>
      <c r="J6308">
        <f>IF(B6308,IF(Dist="Normal",DistA+DistB*I6308,DistA+(DistB-DistA)*NORMSDIST(I6308)),"")</f>
        <v/>
      </c>
      <c r="K6308">
        <f>IF(B6308,INDEX(MineScale,C6308),"")</f>
        <v/>
      </c>
      <c r="L6308">
        <f>IF(B6308,INDEX(Dow,1,WEEKDAY(E6308,2)),"")</f>
        <v/>
      </c>
      <c r="M6308">
        <f>IF(B6308,(1+Trend)^D6308,"")</f>
        <v/>
      </c>
      <c r="N6308">
        <f>IF(B6308,EXP(SUMPRODUCT(LN(1+(EvEff-1)*INDEX(Affected,0,C6308)*EXP(-((E6308-EvCenter)^2)/(2*EvSigma^2))))),"")</f>
        <v/>
      </c>
      <c r="O6308">
        <f>IF(B6308,ROUND(MAX(0,J6308*K6308*L6308*M6308*N6308),2),"")</f>
        <v/>
      </c>
    </row>
    <row r="6309">
      <c r="A6309" t="n">
        <v>6308</v>
      </c>
      <c r="B6309">
        <f>A6309&lt;=MineCount*Days</f>
        <v/>
      </c>
      <c r="C6309">
        <f>IF(B6309,INT((A6309-1)/Days)+1,"")</f>
        <v/>
      </c>
      <c r="D6309">
        <f>IF(B6309,MOD(A6309-1,Days),"")</f>
        <v/>
      </c>
      <c r="E6309" s="16">
        <f>IF(B6309,StartDate+D6309,"")</f>
        <v/>
      </c>
      <c r="F6309">
        <f>IF(B6309,MAX(MOD(SIN(Seed*0.1373+C6309*12.9898+D6309*78.233)*43758.5453,1),1E-9),"")</f>
        <v/>
      </c>
      <c r="G6309">
        <f>IF(B6309,MOD(SIN(Seed*0.5917+C6309*39.3468+D6309*11.135)*24634.6345,1),"")</f>
        <v/>
      </c>
      <c r="H6309">
        <f>IF(B6309,SQRT(-2*LN(F6309))*COS(2*PI()*G6309),"")</f>
        <v/>
      </c>
      <c r="I6309">
        <f>IF(B6309,IF(D6309=0,H6309,Rho*I6308+SQRT(1-Rho^2)*H6309),"")</f>
        <v/>
      </c>
      <c r="J6309">
        <f>IF(B6309,IF(Dist="Normal",DistA+DistB*I6309,DistA+(DistB-DistA)*NORMSDIST(I6309)),"")</f>
        <v/>
      </c>
      <c r="K6309">
        <f>IF(B6309,INDEX(MineScale,C6309),"")</f>
        <v/>
      </c>
      <c r="L6309">
        <f>IF(B6309,INDEX(Dow,1,WEEKDAY(E6309,2)),"")</f>
        <v/>
      </c>
      <c r="M6309">
        <f>IF(B6309,(1+Trend)^D6309,"")</f>
        <v/>
      </c>
      <c r="N6309">
        <f>IF(B6309,EXP(SUMPRODUCT(LN(1+(EvEff-1)*INDEX(Affected,0,C6309)*EXP(-((E6309-EvCenter)^2)/(2*EvSigma^2))))),"")</f>
        <v/>
      </c>
      <c r="O6309">
        <f>IF(B6309,ROUND(MAX(0,J6309*K6309*L6309*M6309*N6309),2),"")</f>
        <v/>
      </c>
    </row>
    <row r="6310">
      <c r="A6310" t="n">
        <v>6309</v>
      </c>
      <c r="B6310">
        <f>A6310&lt;=MineCount*Days</f>
        <v/>
      </c>
      <c r="C6310">
        <f>IF(B6310,INT((A6310-1)/Days)+1,"")</f>
        <v/>
      </c>
      <c r="D6310">
        <f>IF(B6310,MOD(A6310-1,Days),"")</f>
        <v/>
      </c>
      <c r="E6310" s="16">
        <f>IF(B6310,StartDate+D6310,"")</f>
        <v/>
      </c>
      <c r="F6310">
        <f>IF(B6310,MAX(MOD(SIN(Seed*0.1373+C6310*12.9898+D6310*78.233)*43758.5453,1),1E-9),"")</f>
        <v/>
      </c>
      <c r="G6310">
        <f>IF(B6310,MOD(SIN(Seed*0.5917+C6310*39.3468+D6310*11.135)*24634.6345,1),"")</f>
        <v/>
      </c>
      <c r="H6310">
        <f>IF(B6310,SQRT(-2*LN(F6310))*COS(2*PI()*G6310),"")</f>
        <v/>
      </c>
      <c r="I6310">
        <f>IF(B6310,IF(D6310=0,H6310,Rho*I6309+SQRT(1-Rho^2)*H6310),"")</f>
        <v/>
      </c>
      <c r="J6310">
        <f>IF(B6310,IF(Dist="Normal",DistA+DistB*I6310,DistA+(DistB-DistA)*NORMSDIST(I6310)),"")</f>
        <v/>
      </c>
      <c r="K6310">
        <f>IF(B6310,INDEX(MineScale,C6310),"")</f>
        <v/>
      </c>
      <c r="L6310">
        <f>IF(B6310,INDEX(Dow,1,WEEKDAY(E6310,2)),"")</f>
        <v/>
      </c>
      <c r="M6310">
        <f>IF(B6310,(1+Trend)^D6310,"")</f>
        <v/>
      </c>
      <c r="N6310">
        <f>IF(B6310,EXP(SUMPRODUCT(LN(1+(EvEff-1)*INDEX(Affected,0,C6310)*EXP(-((E6310-EvCenter)^2)/(2*EvSigma^2))))),"")</f>
        <v/>
      </c>
      <c r="O6310">
        <f>IF(B6310,ROUND(MAX(0,J6310*K6310*L6310*M6310*N6310),2),"")</f>
        <v/>
      </c>
    </row>
    <row r="6311">
      <c r="A6311" t="n">
        <v>6310</v>
      </c>
      <c r="B6311">
        <f>A6311&lt;=MineCount*Days</f>
        <v/>
      </c>
      <c r="C6311">
        <f>IF(B6311,INT((A6311-1)/Days)+1,"")</f>
        <v/>
      </c>
      <c r="D6311">
        <f>IF(B6311,MOD(A6311-1,Days),"")</f>
        <v/>
      </c>
      <c r="E6311" s="16">
        <f>IF(B6311,StartDate+D6311,"")</f>
        <v/>
      </c>
      <c r="F6311">
        <f>IF(B6311,MAX(MOD(SIN(Seed*0.1373+C6311*12.9898+D6311*78.233)*43758.5453,1),1E-9),"")</f>
        <v/>
      </c>
      <c r="G6311">
        <f>IF(B6311,MOD(SIN(Seed*0.5917+C6311*39.3468+D6311*11.135)*24634.6345,1),"")</f>
        <v/>
      </c>
      <c r="H6311">
        <f>IF(B6311,SQRT(-2*LN(F6311))*COS(2*PI()*G6311),"")</f>
        <v/>
      </c>
      <c r="I6311">
        <f>IF(B6311,IF(D6311=0,H6311,Rho*I6310+SQRT(1-Rho^2)*H6311),"")</f>
        <v/>
      </c>
      <c r="J6311">
        <f>IF(B6311,IF(Dist="Normal",DistA+DistB*I6311,DistA+(DistB-DistA)*NORMSDIST(I6311)),"")</f>
        <v/>
      </c>
      <c r="K6311">
        <f>IF(B6311,INDEX(MineScale,C6311),"")</f>
        <v/>
      </c>
      <c r="L6311">
        <f>IF(B6311,INDEX(Dow,1,WEEKDAY(E6311,2)),"")</f>
        <v/>
      </c>
      <c r="M6311">
        <f>IF(B6311,(1+Trend)^D6311,"")</f>
        <v/>
      </c>
      <c r="N6311">
        <f>IF(B6311,EXP(SUMPRODUCT(LN(1+(EvEff-1)*INDEX(Affected,0,C6311)*EXP(-((E6311-EvCenter)^2)/(2*EvSigma^2))))),"")</f>
        <v/>
      </c>
      <c r="O6311">
        <f>IF(B6311,ROUND(MAX(0,J6311*K6311*L6311*M6311*N6311),2),"")</f>
        <v/>
      </c>
    </row>
    <row r="6312">
      <c r="A6312" t="n">
        <v>6311</v>
      </c>
      <c r="B6312">
        <f>A6312&lt;=MineCount*Days</f>
        <v/>
      </c>
      <c r="C6312">
        <f>IF(B6312,INT((A6312-1)/Days)+1,"")</f>
        <v/>
      </c>
      <c r="D6312">
        <f>IF(B6312,MOD(A6312-1,Days),"")</f>
        <v/>
      </c>
      <c r="E6312" s="16">
        <f>IF(B6312,StartDate+D6312,"")</f>
        <v/>
      </c>
      <c r="F6312">
        <f>IF(B6312,MAX(MOD(SIN(Seed*0.1373+C6312*12.9898+D6312*78.233)*43758.5453,1),1E-9),"")</f>
        <v/>
      </c>
      <c r="G6312">
        <f>IF(B6312,MOD(SIN(Seed*0.5917+C6312*39.3468+D6312*11.135)*24634.6345,1),"")</f>
        <v/>
      </c>
      <c r="H6312">
        <f>IF(B6312,SQRT(-2*LN(F6312))*COS(2*PI()*G6312),"")</f>
        <v/>
      </c>
      <c r="I6312">
        <f>IF(B6312,IF(D6312=0,H6312,Rho*I6311+SQRT(1-Rho^2)*H6312),"")</f>
        <v/>
      </c>
      <c r="J6312">
        <f>IF(B6312,IF(Dist="Normal",DistA+DistB*I6312,DistA+(DistB-DistA)*NORMSDIST(I6312)),"")</f>
        <v/>
      </c>
      <c r="K6312">
        <f>IF(B6312,INDEX(MineScale,C6312),"")</f>
        <v/>
      </c>
      <c r="L6312">
        <f>IF(B6312,INDEX(Dow,1,WEEKDAY(E6312,2)),"")</f>
        <v/>
      </c>
      <c r="M6312">
        <f>IF(B6312,(1+Trend)^D6312,"")</f>
        <v/>
      </c>
      <c r="N6312">
        <f>IF(B6312,EXP(SUMPRODUCT(LN(1+(EvEff-1)*INDEX(Affected,0,C6312)*EXP(-((E6312-EvCenter)^2)/(2*EvSigma^2))))),"")</f>
        <v/>
      </c>
      <c r="O6312">
        <f>IF(B6312,ROUND(MAX(0,J6312*K6312*L6312*M6312*N6312),2),"")</f>
        <v/>
      </c>
    </row>
    <row r="6313">
      <c r="A6313" t="n">
        <v>6312</v>
      </c>
      <c r="B6313">
        <f>A6313&lt;=MineCount*Days</f>
        <v/>
      </c>
      <c r="C6313">
        <f>IF(B6313,INT((A6313-1)/Days)+1,"")</f>
        <v/>
      </c>
      <c r="D6313">
        <f>IF(B6313,MOD(A6313-1,Days),"")</f>
        <v/>
      </c>
      <c r="E6313" s="16">
        <f>IF(B6313,StartDate+D6313,"")</f>
        <v/>
      </c>
      <c r="F6313">
        <f>IF(B6313,MAX(MOD(SIN(Seed*0.1373+C6313*12.9898+D6313*78.233)*43758.5453,1),1E-9),"")</f>
        <v/>
      </c>
      <c r="G6313">
        <f>IF(B6313,MOD(SIN(Seed*0.5917+C6313*39.3468+D6313*11.135)*24634.6345,1),"")</f>
        <v/>
      </c>
      <c r="H6313">
        <f>IF(B6313,SQRT(-2*LN(F6313))*COS(2*PI()*G6313),"")</f>
        <v/>
      </c>
      <c r="I6313">
        <f>IF(B6313,IF(D6313=0,H6313,Rho*I6312+SQRT(1-Rho^2)*H6313),"")</f>
        <v/>
      </c>
      <c r="J6313">
        <f>IF(B6313,IF(Dist="Normal",DistA+DistB*I6313,DistA+(DistB-DistA)*NORMSDIST(I6313)),"")</f>
        <v/>
      </c>
      <c r="K6313">
        <f>IF(B6313,INDEX(MineScale,C6313),"")</f>
        <v/>
      </c>
      <c r="L6313">
        <f>IF(B6313,INDEX(Dow,1,WEEKDAY(E6313,2)),"")</f>
        <v/>
      </c>
      <c r="M6313">
        <f>IF(B6313,(1+Trend)^D6313,"")</f>
        <v/>
      </c>
      <c r="N6313">
        <f>IF(B6313,EXP(SUMPRODUCT(LN(1+(EvEff-1)*INDEX(Affected,0,C6313)*EXP(-((E6313-EvCenter)^2)/(2*EvSigma^2))))),"")</f>
        <v/>
      </c>
      <c r="O6313">
        <f>IF(B6313,ROUND(MAX(0,J6313*K6313*L6313*M6313*N6313),2),"")</f>
        <v/>
      </c>
    </row>
    <row r="6314">
      <c r="A6314" t="n">
        <v>6313</v>
      </c>
      <c r="B6314">
        <f>A6314&lt;=MineCount*Days</f>
        <v/>
      </c>
      <c r="C6314">
        <f>IF(B6314,INT((A6314-1)/Days)+1,"")</f>
        <v/>
      </c>
      <c r="D6314">
        <f>IF(B6314,MOD(A6314-1,Days),"")</f>
        <v/>
      </c>
      <c r="E6314" s="16">
        <f>IF(B6314,StartDate+D6314,"")</f>
        <v/>
      </c>
      <c r="F6314">
        <f>IF(B6314,MAX(MOD(SIN(Seed*0.1373+C6314*12.9898+D6314*78.233)*43758.5453,1),1E-9),"")</f>
        <v/>
      </c>
      <c r="G6314">
        <f>IF(B6314,MOD(SIN(Seed*0.5917+C6314*39.3468+D6314*11.135)*24634.6345,1),"")</f>
        <v/>
      </c>
      <c r="H6314">
        <f>IF(B6314,SQRT(-2*LN(F6314))*COS(2*PI()*G6314),"")</f>
        <v/>
      </c>
      <c r="I6314">
        <f>IF(B6314,IF(D6314=0,H6314,Rho*I6313+SQRT(1-Rho^2)*H6314),"")</f>
        <v/>
      </c>
      <c r="J6314">
        <f>IF(B6314,IF(Dist="Normal",DistA+DistB*I6314,DistA+(DistB-DistA)*NORMSDIST(I6314)),"")</f>
        <v/>
      </c>
      <c r="K6314">
        <f>IF(B6314,INDEX(MineScale,C6314),"")</f>
        <v/>
      </c>
      <c r="L6314">
        <f>IF(B6314,INDEX(Dow,1,WEEKDAY(E6314,2)),"")</f>
        <v/>
      </c>
      <c r="M6314">
        <f>IF(B6314,(1+Trend)^D6314,"")</f>
        <v/>
      </c>
      <c r="N6314">
        <f>IF(B6314,EXP(SUMPRODUCT(LN(1+(EvEff-1)*INDEX(Affected,0,C6314)*EXP(-((E6314-EvCenter)^2)/(2*EvSigma^2))))),"")</f>
        <v/>
      </c>
      <c r="O6314">
        <f>IF(B6314,ROUND(MAX(0,J6314*K6314*L6314*M6314*N6314),2),"")</f>
        <v/>
      </c>
    </row>
    <row r="6315">
      <c r="A6315" t="n">
        <v>6314</v>
      </c>
      <c r="B6315">
        <f>A6315&lt;=MineCount*Days</f>
        <v/>
      </c>
      <c r="C6315">
        <f>IF(B6315,INT((A6315-1)/Days)+1,"")</f>
        <v/>
      </c>
      <c r="D6315">
        <f>IF(B6315,MOD(A6315-1,Days),"")</f>
        <v/>
      </c>
      <c r="E6315" s="16">
        <f>IF(B6315,StartDate+D6315,"")</f>
        <v/>
      </c>
      <c r="F6315">
        <f>IF(B6315,MAX(MOD(SIN(Seed*0.1373+C6315*12.9898+D6315*78.233)*43758.5453,1),1E-9),"")</f>
        <v/>
      </c>
      <c r="G6315">
        <f>IF(B6315,MOD(SIN(Seed*0.5917+C6315*39.3468+D6315*11.135)*24634.6345,1),"")</f>
        <v/>
      </c>
      <c r="H6315">
        <f>IF(B6315,SQRT(-2*LN(F6315))*COS(2*PI()*G6315),"")</f>
        <v/>
      </c>
      <c r="I6315">
        <f>IF(B6315,IF(D6315=0,H6315,Rho*I6314+SQRT(1-Rho^2)*H6315),"")</f>
        <v/>
      </c>
      <c r="J6315">
        <f>IF(B6315,IF(Dist="Normal",DistA+DistB*I6315,DistA+(DistB-DistA)*NORMSDIST(I6315)),"")</f>
        <v/>
      </c>
      <c r="K6315">
        <f>IF(B6315,INDEX(MineScale,C6315),"")</f>
        <v/>
      </c>
      <c r="L6315">
        <f>IF(B6315,INDEX(Dow,1,WEEKDAY(E6315,2)),"")</f>
        <v/>
      </c>
      <c r="M6315">
        <f>IF(B6315,(1+Trend)^D6315,"")</f>
        <v/>
      </c>
      <c r="N6315">
        <f>IF(B6315,EXP(SUMPRODUCT(LN(1+(EvEff-1)*INDEX(Affected,0,C6315)*EXP(-((E6315-EvCenter)^2)/(2*EvSigma^2))))),"")</f>
        <v/>
      </c>
      <c r="O6315">
        <f>IF(B6315,ROUND(MAX(0,J6315*K6315*L6315*M6315*N6315),2),"")</f>
        <v/>
      </c>
    </row>
    <row r="6316">
      <c r="A6316" t="n">
        <v>6315</v>
      </c>
      <c r="B6316">
        <f>A6316&lt;=MineCount*Days</f>
        <v/>
      </c>
      <c r="C6316">
        <f>IF(B6316,INT((A6316-1)/Days)+1,"")</f>
        <v/>
      </c>
      <c r="D6316">
        <f>IF(B6316,MOD(A6316-1,Days),"")</f>
        <v/>
      </c>
      <c r="E6316" s="16">
        <f>IF(B6316,StartDate+D6316,"")</f>
        <v/>
      </c>
      <c r="F6316">
        <f>IF(B6316,MAX(MOD(SIN(Seed*0.1373+C6316*12.9898+D6316*78.233)*43758.5453,1),1E-9),"")</f>
        <v/>
      </c>
      <c r="G6316">
        <f>IF(B6316,MOD(SIN(Seed*0.5917+C6316*39.3468+D6316*11.135)*24634.6345,1),"")</f>
        <v/>
      </c>
      <c r="H6316">
        <f>IF(B6316,SQRT(-2*LN(F6316))*COS(2*PI()*G6316),"")</f>
        <v/>
      </c>
      <c r="I6316">
        <f>IF(B6316,IF(D6316=0,H6316,Rho*I6315+SQRT(1-Rho^2)*H6316),"")</f>
        <v/>
      </c>
      <c r="J6316">
        <f>IF(B6316,IF(Dist="Normal",DistA+DistB*I6316,DistA+(DistB-DistA)*NORMSDIST(I6316)),"")</f>
        <v/>
      </c>
      <c r="K6316">
        <f>IF(B6316,INDEX(MineScale,C6316),"")</f>
        <v/>
      </c>
      <c r="L6316">
        <f>IF(B6316,INDEX(Dow,1,WEEKDAY(E6316,2)),"")</f>
        <v/>
      </c>
      <c r="M6316">
        <f>IF(B6316,(1+Trend)^D6316,"")</f>
        <v/>
      </c>
      <c r="N6316">
        <f>IF(B6316,EXP(SUMPRODUCT(LN(1+(EvEff-1)*INDEX(Affected,0,C6316)*EXP(-((E6316-EvCenter)^2)/(2*EvSigma^2))))),"")</f>
        <v/>
      </c>
      <c r="O6316">
        <f>IF(B6316,ROUND(MAX(0,J6316*K6316*L6316*M6316*N6316),2),"")</f>
        <v/>
      </c>
    </row>
    <row r="6317">
      <c r="A6317" t="n">
        <v>6316</v>
      </c>
      <c r="B6317">
        <f>A6317&lt;=MineCount*Days</f>
        <v/>
      </c>
      <c r="C6317">
        <f>IF(B6317,INT((A6317-1)/Days)+1,"")</f>
        <v/>
      </c>
      <c r="D6317">
        <f>IF(B6317,MOD(A6317-1,Days),"")</f>
        <v/>
      </c>
      <c r="E6317" s="16">
        <f>IF(B6317,StartDate+D6317,"")</f>
        <v/>
      </c>
      <c r="F6317">
        <f>IF(B6317,MAX(MOD(SIN(Seed*0.1373+C6317*12.9898+D6317*78.233)*43758.5453,1),1E-9),"")</f>
        <v/>
      </c>
      <c r="G6317">
        <f>IF(B6317,MOD(SIN(Seed*0.5917+C6317*39.3468+D6317*11.135)*24634.6345,1),"")</f>
        <v/>
      </c>
      <c r="H6317">
        <f>IF(B6317,SQRT(-2*LN(F6317))*COS(2*PI()*G6317),"")</f>
        <v/>
      </c>
      <c r="I6317">
        <f>IF(B6317,IF(D6317=0,H6317,Rho*I6316+SQRT(1-Rho^2)*H6317),"")</f>
        <v/>
      </c>
      <c r="J6317">
        <f>IF(B6317,IF(Dist="Normal",DistA+DistB*I6317,DistA+(DistB-DistA)*NORMSDIST(I6317)),"")</f>
        <v/>
      </c>
      <c r="K6317">
        <f>IF(B6317,INDEX(MineScale,C6317),"")</f>
        <v/>
      </c>
      <c r="L6317">
        <f>IF(B6317,INDEX(Dow,1,WEEKDAY(E6317,2)),"")</f>
        <v/>
      </c>
      <c r="M6317">
        <f>IF(B6317,(1+Trend)^D6317,"")</f>
        <v/>
      </c>
      <c r="N6317">
        <f>IF(B6317,EXP(SUMPRODUCT(LN(1+(EvEff-1)*INDEX(Affected,0,C6317)*EXP(-((E6317-EvCenter)^2)/(2*EvSigma^2))))),"")</f>
        <v/>
      </c>
      <c r="O6317">
        <f>IF(B6317,ROUND(MAX(0,J6317*K6317*L6317*M6317*N6317),2),"")</f>
        <v/>
      </c>
    </row>
    <row r="6318">
      <c r="A6318" t="n">
        <v>6317</v>
      </c>
      <c r="B6318">
        <f>A6318&lt;=MineCount*Days</f>
        <v/>
      </c>
      <c r="C6318">
        <f>IF(B6318,INT((A6318-1)/Days)+1,"")</f>
        <v/>
      </c>
      <c r="D6318">
        <f>IF(B6318,MOD(A6318-1,Days),"")</f>
        <v/>
      </c>
      <c r="E6318" s="16">
        <f>IF(B6318,StartDate+D6318,"")</f>
        <v/>
      </c>
      <c r="F6318">
        <f>IF(B6318,MAX(MOD(SIN(Seed*0.1373+C6318*12.9898+D6318*78.233)*43758.5453,1),1E-9),"")</f>
        <v/>
      </c>
      <c r="G6318">
        <f>IF(B6318,MOD(SIN(Seed*0.5917+C6318*39.3468+D6318*11.135)*24634.6345,1),"")</f>
        <v/>
      </c>
      <c r="H6318">
        <f>IF(B6318,SQRT(-2*LN(F6318))*COS(2*PI()*G6318),"")</f>
        <v/>
      </c>
      <c r="I6318">
        <f>IF(B6318,IF(D6318=0,H6318,Rho*I6317+SQRT(1-Rho^2)*H6318),"")</f>
        <v/>
      </c>
      <c r="J6318">
        <f>IF(B6318,IF(Dist="Normal",DistA+DistB*I6318,DistA+(DistB-DistA)*NORMSDIST(I6318)),"")</f>
        <v/>
      </c>
      <c r="K6318">
        <f>IF(B6318,INDEX(MineScale,C6318),"")</f>
        <v/>
      </c>
      <c r="L6318">
        <f>IF(B6318,INDEX(Dow,1,WEEKDAY(E6318,2)),"")</f>
        <v/>
      </c>
      <c r="M6318">
        <f>IF(B6318,(1+Trend)^D6318,"")</f>
        <v/>
      </c>
      <c r="N6318">
        <f>IF(B6318,EXP(SUMPRODUCT(LN(1+(EvEff-1)*INDEX(Affected,0,C6318)*EXP(-((E6318-EvCenter)^2)/(2*EvSigma^2))))),"")</f>
        <v/>
      </c>
      <c r="O6318">
        <f>IF(B6318,ROUND(MAX(0,J6318*K6318*L6318*M6318*N6318),2),"")</f>
        <v/>
      </c>
    </row>
    <row r="6319">
      <c r="A6319" t="n">
        <v>6318</v>
      </c>
      <c r="B6319">
        <f>A6319&lt;=MineCount*Days</f>
        <v/>
      </c>
      <c r="C6319">
        <f>IF(B6319,INT((A6319-1)/Days)+1,"")</f>
        <v/>
      </c>
      <c r="D6319">
        <f>IF(B6319,MOD(A6319-1,Days),"")</f>
        <v/>
      </c>
      <c r="E6319" s="16">
        <f>IF(B6319,StartDate+D6319,"")</f>
        <v/>
      </c>
      <c r="F6319">
        <f>IF(B6319,MAX(MOD(SIN(Seed*0.1373+C6319*12.9898+D6319*78.233)*43758.5453,1),1E-9),"")</f>
        <v/>
      </c>
      <c r="G6319">
        <f>IF(B6319,MOD(SIN(Seed*0.5917+C6319*39.3468+D6319*11.135)*24634.6345,1),"")</f>
        <v/>
      </c>
      <c r="H6319">
        <f>IF(B6319,SQRT(-2*LN(F6319))*COS(2*PI()*G6319),"")</f>
        <v/>
      </c>
      <c r="I6319">
        <f>IF(B6319,IF(D6319=0,H6319,Rho*I6318+SQRT(1-Rho^2)*H6319),"")</f>
        <v/>
      </c>
      <c r="J6319">
        <f>IF(B6319,IF(Dist="Normal",DistA+DistB*I6319,DistA+(DistB-DistA)*NORMSDIST(I6319)),"")</f>
        <v/>
      </c>
      <c r="K6319">
        <f>IF(B6319,INDEX(MineScale,C6319),"")</f>
        <v/>
      </c>
      <c r="L6319">
        <f>IF(B6319,INDEX(Dow,1,WEEKDAY(E6319,2)),"")</f>
        <v/>
      </c>
      <c r="M6319">
        <f>IF(B6319,(1+Trend)^D6319,"")</f>
        <v/>
      </c>
      <c r="N6319">
        <f>IF(B6319,EXP(SUMPRODUCT(LN(1+(EvEff-1)*INDEX(Affected,0,C6319)*EXP(-((E6319-EvCenter)^2)/(2*EvSigma^2))))),"")</f>
        <v/>
      </c>
      <c r="O6319">
        <f>IF(B6319,ROUND(MAX(0,J6319*K6319*L6319*M6319*N6319),2),"")</f>
        <v/>
      </c>
    </row>
    <row r="6320">
      <c r="A6320" t="n">
        <v>6319</v>
      </c>
      <c r="B6320">
        <f>A6320&lt;=MineCount*Days</f>
        <v/>
      </c>
      <c r="C6320">
        <f>IF(B6320,INT((A6320-1)/Days)+1,"")</f>
        <v/>
      </c>
      <c r="D6320">
        <f>IF(B6320,MOD(A6320-1,Days),"")</f>
        <v/>
      </c>
      <c r="E6320" s="16">
        <f>IF(B6320,StartDate+D6320,"")</f>
        <v/>
      </c>
      <c r="F6320">
        <f>IF(B6320,MAX(MOD(SIN(Seed*0.1373+C6320*12.9898+D6320*78.233)*43758.5453,1),1E-9),"")</f>
        <v/>
      </c>
      <c r="G6320">
        <f>IF(B6320,MOD(SIN(Seed*0.5917+C6320*39.3468+D6320*11.135)*24634.6345,1),"")</f>
        <v/>
      </c>
      <c r="H6320">
        <f>IF(B6320,SQRT(-2*LN(F6320))*COS(2*PI()*G6320),"")</f>
        <v/>
      </c>
      <c r="I6320">
        <f>IF(B6320,IF(D6320=0,H6320,Rho*I6319+SQRT(1-Rho^2)*H6320),"")</f>
        <v/>
      </c>
      <c r="J6320">
        <f>IF(B6320,IF(Dist="Normal",DistA+DistB*I6320,DistA+(DistB-DistA)*NORMSDIST(I6320)),"")</f>
        <v/>
      </c>
      <c r="K6320">
        <f>IF(B6320,INDEX(MineScale,C6320),"")</f>
        <v/>
      </c>
      <c r="L6320">
        <f>IF(B6320,INDEX(Dow,1,WEEKDAY(E6320,2)),"")</f>
        <v/>
      </c>
      <c r="M6320">
        <f>IF(B6320,(1+Trend)^D6320,"")</f>
        <v/>
      </c>
      <c r="N6320">
        <f>IF(B6320,EXP(SUMPRODUCT(LN(1+(EvEff-1)*INDEX(Affected,0,C6320)*EXP(-((E6320-EvCenter)^2)/(2*EvSigma^2))))),"")</f>
        <v/>
      </c>
      <c r="O6320">
        <f>IF(B6320,ROUND(MAX(0,J6320*K6320*L6320*M6320*N6320),2),"")</f>
        <v/>
      </c>
    </row>
    <row r="6321">
      <c r="A6321" t="n">
        <v>6320</v>
      </c>
      <c r="B6321">
        <f>A6321&lt;=MineCount*Days</f>
        <v/>
      </c>
      <c r="C6321">
        <f>IF(B6321,INT((A6321-1)/Days)+1,"")</f>
        <v/>
      </c>
      <c r="D6321">
        <f>IF(B6321,MOD(A6321-1,Days),"")</f>
        <v/>
      </c>
      <c r="E6321" s="16">
        <f>IF(B6321,StartDate+D6321,"")</f>
        <v/>
      </c>
      <c r="F6321">
        <f>IF(B6321,MAX(MOD(SIN(Seed*0.1373+C6321*12.9898+D6321*78.233)*43758.5453,1),1E-9),"")</f>
        <v/>
      </c>
      <c r="G6321">
        <f>IF(B6321,MOD(SIN(Seed*0.5917+C6321*39.3468+D6321*11.135)*24634.6345,1),"")</f>
        <v/>
      </c>
      <c r="H6321">
        <f>IF(B6321,SQRT(-2*LN(F6321))*COS(2*PI()*G6321),"")</f>
        <v/>
      </c>
      <c r="I6321">
        <f>IF(B6321,IF(D6321=0,H6321,Rho*I6320+SQRT(1-Rho^2)*H6321),"")</f>
        <v/>
      </c>
      <c r="J6321">
        <f>IF(B6321,IF(Dist="Normal",DistA+DistB*I6321,DistA+(DistB-DistA)*NORMSDIST(I6321)),"")</f>
        <v/>
      </c>
      <c r="K6321">
        <f>IF(B6321,INDEX(MineScale,C6321),"")</f>
        <v/>
      </c>
      <c r="L6321">
        <f>IF(B6321,INDEX(Dow,1,WEEKDAY(E6321,2)),"")</f>
        <v/>
      </c>
      <c r="M6321">
        <f>IF(B6321,(1+Trend)^D6321,"")</f>
        <v/>
      </c>
      <c r="N6321">
        <f>IF(B6321,EXP(SUMPRODUCT(LN(1+(EvEff-1)*INDEX(Affected,0,C6321)*EXP(-((E6321-EvCenter)^2)/(2*EvSigma^2))))),"")</f>
        <v/>
      </c>
      <c r="O6321">
        <f>IF(B6321,ROUND(MAX(0,J6321*K6321*L6321*M6321*N6321),2),"")</f>
        <v/>
      </c>
    </row>
    <row r="6322">
      <c r="A6322" t="n">
        <v>6321</v>
      </c>
      <c r="B6322">
        <f>A6322&lt;=MineCount*Days</f>
        <v/>
      </c>
      <c r="C6322">
        <f>IF(B6322,INT((A6322-1)/Days)+1,"")</f>
        <v/>
      </c>
      <c r="D6322">
        <f>IF(B6322,MOD(A6322-1,Days),"")</f>
        <v/>
      </c>
      <c r="E6322" s="16">
        <f>IF(B6322,StartDate+D6322,"")</f>
        <v/>
      </c>
      <c r="F6322">
        <f>IF(B6322,MAX(MOD(SIN(Seed*0.1373+C6322*12.9898+D6322*78.233)*43758.5453,1),1E-9),"")</f>
        <v/>
      </c>
      <c r="G6322">
        <f>IF(B6322,MOD(SIN(Seed*0.5917+C6322*39.3468+D6322*11.135)*24634.6345,1),"")</f>
        <v/>
      </c>
      <c r="H6322">
        <f>IF(B6322,SQRT(-2*LN(F6322))*COS(2*PI()*G6322),"")</f>
        <v/>
      </c>
      <c r="I6322">
        <f>IF(B6322,IF(D6322=0,H6322,Rho*I6321+SQRT(1-Rho^2)*H6322),"")</f>
        <v/>
      </c>
      <c r="J6322">
        <f>IF(B6322,IF(Dist="Normal",DistA+DistB*I6322,DistA+(DistB-DistA)*NORMSDIST(I6322)),"")</f>
        <v/>
      </c>
      <c r="K6322">
        <f>IF(B6322,INDEX(MineScale,C6322),"")</f>
        <v/>
      </c>
      <c r="L6322">
        <f>IF(B6322,INDEX(Dow,1,WEEKDAY(E6322,2)),"")</f>
        <v/>
      </c>
      <c r="M6322">
        <f>IF(B6322,(1+Trend)^D6322,"")</f>
        <v/>
      </c>
      <c r="N6322">
        <f>IF(B6322,EXP(SUMPRODUCT(LN(1+(EvEff-1)*INDEX(Affected,0,C6322)*EXP(-((E6322-EvCenter)^2)/(2*EvSigma^2))))),"")</f>
        <v/>
      </c>
      <c r="O6322">
        <f>IF(B6322,ROUND(MAX(0,J6322*K6322*L6322*M6322*N6322),2),"")</f>
        <v/>
      </c>
    </row>
    <row r="6323">
      <c r="A6323" t="n">
        <v>6322</v>
      </c>
      <c r="B6323">
        <f>A6323&lt;=MineCount*Days</f>
        <v/>
      </c>
      <c r="C6323">
        <f>IF(B6323,INT((A6323-1)/Days)+1,"")</f>
        <v/>
      </c>
      <c r="D6323">
        <f>IF(B6323,MOD(A6323-1,Days),"")</f>
        <v/>
      </c>
      <c r="E6323" s="16">
        <f>IF(B6323,StartDate+D6323,"")</f>
        <v/>
      </c>
      <c r="F6323">
        <f>IF(B6323,MAX(MOD(SIN(Seed*0.1373+C6323*12.9898+D6323*78.233)*43758.5453,1),1E-9),"")</f>
        <v/>
      </c>
      <c r="G6323">
        <f>IF(B6323,MOD(SIN(Seed*0.5917+C6323*39.3468+D6323*11.135)*24634.6345,1),"")</f>
        <v/>
      </c>
      <c r="H6323">
        <f>IF(B6323,SQRT(-2*LN(F6323))*COS(2*PI()*G6323),"")</f>
        <v/>
      </c>
      <c r="I6323">
        <f>IF(B6323,IF(D6323=0,H6323,Rho*I6322+SQRT(1-Rho^2)*H6323),"")</f>
        <v/>
      </c>
      <c r="J6323">
        <f>IF(B6323,IF(Dist="Normal",DistA+DistB*I6323,DistA+(DistB-DistA)*NORMSDIST(I6323)),"")</f>
        <v/>
      </c>
      <c r="K6323">
        <f>IF(B6323,INDEX(MineScale,C6323),"")</f>
        <v/>
      </c>
      <c r="L6323">
        <f>IF(B6323,INDEX(Dow,1,WEEKDAY(E6323,2)),"")</f>
        <v/>
      </c>
      <c r="M6323">
        <f>IF(B6323,(1+Trend)^D6323,"")</f>
        <v/>
      </c>
      <c r="N6323">
        <f>IF(B6323,EXP(SUMPRODUCT(LN(1+(EvEff-1)*INDEX(Affected,0,C6323)*EXP(-((E6323-EvCenter)^2)/(2*EvSigma^2))))),"")</f>
        <v/>
      </c>
      <c r="O6323">
        <f>IF(B6323,ROUND(MAX(0,J6323*K6323*L6323*M6323*N6323),2),"")</f>
        <v/>
      </c>
    </row>
    <row r="6324">
      <c r="A6324" t="n">
        <v>6323</v>
      </c>
      <c r="B6324">
        <f>A6324&lt;=MineCount*Days</f>
        <v/>
      </c>
      <c r="C6324">
        <f>IF(B6324,INT((A6324-1)/Days)+1,"")</f>
        <v/>
      </c>
      <c r="D6324">
        <f>IF(B6324,MOD(A6324-1,Days),"")</f>
        <v/>
      </c>
      <c r="E6324" s="16">
        <f>IF(B6324,StartDate+D6324,"")</f>
        <v/>
      </c>
      <c r="F6324">
        <f>IF(B6324,MAX(MOD(SIN(Seed*0.1373+C6324*12.9898+D6324*78.233)*43758.5453,1),1E-9),"")</f>
        <v/>
      </c>
      <c r="G6324">
        <f>IF(B6324,MOD(SIN(Seed*0.5917+C6324*39.3468+D6324*11.135)*24634.6345,1),"")</f>
        <v/>
      </c>
      <c r="H6324">
        <f>IF(B6324,SQRT(-2*LN(F6324))*COS(2*PI()*G6324),"")</f>
        <v/>
      </c>
      <c r="I6324">
        <f>IF(B6324,IF(D6324=0,H6324,Rho*I6323+SQRT(1-Rho^2)*H6324),"")</f>
        <v/>
      </c>
      <c r="J6324">
        <f>IF(B6324,IF(Dist="Normal",DistA+DistB*I6324,DistA+(DistB-DistA)*NORMSDIST(I6324)),"")</f>
        <v/>
      </c>
      <c r="K6324">
        <f>IF(B6324,INDEX(MineScale,C6324),"")</f>
        <v/>
      </c>
      <c r="L6324">
        <f>IF(B6324,INDEX(Dow,1,WEEKDAY(E6324,2)),"")</f>
        <v/>
      </c>
      <c r="M6324">
        <f>IF(B6324,(1+Trend)^D6324,"")</f>
        <v/>
      </c>
      <c r="N6324">
        <f>IF(B6324,EXP(SUMPRODUCT(LN(1+(EvEff-1)*INDEX(Affected,0,C6324)*EXP(-((E6324-EvCenter)^2)/(2*EvSigma^2))))),"")</f>
        <v/>
      </c>
      <c r="O6324">
        <f>IF(B6324,ROUND(MAX(0,J6324*K6324*L6324*M6324*N6324),2),"")</f>
        <v/>
      </c>
    </row>
    <row r="6325">
      <c r="A6325" t="n">
        <v>6324</v>
      </c>
      <c r="B6325">
        <f>A6325&lt;=MineCount*Days</f>
        <v/>
      </c>
      <c r="C6325">
        <f>IF(B6325,INT((A6325-1)/Days)+1,"")</f>
        <v/>
      </c>
      <c r="D6325">
        <f>IF(B6325,MOD(A6325-1,Days),"")</f>
        <v/>
      </c>
      <c r="E6325" s="16">
        <f>IF(B6325,StartDate+D6325,"")</f>
        <v/>
      </c>
      <c r="F6325">
        <f>IF(B6325,MAX(MOD(SIN(Seed*0.1373+C6325*12.9898+D6325*78.233)*43758.5453,1),1E-9),"")</f>
        <v/>
      </c>
      <c r="G6325">
        <f>IF(B6325,MOD(SIN(Seed*0.5917+C6325*39.3468+D6325*11.135)*24634.6345,1),"")</f>
        <v/>
      </c>
      <c r="H6325">
        <f>IF(B6325,SQRT(-2*LN(F6325))*COS(2*PI()*G6325),"")</f>
        <v/>
      </c>
      <c r="I6325">
        <f>IF(B6325,IF(D6325=0,H6325,Rho*I6324+SQRT(1-Rho^2)*H6325),"")</f>
        <v/>
      </c>
      <c r="J6325">
        <f>IF(B6325,IF(Dist="Normal",DistA+DistB*I6325,DistA+(DistB-DistA)*NORMSDIST(I6325)),"")</f>
        <v/>
      </c>
      <c r="K6325">
        <f>IF(B6325,INDEX(MineScale,C6325),"")</f>
        <v/>
      </c>
      <c r="L6325">
        <f>IF(B6325,INDEX(Dow,1,WEEKDAY(E6325,2)),"")</f>
        <v/>
      </c>
      <c r="M6325">
        <f>IF(B6325,(1+Trend)^D6325,"")</f>
        <v/>
      </c>
      <c r="N6325">
        <f>IF(B6325,EXP(SUMPRODUCT(LN(1+(EvEff-1)*INDEX(Affected,0,C6325)*EXP(-((E6325-EvCenter)^2)/(2*EvSigma^2))))),"")</f>
        <v/>
      </c>
      <c r="O6325">
        <f>IF(B6325,ROUND(MAX(0,J6325*K6325*L6325*M6325*N6325),2),"")</f>
        <v/>
      </c>
    </row>
    <row r="6326">
      <c r="A6326" t="n">
        <v>6325</v>
      </c>
      <c r="B6326">
        <f>A6326&lt;=MineCount*Days</f>
        <v/>
      </c>
      <c r="C6326">
        <f>IF(B6326,INT((A6326-1)/Days)+1,"")</f>
        <v/>
      </c>
      <c r="D6326">
        <f>IF(B6326,MOD(A6326-1,Days),"")</f>
        <v/>
      </c>
      <c r="E6326" s="16">
        <f>IF(B6326,StartDate+D6326,"")</f>
        <v/>
      </c>
      <c r="F6326">
        <f>IF(B6326,MAX(MOD(SIN(Seed*0.1373+C6326*12.9898+D6326*78.233)*43758.5453,1),1E-9),"")</f>
        <v/>
      </c>
      <c r="G6326">
        <f>IF(B6326,MOD(SIN(Seed*0.5917+C6326*39.3468+D6326*11.135)*24634.6345,1),"")</f>
        <v/>
      </c>
      <c r="H6326">
        <f>IF(B6326,SQRT(-2*LN(F6326))*COS(2*PI()*G6326),"")</f>
        <v/>
      </c>
      <c r="I6326">
        <f>IF(B6326,IF(D6326=0,H6326,Rho*I6325+SQRT(1-Rho^2)*H6326),"")</f>
        <v/>
      </c>
      <c r="J6326">
        <f>IF(B6326,IF(Dist="Normal",DistA+DistB*I6326,DistA+(DistB-DistA)*NORMSDIST(I6326)),"")</f>
        <v/>
      </c>
      <c r="K6326">
        <f>IF(B6326,INDEX(MineScale,C6326),"")</f>
        <v/>
      </c>
      <c r="L6326">
        <f>IF(B6326,INDEX(Dow,1,WEEKDAY(E6326,2)),"")</f>
        <v/>
      </c>
      <c r="M6326">
        <f>IF(B6326,(1+Trend)^D6326,"")</f>
        <v/>
      </c>
      <c r="N6326">
        <f>IF(B6326,EXP(SUMPRODUCT(LN(1+(EvEff-1)*INDEX(Affected,0,C6326)*EXP(-((E6326-EvCenter)^2)/(2*EvSigma^2))))),"")</f>
        <v/>
      </c>
      <c r="O6326">
        <f>IF(B6326,ROUND(MAX(0,J6326*K6326*L6326*M6326*N6326),2),"")</f>
        <v/>
      </c>
    </row>
    <row r="6327">
      <c r="A6327" t="n">
        <v>6326</v>
      </c>
      <c r="B6327">
        <f>A6327&lt;=MineCount*Days</f>
        <v/>
      </c>
      <c r="C6327">
        <f>IF(B6327,INT((A6327-1)/Days)+1,"")</f>
        <v/>
      </c>
      <c r="D6327">
        <f>IF(B6327,MOD(A6327-1,Days),"")</f>
        <v/>
      </c>
      <c r="E6327" s="16">
        <f>IF(B6327,StartDate+D6327,"")</f>
        <v/>
      </c>
      <c r="F6327">
        <f>IF(B6327,MAX(MOD(SIN(Seed*0.1373+C6327*12.9898+D6327*78.233)*43758.5453,1),1E-9),"")</f>
        <v/>
      </c>
      <c r="G6327">
        <f>IF(B6327,MOD(SIN(Seed*0.5917+C6327*39.3468+D6327*11.135)*24634.6345,1),"")</f>
        <v/>
      </c>
      <c r="H6327">
        <f>IF(B6327,SQRT(-2*LN(F6327))*COS(2*PI()*G6327),"")</f>
        <v/>
      </c>
      <c r="I6327">
        <f>IF(B6327,IF(D6327=0,H6327,Rho*I6326+SQRT(1-Rho^2)*H6327),"")</f>
        <v/>
      </c>
      <c r="J6327">
        <f>IF(B6327,IF(Dist="Normal",DistA+DistB*I6327,DistA+(DistB-DistA)*NORMSDIST(I6327)),"")</f>
        <v/>
      </c>
      <c r="K6327">
        <f>IF(B6327,INDEX(MineScale,C6327),"")</f>
        <v/>
      </c>
      <c r="L6327">
        <f>IF(B6327,INDEX(Dow,1,WEEKDAY(E6327,2)),"")</f>
        <v/>
      </c>
      <c r="M6327">
        <f>IF(B6327,(1+Trend)^D6327,"")</f>
        <v/>
      </c>
      <c r="N6327">
        <f>IF(B6327,EXP(SUMPRODUCT(LN(1+(EvEff-1)*INDEX(Affected,0,C6327)*EXP(-((E6327-EvCenter)^2)/(2*EvSigma^2))))),"")</f>
        <v/>
      </c>
      <c r="O6327">
        <f>IF(B6327,ROUND(MAX(0,J6327*K6327*L6327*M6327*N6327),2),"")</f>
        <v/>
      </c>
    </row>
    <row r="6328">
      <c r="A6328" t="n">
        <v>6327</v>
      </c>
      <c r="B6328">
        <f>A6328&lt;=MineCount*Days</f>
        <v/>
      </c>
      <c r="C6328">
        <f>IF(B6328,INT((A6328-1)/Days)+1,"")</f>
        <v/>
      </c>
      <c r="D6328">
        <f>IF(B6328,MOD(A6328-1,Days),"")</f>
        <v/>
      </c>
      <c r="E6328" s="16">
        <f>IF(B6328,StartDate+D6328,"")</f>
        <v/>
      </c>
      <c r="F6328">
        <f>IF(B6328,MAX(MOD(SIN(Seed*0.1373+C6328*12.9898+D6328*78.233)*43758.5453,1),1E-9),"")</f>
        <v/>
      </c>
      <c r="G6328">
        <f>IF(B6328,MOD(SIN(Seed*0.5917+C6328*39.3468+D6328*11.135)*24634.6345,1),"")</f>
        <v/>
      </c>
      <c r="H6328">
        <f>IF(B6328,SQRT(-2*LN(F6328))*COS(2*PI()*G6328),"")</f>
        <v/>
      </c>
      <c r="I6328">
        <f>IF(B6328,IF(D6328=0,H6328,Rho*I6327+SQRT(1-Rho^2)*H6328),"")</f>
        <v/>
      </c>
      <c r="J6328">
        <f>IF(B6328,IF(Dist="Normal",DistA+DistB*I6328,DistA+(DistB-DistA)*NORMSDIST(I6328)),"")</f>
        <v/>
      </c>
      <c r="K6328">
        <f>IF(B6328,INDEX(MineScale,C6328),"")</f>
        <v/>
      </c>
      <c r="L6328">
        <f>IF(B6328,INDEX(Dow,1,WEEKDAY(E6328,2)),"")</f>
        <v/>
      </c>
      <c r="M6328">
        <f>IF(B6328,(1+Trend)^D6328,"")</f>
        <v/>
      </c>
      <c r="N6328">
        <f>IF(B6328,EXP(SUMPRODUCT(LN(1+(EvEff-1)*INDEX(Affected,0,C6328)*EXP(-((E6328-EvCenter)^2)/(2*EvSigma^2))))),"")</f>
        <v/>
      </c>
      <c r="O6328">
        <f>IF(B6328,ROUND(MAX(0,J6328*K6328*L6328*M6328*N6328),2),"")</f>
        <v/>
      </c>
    </row>
    <row r="6329">
      <c r="A6329" t="n">
        <v>6328</v>
      </c>
      <c r="B6329">
        <f>A6329&lt;=MineCount*Days</f>
        <v/>
      </c>
      <c r="C6329">
        <f>IF(B6329,INT((A6329-1)/Days)+1,"")</f>
        <v/>
      </c>
      <c r="D6329">
        <f>IF(B6329,MOD(A6329-1,Days),"")</f>
        <v/>
      </c>
      <c r="E6329" s="16">
        <f>IF(B6329,StartDate+D6329,"")</f>
        <v/>
      </c>
      <c r="F6329">
        <f>IF(B6329,MAX(MOD(SIN(Seed*0.1373+C6329*12.9898+D6329*78.233)*43758.5453,1),1E-9),"")</f>
        <v/>
      </c>
      <c r="G6329">
        <f>IF(B6329,MOD(SIN(Seed*0.5917+C6329*39.3468+D6329*11.135)*24634.6345,1),"")</f>
        <v/>
      </c>
      <c r="H6329">
        <f>IF(B6329,SQRT(-2*LN(F6329))*COS(2*PI()*G6329),"")</f>
        <v/>
      </c>
      <c r="I6329">
        <f>IF(B6329,IF(D6329=0,H6329,Rho*I6328+SQRT(1-Rho^2)*H6329),"")</f>
        <v/>
      </c>
      <c r="J6329">
        <f>IF(B6329,IF(Dist="Normal",DistA+DistB*I6329,DistA+(DistB-DistA)*NORMSDIST(I6329)),"")</f>
        <v/>
      </c>
      <c r="K6329">
        <f>IF(B6329,INDEX(MineScale,C6329),"")</f>
        <v/>
      </c>
      <c r="L6329">
        <f>IF(B6329,INDEX(Dow,1,WEEKDAY(E6329,2)),"")</f>
        <v/>
      </c>
      <c r="M6329">
        <f>IF(B6329,(1+Trend)^D6329,"")</f>
        <v/>
      </c>
      <c r="N6329">
        <f>IF(B6329,EXP(SUMPRODUCT(LN(1+(EvEff-1)*INDEX(Affected,0,C6329)*EXP(-((E6329-EvCenter)^2)/(2*EvSigma^2))))),"")</f>
        <v/>
      </c>
      <c r="O6329">
        <f>IF(B6329,ROUND(MAX(0,J6329*K6329*L6329*M6329*N6329),2),"")</f>
        <v/>
      </c>
    </row>
    <row r="6330">
      <c r="A6330" t="n">
        <v>6329</v>
      </c>
      <c r="B6330">
        <f>A6330&lt;=MineCount*Days</f>
        <v/>
      </c>
      <c r="C6330">
        <f>IF(B6330,INT((A6330-1)/Days)+1,"")</f>
        <v/>
      </c>
      <c r="D6330">
        <f>IF(B6330,MOD(A6330-1,Days),"")</f>
        <v/>
      </c>
      <c r="E6330" s="16">
        <f>IF(B6330,StartDate+D6330,"")</f>
        <v/>
      </c>
      <c r="F6330">
        <f>IF(B6330,MAX(MOD(SIN(Seed*0.1373+C6330*12.9898+D6330*78.233)*43758.5453,1),1E-9),"")</f>
        <v/>
      </c>
      <c r="G6330">
        <f>IF(B6330,MOD(SIN(Seed*0.5917+C6330*39.3468+D6330*11.135)*24634.6345,1),"")</f>
        <v/>
      </c>
      <c r="H6330">
        <f>IF(B6330,SQRT(-2*LN(F6330))*COS(2*PI()*G6330),"")</f>
        <v/>
      </c>
      <c r="I6330">
        <f>IF(B6330,IF(D6330=0,H6330,Rho*I6329+SQRT(1-Rho^2)*H6330),"")</f>
        <v/>
      </c>
      <c r="J6330">
        <f>IF(B6330,IF(Dist="Normal",DistA+DistB*I6330,DistA+(DistB-DistA)*NORMSDIST(I6330)),"")</f>
        <v/>
      </c>
      <c r="K6330">
        <f>IF(B6330,INDEX(MineScale,C6330),"")</f>
        <v/>
      </c>
      <c r="L6330">
        <f>IF(B6330,INDEX(Dow,1,WEEKDAY(E6330,2)),"")</f>
        <v/>
      </c>
      <c r="M6330">
        <f>IF(B6330,(1+Trend)^D6330,"")</f>
        <v/>
      </c>
      <c r="N6330">
        <f>IF(B6330,EXP(SUMPRODUCT(LN(1+(EvEff-1)*INDEX(Affected,0,C6330)*EXP(-((E6330-EvCenter)^2)/(2*EvSigma^2))))),"")</f>
        <v/>
      </c>
      <c r="O6330">
        <f>IF(B6330,ROUND(MAX(0,J6330*K6330*L6330*M6330*N6330),2),"")</f>
        <v/>
      </c>
    </row>
    <row r="6331">
      <c r="A6331" t="n">
        <v>6330</v>
      </c>
      <c r="B6331">
        <f>A6331&lt;=MineCount*Days</f>
        <v/>
      </c>
      <c r="C6331">
        <f>IF(B6331,INT((A6331-1)/Days)+1,"")</f>
        <v/>
      </c>
      <c r="D6331">
        <f>IF(B6331,MOD(A6331-1,Days),"")</f>
        <v/>
      </c>
      <c r="E6331" s="16">
        <f>IF(B6331,StartDate+D6331,"")</f>
        <v/>
      </c>
      <c r="F6331">
        <f>IF(B6331,MAX(MOD(SIN(Seed*0.1373+C6331*12.9898+D6331*78.233)*43758.5453,1),1E-9),"")</f>
        <v/>
      </c>
      <c r="G6331">
        <f>IF(B6331,MOD(SIN(Seed*0.5917+C6331*39.3468+D6331*11.135)*24634.6345,1),"")</f>
        <v/>
      </c>
      <c r="H6331">
        <f>IF(B6331,SQRT(-2*LN(F6331))*COS(2*PI()*G6331),"")</f>
        <v/>
      </c>
      <c r="I6331">
        <f>IF(B6331,IF(D6331=0,H6331,Rho*I6330+SQRT(1-Rho^2)*H6331),"")</f>
        <v/>
      </c>
      <c r="J6331">
        <f>IF(B6331,IF(Dist="Normal",DistA+DistB*I6331,DistA+(DistB-DistA)*NORMSDIST(I6331)),"")</f>
        <v/>
      </c>
      <c r="K6331">
        <f>IF(B6331,INDEX(MineScale,C6331),"")</f>
        <v/>
      </c>
      <c r="L6331">
        <f>IF(B6331,INDEX(Dow,1,WEEKDAY(E6331,2)),"")</f>
        <v/>
      </c>
      <c r="M6331">
        <f>IF(B6331,(1+Trend)^D6331,"")</f>
        <v/>
      </c>
      <c r="N6331">
        <f>IF(B6331,EXP(SUMPRODUCT(LN(1+(EvEff-1)*INDEX(Affected,0,C6331)*EXP(-((E6331-EvCenter)^2)/(2*EvSigma^2))))),"")</f>
        <v/>
      </c>
      <c r="O6331">
        <f>IF(B6331,ROUND(MAX(0,J6331*K6331*L6331*M6331*N6331),2),"")</f>
        <v/>
      </c>
    </row>
    <row r="6332">
      <c r="A6332" t="n">
        <v>6331</v>
      </c>
      <c r="B6332">
        <f>A6332&lt;=MineCount*Days</f>
        <v/>
      </c>
      <c r="C6332">
        <f>IF(B6332,INT((A6332-1)/Days)+1,"")</f>
        <v/>
      </c>
      <c r="D6332">
        <f>IF(B6332,MOD(A6332-1,Days),"")</f>
        <v/>
      </c>
      <c r="E6332" s="16">
        <f>IF(B6332,StartDate+D6332,"")</f>
        <v/>
      </c>
      <c r="F6332">
        <f>IF(B6332,MAX(MOD(SIN(Seed*0.1373+C6332*12.9898+D6332*78.233)*43758.5453,1),1E-9),"")</f>
        <v/>
      </c>
      <c r="G6332">
        <f>IF(B6332,MOD(SIN(Seed*0.5917+C6332*39.3468+D6332*11.135)*24634.6345,1),"")</f>
        <v/>
      </c>
      <c r="H6332">
        <f>IF(B6332,SQRT(-2*LN(F6332))*COS(2*PI()*G6332),"")</f>
        <v/>
      </c>
      <c r="I6332">
        <f>IF(B6332,IF(D6332=0,H6332,Rho*I6331+SQRT(1-Rho^2)*H6332),"")</f>
        <v/>
      </c>
      <c r="J6332">
        <f>IF(B6332,IF(Dist="Normal",DistA+DistB*I6332,DistA+(DistB-DistA)*NORMSDIST(I6332)),"")</f>
        <v/>
      </c>
      <c r="K6332">
        <f>IF(B6332,INDEX(MineScale,C6332),"")</f>
        <v/>
      </c>
      <c r="L6332">
        <f>IF(B6332,INDEX(Dow,1,WEEKDAY(E6332,2)),"")</f>
        <v/>
      </c>
      <c r="M6332">
        <f>IF(B6332,(1+Trend)^D6332,"")</f>
        <v/>
      </c>
      <c r="N6332">
        <f>IF(B6332,EXP(SUMPRODUCT(LN(1+(EvEff-1)*INDEX(Affected,0,C6332)*EXP(-((E6332-EvCenter)^2)/(2*EvSigma^2))))),"")</f>
        <v/>
      </c>
      <c r="O6332">
        <f>IF(B6332,ROUND(MAX(0,J6332*K6332*L6332*M6332*N6332),2),"")</f>
        <v/>
      </c>
    </row>
    <row r="6333">
      <c r="A6333" t="n">
        <v>6332</v>
      </c>
      <c r="B6333">
        <f>A6333&lt;=MineCount*Days</f>
        <v/>
      </c>
      <c r="C6333">
        <f>IF(B6333,INT((A6333-1)/Days)+1,"")</f>
        <v/>
      </c>
      <c r="D6333">
        <f>IF(B6333,MOD(A6333-1,Days),"")</f>
        <v/>
      </c>
      <c r="E6333" s="16">
        <f>IF(B6333,StartDate+D6333,"")</f>
        <v/>
      </c>
      <c r="F6333">
        <f>IF(B6333,MAX(MOD(SIN(Seed*0.1373+C6333*12.9898+D6333*78.233)*43758.5453,1),1E-9),"")</f>
        <v/>
      </c>
      <c r="G6333">
        <f>IF(B6333,MOD(SIN(Seed*0.5917+C6333*39.3468+D6333*11.135)*24634.6345,1),"")</f>
        <v/>
      </c>
      <c r="H6333">
        <f>IF(B6333,SQRT(-2*LN(F6333))*COS(2*PI()*G6333),"")</f>
        <v/>
      </c>
      <c r="I6333">
        <f>IF(B6333,IF(D6333=0,H6333,Rho*I6332+SQRT(1-Rho^2)*H6333),"")</f>
        <v/>
      </c>
      <c r="J6333">
        <f>IF(B6333,IF(Dist="Normal",DistA+DistB*I6333,DistA+(DistB-DistA)*NORMSDIST(I6333)),"")</f>
        <v/>
      </c>
      <c r="K6333">
        <f>IF(B6333,INDEX(MineScale,C6333),"")</f>
        <v/>
      </c>
      <c r="L6333">
        <f>IF(B6333,INDEX(Dow,1,WEEKDAY(E6333,2)),"")</f>
        <v/>
      </c>
      <c r="M6333">
        <f>IF(B6333,(1+Trend)^D6333,"")</f>
        <v/>
      </c>
      <c r="N6333">
        <f>IF(B6333,EXP(SUMPRODUCT(LN(1+(EvEff-1)*INDEX(Affected,0,C6333)*EXP(-((E6333-EvCenter)^2)/(2*EvSigma^2))))),"")</f>
        <v/>
      </c>
      <c r="O6333">
        <f>IF(B6333,ROUND(MAX(0,J6333*K6333*L6333*M6333*N6333),2),"")</f>
        <v/>
      </c>
    </row>
    <row r="6334">
      <c r="A6334" t="n">
        <v>6333</v>
      </c>
      <c r="B6334">
        <f>A6334&lt;=MineCount*Days</f>
        <v/>
      </c>
      <c r="C6334">
        <f>IF(B6334,INT((A6334-1)/Days)+1,"")</f>
        <v/>
      </c>
      <c r="D6334">
        <f>IF(B6334,MOD(A6334-1,Days),"")</f>
        <v/>
      </c>
      <c r="E6334" s="16">
        <f>IF(B6334,StartDate+D6334,"")</f>
        <v/>
      </c>
      <c r="F6334">
        <f>IF(B6334,MAX(MOD(SIN(Seed*0.1373+C6334*12.9898+D6334*78.233)*43758.5453,1),1E-9),"")</f>
        <v/>
      </c>
      <c r="G6334">
        <f>IF(B6334,MOD(SIN(Seed*0.5917+C6334*39.3468+D6334*11.135)*24634.6345,1),"")</f>
        <v/>
      </c>
      <c r="H6334">
        <f>IF(B6334,SQRT(-2*LN(F6334))*COS(2*PI()*G6334),"")</f>
        <v/>
      </c>
      <c r="I6334">
        <f>IF(B6334,IF(D6334=0,H6334,Rho*I6333+SQRT(1-Rho^2)*H6334),"")</f>
        <v/>
      </c>
      <c r="J6334">
        <f>IF(B6334,IF(Dist="Normal",DistA+DistB*I6334,DistA+(DistB-DistA)*NORMSDIST(I6334)),"")</f>
        <v/>
      </c>
      <c r="K6334">
        <f>IF(B6334,INDEX(MineScale,C6334),"")</f>
        <v/>
      </c>
      <c r="L6334">
        <f>IF(B6334,INDEX(Dow,1,WEEKDAY(E6334,2)),"")</f>
        <v/>
      </c>
      <c r="M6334">
        <f>IF(B6334,(1+Trend)^D6334,"")</f>
        <v/>
      </c>
      <c r="N6334">
        <f>IF(B6334,EXP(SUMPRODUCT(LN(1+(EvEff-1)*INDEX(Affected,0,C6334)*EXP(-((E6334-EvCenter)^2)/(2*EvSigma^2))))),"")</f>
        <v/>
      </c>
      <c r="O6334">
        <f>IF(B6334,ROUND(MAX(0,J6334*K6334*L6334*M6334*N6334),2),"")</f>
        <v/>
      </c>
    </row>
    <row r="6335">
      <c r="A6335" t="n">
        <v>6334</v>
      </c>
      <c r="B6335">
        <f>A6335&lt;=MineCount*Days</f>
        <v/>
      </c>
      <c r="C6335">
        <f>IF(B6335,INT((A6335-1)/Days)+1,"")</f>
        <v/>
      </c>
      <c r="D6335">
        <f>IF(B6335,MOD(A6335-1,Days),"")</f>
        <v/>
      </c>
      <c r="E6335" s="16">
        <f>IF(B6335,StartDate+D6335,"")</f>
        <v/>
      </c>
      <c r="F6335">
        <f>IF(B6335,MAX(MOD(SIN(Seed*0.1373+C6335*12.9898+D6335*78.233)*43758.5453,1),1E-9),"")</f>
        <v/>
      </c>
      <c r="G6335">
        <f>IF(B6335,MOD(SIN(Seed*0.5917+C6335*39.3468+D6335*11.135)*24634.6345,1),"")</f>
        <v/>
      </c>
      <c r="H6335">
        <f>IF(B6335,SQRT(-2*LN(F6335))*COS(2*PI()*G6335),"")</f>
        <v/>
      </c>
      <c r="I6335">
        <f>IF(B6335,IF(D6335=0,H6335,Rho*I6334+SQRT(1-Rho^2)*H6335),"")</f>
        <v/>
      </c>
      <c r="J6335">
        <f>IF(B6335,IF(Dist="Normal",DistA+DistB*I6335,DistA+(DistB-DistA)*NORMSDIST(I6335)),"")</f>
        <v/>
      </c>
      <c r="K6335">
        <f>IF(B6335,INDEX(MineScale,C6335),"")</f>
        <v/>
      </c>
      <c r="L6335">
        <f>IF(B6335,INDEX(Dow,1,WEEKDAY(E6335,2)),"")</f>
        <v/>
      </c>
      <c r="M6335">
        <f>IF(B6335,(1+Trend)^D6335,"")</f>
        <v/>
      </c>
      <c r="N6335">
        <f>IF(B6335,EXP(SUMPRODUCT(LN(1+(EvEff-1)*INDEX(Affected,0,C6335)*EXP(-((E6335-EvCenter)^2)/(2*EvSigma^2))))),"")</f>
        <v/>
      </c>
      <c r="O6335">
        <f>IF(B6335,ROUND(MAX(0,J6335*K6335*L6335*M6335*N6335),2),"")</f>
        <v/>
      </c>
    </row>
    <row r="6336">
      <c r="A6336" t="n">
        <v>6335</v>
      </c>
      <c r="B6336">
        <f>A6336&lt;=MineCount*Days</f>
        <v/>
      </c>
      <c r="C6336">
        <f>IF(B6336,INT((A6336-1)/Days)+1,"")</f>
        <v/>
      </c>
      <c r="D6336">
        <f>IF(B6336,MOD(A6336-1,Days),"")</f>
        <v/>
      </c>
      <c r="E6336" s="16">
        <f>IF(B6336,StartDate+D6336,"")</f>
        <v/>
      </c>
      <c r="F6336">
        <f>IF(B6336,MAX(MOD(SIN(Seed*0.1373+C6336*12.9898+D6336*78.233)*43758.5453,1),1E-9),"")</f>
        <v/>
      </c>
      <c r="G6336">
        <f>IF(B6336,MOD(SIN(Seed*0.5917+C6336*39.3468+D6336*11.135)*24634.6345,1),"")</f>
        <v/>
      </c>
      <c r="H6336">
        <f>IF(B6336,SQRT(-2*LN(F6336))*COS(2*PI()*G6336),"")</f>
        <v/>
      </c>
      <c r="I6336">
        <f>IF(B6336,IF(D6336=0,H6336,Rho*I6335+SQRT(1-Rho^2)*H6336),"")</f>
        <v/>
      </c>
      <c r="J6336">
        <f>IF(B6336,IF(Dist="Normal",DistA+DistB*I6336,DistA+(DistB-DistA)*NORMSDIST(I6336)),"")</f>
        <v/>
      </c>
      <c r="K6336">
        <f>IF(B6336,INDEX(MineScale,C6336),"")</f>
        <v/>
      </c>
      <c r="L6336">
        <f>IF(B6336,INDEX(Dow,1,WEEKDAY(E6336,2)),"")</f>
        <v/>
      </c>
      <c r="M6336">
        <f>IF(B6336,(1+Trend)^D6336,"")</f>
        <v/>
      </c>
      <c r="N6336">
        <f>IF(B6336,EXP(SUMPRODUCT(LN(1+(EvEff-1)*INDEX(Affected,0,C6336)*EXP(-((E6336-EvCenter)^2)/(2*EvSigma^2))))),"")</f>
        <v/>
      </c>
      <c r="O6336">
        <f>IF(B6336,ROUND(MAX(0,J6336*K6336*L6336*M6336*N6336),2),"")</f>
        <v/>
      </c>
    </row>
    <row r="6337">
      <c r="A6337" t="n">
        <v>6336</v>
      </c>
      <c r="B6337">
        <f>A6337&lt;=MineCount*Days</f>
        <v/>
      </c>
      <c r="C6337">
        <f>IF(B6337,INT((A6337-1)/Days)+1,"")</f>
        <v/>
      </c>
      <c r="D6337">
        <f>IF(B6337,MOD(A6337-1,Days),"")</f>
        <v/>
      </c>
      <c r="E6337" s="16">
        <f>IF(B6337,StartDate+D6337,"")</f>
        <v/>
      </c>
      <c r="F6337">
        <f>IF(B6337,MAX(MOD(SIN(Seed*0.1373+C6337*12.9898+D6337*78.233)*43758.5453,1),1E-9),"")</f>
        <v/>
      </c>
      <c r="G6337">
        <f>IF(B6337,MOD(SIN(Seed*0.5917+C6337*39.3468+D6337*11.135)*24634.6345,1),"")</f>
        <v/>
      </c>
      <c r="H6337">
        <f>IF(B6337,SQRT(-2*LN(F6337))*COS(2*PI()*G6337),"")</f>
        <v/>
      </c>
      <c r="I6337">
        <f>IF(B6337,IF(D6337=0,H6337,Rho*I6336+SQRT(1-Rho^2)*H6337),"")</f>
        <v/>
      </c>
      <c r="J6337">
        <f>IF(B6337,IF(Dist="Normal",DistA+DistB*I6337,DistA+(DistB-DistA)*NORMSDIST(I6337)),"")</f>
        <v/>
      </c>
      <c r="K6337">
        <f>IF(B6337,INDEX(MineScale,C6337),"")</f>
        <v/>
      </c>
      <c r="L6337">
        <f>IF(B6337,INDEX(Dow,1,WEEKDAY(E6337,2)),"")</f>
        <v/>
      </c>
      <c r="M6337">
        <f>IF(B6337,(1+Trend)^D6337,"")</f>
        <v/>
      </c>
      <c r="N6337">
        <f>IF(B6337,EXP(SUMPRODUCT(LN(1+(EvEff-1)*INDEX(Affected,0,C6337)*EXP(-((E6337-EvCenter)^2)/(2*EvSigma^2))))),"")</f>
        <v/>
      </c>
      <c r="O6337">
        <f>IF(B6337,ROUND(MAX(0,J6337*K6337*L6337*M6337*N6337),2),"")</f>
        <v/>
      </c>
    </row>
    <row r="6338">
      <c r="A6338" t="n">
        <v>6337</v>
      </c>
      <c r="B6338">
        <f>A6338&lt;=MineCount*Days</f>
        <v/>
      </c>
      <c r="C6338">
        <f>IF(B6338,INT((A6338-1)/Days)+1,"")</f>
        <v/>
      </c>
      <c r="D6338">
        <f>IF(B6338,MOD(A6338-1,Days),"")</f>
        <v/>
      </c>
      <c r="E6338" s="16">
        <f>IF(B6338,StartDate+D6338,"")</f>
        <v/>
      </c>
      <c r="F6338">
        <f>IF(B6338,MAX(MOD(SIN(Seed*0.1373+C6338*12.9898+D6338*78.233)*43758.5453,1),1E-9),"")</f>
        <v/>
      </c>
      <c r="G6338">
        <f>IF(B6338,MOD(SIN(Seed*0.5917+C6338*39.3468+D6338*11.135)*24634.6345,1),"")</f>
        <v/>
      </c>
      <c r="H6338">
        <f>IF(B6338,SQRT(-2*LN(F6338))*COS(2*PI()*G6338),"")</f>
        <v/>
      </c>
      <c r="I6338">
        <f>IF(B6338,IF(D6338=0,H6338,Rho*I6337+SQRT(1-Rho^2)*H6338),"")</f>
        <v/>
      </c>
      <c r="J6338">
        <f>IF(B6338,IF(Dist="Normal",DistA+DistB*I6338,DistA+(DistB-DistA)*NORMSDIST(I6338)),"")</f>
        <v/>
      </c>
      <c r="K6338">
        <f>IF(B6338,INDEX(MineScale,C6338),"")</f>
        <v/>
      </c>
      <c r="L6338">
        <f>IF(B6338,INDEX(Dow,1,WEEKDAY(E6338,2)),"")</f>
        <v/>
      </c>
      <c r="M6338">
        <f>IF(B6338,(1+Trend)^D6338,"")</f>
        <v/>
      </c>
      <c r="N6338">
        <f>IF(B6338,EXP(SUMPRODUCT(LN(1+(EvEff-1)*INDEX(Affected,0,C6338)*EXP(-((E6338-EvCenter)^2)/(2*EvSigma^2))))),"")</f>
        <v/>
      </c>
      <c r="O6338">
        <f>IF(B6338,ROUND(MAX(0,J6338*K6338*L6338*M6338*N6338),2),"")</f>
        <v/>
      </c>
    </row>
    <row r="6339">
      <c r="A6339" t="n">
        <v>6338</v>
      </c>
      <c r="B6339">
        <f>A6339&lt;=MineCount*Days</f>
        <v/>
      </c>
      <c r="C6339">
        <f>IF(B6339,INT((A6339-1)/Days)+1,"")</f>
        <v/>
      </c>
      <c r="D6339">
        <f>IF(B6339,MOD(A6339-1,Days),"")</f>
        <v/>
      </c>
      <c r="E6339" s="16">
        <f>IF(B6339,StartDate+D6339,"")</f>
        <v/>
      </c>
      <c r="F6339">
        <f>IF(B6339,MAX(MOD(SIN(Seed*0.1373+C6339*12.9898+D6339*78.233)*43758.5453,1),1E-9),"")</f>
        <v/>
      </c>
      <c r="G6339">
        <f>IF(B6339,MOD(SIN(Seed*0.5917+C6339*39.3468+D6339*11.135)*24634.6345,1),"")</f>
        <v/>
      </c>
      <c r="H6339">
        <f>IF(B6339,SQRT(-2*LN(F6339))*COS(2*PI()*G6339),"")</f>
        <v/>
      </c>
      <c r="I6339">
        <f>IF(B6339,IF(D6339=0,H6339,Rho*I6338+SQRT(1-Rho^2)*H6339),"")</f>
        <v/>
      </c>
      <c r="J6339">
        <f>IF(B6339,IF(Dist="Normal",DistA+DistB*I6339,DistA+(DistB-DistA)*NORMSDIST(I6339)),"")</f>
        <v/>
      </c>
      <c r="K6339">
        <f>IF(B6339,INDEX(MineScale,C6339),"")</f>
        <v/>
      </c>
      <c r="L6339">
        <f>IF(B6339,INDEX(Dow,1,WEEKDAY(E6339,2)),"")</f>
        <v/>
      </c>
      <c r="M6339">
        <f>IF(B6339,(1+Trend)^D6339,"")</f>
        <v/>
      </c>
      <c r="N6339">
        <f>IF(B6339,EXP(SUMPRODUCT(LN(1+(EvEff-1)*INDEX(Affected,0,C6339)*EXP(-((E6339-EvCenter)^2)/(2*EvSigma^2))))),"")</f>
        <v/>
      </c>
      <c r="O6339">
        <f>IF(B6339,ROUND(MAX(0,J6339*K6339*L6339*M6339*N6339),2),"")</f>
        <v/>
      </c>
    </row>
    <row r="6340">
      <c r="A6340" t="n">
        <v>6339</v>
      </c>
      <c r="B6340">
        <f>A6340&lt;=MineCount*Days</f>
        <v/>
      </c>
      <c r="C6340">
        <f>IF(B6340,INT((A6340-1)/Days)+1,"")</f>
        <v/>
      </c>
      <c r="D6340">
        <f>IF(B6340,MOD(A6340-1,Days),"")</f>
        <v/>
      </c>
      <c r="E6340" s="16">
        <f>IF(B6340,StartDate+D6340,"")</f>
        <v/>
      </c>
      <c r="F6340">
        <f>IF(B6340,MAX(MOD(SIN(Seed*0.1373+C6340*12.9898+D6340*78.233)*43758.5453,1),1E-9),"")</f>
        <v/>
      </c>
      <c r="G6340">
        <f>IF(B6340,MOD(SIN(Seed*0.5917+C6340*39.3468+D6340*11.135)*24634.6345,1),"")</f>
        <v/>
      </c>
      <c r="H6340">
        <f>IF(B6340,SQRT(-2*LN(F6340))*COS(2*PI()*G6340),"")</f>
        <v/>
      </c>
      <c r="I6340">
        <f>IF(B6340,IF(D6340=0,H6340,Rho*I6339+SQRT(1-Rho^2)*H6340),"")</f>
        <v/>
      </c>
      <c r="J6340">
        <f>IF(B6340,IF(Dist="Normal",DistA+DistB*I6340,DistA+(DistB-DistA)*NORMSDIST(I6340)),"")</f>
        <v/>
      </c>
      <c r="K6340">
        <f>IF(B6340,INDEX(MineScale,C6340),"")</f>
        <v/>
      </c>
      <c r="L6340">
        <f>IF(B6340,INDEX(Dow,1,WEEKDAY(E6340,2)),"")</f>
        <v/>
      </c>
      <c r="M6340">
        <f>IF(B6340,(1+Trend)^D6340,"")</f>
        <v/>
      </c>
      <c r="N6340">
        <f>IF(B6340,EXP(SUMPRODUCT(LN(1+(EvEff-1)*INDEX(Affected,0,C6340)*EXP(-((E6340-EvCenter)^2)/(2*EvSigma^2))))),"")</f>
        <v/>
      </c>
      <c r="O6340">
        <f>IF(B6340,ROUND(MAX(0,J6340*K6340*L6340*M6340*N6340),2),"")</f>
        <v/>
      </c>
    </row>
    <row r="6341">
      <c r="A6341" t="n">
        <v>6340</v>
      </c>
      <c r="B6341">
        <f>A6341&lt;=MineCount*Days</f>
        <v/>
      </c>
      <c r="C6341">
        <f>IF(B6341,INT((A6341-1)/Days)+1,"")</f>
        <v/>
      </c>
      <c r="D6341">
        <f>IF(B6341,MOD(A6341-1,Days),"")</f>
        <v/>
      </c>
      <c r="E6341" s="16">
        <f>IF(B6341,StartDate+D6341,"")</f>
        <v/>
      </c>
      <c r="F6341">
        <f>IF(B6341,MAX(MOD(SIN(Seed*0.1373+C6341*12.9898+D6341*78.233)*43758.5453,1),1E-9),"")</f>
        <v/>
      </c>
      <c r="G6341">
        <f>IF(B6341,MOD(SIN(Seed*0.5917+C6341*39.3468+D6341*11.135)*24634.6345,1),"")</f>
        <v/>
      </c>
      <c r="H6341">
        <f>IF(B6341,SQRT(-2*LN(F6341))*COS(2*PI()*G6341),"")</f>
        <v/>
      </c>
      <c r="I6341">
        <f>IF(B6341,IF(D6341=0,H6341,Rho*I6340+SQRT(1-Rho^2)*H6341),"")</f>
        <v/>
      </c>
      <c r="J6341">
        <f>IF(B6341,IF(Dist="Normal",DistA+DistB*I6341,DistA+(DistB-DistA)*NORMSDIST(I6341)),"")</f>
        <v/>
      </c>
      <c r="K6341">
        <f>IF(B6341,INDEX(MineScale,C6341),"")</f>
        <v/>
      </c>
      <c r="L6341">
        <f>IF(B6341,INDEX(Dow,1,WEEKDAY(E6341,2)),"")</f>
        <v/>
      </c>
      <c r="M6341">
        <f>IF(B6341,(1+Trend)^D6341,"")</f>
        <v/>
      </c>
      <c r="N6341">
        <f>IF(B6341,EXP(SUMPRODUCT(LN(1+(EvEff-1)*INDEX(Affected,0,C6341)*EXP(-((E6341-EvCenter)^2)/(2*EvSigma^2))))),"")</f>
        <v/>
      </c>
      <c r="O6341">
        <f>IF(B6341,ROUND(MAX(0,J6341*K6341*L6341*M6341*N6341),2),"")</f>
        <v/>
      </c>
    </row>
    <row r="6342">
      <c r="A6342" t="n">
        <v>6341</v>
      </c>
      <c r="B6342">
        <f>A6342&lt;=MineCount*Days</f>
        <v/>
      </c>
      <c r="C6342">
        <f>IF(B6342,INT((A6342-1)/Days)+1,"")</f>
        <v/>
      </c>
      <c r="D6342">
        <f>IF(B6342,MOD(A6342-1,Days),"")</f>
        <v/>
      </c>
      <c r="E6342" s="16">
        <f>IF(B6342,StartDate+D6342,"")</f>
        <v/>
      </c>
      <c r="F6342">
        <f>IF(B6342,MAX(MOD(SIN(Seed*0.1373+C6342*12.9898+D6342*78.233)*43758.5453,1),1E-9),"")</f>
        <v/>
      </c>
      <c r="G6342">
        <f>IF(B6342,MOD(SIN(Seed*0.5917+C6342*39.3468+D6342*11.135)*24634.6345,1),"")</f>
        <v/>
      </c>
      <c r="H6342">
        <f>IF(B6342,SQRT(-2*LN(F6342))*COS(2*PI()*G6342),"")</f>
        <v/>
      </c>
      <c r="I6342">
        <f>IF(B6342,IF(D6342=0,H6342,Rho*I6341+SQRT(1-Rho^2)*H6342),"")</f>
        <v/>
      </c>
      <c r="J6342">
        <f>IF(B6342,IF(Dist="Normal",DistA+DistB*I6342,DistA+(DistB-DistA)*NORMSDIST(I6342)),"")</f>
        <v/>
      </c>
      <c r="K6342">
        <f>IF(B6342,INDEX(MineScale,C6342),"")</f>
        <v/>
      </c>
      <c r="L6342">
        <f>IF(B6342,INDEX(Dow,1,WEEKDAY(E6342,2)),"")</f>
        <v/>
      </c>
      <c r="M6342">
        <f>IF(B6342,(1+Trend)^D6342,"")</f>
        <v/>
      </c>
      <c r="N6342">
        <f>IF(B6342,EXP(SUMPRODUCT(LN(1+(EvEff-1)*INDEX(Affected,0,C6342)*EXP(-((E6342-EvCenter)^2)/(2*EvSigma^2))))),"")</f>
        <v/>
      </c>
      <c r="O6342">
        <f>IF(B6342,ROUND(MAX(0,J6342*K6342*L6342*M6342*N6342),2),"")</f>
        <v/>
      </c>
    </row>
    <row r="6343">
      <c r="A6343" t="n">
        <v>6342</v>
      </c>
      <c r="B6343">
        <f>A6343&lt;=MineCount*Days</f>
        <v/>
      </c>
      <c r="C6343">
        <f>IF(B6343,INT((A6343-1)/Days)+1,"")</f>
        <v/>
      </c>
      <c r="D6343">
        <f>IF(B6343,MOD(A6343-1,Days),"")</f>
        <v/>
      </c>
      <c r="E6343" s="16">
        <f>IF(B6343,StartDate+D6343,"")</f>
        <v/>
      </c>
      <c r="F6343">
        <f>IF(B6343,MAX(MOD(SIN(Seed*0.1373+C6343*12.9898+D6343*78.233)*43758.5453,1),1E-9),"")</f>
        <v/>
      </c>
      <c r="G6343">
        <f>IF(B6343,MOD(SIN(Seed*0.5917+C6343*39.3468+D6343*11.135)*24634.6345,1),"")</f>
        <v/>
      </c>
      <c r="H6343">
        <f>IF(B6343,SQRT(-2*LN(F6343))*COS(2*PI()*G6343),"")</f>
        <v/>
      </c>
      <c r="I6343">
        <f>IF(B6343,IF(D6343=0,H6343,Rho*I6342+SQRT(1-Rho^2)*H6343),"")</f>
        <v/>
      </c>
      <c r="J6343">
        <f>IF(B6343,IF(Dist="Normal",DistA+DistB*I6343,DistA+(DistB-DistA)*NORMSDIST(I6343)),"")</f>
        <v/>
      </c>
      <c r="K6343">
        <f>IF(B6343,INDEX(MineScale,C6343),"")</f>
        <v/>
      </c>
      <c r="L6343">
        <f>IF(B6343,INDEX(Dow,1,WEEKDAY(E6343,2)),"")</f>
        <v/>
      </c>
      <c r="M6343">
        <f>IF(B6343,(1+Trend)^D6343,"")</f>
        <v/>
      </c>
      <c r="N6343">
        <f>IF(B6343,EXP(SUMPRODUCT(LN(1+(EvEff-1)*INDEX(Affected,0,C6343)*EXP(-((E6343-EvCenter)^2)/(2*EvSigma^2))))),"")</f>
        <v/>
      </c>
      <c r="O6343">
        <f>IF(B6343,ROUND(MAX(0,J6343*K6343*L6343*M6343*N6343),2),"")</f>
        <v/>
      </c>
    </row>
    <row r="6344">
      <c r="A6344" t="n">
        <v>6343</v>
      </c>
      <c r="B6344">
        <f>A6344&lt;=MineCount*Days</f>
        <v/>
      </c>
      <c r="C6344">
        <f>IF(B6344,INT((A6344-1)/Days)+1,"")</f>
        <v/>
      </c>
      <c r="D6344">
        <f>IF(B6344,MOD(A6344-1,Days),"")</f>
        <v/>
      </c>
      <c r="E6344" s="16">
        <f>IF(B6344,StartDate+D6344,"")</f>
        <v/>
      </c>
      <c r="F6344">
        <f>IF(B6344,MAX(MOD(SIN(Seed*0.1373+C6344*12.9898+D6344*78.233)*43758.5453,1),1E-9),"")</f>
        <v/>
      </c>
      <c r="G6344">
        <f>IF(B6344,MOD(SIN(Seed*0.5917+C6344*39.3468+D6344*11.135)*24634.6345,1),"")</f>
        <v/>
      </c>
      <c r="H6344">
        <f>IF(B6344,SQRT(-2*LN(F6344))*COS(2*PI()*G6344),"")</f>
        <v/>
      </c>
      <c r="I6344">
        <f>IF(B6344,IF(D6344=0,H6344,Rho*I6343+SQRT(1-Rho^2)*H6344),"")</f>
        <v/>
      </c>
      <c r="J6344">
        <f>IF(B6344,IF(Dist="Normal",DistA+DistB*I6344,DistA+(DistB-DistA)*NORMSDIST(I6344)),"")</f>
        <v/>
      </c>
      <c r="K6344">
        <f>IF(B6344,INDEX(MineScale,C6344),"")</f>
        <v/>
      </c>
      <c r="L6344">
        <f>IF(B6344,INDEX(Dow,1,WEEKDAY(E6344,2)),"")</f>
        <v/>
      </c>
      <c r="M6344">
        <f>IF(B6344,(1+Trend)^D6344,"")</f>
        <v/>
      </c>
      <c r="N6344">
        <f>IF(B6344,EXP(SUMPRODUCT(LN(1+(EvEff-1)*INDEX(Affected,0,C6344)*EXP(-((E6344-EvCenter)^2)/(2*EvSigma^2))))),"")</f>
        <v/>
      </c>
      <c r="O6344">
        <f>IF(B6344,ROUND(MAX(0,J6344*K6344*L6344*M6344*N6344),2),"")</f>
        <v/>
      </c>
    </row>
    <row r="6345">
      <c r="A6345" t="n">
        <v>6344</v>
      </c>
      <c r="B6345">
        <f>A6345&lt;=MineCount*Days</f>
        <v/>
      </c>
      <c r="C6345">
        <f>IF(B6345,INT((A6345-1)/Days)+1,"")</f>
        <v/>
      </c>
      <c r="D6345">
        <f>IF(B6345,MOD(A6345-1,Days),"")</f>
        <v/>
      </c>
      <c r="E6345" s="16">
        <f>IF(B6345,StartDate+D6345,"")</f>
        <v/>
      </c>
      <c r="F6345">
        <f>IF(B6345,MAX(MOD(SIN(Seed*0.1373+C6345*12.9898+D6345*78.233)*43758.5453,1),1E-9),"")</f>
        <v/>
      </c>
      <c r="G6345">
        <f>IF(B6345,MOD(SIN(Seed*0.5917+C6345*39.3468+D6345*11.135)*24634.6345,1),"")</f>
        <v/>
      </c>
      <c r="H6345">
        <f>IF(B6345,SQRT(-2*LN(F6345))*COS(2*PI()*G6345),"")</f>
        <v/>
      </c>
      <c r="I6345">
        <f>IF(B6345,IF(D6345=0,H6345,Rho*I6344+SQRT(1-Rho^2)*H6345),"")</f>
        <v/>
      </c>
      <c r="J6345">
        <f>IF(B6345,IF(Dist="Normal",DistA+DistB*I6345,DistA+(DistB-DistA)*NORMSDIST(I6345)),"")</f>
        <v/>
      </c>
      <c r="K6345">
        <f>IF(B6345,INDEX(MineScale,C6345),"")</f>
        <v/>
      </c>
      <c r="L6345">
        <f>IF(B6345,INDEX(Dow,1,WEEKDAY(E6345,2)),"")</f>
        <v/>
      </c>
      <c r="M6345">
        <f>IF(B6345,(1+Trend)^D6345,"")</f>
        <v/>
      </c>
      <c r="N6345">
        <f>IF(B6345,EXP(SUMPRODUCT(LN(1+(EvEff-1)*INDEX(Affected,0,C6345)*EXP(-((E6345-EvCenter)^2)/(2*EvSigma^2))))),"")</f>
        <v/>
      </c>
      <c r="O6345">
        <f>IF(B6345,ROUND(MAX(0,J6345*K6345*L6345*M6345*N6345),2),"")</f>
        <v/>
      </c>
    </row>
    <row r="6346">
      <c r="A6346" t="n">
        <v>6345</v>
      </c>
      <c r="B6346">
        <f>A6346&lt;=MineCount*Days</f>
        <v/>
      </c>
      <c r="C6346">
        <f>IF(B6346,INT((A6346-1)/Days)+1,"")</f>
        <v/>
      </c>
      <c r="D6346">
        <f>IF(B6346,MOD(A6346-1,Days),"")</f>
        <v/>
      </c>
      <c r="E6346" s="16">
        <f>IF(B6346,StartDate+D6346,"")</f>
        <v/>
      </c>
      <c r="F6346">
        <f>IF(B6346,MAX(MOD(SIN(Seed*0.1373+C6346*12.9898+D6346*78.233)*43758.5453,1),1E-9),"")</f>
        <v/>
      </c>
      <c r="G6346">
        <f>IF(B6346,MOD(SIN(Seed*0.5917+C6346*39.3468+D6346*11.135)*24634.6345,1),"")</f>
        <v/>
      </c>
      <c r="H6346">
        <f>IF(B6346,SQRT(-2*LN(F6346))*COS(2*PI()*G6346),"")</f>
        <v/>
      </c>
      <c r="I6346">
        <f>IF(B6346,IF(D6346=0,H6346,Rho*I6345+SQRT(1-Rho^2)*H6346),"")</f>
        <v/>
      </c>
      <c r="J6346">
        <f>IF(B6346,IF(Dist="Normal",DistA+DistB*I6346,DistA+(DistB-DistA)*NORMSDIST(I6346)),"")</f>
        <v/>
      </c>
      <c r="K6346">
        <f>IF(B6346,INDEX(MineScale,C6346),"")</f>
        <v/>
      </c>
      <c r="L6346">
        <f>IF(B6346,INDEX(Dow,1,WEEKDAY(E6346,2)),"")</f>
        <v/>
      </c>
      <c r="M6346">
        <f>IF(B6346,(1+Trend)^D6346,"")</f>
        <v/>
      </c>
      <c r="N6346">
        <f>IF(B6346,EXP(SUMPRODUCT(LN(1+(EvEff-1)*INDEX(Affected,0,C6346)*EXP(-((E6346-EvCenter)^2)/(2*EvSigma^2))))),"")</f>
        <v/>
      </c>
      <c r="O6346">
        <f>IF(B6346,ROUND(MAX(0,J6346*K6346*L6346*M6346*N6346),2),"")</f>
        <v/>
      </c>
    </row>
    <row r="6347">
      <c r="A6347" t="n">
        <v>6346</v>
      </c>
      <c r="B6347">
        <f>A6347&lt;=MineCount*Days</f>
        <v/>
      </c>
      <c r="C6347">
        <f>IF(B6347,INT((A6347-1)/Days)+1,"")</f>
        <v/>
      </c>
      <c r="D6347">
        <f>IF(B6347,MOD(A6347-1,Days),"")</f>
        <v/>
      </c>
      <c r="E6347" s="16">
        <f>IF(B6347,StartDate+D6347,"")</f>
        <v/>
      </c>
      <c r="F6347">
        <f>IF(B6347,MAX(MOD(SIN(Seed*0.1373+C6347*12.9898+D6347*78.233)*43758.5453,1),1E-9),"")</f>
        <v/>
      </c>
      <c r="G6347">
        <f>IF(B6347,MOD(SIN(Seed*0.5917+C6347*39.3468+D6347*11.135)*24634.6345,1),"")</f>
        <v/>
      </c>
      <c r="H6347">
        <f>IF(B6347,SQRT(-2*LN(F6347))*COS(2*PI()*G6347),"")</f>
        <v/>
      </c>
      <c r="I6347">
        <f>IF(B6347,IF(D6347=0,H6347,Rho*I6346+SQRT(1-Rho^2)*H6347),"")</f>
        <v/>
      </c>
      <c r="J6347">
        <f>IF(B6347,IF(Dist="Normal",DistA+DistB*I6347,DistA+(DistB-DistA)*NORMSDIST(I6347)),"")</f>
        <v/>
      </c>
      <c r="K6347">
        <f>IF(B6347,INDEX(MineScale,C6347),"")</f>
        <v/>
      </c>
      <c r="L6347">
        <f>IF(B6347,INDEX(Dow,1,WEEKDAY(E6347,2)),"")</f>
        <v/>
      </c>
      <c r="M6347">
        <f>IF(B6347,(1+Trend)^D6347,"")</f>
        <v/>
      </c>
      <c r="N6347">
        <f>IF(B6347,EXP(SUMPRODUCT(LN(1+(EvEff-1)*INDEX(Affected,0,C6347)*EXP(-((E6347-EvCenter)^2)/(2*EvSigma^2))))),"")</f>
        <v/>
      </c>
      <c r="O6347">
        <f>IF(B6347,ROUND(MAX(0,J6347*K6347*L6347*M6347*N6347),2),"")</f>
        <v/>
      </c>
    </row>
    <row r="6348">
      <c r="A6348" t="n">
        <v>6347</v>
      </c>
      <c r="B6348">
        <f>A6348&lt;=MineCount*Days</f>
        <v/>
      </c>
      <c r="C6348">
        <f>IF(B6348,INT((A6348-1)/Days)+1,"")</f>
        <v/>
      </c>
      <c r="D6348">
        <f>IF(B6348,MOD(A6348-1,Days),"")</f>
        <v/>
      </c>
      <c r="E6348" s="16">
        <f>IF(B6348,StartDate+D6348,"")</f>
        <v/>
      </c>
      <c r="F6348">
        <f>IF(B6348,MAX(MOD(SIN(Seed*0.1373+C6348*12.9898+D6348*78.233)*43758.5453,1),1E-9),"")</f>
        <v/>
      </c>
      <c r="G6348">
        <f>IF(B6348,MOD(SIN(Seed*0.5917+C6348*39.3468+D6348*11.135)*24634.6345,1),"")</f>
        <v/>
      </c>
      <c r="H6348">
        <f>IF(B6348,SQRT(-2*LN(F6348))*COS(2*PI()*G6348),"")</f>
        <v/>
      </c>
      <c r="I6348">
        <f>IF(B6348,IF(D6348=0,H6348,Rho*I6347+SQRT(1-Rho^2)*H6348),"")</f>
        <v/>
      </c>
      <c r="J6348">
        <f>IF(B6348,IF(Dist="Normal",DistA+DistB*I6348,DistA+(DistB-DistA)*NORMSDIST(I6348)),"")</f>
        <v/>
      </c>
      <c r="K6348">
        <f>IF(B6348,INDEX(MineScale,C6348),"")</f>
        <v/>
      </c>
      <c r="L6348">
        <f>IF(B6348,INDEX(Dow,1,WEEKDAY(E6348,2)),"")</f>
        <v/>
      </c>
      <c r="M6348">
        <f>IF(B6348,(1+Trend)^D6348,"")</f>
        <v/>
      </c>
      <c r="N6348">
        <f>IF(B6348,EXP(SUMPRODUCT(LN(1+(EvEff-1)*INDEX(Affected,0,C6348)*EXP(-((E6348-EvCenter)^2)/(2*EvSigma^2))))),"")</f>
        <v/>
      </c>
      <c r="O6348">
        <f>IF(B6348,ROUND(MAX(0,J6348*K6348*L6348*M6348*N6348),2),"")</f>
        <v/>
      </c>
    </row>
    <row r="6349">
      <c r="A6349" t="n">
        <v>6348</v>
      </c>
      <c r="B6349">
        <f>A6349&lt;=MineCount*Days</f>
        <v/>
      </c>
      <c r="C6349">
        <f>IF(B6349,INT((A6349-1)/Days)+1,"")</f>
        <v/>
      </c>
      <c r="D6349">
        <f>IF(B6349,MOD(A6349-1,Days),"")</f>
        <v/>
      </c>
      <c r="E6349" s="16">
        <f>IF(B6349,StartDate+D6349,"")</f>
        <v/>
      </c>
      <c r="F6349">
        <f>IF(B6349,MAX(MOD(SIN(Seed*0.1373+C6349*12.9898+D6349*78.233)*43758.5453,1),1E-9),"")</f>
        <v/>
      </c>
      <c r="G6349">
        <f>IF(B6349,MOD(SIN(Seed*0.5917+C6349*39.3468+D6349*11.135)*24634.6345,1),"")</f>
        <v/>
      </c>
      <c r="H6349">
        <f>IF(B6349,SQRT(-2*LN(F6349))*COS(2*PI()*G6349),"")</f>
        <v/>
      </c>
      <c r="I6349">
        <f>IF(B6349,IF(D6349=0,H6349,Rho*I6348+SQRT(1-Rho^2)*H6349),"")</f>
        <v/>
      </c>
      <c r="J6349">
        <f>IF(B6349,IF(Dist="Normal",DistA+DistB*I6349,DistA+(DistB-DistA)*NORMSDIST(I6349)),"")</f>
        <v/>
      </c>
      <c r="K6349">
        <f>IF(B6349,INDEX(MineScale,C6349),"")</f>
        <v/>
      </c>
      <c r="L6349">
        <f>IF(B6349,INDEX(Dow,1,WEEKDAY(E6349,2)),"")</f>
        <v/>
      </c>
      <c r="M6349">
        <f>IF(B6349,(1+Trend)^D6349,"")</f>
        <v/>
      </c>
      <c r="N6349">
        <f>IF(B6349,EXP(SUMPRODUCT(LN(1+(EvEff-1)*INDEX(Affected,0,C6349)*EXP(-((E6349-EvCenter)^2)/(2*EvSigma^2))))),"")</f>
        <v/>
      </c>
      <c r="O6349">
        <f>IF(B6349,ROUND(MAX(0,J6349*K6349*L6349*M6349*N6349),2),"")</f>
        <v/>
      </c>
    </row>
    <row r="6350">
      <c r="A6350" t="n">
        <v>6349</v>
      </c>
      <c r="B6350">
        <f>A6350&lt;=MineCount*Days</f>
        <v/>
      </c>
      <c r="C6350">
        <f>IF(B6350,INT((A6350-1)/Days)+1,"")</f>
        <v/>
      </c>
      <c r="D6350">
        <f>IF(B6350,MOD(A6350-1,Days),"")</f>
        <v/>
      </c>
      <c r="E6350" s="16">
        <f>IF(B6350,StartDate+D6350,"")</f>
        <v/>
      </c>
      <c r="F6350">
        <f>IF(B6350,MAX(MOD(SIN(Seed*0.1373+C6350*12.9898+D6350*78.233)*43758.5453,1),1E-9),"")</f>
        <v/>
      </c>
      <c r="G6350">
        <f>IF(B6350,MOD(SIN(Seed*0.5917+C6350*39.3468+D6350*11.135)*24634.6345,1),"")</f>
        <v/>
      </c>
      <c r="H6350">
        <f>IF(B6350,SQRT(-2*LN(F6350))*COS(2*PI()*G6350),"")</f>
        <v/>
      </c>
      <c r="I6350">
        <f>IF(B6350,IF(D6350=0,H6350,Rho*I6349+SQRT(1-Rho^2)*H6350),"")</f>
        <v/>
      </c>
      <c r="J6350">
        <f>IF(B6350,IF(Dist="Normal",DistA+DistB*I6350,DistA+(DistB-DistA)*NORMSDIST(I6350)),"")</f>
        <v/>
      </c>
      <c r="K6350">
        <f>IF(B6350,INDEX(MineScale,C6350),"")</f>
        <v/>
      </c>
      <c r="L6350">
        <f>IF(B6350,INDEX(Dow,1,WEEKDAY(E6350,2)),"")</f>
        <v/>
      </c>
      <c r="M6350">
        <f>IF(B6350,(1+Trend)^D6350,"")</f>
        <v/>
      </c>
      <c r="N6350">
        <f>IF(B6350,EXP(SUMPRODUCT(LN(1+(EvEff-1)*INDEX(Affected,0,C6350)*EXP(-((E6350-EvCenter)^2)/(2*EvSigma^2))))),"")</f>
        <v/>
      </c>
      <c r="O6350">
        <f>IF(B6350,ROUND(MAX(0,J6350*K6350*L6350*M6350*N6350),2),"")</f>
        <v/>
      </c>
    </row>
    <row r="6351">
      <c r="A6351" t="n">
        <v>6350</v>
      </c>
      <c r="B6351">
        <f>A6351&lt;=MineCount*Days</f>
        <v/>
      </c>
      <c r="C6351">
        <f>IF(B6351,INT((A6351-1)/Days)+1,"")</f>
        <v/>
      </c>
      <c r="D6351">
        <f>IF(B6351,MOD(A6351-1,Days),"")</f>
        <v/>
      </c>
      <c r="E6351" s="16">
        <f>IF(B6351,StartDate+D6351,"")</f>
        <v/>
      </c>
      <c r="F6351">
        <f>IF(B6351,MAX(MOD(SIN(Seed*0.1373+C6351*12.9898+D6351*78.233)*43758.5453,1),1E-9),"")</f>
        <v/>
      </c>
      <c r="G6351">
        <f>IF(B6351,MOD(SIN(Seed*0.5917+C6351*39.3468+D6351*11.135)*24634.6345,1),"")</f>
        <v/>
      </c>
      <c r="H6351">
        <f>IF(B6351,SQRT(-2*LN(F6351))*COS(2*PI()*G6351),"")</f>
        <v/>
      </c>
      <c r="I6351">
        <f>IF(B6351,IF(D6351=0,H6351,Rho*I6350+SQRT(1-Rho^2)*H6351),"")</f>
        <v/>
      </c>
      <c r="J6351">
        <f>IF(B6351,IF(Dist="Normal",DistA+DistB*I6351,DistA+(DistB-DistA)*NORMSDIST(I6351)),"")</f>
        <v/>
      </c>
      <c r="K6351">
        <f>IF(B6351,INDEX(MineScale,C6351),"")</f>
        <v/>
      </c>
      <c r="L6351">
        <f>IF(B6351,INDEX(Dow,1,WEEKDAY(E6351,2)),"")</f>
        <v/>
      </c>
      <c r="M6351">
        <f>IF(B6351,(1+Trend)^D6351,"")</f>
        <v/>
      </c>
      <c r="N6351">
        <f>IF(B6351,EXP(SUMPRODUCT(LN(1+(EvEff-1)*INDEX(Affected,0,C6351)*EXP(-((E6351-EvCenter)^2)/(2*EvSigma^2))))),"")</f>
        <v/>
      </c>
      <c r="O6351">
        <f>IF(B6351,ROUND(MAX(0,J6351*K6351*L6351*M6351*N6351),2),"")</f>
        <v/>
      </c>
    </row>
    <row r="6352">
      <c r="A6352" t="n">
        <v>6351</v>
      </c>
      <c r="B6352">
        <f>A6352&lt;=MineCount*Days</f>
        <v/>
      </c>
      <c r="C6352">
        <f>IF(B6352,INT((A6352-1)/Days)+1,"")</f>
        <v/>
      </c>
      <c r="D6352">
        <f>IF(B6352,MOD(A6352-1,Days),"")</f>
        <v/>
      </c>
      <c r="E6352" s="16">
        <f>IF(B6352,StartDate+D6352,"")</f>
        <v/>
      </c>
      <c r="F6352">
        <f>IF(B6352,MAX(MOD(SIN(Seed*0.1373+C6352*12.9898+D6352*78.233)*43758.5453,1),1E-9),"")</f>
        <v/>
      </c>
      <c r="G6352">
        <f>IF(B6352,MOD(SIN(Seed*0.5917+C6352*39.3468+D6352*11.135)*24634.6345,1),"")</f>
        <v/>
      </c>
      <c r="H6352">
        <f>IF(B6352,SQRT(-2*LN(F6352))*COS(2*PI()*G6352),"")</f>
        <v/>
      </c>
      <c r="I6352">
        <f>IF(B6352,IF(D6352=0,H6352,Rho*I6351+SQRT(1-Rho^2)*H6352),"")</f>
        <v/>
      </c>
      <c r="J6352">
        <f>IF(B6352,IF(Dist="Normal",DistA+DistB*I6352,DistA+(DistB-DistA)*NORMSDIST(I6352)),"")</f>
        <v/>
      </c>
      <c r="K6352">
        <f>IF(B6352,INDEX(MineScale,C6352),"")</f>
        <v/>
      </c>
      <c r="L6352">
        <f>IF(B6352,INDEX(Dow,1,WEEKDAY(E6352,2)),"")</f>
        <v/>
      </c>
      <c r="M6352">
        <f>IF(B6352,(1+Trend)^D6352,"")</f>
        <v/>
      </c>
      <c r="N6352">
        <f>IF(B6352,EXP(SUMPRODUCT(LN(1+(EvEff-1)*INDEX(Affected,0,C6352)*EXP(-((E6352-EvCenter)^2)/(2*EvSigma^2))))),"")</f>
        <v/>
      </c>
      <c r="O6352">
        <f>IF(B6352,ROUND(MAX(0,J6352*K6352*L6352*M6352*N6352),2),"")</f>
        <v/>
      </c>
    </row>
    <row r="6353">
      <c r="A6353" t="n">
        <v>6352</v>
      </c>
      <c r="B6353">
        <f>A6353&lt;=MineCount*Days</f>
        <v/>
      </c>
      <c r="C6353">
        <f>IF(B6353,INT((A6353-1)/Days)+1,"")</f>
        <v/>
      </c>
      <c r="D6353">
        <f>IF(B6353,MOD(A6353-1,Days),"")</f>
        <v/>
      </c>
      <c r="E6353" s="16">
        <f>IF(B6353,StartDate+D6353,"")</f>
        <v/>
      </c>
      <c r="F6353">
        <f>IF(B6353,MAX(MOD(SIN(Seed*0.1373+C6353*12.9898+D6353*78.233)*43758.5453,1),1E-9),"")</f>
        <v/>
      </c>
      <c r="G6353">
        <f>IF(B6353,MOD(SIN(Seed*0.5917+C6353*39.3468+D6353*11.135)*24634.6345,1),"")</f>
        <v/>
      </c>
      <c r="H6353">
        <f>IF(B6353,SQRT(-2*LN(F6353))*COS(2*PI()*G6353),"")</f>
        <v/>
      </c>
      <c r="I6353">
        <f>IF(B6353,IF(D6353=0,H6353,Rho*I6352+SQRT(1-Rho^2)*H6353),"")</f>
        <v/>
      </c>
      <c r="J6353">
        <f>IF(B6353,IF(Dist="Normal",DistA+DistB*I6353,DistA+(DistB-DistA)*NORMSDIST(I6353)),"")</f>
        <v/>
      </c>
      <c r="K6353">
        <f>IF(B6353,INDEX(MineScale,C6353),"")</f>
        <v/>
      </c>
      <c r="L6353">
        <f>IF(B6353,INDEX(Dow,1,WEEKDAY(E6353,2)),"")</f>
        <v/>
      </c>
      <c r="M6353">
        <f>IF(B6353,(1+Trend)^D6353,"")</f>
        <v/>
      </c>
      <c r="N6353">
        <f>IF(B6353,EXP(SUMPRODUCT(LN(1+(EvEff-1)*INDEX(Affected,0,C6353)*EXP(-((E6353-EvCenter)^2)/(2*EvSigma^2))))),"")</f>
        <v/>
      </c>
      <c r="O6353">
        <f>IF(B6353,ROUND(MAX(0,J6353*K6353*L6353*M6353*N6353),2),"")</f>
        <v/>
      </c>
    </row>
    <row r="6354">
      <c r="A6354" t="n">
        <v>6353</v>
      </c>
      <c r="B6354">
        <f>A6354&lt;=MineCount*Days</f>
        <v/>
      </c>
      <c r="C6354">
        <f>IF(B6354,INT((A6354-1)/Days)+1,"")</f>
        <v/>
      </c>
      <c r="D6354">
        <f>IF(B6354,MOD(A6354-1,Days),"")</f>
        <v/>
      </c>
      <c r="E6354" s="16">
        <f>IF(B6354,StartDate+D6354,"")</f>
        <v/>
      </c>
      <c r="F6354">
        <f>IF(B6354,MAX(MOD(SIN(Seed*0.1373+C6354*12.9898+D6354*78.233)*43758.5453,1),1E-9),"")</f>
        <v/>
      </c>
      <c r="G6354">
        <f>IF(B6354,MOD(SIN(Seed*0.5917+C6354*39.3468+D6354*11.135)*24634.6345,1),"")</f>
        <v/>
      </c>
      <c r="H6354">
        <f>IF(B6354,SQRT(-2*LN(F6354))*COS(2*PI()*G6354),"")</f>
        <v/>
      </c>
      <c r="I6354">
        <f>IF(B6354,IF(D6354=0,H6354,Rho*I6353+SQRT(1-Rho^2)*H6354),"")</f>
        <v/>
      </c>
      <c r="J6354">
        <f>IF(B6354,IF(Dist="Normal",DistA+DistB*I6354,DistA+(DistB-DistA)*NORMSDIST(I6354)),"")</f>
        <v/>
      </c>
      <c r="K6354">
        <f>IF(B6354,INDEX(MineScale,C6354),"")</f>
        <v/>
      </c>
      <c r="L6354">
        <f>IF(B6354,INDEX(Dow,1,WEEKDAY(E6354,2)),"")</f>
        <v/>
      </c>
      <c r="M6354">
        <f>IF(B6354,(1+Trend)^D6354,"")</f>
        <v/>
      </c>
      <c r="N6354">
        <f>IF(B6354,EXP(SUMPRODUCT(LN(1+(EvEff-1)*INDEX(Affected,0,C6354)*EXP(-((E6354-EvCenter)^2)/(2*EvSigma^2))))),"")</f>
        <v/>
      </c>
      <c r="O6354">
        <f>IF(B6354,ROUND(MAX(0,J6354*K6354*L6354*M6354*N6354),2),"")</f>
        <v/>
      </c>
    </row>
    <row r="6355">
      <c r="A6355" t="n">
        <v>6354</v>
      </c>
      <c r="B6355">
        <f>A6355&lt;=MineCount*Days</f>
        <v/>
      </c>
      <c r="C6355">
        <f>IF(B6355,INT((A6355-1)/Days)+1,"")</f>
        <v/>
      </c>
      <c r="D6355">
        <f>IF(B6355,MOD(A6355-1,Days),"")</f>
        <v/>
      </c>
      <c r="E6355" s="16">
        <f>IF(B6355,StartDate+D6355,"")</f>
        <v/>
      </c>
      <c r="F6355">
        <f>IF(B6355,MAX(MOD(SIN(Seed*0.1373+C6355*12.9898+D6355*78.233)*43758.5453,1),1E-9),"")</f>
        <v/>
      </c>
      <c r="G6355">
        <f>IF(B6355,MOD(SIN(Seed*0.5917+C6355*39.3468+D6355*11.135)*24634.6345,1),"")</f>
        <v/>
      </c>
      <c r="H6355">
        <f>IF(B6355,SQRT(-2*LN(F6355))*COS(2*PI()*G6355),"")</f>
        <v/>
      </c>
      <c r="I6355">
        <f>IF(B6355,IF(D6355=0,H6355,Rho*I6354+SQRT(1-Rho^2)*H6355),"")</f>
        <v/>
      </c>
      <c r="J6355">
        <f>IF(B6355,IF(Dist="Normal",DistA+DistB*I6355,DistA+(DistB-DistA)*NORMSDIST(I6355)),"")</f>
        <v/>
      </c>
      <c r="K6355">
        <f>IF(B6355,INDEX(MineScale,C6355),"")</f>
        <v/>
      </c>
      <c r="L6355">
        <f>IF(B6355,INDEX(Dow,1,WEEKDAY(E6355,2)),"")</f>
        <v/>
      </c>
      <c r="M6355">
        <f>IF(B6355,(1+Trend)^D6355,"")</f>
        <v/>
      </c>
      <c r="N6355">
        <f>IF(B6355,EXP(SUMPRODUCT(LN(1+(EvEff-1)*INDEX(Affected,0,C6355)*EXP(-((E6355-EvCenter)^2)/(2*EvSigma^2))))),"")</f>
        <v/>
      </c>
      <c r="O6355">
        <f>IF(B6355,ROUND(MAX(0,J6355*K6355*L6355*M6355*N6355),2),"")</f>
        <v/>
      </c>
    </row>
    <row r="6356">
      <c r="A6356" t="n">
        <v>6355</v>
      </c>
      <c r="B6356">
        <f>A6356&lt;=MineCount*Days</f>
        <v/>
      </c>
      <c r="C6356">
        <f>IF(B6356,INT((A6356-1)/Days)+1,"")</f>
        <v/>
      </c>
      <c r="D6356">
        <f>IF(B6356,MOD(A6356-1,Days),"")</f>
        <v/>
      </c>
      <c r="E6356" s="16">
        <f>IF(B6356,StartDate+D6356,"")</f>
        <v/>
      </c>
      <c r="F6356">
        <f>IF(B6356,MAX(MOD(SIN(Seed*0.1373+C6356*12.9898+D6356*78.233)*43758.5453,1),1E-9),"")</f>
        <v/>
      </c>
      <c r="G6356">
        <f>IF(B6356,MOD(SIN(Seed*0.5917+C6356*39.3468+D6356*11.135)*24634.6345,1),"")</f>
        <v/>
      </c>
      <c r="H6356">
        <f>IF(B6356,SQRT(-2*LN(F6356))*COS(2*PI()*G6356),"")</f>
        <v/>
      </c>
      <c r="I6356">
        <f>IF(B6356,IF(D6356=0,H6356,Rho*I6355+SQRT(1-Rho^2)*H6356),"")</f>
        <v/>
      </c>
      <c r="J6356">
        <f>IF(B6356,IF(Dist="Normal",DistA+DistB*I6356,DistA+(DistB-DistA)*NORMSDIST(I6356)),"")</f>
        <v/>
      </c>
      <c r="K6356">
        <f>IF(B6356,INDEX(MineScale,C6356),"")</f>
        <v/>
      </c>
      <c r="L6356">
        <f>IF(B6356,INDEX(Dow,1,WEEKDAY(E6356,2)),"")</f>
        <v/>
      </c>
      <c r="M6356">
        <f>IF(B6356,(1+Trend)^D6356,"")</f>
        <v/>
      </c>
      <c r="N6356">
        <f>IF(B6356,EXP(SUMPRODUCT(LN(1+(EvEff-1)*INDEX(Affected,0,C6356)*EXP(-((E6356-EvCenter)^2)/(2*EvSigma^2))))),"")</f>
        <v/>
      </c>
      <c r="O6356">
        <f>IF(B6356,ROUND(MAX(0,J6356*K6356*L6356*M6356*N6356),2),"")</f>
        <v/>
      </c>
    </row>
    <row r="6357">
      <c r="A6357" t="n">
        <v>6356</v>
      </c>
      <c r="B6357">
        <f>A6357&lt;=MineCount*Days</f>
        <v/>
      </c>
      <c r="C6357">
        <f>IF(B6357,INT((A6357-1)/Days)+1,"")</f>
        <v/>
      </c>
      <c r="D6357">
        <f>IF(B6357,MOD(A6357-1,Days),"")</f>
        <v/>
      </c>
      <c r="E6357" s="16">
        <f>IF(B6357,StartDate+D6357,"")</f>
        <v/>
      </c>
      <c r="F6357">
        <f>IF(B6357,MAX(MOD(SIN(Seed*0.1373+C6357*12.9898+D6357*78.233)*43758.5453,1),1E-9),"")</f>
        <v/>
      </c>
      <c r="G6357">
        <f>IF(B6357,MOD(SIN(Seed*0.5917+C6357*39.3468+D6357*11.135)*24634.6345,1),"")</f>
        <v/>
      </c>
      <c r="H6357">
        <f>IF(B6357,SQRT(-2*LN(F6357))*COS(2*PI()*G6357),"")</f>
        <v/>
      </c>
      <c r="I6357">
        <f>IF(B6357,IF(D6357=0,H6357,Rho*I6356+SQRT(1-Rho^2)*H6357),"")</f>
        <v/>
      </c>
      <c r="J6357">
        <f>IF(B6357,IF(Dist="Normal",DistA+DistB*I6357,DistA+(DistB-DistA)*NORMSDIST(I6357)),"")</f>
        <v/>
      </c>
      <c r="K6357">
        <f>IF(B6357,INDEX(MineScale,C6357),"")</f>
        <v/>
      </c>
      <c r="L6357">
        <f>IF(B6357,INDEX(Dow,1,WEEKDAY(E6357,2)),"")</f>
        <v/>
      </c>
      <c r="M6357">
        <f>IF(B6357,(1+Trend)^D6357,"")</f>
        <v/>
      </c>
      <c r="N6357">
        <f>IF(B6357,EXP(SUMPRODUCT(LN(1+(EvEff-1)*INDEX(Affected,0,C6357)*EXP(-((E6357-EvCenter)^2)/(2*EvSigma^2))))),"")</f>
        <v/>
      </c>
      <c r="O6357">
        <f>IF(B6357,ROUND(MAX(0,J6357*K6357*L6357*M6357*N6357),2),"")</f>
        <v/>
      </c>
    </row>
    <row r="6358">
      <c r="A6358" t="n">
        <v>6357</v>
      </c>
      <c r="B6358">
        <f>A6358&lt;=MineCount*Days</f>
        <v/>
      </c>
      <c r="C6358">
        <f>IF(B6358,INT((A6358-1)/Days)+1,"")</f>
        <v/>
      </c>
      <c r="D6358">
        <f>IF(B6358,MOD(A6358-1,Days),"")</f>
        <v/>
      </c>
      <c r="E6358" s="16">
        <f>IF(B6358,StartDate+D6358,"")</f>
        <v/>
      </c>
      <c r="F6358">
        <f>IF(B6358,MAX(MOD(SIN(Seed*0.1373+C6358*12.9898+D6358*78.233)*43758.5453,1),1E-9),"")</f>
        <v/>
      </c>
      <c r="G6358">
        <f>IF(B6358,MOD(SIN(Seed*0.5917+C6358*39.3468+D6358*11.135)*24634.6345,1),"")</f>
        <v/>
      </c>
      <c r="H6358">
        <f>IF(B6358,SQRT(-2*LN(F6358))*COS(2*PI()*G6358),"")</f>
        <v/>
      </c>
      <c r="I6358">
        <f>IF(B6358,IF(D6358=0,H6358,Rho*I6357+SQRT(1-Rho^2)*H6358),"")</f>
        <v/>
      </c>
      <c r="J6358">
        <f>IF(B6358,IF(Dist="Normal",DistA+DistB*I6358,DistA+(DistB-DistA)*NORMSDIST(I6358)),"")</f>
        <v/>
      </c>
      <c r="K6358">
        <f>IF(B6358,INDEX(MineScale,C6358),"")</f>
        <v/>
      </c>
      <c r="L6358">
        <f>IF(B6358,INDEX(Dow,1,WEEKDAY(E6358,2)),"")</f>
        <v/>
      </c>
      <c r="M6358">
        <f>IF(B6358,(1+Trend)^D6358,"")</f>
        <v/>
      </c>
      <c r="N6358">
        <f>IF(B6358,EXP(SUMPRODUCT(LN(1+(EvEff-1)*INDEX(Affected,0,C6358)*EXP(-((E6358-EvCenter)^2)/(2*EvSigma^2))))),"")</f>
        <v/>
      </c>
      <c r="O6358">
        <f>IF(B6358,ROUND(MAX(0,J6358*K6358*L6358*M6358*N6358),2),"")</f>
        <v/>
      </c>
    </row>
    <row r="6359">
      <c r="A6359" t="n">
        <v>6358</v>
      </c>
      <c r="B6359">
        <f>A6359&lt;=MineCount*Days</f>
        <v/>
      </c>
      <c r="C6359">
        <f>IF(B6359,INT((A6359-1)/Days)+1,"")</f>
        <v/>
      </c>
      <c r="D6359">
        <f>IF(B6359,MOD(A6359-1,Days),"")</f>
        <v/>
      </c>
      <c r="E6359" s="16">
        <f>IF(B6359,StartDate+D6359,"")</f>
        <v/>
      </c>
      <c r="F6359">
        <f>IF(B6359,MAX(MOD(SIN(Seed*0.1373+C6359*12.9898+D6359*78.233)*43758.5453,1),1E-9),"")</f>
        <v/>
      </c>
      <c r="G6359">
        <f>IF(B6359,MOD(SIN(Seed*0.5917+C6359*39.3468+D6359*11.135)*24634.6345,1),"")</f>
        <v/>
      </c>
      <c r="H6359">
        <f>IF(B6359,SQRT(-2*LN(F6359))*COS(2*PI()*G6359),"")</f>
        <v/>
      </c>
      <c r="I6359">
        <f>IF(B6359,IF(D6359=0,H6359,Rho*I6358+SQRT(1-Rho^2)*H6359),"")</f>
        <v/>
      </c>
      <c r="J6359">
        <f>IF(B6359,IF(Dist="Normal",DistA+DistB*I6359,DistA+(DistB-DistA)*NORMSDIST(I6359)),"")</f>
        <v/>
      </c>
      <c r="K6359">
        <f>IF(B6359,INDEX(MineScale,C6359),"")</f>
        <v/>
      </c>
      <c r="L6359">
        <f>IF(B6359,INDEX(Dow,1,WEEKDAY(E6359,2)),"")</f>
        <v/>
      </c>
      <c r="M6359">
        <f>IF(B6359,(1+Trend)^D6359,"")</f>
        <v/>
      </c>
      <c r="N6359">
        <f>IF(B6359,EXP(SUMPRODUCT(LN(1+(EvEff-1)*INDEX(Affected,0,C6359)*EXP(-((E6359-EvCenter)^2)/(2*EvSigma^2))))),"")</f>
        <v/>
      </c>
      <c r="O6359">
        <f>IF(B6359,ROUND(MAX(0,J6359*K6359*L6359*M6359*N6359),2),"")</f>
        <v/>
      </c>
    </row>
    <row r="6360">
      <c r="A6360" t="n">
        <v>6359</v>
      </c>
      <c r="B6360">
        <f>A6360&lt;=MineCount*Days</f>
        <v/>
      </c>
      <c r="C6360">
        <f>IF(B6360,INT((A6360-1)/Days)+1,"")</f>
        <v/>
      </c>
      <c r="D6360">
        <f>IF(B6360,MOD(A6360-1,Days),"")</f>
        <v/>
      </c>
      <c r="E6360" s="16">
        <f>IF(B6360,StartDate+D6360,"")</f>
        <v/>
      </c>
      <c r="F6360">
        <f>IF(B6360,MAX(MOD(SIN(Seed*0.1373+C6360*12.9898+D6360*78.233)*43758.5453,1),1E-9),"")</f>
        <v/>
      </c>
      <c r="G6360">
        <f>IF(B6360,MOD(SIN(Seed*0.5917+C6360*39.3468+D6360*11.135)*24634.6345,1),"")</f>
        <v/>
      </c>
      <c r="H6360">
        <f>IF(B6360,SQRT(-2*LN(F6360))*COS(2*PI()*G6360),"")</f>
        <v/>
      </c>
      <c r="I6360">
        <f>IF(B6360,IF(D6360=0,H6360,Rho*I6359+SQRT(1-Rho^2)*H6360),"")</f>
        <v/>
      </c>
      <c r="J6360">
        <f>IF(B6360,IF(Dist="Normal",DistA+DistB*I6360,DistA+(DistB-DistA)*NORMSDIST(I6360)),"")</f>
        <v/>
      </c>
      <c r="K6360">
        <f>IF(B6360,INDEX(MineScale,C6360),"")</f>
        <v/>
      </c>
      <c r="L6360">
        <f>IF(B6360,INDEX(Dow,1,WEEKDAY(E6360,2)),"")</f>
        <v/>
      </c>
      <c r="M6360">
        <f>IF(B6360,(1+Trend)^D6360,"")</f>
        <v/>
      </c>
      <c r="N6360">
        <f>IF(B6360,EXP(SUMPRODUCT(LN(1+(EvEff-1)*INDEX(Affected,0,C6360)*EXP(-((E6360-EvCenter)^2)/(2*EvSigma^2))))),"")</f>
        <v/>
      </c>
      <c r="O6360">
        <f>IF(B6360,ROUND(MAX(0,J6360*K6360*L6360*M6360*N6360),2),"")</f>
        <v/>
      </c>
    </row>
    <row r="6361">
      <c r="A6361" t="n">
        <v>6360</v>
      </c>
      <c r="B6361">
        <f>A6361&lt;=MineCount*Days</f>
        <v/>
      </c>
      <c r="C6361">
        <f>IF(B6361,INT((A6361-1)/Days)+1,"")</f>
        <v/>
      </c>
      <c r="D6361">
        <f>IF(B6361,MOD(A6361-1,Days),"")</f>
        <v/>
      </c>
      <c r="E6361" s="16">
        <f>IF(B6361,StartDate+D6361,"")</f>
        <v/>
      </c>
      <c r="F6361">
        <f>IF(B6361,MAX(MOD(SIN(Seed*0.1373+C6361*12.9898+D6361*78.233)*43758.5453,1),1E-9),"")</f>
        <v/>
      </c>
      <c r="G6361">
        <f>IF(B6361,MOD(SIN(Seed*0.5917+C6361*39.3468+D6361*11.135)*24634.6345,1),"")</f>
        <v/>
      </c>
      <c r="H6361">
        <f>IF(B6361,SQRT(-2*LN(F6361))*COS(2*PI()*G6361),"")</f>
        <v/>
      </c>
      <c r="I6361">
        <f>IF(B6361,IF(D6361=0,H6361,Rho*I6360+SQRT(1-Rho^2)*H6361),"")</f>
        <v/>
      </c>
      <c r="J6361">
        <f>IF(B6361,IF(Dist="Normal",DistA+DistB*I6361,DistA+(DistB-DistA)*NORMSDIST(I6361)),"")</f>
        <v/>
      </c>
      <c r="K6361">
        <f>IF(B6361,INDEX(MineScale,C6361),"")</f>
        <v/>
      </c>
      <c r="L6361">
        <f>IF(B6361,INDEX(Dow,1,WEEKDAY(E6361,2)),"")</f>
        <v/>
      </c>
      <c r="M6361">
        <f>IF(B6361,(1+Trend)^D6361,"")</f>
        <v/>
      </c>
      <c r="N6361">
        <f>IF(B6361,EXP(SUMPRODUCT(LN(1+(EvEff-1)*INDEX(Affected,0,C6361)*EXP(-((E6361-EvCenter)^2)/(2*EvSigma^2))))),"")</f>
        <v/>
      </c>
      <c r="O6361">
        <f>IF(B6361,ROUND(MAX(0,J6361*K6361*L6361*M6361*N6361),2),"")</f>
        <v/>
      </c>
    </row>
    <row r="6362">
      <c r="A6362" t="n">
        <v>6361</v>
      </c>
      <c r="B6362">
        <f>A6362&lt;=MineCount*Days</f>
        <v/>
      </c>
      <c r="C6362">
        <f>IF(B6362,INT((A6362-1)/Days)+1,"")</f>
        <v/>
      </c>
      <c r="D6362">
        <f>IF(B6362,MOD(A6362-1,Days),"")</f>
        <v/>
      </c>
      <c r="E6362" s="16">
        <f>IF(B6362,StartDate+D6362,"")</f>
        <v/>
      </c>
      <c r="F6362">
        <f>IF(B6362,MAX(MOD(SIN(Seed*0.1373+C6362*12.9898+D6362*78.233)*43758.5453,1),1E-9),"")</f>
        <v/>
      </c>
      <c r="G6362">
        <f>IF(B6362,MOD(SIN(Seed*0.5917+C6362*39.3468+D6362*11.135)*24634.6345,1),"")</f>
        <v/>
      </c>
      <c r="H6362">
        <f>IF(B6362,SQRT(-2*LN(F6362))*COS(2*PI()*G6362),"")</f>
        <v/>
      </c>
      <c r="I6362">
        <f>IF(B6362,IF(D6362=0,H6362,Rho*I6361+SQRT(1-Rho^2)*H6362),"")</f>
        <v/>
      </c>
      <c r="J6362">
        <f>IF(B6362,IF(Dist="Normal",DistA+DistB*I6362,DistA+(DistB-DistA)*NORMSDIST(I6362)),"")</f>
        <v/>
      </c>
      <c r="K6362">
        <f>IF(B6362,INDEX(MineScale,C6362),"")</f>
        <v/>
      </c>
      <c r="L6362">
        <f>IF(B6362,INDEX(Dow,1,WEEKDAY(E6362,2)),"")</f>
        <v/>
      </c>
      <c r="M6362">
        <f>IF(B6362,(1+Trend)^D6362,"")</f>
        <v/>
      </c>
      <c r="N6362">
        <f>IF(B6362,EXP(SUMPRODUCT(LN(1+(EvEff-1)*INDEX(Affected,0,C6362)*EXP(-((E6362-EvCenter)^2)/(2*EvSigma^2))))),"")</f>
        <v/>
      </c>
      <c r="O6362">
        <f>IF(B6362,ROUND(MAX(0,J6362*K6362*L6362*M6362*N6362),2),"")</f>
        <v/>
      </c>
    </row>
    <row r="6363">
      <c r="A6363" t="n">
        <v>6362</v>
      </c>
      <c r="B6363">
        <f>A6363&lt;=MineCount*Days</f>
        <v/>
      </c>
      <c r="C6363">
        <f>IF(B6363,INT((A6363-1)/Days)+1,"")</f>
        <v/>
      </c>
      <c r="D6363">
        <f>IF(B6363,MOD(A6363-1,Days),"")</f>
        <v/>
      </c>
      <c r="E6363" s="16">
        <f>IF(B6363,StartDate+D6363,"")</f>
        <v/>
      </c>
      <c r="F6363">
        <f>IF(B6363,MAX(MOD(SIN(Seed*0.1373+C6363*12.9898+D6363*78.233)*43758.5453,1),1E-9),"")</f>
        <v/>
      </c>
      <c r="G6363">
        <f>IF(B6363,MOD(SIN(Seed*0.5917+C6363*39.3468+D6363*11.135)*24634.6345,1),"")</f>
        <v/>
      </c>
      <c r="H6363">
        <f>IF(B6363,SQRT(-2*LN(F6363))*COS(2*PI()*G6363),"")</f>
        <v/>
      </c>
      <c r="I6363">
        <f>IF(B6363,IF(D6363=0,H6363,Rho*I6362+SQRT(1-Rho^2)*H6363),"")</f>
        <v/>
      </c>
      <c r="J6363">
        <f>IF(B6363,IF(Dist="Normal",DistA+DistB*I6363,DistA+(DistB-DistA)*NORMSDIST(I6363)),"")</f>
        <v/>
      </c>
      <c r="K6363">
        <f>IF(B6363,INDEX(MineScale,C6363),"")</f>
        <v/>
      </c>
      <c r="L6363">
        <f>IF(B6363,INDEX(Dow,1,WEEKDAY(E6363,2)),"")</f>
        <v/>
      </c>
      <c r="M6363">
        <f>IF(B6363,(1+Trend)^D6363,"")</f>
        <v/>
      </c>
      <c r="N6363">
        <f>IF(B6363,EXP(SUMPRODUCT(LN(1+(EvEff-1)*INDEX(Affected,0,C6363)*EXP(-((E6363-EvCenter)^2)/(2*EvSigma^2))))),"")</f>
        <v/>
      </c>
      <c r="O6363">
        <f>IF(B6363,ROUND(MAX(0,J6363*K6363*L6363*M6363*N6363),2),"")</f>
        <v/>
      </c>
    </row>
    <row r="6364">
      <c r="A6364" t="n">
        <v>6363</v>
      </c>
      <c r="B6364">
        <f>A6364&lt;=MineCount*Days</f>
        <v/>
      </c>
      <c r="C6364">
        <f>IF(B6364,INT((A6364-1)/Days)+1,"")</f>
        <v/>
      </c>
      <c r="D6364">
        <f>IF(B6364,MOD(A6364-1,Days),"")</f>
        <v/>
      </c>
      <c r="E6364" s="16">
        <f>IF(B6364,StartDate+D6364,"")</f>
        <v/>
      </c>
      <c r="F6364">
        <f>IF(B6364,MAX(MOD(SIN(Seed*0.1373+C6364*12.9898+D6364*78.233)*43758.5453,1),1E-9),"")</f>
        <v/>
      </c>
      <c r="G6364">
        <f>IF(B6364,MOD(SIN(Seed*0.5917+C6364*39.3468+D6364*11.135)*24634.6345,1),"")</f>
        <v/>
      </c>
      <c r="H6364">
        <f>IF(B6364,SQRT(-2*LN(F6364))*COS(2*PI()*G6364),"")</f>
        <v/>
      </c>
      <c r="I6364">
        <f>IF(B6364,IF(D6364=0,H6364,Rho*I6363+SQRT(1-Rho^2)*H6364),"")</f>
        <v/>
      </c>
      <c r="J6364">
        <f>IF(B6364,IF(Dist="Normal",DistA+DistB*I6364,DistA+(DistB-DistA)*NORMSDIST(I6364)),"")</f>
        <v/>
      </c>
      <c r="K6364">
        <f>IF(B6364,INDEX(MineScale,C6364),"")</f>
        <v/>
      </c>
      <c r="L6364">
        <f>IF(B6364,INDEX(Dow,1,WEEKDAY(E6364,2)),"")</f>
        <v/>
      </c>
      <c r="M6364">
        <f>IF(B6364,(1+Trend)^D6364,"")</f>
        <v/>
      </c>
      <c r="N6364">
        <f>IF(B6364,EXP(SUMPRODUCT(LN(1+(EvEff-1)*INDEX(Affected,0,C6364)*EXP(-((E6364-EvCenter)^2)/(2*EvSigma^2))))),"")</f>
        <v/>
      </c>
      <c r="O6364">
        <f>IF(B6364,ROUND(MAX(0,J6364*K6364*L6364*M6364*N6364),2),"")</f>
        <v/>
      </c>
    </row>
    <row r="6365">
      <c r="A6365" t="n">
        <v>6364</v>
      </c>
      <c r="B6365">
        <f>A6365&lt;=MineCount*Days</f>
        <v/>
      </c>
      <c r="C6365">
        <f>IF(B6365,INT((A6365-1)/Days)+1,"")</f>
        <v/>
      </c>
      <c r="D6365">
        <f>IF(B6365,MOD(A6365-1,Days),"")</f>
        <v/>
      </c>
      <c r="E6365" s="16">
        <f>IF(B6365,StartDate+D6365,"")</f>
        <v/>
      </c>
      <c r="F6365">
        <f>IF(B6365,MAX(MOD(SIN(Seed*0.1373+C6365*12.9898+D6365*78.233)*43758.5453,1),1E-9),"")</f>
        <v/>
      </c>
      <c r="G6365">
        <f>IF(B6365,MOD(SIN(Seed*0.5917+C6365*39.3468+D6365*11.135)*24634.6345,1),"")</f>
        <v/>
      </c>
      <c r="H6365">
        <f>IF(B6365,SQRT(-2*LN(F6365))*COS(2*PI()*G6365),"")</f>
        <v/>
      </c>
      <c r="I6365">
        <f>IF(B6365,IF(D6365=0,H6365,Rho*I6364+SQRT(1-Rho^2)*H6365),"")</f>
        <v/>
      </c>
      <c r="J6365">
        <f>IF(B6365,IF(Dist="Normal",DistA+DistB*I6365,DistA+(DistB-DistA)*NORMSDIST(I6365)),"")</f>
        <v/>
      </c>
      <c r="K6365">
        <f>IF(B6365,INDEX(MineScale,C6365),"")</f>
        <v/>
      </c>
      <c r="L6365">
        <f>IF(B6365,INDEX(Dow,1,WEEKDAY(E6365,2)),"")</f>
        <v/>
      </c>
      <c r="M6365">
        <f>IF(B6365,(1+Trend)^D6365,"")</f>
        <v/>
      </c>
      <c r="N6365">
        <f>IF(B6365,EXP(SUMPRODUCT(LN(1+(EvEff-1)*INDEX(Affected,0,C6365)*EXP(-((E6365-EvCenter)^2)/(2*EvSigma^2))))),"")</f>
        <v/>
      </c>
      <c r="O6365">
        <f>IF(B6365,ROUND(MAX(0,J6365*K6365*L6365*M6365*N6365),2),"")</f>
        <v/>
      </c>
    </row>
    <row r="6366">
      <c r="A6366" t="n">
        <v>6365</v>
      </c>
      <c r="B6366">
        <f>A6366&lt;=MineCount*Days</f>
        <v/>
      </c>
      <c r="C6366">
        <f>IF(B6366,INT((A6366-1)/Days)+1,"")</f>
        <v/>
      </c>
      <c r="D6366">
        <f>IF(B6366,MOD(A6366-1,Days),"")</f>
        <v/>
      </c>
      <c r="E6366" s="16">
        <f>IF(B6366,StartDate+D6366,"")</f>
        <v/>
      </c>
      <c r="F6366">
        <f>IF(B6366,MAX(MOD(SIN(Seed*0.1373+C6366*12.9898+D6366*78.233)*43758.5453,1),1E-9),"")</f>
        <v/>
      </c>
      <c r="G6366">
        <f>IF(B6366,MOD(SIN(Seed*0.5917+C6366*39.3468+D6366*11.135)*24634.6345,1),"")</f>
        <v/>
      </c>
      <c r="H6366">
        <f>IF(B6366,SQRT(-2*LN(F6366))*COS(2*PI()*G6366),"")</f>
        <v/>
      </c>
      <c r="I6366">
        <f>IF(B6366,IF(D6366=0,H6366,Rho*I6365+SQRT(1-Rho^2)*H6366),"")</f>
        <v/>
      </c>
      <c r="J6366">
        <f>IF(B6366,IF(Dist="Normal",DistA+DistB*I6366,DistA+(DistB-DistA)*NORMSDIST(I6366)),"")</f>
        <v/>
      </c>
      <c r="K6366">
        <f>IF(B6366,INDEX(MineScale,C6366),"")</f>
        <v/>
      </c>
      <c r="L6366">
        <f>IF(B6366,INDEX(Dow,1,WEEKDAY(E6366,2)),"")</f>
        <v/>
      </c>
      <c r="M6366">
        <f>IF(B6366,(1+Trend)^D6366,"")</f>
        <v/>
      </c>
      <c r="N6366">
        <f>IF(B6366,EXP(SUMPRODUCT(LN(1+(EvEff-1)*INDEX(Affected,0,C6366)*EXP(-((E6366-EvCenter)^2)/(2*EvSigma^2))))),"")</f>
        <v/>
      </c>
      <c r="O6366">
        <f>IF(B6366,ROUND(MAX(0,J6366*K6366*L6366*M6366*N6366),2),"")</f>
        <v/>
      </c>
    </row>
    <row r="6367">
      <c r="A6367" t="n">
        <v>6366</v>
      </c>
      <c r="B6367">
        <f>A6367&lt;=MineCount*Days</f>
        <v/>
      </c>
      <c r="C6367">
        <f>IF(B6367,INT((A6367-1)/Days)+1,"")</f>
        <v/>
      </c>
      <c r="D6367">
        <f>IF(B6367,MOD(A6367-1,Days),"")</f>
        <v/>
      </c>
      <c r="E6367" s="16">
        <f>IF(B6367,StartDate+D6367,"")</f>
        <v/>
      </c>
      <c r="F6367">
        <f>IF(B6367,MAX(MOD(SIN(Seed*0.1373+C6367*12.9898+D6367*78.233)*43758.5453,1),1E-9),"")</f>
        <v/>
      </c>
      <c r="G6367">
        <f>IF(B6367,MOD(SIN(Seed*0.5917+C6367*39.3468+D6367*11.135)*24634.6345,1),"")</f>
        <v/>
      </c>
      <c r="H6367">
        <f>IF(B6367,SQRT(-2*LN(F6367))*COS(2*PI()*G6367),"")</f>
        <v/>
      </c>
      <c r="I6367">
        <f>IF(B6367,IF(D6367=0,H6367,Rho*I6366+SQRT(1-Rho^2)*H6367),"")</f>
        <v/>
      </c>
      <c r="J6367">
        <f>IF(B6367,IF(Dist="Normal",DistA+DistB*I6367,DistA+(DistB-DistA)*NORMSDIST(I6367)),"")</f>
        <v/>
      </c>
      <c r="K6367">
        <f>IF(B6367,INDEX(MineScale,C6367),"")</f>
        <v/>
      </c>
      <c r="L6367">
        <f>IF(B6367,INDEX(Dow,1,WEEKDAY(E6367,2)),"")</f>
        <v/>
      </c>
      <c r="M6367">
        <f>IF(B6367,(1+Trend)^D6367,"")</f>
        <v/>
      </c>
      <c r="N6367">
        <f>IF(B6367,EXP(SUMPRODUCT(LN(1+(EvEff-1)*INDEX(Affected,0,C6367)*EXP(-((E6367-EvCenter)^2)/(2*EvSigma^2))))),"")</f>
        <v/>
      </c>
      <c r="O6367">
        <f>IF(B6367,ROUND(MAX(0,J6367*K6367*L6367*M6367*N6367),2),"")</f>
        <v/>
      </c>
    </row>
    <row r="6368">
      <c r="A6368" t="n">
        <v>6367</v>
      </c>
      <c r="B6368">
        <f>A6368&lt;=MineCount*Days</f>
        <v/>
      </c>
      <c r="C6368">
        <f>IF(B6368,INT((A6368-1)/Days)+1,"")</f>
        <v/>
      </c>
      <c r="D6368">
        <f>IF(B6368,MOD(A6368-1,Days),"")</f>
        <v/>
      </c>
      <c r="E6368" s="16">
        <f>IF(B6368,StartDate+D6368,"")</f>
        <v/>
      </c>
      <c r="F6368">
        <f>IF(B6368,MAX(MOD(SIN(Seed*0.1373+C6368*12.9898+D6368*78.233)*43758.5453,1),1E-9),"")</f>
        <v/>
      </c>
      <c r="G6368">
        <f>IF(B6368,MOD(SIN(Seed*0.5917+C6368*39.3468+D6368*11.135)*24634.6345,1),"")</f>
        <v/>
      </c>
      <c r="H6368">
        <f>IF(B6368,SQRT(-2*LN(F6368))*COS(2*PI()*G6368),"")</f>
        <v/>
      </c>
      <c r="I6368">
        <f>IF(B6368,IF(D6368=0,H6368,Rho*I6367+SQRT(1-Rho^2)*H6368),"")</f>
        <v/>
      </c>
      <c r="J6368">
        <f>IF(B6368,IF(Dist="Normal",DistA+DistB*I6368,DistA+(DistB-DistA)*NORMSDIST(I6368)),"")</f>
        <v/>
      </c>
      <c r="K6368">
        <f>IF(B6368,INDEX(MineScale,C6368),"")</f>
        <v/>
      </c>
      <c r="L6368">
        <f>IF(B6368,INDEX(Dow,1,WEEKDAY(E6368,2)),"")</f>
        <v/>
      </c>
      <c r="M6368">
        <f>IF(B6368,(1+Trend)^D6368,"")</f>
        <v/>
      </c>
      <c r="N6368">
        <f>IF(B6368,EXP(SUMPRODUCT(LN(1+(EvEff-1)*INDEX(Affected,0,C6368)*EXP(-((E6368-EvCenter)^2)/(2*EvSigma^2))))),"")</f>
        <v/>
      </c>
      <c r="O6368">
        <f>IF(B6368,ROUND(MAX(0,J6368*K6368*L6368*M6368*N6368),2),"")</f>
        <v/>
      </c>
    </row>
    <row r="6369">
      <c r="A6369" t="n">
        <v>6368</v>
      </c>
      <c r="B6369">
        <f>A6369&lt;=MineCount*Days</f>
        <v/>
      </c>
      <c r="C6369">
        <f>IF(B6369,INT((A6369-1)/Days)+1,"")</f>
        <v/>
      </c>
      <c r="D6369">
        <f>IF(B6369,MOD(A6369-1,Days),"")</f>
        <v/>
      </c>
      <c r="E6369" s="16">
        <f>IF(B6369,StartDate+D6369,"")</f>
        <v/>
      </c>
      <c r="F6369">
        <f>IF(B6369,MAX(MOD(SIN(Seed*0.1373+C6369*12.9898+D6369*78.233)*43758.5453,1),1E-9),"")</f>
        <v/>
      </c>
      <c r="G6369">
        <f>IF(B6369,MOD(SIN(Seed*0.5917+C6369*39.3468+D6369*11.135)*24634.6345,1),"")</f>
        <v/>
      </c>
      <c r="H6369">
        <f>IF(B6369,SQRT(-2*LN(F6369))*COS(2*PI()*G6369),"")</f>
        <v/>
      </c>
      <c r="I6369">
        <f>IF(B6369,IF(D6369=0,H6369,Rho*I6368+SQRT(1-Rho^2)*H6369),"")</f>
        <v/>
      </c>
      <c r="J6369">
        <f>IF(B6369,IF(Dist="Normal",DistA+DistB*I6369,DistA+(DistB-DistA)*NORMSDIST(I6369)),"")</f>
        <v/>
      </c>
      <c r="K6369">
        <f>IF(B6369,INDEX(MineScale,C6369),"")</f>
        <v/>
      </c>
      <c r="L6369">
        <f>IF(B6369,INDEX(Dow,1,WEEKDAY(E6369,2)),"")</f>
        <v/>
      </c>
      <c r="M6369">
        <f>IF(B6369,(1+Trend)^D6369,"")</f>
        <v/>
      </c>
      <c r="N6369">
        <f>IF(B6369,EXP(SUMPRODUCT(LN(1+(EvEff-1)*INDEX(Affected,0,C6369)*EXP(-((E6369-EvCenter)^2)/(2*EvSigma^2))))),"")</f>
        <v/>
      </c>
      <c r="O6369">
        <f>IF(B6369,ROUND(MAX(0,J6369*K6369*L6369*M6369*N6369),2),"")</f>
        <v/>
      </c>
    </row>
    <row r="6370">
      <c r="A6370" t="n">
        <v>6369</v>
      </c>
      <c r="B6370">
        <f>A6370&lt;=MineCount*Days</f>
        <v/>
      </c>
      <c r="C6370">
        <f>IF(B6370,INT((A6370-1)/Days)+1,"")</f>
        <v/>
      </c>
      <c r="D6370">
        <f>IF(B6370,MOD(A6370-1,Days),"")</f>
        <v/>
      </c>
      <c r="E6370" s="16">
        <f>IF(B6370,StartDate+D6370,"")</f>
        <v/>
      </c>
      <c r="F6370">
        <f>IF(B6370,MAX(MOD(SIN(Seed*0.1373+C6370*12.9898+D6370*78.233)*43758.5453,1),1E-9),"")</f>
        <v/>
      </c>
      <c r="G6370">
        <f>IF(B6370,MOD(SIN(Seed*0.5917+C6370*39.3468+D6370*11.135)*24634.6345,1),"")</f>
        <v/>
      </c>
      <c r="H6370">
        <f>IF(B6370,SQRT(-2*LN(F6370))*COS(2*PI()*G6370),"")</f>
        <v/>
      </c>
      <c r="I6370">
        <f>IF(B6370,IF(D6370=0,H6370,Rho*I6369+SQRT(1-Rho^2)*H6370),"")</f>
        <v/>
      </c>
      <c r="J6370">
        <f>IF(B6370,IF(Dist="Normal",DistA+DistB*I6370,DistA+(DistB-DistA)*NORMSDIST(I6370)),"")</f>
        <v/>
      </c>
      <c r="K6370">
        <f>IF(B6370,INDEX(MineScale,C6370),"")</f>
        <v/>
      </c>
      <c r="L6370">
        <f>IF(B6370,INDEX(Dow,1,WEEKDAY(E6370,2)),"")</f>
        <v/>
      </c>
      <c r="M6370">
        <f>IF(B6370,(1+Trend)^D6370,"")</f>
        <v/>
      </c>
      <c r="N6370">
        <f>IF(B6370,EXP(SUMPRODUCT(LN(1+(EvEff-1)*INDEX(Affected,0,C6370)*EXP(-((E6370-EvCenter)^2)/(2*EvSigma^2))))),"")</f>
        <v/>
      </c>
      <c r="O6370">
        <f>IF(B6370,ROUND(MAX(0,J6370*K6370*L6370*M6370*N6370),2),"")</f>
        <v/>
      </c>
    </row>
    <row r="6371">
      <c r="A6371" t="n">
        <v>6370</v>
      </c>
      <c r="B6371">
        <f>A6371&lt;=MineCount*Days</f>
        <v/>
      </c>
      <c r="C6371">
        <f>IF(B6371,INT((A6371-1)/Days)+1,"")</f>
        <v/>
      </c>
      <c r="D6371">
        <f>IF(B6371,MOD(A6371-1,Days),"")</f>
        <v/>
      </c>
      <c r="E6371" s="16">
        <f>IF(B6371,StartDate+D6371,"")</f>
        <v/>
      </c>
      <c r="F6371">
        <f>IF(B6371,MAX(MOD(SIN(Seed*0.1373+C6371*12.9898+D6371*78.233)*43758.5453,1),1E-9),"")</f>
        <v/>
      </c>
      <c r="G6371">
        <f>IF(B6371,MOD(SIN(Seed*0.5917+C6371*39.3468+D6371*11.135)*24634.6345,1),"")</f>
        <v/>
      </c>
      <c r="H6371">
        <f>IF(B6371,SQRT(-2*LN(F6371))*COS(2*PI()*G6371),"")</f>
        <v/>
      </c>
      <c r="I6371">
        <f>IF(B6371,IF(D6371=0,H6371,Rho*I6370+SQRT(1-Rho^2)*H6371),"")</f>
        <v/>
      </c>
      <c r="J6371">
        <f>IF(B6371,IF(Dist="Normal",DistA+DistB*I6371,DistA+(DistB-DistA)*NORMSDIST(I6371)),"")</f>
        <v/>
      </c>
      <c r="K6371">
        <f>IF(B6371,INDEX(MineScale,C6371),"")</f>
        <v/>
      </c>
      <c r="L6371">
        <f>IF(B6371,INDEX(Dow,1,WEEKDAY(E6371,2)),"")</f>
        <v/>
      </c>
      <c r="M6371">
        <f>IF(B6371,(1+Trend)^D6371,"")</f>
        <v/>
      </c>
      <c r="N6371">
        <f>IF(B6371,EXP(SUMPRODUCT(LN(1+(EvEff-1)*INDEX(Affected,0,C6371)*EXP(-((E6371-EvCenter)^2)/(2*EvSigma^2))))),"")</f>
        <v/>
      </c>
      <c r="O6371">
        <f>IF(B6371,ROUND(MAX(0,J6371*K6371*L6371*M6371*N6371),2),"")</f>
        <v/>
      </c>
    </row>
    <row r="6372">
      <c r="A6372" t="n">
        <v>6371</v>
      </c>
      <c r="B6372">
        <f>A6372&lt;=MineCount*Days</f>
        <v/>
      </c>
      <c r="C6372">
        <f>IF(B6372,INT((A6372-1)/Days)+1,"")</f>
        <v/>
      </c>
      <c r="D6372">
        <f>IF(B6372,MOD(A6372-1,Days),"")</f>
        <v/>
      </c>
      <c r="E6372" s="16">
        <f>IF(B6372,StartDate+D6372,"")</f>
        <v/>
      </c>
      <c r="F6372">
        <f>IF(B6372,MAX(MOD(SIN(Seed*0.1373+C6372*12.9898+D6372*78.233)*43758.5453,1),1E-9),"")</f>
        <v/>
      </c>
      <c r="G6372">
        <f>IF(B6372,MOD(SIN(Seed*0.5917+C6372*39.3468+D6372*11.135)*24634.6345,1),"")</f>
        <v/>
      </c>
      <c r="H6372">
        <f>IF(B6372,SQRT(-2*LN(F6372))*COS(2*PI()*G6372),"")</f>
        <v/>
      </c>
      <c r="I6372">
        <f>IF(B6372,IF(D6372=0,H6372,Rho*I6371+SQRT(1-Rho^2)*H6372),"")</f>
        <v/>
      </c>
      <c r="J6372">
        <f>IF(B6372,IF(Dist="Normal",DistA+DistB*I6372,DistA+(DistB-DistA)*NORMSDIST(I6372)),"")</f>
        <v/>
      </c>
      <c r="K6372">
        <f>IF(B6372,INDEX(MineScale,C6372),"")</f>
        <v/>
      </c>
      <c r="L6372">
        <f>IF(B6372,INDEX(Dow,1,WEEKDAY(E6372,2)),"")</f>
        <v/>
      </c>
      <c r="M6372">
        <f>IF(B6372,(1+Trend)^D6372,"")</f>
        <v/>
      </c>
      <c r="N6372">
        <f>IF(B6372,EXP(SUMPRODUCT(LN(1+(EvEff-1)*INDEX(Affected,0,C6372)*EXP(-((E6372-EvCenter)^2)/(2*EvSigma^2))))),"")</f>
        <v/>
      </c>
      <c r="O6372">
        <f>IF(B6372,ROUND(MAX(0,J6372*K6372*L6372*M6372*N6372),2),"")</f>
        <v/>
      </c>
    </row>
    <row r="6373">
      <c r="A6373" t="n">
        <v>6372</v>
      </c>
      <c r="B6373">
        <f>A6373&lt;=MineCount*Days</f>
        <v/>
      </c>
      <c r="C6373">
        <f>IF(B6373,INT((A6373-1)/Days)+1,"")</f>
        <v/>
      </c>
      <c r="D6373">
        <f>IF(B6373,MOD(A6373-1,Days),"")</f>
        <v/>
      </c>
      <c r="E6373" s="16">
        <f>IF(B6373,StartDate+D6373,"")</f>
        <v/>
      </c>
      <c r="F6373">
        <f>IF(B6373,MAX(MOD(SIN(Seed*0.1373+C6373*12.9898+D6373*78.233)*43758.5453,1),1E-9),"")</f>
        <v/>
      </c>
      <c r="G6373">
        <f>IF(B6373,MOD(SIN(Seed*0.5917+C6373*39.3468+D6373*11.135)*24634.6345,1),"")</f>
        <v/>
      </c>
      <c r="H6373">
        <f>IF(B6373,SQRT(-2*LN(F6373))*COS(2*PI()*G6373),"")</f>
        <v/>
      </c>
      <c r="I6373">
        <f>IF(B6373,IF(D6373=0,H6373,Rho*I6372+SQRT(1-Rho^2)*H6373),"")</f>
        <v/>
      </c>
      <c r="J6373">
        <f>IF(B6373,IF(Dist="Normal",DistA+DistB*I6373,DistA+(DistB-DistA)*NORMSDIST(I6373)),"")</f>
        <v/>
      </c>
      <c r="K6373">
        <f>IF(B6373,INDEX(MineScale,C6373),"")</f>
        <v/>
      </c>
      <c r="L6373">
        <f>IF(B6373,INDEX(Dow,1,WEEKDAY(E6373,2)),"")</f>
        <v/>
      </c>
      <c r="M6373">
        <f>IF(B6373,(1+Trend)^D6373,"")</f>
        <v/>
      </c>
      <c r="N6373">
        <f>IF(B6373,EXP(SUMPRODUCT(LN(1+(EvEff-1)*INDEX(Affected,0,C6373)*EXP(-((E6373-EvCenter)^2)/(2*EvSigma^2))))),"")</f>
        <v/>
      </c>
      <c r="O6373">
        <f>IF(B6373,ROUND(MAX(0,J6373*K6373*L6373*M6373*N6373),2),"")</f>
        <v/>
      </c>
    </row>
    <row r="6374">
      <c r="A6374" t="n">
        <v>6373</v>
      </c>
      <c r="B6374">
        <f>A6374&lt;=MineCount*Days</f>
        <v/>
      </c>
      <c r="C6374">
        <f>IF(B6374,INT((A6374-1)/Days)+1,"")</f>
        <v/>
      </c>
      <c r="D6374">
        <f>IF(B6374,MOD(A6374-1,Days),"")</f>
        <v/>
      </c>
      <c r="E6374" s="16">
        <f>IF(B6374,StartDate+D6374,"")</f>
        <v/>
      </c>
      <c r="F6374">
        <f>IF(B6374,MAX(MOD(SIN(Seed*0.1373+C6374*12.9898+D6374*78.233)*43758.5453,1),1E-9),"")</f>
        <v/>
      </c>
      <c r="G6374">
        <f>IF(B6374,MOD(SIN(Seed*0.5917+C6374*39.3468+D6374*11.135)*24634.6345,1),"")</f>
        <v/>
      </c>
      <c r="H6374">
        <f>IF(B6374,SQRT(-2*LN(F6374))*COS(2*PI()*G6374),"")</f>
        <v/>
      </c>
      <c r="I6374">
        <f>IF(B6374,IF(D6374=0,H6374,Rho*I6373+SQRT(1-Rho^2)*H6374),"")</f>
        <v/>
      </c>
      <c r="J6374">
        <f>IF(B6374,IF(Dist="Normal",DistA+DistB*I6374,DistA+(DistB-DistA)*NORMSDIST(I6374)),"")</f>
        <v/>
      </c>
      <c r="K6374">
        <f>IF(B6374,INDEX(MineScale,C6374),"")</f>
        <v/>
      </c>
      <c r="L6374">
        <f>IF(B6374,INDEX(Dow,1,WEEKDAY(E6374,2)),"")</f>
        <v/>
      </c>
      <c r="M6374">
        <f>IF(B6374,(1+Trend)^D6374,"")</f>
        <v/>
      </c>
      <c r="N6374">
        <f>IF(B6374,EXP(SUMPRODUCT(LN(1+(EvEff-1)*INDEX(Affected,0,C6374)*EXP(-((E6374-EvCenter)^2)/(2*EvSigma^2))))),"")</f>
        <v/>
      </c>
      <c r="O6374">
        <f>IF(B6374,ROUND(MAX(0,J6374*K6374*L6374*M6374*N6374),2),"")</f>
        <v/>
      </c>
    </row>
    <row r="6375">
      <c r="A6375" t="n">
        <v>6374</v>
      </c>
      <c r="B6375">
        <f>A6375&lt;=MineCount*Days</f>
        <v/>
      </c>
      <c r="C6375">
        <f>IF(B6375,INT((A6375-1)/Days)+1,"")</f>
        <v/>
      </c>
      <c r="D6375">
        <f>IF(B6375,MOD(A6375-1,Days),"")</f>
        <v/>
      </c>
      <c r="E6375" s="16">
        <f>IF(B6375,StartDate+D6375,"")</f>
        <v/>
      </c>
      <c r="F6375">
        <f>IF(B6375,MAX(MOD(SIN(Seed*0.1373+C6375*12.9898+D6375*78.233)*43758.5453,1),1E-9),"")</f>
        <v/>
      </c>
      <c r="G6375">
        <f>IF(B6375,MOD(SIN(Seed*0.5917+C6375*39.3468+D6375*11.135)*24634.6345,1),"")</f>
        <v/>
      </c>
      <c r="H6375">
        <f>IF(B6375,SQRT(-2*LN(F6375))*COS(2*PI()*G6375),"")</f>
        <v/>
      </c>
      <c r="I6375">
        <f>IF(B6375,IF(D6375=0,H6375,Rho*I6374+SQRT(1-Rho^2)*H6375),"")</f>
        <v/>
      </c>
      <c r="J6375">
        <f>IF(B6375,IF(Dist="Normal",DistA+DistB*I6375,DistA+(DistB-DistA)*NORMSDIST(I6375)),"")</f>
        <v/>
      </c>
      <c r="K6375">
        <f>IF(B6375,INDEX(MineScale,C6375),"")</f>
        <v/>
      </c>
      <c r="L6375">
        <f>IF(B6375,INDEX(Dow,1,WEEKDAY(E6375,2)),"")</f>
        <v/>
      </c>
      <c r="M6375">
        <f>IF(B6375,(1+Trend)^D6375,"")</f>
        <v/>
      </c>
      <c r="N6375">
        <f>IF(B6375,EXP(SUMPRODUCT(LN(1+(EvEff-1)*INDEX(Affected,0,C6375)*EXP(-((E6375-EvCenter)^2)/(2*EvSigma^2))))),"")</f>
        <v/>
      </c>
      <c r="O6375">
        <f>IF(B6375,ROUND(MAX(0,J6375*K6375*L6375*M6375*N6375),2),"")</f>
        <v/>
      </c>
    </row>
    <row r="6376">
      <c r="A6376" t="n">
        <v>6375</v>
      </c>
      <c r="B6376">
        <f>A6376&lt;=MineCount*Days</f>
        <v/>
      </c>
      <c r="C6376">
        <f>IF(B6376,INT((A6376-1)/Days)+1,"")</f>
        <v/>
      </c>
      <c r="D6376">
        <f>IF(B6376,MOD(A6376-1,Days),"")</f>
        <v/>
      </c>
      <c r="E6376" s="16">
        <f>IF(B6376,StartDate+D6376,"")</f>
        <v/>
      </c>
      <c r="F6376">
        <f>IF(B6376,MAX(MOD(SIN(Seed*0.1373+C6376*12.9898+D6376*78.233)*43758.5453,1),1E-9),"")</f>
        <v/>
      </c>
      <c r="G6376">
        <f>IF(B6376,MOD(SIN(Seed*0.5917+C6376*39.3468+D6376*11.135)*24634.6345,1),"")</f>
        <v/>
      </c>
      <c r="H6376">
        <f>IF(B6376,SQRT(-2*LN(F6376))*COS(2*PI()*G6376),"")</f>
        <v/>
      </c>
      <c r="I6376">
        <f>IF(B6376,IF(D6376=0,H6376,Rho*I6375+SQRT(1-Rho^2)*H6376),"")</f>
        <v/>
      </c>
      <c r="J6376">
        <f>IF(B6376,IF(Dist="Normal",DistA+DistB*I6376,DistA+(DistB-DistA)*NORMSDIST(I6376)),"")</f>
        <v/>
      </c>
      <c r="K6376">
        <f>IF(B6376,INDEX(MineScale,C6376),"")</f>
        <v/>
      </c>
      <c r="L6376">
        <f>IF(B6376,INDEX(Dow,1,WEEKDAY(E6376,2)),"")</f>
        <v/>
      </c>
      <c r="M6376">
        <f>IF(B6376,(1+Trend)^D6376,"")</f>
        <v/>
      </c>
      <c r="N6376">
        <f>IF(B6376,EXP(SUMPRODUCT(LN(1+(EvEff-1)*INDEX(Affected,0,C6376)*EXP(-((E6376-EvCenter)^2)/(2*EvSigma^2))))),"")</f>
        <v/>
      </c>
      <c r="O6376">
        <f>IF(B6376,ROUND(MAX(0,J6376*K6376*L6376*M6376*N6376),2),"")</f>
        <v/>
      </c>
    </row>
    <row r="6377">
      <c r="A6377" t="n">
        <v>6376</v>
      </c>
      <c r="B6377">
        <f>A6377&lt;=MineCount*Days</f>
        <v/>
      </c>
      <c r="C6377">
        <f>IF(B6377,INT((A6377-1)/Days)+1,"")</f>
        <v/>
      </c>
      <c r="D6377">
        <f>IF(B6377,MOD(A6377-1,Days),"")</f>
        <v/>
      </c>
      <c r="E6377" s="16">
        <f>IF(B6377,StartDate+D6377,"")</f>
        <v/>
      </c>
      <c r="F6377">
        <f>IF(B6377,MAX(MOD(SIN(Seed*0.1373+C6377*12.9898+D6377*78.233)*43758.5453,1),1E-9),"")</f>
        <v/>
      </c>
      <c r="G6377">
        <f>IF(B6377,MOD(SIN(Seed*0.5917+C6377*39.3468+D6377*11.135)*24634.6345,1),"")</f>
        <v/>
      </c>
      <c r="H6377">
        <f>IF(B6377,SQRT(-2*LN(F6377))*COS(2*PI()*G6377),"")</f>
        <v/>
      </c>
      <c r="I6377">
        <f>IF(B6377,IF(D6377=0,H6377,Rho*I6376+SQRT(1-Rho^2)*H6377),"")</f>
        <v/>
      </c>
      <c r="J6377">
        <f>IF(B6377,IF(Dist="Normal",DistA+DistB*I6377,DistA+(DistB-DistA)*NORMSDIST(I6377)),"")</f>
        <v/>
      </c>
      <c r="K6377">
        <f>IF(B6377,INDEX(MineScale,C6377),"")</f>
        <v/>
      </c>
      <c r="L6377">
        <f>IF(B6377,INDEX(Dow,1,WEEKDAY(E6377,2)),"")</f>
        <v/>
      </c>
      <c r="M6377">
        <f>IF(B6377,(1+Trend)^D6377,"")</f>
        <v/>
      </c>
      <c r="N6377">
        <f>IF(B6377,EXP(SUMPRODUCT(LN(1+(EvEff-1)*INDEX(Affected,0,C6377)*EXP(-((E6377-EvCenter)^2)/(2*EvSigma^2))))),"")</f>
        <v/>
      </c>
      <c r="O6377">
        <f>IF(B6377,ROUND(MAX(0,J6377*K6377*L6377*M6377*N6377),2),"")</f>
        <v/>
      </c>
    </row>
    <row r="6378">
      <c r="A6378" t="n">
        <v>6377</v>
      </c>
      <c r="B6378">
        <f>A6378&lt;=MineCount*Days</f>
        <v/>
      </c>
      <c r="C6378">
        <f>IF(B6378,INT((A6378-1)/Days)+1,"")</f>
        <v/>
      </c>
      <c r="D6378">
        <f>IF(B6378,MOD(A6378-1,Days),"")</f>
        <v/>
      </c>
      <c r="E6378" s="16">
        <f>IF(B6378,StartDate+D6378,"")</f>
        <v/>
      </c>
      <c r="F6378">
        <f>IF(B6378,MAX(MOD(SIN(Seed*0.1373+C6378*12.9898+D6378*78.233)*43758.5453,1),1E-9),"")</f>
        <v/>
      </c>
      <c r="G6378">
        <f>IF(B6378,MOD(SIN(Seed*0.5917+C6378*39.3468+D6378*11.135)*24634.6345,1),"")</f>
        <v/>
      </c>
      <c r="H6378">
        <f>IF(B6378,SQRT(-2*LN(F6378))*COS(2*PI()*G6378),"")</f>
        <v/>
      </c>
      <c r="I6378">
        <f>IF(B6378,IF(D6378=0,H6378,Rho*I6377+SQRT(1-Rho^2)*H6378),"")</f>
        <v/>
      </c>
      <c r="J6378">
        <f>IF(B6378,IF(Dist="Normal",DistA+DistB*I6378,DistA+(DistB-DistA)*NORMSDIST(I6378)),"")</f>
        <v/>
      </c>
      <c r="K6378">
        <f>IF(B6378,INDEX(MineScale,C6378),"")</f>
        <v/>
      </c>
      <c r="L6378">
        <f>IF(B6378,INDEX(Dow,1,WEEKDAY(E6378,2)),"")</f>
        <v/>
      </c>
      <c r="M6378">
        <f>IF(B6378,(1+Trend)^D6378,"")</f>
        <v/>
      </c>
      <c r="N6378">
        <f>IF(B6378,EXP(SUMPRODUCT(LN(1+(EvEff-1)*INDEX(Affected,0,C6378)*EXP(-((E6378-EvCenter)^2)/(2*EvSigma^2))))),"")</f>
        <v/>
      </c>
      <c r="O6378">
        <f>IF(B6378,ROUND(MAX(0,J6378*K6378*L6378*M6378*N6378),2),"")</f>
        <v/>
      </c>
    </row>
    <row r="6379">
      <c r="A6379" t="n">
        <v>6378</v>
      </c>
      <c r="B6379">
        <f>A6379&lt;=MineCount*Days</f>
        <v/>
      </c>
      <c r="C6379">
        <f>IF(B6379,INT((A6379-1)/Days)+1,"")</f>
        <v/>
      </c>
      <c r="D6379">
        <f>IF(B6379,MOD(A6379-1,Days),"")</f>
        <v/>
      </c>
      <c r="E6379" s="16">
        <f>IF(B6379,StartDate+D6379,"")</f>
        <v/>
      </c>
      <c r="F6379">
        <f>IF(B6379,MAX(MOD(SIN(Seed*0.1373+C6379*12.9898+D6379*78.233)*43758.5453,1),1E-9),"")</f>
        <v/>
      </c>
      <c r="G6379">
        <f>IF(B6379,MOD(SIN(Seed*0.5917+C6379*39.3468+D6379*11.135)*24634.6345,1),"")</f>
        <v/>
      </c>
      <c r="H6379">
        <f>IF(B6379,SQRT(-2*LN(F6379))*COS(2*PI()*G6379),"")</f>
        <v/>
      </c>
      <c r="I6379">
        <f>IF(B6379,IF(D6379=0,H6379,Rho*I6378+SQRT(1-Rho^2)*H6379),"")</f>
        <v/>
      </c>
      <c r="J6379">
        <f>IF(B6379,IF(Dist="Normal",DistA+DistB*I6379,DistA+(DistB-DistA)*NORMSDIST(I6379)),"")</f>
        <v/>
      </c>
      <c r="K6379">
        <f>IF(B6379,INDEX(MineScale,C6379),"")</f>
        <v/>
      </c>
      <c r="L6379">
        <f>IF(B6379,INDEX(Dow,1,WEEKDAY(E6379,2)),"")</f>
        <v/>
      </c>
      <c r="M6379">
        <f>IF(B6379,(1+Trend)^D6379,"")</f>
        <v/>
      </c>
      <c r="N6379">
        <f>IF(B6379,EXP(SUMPRODUCT(LN(1+(EvEff-1)*INDEX(Affected,0,C6379)*EXP(-((E6379-EvCenter)^2)/(2*EvSigma^2))))),"")</f>
        <v/>
      </c>
      <c r="O6379">
        <f>IF(B6379,ROUND(MAX(0,J6379*K6379*L6379*M6379*N6379),2),"")</f>
        <v/>
      </c>
    </row>
    <row r="6380">
      <c r="A6380" t="n">
        <v>6379</v>
      </c>
      <c r="B6380">
        <f>A6380&lt;=MineCount*Days</f>
        <v/>
      </c>
      <c r="C6380">
        <f>IF(B6380,INT((A6380-1)/Days)+1,"")</f>
        <v/>
      </c>
      <c r="D6380">
        <f>IF(B6380,MOD(A6380-1,Days),"")</f>
        <v/>
      </c>
      <c r="E6380" s="16">
        <f>IF(B6380,StartDate+D6380,"")</f>
        <v/>
      </c>
      <c r="F6380">
        <f>IF(B6380,MAX(MOD(SIN(Seed*0.1373+C6380*12.9898+D6380*78.233)*43758.5453,1),1E-9),"")</f>
        <v/>
      </c>
      <c r="G6380">
        <f>IF(B6380,MOD(SIN(Seed*0.5917+C6380*39.3468+D6380*11.135)*24634.6345,1),"")</f>
        <v/>
      </c>
      <c r="H6380">
        <f>IF(B6380,SQRT(-2*LN(F6380))*COS(2*PI()*G6380),"")</f>
        <v/>
      </c>
      <c r="I6380">
        <f>IF(B6380,IF(D6380=0,H6380,Rho*I6379+SQRT(1-Rho^2)*H6380),"")</f>
        <v/>
      </c>
      <c r="J6380">
        <f>IF(B6380,IF(Dist="Normal",DistA+DistB*I6380,DistA+(DistB-DistA)*NORMSDIST(I6380)),"")</f>
        <v/>
      </c>
      <c r="K6380">
        <f>IF(B6380,INDEX(MineScale,C6380),"")</f>
        <v/>
      </c>
      <c r="L6380">
        <f>IF(B6380,INDEX(Dow,1,WEEKDAY(E6380,2)),"")</f>
        <v/>
      </c>
      <c r="M6380">
        <f>IF(B6380,(1+Trend)^D6380,"")</f>
        <v/>
      </c>
      <c r="N6380">
        <f>IF(B6380,EXP(SUMPRODUCT(LN(1+(EvEff-1)*INDEX(Affected,0,C6380)*EXP(-((E6380-EvCenter)^2)/(2*EvSigma^2))))),"")</f>
        <v/>
      </c>
      <c r="O6380">
        <f>IF(B6380,ROUND(MAX(0,J6380*K6380*L6380*M6380*N6380),2),"")</f>
        <v/>
      </c>
    </row>
    <row r="6381">
      <c r="A6381" t="n">
        <v>6380</v>
      </c>
      <c r="B6381">
        <f>A6381&lt;=MineCount*Days</f>
        <v/>
      </c>
      <c r="C6381">
        <f>IF(B6381,INT((A6381-1)/Days)+1,"")</f>
        <v/>
      </c>
      <c r="D6381">
        <f>IF(B6381,MOD(A6381-1,Days),"")</f>
        <v/>
      </c>
      <c r="E6381" s="16">
        <f>IF(B6381,StartDate+D6381,"")</f>
        <v/>
      </c>
      <c r="F6381">
        <f>IF(B6381,MAX(MOD(SIN(Seed*0.1373+C6381*12.9898+D6381*78.233)*43758.5453,1),1E-9),"")</f>
        <v/>
      </c>
      <c r="G6381">
        <f>IF(B6381,MOD(SIN(Seed*0.5917+C6381*39.3468+D6381*11.135)*24634.6345,1),"")</f>
        <v/>
      </c>
      <c r="H6381">
        <f>IF(B6381,SQRT(-2*LN(F6381))*COS(2*PI()*G6381),"")</f>
        <v/>
      </c>
      <c r="I6381">
        <f>IF(B6381,IF(D6381=0,H6381,Rho*I6380+SQRT(1-Rho^2)*H6381),"")</f>
        <v/>
      </c>
      <c r="J6381">
        <f>IF(B6381,IF(Dist="Normal",DistA+DistB*I6381,DistA+(DistB-DistA)*NORMSDIST(I6381)),"")</f>
        <v/>
      </c>
      <c r="K6381">
        <f>IF(B6381,INDEX(MineScale,C6381),"")</f>
        <v/>
      </c>
      <c r="L6381">
        <f>IF(B6381,INDEX(Dow,1,WEEKDAY(E6381,2)),"")</f>
        <v/>
      </c>
      <c r="M6381">
        <f>IF(B6381,(1+Trend)^D6381,"")</f>
        <v/>
      </c>
      <c r="N6381">
        <f>IF(B6381,EXP(SUMPRODUCT(LN(1+(EvEff-1)*INDEX(Affected,0,C6381)*EXP(-((E6381-EvCenter)^2)/(2*EvSigma^2))))),"")</f>
        <v/>
      </c>
      <c r="O6381">
        <f>IF(B6381,ROUND(MAX(0,J6381*K6381*L6381*M6381*N6381),2),"")</f>
        <v/>
      </c>
    </row>
    <row r="6382">
      <c r="A6382" t="n">
        <v>6381</v>
      </c>
      <c r="B6382">
        <f>A6382&lt;=MineCount*Days</f>
        <v/>
      </c>
      <c r="C6382">
        <f>IF(B6382,INT((A6382-1)/Days)+1,"")</f>
        <v/>
      </c>
      <c r="D6382">
        <f>IF(B6382,MOD(A6382-1,Days),"")</f>
        <v/>
      </c>
      <c r="E6382" s="16">
        <f>IF(B6382,StartDate+D6382,"")</f>
        <v/>
      </c>
      <c r="F6382">
        <f>IF(B6382,MAX(MOD(SIN(Seed*0.1373+C6382*12.9898+D6382*78.233)*43758.5453,1),1E-9),"")</f>
        <v/>
      </c>
      <c r="G6382">
        <f>IF(B6382,MOD(SIN(Seed*0.5917+C6382*39.3468+D6382*11.135)*24634.6345,1),"")</f>
        <v/>
      </c>
      <c r="H6382">
        <f>IF(B6382,SQRT(-2*LN(F6382))*COS(2*PI()*G6382),"")</f>
        <v/>
      </c>
      <c r="I6382">
        <f>IF(B6382,IF(D6382=0,H6382,Rho*I6381+SQRT(1-Rho^2)*H6382),"")</f>
        <v/>
      </c>
      <c r="J6382">
        <f>IF(B6382,IF(Dist="Normal",DistA+DistB*I6382,DistA+(DistB-DistA)*NORMSDIST(I6382)),"")</f>
        <v/>
      </c>
      <c r="K6382">
        <f>IF(B6382,INDEX(MineScale,C6382),"")</f>
        <v/>
      </c>
      <c r="L6382">
        <f>IF(B6382,INDEX(Dow,1,WEEKDAY(E6382,2)),"")</f>
        <v/>
      </c>
      <c r="M6382">
        <f>IF(B6382,(1+Trend)^D6382,"")</f>
        <v/>
      </c>
      <c r="N6382">
        <f>IF(B6382,EXP(SUMPRODUCT(LN(1+(EvEff-1)*INDEX(Affected,0,C6382)*EXP(-((E6382-EvCenter)^2)/(2*EvSigma^2))))),"")</f>
        <v/>
      </c>
      <c r="O6382">
        <f>IF(B6382,ROUND(MAX(0,J6382*K6382*L6382*M6382*N6382),2),"")</f>
        <v/>
      </c>
    </row>
    <row r="6383">
      <c r="A6383" t="n">
        <v>6382</v>
      </c>
      <c r="B6383">
        <f>A6383&lt;=MineCount*Days</f>
        <v/>
      </c>
      <c r="C6383">
        <f>IF(B6383,INT((A6383-1)/Days)+1,"")</f>
        <v/>
      </c>
      <c r="D6383">
        <f>IF(B6383,MOD(A6383-1,Days),"")</f>
        <v/>
      </c>
      <c r="E6383" s="16">
        <f>IF(B6383,StartDate+D6383,"")</f>
        <v/>
      </c>
      <c r="F6383">
        <f>IF(B6383,MAX(MOD(SIN(Seed*0.1373+C6383*12.9898+D6383*78.233)*43758.5453,1),1E-9),"")</f>
        <v/>
      </c>
      <c r="G6383">
        <f>IF(B6383,MOD(SIN(Seed*0.5917+C6383*39.3468+D6383*11.135)*24634.6345,1),"")</f>
        <v/>
      </c>
      <c r="H6383">
        <f>IF(B6383,SQRT(-2*LN(F6383))*COS(2*PI()*G6383),"")</f>
        <v/>
      </c>
      <c r="I6383">
        <f>IF(B6383,IF(D6383=0,H6383,Rho*I6382+SQRT(1-Rho^2)*H6383),"")</f>
        <v/>
      </c>
      <c r="J6383">
        <f>IF(B6383,IF(Dist="Normal",DistA+DistB*I6383,DistA+(DistB-DistA)*NORMSDIST(I6383)),"")</f>
        <v/>
      </c>
      <c r="K6383">
        <f>IF(B6383,INDEX(MineScale,C6383),"")</f>
        <v/>
      </c>
      <c r="L6383">
        <f>IF(B6383,INDEX(Dow,1,WEEKDAY(E6383,2)),"")</f>
        <v/>
      </c>
      <c r="M6383">
        <f>IF(B6383,(1+Trend)^D6383,"")</f>
        <v/>
      </c>
      <c r="N6383">
        <f>IF(B6383,EXP(SUMPRODUCT(LN(1+(EvEff-1)*INDEX(Affected,0,C6383)*EXP(-((E6383-EvCenter)^2)/(2*EvSigma^2))))),"")</f>
        <v/>
      </c>
      <c r="O6383">
        <f>IF(B6383,ROUND(MAX(0,J6383*K6383*L6383*M6383*N6383),2),"")</f>
        <v/>
      </c>
    </row>
    <row r="6384">
      <c r="A6384" t="n">
        <v>6383</v>
      </c>
      <c r="B6384">
        <f>A6384&lt;=MineCount*Days</f>
        <v/>
      </c>
      <c r="C6384">
        <f>IF(B6384,INT((A6384-1)/Days)+1,"")</f>
        <v/>
      </c>
      <c r="D6384">
        <f>IF(B6384,MOD(A6384-1,Days),"")</f>
        <v/>
      </c>
      <c r="E6384" s="16">
        <f>IF(B6384,StartDate+D6384,"")</f>
        <v/>
      </c>
      <c r="F6384">
        <f>IF(B6384,MAX(MOD(SIN(Seed*0.1373+C6384*12.9898+D6384*78.233)*43758.5453,1),1E-9),"")</f>
        <v/>
      </c>
      <c r="G6384">
        <f>IF(B6384,MOD(SIN(Seed*0.5917+C6384*39.3468+D6384*11.135)*24634.6345,1),"")</f>
        <v/>
      </c>
      <c r="H6384">
        <f>IF(B6384,SQRT(-2*LN(F6384))*COS(2*PI()*G6384),"")</f>
        <v/>
      </c>
      <c r="I6384">
        <f>IF(B6384,IF(D6384=0,H6384,Rho*I6383+SQRT(1-Rho^2)*H6384),"")</f>
        <v/>
      </c>
      <c r="J6384">
        <f>IF(B6384,IF(Dist="Normal",DistA+DistB*I6384,DistA+(DistB-DistA)*NORMSDIST(I6384)),"")</f>
        <v/>
      </c>
      <c r="K6384">
        <f>IF(B6384,INDEX(MineScale,C6384),"")</f>
        <v/>
      </c>
      <c r="L6384">
        <f>IF(B6384,INDEX(Dow,1,WEEKDAY(E6384,2)),"")</f>
        <v/>
      </c>
      <c r="M6384">
        <f>IF(B6384,(1+Trend)^D6384,"")</f>
        <v/>
      </c>
      <c r="N6384">
        <f>IF(B6384,EXP(SUMPRODUCT(LN(1+(EvEff-1)*INDEX(Affected,0,C6384)*EXP(-((E6384-EvCenter)^2)/(2*EvSigma^2))))),"")</f>
        <v/>
      </c>
      <c r="O6384">
        <f>IF(B6384,ROUND(MAX(0,J6384*K6384*L6384*M6384*N6384),2),"")</f>
        <v/>
      </c>
    </row>
    <row r="6385">
      <c r="A6385" t="n">
        <v>6384</v>
      </c>
      <c r="B6385">
        <f>A6385&lt;=MineCount*Days</f>
        <v/>
      </c>
      <c r="C6385">
        <f>IF(B6385,INT((A6385-1)/Days)+1,"")</f>
        <v/>
      </c>
      <c r="D6385">
        <f>IF(B6385,MOD(A6385-1,Days),"")</f>
        <v/>
      </c>
      <c r="E6385" s="16">
        <f>IF(B6385,StartDate+D6385,"")</f>
        <v/>
      </c>
      <c r="F6385">
        <f>IF(B6385,MAX(MOD(SIN(Seed*0.1373+C6385*12.9898+D6385*78.233)*43758.5453,1),1E-9),"")</f>
        <v/>
      </c>
      <c r="G6385">
        <f>IF(B6385,MOD(SIN(Seed*0.5917+C6385*39.3468+D6385*11.135)*24634.6345,1),"")</f>
        <v/>
      </c>
      <c r="H6385">
        <f>IF(B6385,SQRT(-2*LN(F6385))*COS(2*PI()*G6385),"")</f>
        <v/>
      </c>
      <c r="I6385">
        <f>IF(B6385,IF(D6385=0,H6385,Rho*I6384+SQRT(1-Rho^2)*H6385),"")</f>
        <v/>
      </c>
      <c r="J6385">
        <f>IF(B6385,IF(Dist="Normal",DistA+DistB*I6385,DistA+(DistB-DistA)*NORMSDIST(I6385)),"")</f>
        <v/>
      </c>
      <c r="K6385">
        <f>IF(B6385,INDEX(MineScale,C6385),"")</f>
        <v/>
      </c>
      <c r="L6385">
        <f>IF(B6385,INDEX(Dow,1,WEEKDAY(E6385,2)),"")</f>
        <v/>
      </c>
      <c r="M6385">
        <f>IF(B6385,(1+Trend)^D6385,"")</f>
        <v/>
      </c>
      <c r="N6385">
        <f>IF(B6385,EXP(SUMPRODUCT(LN(1+(EvEff-1)*INDEX(Affected,0,C6385)*EXP(-((E6385-EvCenter)^2)/(2*EvSigma^2))))),"")</f>
        <v/>
      </c>
      <c r="O6385">
        <f>IF(B6385,ROUND(MAX(0,J6385*K6385*L6385*M6385*N6385),2),"")</f>
        <v/>
      </c>
    </row>
    <row r="6386">
      <c r="A6386" t="n">
        <v>6385</v>
      </c>
      <c r="B6386">
        <f>A6386&lt;=MineCount*Days</f>
        <v/>
      </c>
      <c r="C6386">
        <f>IF(B6386,INT((A6386-1)/Days)+1,"")</f>
        <v/>
      </c>
      <c r="D6386">
        <f>IF(B6386,MOD(A6386-1,Days),"")</f>
        <v/>
      </c>
      <c r="E6386" s="16">
        <f>IF(B6386,StartDate+D6386,"")</f>
        <v/>
      </c>
      <c r="F6386">
        <f>IF(B6386,MAX(MOD(SIN(Seed*0.1373+C6386*12.9898+D6386*78.233)*43758.5453,1),1E-9),"")</f>
        <v/>
      </c>
      <c r="G6386">
        <f>IF(B6386,MOD(SIN(Seed*0.5917+C6386*39.3468+D6386*11.135)*24634.6345,1),"")</f>
        <v/>
      </c>
      <c r="H6386">
        <f>IF(B6386,SQRT(-2*LN(F6386))*COS(2*PI()*G6386),"")</f>
        <v/>
      </c>
      <c r="I6386">
        <f>IF(B6386,IF(D6386=0,H6386,Rho*I6385+SQRT(1-Rho^2)*H6386),"")</f>
        <v/>
      </c>
      <c r="J6386">
        <f>IF(B6386,IF(Dist="Normal",DistA+DistB*I6386,DistA+(DistB-DistA)*NORMSDIST(I6386)),"")</f>
        <v/>
      </c>
      <c r="K6386">
        <f>IF(B6386,INDEX(MineScale,C6386),"")</f>
        <v/>
      </c>
      <c r="L6386">
        <f>IF(B6386,INDEX(Dow,1,WEEKDAY(E6386,2)),"")</f>
        <v/>
      </c>
      <c r="M6386">
        <f>IF(B6386,(1+Trend)^D6386,"")</f>
        <v/>
      </c>
      <c r="N6386">
        <f>IF(B6386,EXP(SUMPRODUCT(LN(1+(EvEff-1)*INDEX(Affected,0,C6386)*EXP(-((E6386-EvCenter)^2)/(2*EvSigma^2))))),"")</f>
        <v/>
      </c>
      <c r="O6386">
        <f>IF(B6386,ROUND(MAX(0,J6386*K6386*L6386*M6386*N6386),2),"")</f>
        <v/>
      </c>
    </row>
    <row r="6387">
      <c r="A6387" t="n">
        <v>6386</v>
      </c>
      <c r="B6387">
        <f>A6387&lt;=MineCount*Days</f>
        <v/>
      </c>
      <c r="C6387">
        <f>IF(B6387,INT((A6387-1)/Days)+1,"")</f>
        <v/>
      </c>
      <c r="D6387">
        <f>IF(B6387,MOD(A6387-1,Days),"")</f>
        <v/>
      </c>
      <c r="E6387" s="16">
        <f>IF(B6387,StartDate+D6387,"")</f>
        <v/>
      </c>
      <c r="F6387">
        <f>IF(B6387,MAX(MOD(SIN(Seed*0.1373+C6387*12.9898+D6387*78.233)*43758.5453,1),1E-9),"")</f>
        <v/>
      </c>
      <c r="G6387">
        <f>IF(B6387,MOD(SIN(Seed*0.5917+C6387*39.3468+D6387*11.135)*24634.6345,1),"")</f>
        <v/>
      </c>
      <c r="H6387">
        <f>IF(B6387,SQRT(-2*LN(F6387))*COS(2*PI()*G6387),"")</f>
        <v/>
      </c>
      <c r="I6387">
        <f>IF(B6387,IF(D6387=0,H6387,Rho*I6386+SQRT(1-Rho^2)*H6387),"")</f>
        <v/>
      </c>
      <c r="J6387">
        <f>IF(B6387,IF(Dist="Normal",DistA+DistB*I6387,DistA+(DistB-DistA)*NORMSDIST(I6387)),"")</f>
        <v/>
      </c>
      <c r="K6387">
        <f>IF(B6387,INDEX(MineScale,C6387),"")</f>
        <v/>
      </c>
      <c r="L6387">
        <f>IF(B6387,INDEX(Dow,1,WEEKDAY(E6387,2)),"")</f>
        <v/>
      </c>
      <c r="M6387">
        <f>IF(B6387,(1+Trend)^D6387,"")</f>
        <v/>
      </c>
      <c r="N6387">
        <f>IF(B6387,EXP(SUMPRODUCT(LN(1+(EvEff-1)*INDEX(Affected,0,C6387)*EXP(-((E6387-EvCenter)^2)/(2*EvSigma^2))))),"")</f>
        <v/>
      </c>
      <c r="O6387">
        <f>IF(B6387,ROUND(MAX(0,J6387*K6387*L6387*M6387*N6387),2),"")</f>
        <v/>
      </c>
    </row>
    <row r="6388">
      <c r="A6388" t="n">
        <v>6387</v>
      </c>
      <c r="B6388">
        <f>A6388&lt;=MineCount*Days</f>
        <v/>
      </c>
      <c r="C6388">
        <f>IF(B6388,INT((A6388-1)/Days)+1,"")</f>
        <v/>
      </c>
      <c r="D6388">
        <f>IF(B6388,MOD(A6388-1,Days),"")</f>
        <v/>
      </c>
      <c r="E6388" s="16">
        <f>IF(B6388,StartDate+D6388,"")</f>
        <v/>
      </c>
      <c r="F6388">
        <f>IF(B6388,MAX(MOD(SIN(Seed*0.1373+C6388*12.9898+D6388*78.233)*43758.5453,1),1E-9),"")</f>
        <v/>
      </c>
      <c r="G6388">
        <f>IF(B6388,MOD(SIN(Seed*0.5917+C6388*39.3468+D6388*11.135)*24634.6345,1),"")</f>
        <v/>
      </c>
      <c r="H6388">
        <f>IF(B6388,SQRT(-2*LN(F6388))*COS(2*PI()*G6388),"")</f>
        <v/>
      </c>
      <c r="I6388">
        <f>IF(B6388,IF(D6388=0,H6388,Rho*I6387+SQRT(1-Rho^2)*H6388),"")</f>
        <v/>
      </c>
      <c r="J6388">
        <f>IF(B6388,IF(Dist="Normal",DistA+DistB*I6388,DistA+(DistB-DistA)*NORMSDIST(I6388)),"")</f>
        <v/>
      </c>
      <c r="K6388">
        <f>IF(B6388,INDEX(MineScale,C6388),"")</f>
        <v/>
      </c>
      <c r="L6388">
        <f>IF(B6388,INDEX(Dow,1,WEEKDAY(E6388,2)),"")</f>
        <v/>
      </c>
      <c r="M6388">
        <f>IF(B6388,(1+Trend)^D6388,"")</f>
        <v/>
      </c>
      <c r="N6388">
        <f>IF(B6388,EXP(SUMPRODUCT(LN(1+(EvEff-1)*INDEX(Affected,0,C6388)*EXP(-((E6388-EvCenter)^2)/(2*EvSigma^2))))),"")</f>
        <v/>
      </c>
      <c r="O6388">
        <f>IF(B6388,ROUND(MAX(0,J6388*K6388*L6388*M6388*N6388),2),"")</f>
        <v/>
      </c>
    </row>
    <row r="6389">
      <c r="A6389" t="n">
        <v>6388</v>
      </c>
      <c r="B6389">
        <f>A6389&lt;=MineCount*Days</f>
        <v/>
      </c>
      <c r="C6389">
        <f>IF(B6389,INT((A6389-1)/Days)+1,"")</f>
        <v/>
      </c>
      <c r="D6389">
        <f>IF(B6389,MOD(A6389-1,Days),"")</f>
        <v/>
      </c>
      <c r="E6389" s="16">
        <f>IF(B6389,StartDate+D6389,"")</f>
        <v/>
      </c>
      <c r="F6389">
        <f>IF(B6389,MAX(MOD(SIN(Seed*0.1373+C6389*12.9898+D6389*78.233)*43758.5453,1),1E-9),"")</f>
        <v/>
      </c>
      <c r="G6389">
        <f>IF(B6389,MOD(SIN(Seed*0.5917+C6389*39.3468+D6389*11.135)*24634.6345,1),"")</f>
        <v/>
      </c>
      <c r="H6389">
        <f>IF(B6389,SQRT(-2*LN(F6389))*COS(2*PI()*G6389),"")</f>
        <v/>
      </c>
      <c r="I6389">
        <f>IF(B6389,IF(D6389=0,H6389,Rho*I6388+SQRT(1-Rho^2)*H6389),"")</f>
        <v/>
      </c>
      <c r="J6389">
        <f>IF(B6389,IF(Dist="Normal",DistA+DistB*I6389,DistA+(DistB-DistA)*NORMSDIST(I6389)),"")</f>
        <v/>
      </c>
      <c r="K6389">
        <f>IF(B6389,INDEX(MineScale,C6389),"")</f>
        <v/>
      </c>
      <c r="L6389">
        <f>IF(B6389,INDEX(Dow,1,WEEKDAY(E6389,2)),"")</f>
        <v/>
      </c>
      <c r="M6389">
        <f>IF(B6389,(1+Trend)^D6389,"")</f>
        <v/>
      </c>
      <c r="N6389">
        <f>IF(B6389,EXP(SUMPRODUCT(LN(1+(EvEff-1)*INDEX(Affected,0,C6389)*EXP(-((E6389-EvCenter)^2)/(2*EvSigma^2))))),"")</f>
        <v/>
      </c>
      <c r="O6389">
        <f>IF(B6389,ROUND(MAX(0,J6389*K6389*L6389*M6389*N6389),2),"")</f>
        <v/>
      </c>
    </row>
    <row r="6390">
      <c r="A6390" t="n">
        <v>6389</v>
      </c>
      <c r="B6390">
        <f>A6390&lt;=MineCount*Days</f>
        <v/>
      </c>
      <c r="C6390">
        <f>IF(B6390,INT((A6390-1)/Days)+1,"")</f>
        <v/>
      </c>
      <c r="D6390">
        <f>IF(B6390,MOD(A6390-1,Days),"")</f>
        <v/>
      </c>
      <c r="E6390" s="16">
        <f>IF(B6390,StartDate+D6390,"")</f>
        <v/>
      </c>
      <c r="F6390">
        <f>IF(B6390,MAX(MOD(SIN(Seed*0.1373+C6390*12.9898+D6390*78.233)*43758.5453,1),1E-9),"")</f>
        <v/>
      </c>
      <c r="G6390">
        <f>IF(B6390,MOD(SIN(Seed*0.5917+C6390*39.3468+D6390*11.135)*24634.6345,1),"")</f>
        <v/>
      </c>
      <c r="H6390">
        <f>IF(B6390,SQRT(-2*LN(F6390))*COS(2*PI()*G6390),"")</f>
        <v/>
      </c>
      <c r="I6390">
        <f>IF(B6390,IF(D6390=0,H6390,Rho*I6389+SQRT(1-Rho^2)*H6390),"")</f>
        <v/>
      </c>
      <c r="J6390">
        <f>IF(B6390,IF(Dist="Normal",DistA+DistB*I6390,DistA+(DistB-DistA)*NORMSDIST(I6390)),"")</f>
        <v/>
      </c>
      <c r="K6390">
        <f>IF(B6390,INDEX(MineScale,C6390),"")</f>
        <v/>
      </c>
      <c r="L6390">
        <f>IF(B6390,INDEX(Dow,1,WEEKDAY(E6390,2)),"")</f>
        <v/>
      </c>
      <c r="M6390">
        <f>IF(B6390,(1+Trend)^D6390,"")</f>
        <v/>
      </c>
      <c r="N6390">
        <f>IF(B6390,EXP(SUMPRODUCT(LN(1+(EvEff-1)*INDEX(Affected,0,C6390)*EXP(-((E6390-EvCenter)^2)/(2*EvSigma^2))))),"")</f>
        <v/>
      </c>
      <c r="O6390">
        <f>IF(B6390,ROUND(MAX(0,J6390*K6390*L6390*M6390*N6390),2),"")</f>
        <v/>
      </c>
    </row>
    <row r="6391">
      <c r="A6391" t="n">
        <v>6390</v>
      </c>
      <c r="B6391">
        <f>A6391&lt;=MineCount*Days</f>
        <v/>
      </c>
      <c r="C6391">
        <f>IF(B6391,INT((A6391-1)/Days)+1,"")</f>
        <v/>
      </c>
      <c r="D6391">
        <f>IF(B6391,MOD(A6391-1,Days),"")</f>
        <v/>
      </c>
      <c r="E6391" s="16">
        <f>IF(B6391,StartDate+D6391,"")</f>
        <v/>
      </c>
      <c r="F6391">
        <f>IF(B6391,MAX(MOD(SIN(Seed*0.1373+C6391*12.9898+D6391*78.233)*43758.5453,1),1E-9),"")</f>
        <v/>
      </c>
      <c r="G6391">
        <f>IF(B6391,MOD(SIN(Seed*0.5917+C6391*39.3468+D6391*11.135)*24634.6345,1),"")</f>
        <v/>
      </c>
      <c r="H6391">
        <f>IF(B6391,SQRT(-2*LN(F6391))*COS(2*PI()*G6391),"")</f>
        <v/>
      </c>
      <c r="I6391">
        <f>IF(B6391,IF(D6391=0,H6391,Rho*I6390+SQRT(1-Rho^2)*H6391),"")</f>
        <v/>
      </c>
      <c r="J6391">
        <f>IF(B6391,IF(Dist="Normal",DistA+DistB*I6391,DistA+(DistB-DistA)*NORMSDIST(I6391)),"")</f>
        <v/>
      </c>
      <c r="K6391">
        <f>IF(B6391,INDEX(MineScale,C6391),"")</f>
        <v/>
      </c>
      <c r="L6391">
        <f>IF(B6391,INDEX(Dow,1,WEEKDAY(E6391,2)),"")</f>
        <v/>
      </c>
      <c r="M6391">
        <f>IF(B6391,(1+Trend)^D6391,"")</f>
        <v/>
      </c>
      <c r="N6391">
        <f>IF(B6391,EXP(SUMPRODUCT(LN(1+(EvEff-1)*INDEX(Affected,0,C6391)*EXP(-((E6391-EvCenter)^2)/(2*EvSigma^2))))),"")</f>
        <v/>
      </c>
      <c r="O6391">
        <f>IF(B6391,ROUND(MAX(0,J6391*K6391*L6391*M6391*N6391),2),"")</f>
        <v/>
      </c>
    </row>
    <row r="6392">
      <c r="A6392" t="n">
        <v>6391</v>
      </c>
      <c r="B6392">
        <f>A6392&lt;=MineCount*Days</f>
        <v/>
      </c>
      <c r="C6392">
        <f>IF(B6392,INT((A6392-1)/Days)+1,"")</f>
        <v/>
      </c>
      <c r="D6392">
        <f>IF(B6392,MOD(A6392-1,Days),"")</f>
        <v/>
      </c>
      <c r="E6392" s="16">
        <f>IF(B6392,StartDate+D6392,"")</f>
        <v/>
      </c>
      <c r="F6392">
        <f>IF(B6392,MAX(MOD(SIN(Seed*0.1373+C6392*12.9898+D6392*78.233)*43758.5453,1),1E-9),"")</f>
        <v/>
      </c>
      <c r="G6392">
        <f>IF(B6392,MOD(SIN(Seed*0.5917+C6392*39.3468+D6392*11.135)*24634.6345,1),"")</f>
        <v/>
      </c>
      <c r="H6392">
        <f>IF(B6392,SQRT(-2*LN(F6392))*COS(2*PI()*G6392),"")</f>
        <v/>
      </c>
      <c r="I6392">
        <f>IF(B6392,IF(D6392=0,H6392,Rho*I6391+SQRT(1-Rho^2)*H6392),"")</f>
        <v/>
      </c>
      <c r="J6392">
        <f>IF(B6392,IF(Dist="Normal",DistA+DistB*I6392,DistA+(DistB-DistA)*NORMSDIST(I6392)),"")</f>
        <v/>
      </c>
      <c r="K6392">
        <f>IF(B6392,INDEX(MineScale,C6392),"")</f>
        <v/>
      </c>
      <c r="L6392">
        <f>IF(B6392,INDEX(Dow,1,WEEKDAY(E6392,2)),"")</f>
        <v/>
      </c>
      <c r="M6392">
        <f>IF(B6392,(1+Trend)^D6392,"")</f>
        <v/>
      </c>
      <c r="N6392">
        <f>IF(B6392,EXP(SUMPRODUCT(LN(1+(EvEff-1)*INDEX(Affected,0,C6392)*EXP(-((E6392-EvCenter)^2)/(2*EvSigma^2))))),"")</f>
        <v/>
      </c>
      <c r="O6392">
        <f>IF(B6392,ROUND(MAX(0,J6392*K6392*L6392*M6392*N6392),2),"")</f>
        <v/>
      </c>
    </row>
    <row r="6393">
      <c r="A6393" t="n">
        <v>6392</v>
      </c>
      <c r="B6393">
        <f>A6393&lt;=MineCount*Days</f>
        <v/>
      </c>
      <c r="C6393">
        <f>IF(B6393,INT((A6393-1)/Days)+1,"")</f>
        <v/>
      </c>
      <c r="D6393">
        <f>IF(B6393,MOD(A6393-1,Days),"")</f>
        <v/>
      </c>
      <c r="E6393" s="16">
        <f>IF(B6393,StartDate+D6393,"")</f>
        <v/>
      </c>
      <c r="F6393">
        <f>IF(B6393,MAX(MOD(SIN(Seed*0.1373+C6393*12.9898+D6393*78.233)*43758.5453,1),1E-9),"")</f>
        <v/>
      </c>
      <c r="G6393">
        <f>IF(B6393,MOD(SIN(Seed*0.5917+C6393*39.3468+D6393*11.135)*24634.6345,1),"")</f>
        <v/>
      </c>
      <c r="H6393">
        <f>IF(B6393,SQRT(-2*LN(F6393))*COS(2*PI()*G6393),"")</f>
        <v/>
      </c>
      <c r="I6393">
        <f>IF(B6393,IF(D6393=0,H6393,Rho*I6392+SQRT(1-Rho^2)*H6393),"")</f>
        <v/>
      </c>
      <c r="J6393">
        <f>IF(B6393,IF(Dist="Normal",DistA+DistB*I6393,DistA+(DistB-DistA)*NORMSDIST(I6393)),"")</f>
        <v/>
      </c>
      <c r="K6393">
        <f>IF(B6393,INDEX(MineScale,C6393),"")</f>
        <v/>
      </c>
      <c r="L6393">
        <f>IF(B6393,INDEX(Dow,1,WEEKDAY(E6393,2)),"")</f>
        <v/>
      </c>
      <c r="M6393">
        <f>IF(B6393,(1+Trend)^D6393,"")</f>
        <v/>
      </c>
      <c r="N6393">
        <f>IF(B6393,EXP(SUMPRODUCT(LN(1+(EvEff-1)*INDEX(Affected,0,C6393)*EXP(-((E6393-EvCenter)^2)/(2*EvSigma^2))))),"")</f>
        <v/>
      </c>
      <c r="O6393">
        <f>IF(B6393,ROUND(MAX(0,J6393*K6393*L6393*M6393*N6393),2),"")</f>
        <v/>
      </c>
    </row>
    <row r="6394">
      <c r="A6394" t="n">
        <v>6393</v>
      </c>
      <c r="B6394">
        <f>A6394&lt;=MineCount*Days</f>
        <v/>
      </c>
      <c r="C6394">
        <f>IF(B6394,INT((A6394-1)/Days)+1,"")</f>
        <v/>
      </c>
      <c r="D6394">
        <f>IF(B6394,MOD(A6394-1,Days),"")</f>
        <v/>
      </c>
      <c r="E6394" s="16">
        <f>IF(B6394,StartDate+D6394,"")</f>
        <v/>
      </c>
      <c r="F6394">
        <f>IF(B6394,MAX(MOD(SIN(Seed*0.1373+C6394*12.9898+D6394*78.233)*43758.5453,1),1E-9),"")</f>
        <v/>
      </c>
      <c r="G6394">
        <f>IF(B6394,MOD(SIN(Seed*0.5917+C6394*39.3468+D6394*11.135)*24634.6345,1),"")</f>
        <v/>
      </c>
      <c r="H6394">
        <f>IF(B6394,SQRT(-2*LN(F6394))*COS(2*PI()*G6394),"")</f>
        <v/>
      </c>
      <c r="I6394">
        <f>IF(B6394,IF(D6394=0,H6394,Rho*I6393+SQRT(1-Rho^2)*H6394),"")</f>
        <v/>
      </c>
      <c r="J6394">
        <f>IF(B6394,IF(Dist="Normal",DistA+DistB*I6394,DistA+(DistB-DistA)*NORMSDIST(I6394)),"")</f>
        <v/>
      </c>
      <c r="K6394">
        <f>IF(B6394,INDEX(MineScale,C6394),"")</f>
        <v/>
      </c>
      <c r="L6394">
        <f>IF(B6394,INDEX(Dow,1,WEEKDAY(E6394,2)),"")</f>
        <v/>
      </c>
      <c r="M6394">
        <f>IF(B6394,(1+Trend)^D6394,"")</f>
        <v/>
      </c>
      <c r="N6394">
        <f>IF(B6394,EXP(SUMPRODUCT(LN(1+(EvEff-1)*INDEX(Affected,0,C6394)*EXP(-((E6394-EvCenter)^2)/(2*EvSigma^2))))),"")</f>
        <v/>
      </c>
      <c r="O6394">
        <f>IF(B6394,ROUND(MAX(0,J6394*K6394*L6394*M6394*N6394),2),"")</f>
        <v/>
      </c>
    </row>
    <row r="6395">
      <c r="A6395" t="n">
        <v>6394</v>
      </c>
      <c r="B6395">
        <f>A6395&lt;=MineCount*Days</f>
        <v/>
      </c>
      <c r="C6395">
        <f>IF(B6395,INT((A6395-1)/Days)+1,"")</f>
        <v/>
      </c>
      <c r="D6395">
        <f>IF(B6395,MOD(A6395-1,Days),"")</f>
        <v/>
      </c>
      <c r="E6395" s="16">
        <f>IF(B6395,StartDate+D6395,"")</f>
        <v/>
      </c>
      <c r="F6395">
        <f>IF(B6395,MAX(MOD(SIN(Seed*0.1373+C6395*12.9898+D6395*78.233)*43758.5453,1),1E-9),"")</f>
        <v/>
      </c>
      <c r="G6395">
        <f>IF(B6395,MOD(SIN(Seed*0.5917+C6395*39.3468+D6395*11.135)*24634.6345,1),"")</f>
        <v/>
      </c>
      <c r="H6395">
        <f>IF(B6395,SQRT(-2*LN(F6395))*COS(2*PI()*G6395),"")</f>
        <v/>
      </c>
      <c r="I6395">
        <f>IF(B6395,IF(D6395=0,H6395,Rho*I6394+SQRT(1-Rho^2)*H6395),"")</f>
        <v/>
      </c>
      <c r="J6395">
        <f>IF(B6395,IF(Dist="Normal",DistA+DistB*I6395,DistA+(DistB-DistA)*NORMSDIST(I6395)),"")</f>
        <v/>
      </c>
      <c r="K6395">
        <f>IF(B6395,INDEX(MineScale,C6395),"")</f>
        <v/>
      </c>
      <c r="L6395">
        <f>IF(B6395,INDEX(Dow,1,WEEKDAY(E6395,2)),"")</f>
        <v/>
      </c>
      <c r="M6395">
        <f>IF(B6395,(1+Trend)^D6395,"")</f>
        <v/>
      </c>
      <c r="N6395">
        <f>IF(B6395,EXP(SUMPRODUCT(LN(1+(EvEff-1)*INDEX(Affected,0,C6395)*EXP(-((E6395-EvCenter)^2)/(2*EvSigma^2))))),"")</f>
        <v/>
      </c>
      <c r="O6395">
        <f>IF(B6395,ROUND(MAX(0,J6395*K6395*L6395*M6395*N6395),2),"")</f>
        <v/>
      </c>
    </row>
    <row r="6396">
      <c r="A6396" t="n">
        <v>6395</v>
      </c>
      <c r="B6396">
        <f>A6396&lt;=MineCount*Days</f>
        <v/>
      </c>
      <c r="C6396">
        <f>IF(B6396,INT((A6396-1)/Days)+1,"")</f>
        <v/>
      </c>
      <c r="D6396">
        <f>IF(B6396,MOD(A6396-1,Days),"")</f>
        <v/>
      </c>
      <c r="E6396" s="16">
        <f>IF(B6396,StartDate+D6396,"")</f>
        <v/>
      </c>
      <c r="F6396">
        <f>IF(B6396,MAX(MOD(SIN(Seed*0.1373+C6396*12.9898+D6396*78.233)*43758.5453,1),1E-9),"")</f>
        <v/>
      </c>
      <c r="G6396">
        <f>IF(B6396,MOD(SIN(Seed*0.5917+C6396*39.3468+D6396*11.135)*24634.6345,1),"")</f>
        <v/>
      </c>
      <c r="H6396">
        <f>IF(B6396,SQRT(-2*LN(F6396))*COS(2*PI()*G6396),"")</f>
        <v/>
      </c>
      <c r="I6396">
        <f>IF(B6396,IF(D6396=0,H6396,Rho*I6395+SQRT(1-Rho^2)*H6396),"")</f>
        <v/>
      </c>
      <c r="J6396">
        <f>IF(B6396,IF(Dist="Normal",DistA+DistB*I6396,DistA+(DistB-DistA)*NORMSDIST(I6396)),"")</f>
        <v/>
      </c>
      <c r="K6396">
        <f>IF(B6396,INDEX(MineScale,C6396),"")</f>
        <v/>
      </c>
      <c r="L6396">
        <f>IF(B6396,INDEX(Dow,1,WEEKDAY(E6396,2)),"")</f>
        <v/>
      </c>
      <c r="M6396">
        <f>IF(B6396,(1+Trend)^D6396,"")</f>
        <v/>
      </c>
      <c r="N6396">
        <f>IF(B6396,EXP(SUMPRODUCT(LN(1+(EvEff-1)*INDEX(Affected,0,C6396)*EXP(-((E6396-EvCenter)^2)/(2*EvSigma^2))))),"")</f>
        <v/>
      </c>
      <c r="O6396">
        <f>IF(B6396,ROUND(MAX(0,J6396*K6396*L6396*M6396*N6396),2),"")</f>
        <v/>
      </c>
    </row>
    <row r="6397">
      <c r="A6397" t="n">
        <v>6396</v>
      </c>
      <c r="B6397">
        <f>A6397&lt;=MineCount*Days</f>
        <v/>
      </c>
      <c r="C6397">
        <f>IF(B6397,INT((A6397-1)/Days)+1,"")</f>
        <v/>
      </c>
      <c r="D6397">
        <f>IF(B6397,MOD(A6397-1,Days),"")</f>
        <v/>
      </c>
      <c r="E6397" s="16">
        <f>IF(B6397,StartDate+D6397,"")</f>
        <v/>
      </c>
      <c r="F6397">
        <f>IF(B6397,MAX(MOD(SIN(Seed*0.1373+C6397*12.9898+D6397*78.233)*43758.5453,1),1E-9),"")</f>
        <v/>
      </c>
      <c r="G6397">
        <f>IF(B6397,MOD(SIN(Seed*0.5917+C6397*39.3468+D6397*11.135)*24634.6345,1),"")</f>
        <v/>
      </c>
      <c r="H6397">
        <f>IF(B6397,SQRT(-2*LN(F6397))*COS(2*PI()*G6397),"")</f>
        <v/>
      </c>
      <c r="I6397">
        <f>IF(B6397,IF(D6397=0,H6397,Rho*I6396+SQRT(1-Rho^2)*H6397),"")</f>
        <v/>
      </c>
      <c r="J6397">
        <f>IF(B6397,IF(Dist="Normal",DistA+DistB*I6397,DistA+(DistB-DistA)*NORMSDIST(I6397)),"")</f>
        <v/>
      </c>
      <c r="K6397">
        <f>IF(B6397,INDEX(MineScale,C6397),"")</f>
        <v/>
      </c>
      <c r="L6397">
        <f>IF(B6397,INDEX(Dow,1,WEEKDAY(E6397,2)),"")</f>
        <v/>
      </c>
      <c r="M6397">
        <f>IF(B6397,(1+Trend)^D6397,"")</f>
        <v/>
      </c>
      <c r="N6397">
        <f>IF(B6397,EXP(SUMPRODUCT(LN(1+(EvEff-1)*INDEX(Affected,0,C6397)*EXP(-((E6397-EvCenter)^2)/(2*EvSigma^2))))),"")</f>
        <v/>
      </c>
      <c r="O6397">
        <f>IF(B6397,ROUND(MAX(0,J6397*K6397*L6397*M6397*N6397),2),"")</f>
        <v/>
      </c>
    </row>
    <row r="6398">
      <c r="A6398" t="n">
        <v>6397</v>
      </c>
      <c r="B6398">
        <f>A6398&lt;=MineCount*Days</f>
        <v/>
      </c>
      <c r="C6398">
        <f>IF(B6398,INT((A6398-1)/Days)+1,"")</f>
        <v/>
      </c>
      <c r="D6398">
        <f>IF(B6398,MOD(A6398-1,Days),"")</f>
        <v/>
      </c>
      <c r="E6398" s="16">
        <f>IF(B6398,StartDate+D6398,"")</f>
        <v/>
      </c>
      <c r="F6398">
        <f>IF(B6398,MAX(MOD(SIN(Seed*0.1373+C6398*12.9898+D6398*78.233)*43758.5453,1),1E-9),"")</f>
        <v/>
      </c>
      <c r="G6398">
        <f>IF(B6398,MOD(SIN(Seed*0.5917+C6398*39.3468+D6398*11.135)*24634.6345,1),"")</f>
        <v/>
      </c>
      <c r="H6398">
        <f>IF(B6398,SQRT(-2*LN(F6398))*COS(2*PI()*G6398),"")</f>
        <v/>
      </c>
      <c r="I6398">
        <f>IF(B6398,IF(D6398=0,H6398,Rho*I6397+SQRT(1-Rho^2)*H6398),"")</f>
        <v/>
      </c>
      <c r="J6398">
        <f>IF(B6398,IF(Dist="Normal",DistA+DistB*I6398,DistA+(DistB-DistA)*NORMSDIST(I6398)),"")</f>
        <v/>
      </c>
      <c r="K6398">
        <f>IF(B6398,INDEX(MineScale,C6398),"")</f>
        <v/>
      </c>
      <c r="L6398">
        <f>IF(B6398,INDEX(Dow,1,WEEKDAY(E6398,2)),"")</f>
        <v/>
      </c>
      <c r="M6398">
        <f>IF(B6398,(1+Trend)^D6398,"")</f>
        <v/>
      </c>
      <c r="N6398">
        <f>IF(B6398,EXP(SUMPRODUCT(LN(1+(EvEff-1)*INDEX(Affected,0,C6398)*EXP(-((E6398-EvCenter)^2)/(2*EvSigma^2))))),"")</f>
        <v/>
      </c>
      <c r="O6398">
        <f>IF(B6398,ROUND(MAX(0,J6398*K6398*L6398*M6398*N6398),2),"")</f>
        <v/>
      </c>
    </row>
    <row r="6399">
      <c r="A6399" t="n">
        <v>6398</v>
      </c>
      <c r="B6399">
        <f>A6399&lt;=MineCount*Days</f>
        <v/>
      </c>
      <c r="C6399">
        <f>IF(B6399,INT((A6399-1)/Days)+1,"")</f>
        <v/>
      </c>
      <c r="D6399">
        <f>IF(B6399,MOD(A6399-1,Days),"")</f>
        <v/>
      </c>
      <c r="E6399" s="16">
        <f>IF(B6399,StartDate+D6399,"")</f>
        <v/>
      </c>
      <c r="F6399">
        <f>IF(B6399,MAX(MOD(SIN(Seed*0.1373+C6399*12.9898+D6399*78.233)*43758.5453,1),1E-9),"")</f>
        <v/>
      </c>
      <c r="G6399">
        <f>IF(B6399,MOD(SIN(Seed*0.5917+C6399*39.3468+D6399*11.135)*24634.6345,1),"")</f>
        <v/>
      </c>
      <c r="H6399">
        <f>IF(B6399,SQRT(-2*LN(F6399))*COS(2*PI()*G6399),"")</f>
        <v/>
      </c>
      <c r="I6399">
        <f>IF(B6399,IF(D6399=0,H6399,Rho*I6398+SQRT(1-Rho^2)*H6399),"")</f>
        <v/>
      </c>
      <c r="J6399">
        <f>IF(B6399,IF(Dist="Normal",DistA+DistB*I6399,DistA+(DistB-DistA)*NORMSDIST(I6399)),"")</f>
        <v/>
      </c>
      <c r="K6399">
        <f>IF(B6399,INDEX(MineScale,C6399),"")</f>
        <v/>
      </c>
      <c r="L6399">
        <f>IF(B6399,INDEX(Dow,1,WEEKDAY(E6399,2)),"")</f>
        <v/>
      </c>
      <c r="M6399">
        <f>IF(B6399,(1+Trend)^D6399,"")</f>
        <v/>
      </c>
      <c r="N6399">
        <f>IF(B6399,EXP(SUMPRODUCT(LN(1+(EvEff-1)*INDEX(Affected,0,C6399)*EXP(-((E6399-EvCenter)^2)/(2*EvSigma^2))))),"")</f>
        <v/>
      </c>
      <c r="O6399">
        <f>IF(B6399,ROUND(MAX(0,J6399*K6399*L6399*M6399*N6399),2),"")</f>
        <v/>
      </c>
    </row>
    <row r="6400">
      <c r="A6400" t="n">
        <v>6399</v>
      </c>
      <c r="B6400">
        <f>A6400&lt;=MineCount*Days</f>
        <v/>
      </c>
      <c r="C6400">
        <f>IF(B6400,INT((A6400-1)/Days)+1,"")</f>
        <v/>
      </c>
      <c r="D6400">
        <f>IF(B6400,MOD(A6400-1,Days),"")</f>
        <v/>
      </c>
      <c r="E6400" s="16">
        <f>IF(B6400,StartDate+D6400,"")</f>
        <v/>
      </c>
      <c r="F6400">
        <f>IF(B6400,MAX(MOD(SIN(Seed*0.1373+C6400*12.9898+D6400*78.233)*43758.5453,1),1E-9),"")</f>
        <v/>
      </c>
      <c r="G6400">
        <f>IF(B6400,MOD(SIN(Seed*0.5917+C6400*39.3468+D6400*11.135)*24634.6345,1),"")</f>
        <v/>
      </c>
      <c r="H6400">
        <f>IF(B6400,SQRT(-2*LN(F6400))*COS(2*PI()*G6400),"")</f>
        <v/>
      </c>
      <c r="I6400">
        <f>IF(B6400,IF(D6400=0,H6400,Rho*I6399+SQRT(1-Rho^2)*H6400),"")</f>
        <v/>
      </c>
      <c r="J6400">
        <f>IF(B6400,IF(Dist="Normal",DistA+DistB*I6400,DistA+(DistB-DistA)*NORMSDIST(I6400)),"")</f>
        <v/>
      </c>
      <c r="K6400">
        <f>IF(B6400,INDEX(MineScale,C6400),"")</f>
        <v/>
      </c>
      <c r="L6400">
        <f>IF(B6400,INDEX(Dow,1,WEEKDAY(E6400,2)),"")</f>
        <v/>
      </c>
      <c r="M6400">
        <f>IF(B6400,(1+Trend)^D6400,"")</f>
        <v/>
      </c>
      <c r="N6400">
        <f>IF(B6400,EXP(SUMPRODUCT(LN(1+(EvEff-1)*INDEX(Affected,0,C6400)*EXP(-((E6400-EvCenter)^2)/(2*EvSigma^2))))),"")</f>
        <v/>
      </c>
      <c r="O6400">
        <f>IF(B6400,ROUND(MAX(0,J6400*K6400*L6400*M6400*N6400),2),"")</f>
        <v/>
      </c>
    </row>
    <row r="6401">
      <c r="A6401" t="n">
        <v>6400</v>
      </c>
      <c r="B6401">
        <f>A6401&lt;=MineCount*Days</f>
        <v/>
      </c>
      <c r="C6401">
        <f>IF(B6401,INT((A6401-1)/Days)+1,"")</f>
        <v/>
      </c>
      <c r="D6401">
        <f>IF(B6401,MOD(A6401-1,Days),"")</f>
        <v/>
      </c>
      <c r="E6401" s="16">
        <f>IF(B6401,StartDate+D6401,"")</f>
        <v/>
      </c>
      <c r="F6401">
        <f>IF(B6401,MAX(MOD(SIN(Seed*0.1373+C6401*12.9898+D6401*78.233)*43758.5453,1),1E-9),"")</f>
        <v/>
      </c>
      <c r="G6401">
        <f>IF(B6401,MOD(SIN(Seed*0.5917+C6401*39.3468+D6401*11.135)*24634.6345,1),"")</f>
        <v/>
      </c>
      <c r="H6401">
        <f>IF(B6401,SQRT(-2*LN(F6401))*COS(2*PI()*G6401),"")</f>
        <v/>
      </c>
      <c r="I6401">
        <f>IF(B6401,IF(D6401=0,H6401,Rho*I6400+SQRT(1-Rho^2)*H6401),"")</f>
        <v/>
      </c>
      <c r="J6401">
        <f>IF(B6401,IF(Dist="Normal",DistA+DistB*I6401,DistA+(DistB-DistA)*NORMSDIST(I6401)),"")</f>
        <v/>
      </c>
      <c r="K6401">
        <f>IF(B6401,INDEX(MineScale,C6401),"")</f>
        <v/>
      </c>
      <c r="L6401">
        <f>IF(B6401,INDEX(Dow,1,WEEKDAY(E6401,2)),"")</f>
        <v/>
      </c>
      <c r="M6401">
        <f>IF(B6401,(1+Trend)^D6401,"")</f>
        <v/>
      </c>
      <c r="N6401">
        <f>IF(B6401,EXP(SUMPRODUCT(LN(1+(EvEff-1)*INDEX(Affected,0,C6401)*EXP(-((E6401-EvCenter)^2)/(2*EvSigma^2))))),"")</f>
        <v/>
      </c>
      <c r="O6401">
        <f>IF(B6401,ROUND(MAX(0,J6401*K6401*L6401*M6401*N6401),2),"")</f>
        <v/>
      </c>
    </row>
    <row r="6402">
      <c r="A6402" t="n">
        <v>6401</v>
      </c>
      <c r="B6402">
        <f>A6402&lt;=MineCount*Days</f>
        <v/>
      </c>
      <c r="C6402">
        <f>IF(B6402,INT((A6402-1)/Days)+1,"")</f>
        <v/>
      </c>
      <c r="D6402">
        <f>IF(B6402,MOD(A6402-1,Days),"")</f>
        <v/>
      </c>
      <c r="E6402" s="16">
        <f>IF(B6402,StartDate+D6402,"")</f>
        <v/>
      </c>
      <c r="F6402">
        <f>IF(B6402,MAX(MOD(SIN(Seed*0.1373+C6402*12.9898+D6402*78.233)*43758.5453,1),1E-9),"")</f>
        <v/>
      </c>
      <c r="G6402">
        <f>IF(B6402,MOD(SIN(Seed*0.5917+C6402*39.3468+D6402*11.135)*24634.6345,1),"")</f>
        <v/>
      </c>
      <c r="H6402">
        <f>IF(B6402,SQRT(-2*LN(F6402))*COS(2*PI()*G6402),"")</f>
        <v/>
      </c>
      <c r="I6402">
        <f>IF(B6402,IF(D6402=0,H6402,Rho*I6401+SQRT(1-Rho^2)*H6402),"")</f>
        <v/>
      </c>
      <c r="J6402">
        <f>IF(B6402,IF(Dist="Normal",DistA+DistB*I6402,DistA+(DistB-DistA)*NORMSDIST(I6402)),"")</f>
        <v/>
      </c>
      <c r="K6402">
        <f>IF(B6402,INDEX(MineScale,C6402),"")</f>
        <v/>
      </c>
      <c r="L6402">
        <f>IF(B6402,INDEX(Dow,1,WEEKDAY(E6402,2)),"")</f>
        <v/>
      </c>
      <c r="M6402">
        <f>IF(B6402,(1+Trend)^D6402,"")</f>
        <v/>
      </c>
      <c r="N6402">
        <f>IF(B6402,EXP(SUMPRODUCT(LN(1+(EvEff-1)*INDEX(Affected,0,C6402)*EXP(-((E6402-EvCenter)^2)/(2*EvSigma^2))))),"")</f>
        <v/>
      </c>
      <c r="O6402">
        <f>IF(B6402,ROUND(MAX(0,J6402*K6402*L6402*M6402*N6402),2),"")</f>
        <v/>
      </c>
    </row>
    <row r="6403">
      <c r="A6403" t="n">
        <v>6402</v>
      </c>
      <c r="B6403">
        <f>A6403&lt;=MineCount*Days</f>
        <v/>
      </c>
      <c r="C6403">
        <f>IF(B6403,INT((A6403-1)/Days)+1,"")</f>
        <v/>
      </c>
      <c r="D6403">
        <f>IF(B6403,MOD(A6403-1,Days),"")</f>
        <v/>
      </c>
      <c r="E6403" s="16">
        <f>IF(B6403,StartDate+D6403,"")</f>
        <v/>
      </c>
      <c r="F6403">
        <f>IF(B6403,MAX(MOD(SIN(Seed*0.1373+C6403*12.9898+D6403*78.233)*43758.5453,1),1E-9),"")</f>
        <v/>
      </c>
      <c r="G6403">
        <f>IF(B6403,MOD(SIN(Seed*0.5917+C6403*39.3468+D6403*11.135)*24634.6345,1),"")</f>
        <v/>
      </c>
      <c r="H6403">
        <f>IF(B6403,SQRT(-2*LN(F6403))*COS(2*PI()*G6403),"")</f>
        <v/>
      </c>
      <c r="I6403">
        <f>IF(B6403,IF(D6403=0,H6403,Rho*I6402+SQRT(1-Rho^2)*H6403),"")</f>
        <v/>
      </c>
      <c r="J6403">
        <f>IF(B6403,IF(Dist="Normal",DistA+DistB*I6403,DistA+(DistB-DistA)*NORMSDIST(I6403)),"")</f>
        <v/>
      </c>
      <c r="K6403">
        <f>IF(B6403,INDEX(MineScale,C6403),"")</f>
        <v/>
      </c>
      <c r="L6403">
        <f>IF(B6403,INDEX(Dow,1,WEEKDAY(E6403,2)),"")</f>
        <v/>
      </c>
      <c r="M6403">
        <f>IF(B6403,(1+Trend)^D6403,"")</f>
        <v/>
      </c>
      <c r="N6403">
        <f>IF(B6403,EXP(SUMPRODUCT(LN(1+(EvEff-1)*INDEX(Affected,0,C6403)*EXP(-((E6403-EvCenter)^2)/(2*EvSigma^2))))),"")</f>
        <v/>
      </c>
      <c r="O6403">
        <f>IF(B6403,ROUND(MAX(0,J6403*K6403*L6403*M6403*N6403),2),"")</f>
        <v/>
      </c>
    </row>
    <row r="6404">
      <c r="A6404" t="n">
        <v>6403</v>
      </c>
      <c r="B6404">
        <f>A6404&lt;=MineCount*Days</f>
        <v/>
      </c>
      <c r="C6404">
        <f>IF(B6404,INT((A6404-1)/Days)+1,"")</f>
        <v/>
      </c>
      <c r="D6404">
        <f>IF(B6404,MOD(A6404-1,Days),"")</f>
        <v/>
      </c>
      <c r="E6404" s="16">
        <f>IF(B6404,StartDate+D6404,"")</f>
        <v/>
      </c>
      <c r="F6404">
        <f>IF(B6404,MAX(MOD(SIN(Seed*0.1373+C6404*12.9898+D6404*78.233)*43758.5453,1),1E-9),"")</f>
        <v/>
      </c>
      <c r="G6404">
        <f>IF(B6404,MOD(SIN(Seed*0.5917+C6404*39.3468+D6404*11.135)*24634.6345,1),"")</f>
        <v/>
      </c>
      <c r="H6404">
        <f>IF(B6404,SQRT(-2*LN(F6404))*COS(2*PI()*G6404),"")</f>
        <v/>
      </c>
      <c r="I6404">
        <f>IF(B6404,IF(D6404=0,H6404,Rho*I6403+SQRT(1-Rho^2)*H6404),"")</f>
        <v/>
      </c>
      <c r="J6404">
        <f>IF(B6404,IF(Dist="Normal",DistA+DistB*I6404,DistA+(DistB-DistA)*NORMSDIST(I6404)),"")</f>
        <v/>
      </c>
      <c r="K6404">
        <f>IF(B6404,INDEX(MineScale,C6404),"")</f>
        <v/>
      </c>
      <c r="L6404">
        <f>IF(B6404,INDEX(Dow,1,WEEKDAY(E6404,2)),"")</f>
        <v/>
      </c>
      <c r="M6404">
        <f>IF(B6404,(1+Trend)^D6404,"")</f>
        <v/>
      </c>
      <c r="N6404">
        <f>IF(B6404,EXP(SUMPRODUCT(LN(1+(EvEff-1)*INDEX(Affected,0,C6404)*EXP(-((E6404-EvCenter)^2)/(2*EvSigma^2))))),"")</f>
        <v/>
      </c>
      <c r="O6404">
        <f>IF(B6404,ROUND(MAX(0,J6404*K6404*L6404*M6404*N6404),2),"")</f>
        <v/>
      </c>
    </row>
    <row r="6405">
      <c r="A6405" t="n">
        <v>6404</v>
      </c>
      <c r="B6405">
        <f>A6405&lt;=MineCount*Days</f>
        <v/>
      </c>
      <c r="C6405">
        <f>IF(B6405,INT((A6405-1)/Days)+1,"")</f>
        <v/>
      </c>
      <c r="D6405">
        <f>IF(B6405,MOD(A6405-1,Days),"")</f>
        <v/>
      </c>
      <c r="E6405" s="16">
        <f>IF(B6405,StartDate+D6405,"")</f>
        <v/>
      </c>
      <c r="F6405">
        <f>IF(B6405,MAX(MOD(SIN(Seed*0.1373+C6405*12.9898+D6405*78.233)*43758.5453,1),1E-9),"")</f>
        <v/>
      </c>
      <c r="G6405">
        <f>IF(B6405,MOD(SIN(Seed*0.5917+C6405*39.3468+D6405*11.135)*24634.6345,1),"")</f>
        <v/>
      </c>
      <c r="H6405">
        <f>IF(B6405,SQRT(-2*LN(F6405))*COS(2*PI()*G6405),"")</f>
        <v/>
      </c>
      <c r="I6405">
        <f>IF(B6405,IF(D6405=0,H6405,Rho*I6404+SQRT(1-Rho^2)*H6405),"")</f>
        <v/>
      </c>
      <c r="J6405">
        <f>IF(B6405,IF(Dist="Normal",DistA+DistB*I6405,DistA+(DistB-DistA)*NORMSDIST(I6405)),"")</f>
        <v/>
      </c>
      <c r="K6405">
        <f>IF(B6405,INDEX(MineScale,C6405),"")</f>
        <v/>
      </c>
      <c r="L6405">
        <f>IF(B6405,INDEX(Dow,1,WEEKDAY(E6405,2)),"")</f>
        <v/>
      </c>
      <c r="M6405">
        <f>IF(B6405,(1+Trend)^D6405,"")</f>
        <v/>
      </c>
      <c r="N6405">
        <f>IF(B6405,EXP(SUMPRODUCT(LN(1+(EvEff-1)*INDEX(Affected,0,C6405)*EXP(-((E6405-EvCenter)^2)/(2*EvSigma^2))))),"")</f>
        <v/>
      </c>
      <c r="O6405">
        <f>IF(B6405,ROUND(MAX(0,J6405*K6405*L6405*M6405*N6405),2),"")</f>
        <v/>
      </c>
    </row>
    <row r="6406">
      <c r="A6406" t="n">
        <v>6405</v>
      </c>
      <c r="B6406">
        <f>A6406&lt;=MineCount*Days</f>
        <v/>
      </c>
      <c r="C6406">
        <f>IF(B6406,INT((A6406-1)/Days)+1,"")</f>
        <v/>
      </c>
      <c r="D6406">
        <f>IF(B6406,MOD(A6406-1,Days),"")</f>
        <v/>
      </c>
      <c r="E6406" s="16">
        <f>IF(B6406,StartDate+D6406,"")</f>
        <v/>
      </c>
      <c r="F6406">
        <f>IF(B6406,MAX(MOD(SIN(Seed*0.1373+C6406*12.9898+D6406*78.233)*43758.5453,1),1E-9),"")</f>
        <v/>
      </c>
      <c r="G6406">
        <f>IF(B6406,MOD(SIN(Seed*0.5917+C6406*39.3468+D6406*11.135)*24634.6345,1),"")</f>
        <v/>
      </c>
      <c r="H6406">
        <f>IF(B6406,SQRT(-2*LN(F6406))*COS(2*PI()*G6406),"")</f>
        <v/>
      </c>
      <c r="I6406">
        <f>IF(B6406,IF(D6406=0,H6406,Rho*I6405+SQRT(1-Rho^2)*H6406),"")</f>
        <v/>
      </c>
      <c r="J6406">
        <f>IF(B6406,IF(Dist="Normal",DistA+DistB*I6406,DistA+(DistB-DistA)*NORMSDIST(I6406)),"")</f>
        <v/>
      </c>
      <c r="K6406">
        <f>IF(B6406,INDEX(MineScale,C6406),"")</f>
        <v/>
      </c>
      <c r="L6406">
        <f>IF(B6406,INDEX(Dow,1,WEEKDAY(E6406,2)),"")</f>
        <v/>
      </c>
      <c r="M6406">
        <f>IF(B6406,(1+Trend)^D6406,"")</f>
        <v/>
      </c>
      <c r="N6406">
        <f>IF(B6406,EXP(SUMPRODUCT(LN(1+(EvEff-1)*INDEX(Affected,0,C6406)*EXP(-((E6406-EvCenter)^2)/(2*EvSigma^2))))),"")</f>
        <v/>
      </c>
      <c r="O6406">
        <f>IF(B6406,ROUND(MAX(0,J6406*K6406*L6406*M6406*N6406),2),"")</f>
        <v/>
      </c>
    </row>
    <row r="6407">
      <c r="A6407" t="n">
        <v>6406</v>
      </c>
      <c r="B6407">
        <f>A6407&lt;=MineCount*Days</f>
        <v/>
      </c>
      <c r="C6407">
        <f>IF(B6407,INT((A6407-1)/Days)+1,"")</f>
        <v/>
      </c>
      <c r="D6407">
        <f>IF(B6407,MOD(A6407-1,Days),"")</f>
        <v/>
      </c>
      <c r="E6407" s="16">
        <f>IF(B6407,StartDate+D6407,"")</f>
        <v/>
      </c>
      <c r="F6407">
        <f>IF(B6407,MAX(MOD(SIN(Seed*0.1373+C6407*12.9898+D6407*78.233)*43758.5453,1),1E-9),"")</f>
        <v/>
      </c>
      <c r="G6407">
        <f>IF(B6407,MOD(SIN(Seed*0.5917+C6407*39.3468+D6407*11.135)*24634.6345,1),"")</f>
        <v/>
      </c>
      <c r="H6407">
        <f>IF(B6407,SQRT(-2*LN(F6407))*COS(2*PI()*G6407),"")</f>
        <v/>
      </c>
      <c r="I6407">
        <f>IF(B6407,IF(D6407=0,H6407,Rho*I6406+SQRT(1-Rho^2)*H6407),"")</f>
        <v/>
      </c>
      <c r="J6407">
        <f>IF(B6407,IF(Dist="Normal",DistA+DistB*I6407,DistA+(DistB-DistA)*NORMSDIST(I6407)),"")</f>
        <v/>
      </c>
      <c r="K6407">
        <f>IF(B6407,INDEX(MineScale,C6407),"")</f>
        <v/>
      </c>
      <c r="L6407">
        <f>IF(B6407,INDEX(Dow,1,WEEKDAY(E6407,2)),"")</f>
        <v/>
      </c>
      <c r="M6407">
        <f>IF(B6407,(1+Trend)^D6407,"")</f>
        <v/>
      </c>
      <c r="N6407">
        <f>IF(B6407,EXP(SUMPRODUCT(LN(1+(EvEff-1)*INDEX(Affected,0,C6407)*EXP(-((E6407-EvCenter)^2)/(2*EvSigma^2))))),"")</f>
        <v/>
      </c>
      <c r="O6407">
        <f>IF(B6407,ROUND(MAX(0,J6407*K6407*L6407*M6407*N6407),2),"")</f>
        <v/>
      </c>
    </row>
    <row r="6408">
      <c r="A6408" t="n">
        <v>6407</v>
      </c>
      <c r="B6408">
        <f>A6408&lt;=MineCount*Days</f>
        <v/>
      </c>
      <c r="C6408">
        <f>IF(B6408,INT((A6408-1)/Days)+1,"")</f>
        <v/>
      </c>
      <c r="D6408">
        <f>IF(B6408,MOD(A6408-1,Days),"")</f>
        <v/>
      </c>
      <c r="E6408" s="16">
        <f>IF(B6408,StartDate+D6408,"")</f>
        <v/>
      </c>
      <c r="F6408">
        <f>IF(B6408,MAX(MOD(SIN(Seed*0.1373+C6408*12.9898+D6408*78.233)*43758.5453,1),1E-9),"")</f>
        <v/>
      </c>
      <c r="G6408">
        <f>IF(B6408,MOD(SIN(Seed*0.5917+C6408*39.3468+D6408*11.135)*24634.6345,1),"")</f>
        <v/>
      </c>
      <c r="H6408">
        <f>IF(B6408,SQRT(-2*LN(F6408))*COS(2*PI()*G6408),"")</f>
        <v/>
      </c>
      <c r="I6408">
        <f>IF(B6408,IF(D6408=0,H6408,Rho*I6407+SQRT(1-Rho^2)*H6408),"")</f>
        <v/>
      </c>
      <c r="J6408">
        <f>IF(B6408,IF(Dist="Normal",DistA+DistB*I6408,DistA+(DistB-DistA)*NORMSDIST(I6408)),"")</f>
        <v/>
      </c>
      <c r="K6408">
        <f>IF(B6408,INDEX(MineScale,C6408),"")</f>
        <v/>
      </c>
      <c r="L6408">
        <f>IF(B6408,INDEX(Dow,1,WEEKDAY(E6408,2)),"")</f>
        <v/>
      </c>
      <c r="M6408">
        <f>IF(B6408,(1+Trend)^D6408,"")</f>
        <v/>
      </c>
      <c r="N6408">
        <f>IF(B6408,EXP(SUMPRODUCT(LN(1+(EvEff-1)*INDEX(Affected,0,C6408)*EXP(-((E6408-EvCenter)^2)/(2*EvSigma^2))))),"")</f>
        <v/>
      </c>
      <c r="O6408">
        <f>IF(B6408,ROUND(MAX(0,J6408*K6408*L6408*M6408*N6408),2),"")</f>
        <v/>
      </c>
    </row>
    <row r="6409">
      <c r="A6409" t="n">
        <v>6408</v>
      </c>
      <c r="B6409">
        <f>A6409&lt;=MineCount*Days</f>
        <v/>
      </c>
      <c r="C6409">
        <f>IF(B6409,INT((A6409-1)/Days)+1,"")</f>
        <v/>
      </c>
      <c r="D6409">
        <f>IF(B6409,MOD(A6409-1,Days),"")</f>
        <v/>
      </c>
      <c r="E6409" s="16">
        <f>IF(B6409,StartDate+D6409,"")</f>
        <v/>
      </c>
      <c r="F6409">
        <f>IF(B6409,MAX(MOD(SIN(Seed*0.1373+C6409*12.9898+D6409*78.233)*43758.5453,1),1E-9),"")</f>
        <v/>
      </c>
      <c r="G6409">
        <f>IF(B6409,MOD(SIN(Seed*0.5917+C6409*39.3468+D6409*11.135)*24634.6345,1),"")</f>
        <v/>
      </c>
      <c r="H6409">
        <f>IF(B6409,SQRT(-2*LN(F6409))*COS(2*PI()*G6409),"")</f>
        <v/>
      </c>
      <c r="I6409">
        <f>IF(B6409,IF(D6409=0,H6409,Rho*I6408+SQRT(1-Rho^2)*H6409),"")</f>
        <v/>
      </c>
      <c r="J6409">
        <f>IF(B6409,IF(Dist="Normal",DistA+DistB*I6409,DistA+(DistB-DistA)*NORMSDIST(I6409)),"")</f>
        <v/>
      </c>
      <c r="K6409">
        <f>IF(B6409,INDEX(MineScale,C6409),"")</f>
        <v/>
      </c>
      <c r="L6409">
        <f>IF(B6409,INDEX(Dow,1,WEEKDAY(E6409,2)),"")</f>
        <v/>
      </c>
      <c r="M6409">
        <f>IF(B6409,(1+Trend)^D6409,"")</f>
        <v/>
      </c>
      <c r="N6409">
        <f>IF(B6409,EXP(SUMPRODUCT(LN(1+(EvEff-1)*INDEX(Affected,0,C6409)*EXP(-((E6409-EvCenter)^2)/(2*EvSigma^2))))),"")</f>
        <v/>
      </c>
      <c r="O6409">
        <f>IF(B6409,ROUND(MAX(0,J6409*K6409*L6409*M6409*N6409),2),"")</f>
        <v/>
      </c>
    </row>
    <row r="6410">
      <c r="A6410" t="n">
        <v>6409</v>
      </c>
      <c r="B6410">
        <f>A6410&lt;=MineCount*Days</f>
        <v/>
      </c>
      <c r="C6410">
        <f>IF(B6410,INT((A6410-1)/Days)+1,"")</f>
        <v/>
      </c>
      <c r="D6410">
        <f>IF(B6410,MOD(A6410-1,Days),"")</f>
        <v/>
      </c>
      <c r="E6410" s="16">
        <f>IF(B6410,StartDate+D6410,"")</f>
        <v/>
      </c>
      <c r="F6410">
        <f>IF(B6410,MAX(MOD(SIN(Seed*0.1373+C6410*12.9898+D6410*78.233)*43758.5453,1),1E-9),"")</f>
        <v/>
      </c>
      <c r="G6410">
        <f>IF(B6410,MOD(SIN(Seed*0.5917+C6410*39.3468+D6410*11.135)*24634.6345,1),"")</f>
        <v/>
      </c>
      <c r="H6410">
        <f>IF(B6410,SQRT(-2*LN(F6410))*COS(2*PI()*G6410),"")</f>
        <v/>
      </c>
      <c r="I6410">
        <f>IF(B6410,IF(D6410=0,H6410,Rho*I6409+SQRT(1-Rho^2)*H6410),"")</f>
        <v/>
      </c>
      <c r="J6410">
        <f>IF(B6410,IF(Dist="Normal",DistA+DistB*I6410,DistA+(DistB-DistA)*NORMSDIST(I6410)),"")</f>
        <v/>
      </c>
      <c r="K6410">
        <f>IF(B6410,INDEX(MineScale,C6410),"")</f>
        <v/>
      </c>
      <c r="L6410">
        <f>IF(B6410,INDEX(Dow,1,WEEKDAY(E6410,2)),"")</f>
        <v/>
      </c>
      <c r="M6410">
        <f>IF(B6410,(1+Trend)^D6410,"")</f>
        <v/>
      </c>
      <c r="N6410">
        <f>IF(B6410,EXP(SUMPRODUCT(LN(1+(EvEff-1)*INDEX(Affected,0,C6410)*EXP(-((E6410-EvCenter)^2)/(2*EvSigma^2))))),"")</f>
        <v/>
      </c>
      <c r="O6410">
        <f>IF(B6410,ROUND(MAX(0,J6410*K6410*L6410*M6410*N6410),2),"")</f>
        <v/>
      </c>
    </row>
    <row r="6411">
      <c r="A6411" t="n">
        <v>6410</v>
      </c>
      <c r="B6411">
        <f>A6411&lt;=MineCount*Days</f>
        <v/>
      </c>
      <c r="C6411">
        <f>IF(B6411,INT((A6411-1)/Days)+1,"")</f>
        <v/>
      </c>
      <c r="D6411">
        <f>IF(B6411,MOD(A6411-1,Days),"")</f>
        <v/>
      </c>
      <c r="E6411" s="16">
        <f>IF(B6411,StartDate+D6411,"")</f>
        <v/>
      </c>
      <c r="F6411">
        <f>IF(B6411,MAX(MOD(SIN(Seed*0.1373+C6411*12.9898+D6411*78.233)*43758.5453,1),1E-9),"")</f>
        <v/>
      </c>
      <c r="G6411">
        <f>IF(B6411,MOD(SIN(Seed*0.5917+C6411*39.3468+D6411*11.135)*24634.6345,1),"")</f>
        <v/>
      </c>
      <c r="H6411">
        <f>IF(B6411,SQRT(-2*LN(F6411))*COS(2*PI()*G6411),"")</f>
        <v/>
      </c>
      <c r="I6411">
        <f>IF(B6411,IF(D6411=0,H6411,Rho*I6410+SQRT(1-Rho^2)*H6411),"")</f>
        <v/>
      </c>
      <c r="J6411">
        <f>IF(B6411,IF(Dist="Normal",DistA+DistB*I6411,DistA+(DistB-DistA)*NORMSDIST(I6411)),"")</f>
        <v/>
      </c>
      <c r="K6411">
        <f>IF(B6411,INDEX(MineScale,C6411),"")</f>
        <v/>
      </c>
      <c r="L6411">
        <f>IF(B6411,INDEX(Dow,1,WEEKDAY(E6411,2)),"")</f>
        <v/>
      </c>
      <c r="M6411">
        <f>IF(B6411,(1+Trend)^D6411,"")</f>
        <v/>
      </c>
      <c r="N6411">
        <f>IF(B6411,EXP(SUMPRODUCT(LN(1+(EvEff-1)*INDEX(Affected,0,C6411)*EXP(-((E6411-EvCenter)^2)/(2*EvSigma^2))))),"")</f>
        <v/>
      </c>
      <c r="O6411">
        <f>IF(B6411,ROUND(MAX(0,J6411*K6411*L6411*M6411*N6411),2),"")</f>
        <v/>
      </c>
    </row>
    <row r="6412">
      <c r="A6412" t="n">
        <v>6411</v>
      </c>
      <c r="B6412">
        <f>A6412&lt;=MineCount*Days</f>
        <v/>
      </c>
      <c r="C6412">
        <f>IF(B6412,INT((A6412-1)/Days)+1,"")</f>
        <v/>
      </c>
      <c r="D6412">
        <f>IF(B6412,MOD(A6412-1,Days),"")</f>
        <v/>
      </c>
      <c r="E6412" s="16">
        <f>IF(B6412,StartDate+D6412,"")</f>
        <v/>
      </c>
      <c r="F6412">
        <f>IF(B6412,MAX(MOD(SIN(Seed*0.1373+C6412*12.9898+D6412*78.233)*43758.5453,1),1E-9),"")</f>
        <v/>
      </c>
      <c r="G6412">
        <f>IF(B6412,MOD(SIN(Seed*0.5917+C6412*39.3468+D6412*11.135)*24634.6345,1),"")</f>
        <v/>
      </c>
      <c r="H6412">
        <f>IF(B6412,SQRT(-2*LN(F6412))*COS(2*PI()*G6412),"")</f>
        <v/>
      </c>
      <c r="I6412">
        <f>IF(B6412,IF(D6412=0,H6412,Rho*I6411+SQRT(1-Rho^2)*H6412),"")</f>
        <v/>
      </c>
      <c r="J6412">
        <f>IF(B6412,IF(Dist="Normal",DistA+DistB*I6412,DistA+(DistB-DistA)*NORMSDIST(I6412)),"")</f>
        <v/>
      </c>
      <c r="K6412">
        <f>IF(B6412,INDEX(MineScale,C6412),"")</f>
        <v/>
      </c>
      <c r="L6412">
        <f>IF(B6412,INDEX(Dow,1,WEEKDAY(E6412,2)),"")</f>
        <v/>
      </c>
      <c r="M6412">
        <f>IF(B6412,(1+Trend)^D6412,"")</f>
        <v/>
      </c>
      <c r="N6412">
        <f>IF(B6412,EXP(SUMPRODUCT(LN(1+(EvEff-1)*INDEX(Affected,0,C6412)*EXP(-((E6412-EvCenter)^2)/(2*EvSigma^2))))),"")</f>
        <v/>
      </c>
      <c r="O6412">
        <f>IF(B6412,ROUND(MAX(0,J6412*K6412*L6412*M6412*N6412),2),"")</f>
        <v/>
      </c>
    </row>
    <row r="6413">
      <c r="A6413" t="n">
        <v>6412</v>
      </c>
      <c r="B6413">
        <f>A6413&lt;=MineCount*Days</f>
        <v/>
      </c>
      <c r="C6413">
        <f>IF(B6413,INT((A6413-1)/Days)+1,"")</f>
        <v/>
      </c>
      <c r="D6413">
        <f>IF(B6413,MOD(A6413-1,Days),"")</f>
        <v/>
      </c>
      <c r="E6413" s="16">
        <f>IF(B6413,StartDate+D6413,"")</f>
        <v/>
      </c>
      <c r="F6413">
        <f>IF(B6413,MAX(MOD(SIN(Seed*0.1373+C6413*12.9898+D6413*78.233)*43758.5453,1),1E-9),"")</f>
        <v/>
      </c>
      <c r="G6413">
        <f>IF(B6413,MOD(SIN(Seed*0.5917+C6413*39.3468+D6413*11.135)*24634.6345,1),"")</f>
        <v/>
      </c>
      <c r="H6413">
        <f>IF(B6413,SQRT(-2*LN(F6413))*COS(2*PI()*G6413),"")</f>
        <v/>
      </c>
      <c r="I6413">
        <f>IF(B6413,IF(D6413=0,H6413,Rho*I6412+SQRT(1-Rho^2)*H6413),"")</f>
        <v/>
      </c>
      <c r="J6413">
        <f>IF(B6413,IF(Dist="Normal",DistA+DistB*I6413,DistA+(DistB-DistA)*NORMSDIST(I6413)),"")</f>
        <v/>
      </c>
      <c r="K6413">
        <f>IF(B6413,INDEX(MineScale,C6413),"")</f>
        <v/>
      </c>
      <c r="L6413">
        <f>IF(B6413,INDEX(Dow,1,WEEKDAY(E6413,2)),"")</f>
        <v/>
      </c>
      <c r="M6413">
        <f>IF(B6413,(1+Trend)^D6413,"")</f>
        <v/>
      </c>
      <c r="N6413">
        <f>IF(B6413,EXP(SUMPRODUCT(LN(1+(EvEff-1)*INDEX(Affected,0,C6413)*EXP(-((E6413-EvCenter)^2)/(2*EvSigma^2))))),"")</f>
        <v/>
      </c>
      <c r="O6413">
        <f>IF(B6413,ROUND(MAX(0,J6413*K6413*L6413*M6413*N6413),2),"")</f>
        <v/>
      </c>
    </row>
    <row r="6414">
      <c r="A6414" t="n">
        <v>6413</v>
      </c>
      <c r="B6414">
        <f>A6414&lt;=MineCount*Days</f>
        <v/>
      </c>
      <c r="C6414">
        <f>IF(B6414,INT((A6414-1)/Days)+1,"")</f>
        <v/>
      </c>
      <c r="D6414">
        <f>IF(B6414,MOD(A6414-1,Days),"")</f>
        <v/>
      </c>
      <c r="E6414" s="16">
        <f>IF(B6414,StartDate+D6414,"")</f>
        <v/>
      </c>
      <c r="F6414">
        <f>IF(B6414,MAX(MOD(SIN(Seed*0.1373+C6414*12.9898+D6414*78.233)*43758.5453,1),1E-9),"")</f>
        <v/>
      </c>
      <c r="G6414">
        <f>IF(B6414,MOD(SIN(Seed*0.5917+C6414*39.3468+D6414*11.135)*24634.6345,1),"")</f>
        <v/>
      </c>
      <c r="H6414">
        <f>IF(B6414,SQRT(-2*LN(F6414))*COS(2*PI()*G6414),"")</f>
        <v/>
      </c>
      <c r="I6414">
        <f>IF(B6414,IF(D6414=0,H6414,Rho*I6413+SQRT(1-Rho^2)*H6414),"")</f>
        <v/>
      </c>
      <c r="J6414">
        <f>IF(B6414,IF(Dist="Normal",DistA+DistB*I6414,DistA+(DistB-DistA)*NORMSDIST(I6414)),"")</f>
        <v/>
      </c>
      <c r="K6414">
        <f>IF(B6414,INDEX(MineScale,C6414),"")</f>
        <v/>
      </c>
      <c r="L6414">
        <f>IF(B6414,INDEX(Dow,1,WEEKDAY(E6414,2)),"")</f>
        <v/>
      </c>
      <c r="M6414">
        <f>IF(B6414,(1+Trend)^D6414,"")</f>
        <v/>
      </c>
      <c r="N6414">
        <f>IF(B6414,EXP(SUMPRODUCT(LN(1+(EvEff-1)*INDEX(Affected,0,C6414)*EXP(-((E6414-EvCenter)^2)/(2*EvSigma^2))))),"")</f>
        <v/>
      </c>
      <c r="O6414">
        <f>IF(B6414,ROUND(MAX(0,J6414*K6414*L6414*M6414*N6414),2),"")</f>
        <v/>
      </c>
    </row>
    <row r="6415">
      <c r="A6415" t="n">
        <v>6414</v>
      </c>
      <c r="B6415">
        <f>A6415&lt;=MineCount*Days</f>
        <v/>
      </c>
      <c r="C6415">
        <f>IF(B6415,INT((A6415-1)/Days)+1,"")</f>
        <v/>
      </c>
      <c r="D6415">
        <f>IF(B6415,MOD(A6415-1,Days),"")</f>
        <v/>
      </c>
      <c r="E6415" s="16">
        <f>IF(B6415,StartDate+D6415,"")</f>
        <v/>
      </c>
      <c r="F6415">
        <f>IF(B6415,MAX(MOD(SIN(Seed*0.1373+C6415*12.9898+D6415*78.233)*43758.5453,1),1E-9),"")</f>
        <v/>
      </c>
      <c r="G6415">
        <f>IF(B6415,MOD(SIN(Seed*0.5917+C6415*39.3468+D6415*11.135)*24634.6345,1),"")</f>
        <v/>
      </c>
      <c r="H6415">
        <f>IF(B6415,SQRT(-2*LN(F6415))*COS(2*PI()*G6415),"")</f>
        <v/>
      </c>
      <c r="I6415">
        <f>IF(B6415,IF(D6415=0,H6415,Rho*I6414+SQRT(1-Rho^2)*H6415),"")</f>
        <v/>
      </c>
      <c r="J6415">
        <f>IF(B6415,IF(Dist="Normal",DistA+DistB*I6415,DistA+(DistB-DistA)*NORMSDIST(I6415)),"")</f>
        <v/>
      </c>
      <c r="K6415">
        <f>IF(B6415,INDEX(MineScale,C6415),"")</f>
        <v/>
      </c>
      <c r="L6415">
        <f>IF(B6415,INDEX(Dow,1,WEEKDAY(E6415,2)),"")</f>
        <v/>
      </c>
      <c r="M6415">
        <f>IF(B6415,(1+Trend)^D6415,"")</f>
        <v/>
      </c>
      <c r="N6415">
        <f>IF(B6415,EXP(SUMPRODUCT(LN(1+(EvEff-1)*INDEX(Affected,0,C6415)*EXP(-((E6415-EvCenter)^2)/(2*EvSigma^2))))),"")</f>
        <v/>
      </c>
      <c r="O6415">
        <f>IF(B6415,ROUND(MAX(0,J6415*K6415*L6415*M6415*N6415),2),"")</f>
        <v/>
      </c>
    </row>
    <row r="6416">
      <c r="A6416" t="n">
        <v>6415</v>
      </c>
      <c r="B6416">
        <f>A6416&lt;=MineCount*Days</f>
        <v/>
      </c>
      <c r="C6416">
        <f>IF(B6416,INT((A6416-1)/Days)+1,"")</f>
        <v/>
      </c>
      <c r="D6416">
        <f>IF(B6416,MOD(A6416-1,Days),"")</f>
        <v/>
      </c>
      <c r="E6416" s="16">
        <f>IF(B6416,StartDate+D6416,"")</f>
        <v/>
      </c>
      <c r="F6416">
        <f>IF(B6416,MAX(MOD(SIN(Seed*0.1373+C6416*12.9898+D6416*78.233)*43758.5453,1),1E-9),"")</f>
        <v/>
      </c>
      <c r="G6416">
        <f>IF(B6416,MOD(SIN(Seed*0.5917+C6416*39.3468+D6416*11.135)*24634.6345,1),"")</f>
        <v/>
      </c>
      <c r="H6416">
        <f>IF(B6416,SQRT(-2*LN(F6416))*COS(2*PI()*G6416),"")</f>
        <v/>
      </c>
      <c r="I6416">
        <f>IF(B6416,IF(D6416=0,H6416,Rho*I6415+SQRT(1-Rho^2)*H6416),"")</f>
        <v/>
      </c>
      <c r="J6416">
        <f>IF(B6416,IF(Dist="Normal",DistA+DistB*I6416,DistA+(DistB-DistA)*NORMSDIST(I6416)),"")</f>
        <v/>
      </c>
      <c r="K6416">
        <f>IF(B6416,INDEX(MineScale,C6416),"")</f>
        <v/>
      </c>
      <c r="L6416">
        <f>IF(B6416,INDEX(Dow,1,WEEKDAY(E6416,2)),"")</f>
        <v/>
      </c>
      <c r="M6416">
        <f>IF(B6416,(1+Trend)^D6416,"")</f>
        <v/>
      </c>
      <c r="N6416">
        <f>IF(B6416,EXP(SUMPRODUCT(LN(1+(EvEff-1)*INDEX(Affected,0,C6416)*EXP(-((E6416-EvCenter)^2)/(2*EvSigma^2))))),"")</f>
        <v/>
      </c>
      <c r="O6416">
        <f>IF(B6416,ROUND(MAX(0,J6416*K6416*L6416*M6416*N6416),2),"")</f>
        <v/>
      </c>
    </row>
    <row r="6417">
      <c r="A6417" t="n">
        <v>6416</v>
      </c>
      <c r="B6417">
        <f>A6417&lt;=MineCount*Days</f>
        <v/>
      </c>
      <c r="C6417">
        <f>IF(B6417,INT((A6417-1)/Days)+1,"")</f>
        <v/>
      </c>
      <c r="D6417">
        <f>IF(B6417,MOD(A6417-1,Days),"")</f>
        <v/>
      </c>
      <c r="E6417" s="16">
        <f>IF(B6417,StartDate+D6417,"")</f>
        <v/>
      </c>
      <c r="F6417">
        <f>IF(B6417,MAX(MOD(SIN(Seed*0.1373+C6417*12.9898+D6417*78.233)*43758.5453,1),1E-9),"")</f>
        <v/>
      </c>
      <c r="G6417">
        <f>IF(B6417,MOD(SIN(Seed*0.5917+C6417*39.3468+D6417*11.135)*24634.6345,1),"")</f>
        <v/>
      </c>
      <c r="H6417">
        <f>IF(B6417,SQRT(-2*LN(F6417))*COS(2*PI()*G6417),"")</f>
        <v/>
      </c>
      <c r="I6417">
        <f>IF(B6417,IF(D6417=0,H6417,Rho*I6416+SQRT(1-Rho^2)*H6417),"")</f>
        <v/>
      </c>
      <c r="J6417">
        <f>IF(B6417,IF(Dist="Normal",DistA+DistB*I6417,DistA+(DistB-DistA)*NORMSDIST(I6417)),"")</f>
        <v/>
      </c>
      <c r="K6417">
        <f>IF(B6417,INDEX(MineScale,C6417),"")</f>
        <v/>
      </c>
      <c r="L6417">
        <f>IF(B6417,INDEX(Dow,1,WEEKDAY(E6417,2)),"")</f>
        <v/>
      </c>
      <c r="M6417">
        <f>IF(B6417,(1+Trend)^D6417,"")</f>
        <v/>
      </c>
      <c r="N6417">
        <f>IF(B6417,EXP(SUMPRODUCT(LN(1+(EvEff-1)*INDEX(Affected,0,C6417)*EXP(-((E6417-EvCenter)^2)/(2*EvSigma^2))))),"")</f>
        <v/>
      </c>
      <c r="O6417">
        <f>IF(B6417,ROUND(MAX(0,J6417*K6417*L6417*M6417*N6417),2),"")</f>
        <v/>
      </c>
    </row>
    <row r="6418">
      <c r="A6418" t="n">
        <v>6417</v>
      </c>
      <c r="B6418">
        <f>A6418&lt;=MineCount*Days</f>
        <v/>
      </c>
      <c r="C6418">
        <f>IF(B6418,INT((A6418-1)/Days)+1,"")</f>
        <v/>
      </c>
      <c r="D6418">
        <f>IF(B6418,MOD(A6418-1,Days),"")</f>
        <v/>
      </c>
      <c r="E6418" s="16">
        <f>IF(B6418,StartDate+D6418,"")</f>
        <v/>
      </c>
      <c r="F6418">
        <f>IF(B6418,MAX(MOD(SIN(Seed*0.1373+C6418*12.9898+D6418*78.233)*43758.5453,1),1E-9),"")</f>
        <v/>
      </c>
      <c r="G6418">
        <f>IF(B6418,MOD(SIN(Seed*0.5917+C6418*39.3468+D6418*11.135)*24634.6345,1),"")</f>
        <v/>
      </c>
      <c r="H6418">
        <f>IF(B6418,SQRT(-2*LN(F6418))*COS(2*PI()*G6418),"")</f>
        <v/>
      </c>
      <c r="I6418">
        <f>IF(B6418,IF(D6418=0,H6418,Rho*I6417+SQRT(1-Rho^2)*H6418),"")</f>
        <v/>
      </c>
      <c r="J6418">
        <f>IF(B6418,IF(Dist="Normal",DistA+DistB*I6418,DistA+(DistB-DistA)*NORMSDIST(I6418)),"")</f>
        <v/>
      </c>
      <c r="K6418">
        <f>IF(B6418,INDEX(MineScale,C6418),"")</f>
        <v/>
      </c>
      <c r="L6418">
        <f>IF(B6418,INDEX(Dow,1,WEEKDAY(E6418,2)),"")</f>
        <v/>
      </c>
      <c r="M6418">
        <f>IF(B6418,(1+Trend)^D6418,"")</f>
        <v/>
      </c>
      <c r="N6418">
        <f>IF(B6418,EXP(SUMPRODUCT(LN(1+(EvEff-1)*INDEX(Affected,0,C6418)*EXP(-((E6418-EvCenter)^2)/(2*EvSigma^2))))),"")</f>
        <v/>
      </c>
      <c r="O6418">
        <f>IF(B6418,ROUND(MAX(0,J6418*K6418*L6418*M6418*N6418),2),"")</f>
        <v/>
      </c>
    </row>
    <row r="6419">
      <c r="A6419" t="n">
        <v>6418</v>
      </c>
      <c r="B6419">
        <f>A6419&lt;=MineCount*Days</f>
        <v/>
      </c>
      <c r="C6419">
        <f>IF(B6419,INT((A6419-1)/Days)+1,"")</f>
        <v/>
      </c>
      <c r="D6419">
        <f>IF(B6419,MOD(A6419-1,Days),"")</f>
        <v/>
      </c>
      <c r="E6419" s="16">
        <f>IF(B6419,StartDate+D6419,"")</f>
        <v/>
      </c>
      <c r="F6419">
        <f>IF(B6419,MAX(MOD(SIN(Seed*0.1373+C6419*12.9898+D6419*78.233)*43758.5453,1),1E-9),"")</f>
        <v/>
      </c>
      <c r="G6419">
        <f>IF(B6419,MOD(SIN(Seed*0.5917+C6419*39.3468+D6419*11.135)*24634.6345,1),"")</f>
        <v/>
      </c>
      <c r="H6419">
        <f>IF(B6419,SQRT(-2*LN(F6419))*COS(2*PI()*G6419),"")</f>
        <v/>
      </c>
      <c r="I6419">
        <f>IF(B6419,IF(D6419=0,H6419,Rho*I6418+SQRT(1-Rho^2)*H6419),"")</f>
        <v/>
      </c>
      <c r="J6419">
        <f>IF(B6419,IF(Dist="Normal",DistA+DistB*I6419,DistA+(DistB-DistA)*NORMSDIST(I6419)),"")</f>
        <v/>
      </c>
      <c r="K6419">
        <f>IF(B6419,INDEX(MineScale,C6419),"")</f>
        <v/>
      </c>
      <c r="L6419">
        <f>IF(B6419,INDEX(Dow,1,WEEKDAY(E6419,2)),"")</f>
        <v/>
      </c>
      <c r="M6419">
        <f>IF(B6419,(1+Trend)^D6419,"")</f>
        <v/>
      </c>
      <c r="N6419">
        <f>IF(B6419,EXP(SUMPRODUCT(LN(1+(EvEff-1)*INDEX(Affected,0,C6419)*EXP(-((E6419-EvCenter)^2)/(2*EvSigma^2))))),"")</f>
        <v/>
      </c>
      <c r="O6419">
        <f>IF(B6419,ROUND(MAX(0,J6419*K6419*L6419*M6419*N6419),2),"")</f>
        <v/>
      </c>
    </row>
    <row r="6420">
      <c r="A6420" t="n">
        <v>6419</v>
      </c>
      <c r="B6420">
        <f>A6420&lt;=MineCount*Days</f>
        <v/>
      </c>
      <c r="C6420">
        <f>IF(B6420,INT((A6420-1)/Days)+1,"")</f>
        <v/>
      </c>
      <c r="D6420">
        <f>IF(B6420,MOD(A6420-1,Days),"")</f>
        <v/>
      </c>
      <c r="E6420" s="16">
        <f>IF(B6420,StartDate+D6420,"")</f>
        <v/>
      </c>
      <c r="F6420">
        <f>IF(B6420,MAX(MOD(SIN(Seed*0.1373+C6420*12.9898+D6420*78.233)*43758.5453,1),1E-9),"")</f>
        <v/>
      </c>
      <c r="G6420">
        <f>IF(B6420,MOD(SIN(Seed*0.5917+C6420*39.3468+D6420*11.135)*24634.6345,1),"")</f>
        <v/>
      </c>
      <c r="H6420">
        <f>IF(B6420,SQRT(-2*LN(F6420))*COS(2*PI()*G6420),"")</f>
        <v/>
      </c>
      <c r="I6420">
        <f>IF(B6420,IF(D6420=0,H6420,Rho*I6419+SQRT(1-Rho^2)*H6420),"")</f>
        <v/>
      </c>
      <c r="J6420">
        <f>IF(B6420,IF(Dist="Normal",DistA+DistB*I6420,DistA+(DistB-DistA)*NORMSDIST(I6420)),"")</f>
        <v/>
      </c>
      <c r="K6420">
        <f>IF(B6420,INDEX(MineScale,C6420),"")</f>
        <v/>
      </c>
      <c r="L6420">
        <f>IF(B6420,INDEX(Dow,1,WEEKDAY(E6420,2)),"")</f>
        <v/>
      </c>
      <c r="M6420">
        <f>IF(B6420,(1+Trend)^D6420,"")</f>
        <v/>
      </c>
      <c r="N6420">
        <f>IF(B6420,EXP(SUMPRODUCT(LN(1+(EvEff-1)*INDEX(Affected,0,C6420)*EXP(-((E6420-EvCenter)^2)/(2*EvSigma^2))))),"")</f>
        <v/>
      </c>
      <c r="O6420">
        <f>IF(B6420,ROUND(MAX(0,J6420*K6420*L6420*M6420*N6420),2),"")</f>
        <v/>
      </c>
    </row>
    <row r="6421">
      <c r="A6421" t="n">
        <v>6420</v>
      </c>
      <c r="B6421">
        <f>A6421&lt;=MineCount*Days</f>
        <v/>
      </c>
      <c r="C6421">
        <f>IF(B6421,INT((A6421-1)/Days)+1,"")</f>
        <v/>
      </c>
      <c r="D6421">
        <f>IF(B6421,MOD(A6421-1,Days),"")</f>
        <v/>
      </c>
      <c r="E6421" s="16">
        <f>IF(B6421,StartDate+D6421,"")</f>
        <v/>
      </c>
      <c r="F6421">
        <f>IF(B6421,MAX(MOD(SIN(Seed*0.1373+C6421*12.9898+D6421*78.233)*43758.5453,1),1E-9),"")</f>
        <v/>
      </c>
      <c r="G6421">
        <f>IF(B6421,MOD(SIN(Seed*0.5917+C6421*39.3468+D6421*11.135)*24634.6345,1),"")</f>
        <v/>
      </c>
      <c r="H6421">
        <f>IF(B6421,SQRT(-2*LN(F6421))*COS(2*PI()*G6421),"")</f>
        <v/>
      </c>
      <c r="I6421">
        <f>IF(B6421,IF(D6421=0,H6421,Rho*I6420+SQRT(1-Rho^2)*H6421),"")</f>
        <v/>
      </c>
      <c r="J6421">
        <f>IF(B6421,IF(Dist="Normal",DistA+DistB*I6421,DistA+(DistB-DistA)*NORMSDIST(I6421)),"")</f>
        <v/>
      </c>
      <c r="K6421">
        <f>IF(B6421,INDEX(MineScale,C6421),"")</f>
        <v/>
      </c>
      <c r="L6421">
        <f>IF(B6421,INDEX(Dow,1,WEEKDAY(E6421,2)),"")</f>
        <v/>
      </c>
      <c r="M6421">
        <f>IF(B6421,(1+Trend)^D6421,"")</f>
        <v/>
      </c>
      <c r="N6421">
        <f>IF(B6421,EXP(SUMPRODUCT(LN(1+(EvEff-1)*INDEX(Affected,0,C6421)*EXP(-((E6421-EvCenter)^2)/(2*EvSigma^2))))),"")</f>
        <v/>
      </c>
      <c r="O6421">
        <f>IF(B6421,ROUND(MAX(0,J6421*K6421*L6421*M6421*N6421),2),"")</f>
        <v/>
      </c>
    </row>
    <row r="6422">
      <c r="A6422" t="n">
        <v>6421</v>
      </c>
      <c r="B6422">
        <f>A6422&lt;=MineCount*Days</f>
        <v/>
      </c>
      <c r="C6422">
        <f>IF(B6422,INT((A6422-1)/Days)+1,"")</f>
        <v/>
      </c>
      <c r="D6422">
        <f>IF(B6422,MOD(A6422-1,Days),"")</f>
        <v/>
      </c>
      <c r="E6422" s="16">
        <f>IF(B6422,StartDate+D6422,"")</f>
        <v/>
      </c>
      <c r="F6422">
        <f>IF(B6422,MAX(MOD(SIN(Seed*0.1373+C6422*12.9898+D6422*78.233)*43758.5453,1),1E-9),"")</f>
        <v/>
      </c>
      <c r="G6422">
        <f>IF(B6422,MOD(SIN(Seed*0.5917+C6422*39.3468+D6422*11.135)*24634.6345,1),"")</f>
        <v/>
      </c>
      <c r="H6422">
        <f>IF(B6422,SQRT(-2*LN(F6422))*COS(2*PI()*G6422),"")</f>
        <v/>
      </c>
      <c r="I6422">
        <f>IF(B6422,IF(D6422=0,H6422,Rho*I6421+SQRT(1-Rho^2)*H6422),"")</f>
        <v/>
      </c>
      <c r="J6422">
        <f>IF(B6422,IF(Dist="Normal",DistA+DistB*I6422,DistA+(DistB-DistA)*NORMSDIST(I6422)),"")</f>
        <v/>
      </c>
      <c r="K6422">
        <f>IF(B6422,INDEX(MineScale,C6422),"")</f>
        <v/>
      </c>
      <c r="L6422">
        <f>IF(B6422,INDEX(Dow,1,WEEKDAY(E6422,2)),"")</f>
        <v/>
      </c>
      <c r="M6422">
        <f>IF(B6422,(1+Trend)^D6422,"")</f>
        <v/>
      </c>
      <c r="N6422">
        <f>IF(B6422,EXP(SUMPRODUCT(LN(1+(EvEff-1)*INDEX(Affected,0,C6422)*EXP(-((E6422-EvCenter)^2)/(2*EvSigma^2))))),"")</f>
        <v/>
      </c>
      <c r="O6422">
        <f>IF(B6422,ROUND(MAX(0,J6422*K6422*L6422*M6422*N6422),2),"")</f>
        <v/>
      </c>
    </row>
    <row r="6423">
      <c r="A6423" t="n">
        <v>6422</v>
      </c>
      <c r="B6423">
        <f>A6423&lt;=MineCount*Days</f>
        <v/>
      </c>
      <c r="C6423">
        <f>IF(B6423,INT((A6423-1)/Days)+1,"")</f>
        <v/>
      </c>
      <c r="D6423">
        <f>IF(B6423,MOD(A6423-1,Days),"")</f>
        <v/>
      </c>
      <c r="E6423" s="16">
        <f>IF(B6423,StartDate+D6423,"")</f>
        <v/>
      </c>
      <c r="F6423">
        <f>IF(B6423,MAX(MOD(SIN(Seed*0.1373+C6423*12.9898+D6423*78.233)*43758.5453,1),1E-9),"")</f>
        <v/>
      </c>
      <c r="G6423">
        <f>IF(B6423,MOD(SIN(Seed*0.5917+C6423*39.3468+D6423*11.135)*24634.6345,1),"")</f>
        <v/>
      </c>
      <c r="H6423">
        <f>IF(B6423,SQRT(-2*LN(F6423))*COS(2*PI()*G6423),"")</f>
        <v/>
      </c>
      <c r="I6423">
        <f>IF(B6423,IF(D6423=0,H6423,Rho*I6422+SQRT(1-Rho^2)*H6423),"")</f>
        <v/>
      </c>
      <c r="J6423">
        <f>IF(B6423,IF(Dist="Normal",DistA+DistB*I6423,DistA+(DistB-DistA)*NORMSDIST(I6423)),"")</f>
        <v/>
      </c>
      <c r="K6423">
        <f>IF(B6423,INDEX(MineScale,C6423),"")</f>
        <v/>
      </c>
      <c r="L6423">
        <f>IF(B6423,INDEX(Dow,1,WEEKDAY(E6423,2)),"")</f>
        <v/>
      </c>
      <c r="M6423">
        <f>IF(B6423,(1+Trend)^D6423,"")</f>
        <v/>
      </c>
      <c r="N6423">
        <f>IF(B6423,EXP(SUMPRODUCT(LN(1+(EvEff-1)*INDEX(Affected,0,C6423)*EXP(-((E6423-EvCenter)^2)/(2*EvSigma^2))))),"")</f>
        <v/>
      </c>
      <c r="O6423">
        <f>IF(B6423,ROUND(MAX(0,J6423*K6423*L6423*M6423*N6423),2),"")</f>
        <v/>
      </c>
    </row>
    <row r="6424">
      <c r="A6424" t="n">
        <v>6423</v>
      </c>
      <c r="B6424">
        <f>A6424&lt;=MineCount*Days</f>
        <v/>
      </c>
      <c r="C6424">
        <f>IF(B6424,INT((A6424-1)/Days)+1,"")</f>
        <v/>
      </c>
      <c r="D6424">
        <f>IF(B6424,MOD(A6424-1,Days),"")</f>
        <v/>
      </c>
      <c r="E6424" s="16">
        <f>IF(B6424,StartDate+D6424,"")</f>
        <v/>
      </c>
      <c r="F6424">
        <f>IF(B6424,MAX(MOD(SIN(Seed*0.1373+C6424*12.9898+D6424*78.233)*43758.5453,1),1E-9),"")</f>
        <v/>
      </c>
      <c r="G6424">
        <f>IF(B6424,MOD(SIN(Seed*0.5917+C6424*39.3468+D6424*11.135)*24634.6345,1),"")</f>
        <v/>
      </c>
      <c r="H6424">
        <f>IF(B6424,SQRT(-2*LN(F6424))*COS(2*PI()*G6424),"")</f>
        <v/>
      </c>
      <c r="I6424">
        <f>IF(B6424,IF(D6424=0,H6424,Rho*I6423+SQRT(1-Rho^2)*H6424),"")</f>
        <v/>
      </c>
      <c r="J6424">
        <f>IF(B6424,IF(Dist="Normal",DistA+DistB*I6424,DistA+(DistB-DistA)*NORMSDIST(I6424)),"")</f>
        <v/>
      </c>
      <c r="K6424">
        <f>IF(B6424,INDEX(MineScale,C6424),"")</f>
        <v/>
      </c>
      <c r="L6424">
        <f>IF(B6424,INDEX(Dow,1,WEEKDAY(E6424,2)),"")</f>
        <v/>
      </c>
      <c r="M6424">
        <f>IF(B6424,(1+Trend)^D6424,"")</f>
        <v/>
      </c>
      <c r="N6424">
        <f>IF(B6424,EXP(SUMPRODUCT(LN(1+(EvEff-1)*INDEX(Affected,0,C6424)*EXP(-((E6424-EvCenter)^2)/(2*EvSigma^2))))),"")</f>
        <v/>
      </c>
      <c r="O6424">
        <f>IF(B6424,ROUND(MAX(0,J6424*K6424*L6424*M6424*N6424),2),"")</f>
        <v/>
      </c>
    </row>
    <row r="6425">
      <c r="A6425" t="n">
        <v>6424</v>
      </c>
      <c r="B6425">
        <f>A6425&lt;=MineCount*Days</f>
        <v/>
      </c>
      <c r="C6425">
        <f>IF(B6425,INT((A6425-1)/Days)+1,"")</f>
        <v/>
      </c>
      <c r="D6425">
        <f>IF(B6425,MOD(A6425-1,Days),"")</f>
        <v/>
      </c>
      <c r="E6425" s="16">
        <f>IF(B6425,StartDate+D6425,"")</f>
        <v/>
      </c>
      <c r="F6425">
        <f>IF(B6425,MAX(MOD(SIN(Seed*0.1373+C6425*12.9898+D6425*78.233)*43758.5453,1),1E-9),"")</f>
        <v/>
      </c>
      <c r="G6425">
        <f>IF(B6425,MOD(SIN(Seed*0.5917+C6425*39.3468+D6425*11.135)*24634.6345,1),"")</f>
        <v/>
      </c>
      <c r="H6425">
        <f>IF(B6425,SQRT(-2*LN(F6425))*COS(2*PI()*G6425),"")</f>
        <v/>
      </c>
      <c r="I6425">
        <f>IF(B6425,IF(D6425=0,H6425,Rho*I6424+SQRT(1-Rho^2)*H6425),"")</f>
        <v/>
      </c>
      <c r="J6425">
        <f>IF(B6425,IF(Dist="Normal",DistA+DistB*I6425,DistA+(DistB-DistA)*NORMSDIST(I6425)),"")</f>
        <v/>
      </c>
      <c r="K6425">
        <f>IF(B6425,INDEX(MineScale,C6425),"")</f>
        <v/>
      </c>
      <c r="L6425">
        <f>IF(B6425,INDEX(Dow,1,WEEKDAY(E6425,2)),"")</f>
        <v/>
      </c>
      <c r="M6425">
        <f>IF(B6425,(1+Trend)^D6425,"")</f>
        <v/>
      </c>
      <c r="N6425">
        <f>IF(B6425,EXP(SUMPRODUCT(LN(1+(EvEff-1)*INDEX(Affected,0,C6425)*EXP(-((E6425-EvCenter)^2)/(2*EvSigma^2))))),"")</f>
        <v/>
      </c>
      <c r="O6425">
        <f>IF(B6425,ROUND(MAX(0,J6425*K6425*L6425*M6425*N6425),2),"")</f>
        <v/>
      </c>
    </row>
    <row r="6426">
      <c r="A6426" t="n">
        <v>6425</v>
      </c>
      <c r="B6426">
        <f>A6426&lt;=MineCount*Days</f>
        <v/>
      </c>
      <c r="C6426">
        <f>IF(B6426,INT((A6426-1)/Days)+1,"")</f>
        <v/>
      </c>
      <c r="D6426">
        <f>IF(B6426,MOD(A6426-1,Days),"")</f>
        <v/>
      </c>
      <c r="E6426" s="16">
        <f>IF(B6426,StartDate+D6426,"")</f>
        <v/>
      </c>
      <c r="F6426">
        <f>IF(B6426,MAX(MOD(SIN(Seed*0.1373+C6426*12.9898+D6426*78.233)*43758.5453,1),1E-9),"")</f>
        <v/>
      </c>
      <c r="G6426">
        <f>IF(B6426,MOD(SIN(Seed*0.5917+C6426*39.3468+D6426*11.135)*24634.6345,1),"")</f>
        <v/>
      </c>
      <c r="H6426">
        <f>IF(B6426,SQRT(-2*LN(F6426))*COS(2*PI()*G6426),"")</f>
        <v/>
      </c>
      <c r="I6426">
        <f>IF(B6426,IF(D6426=0,H6426,Rho*I6425+SQRT(1-Rho^2)*H6426),"")</f>
        <v/>
      </c>
      <c r="J6426">
        <f>IF(B6426,IF(Dist="Normal",DistA+DistB*I6426,DistA+(DistB-DistA)*NORMSDIST(I6426)),"")</f>
        <v/>
      </c>
      <c r="K6426">
        <f>IF(B6426,INDEX(MineScale,C6426),"")</f>
        <v/>
      </c>
      <c r="L6426">
        <f>IF(B6426,INDEX(Dow,1,WEEKDAY(E6426,2)),"")</f>
        <v/>
      </c>
      <c r="M6426">
        <f>IF(B6426,(1+Trend)^D6426,"")</f>
        <v/>
      </c>
      <c r="N6426">
        <f>IF(B6426,EXP(SUMPRODUCT(LN(1+(EvEff-1)*INDEX(Affected,0,C6426)*EXP(-((E6426-EvCenter)^2)/(2*EvSigma^2))))),"")</f>
        <v/>
      </c>
      <c r="O6426">
        <f>IF(B6426,ROUND(MAX(0,J6426*K6426*L6426*M6426*N6426),2),"")</f>
        <v/>
      </c>
    </row>
    <row r="6427">
      <c r="A6427" t="n">
        <v>6426</v>
      </c>
      <c r="B6427">
        <f>A6427&lt;=MineCount*Days</f>
        <v/>
      </c>
      <c r="C6427">
        <f>IF(B6427,INT((A6427-1)/Days)+1,"")</f>
        <v/>
      </c>
      <c r="D6427">
        <f>IF(B6427,MOD(A6427-1,Days),"")</f>
        <v/>
      </c>
      <c r="E6427" s="16">
        <f>IF(B6427,StartDate+D6427,"")</f>
        <v/>
      </c>
      <c r="F6427">
        <f>IF(B6427,MAX(MOD(SIN(Seed*0.1373+C6427*12.9898+D6427*78.233)*43758.5453,1),1E-9),"")</f>
        <v/>
      </c>
      <c r="G6427">
        <f>IF(B6427,MOD(SIN(Seed*0.5917+C6427*39.3468+D6427*11.135)*24634.6345,1),"")</f>
        <v/>
      </c>
      <c r="H6427">
        <f>IF(B6427,SQRT(-2*LN(F6427))*COS(2*PI()*G6427),"")</f>
        <v/>
      </c>
      <c r="I6427">
        <f>IF(B6427,IF(D6427=0,H6427,Rho*I6426+SQRT(1-Rho^2)*H6427),"")</f>
        <v/>
      </c>
      <c r="J6427">
        <f>IF(B6427,IF(Dist="Normal",DistA+DistB*I6427,DistA+(DistB-DistA)*NORMSDIST(I6427)),"")</f>
        <v/>
      </c>
      <c r="K6427">
        <f>IF(B6427,INDEX(MineScale,C6427),"")</f>
        <v/>
      </c>
      <c r="L6427">
        <f>IF(B6427,INDEX(Dow,1,WEEKDAY(E6427,2)),"")</f>
        <v/>
      </c>
      <c r="M6427">
        <f>IF(B6427,(1+Trend)^D6427,"")</f>
        <v/>
      </c>
      <c r="N6427">
        <f>IF(B6427,EXP(SUMPRODUCT(LN(1+(EvEff-1)*INDEX(Affected,0,C6427)*EXP(-((E6427-EvCenter)^2)/(2*EvSigma^2))))),"")</f>
        <v/>
      </c>
      <c r="O6427">
        <f>IF(B6427,ROUND(MAX(0,J6427*K6427*L6427*M6427*N6427),2),"")</f>
        <v/>
      </c>
    </row>
    <row r="6428">
      <c r="A6428" t="n">
        <v>6427</v>
      </c>
      <c r="B6428">
        <f>A6428&lt;=MineCount*Days</f>
        <v/>
      </c>
      <c r="C6428">
        <f>IF(B6428,INT((A6428-1)/Days)+1,"")</f>
        <v/>
      </c>
      <c r="D6428">
        <f>IF(B6428,MOD(A6428-1,Days),"")</f>
        <v/>
      </c>
      <c r="E6428" s="16">
        <f>IF(B6428,StartDate+D6428,"")</f>
        <v/>
      </c>
      <c r="F6428">
        <f>IF(B6428,MAX(MOD(SIN(Seed*0.1373+C6428*12.9898+D6428*78.233)*43758.5453,1),1E-9),"")</f>
        <v/>
      </c>
      <c r="G6428">
        <f>IF(B6428,MOD(SIN(Seed*0.5917+C6428*39.3468+D6428*11.135)*24634.6345,1),"")</f>
        <v/>
      </c>
      <c r="H6428">
        <f>IF(B6428,SQRT(-2*LN(F6428))*COS(2*PI()*G6428),"")</f>
        <v/>
      </c>
      <c r="I6428">
        <f>IF(B6428,IF(D6428=0,H6428,Rho*I6427+SQRT(1-Rho^2)*H6428),"")</f>
        <v/>
      </c>
      <c r="J6428">
        <f>IF(B6428,IF(Dist="Normal",DistA+DistB*I6428,DistA+(DistB-DistA)*NORMSDIST(I6428)),"")</f>
        <v/>
      </c>
      <c r="K6428">
        <f>IF(B6428,INDEX(MineScale,C6428),"")</f>
        <v/>
      </c>
      <c r="L6428">
        <f>IF(B6428,INDEX(Dow,1,WEEKDAY(E6428,2)),"")</f>
        <v/>
      </c>
      <c r="M6428">
        <f>IF(B6428,(1+Trend)^D6428,"")</f>
        <v/>
      </c>
      <c r="N6428">
        <f>IF(B6428,EXP(SUMPRODUCT(LN(1+(EvEff-1)*INDEX(Affected,0,C6428)*EXP(-((E6428-EvCenter)^2)/(2*EvSigma^2))))),"")</f>
        <v/>
      </c>
      <c r="O6428">
        <f>IF(B6428,ROUND(MAX(0,J6428*K6428*L6428*M6428*N6428),2),"")</f>
        <v/>
      </c>
    </row>
    <row r="6429">
      <c r="A6429" t="n">
        <v>6428</v>
      </c>
      <c r="B6429">
        <f>A6429&lt;=MineCount*Days</f>
        <v/>
      </c>
      <c r="C6429">
        <f>IF(B6429,INT((A6429-1)/Days)+1,"")</f>
        <v/>
      </c>
      <c r="D6429">
        <f>IF(B6429,MOD(A6429-1,Days),"")</f>
        <v/>
      </c>
      <c r="E6429" s="16">
        <f>IF(B6429,StartDate+D6429,"")</f>
        <v/>
      </c>
      <c r="F6429">
        <f>IF(B6429,MAX(MOD(SIN(Seed*0.1373+C6429*12.9898+D6429*78.233)*43758.5453,1),1E-9),"")</f>
        <v/>
      </c>
      <c r="G6429">
        <f>IF(B6429,MOD(SIN(Seed*0.5917+C6429*39.3468+D6429*11.135)*24634.6345,1),"")</f>
        <v/>
      </c>
      <c r="H6429">
        <f>IF(B6429,SQRT(-2*LN(F6429))*COS(2*PI()*G6429),"")</f>
        <v/>
      </c>
      <c r="I6429">
        <f>IF(B6429,IF(D6429=0,H6429,Rho*I6428+SQRT(1-Rho^2)*H6429),"")</f>
        <v/>
      </c>
      <c r="J6429">
        <f>IF(B6429,IF(Dist="Normal",DistA+DistB*I6429,DistA+(DistB-DistA)*NORMSDIST(I6429)),"")</f>
        <v/>
      </c>
      <c r="K6429">
        <f>IF(B6429,INDEX(MineScale,C6429),"")</f>
        <v/>
      </c>
      <c r="L6429">
        <f>IF(B6429,INDEX(Dow,1,WEEKDAY(E6429,2)),"")</f>
        <v/>
      </c>
      <c r="M6429">
        <f>IF(B6429,(1+Trend)^D6429,"")</f>
        <v/>
      </c>
      <c r="N6429">
        <f>IF(B6429,EXP(SUMPRODUCT(LN(1+(EvEff-1)*INDEX(Affected,0,C6429)*EXP(-((E6429-EvCenter)^2)/(2*EvSigma^2))))),"")</f>
        <v/>
      </c>
      <c r="O6429">
        <f>IF(B6429,ROUND(MAX(0,J6429*K6429*L6429*M6429*N6429),2),"")</f>
        <v/>
      </c>
    </row>
    <row r="6430">
      <c r="A6430" t="n">
        <v>6429</v>
      </c>
      <c r="B6430">
        <f>A6430&lt;=MineCount*Days</f>
        <v/>
      </c>
      <c r="C6430">
        <f>IF(B6430,INT((A6430-1)/Days)+1,"")</f>
        <v/>
      </c>
      <c r="D6430">
        <f>IF(B6430,MOD(A6430-1,Days),"")</f>
        <v/>
      </c>
      <c r="E6430" s="16">
        <f>IF(B6430,StartDate+D6430,"")</f>
        <v/>
      </c>
      <c r="F6430">
        <f>IF(B6430,MAX(MOD(SIN(Seed*0.1373+C6430*12.9898+D6430*78.233)*43758.5453,1),1E-9),"")</f>
        <v/>
      </c>
      <c r="G6430">
        <f>IF(B6430,MOD(SIN(Seed*0.5917+C6430*39.3468+D6430*11.135)*24634.6345,1),"")</f>
        <v/>
      </c>
      <c r="H6430">
        <f>IF(B6430,SQRT(-2*LN(F6430))*COS(2*PI()*G6430),"")</f>
        <v/>
      </c>
      <c r="I6430">
        <f>IF(B6430,IF(D6430=0,H6430,Rho*I6429+SQRT(1-Rho^2)*H6430),"")</f>
        <v/>
      </c>
      <c r="J6430">
        <f>IF(B6430,IF(Dist="Normal",DistA+DistB*I6430,DistA+(DistB-DistA)*NORMSDIST(I6430)),"")</f>
        <v/>
      </c>
      <c r="K6430">
        <f>IF(B6430,INDEX(MineScale,C6430),"")</f>
        <v/>
      </c>
      <c r="L6430">
        <f>IF(B6430,INDEX(Dow,1,WEEKDAY(E6430,2)),"")</f>
        <v/>
      </c>
      <c r="M6430">
        <f>IF(B6430,(1+Trend)^D6430,"")</f>
        <v/>
      </c>
      <c r="N6430">
        <f>IF(B6430,EXP(SUMPRODUCT(LN(1+(EvEff-1)*INDEX(Affected,0,C6430)*EXP(-((E6430-EvCenter)^2)/(2*EvSigma^2))))),"")</f>
        <v/>
      </c>
      <c r="O6430">
        <f>IF(B6430,ROUND(MAX(0,J6430*K6430*L6430*M6430*N6430),2),"")</f>
        <v/>
      </c>
    </row>
    <row r="6431">
      <c r="A6431" t="n">
        <v>6430</v>
      </c>
      <c r="B6431">
        <f>A6431&lt;=MineCount*Days</f>
        <v/>
      </c>
      <c r="C6431">
        <f>IF(B6431,INT((A6431-1)/Days)+1,"")</f>
        <v/>
      </c>
      <c r="D6431">
        <f>IF(B6431,MOD(A6431-1,Days),"")</f>
        <v/>
      </c>
      <c r="E6431" s="16">
        <f>IF(B6431,StartDate+D6431,"")</f>
        <v/>
      </c>
      <c r="F6431">
        <f>IF(B6431,MAX(MOD(SIN(Seed*0.1373+C6431*12.9898+D6431*78.233)*43758.5453,1),1E-9),"")</f>
        <v/>
      </c>
      <c r="G6431">
        <f>IF(B6431,MOD(SIN(Seed*0.5917+C6431*39.3468+D6431*11.135)*24634.6345,1),"")</f>
        <v/>
      </c>
      <c r="H6431">
        <f>IF(B6431,SQRT(-2*LN(F6431))*COS(2*PI()*G6431),"")</f>
        <v/>
      </c>
      <c r="I6431">
        <f>IF(B6431,IF(D6431=0,H6431,Rho*I6430+SQRT(1-Rho^2)*H6431),"")</f>
        <v/>
      </c>
      <c r="J6431">
        <f>IF(B6431,IF(Dist="Normal",DistA+DistB*I6431,DistA+(DistB-DistA)*NORMSDIST(I6431)),"")</f>
        <v/>
      </c>
      <c r="K6431">
        <f>IF(B6431,INDEX(MineScale,C6431),"")</f>
        <v/>
      </c>
      <c r="L6431">
        <f>IF(B6431,INDEX(Dow,1,WEEKDAY(E6431,2)),"")</f>
        <v/>
      </c>
      <c r="M6431">
        <f>IF(B6431,(1+Trend)^D6431,"")</f>
        <v/>
      </c>
      <c r="N6431">
        <f>IF(B6431,EXP(SUMPRODUCT(LN(1+(EvEff-1)*INDEX(Affected,0,C6431)*EXP(-((E6431-EvCenter)^2)/(2*EvSigma^2))))),"")</f>
        <v/>
      </c>
      <c r="O6431">
        <f>IF(B6431,ROUND(MAX(0,J6431*K6431*L6431*M6431*N6431),2),"")</f>
        <v/>
      </c>
    </row>
    <row r="6432">
      <c r="A6432" t="n">
        <v>6431</v>
      </c>
      <c r="B6432">
        <f>A6432&lt;=MineCount*Days</f>
        <v/>
      </c>
      <c r="C6432">
        <f>IF(B6432,INT((A6432-1)/Days)+1,"")</f>
        <v/>
      </c>
      <c r="D6432">
        <f>IF(B6432,MOD(A6432-1,Days),"")</f>
        <v/>
      </c>
      <c r="E6432" s="16">
        <f>IF(B6432,StartDate+D6432,"")</f>
        <v/>
      </c>
      <c r="F6432">
        <f>IF(B6432,MAX(MOD(SIN(Seed*0.1373+C6432*12.9898+D6432*78.233)*43758.5453,1),1E-9),"")</f>
        <v/>
      </c>
      <c r="G6432">
        <f>IF(B6432,MOD(SIN(Seed*0.5917+C6432*39.3468+D6432*11.135)*24634.6345,1),"")</f>
        <v/>
      </c>
      <c r="H6432">
        <f>IF(B6432,SQRT(-2*LN(F6432))*COS(2*PI()*G6432),"")</f>
        <v/>
      </c>
      <c r="I6432">
        <f>IF(B6432,IF(D6432=0,H6432,Rho*I6431+SQRT(1-Rho^2)*H6432),"")</f>
        <v/>
      </c>
      <c r="J6432">
        <f>IF(B6432,IF(Dist="Normal",DistA+DistB*I6432,DistA+(DistB-DistA)*NORMSDIST(I6432)),"")</f>
        <v/>
      </c>
      <c r="K6432">
        <f>IF(B6432,INDEX(MineScale,C6432),"")</f>
        <v/>
      </c>
      <c r="L6432">
        <f>IF(B6432,INDEX(Dow,1,WEEKDAY(E6432,2)),"")</f>
        <v/>
      </c>
      <c r="M6432">
        <f>IF(B6432,(1+Trend)^D6432,"")</f>
        <v/>
      </c>
      <c r="N6432">
        <f>IF(B6432,EXP(SUMPRODUCT(LN(1+(EvEff-1)*INDEX(Affected,0,C6432)*EXP(-((E6432-EvCenter)^2)/(2*EvSigma^2))))),"")</f>
        <v/>
      </c>
      <c r="O6432">
        <f>IF(B6432,ROUND(MAX(0,J6432*K6432*L6432*M6432*N6432),2),"")</f>
        <v/>
      </c>
    </row>
    <row r="6433">
      <c r="A6433" t="n">
        <v>6432</v>
      </c>
      <c r="B6433">
        <f>A6433&lt;=MineCount*Days</f>
        <v/>
      </c>
      <c r="C6433">
        <f>IF(B6433,INT((A6433-1)/Days)+1,"")</f>
        <v/>
      </c>
      <c r="D6433">
        <f>IF(B6433,MOD(A6433-1,Days),"")</f>
        <v/>
      </c>
      <c r="E6433" s="16">
        <f>IF(B6433,StartDate+D6433,"")</f>
        <v/>
      </c>
      <c r="F6433">
        <f>IF(B6433,MAX(MOD(SIN(Seed*0.1373+C6433*12.9898+D6433*78.233)*43758.5453,1),1E-9),"")</f>
        <v/>
      </c>
      <c r="G6433">
        <f>IF(B6433,MOD(SIN(Seed*0.5917+C6433*39.3468+D6433*11.135)*24634.6345,1),"")</f>
        <v/>
      </c>
      <c r="H6433">
        <f>IF(B6433,SQRT(-2*LN(F6433))*COS(2*PI()*G6433),"")</f>
        <v/>
      </c>
      <c r="I6433">
        <f>IF(B6433,IF(D6433=0,H6433,Rho*I6432+SQRT(1-Rho^2)*H6433),"")</f>
        <v/>
      </c>
      <c r="J6433">
        <f>IF(B6433,IF(Dist="Normal",DistA+DistB*I6433,DistA+(DistB-DistA)*NORMSDIST(I6433)),"")</f>
        <v/>
      </c>
      <c r="K6433">
        <f>IF(B6433,INDEX(MineScale,C6433),"")</f>
        <v/>
      </c>
      <c r="L6433">
        <f>IF(B6433,INDEX(Dow,1,WEEKDAY(E6433,2)),"")</f>
        <v/>
      </c>
      <c r="M6433">
        <f>IF(B6433,(1+Trend)^D6433,"")</f>
        <v/>
      </c>
      <c r="N6433">
        <f>IF(B6433,EXP(SUMPRODUCT(LN(1+(EvEff-1)*INDEX(Affected,0,C6433)*EXP(-((E6433-EvCenter)^2)/(2*EvSigma^2))))),"")</f>
        <v/>
      </c>
      <c r="O6433">
        <f>IF(B6433,ROUND(MAX(0,J6433*K6433*L6433*M6433*N6433),2),"")</f>
        <v/>
      </c>
    </row>
    <row r="6434">
      <c r="A6434" t="n">
        <v>6433</v>
      </c>
      <c r="B6434">
        <f>A6434&lt;=MineCount*Days</f>
        <v/>
      </c>
      <c r="C6434">
        <f>IF(B6434,INT((A6434-1)/Days)+1,"")</f>
        <v/>
      </c>
      <c r="D6434">
        <f>IF(B6434,MOD(A6434-1,Days),"")</f>
        <v/>
      </c>
      <c r="E6434" s="16">
        <f>IF(B6434,StartDate+D6434,"")</f>
        <v/>
      </c>
      <c r="F6434">
        <f>IF(B6434,MAX(MOD(SIN(Seed*0.1373+C6434*12.9898+D6434*78.233)*43758.5453,1),1E-9),"")</f>
        <v/>
      </c>
      <c r="G6434">
        <f>IF(B6434,MOD(SIN(Seed*0.5917+C6434*39.3468+D6434*11.135)*24634.6345,1),"")</f>
        <v/>
      </c>
      <c r="H6434">
        <f>IF(B6434,SQRT(-2*LN(F6434))*COS(2*PI()*G6434),"")</f>
        <v/>
      </c>
      <c r="I6434">
        <f>IF(B6434,IF(D6434=0,H6434,Rho*I6433+SQRT(1-Rho^2)*H6434),"")</f>
        <v/>
      </c>
      <c r="J6434">
        <f>IF(B6434,IF(Dist="Normal",DistA+DistB*I6434,DistA+(DistB-DistA)*NORMSDIST(I6434)),"")</f>
        <v/>
      </c>
      <c r="K6434">
        <f>IF(B6434,INDEX(MineScale,C6434),"")</f>
        <v/>
      </c>
      <c r="L6434">
        <f>IF(B6434,INDEX(Dow,1,WEEKDAY(E6434,2)),"")</f>
        <v/>
      </c>
      <c r="M6434">
        <f>IF(B6434,(1+Trend)^D6434,"")</f>
        <v/>
      </c>
      <c r="N6434">
        <f>IF(B6434,EXP(SUMPRODUCT(LN(1+(EvEff-1)*INDEX(Affected,0,C6434)*EXP(-((E6434-EvCenter)^2)/(2*EvSigma^2))))),"")</f>
        <v/>
      </c>
      <c r="O6434">
        <f>IF(B6434,ROUND(MAX(0,J6434*K6434*L6434*M6434*N6434),2),"")</f>
        <v/>
      </c>
    </row>
    <row r="6435">
      <c r="A6435" t="n">
        <v>6434</v>
      </c>
      <c r="B6435">
        <f>A6435&lt;=MineCount*Days</f>
        <v/>
      </c>
      <c r="C6435">
        <f>IF(B6435,INT((A6435-1)/Days)+1,"")</f>
        <v/>
      </c>
      <c r="D6435">
        <f>IF(B6435,MOD(A6435-1,Days),"")</f>
        <v/>
      </c>
      <c r="E6435" s="16">
        <f>IF(B6435,StartDate+D6435,"")</f>
        <v/>
      </c>
      <c r="F6435">
        <f>IF(B6435,MAX(MOD(SIN(Seed*0.1373+C6435*12.9898+D6435*78.233)*43758.5453,1),1E-9),"")</f>
        <v/>
      </c>
      <c r="G6435">
        <f>IF(B6435,MOD(SIN(Seed*0.5917+C6435*39.3468+D6435*11.135)*24634.6345,1),"")</f>
        <v/>
      </c>
      <c r="H6435">
        <f>IF(B6435,SQRT(-2*LN(F6435))*COS(2*PI()*G6435),"")</f>
        <v/>
      </c>
      <c r="I6435">
        <f>IF(B6435,IF(D6435=0,H6435,Rho*I6434+SQRT(1-Rho^2)*H6435),"")</f>
        <v/>
      </c>
      <c r="J6435">
        <f>IF(B6435,IF(Dist="Normal",DistA+DistB*I6435,DistA+(DistB-DistA)*NORMSDIST(I6435)),"")</f>
        <v/>
      </c>
      <c r="K6435">
        <f>IF(B6435,INDEX(MineScale,C6435),"")</f>
        <v/>
      </c>
      <c r="L6435">
        <f>IF(B6435,INDEX(Dow,1,WEEKDAY(E6435,2)),"")</f>
        <v/>
      </c>
      <c r="M6435">
        <f>IF(B6435,(1+Trend)^D6435,"")</f>
        <v/>
      </c>
      <c r="N6435">
        <f>IF(B6435,EXP(SUMPRODUCT(LN(1+(EvEff-1)*INDEX(Affected,0,C6435)*EXP(-((E6435-EvCenter)^2)/(2*EvSigma^2))))),"")</f>
        <v/>
      </c>
      <c r="O6435">
        <f>IF(B6435,ROUND(MAX(0,J6435*K6435*L6435*M6435*N6435),2),"")</f>
        <v/>
      </c>
    </row>
    <row r="6436">
      <c r="A6436" t="n">
        <v>6435</v>
      </c>
      <c r="B6436">
        <f>A6436&lt;=MineCount*Days</f>
        <v/>
      </c>
      <c r="C6436">
        <f>IF(B6436,INT((A6436-1)/Days)+1,"")</f>
        <v/>
      </c>
      <c r="D6436">
        <f>IF(B6436,MOD(A6436-1,Days),"")</f>
        <v/>
      </c>
      <c r="E6436" s="16">
        <f>IF(B6436,StartDate+D6436,"")</f>
        <v/>
      </c>
      <c r="F6436">
        <f>IF(B6436,MAX(MOD(SIN(Seed*0.1373+C6436*12.9898+D6436*78.233)*43758.5453,1),1E-9),"")</f>
        <v/>
      </c>
      <c r="G6436">
        <f>IF(B6436,MOD(SIN(Seed*0.5917+C6436*39.3468+D6436*11.135)*24634.6345,1),"")</f>
        <v/>
      </c>
      <c r="H6436">
        <f>IF(B6436,SQRT(-2*LN(F6436))*COS(2*PI()*G6436),"")</f>
        <v/>
      </c>
      <c r="I6436">
        <f>IF(B6436,IF(D6436=0,H6436,Rho*I6435+SQRT(1-Rho^2)*H6436),"")</f>
        <v/>
      </c>
      <c r="J6436">
        <f>IF(B6436,IF(Dist="Normal",DistA+DistB*I6436,DistA+(DistB-DistA)*NORMSDIST(I6436)),"")</f>
        <v/>
      </c>
      <c r="K6436">
        <f>IF(B6436,INDEX(MineScale,C6436),"")</f>
        <v/>
      </c>
      <c r="L6436">
        <f>IF(B6436,INDEX(Dow,1,WEEKDAY(E6436,2)),"")</f>
        <v/>
      </c>
      <c r="M6436">
        <f>IF(B6436,(1+Trend)^D6436,"")</f>
        <v/>
      </c>
      <c r="N6436">
        <f>IF(B6436,EXP(SUMPRODUCT(LN(1+(EvEff-1)*INDEX(Affected,0,C6436)*EXP(-((E6436-EvCenter)^2)/(2*EvSigma^2))))),"")</f>
        <v/>
      </c>
      <c r="O6436">
        <f>IF(B6436,ROUND(MAX(0,J6436*K6436*L6436*M6436*N6436),2),"")</f>
        <v/>
      </c>
    </row>
    <row r="6437">
      <c r="A6437" t="n">
        <v>6436</v>
      </c>
      <c r="B6437">
        <f>A6437&lt;=MineCount*Days</f>
        <v/>
      </c>
      <c r="C6437">
        <f>IF(B6437,INT((A6437-1)/Days)+1,"")</f>
        <v/>
      </c>
      <c r="D6437">
        <f>IF(B6437,MOD(A6437-1,Days),"")</f>
        <v/>
      </c>
      <c r="E6437" s="16">
        <f>IF(B6437,StartDate+D6437,"")</f>
        <v/>
      </c>
      <c r="F6437">
        <f>IF(B6437,MAX(MOD(SIN(Seed*0.1373+C6437*12.9898+D6437*78.233)*43758.5453,1),1E-9),"")</f>
        <v/>
      </c>
      <c r="G6437">
        <f>IF(B6437,MOD(SIN(Seed*0.5917+C6437*39.3468+D6437*11.135)*24634.6345,1),"")</f>
        <v/>
      </c>
      <c r="H6437">
        <f>IF(B6437,SQRT(-2*LN(F6437))*COS(2*PI()*G6437),"")</f>
        <v/>
      </c>
      <c r="I6437">
        <f>IF(B6437,IF(D6437=0,H6437,Rho*I6436+SQRT(1-Rho^2)*H6437),"")</f>
        <v/>
      </c>
      <c r="J6437">
        <f>IF(B6437,IF(Dist="Normal",DistA+DistB*I6437,DistA+(DistB-DistA)*NORMSDIST(I6437)),"")</f>
        <v/>
      </c>
      <c r="K6437">
        <f>IF(B6437,INDEX(MineScale,C6437),"")</f>
        <v/>
      </c>
      <c r="L6437">
        <f>IF(B6437,INDEX(Dow,1,WEEKDAY(E6437,2)),"")</f>
        <v/>
      </c>
      <c r="M6437">
        <f>IF(B6437,(1+Trend)^D6437,"")</f>
        <v/>
      </c>
      <c r="N6437">
        <f>IF(B6437,EXP(SUMPRODUCT(LN(1+(EvEff-1)*INDEX(Affected,0,C6437)*EXP(-((E6437-EvCenter)^2)/(2*EvSigma^2))))),"")</f>
        <v/>
      </c>
      <c r="O6437">
        <f>IF(B6437,ROUND(MAX(0,J6437*K6437*L6437*M6437*N6437),2),"")</f>
        <v/>
      </c>
    </row>
    <row r="6438">
      <c r="A6438" t="n">
        <v>6437</v>
      </c>
      <c r="B6438">
        <f>A6438&lt;=MineCount*Days</f>
        <v/>
      </c>
      <c r="C6438">
        <f>IF(B6438,INT((A6438-1)/Days)+1,"")</f>
        <v/>
      </c>
      <c r="D6438">
        <f>IF(B6438,MOD(A6438-1,Days),"")</f>
        <v/>
      </c>
      <c r="E6438" s="16">
        <f>IF(B6438,StartDate+D6438,"")</f>
        <v/>
      </c>
      <c r="F6438">
        <f>IF(B6438,MAX(MOD(SIN(Seed*0.1373+C6438*12.9898+D6438*78.233)*43758.5453,1),1E-9),"")</f>
        <v/>
      </c>
      <c r="G6438">
        <f>IF(B6438,MOD(SIN(Seed*0.5917+C6438*39.3468+D6438*11.135)*24634.6345,1),"")</f>
        <v/>
      </c>
      <c r="H6438">
        <f>IF(B6438,SQRT(-2*LN(F6438))*COS(2*PI()*G6438),"")</f>
        <v/>
      </c>
      <c r="I6438">
        <f>IF(B6438,IF(D6438=0,H6438,Rho*I6437+SQRT(1-Rho^2)*H6438),"")</f>
        <v/>
      </c>
      <c r="J6438">
        <f>IF(B6438,IF(Dist="Normal",DistA+DistB*I6438,DistA+(DistB-DistA)*NORMSDIST(I6438)),"")</f>
        <v/>
      </c>
      <c r="K6438">
        <f>IF(B6438,INDEX(MineScale,C6438),"")</f>
        <v/>
      </c>
      <c r="L6438">
        <f>IF(B6438,INDEX(Dow,1,WEEKDAY(E6438,2)),"")</f>
        <v/>
      </c>
      <c r="M6438">
        <f>IF(B6438,(1+Trend)^D6438,"")</f>
        <v/>
      </c>
      <c r="N6438">
        <f>IF(B6438,EXP(SUMPRODUCT(LN(1+(EvEff-1)*INDEX(Affected,0,C6438)*EXP(-((E6438-EvCenter)^2)/(2*EvSigma^2))))),"")</f>
        <v/>
      </c>
      <c r="O6438">
        <f>IF(B6438,ROUND(MAX(0,J6438*K6438*L6438*M6438*N6438),2),"")</f>
        <v/>
      </c>
    </row>
    <row r="6439">
      <c r="A6439" t="n">
        <v>6438</v>
      </c>
      <c r="B6439">
        <f>A6439&lt;=MineCount*Days</f>
        <v/>
      </c>
      <c r="C6439">
        <f>IF(B6439,INT((A6439-1)/Days)+1,"")</f>
        <v/>
      </c>
      <c r="D6439">
        <f>IF(B6439,MOD(A6439-1,Days),"")</f>
        <v/>
      </c>
      <c r="E6439" s="16">
        <f>IF(B6439,StartDate+D6439,"")</f>
        <v/>
      </c>
      <c r="F6439">
        <f>IF(B6439,MAX(MOD(SIN(Seed*0.1373+C6439*12.9898+D6439*78.233)*43758.5453,1),1E-9),"")</f>
        <v/>
      </c>
      <c r="G6439">
        <f>IF(B6439,MOD(SIN(Seed*0.5917+C6439*39.3468+D6439*11.135)*24634.6345,1),"")</f>
        <v/>
      </c>
      <c r="H6439">
        <f>IF(B6439,SQRT(-2*LN(F6439))*COS(2*PI()*G6439),"")</f>
        <v/>
      </c>
      <c r="I6439">
        <f>IF(B6439,IF(D6439=0,H6439,Rho*I6438+SQRT(1-Rho^2)*H6439),"")</f>
        <v/>
      </c>
      <c r="J6439">
        <f>IF(B6439,IF(Dist="Normal",DistA+DistB*I6439,DistA+(DistB-DistA)*NORMSDIST(I6439)),"")</f>
        <v/>
      </c>
      <c r="K6439">
        <f>IF(B6439,INDEX(MineScale,C6439),"")</f>
        <v/>
      </c>
      <c r="L6439">
        <f>IF(B6439,INDEX(Dow,1,WEEKDAY(E6439,2)),"")</f>
        <v/>
      </c>
      <c r="M6439">
        <f>IF(B6439,(1+Trend)^D6439,"")</f>
        <v/>
      </c>
      <c r="N6439">
        <f>IF(B6439,EXP(SUMPRODUCT(LN(1+(EvEff-1)*INDEX(Affected,0,C6439)*EXP(-((E6439-EvCenter)^2)/(2*EvSigma^2))))),"")</f>
        <v/>
      </c>
      <c r="O6439">
        <f>IF(B6439,ROUND(MAX(0,J6439*K6439*L6439*M6439*N6439),2),"")</f>
        <v/>
      </c>
    </row>
    <row r="6440">
      <c r="A6440" t="n">
        <v>6439</v>
      </c>
      <c r="B6440">
        <f>A6440&lt;=MineCount*Days</f>
        <v/>
      </c>
      <c r="C6440">
        <f>IF(B6440,INT((A6440-1)/Days)+1,"")</f>
        <v/>
      </c>
      <c r="D6440">
        <f>IF(B6440,MOD(A6440-1,Days),"")</f>
        <v/>
      </c>
      <c r="E6440" s="16">
        <f>IF(B6440,StartDate+D6440,"")</f>
        <v/>
      </c>
      <c r="F6440">
        <f>IF(B6440,MAX(MOD(SIN(Seed*0.1373+C6440*12.9898+D6440*78.233)*43758.5453,1),1E-9),"")</f>
        <v/>
      </c>
      <c r="G6440">
        <f>IF(B6440,MOD(SIN(Seed*0.5917+C6440*39.3468+D6440*11.135)*24634.6345,1),"")</f>
        <v/>
      </c>
      <c r="H6440">
        <f>IF(B6440,SQRT(-2*LN(F6440))*COS(2*PI()*G6440),"")</f>
        <v/>
      </c>
      <c r="I6440">
        <f>IF(B6440,IF(D6440=0,H6440,Rho*I6439+SQRT(1-Rho^2)*H6440),"")</f>
        <v/>
      </c>
      <c r="J6440">
        <f>IF(B6440,IF(Dist="Normal",DistA+DistB*I6440,DistA+(DistB-DistA)*NORMSDIST(I6440)),"")</f>
        <v/>
      </c>
      <c r="K6440">
        <f>IF(B6440,INDEX(MineScale,C6440),"")</f>
        <v/>
      </c>
      <c r="L6440">
        <f>IF(B6440,INDEX(Dow,1,WEEKDAY(E6440,2)),"")</f>
        <v/>
      </c>
      <c r="M6440">
        <f>IF(B6440,(1+Trend)^D6440,"")</f>
        <v/>
      </c>
      <c r="N6440">
        <f>IF(B6440,EXP(SUMPRODUCT(LN(1+(EvEff-1)*INDEX(Affected,0,C6440)*EXP(-((E6440-EvCenter)^2)/(2*EvSigma^2))))),"")</f>
        <v/>
      </c>
      <c r="O6440">
        <f>IF(B6440,ROUND(MAX(0,J6440*K6440*L6440*M6440*N6440),2),"")</f>
        <v/>
      </c>
    </row>
    <row r="6441">
      <c r="A6441" t="n">
        <v>6440</v>
      </c>
      <c r="B6441">
        <f>A6441&lt;=MineCount*Days</f>
        <v/>
      </c>
      <c r="C6441">
        <f>IF(B6441,INT((A6441-1)/Days)+1,"")</f>
        <v/>
      </c>
      <c r="D6441">
        <f>IF(B6441,MOD(A6441-1,Days),"")</f>
        <v/>
      </c>
      <c r="E6441" s="16">
        <f>IF(B6441,StartDate+D6441,"")</f>
        <v/>
      </c>
      <c r="F6441">
        <f>IF(B6441,MAX(MOD(SIN(Seed*0.1373+C6441*12.9898+D6441*78.233)*43758.5453,1),1E-9),"")</f>
        <v/>
      </c>
      <c r="G6441">
        <f>IF(B6441,MOD(SIN(Seed*0.5917+C6441*39.3468+D6441*11.135)*24634.6345,1),"")</f>
        <v/>
      </c>
      <c r="H6441">
        <f>IF(B6441,SQRT(-2*LN(F6441))*COS(2*PI()*G6441),"")</f>
        <v/>
      </c>
      <c r="I6441">
        <f>IF(B6441,IF(D6441=0,H6441,Rho*I6440+SQRT(1-Rho^2)*H6441),"")</f>
        <v/>
      </c>
      <c r="J6441">
        <f>IF(B6441,IF(Dist="Normal",DistA+DistB*I6441,DistA+(DistB-DistA)*NORMSDIST(I6441)),"")</f>
        <v/>
      </c>
      <c r="K6441">
        <f>IF(B6441,INDEX(MineScale,C6441),"")</f>
        <v/>
      </c>
      <c r="L6441">
        <f>IF(B6441,INDEX(Dow,1,WEEKDAY(E6441,2)),"")</f>
        <v/>
      </c>
      <c r="M6441">
        <f>IF(B6441,(1+Trend)^D6441,"")</f>
        <v/>
      </c>
      <c r="N6441">
        <f>IF(B6441,EXP(SUMPRODUCT(LN(1+(EvEff-1)*INDEX(Affected,0,C6441)*EXP(-((E6441-EvCenter)^2)/(2*EvSigma^2))))),"")</f>
        <v/>
      </c>
      <c r="O6441">
        <f>IF(B6441,ROUND(MAX(0,J6441*K6441*L6441*M6441*N6441),2),"")</f>
        <v/>
      </c>
    </row>
    <row r="6442">
      <c r="A6442" t="n">
        <v>6441</v>
      </c>
      <c r="B6442">
        <f>A6442&lt;=MineCount*Days</f>
        <v/>
      </c>
      <c r="C6442">
        <f>IF(B6442,INT((A6442-1)/Days)+1,"")</f>
        <v/>
      </c>
      <c r="D6442">
        <f>IF(B6442,MOD(A6442-1,Days),"")</f>
        <v/>
      </c>
      <c r="E6442" s="16">
        <f>IF(B6442,StartDate+D6442,"")</f>
        <v/>
      </c>
      <c r="F6442">
        <f>IF(B6442,MAX(MOD(SIN(Seed*0.1373+C6442*12.9898+D6442*78.233)*43758.5453,1),1E-9),"")</f>
        <v/>
      </c>
      <c r="G6442">
        <f>IF(B6442,MOD(SIN(Seed*0.5917+C6442*39.3468+D6442*11.135)*24634.6345,1),"")</f>
        <v/>
      </c>
      <c r="H6442">
        <f>IF(B6442,SQRT(-2*LN(F6442))*COS(2*PI()*G6442),"")</f>
        <v/>
      </c>
      <c r="I6442">
        <f>IF(B6442,IF(D6442=0,H6442,Rho*I6441+SQRT(1-Rho^2)*H6442),"")</f>
        <v/>
      </c>
      <c r="J6442">
        <f>IF(B6442,IF(Dist="Normal",DistA+DistB*I6442,DistA+(DistB-DistA)*NORMSDIST(I6442)),"")</f>
        <v/>
      </c>
      <c r="K6442">
        <f>IF(B6442,INDEX(MineScale,C6442),"")</f>
        <v/>
      </c>
      <c r="L6442">
        <f>IF(B6442,INDEX(Dow,1,WEEKDAY(E6442,2)),"")</f>
        <v/>
      </c>
      <c r="M6442">
        <f>IF(B6442,(1+Trend)^D6442,"")</f>
        <v/>
      </c>
      <c r="N6442">
        <f>IF(B6442,EXP(SUMPRODUCT(LN(1+(EvEff-1)*INDEX(Affected,0,C6442)*EXP(-((E6442-EvCenter)^2)/(2*EvSigma^2))))),"")</f>
        <v/>
      </c>
      <c r="O6442">
        <f>IF(B6442,ROUND(MAX(0,J6442*K6442*L6442*M6442*N6442),2),"")</f>
        <v/>
      </c>
    </row>
    <row r="6443">
      <c r="A6443" t="n">
        <v>6442</v>
      </c>
      <c r="B6443">
        <f>A6443&lt;=MineCount*Days</f>
        <v/>
      </c>
      <c r="C6443">
        <f>IF(B6443,INT((A6443-1)/Days)+1,"")</f>
        <v/>
      </c>
      <c r="D6443">
        <f>IF(B6443,MOD(A6443-1,Days),"")</f>
        <v/>
      </c>
      <c r="E6443" s="16">
        <f>IF(B6443,StartDate+D6443,"")</f>
        <v/>
      </c>
      <c r="F6443">
        <f>IF(B6443,MAX(MOD(SIN(Seed*0.1373+C6443*12.9898+D6443*78.233)*43758.5453,1),1E-9),"")</f>
        <v/>
      </c>
      <c r="G6443">
        <f>IF(B6443,MOD(SIN(Seed*0.5917+C6443*39.3468+D6443*11.135)*24634.6345,1),"")</f>
        <v/>
      </c>
      <c r="H6443">
        <f>IF(B6443,SQRT(-2*LN(F6443))*COS(2*PI()*G6443),"")</f>
        <v/>
      </c>
      <c r="I6443">
        <f>IF(B6443,IF(D6443=0,H6443,Rho*I6442+SQRT(1-Rho^2)*H6443),"")</f>
        <v/>
      </c>
      <c r="J6443">
        <f>IF(B6443,IF(Dist="Normal",DistA+DistB*I6443,DistA+(DistB-DistA)*NORMSDIST(I6443)),"")</f>
        <v/>
      </c>
      <c r="K6443">
        <f>IF(B6443,INDEX(MineScale,C6443),"")</f>
        <v/>
      </c>
      <c r="L6443">
        <f>IF(B6443,INDEX(Dow,1,WEEKDAY(E6443,2)),"")</f>
        <v/>
      </c>
      <c r="M6443">
        <f>IF(B6443,(1+Trend)^D6443,"")</f>
        <v/>
      </c>
      <c r="N6443">
        <f>IF(B6443,EXP(SUMPRODUCT(LN(1+(EvEff-1)*INDEX(Affected,0,C6443)*EXP(-((E6443-EvCenter)^2)/(2*EvSigma^2))))),"")</f>
        <v/>
      </c>
      <c r="O6443">
        <f>IF(B6443,ROUND(MAX(0,J6443*K6443*L6443*M6443*N6443),2),"")</f>
        <v/>
      </c>
    </row>
    <row r="6444">
      <c r="A6444" t="n">
        <v>6443</v>
      </c>
      <c r="B6444">
        <f>A6444&lt;=MineCount*Days</f>
        <v/>
      </c>
      <c r="C6444">
        <f>IF(B6444,INT((A6444-1)/Days)+1,"")</f>
        <v/>
      </c>
      <c r="D6444">
        <f>IF(B6444,MOD(A6444-1,Days),"")</f>
        <v/>
      </c>
      <c r="E6444" s="16">
        <f>IF(B6444,StartDate+D6444,"")</f>
        <v/>
      </c>
      <c r="F6444">
        <f>IF(B6444,MAX(MOD(SIN(Seed*0.1373+C6444*12.9898+D6444*78.233)*43758.5453,1),1E-9),"")</f>
        <v/>
      </c>
      <c r="G6444">
        <f>IF(B6444,MOD(SIN(Seed*0.5917+C6444*39.3468+D6444*11.135)*24634.6345,1),"")</f>
        <v/>
      </c>
      <c r="H6444">
        <f>IF(B6444,SQRT(-2*LN(F6444))*COS(2*PI()*G6444),"")</f>
        <v/>
      </c>
      <c r="I6444">
        <f>IF(B6444,IF(D6444=0,H6444,Rho*I6443+SQRT(1-Rho^2)*H6444),"")</f>
        <v/>
      </c>
      <c r="J6444">
        <f>IF(B6444,IF(Dist="Normal",DistA+DistB*I6444,DistA+(DistB-DistA)*NORMSDIST(I6444)),"")</f>
        <v/>
      </c>
      <c r="K6444">
        <f>IF(B6444,INDEX(MineScale,C6444),"")</f>
        <v/>
      </c>
      <c r="L6444">
        <f>IF(B6444,INDEX(Dow,1,WEEKDAY(E6444,2)),"")</f>
        <v/>
      </c>
      <c r="M6444">
        <f>IF(B6444,(1+Trend)^D6444,"")</f>
        <v/>
      </c>
      <c r="N6444">
        <f>IF(B6444,EXP(SUMPRODUCT(LN(1+(EvEff-1)*INDEX(Affected,0,C6444)*EXP(-((E6444-EvCenter)^2)/(2*EvSigma^2))))),"")</f>
        <v/>
      </c>
      <c r="O6444">
        <f>IF(B6444,ROUND(MAX(0,J6444*K6444*L6444*M6444*N6444),2),"")</f>
        <v/>
      </c>
    </row>
    <row r="6445">
      <c r="A6445" t="n">
        <v>6444</v>
      </c>
      <c r="B6445">
        <f>A6445&lt;=MineCount*Days</f>
        <v/>
      </c>
      <c r="C6445">
        <f>IF(B6445,INT((A6445-1)/Days)+1,"")</f>
        <v/>
      </c>
      <c r="D6445">
        <f>IF(B6445,MOD(A6445-1,Days),"")</f>
        <v/>
      </c>
      <c r="E6445" s="16">
        <f>IF(B6445,StartDate+D6445,"")</f>
        <v/>
      </c>
      <c r="F6445">
        <f>IF(B6445,MAX(MOD(SIN(Seed*0.1373+C6445*12.9898+D6445*78.233)*43758.5453,1),1E-9),"")</f>
        <v/>
      </c>
      <c r="G6445">
        <f>IF(B6445,MOD(SIN(Seed*0.5917+C6445*39.3468+D6445*11.135)*24634.6345,1),"")</f>
        <v/>
      </c>
      <c r="H6445">
        <f>IF(B6445,SQRT(-2*LN(F6445))*COS(2*PI()*G6445),"")</f>
        <v/>
      </c>
      <c r="I6445">
        <f>IF(B6445,IF(D6445=0,H6445,Rho*I6444+SQRT(1-Rho^2)*H6445),"")</f>
        <v/>
      </c>
      <c r="J6445">
        <f>IF(B6445,IF(Dist="Normal",DistA+DistB*I6445,DistA+(DistB-DistA)*NORMSDIST(I6445)),"")</f>
        <v/>
      </c>
      <c r="K6445">
        <f>IF(B6445,INDEX(MineScale,C6445),"")</f>
        <v/>
      </c>
      <c r="L6445">
        <f>IF(B6445,INDEX(Dow,1,WEEKDAY(E6445,2)),"")</f>
        <v/>
      </c>
      <c r="M6445">
        <f>IF(B6445,(1+Trend)^D6445,"")</f>
        <v/>
      </c>
      <c r="N6445">
        <f>IF(B6445,EXP(SUMPRODUCT(LN(1+(EvEff-1)*INDEX(Affected,0,C6445)*EXP(-((E6445-EvCenter)^2)/(2*EvSigma^2))))),"")</f>
        <v/>
      </c>
      <c r="O6445">
        <f>IF(B6445,ROUND(MAX(0,J6445*K6445*L6445*M6445*N6445),2),"")</f>
        <v/>
      </c>
    </row>
    <row r="6446">
      <c r="A6446" t="n">
        <v>6445</v>
      </c>
      <c r="B6446">
        <f>A6446&lt;=MineCount*Days</f>
        <v/>
      </c>
      <c r="C6446">
        <f>IF(B6446,INT((A6446-1)/Days)+1,"")</f>
        <v/>
      </c>
      <c r="D6446">
        <f>IF(B6446,MOD(A6446-1,Days),"")</f>
        <v/>
      </c>
      <c r="E6446" s="16">
        <f>IF(B6446,StartDate+D6446,"")</f>
        <v/>
      </c>
      <c r="F6446">
        <f>IF(B6446,MAX(MOD(SIN(Seed*0.1373+C6446*12.9898+D6446*78.233)*43758.5453,1),1E-9),"")</f>
        <v/>
      </c>
      <c r="G6446">
        <f>IF(B6446,MOD(SIN(Seed*0.5917+C6446*39.3468+D6446*11.135)*24634.6345,1),"")</f>
        <v/>
      </c>
      <c r="H6446">
        <f>IF(B6446,SQRT(-2*LN(F6446))*COS(2*PI()*G6446),"")</f>
        <v/>
      </c>
      <c r="I6446">
        <f>IF(B6446,IF(D6446=0,H6446,Rho*I6445+SQRT(1-Rho^2)*H6446),"")</f>
        <v/>
      </c>
      <c r="J6446">
        <f>IF(B6446,IF(Dist="Normal",DistA+DistB*I6446,DistA+(DistB-DistA)*NORMSDIST(I6446)),"")</f>
        <v/>
      </c>
      <c r="K6446">
        <f>IF(B6446,INDEX(MineScale,C6446),"")</f>
        <v/>
      </c>
      <c r="L6446">
        <f>IF(B6446,INDEX(Dow,1,WEEKDAY(E6446,2)),"")</f>
        <v/>
      </c>
      <c r="M6446">
        <f>IF(B6446,(1+Trend)^D6446,"")</f>
        <v/>
      </c>
      <c r="N6446">
        <f>IF(B6446,EXP(SUMPRODUCT(LN(1+(EvEff-1)*INDEX(Affected,0,C6446)*EXP(-((E6446-EvCenter)^2)/(2*EvSigma^2))))),"")</f>
        <v/>
      </c>
      <c r="O6446">
        <f>IF(B6446,ROUND(MAX(0,J6446*K6446*L6446*M6446*N6446),2),"")</f>
        <v/>
      </c>
    </row>
    <row r="6447">
      <c r="A6447" t="n">
        <v>6446</v>
      </c>
      <c r="B6447">
        <f>A6447&lt;=MineCount*Days</f>
        <v/>
      </c>
      <c r="C6447">
        <f>IF(B6447,INT((A6447-1)/Days)+1,"")</f>
        <v/>
      </c>
      <c r="D6447">
        <f>IF(B6447,MOD(A6447-1,Days),"")</f>
        <v/>
      </c>
      <c r="E6447" s="16">
        <f>IF(B6447,StartDate+D6447,"")</f>
        <v/>
      </c>
      <c r="F6447">
        <f>IF(B6447,MAX(MOD(SIN(Seed*0.1373+C6447*12.9898+D6447*78.233)*43758.5453,1),1E-9),"")</f>
        <v/>
      </c>
      <c r="G6447">
        <f>IF(B6447,MOD(SIN(Seed*0.5917+C6447*39.3468+D6447*11.135)*24634.6345,1),"")</f>
        <v/>
      </c>
      <c r="H6447">
        <f>IF(B6447,SQRT(-2*LN(F6447))*COS(2*PI()*G6447),"")</f>
        <v/>
      </c>
      <c r="I6447">
        <f>IF(B6447,IF(D6447=0,H6447,Rho*I6446+SQRT(1-Rho^2)*H6447),"")</f>
        <v/>
      </c>
      <c r="J6447">
        <f>IF(B6447,IF(Dist="Normal",DistA+DistB*I6447,DistA+(DistB-DistA)*NORMSDIST(I6447)),"")</f>
        <v/>
      </c>
      <c r="K6447">
        <f>IF(B6447,INDEX(MineScale,C6447),"")</f>
        <v/>
      </c>
      <c r="L6447">
        <f>IF(B6447,INDEX(Dow,1,WEEKDAY(E6447,2)),"")</f>
        <v/>
      </c>
      <c r="M6447">
        <f>IF(B6447,(1+Trend)^D6447,"")</f>
        <v/>
      </c>
      <c r="N6447">
        <f>IF(B6447,EXP(SUMPRODUCT(LN(1+(EvEff-1)*INDEX(Affected,0,C6447)*EXP(-((E6447-EvCenter)^2)/(2*EvSigma^2))))),"")</f>
        <v/>
      </c>
      <c r="O6447">
        <f>IF(B6447,ROUND(MAX(0,J6447*K6447*L6447*M6447*N6447),2),"")</f>
        <v/>
      </c>
    </row>
    <row r="6448">
      <c r="A6448" t="n">
        <v>6447</v>
      </c>
      <c r="B6448">
        <f>A6448&lt;=MineCount*Days</f>
        <v/>
      </c>
      <c r="C6448">
        <f>IF(B6448,INT((A6448-1)/Days)+1,"")</f>
        <v/>
      </c>
      <c r="D6448">
        <f>IF(B6448,MOD(A6448-1,Days),"")</f>
        <v/>
      </c>
      <c r="E6448" s="16">
        <f>IF(B6448,StartDate+D6448,"")</f>
        <v/>
      </c>
      <c r="F6448">
        <f>IF(B6448,MAX(MOD(SIN(Seed*0.1373+C6448*12.9898+D6448*78.233)*43758.5453,1),1E-9),"")</f>
        <v/>
      </c>
      <c r="G6448">
        <f>IF(B6448,MOD(SIN(Seed*0.5917+C6448*39.3468+D6448*11.135)*24634.6345,1),"")</f>
        <v/>
      </c>
      <c r="H6448">
        <f>IF(B6448,SQRT(-2*LN(F6448))*COS(2*PI()*G6448),"")</f>
        <v/>
      </c>
      <c r="I6448">
        <f>IF(B6448,IF(D6448=0,H6448,Rho*I6447+SQRT(1-Rho^2)*H6448),"")</f>
        <v/>
      </c>
      <c r="J6448">
        <f>IF(B6448,IF(Dist="Normal",DistA+DistB*I6448,DistA+(DistB-DistA)*NORMSDIST(I6448)),"")</f>
        <v/>
      </c>
      <c r="K6448">
        <f>IF(B6448,INDEX(MineScale,C6448),"")</f>
        <v/>
      </c>
      <c r="L6448">
        <f>IF(B6448,INDEX(Dow,1,WEEKDAY(E6448,2)),"")</f>
        <v/>
      </c>
      <c r="M6448">
        <f>IF(B6448,(1+Trend)^D6448,"")</f>
        <v/>
      </c>
      <c r="N6448">
        <f>IF(B6448,EXP(SUMPRODUCT(LN(1+(EvEff-1)*INDEX(Affected,0,C6448)*EXP(-((E6448-EvCenter)^2)/(2*EvSigma^2))))),"")</f>
        <v/>
      </c>
      <c r="O6448">
        <f>IF(B6448,ROUND(MAX(0,J6448*K6448*L6448*M6448*N6448),2),"")</f>
        <v/>
      </c>
    </row>
    <row r="6449">
      <c r="A6449" t="n">
        <v>6448</v>
      </c>
      <c r="B6449">
        <f>A6449&lt;=MineCount*Days</f>
        <v/>
      </c>
      <c r="C6449">
        <f>IF(B6449,INT((A6449-1)/Days)+1,"")</f>
        <v/>
      </c>
      <c r="D6449">
        <f>IF(B6449,MOD(A6449-1,Days),"")</f>
        <v/>
      </c>
      <c r="E6449" s="16">
        <f>IF(B6449,StartDate+D6449,"")</f>
        <v/>
      </c>
      <c r="F6449">
        <f>IF(B6449,MAX(MOD(SIN(Seed*0.1373+C6449*12.9898+D6449*78.233)*43758.5453,1),1E-9),"")</f>
        <v/>
      </c>
      <c r="G6449">
        <f>IF(B6449,MOD(SIN(Seed*0.5917+C6449*39.3468+D6449*11.135)*24634.6345,1),"")</f>
        <v/>
      </c>
      <c r="H6449">
        <f>IF(B6449,SQRT(-2*LN(F6449))*COS(2*PI()*G6449),"")</f>
        <v/>
      </c>
      <c r="I6449">
        <f>IF(B6449,IF(D6449=0,H6449,Rho*I6448+SQRT(1-Rho^2)*H6449),"")</f>
        <v/>
      </c>
      <c r="J6449">
        <f>IF(B6449,IF(Dist="Normal",DistA+DistB*I6449,DistA+(DistB-DistA)*NORMSDIST(I6449)),"")</f>
        <v/>
      </c>
      <c r="K6449">
        <f>IF(B6449,INDEX(MineScale,C6449),"")</f>
        <v/>
      </c>
      <c r="L6449">
        <f>IF(B6449,INDEX(Dow,1,WEEKDAY(E6449,2)),"")</f>
        <v/>
      </c>
      <c r="M6449">
        <f>IF(B6449,(1+Trend)^D6449,"")</f>
        <v/>
      </c>
      <c r="N6449">
        <f>IF(B6449,EXP(SUMPRODUCT(LN(1+(EvEff-1)*INDEX(Affected,0,C6449)*EXP(-((E6449-EvCenter)^2)/(2*EvSigma^2))))),"")</f>
        <v/>
      </c>
      <c r="O6449">
        <f>IF(B6449,ROUND(MAX(0,J6449*K6449*L6449*M6449*N6449),2),"")</f>
        <v/>
      </c>
    </row>
    <row r="6450">
      <c r="A6450" t="n">
        <v>6449</v>
      </c>
      <c r="B6450">
        <f>A6450&lt;=MineCount*Days</f>
        <v/>
      </c>
      <c r="C6450">
        <f>IF(B6450,INT((A6450-1)/Days)+1,"")</f>
        <v/>
      </c>
      <c r="D6450">
        <f>IF(B6450,MOD(A6450-1,Days),"")</f>
        <v/>
      </c>
      <c r="E6450" s="16">
        <f>IF(B6450,StartDate+D6450,"")</f>
        <v/>
      </c>
      <c r="F6450">
        <f>IF(B6450,MAX(MOD(SIN(Seed*0.1373+C6450*12.9898+D6450*78.233)*43758.5453,1),1E-9),"")</f>
        <v/>
      </c>
      <c r="G6450">
        <f>IF(B6450,MOD(SIN(Seed*0.5917+C6450*39.3468+D6450*11.135)*24634.6345,1),"")</f>
        <v/>
      </c>
      <c r="H6450">
        <f>IF(B6450,SQRT(-2*LN(F6450))*COS(2*PI()*G6450),"")</f>
        <v/>
      </c>
      <c r="I6450">
        <f>IF(B6450,IF(D6450=0,H6450,Rho*I6449+SQRT(1-Rho^2)*H6450),"")</f>
        <v/>
      </c>
      <c r="J6450">
        <f>IF(B6450,IF(Dist="Normal",DistA+DistB*I6450,DistA+(DistB-DistA)*NORMSDIST(I6450)),"")</f>
        <v/>
      </c>
      <c r="K6450">
        <f>IF(B6450,INDEX(MineScale,C6450),"")</f>
        <v/>
      </c>
      <c r="L6450">
        <f>IF(B6450,INDEX(Dow,1,WEEKDAY(E6450,2)),"")</f>
        <v/>
      </c>
      <c r="M6450">
        <f>IF(B6450,(1+Trend)^D6450,"")</f>
        <v/>
      </c>
      <c r="N6450">
        <f>IF(B6450,EXP(SUMPRODUCT(LN(1+(EvEff-1)*INDEX(Affected,0,C6450)*EXP(-((E6450-EvCenter)^2)/(2*EvSigma^2))))),"")</f>
        <v/>
      </c>
      <c r="O6450">
        <f>IF(B6450,ROUND(MAX(0,J6450*K6450*L6450*M6450*N6450),2),"")</f>
        <v/>
      </c>
    </row>
    <row r="6451">
      <c r="A6451" t="n">
        <v>6450</v>
      </c>
      <c r="B6451">
        <f>A6451&lt;=MineCount*Days</f>
        <v/>
      </c>
      <c r="C6451">
        <f>IF(B6451,INT((A6451-1)/Days)+1,"")</f>
        <v/>
      </c>
      <c r="D6451">
        <f>IF(B6451,MOD(A6451-1,Days),"")</f>
        <v/>
      </c>
      <c r="E6451" s="16">
        <f>IF(B6451,StartDate+D6451,"")</f>
        <v/>
      </c>
      <c r="F6451">
        <f>IF(B6451,MAX(MOD(SIN(Seed*0.1373+C6451*12.9898+D6451*78.233)*43758.5453,1),1E-9),"")</f>
        <v/>
      </c>
      <c r="G6451">
        <f>IF(B6451,MOD(SIN(Seed*0.5917+C6451*39.3468+D6451*11.135)*24634.6345,1),"")</f>
        <v/>
      </c>
      <c r="H6451">
        <f>IF(B6451,SQRT(-2*LN(F6451))*COS(2*PI()*G6451),"")</f>
        <v/>
      </c>
      <c r="I6451">
        <f>IF(B6451,IF(D6451=0,H6451,Rho*I6450+SQRT(1-Rho^2)*H6451),"")</f>
        <v/>
      </c>
      <c r="J6451">
        <f>IF(B6451,IF(Dist="Normal",DistA+DistB*I6451,DistA+(DistB-DistA)*NORMSDIST(I6451)),"")</f>
        <v/>
      </c>
      <c r="K6451">
        <f>IF(B6451,INDEX(MineScale,C6451),"")</f>
        <v/>
      </c>
      <c r="L6451">
        <f>IF(B6451,INDEX(Dow,1,WEEKDAY(E6451,2)),"")</f>
        <v/>
      </c>
      <c r="M6451">
        <f>IF(B6451,(1+Trend)^D6451,"")</f>
        <v/>
      </c>
      <c r="N6451">
        <f>IF(B6451,EXP(SUMPRODUCT(LN(1+(EvEff-1)*INDEX(Affected,0,C6451)*EXP(-((E6451-EvCenter)^2)/(2*EvSigma^2))))),"")</f>
        <v/>
      </c>
      <c r="O6451">
        <f>IF(B6451,ROUND(MAX(0,J6451*K6451*L6451*M6451*N6451),2),"")</f>
        <v/>
      </c>
    </row>
    <row r="6452">
      <c r="A6452" t="n">
        <v>6451</v>
      </c>
      <c r="B6452">
        <f>A6452&lt;=MineCount*Days</f>
        <v/>
      </c>
      <c r="C6452">
        <f>IF(B6452,INT((A6452-1)/Days)+1,"")</f>
        <v/>
      </c>
      <c r="D6452">
        <f>IF(B6452,MOD(A6452-1,Days),"")</f>
        <v/>
      </c>
      <c r="E6452" s="16">
        <f>IF(B6452,StartDate+D6452,"")</f>
        <v/>
      </c>
      <c r="F6452">
        <f>IF(B6452,MAX(MOD(SIN(Seed*0.1373+C6452*12.9898+D6452*78.233)*43758.5453,1),1E-9),"")</f>
        <v/>
      </c>
      <c r="G6452">
        <f>IF(B6452,MOD(SIN(Seed*0.5917+C6452*39.3468+D6452*11.135)*24634.6345,1),"")</f>
        <v/>
      </c>
      <c r="H6452">
        <f>IF(B6452,SQRT(-2*LN(F6452))*COS(2*PI()*G6452),"")</f>
        <v/>
      </c>
      <c r="I6452">
        <f>IF(B6452,IF(D6452=0,H6452,Rho*I6451+SQRT(1-Rho^2)*H6452),"")</f>
        <v/>
      </c>
      <c r="J6452">
        <f>IF(B6452,IF(Dist="Normal",DistA+DistB*I6452,DistA+(DistB-DistA)*NORMSDIST(I6452)),"")</f>
        <v/>
      </c>
      <c r="K6452">
        <f>IF(B6452,INDEX(MineScale,C6452),"")</f>
        <v/>
      </c>
      <c r="L6452">
        <f>IF(B6452,INDEX(Dow,1,WEEKDAY(E6452,2)),"")</f>
        <v/>
      </c>
      <c r="M6452">
        <f>IF(B6452,(1+Trend)^D6452,"")</f>
        <v/>
      </c>
      <c r="N6452">
        <f>IF(B6452,EXP(SUMPRODUCT(LN(1+(EvEff-1)*INDEX(Affected,0,C6452)*EXP(-((E6452-EvCenter)^2)/(2*EvSigma^2))))),"")</f>
        <v/>
      </c>
      <c r="O6452">
        <f>IF(B6452,ROUND(MAX(0,J6452*K6452*L6452*M6452*N6452),2),"")</f>
        <v/>
      </c>
    </row>
    <row r="6453">
      <c r="A6453" t="n">
        <v>6452</v>
      </c>
      <c r="B6453">
        <f>A6453&lt;=MineCount*Days</f>
        <v/>
      </c>
      <c r="C6453">
        <f>IF(B6453,INT((A6453-1)/Days)+1,"")</f>
        <v/>
      </c>
      <c r="D6453">
        <f>IF(B6453,MOD(A6453-1,Days),"")</f>
        <v/>
      </c>
      <c r="E6453" s="16">
        <f>IF(B6453,StartDate+D6453,"")</f>
        <v/>
      </c>
      <c r="F6453">
        <f>IF(B6453,MAX(MOD(SIN(Seed*0.1373+C6453*12.9898+D6453*78.233)*43758.5453,1),1E-9),"")</f>
        <v/>
      </c>
      <c r="G6453">
        <f>IF(B6453,MOD(SIN(Seed*0.5917+C6453*39.3468+D6453*11.135)*24634.6345,1),"")</f>
        <v/>
      </c>
      <c r="H6453">
        <f>IF(B6453,SQRT(-2*LN(F6453))*COS(2*PI()*G6453),"")</f>
        <v/>
      </c>
      <c r="I6453">
        <f>IF(B6453,IF(D6453=0,H6453,Rho*I6452+SQRT(1-Rho^2)*H6453),"")</f>
        <v/>
      </c>
      <c r="J6453">
        <f>IF(B6453,IF(Dist="Normal",DistA+DistB*I6453,DistA+(DistB-DistA)*NORMSDIST(I6453)),"")</f>
        <v/>
      </c>
      <c r="K6453">
        <f>IF(B6453,INDEX(MineScale,C6453),"")</f>
        <v/>
      </c>
      <c r="L6453">
        <f>IF(B6453,INDEX(Dow,1,WEEKDAY(E6453,2)),"")</f>
        <v/>
      </c>
      <c r="M6453">
        <f>IF(B6453,(1+Trend)^D6453,"")</f>
        <v/>
      </c>
      <c r="N6453">
        <f>IF(B6453,EXP(SUMPRODUCT(LN(1+(EvEff-1)*INDEX(Affected,0,C6453)*EXP(-((E6453-EvCenter)^2)/(2*EvSigma^2))))),"")</f>
        <v/>
      </c>
      <c r="O6453">
        <f>IF(B6453,ROUND(MAX(0,J6453*K6453*L6453*M6453*N6453),2),"")</f>
        <v/>
      </c>
    </row>
    <row r="6454">
      <c r="A6454" t="n">
        <v>6453</v>
      </c>
      <c r="B6454">
        <f>A6454&lt;=MineCount*Days</f>
        <v/>
      </c>
      <c r="C6454">
        <f>IF(B6454,INT((A6454-1)/Days)+1,"")</f>
        <v/>
      </c>
      <c r="D6454">
        <f>IF(B6454,MOD(A6454-1,Days),"")</f>
        <v/>
      </c>
      <c r="E6454" s="16">
        <f>IF(B6454,StartDate+D6454,"")</f>
        <v/>
      </c>
      <c r="F6454">
        <f>IF(B6454,MAX(MOD(SIN(Seed*0.1373+C6454*12.9898+D6454*78.233)*43758.5453,1),1E-9),"")</f>
        <v/>
      </c>
      <c r="G6454">
        <f>IF(B6454,MOD(SIN(Seed*0.5917+C6454*39.3468+D6454*11.135)*24634.6345,1),"")</f>
        <v/>
      </c>
      <c r="H6454">
        <f>IF(B6454,SQRT(-2*LN(F6454))*COS(2*PI()*G6454),"")</f>
        <v/>
      </c>
      <c r="I6454">
        <f>IF(B6454,IF(D6454=0,H6454,Rho*I6453+SQRT(1-Rho^2)*H6454),"")</f>
        <v/>
      </c>
      <c r="J6454">
        <f>IF(B6454,IF(Dist="Normal",DistA+DistB*I6454,DistA+(DistB-DistA)*NORMSDIST(I6454)),"")</f>
        <v/>
      </c>
      <c r="K6454">
        <f>IF(B6454,INDEX(MineScale,C6454),"")</f>
        <v/>
      </c>
      <c r="L6454">
        <f>IF(B6454,INDEX(Dow,1,WEEKDAY(E6454,2)),"")</f>
        <v/>
      </c>
      <c r="M6454">
        <f>IF(B6454,(1+Trend)^D6454,"")</f>
        <v/>
      </c>
      <c r="N6454">
        <f>IF(B6454,EXP(SUMPRODUCT(LN(1+(EvEff-1)*INDEX(Affected,0,C6454)*EXP(-((E6454-EvCenter)^2)/(2*EvSigma^2))))),"")</f>
        <v/>
      </c>
      <c r="O6454">
        <f>IF(B6454,ROUND(MAX(0,J6454*K6454*L6454*M6454*N6454),2),"")</f>
        <v/>
      </c>
    </row>
    <row r="6455">
      <c r="A6455" t="n">
        <v>6454</v>
      </c>
      <c r="B6455">
        <f>A6455&lt;=MineCount*Days</f>
        <v/>
      </c>
      <c r="C6455">
        <f>IF(B6455,INT((A6455-1)/Days)+1,"")</f>
        <v/>
      </c>
      <c r="D6455">
        <f>IF(B6455,MOD(A6455-1,Days),"")</f>
        <v/>
      </c>
      <c r="E6455" s="16">
        <f>IF(B6455,StartDate+D6455,"")</f>
        <v/>
      </c>
      <c r="F6455">
        <f>IF(B6455,MAX(MOD(SIN(Seed*0.1373+C6455*12.9898+D6455*78.233)*43758.5453,1),1E-9),"")</f>
        <v/>
      </c>
      <c r="G6455">
        <f>IF(B6455,MOD(SIN(Seed*0.5917+C6455*39.3468+D6455*11.135)*24634.6345,1),"")</f>
        <v/>
      </c>
      <c r="H6455">
        <f>IF(B6455,SQRT(-2*LN(F6455))*COS(2*PI()*G6455),"")</f>
        <v/>
      </c>
      <c r="I6455">
        <f>IF(B6455,IF(D6455=0,H6455,Rho*I6454+SQRT(1-Rho^2)*H6455),"")</f>
        <v/>
      </c>
      <c r="J6455">
        <f>IF(B6455,IF(Dist="Normal",DistA+DistB*I6455,DistA+(DistB-DistA)*NORMSDIST(I6455)),"")</f>
        <v/>
      </c>
      <c r="K6455">
        <f>IF(B6455,INDEX(MineScale,C6455),"")</f>
        <v/>
      </c>
      <c r="L6455">
        <f>IF(B6455,INDEX(Dow,1,WEEKDAY(E6455,2)),"")</f>
        <v/>
      </c>
      <c r="M6455">
        <f>IF(B6455,(1+Trend)^D6455,"")</f>
        <v/>
      </c>
      <c r="N6455">
        <f>IF(B6455,EXP(SUMPRODUCT(LN(1+(EvEff-1)*INDEX(Affected,0,C6455)*EXP(-((E6455-EvCenter)^2)/(2*EvSigma^2))))),"")</f>
        <v/>
      </c>
      <c r="O6455">
        <f>IF(B6455,ROUND(MAX(0,J6455*K6455*L6455*M6455*N6455),2),"")</f>
        <v/>
      </c>
    </row>
    <row r="6456">
      <c r="A6456" t="n">
        <v>6455</v>
      </c>
      <c r="B6456">
        <f>A6456&lt;=MineCount*Days</f>
        <v/>
      </c>
      <c r="C6456">
        <f>IF(B6456,INT((A6456-1)/Days)+1,"")</f>
        <v/>
      </c>
      <c r="D6456">
        <f>IF(B6456,MOD(A6456-1,Days),"")</f>
        <v/>
      </c>
      <c r="E6456" s="16">
        <f>IF(B6456,StartDate+D6456,"")</f>
        <v/>
      </c>
      <c r="F6456">
        <f>IF(B6456,MAX(MOD(SIN(Seed*0.1373+C6456*12.9898+D6456*78.233)*43758.5453,1),1E-9),"")</f>
        <v/>
      </c>
      <c r="G6456">
        <f>IF(B6456,MOD(SIN(Seed*0.5917+C6456*39.3468+D6456*11.135)*24634.6345,1),"")</f>
        <v/>
      </c>
      <c r="H6456">
        <f>IF(B6456,SQRT(-2*LN(F6456))*COS(2*PI()*G6456),"")</f>
        <v/>
      </c>
      <c r="I6456">
        <f>IF(B6456,IF(D6456=0,H6456,Rho*I6455+SQRT(1-Rho^2)*H6456),"")</f>
        <v/>
      </c>
      <c r="J6456">
        <f>IF(B6456,IF(Dist="Normal",DistA+DistB*I6456,DistA+(DistB-DistA)*NORMSDIST(I6456)),"")</f>
        <v/>
      </c>
      <c r="K6456">
        <f>IF(B6456,INDEX(MineScale,C6456),"")</f>
        <v/>
      </c>
      <c r="L6456">
        <f>IF(B6456,INDEX(Dow,1,WEEKDAY(E6456,2)),"")</f>
        <v/>
      </c>
      <c r="M6456">
        <f>IF(B6456,(1+Trend)^D6456,"")</f>
        <v/>
      </c>
      <c r="N6456">
        <f>IF(B6456,EXP(SUMPRODUCT(LN(1+(EvEff-1)*INDEX(Affected,0,C6456)*EXP(-((E6456-EvCenter)^2)/(2*EvSigma^2))))),"")</f>
        <v/>
      </c>
      <c r="O6456">
        <f>IF(B6456,ROUND(MAX(0,J6456*K6456*L6456*M6456*N6456),2),"")</f>
        <v/>
      </c>
    </row>
    <row r="6457">
      <c r="A6457" t="n">
        <v>6456</v>
      </c>
      <c r="B6457">
        <f>A6457&lt;=MineCount*Days</f>
        <v/>
      </c>
      <c r="C6457">
        <f>IF(B6457,INT((A6457-1)/Days)+1,"")</f>
        <v/>
      </c>
      <c r="D6457">
        <f>IF(B6457,MOD(A6457-1,Days),"")</f>
        <v/>
      </c>
      <c r="E6457" s="16">
        <f>IF(B6457,StartDate+D6457,"")</f>
        <v/>
      </c>
      <c r="F6457">
        <f>IF(B6457,MAX(MOD(SIN(Seed*0.1373+C6457*12.9898+D6457*78.233)*43758.5453,1),1E-9),"")</f>
        <v/>
      </c>
      <c r="G6457">
        <f>IF(B6457,MOD(SIN(Seed*0.5917+C6457*39.3468+D6457*11.135)*24634.6345,1),"")</f>
        <v/>
      </c>
      <c r="H6457">
        <f>IF(B6457,SQRT(-2*LN(F6457))*COS(2*PI()*G6457),"")</f>
        <v/>
      </c>
      <c r="I6457">
        <f>IF(B6457,IF(D6457=0,H6457,Rho*I6456+SQRT(1-Rho^2)*H6457),"")</f>
        <v/>
      </c>
      <c r="J6457">
        <f>IF(B6457,IF(Dist="Normal",DistA+DistB*I6457,DistA+(DistB-DistA)*NORMSDIST(I6457)),"")</f>
        <v/>
      </c>
      <c r="K6457">
        <f>IF(B6457,INDEX(MineScale,C6457),"")</f>
        <v/>
      </c>
      <c r="L6457">
        <f>IF(B6457,INDEX(Dow,1,WEEKDAY(E6457,2)),"")</f>
        <v/>
      </c>
      <c r="M6457">
        <f>IF(B6457,(1+Trend)^D6457,"")</f>
        <v/>
      </c>
      <c r="N6457">
        <f>IF(B6457,EXP(SUMPRODUCT(LN(1+(EvEff-1)*INDEX(Affected,0,C6457)*EXP(-((E6457-EvCenter)^2)/(2*EvSigma^2))))),"")</f>
        <v/>
      </c>
      <c r="O6457">
        <f>IF(B6457,ROUND(MAX(0,J6457*K6457*L6457*M6457*N6457),2),"")</f>
        <v/>
      </c>
    </row>
    <row r="6458">
      <c r="A6458" t="n">
        <v>6457</v>
      </c>
      <c r="B6458">
        <f>A6458&lt;=MineCount*Days</f>
        <v/>
      </c>
      <c r="C6458">
        <f>IF(B6458,INT((A6458-1)/Days)+1,"")</f>
        <v/>
      </c>
      <c r="D6458">
        <f>IF(B6458,MOD(A6458-1,Days),"")</f>
        <v/>
      </c>
      <c r="E6458" s="16">
        <f>IF(B6458,StartDate+D6458,"")</f>
        <v/>
      </c>
      <c r="F6458">
        <f>IF(B6458,MAX(MOD(SIN(Seed*0.1373+C6458*12.9898+D6458*78.233)*43758.5453,1),1E-9),"")</f>
        <v/>
      </c>
      <c r="G6458">
        <f>IF(B6458,MOD(SIN(Seed*0.5917+C6458*39.3468+D6458*11.135)*24634.6345,1),"")</f>
        <v/>
      </c>
      <c r="H6458">
        <f>IF(B6458,SQRT(-2*LN(F6458))*COS(2*PI()*G6458),"")</f>
        <v/>
      </c>
      <c r="I6458">
        <f>IF(B6458,IF(D6458=0,H6458,Rho*I6457+SQRT(1-Rho^2)*H6458),"")</f>
        <v/>
      </c>
      <c r="J6458">
        <f>IF(B6458,IF(Dist="Normal",DistA+DistB*I6458,DistA+(DistB-DistA)*NORMSDIST(I6458)),"")</f>
        <v/>
      </c>
      <c r="K6458">
        <f>IF(B6458,INDEX(MineScale,C6458),"")</f>
        <v/>
      </c>
      <c r="L6458">
        <f>IF(B6458,INDEX(Dow,1,WEEKDAY(E6458,2)),"")</f>
        <v/>
      </c>
      <c r="M6458">
        <f>IF(B6458,(1+Trend)^D6458,"")</f>
        <v/>
      </c>
      <c r="N6458">
        <f>IF(B6458,EXP(SUMPRODUCT(LN(1+(EvEff-1)*INDEX(Affected,0,C6458)*EXP(-((E6458-EvCenter)^2)/(2*EvSigma^2))))),"")</f>
        <v/>
      </c>
      <c r="O6458">
        <f>IF(B6458,ROUND(MAX(0,J6458*K6458*L6458*M6458*N6458),2),"")</f>
        <v/>
      </c>
    </row>
    <row r="6459">
      <c r="A6459" t="n">
        <v>6458</v>
      </c>
      <c r="B6459">
        <f>A6459&lt;=MineCount*Days</f>
        <v/>
      </c>
      <c r="C6459">
        <f>IF(B6459,INT((A6459-1)/Days)+1,"")</f>
        <v/>
      </c>
      <c r="D6459">
        <f>IF(B6459,MOD(A6459-1,Days),"")</f>
        <v/>
      </c>
      <c r="E6459" s="16">
        <f>IF(B6459,StartDate+D6459,"")</f>
        <v/>
      </c>
      <c r="F6459">
        <f>IF(B6459,MAX(MOD(SIN(Seed*0.1373+C6459*12.9898+D6459*78.233)*43758.5453,1),1E-9),"")</f>
        <v/>
      </c>
      <c r="G6459">
        <f>IF(B6459,MOD(SIN(Seed*0.5917+C6459*39.3468+D6459*11.135)*24634.6345,1),"")</f>
        <v/>
      </c>
      <c r="H6459">
        <f>IF(B6459,SQRT(-2*LN(F6459))*COS(2*PI()*G6459),"")</f>
        <v/>
      </c>
      <c r="I6459">
        <f>IF(B6459,IF(D6459=0,H6459,Rho*I6458+SQRT(1-Rho^2)*H6459),"")</f>
        <v/>
      </c>
      <c r="J6459">
        <f>IF(B6459,IF(Dist="Normal",DistA+DistB*I6459,DistA+(DistB-DistA)*NORMSDIST(I6459)),"")</f>
        <v/>
      </c>
      <c r="K6459">
        <f>IF(B6459,INDEX(MineScale,C6459),"")</f>
        <v/>
      </c>
      <c r="L6459">
        <f>IF(B6459,INDEX(Dow,1,WEEKDAY(E6459,2)),"")</f>
        <v/>
      </c>
      <c r="M6459">
        <f>IF(B6459,(1+Trend)^D6459,"")</f>
        <v/>
      </c>
      <c r="N6459">
        <f>IF(B6459,EXP(SUMPRODUCT(LN(1+(EvEff-1)*INDEX(Affected,0,C6459)*EXP(-((E6459-EvCenter)^2)/(2*EvSigma^2))))),"")</f>
        <v/>
      </c>
      <c r="O6459">
        <f>IF(B6459,ROUND(MAX(0,J6459*K6459*L6459*M6459*N6459),2),"")</f>
        <v/>
      </c>
    </row>
    <row r="6460">
      <c r="A6460" t="n">
        <v>6459</v>
      </c>
      <c r="B6460">
        <f>A6460&lt;=MineCount*Days</f>
        <v/>
      </c>
      <c r="C6460">
        <f>IF(B6460,INT((A6460-1)/Days)+1,"")</f>
        <v/>
      </c>
      <c r="D6460">
        <f>IF(B6460,MOD(A6460-1,Days),"")</f>
        <v/>
      </c>
      <c r="E6460" s="16">
        <f>IF(B6460,StartDate+D6460,"")</f>
        <v/>
      </c>
      <c r="F6460">
        <f>IF(B6460,MAX(MOD(SIN(Seed*0.1373+C6460*12.9898+D6460*78.233)*43758.5453,1),1E-9),"")</f>
        <v/>
      </c>
      <c r="G6460">
        <f>IF(B6460,MOD(SIN(Seed*0.5917+C6460*39.3468+D6460*11.135)*24634.6345,1),"")</f>
        <v/>
      </c>
      <c r="H6460">
        <f>IF(B6460,SQRT(-2*LN(F6460))*COS(2*PI()*G6460),"")</f>
        <v/>
      </c>
      <c r="I6460">
        <f>IF(B6460,IF(D6460=0,H6460,Rho*I6459+SQRT(1-Rho^2)*H6460),"")</f>
        <v/>
      </c>
      <c r="J6460">
        <f>IF(B6460,IF(Dist="Normal",DistA+DistB*I6460,DistA+(DistB-DistA)*NORMSDIST(I6460)),"")</f>
        <v/>
      </c>
      <c r="K6460">
        <f>IF(B6460,INDEX(MineScale,C6460),"")</f>
        <v/>
      </c>
      <c r="L6460">
        <f>IF(B6460,INDEX(Dow,1,WEEKDAY(E6460,2)),"")</f>
        <v/>
      </c>
      <c r="M6460">
        <f>IF(B6460,(1+Trend)^D6460,"")</f>
        <v/>
      </c>
      <c r="N6460">
        <f>IF(B6460,EXP(SUMPRODUCT(LN(1+(EvEff-1)*INDEX(Affected,0,C6460)*EXP(-((E6460-EvCenter)^2)/(2*EvSigma^2))))),"")</f>
        <v/>
      </c>
      <c r="O6460">
        <f>IF(B6460,ROUND(MAX(0,J6460*K6460*L6460*M6460*N6460),2),"")</f>
        <v/>
      </c>
    </row>
    <row r="6461">
      <c r="A6461" t="n">
        <v>6460</v>
      </c>
      <c r="B6461">
        <f>A6461&lt;=MineCount*Days</f>
        <v/>
      </c>
      <c r="C6461">
        <f>IF(B6461,INT((A6461-1)/Days)+1,"")</f>
        <v/>
      </c>
      <c r="D6461">
        <f>IF(B6461,MOD(A6461-1,Days),"")</f>
        <v/>
      </c>
      <c r="E6461" s="16">
        <f>IF(B6461,StartDate+D6461,"")</f>
        <v/>
      </c>
      <c r="F6461">
        <f>IF(B6461,MAX(MOD(SIN(Seed*0.1373+C6461*12.9898+D6461*78.233)*43758.5453,1),1E-9),"")</f>
        <v/>
      </c>
      <c r="G6461">
        <f>IF(B6461,MOD(SIN(Seed*0.5917+C6461*39.3468+D6461*11.135)*24634.6345,1),"")</f>
        <v/>
      </c>
      <c r="H6461">
        <f>IF(B6461,SQRT(-2*LN(F6461))*COS(2*PI()*G6461),"")</f>
        <v/>
      </c>
      <c r="I6461">
        <f>IF(B6461,IF(D6461=0,H6461,Rho*I6460+SQRT(1-Rho^2)*H6461),"")</f>
        <v/>
      </c>
      <c r="J6461">
        <f>IF(B6461,IF(Dist="Normal",DistA+DistB*I6461,DistA+(DistB-DistA)*NORMSDIST(I6461)),"")</f>
        <v/>
      </c>
      <c r="K6461">
        <f>IF(B6461,INDEX(MineScale,C6461),"")</f>
        <v/>
      </c>
      <c r="L6461">
        <f>IF(B6461,INDEX(Dow,1,WEEKDAY(E6461,2)),"")</f>
        <v/>
      </c>
      <c r="M6461">
        <f>IF(B6461,(1+Trend)^D6461,"")</f>
        <v/>
      </c>
      <c r="N6461">
        <f>IF(B6461,EXP(SUMPRODUCT(LN(1+(EvEff-1)*INDEX(Affected,0,C6461)*EXP(-((E6461-EvCenter)^2)/(2*EvSigma^2))))),"")</f>
        <v/>
      </c>
      <c r="O6461">
        <f>IF(B6461,ROUND(MAX(0,J6461*K6461*L6461*M6461*N6461),2),"")</f>
        <v/>
      </c>
    </row>
    <row r="6462">
      <c r="A6462" t="n">
        <v>6461</v>
      </c>
      <c r="B6462">
        <f>A6462&lt;=MineCount*Days</f>
        <v/>
      </c>
      <c r="C6462">
        <f>IF(B6462,INT((A6462-1)/Days)+1,"")</f>
        <v/>
      </c>
      <c r="D6462">
        <f>IF(B6462,MOD(A6462-1,Days),"")</f>
        <v/>
      </c>
      <c r="E6462" s="16">
        <f>IF(B6462,StartDate+D6462,"")</f>
        <v/>
      </c>
      <c r="F6462">
        <f>IF(B6462,MAX(MOD(SIN(Seed*0.1373+C6462*12.9898+D6462*78.233)*43758.5453,1),1E-9),"")</f>
        <v/>
      </c>
      <c r="G6462">
        <f>IF(B6462,MOD(SIN(Seed*0.5917+C6462*39.3468+D6462*11.135)*24634.6345,1),"")</f>
        <v/>
      </c>
      <c r="H6462">
        <f>IF(B6462,SQRT(-2*LN(F6462))*COS(2*PI()*G6462),"")</f>
        <v/>
      </c>
      <c r="I6462">
        <f>IF(B6462,IF(D6462=0,H6462,Rho*I6461+SQRT(1-Rho^2)*H6462),"")</f>
        <v/>
      </c>
      <c r="J6462">
        <f>IF(B6462,IF(Dist="Normal",DistA+DistB*I6462,DistA+(DistB-DistA)*NORMSDIST(I6462)),"")</f>
        <v/>
      </c>
      <c r="K6462">
        <f>IF(B6462,INDEX(MineScale,C6462),"")</f>
        <v/>
      </c>
      <c r="L6462">
        <f>IF(B6462,INDEX(Dow,1,WEEKDAY(E6462,2)),"")</f>
        <v/>
      </c>
      <c r="M6462">
        <f>IF(B6462,(1+Trend)^D6462,"")</f>
        <v/>
      </c>
      <c r="N6462">
        <f>IF(B6462,EXP(SUMPRODUCT(LN(1+(EvEff-1)*INDEX(Affected,0,C6462)*EXP(-((E6462-EvCenter)^2)/(2*EvSigma^2))))),"")</f>
        <v/>
      </c>
      <c r="O6462">
        <f>IF(B6462,ROUND(MAX(0,J6462*K6462*L6462*M6462*N6462),2),"")</f>
        <v/>
      </c>
    </row>
    <row r="6463">
      <c r="A6463" t="n">
        <v>6462</v>
      </c>
      <c r="B6463">
        <f>A6463&lt;=MineCount*Days</f>
        <v/>
      </c>
      <c r="C6463">
        <f>IF(B6463,INT((A6463-1)/Days)+1,"")</f>
        <v/>
      </c>
      <c r="D6463">
        <f>IF(B6463,MOD(A6463-1,Days),"")</f>
        <v/>
      </c>
      <c r="E6463" s="16">
        <f>IF(B6463,StartDate+D6463,"")</f>
        <v/>
      </c>
      <c r="F6463">
        <f>IF(B6463,MAX(MOD(SIN(Seed*0.1373+C6463*12.9898+D6463*78.233)*43758.5453,1),1E-9),"")</f>
        <v/>
      </c>
      <c r="G6463">
        <f>IF(B6463,MOD(SIN(Seed*0.5917+C6463*39.3468+D6463*11.135)*24634.6345,1),"")</f>
        <v/>
      </c>
      <c r="H6463">
        <f>IF(B6463,SQRT(-2*LN(F6463))*COS(2*PI()*G6463),"")</f>
        <v/>
      </c>
      <c r="I6463">
        <f>IF(B6463,IF(D6463=0,H6463,Rho*I6462+SQRT(1-Rho^2)*H6463),"")</f>
        <v/>
      </c>
      <c r="J6463">
        <f>IF(B6463,IF(Dist="Normal",DistA+DistB*I6463,DistA+(DistB-DistA)*NORMSDIST(I6463)),"")</f>
        <v/>
      </c>
      <c r="K6463">
        <f>IF(B6463,INDEX(MineScale,C6463),"")</f>
        <v/>
      </c>
      <c r="L6463">
        <f>IF(B6463,INDEX(Dow,1,WEEKDAY(E6463,2)),"")</f>
        <v/>
      </c>
      <c r="M6463">
        <f>IF(B6463,(1+Trend)^D6463,"")</f>
        <v/>
      </c>
      <c r="N6463">
        <f>IF(B6463,EXP(SUMPRODUCT(LN(1+(EvEff-1)*INDEX(Affected,0,C6463)*EXP(-((E6463-EvCenter)^2)/(2*EvSigma^2))))),"")</f>
        <v/>
      </c>
      <c r="O6463">
        <f>IF(B6463,ROUND(MAX(0,J6463*K6463*L6463*M6463*N6463),2),"")</f>
        <v/>
      </c>
    </row>
    <row r="6464">
      <c r="A6464" t="n">
        <v>6463</v>
      </c>
      <c r="B6464">
        <f>A6464&lt;=MineCount*Days</f>
        <v/>
      </c>
      <c r="C6464">
        <f>IF(B6464,INT((A6464-1)/Days)+1,"")</f>
        <v/>
      </c>
      <c r="D6464">
        <f>IF(B6464,MOD(A6464-1,Days),"")</f>
        <v/>
      </c>
      <c r="E6464" s="16">
        <f>IF(B6464,StartDate+D6464,"")</f>
        <v/>
      </c>
      <c r="F6464">
        <f>IF(B6464,MAX(MOD(SIN(Seed*0.1373+C6464*12.9898+D6464*78.233)*43758.5453,1),1E-9),"")</f>
        <v/>
      </c>
      <c r="G6464">
        <f>IF(B6464,MOD(SIN(Seed*0.5917+C6464*39.3468+D6464*11.135)*24634.6345,1),"")</f>
        <v/>
      </c>
      <c r="H6464">
        <f>IF(B6464,SQRT(-2*LN(F6464))*COS(2*PI()*G6464),"")</f>
        <v/>
      </c>
      <c r="I6464">
        <f>IF(B6464,IF(D6464=0,H6464,Rho*I6463+SQRT(1-Rho^2)*H6464),"")</f>
        <v/>
      </c>
      <c r="J6464">
        <f>IF(B6464,IF(Dist="Normal",DistA+DistB*I6464,DistA+(DistB-DistA)*NORMSDIST(I6464)),"")</f>
        <v/>
      </c>
      <c r="K6464">
        <f>IF(B6464,INDEX(MineScale,C6464),"")</f>
        <v/>
      </c>
      <c r="L6464">
        <f>IF(B6464,INDEX(Dow,1,WEEKDAY(E6464,2)),"")</f>
        <v/>
      </c>
      <c r="M6464">
        <f>IF(B6464,(1+Trend)^D6464,"")</f>
        <v/>
      </c>
      <c r="N6464">
        <f>IF(B6464,EXP(SUMPRODUCT(LN(1+(EvEff-1)*INDEX(Affected,0,C6464)*EXP(-((E6464-EvCenter)^2)/(2*EvSigma^2))))),"")</f>
        <v/>
      </c>
      <c r="O6464">
        <f>IF(B6464,ROUND(MAX(0,J6464*K6464*L6464*M6464*N6464),2),"")</f>
        <v/>
      </c>
    </row>
    <row r="6465">
      <c r="A6465" t="n">
        <v>6464</v>
      </c>
      <c r="B6465">
        <f>A6465&lt;=MineCount*Days</f>
        <v/>
      </c>
      <c r="C6465">
        <f>IF(B6465,INT((A6465-1)/Days)+1,"")</f>
        <v/>
      </c>
      <c r="D6465">
        <f>IF(B6465,MOD(A6465-1,Days),"")</f>
        <v/>
      </c>
      <c r="E6465" s="16">
        <f>IF(B6465,StartDate+D6465,"")</f>
        <v/>
      </c>
      <c r="F6465">
        <f>IF(B6465,MAX(MOD(SIN(Seed*0.1373+C6465*12.9898+D6465*78.233)*43758.5453,1),1E-9),"")</f>
        <v/>
      </c>
      <c r="G6465">
        <f>IF(B6465,MOD(SIN(Seed*0.5917+C6465*39.3468+D6465*11.135)*24634.6345,1),"")</f>
        <v/>
      </c>
      <c r="H6465">
        <f>IF(B6465,SQRT(-2*LN(F6465))*COS(2*PI()*G6465),"")</f>
        <v/>
      </c>
      <c r="I6465">
        <f>IF(B6465,IF(D6465=0,H6465,Rho*I6464+SQRT(1-Rho^2)*H6465),"")</f>
        <v/>
      </c>
      <c r="J6465">
        <f>IF(B6465,IF(Dist="Normal",DistA+DistB*I6465,DistA+(DistB-DistA)*NORMSDIST(I6465)),"")</f>
        <v/>
      </c>
      <c r="K6465">
        <f>IF(B6465,INDEX(MineScale,C6465),"")</f>
        <v/>
      </c>
      <c r="L6465">
        <f>IF(B6465,INDEX(Dow,1,WEEKDAY(E6465,2)),"")</f>
        <v/>
      </c>
      <c r="M6465">
        <f>IF(B6465,(1+Trend)^D6465,"")</f>
        <v/>
      </c>
      <c r="N6465">
        <f>IF(B6465,EXP(SUMPRODUCT(LN(1+(EvEff-1)*INDEX(Affected,0,C6465)*EXP(-((E6465-EvCenter)^2)/(2*EvSigma^2))))),"")</f>
        <v/>
      </c>
      <c r="O6465">
        <f>IF(B6465,ROUND(MAX(0,J6465*K6465*L6465*M6465*N6465),2),"")</f>
        <v/>
      </c>
    </row>
    <row r="6466">
      <c r="A6466" t="n">
        <v>6465</v>
      </c>
      <c r="B6466">
        <f>A6466&lt;=MineCount*Days</f>
        <v/>
      </c>
      <c r="C6466">
        <f>IF(B6466,INT((A6466-1)/Days)+1,"")</f>
        <v/>
      </c>
      <c r="D6466">
        <f>IF(B6466,MOD(A6466-1,Days),"")</f>
        <v/>
      </c>
      <c r="E6466" s="16">
        <f>IF(B6466,StartDate+D6466,"")</f>
        <v/>
      </c>
      <c r="F6466">
        <f>IF(B6466,MAX(MOD(SIN(Seed*0.1373+C6466*12.9898+D6466*78.233)*43758.5453,1),1E-9),"")</f>
        <v/>
      </c>
      <c r="G6466">
        <f>IF(B6466,MOD(SIN(Seed*0.5917+C6466*39.3468+D6466*11.135)*24634.6345,1),"")</f>
        <v/>
      </c>
      <c r="H6466">
        <f>IF(B6466,SQRT(-2*LN(F6466))*COS(2*PI()*G6466),"")</f>
        <v/>
      </c>
      <c r="I6466">
        <f>IF(B6466,IF(D6466=0,H6466,Rho*I6465+SQRT(1-Rho^2)*H6466),"")</f>
        <v/>
      </c>
      <c r="J6466">
        <f>IF(B6466,IF(Dist="Normal",DistA+DistB*I6466,DistA+(DistB-DistA)*NORMSDIST(I6466)),"")</f>
        <v/>
      </c>
      <c r="K6466">
        <f>IF(B6466,INDEX(MineScale,C6466),"")</f>
        <v/>
      </c>
      <c r="L6466">
        <f>IF(B6466,INDEX(Dow,1,WEEKDAY(E6466,2)),"")</f>
        <v/>
      </c>
      <c r="M6466">
        <f>IF(B6466,(1+Trend)^D6466,"")</f>
        <v/>
      </c>
      <c r="N6466">
        <f>IF(B6466,EXP(SUMPRODUCT(LN(1+(EvEff-1)*INDEX(Affected,0,C6466)*EXP(-((E6466-EvCenter)^2)/(2*EvSigma^2))))),"")</f>
        <v/>
      </c>
      <c r="O6466">
        <f>IF(B6466,ROUND(MAX(0,J6466*K6466*L6466*M6466*N6466),2),"")</f>
        <v/>
      </c>
    </row>
    <row r="6467">
      <c r="A6467" t="n">
        <v>6466</v>
      </c>
      <c r="B6467">
        <f>A6467&lt;=MineCount*Days</f>
        <v/>
      </c>
      <c r="C6467">
        <f>IF(B6467,INT((A6467-1)/Days)+1,"")</f>
        <v/>
      </c>
      <c r="D6467">
        <f>IF(B6467,MOD(A6467-1,Days),"")</f>
        <v/>
      </c>
      <c r="E6467" s="16">
        <f>IF(B6467,StartDate+D6467,"")</f>
        <v/>
      </c>
      <c r="F6467">
        <f>IF(B6467,MAX(MOD(SIN(Seed*0.1373+C6467*12.9898+D6467*78.233)*43758.5453,1),1E-9),"")</f>
        <v/>
      </c>
      <c r="G6467">
        <f>IF(B6467,MOD(SIN(Seed*0.5917+C6467*39.3468+D6467*11.135)*24634.6345,1),"")</f>
        <v/>
      </c>
      <c r="H6467">
        <f>IF(B6467,SQRT(-2*LN(F6467))*COS(2*PI()*G6467),"")</f>
        <v/>
      </c>
      <c r="I6467">
        <f>IF(B6467,IF(D6467=0,H6467,Rho*I6466+SQRT(1-Rho^2)*H6467),"")</f>
        <v/>
      </c>
      <c r="J6467">
        <f>IF(B6467,IF(Dist="Normal",DistA+DistB*I6467,DistA+(DistB-DistA)*NORMSDIST(I6467)),"")</f>
        <v/>
      </c>
      <c r="K6467">
        <f>IF(B6467,INDEX(MineScale,C6467),"")</f>
        <v/>
      </c>
      <c r="L6467">
        <f>IF(B6467,INDEX(Dow,1,WEEKDAY(E6467,2)),"")</f>
        <v/>
      </c>
      <c r="M6467">
        <f>IF(B6467,(1+Trend)^D6467,"")</f>
        <v/>
      </c>
      <c r="N6467">
        <f>IF(B6467,EXP(SUMPRODUCT(LN(1+(EvEff-1)*INDEX(Affected,0,C6467)*EXP(-((E6467-EvCenter)^2)/(2*EvSigma^2))))),"")</f>
        <v/>
      </c>
      <c r="O6467">
        <f>IF(B6467,ROUND(MAX(0,J6467*K6467*L6467*M6467*N6467),2),"")</f>
        <v/>
      </c>
    </row>
    <row r="6468">
      <c r="A6468" t="n">
        <v>6467</v>
      </c>
      <c r="B6468">
        <f>A6468&lt;=MineCount*Days</f>
        <v/>
      </c>
      <c r="C6468">
        <f>IF(B6468,INT((A6468-1)/Days)+1,"")</f>
        <v/>
      </c>
      <c r="D6468">
        <f>IF(B6468,MOD(A6468-1,Days),"")</f>
        <v/>
      </c>
      <c r="E6468" s="16">
        <f>IF(B6468,StartDate+D6468,"")</f>
        <v/>
      </c>
      <c r="F6468">
        <f>IF(B6468,MAX(MOD(SIN(Seed*0.1373+C6468*12.9898+D6468*78.233)*43758.5453,1),1E-9),"")</f>
        <v/>
      </c>
      <c r="G6468">
        <f>IF(B6468,MOD(SIN(Seed*0.5917+C6468*39.3468+D6468*11.135)*24634.6345,1),"")</f>
        <v/>
      </c>
      <c r="H6468">
        <f>IF(B6468,SQRT(-2*LN(F6468))*COS(2*PI()*G6468),"")</f>
        <v/>
      </c>
      <c r="I6468">
        <f>IF(B6468,IF(D6468=0,H6468,Rho*I6467+SQRT(1-Rho^2)*H6468),"")</f>
        <v/>
      </c>
      <c r="J6468">
        <f>IF(B6468,IF(Dist="Normal",DistA+DistB*I6468,DistA+(DistB-DistA)*NORMSDIST(I6468)),"")</f>
        <v/>
      </c>
      <c r="K6468">
        <f>IF(B6468,INDEX(MineScale,C6468),"")</f>
        <v/>
      </c>
      <c r="L6468">
        <f>IF(B6468,INDEX(Dow,1,WEEKDAY(E6468,2)),"")</f>
        <v/>
      </c>
      <c r="M6468">
        <f>IF(B6468,(1+Trend)^D6468,"")</f>
        <v/>
      </c>
      <c r="N6468">
        <f>IF(B6468,EXP(SUMPRODUCT(LN(1+(EvEff-1)*INDEX(Affected,0,C6468)*EXP(-((E6468-EvCenter)^2)/(2*EvSigma^2))))),"")</f>
        <v/>
      </c>
      <c r="O6468">
        <f>IF(B6468,ROUND(MAX(0,J6468*K6468*L6468*M6468*N6468),2),"")</f>
        <v/>
      </c>
    </row>
    <row r="6469">
      <c r="A6469" t="n">
        <v>6468</v>
      </c>
      <c r="B6469">
        <f>A6469&lt;=MineCount*Days</f>
        <v/>
      </c>
      <c r="C6469">
        <f>IF(B6469,INT((A6469-1)/Days)+1,"")</f>
        <v/>
      </c>
      <c r="D6469">
        <f>IF(B6469,MOD(A6469-1,Days),"")</f>
        <v/>
      </c>
      <c r="E6469" s="16">
        <f>IF(B6469,StartDate+D6469,"")</f>
        <v/>
      </c>
      <c r="F6469">
        <f>IF(B6469,MAX(MOD(SIN(Seed*0.1373+C6469*12.9898+D6469*78.233)*43758.5453,1),1E-9),"")</f>
        <v/>
      </c>
      <c r="G6469">
        <f>IF(B6469,MOD(SIN(Seed*0.5917+C6469*39.3468+D6469*11.135)*24634.6345,1),"")</f>
        <v/>
      </c>
      <c r="H6469">
        <f>IF(B6469,SQRT(-2*LN(F6469))*COS(2*PI()*G6469),"")</f>
        <v/>
      </c>
      <c r="I6469">
        <f>IF(B6469,IF(D6469=0,H6469,Rho*I6468+SQRT(1-Rho^2)*H6469),"")</f>
        <v/>
      </c>
      <c r="J6469">
        <f>IF(B6469,IF(Dist="Normal",DistA+DistB*I6469,DistA+(DistB-DistA)*NORMSDIST(I6469)),"")</f>
        <v/>
      </c>
      <c r="K6469">
        <f>IF(B6469,INDEX(MineScale,C6469),"")</f>
        <v/>
      </c>
      <c r="L6469">
        <f>IF(B6469,INDEX(Dow,1,WEEKDAY(E6469,2)),"")</f>
        <v/>
      </c>
      <c r="M6469">
        <f>IF(B6469,(1+Trend)^D6469,"")</f>
        <v/>
      </c>
      <c r="N6469">
        <f>IF(B6469,EXP(SUMPRODUCT(LN(1+(EvEff-1)*INDEX(Affected,0,C6469)*EXP(-((E6469-EvCenter)^2)/(2*EvSigma^2))))),"")</f>
        <v/>
      </c>
      <c r="O6469">
        <f>IF(B6469,ROUND(MAX(0,J6469*K6469*L6469*M6469*N6469),2),"")</f>
        <v/>
      </c>
    </row>
    <row r="6470">
      <c r="A6470" t="n">
        <v>6469</v>
      </c>
      <c r="B6470">
        <f>A6470&lt;=MineCount*Days</f>
        <v/>
      </c>
      <c r="C6470">
        <f>IF(B6470,INT((A6470-1)/Days)+1,"")</f>
        <v/>
      </c>
      <c r="D6470">
        <f>IF(B6470,MOD(A6470-1,Days),"")</f>
        <v/>
      </c>
      <c r="E6470" s="16">
        <f>IF(B6470,StartDate+D6470,"")</f>
        <v/>
      </c>
      <c r="F6470">
        <f>IF(B6470,MAX(MOD(SIN(Seed*0.1373+C6470*12.9898+D6470*78.233)*43758.5453,1),1E-9),"")</f>
        <v/>
      </c>
      <c r="G6470">
        <f>IF(B6470,MOD(SIN(Seed*0.5917+C6470*39.3468+D6470*11.135)*24634.6345,1),"")</f>
        <v/>
      </c>
      <c r="H6470">
        <f>IF(B6470,SQRT(-2*LN(F6470))*COS(2*PI()*G6470),"")</f>
        <v/>
      </c>
      <c r="I6470">
        <f>IF(B6470,IF(D6470=0,H6470,Rho*I6469+SQRT(1-Rho^2)*H6470),"")</f>
        <v/>
      </c>
      <c r="J6470">
        <f>IF(B6470,IF(Dist="Normal",DistA+DistB*I6470,DistA+(DistB-DistA)*NORMSDIST(I6470)),"")</f>
        <v/>
      </c>
      <c r="K6470">
        <f>IF(B6470,INDEX(MineScale,C6470),"")</f>
        <v/>
      </c>
      <c r="L6470">
        <f>IF(B6470,INDEX(Dow,1,WEEKDAY(E6470,2)),"")</f>
        <v/>
      </c>
      <c r="M6470">
        <f>IF(B6470,(1+Trend)^D6470,"")</f>
        <v/>
      </c>
      <c r="N6470">
        <f>IF(B6470,EXP(SUMPRODUCT(LN(1+(EvEff-1)*INDEX(Affected,0,C6470)*EXP(-((E6470-EvCenter)^2)/(2*EvSigma^2))))),"")</f>
        <v/>
      </c>
      <c r="O6470">
        <f>IF(B6470,ROUND(MAX(0,J6470*K6470*L6470*M6470*N6470),2),"")</f>
        <v/>
      </c>
    </row>
    <row r="6471">
      <c r="A6471" t="n">
        <v>6470</v>
      </c>
      <c r="B6471">
        <f>A6471&lt;=MineCount*Days</f>
        <v/>
      </c>
      <c r="C6471">
        <f>IF(B6471,INT((A6471-1)/Days)+1,"")</f>
        <v/>
      </c>
      <c r="D6471">
        <f>IF(B6471,MOD(A6471-1,Days),"")</f>
        <v/>
      </c>
      <c r="E6471" s="16">
        <f>IF(B6471,StartDate+D6471,"")</f>
        <v/>
      </c>
      <c r="F6471">
        <f>IF(B6471,MAX(MOD(SIN(Seed*0.1373+C6471*12.9898+D6471*78.233)*43758.5453,1),1E-9),"")</f>
        <v/>
      </c>
      <c r="G6471">
        <f>IF(B6471,MOD(SIN(Seed*0.5917+C6471*39.3468+D6471*11.135)*24634.6345,1),"")</f>
        <v/>
      </c>
      <c r="H6471">
        <f>IF(B6471,SQRT(-2*LN(F6471))*COS(2*PI()*G6471),"")</f>
        <v/>
      </c>
      <c r="I6471">
        <f>IF(B6471,IF(D6471=0,H6471,Rho*I6470+SQRT(1-Rho^2)*H6471),"")</f>
        <v/>
      </c>
      <c r="J6471">
        <f>IF(B6471,IF(Dist="Normal",DistA+DistB*I6471,DistA+(DistB-DistA)*NORMSDIST(I6471)),"")</f>
        <v/>
      </c>
      <c r="K6471">
        <f>IF(B6471,INDEX(MineScale,C6471),"")</f>
        <v/>
      </c>
      <c r="L6471">
        <f>IF(B6471,INDEX(Dow,1,WEEKDAY(E6471,2)),"")</f>
        <v/>
      </c>
      <c r="M6471">
        <f>IF(B6471,(1+Trend)^D6471,"")</f>
        <v/>
      </c>
      <c r="N6471">
        <f>IF(B6471,EXP(SUMPRODUCT(LN(1+(EvEff-1)*INDEX(Affected,0,C6471)*EXP(-((E6471-EvCenter)^2)/(2*EvSigma^2))))),"")</f>
        <v/>
      </c>
      <c r="O6471">
        <f>IF(B6471,ROUND(MAX(0,J6471*K6471*L6471*M6471*N6471),2),"")</f>
        <v/>
      </c>
    </row>
    <row r="6472">
      <c r="A6472" t="n">
        <v>6471</v>
      </c>
      <c r="B6472">
        <f>A6472&lt;=MineCount*Days</f>
        <v/>
      </c>
      <c r="C6472">
        <f>IF(B6472,INT((A6472-1)/Days)+1,"")</f>
        <v/>
      </c>
      <c r="D6472">
        <f>IF(B6472,MOD(A6472-1,Days),"")</f>
        <v/>
      </c>
      <c r="E6472" s="16">
        <f>IF(B6472,StartDate+D6472,"")</f>
        <v/>
      </c>
      <c r="F6472">
        <f>IF(B6472,MAX(MOD(SIN(Seed*0.1373+C6472*12.9898+D6472*78.233)*43758.5453,1),1E-9),"")</f>
        <v/>
      </c>
      <c r="G6472">
        <f>IF(B6472,MOD(SIN(Seed*0.5917+C6472*39.3468+D6472*11.135)*24634.6345,1),"")</f>
        <v/>
      </c>
      <c r="H6472">
        <f>IF(B6472,SQRT(-2*LN(F6472))*COS(2*PI()*G6472),"")</f>
        <v/>
      </c>
      <c r="I6472">
        <f>IF(B6472,IF(D6472=0,H6472,Rho*I6471+SQRT(1-Rho^2)*H6472),"")</f>
        <v/>
      </c>
      <c r="J6472">
        <f>IF(B6472,IF(Dist="Normal",DistA+DistB*I6472,DistA+(DistB-DistA)*NORMSDIST(I6472)),"")</f>
        <v/>
      </c>
      <c r="K6472">
        <f>IF(B6472,INDEX(MineScale,C6472),"")</f>
        <v/>
      </c>
      <c r="L6472">
        <f>IF(B6472,INDEX(Dow,1,WEEKDAY(E6472,2)),"")</f>
        <v/>
      </c>
      <c r="M6472">
        <f>IF(B6472,(1+Trend)^D6472,"")</f>
        <v/>
      </c>
      <c r="N6472">
        <f>IF(B6472,EXP(SUMPRODUCT(LN(1+(EvEff-1)*INDEX(Affected,0,C6472)*EXP(-((E6472-EvCenter)^2)/(2*EvSigma^2))))),"")</f>
        <v/>
      </c>
      <c r="O6472">
        <f>IF(B6472,ROUND(MAX(0,J6472*K6472*L6472*M6472*N6472),2),"")</f>
        <v/>
      </c>
    </row>
    <row r="6473">
      <c r="A6473" t="n">
        <v>6472</v>
      </c>
      <c r="B6473">
        <f>A6473&lt;=MineCount*Days</f>
        <v/>
      </c>
      <c r="C6473">
        <f>IF(B6473,INT((A6473-1)/Days)+1,"")</f>
        <v/>
      </c>
      <c r="D6473">
        <f>IF(B6473,MOD(A6473-1,Days),"")</f>
        <v/>
      </c>
      <c r="E6473" s="16">
        <f>IF(B6473,StartDate+D6473,"")</f>
        <v/>
      </c>
      <c r="F6473">
        <f>IF(B6473,MAX(MOD(SIN(Seed*0.1373+C6473*12.9898+D6473*78.233)*43758.5453,1),1E-9),"")</f>
        <v/>
      </c>
      <c r="G6473">
        <f>IF(B6473,MOD(SIN(Seed*0.5917+C6473*39.3468+D6473*11.135)*24634.6345,1),"")</f>
        <v/>
      </c>
      <c r="H6473">
        <f>IF(B6473,SQRT(-2*LN(F6473))*COS(2*PI()*G6473),"")</f>
        <v/>
      </c>
      <c r="I6473">
        <f>IF(B6473,IF(D6473=0,H6473,Rho*I6472+SQRT(1-Rho^2)*H6473),"")</f>
        <v/>
      </c>
      <c r="J6473">
        <f>IF(B6473,IF(Dist="Normal",DistA+DistB*I6473,DistA+(DistB-DistA)*NORMSDIST(I6473)),"")</f>
        <v/>
      </c>
      <c r="K6473">
        <f>IF(B6473,INDEX(MineScale,C6473),"")</f>
        <v/>
      </c>
      <c r="L6473">
        <f>IF(B6473,INDEX(Dow,1,WEEKDAY(E6473,2)),"")</f>
        <v/>
      </c>
      <c r="M6473">
        <f>IF(B6473,(1+Trend)^D6473,"")</f>
        <v/>
      </c>
      <c r="N6473">
        <f>IF(B6473,EXP(SUMPRODUCT(LN(1+(EvEff-1)*INDEX(Affected,0,C6473)*EXP(-((E6473-EvCenter)^2)/(2*EvSigma^2))))),"")</f>
        <v/>
      </c>
      <c r="O6473">
        <f>IF(B6473,ROUND(MAX(0,J6473*K6473*L6473*M6473*N6473),2),"")</f>
        <v/>
      </c>
    </row>
    <row r="6474">
      <c r="A6474" t="n">
        <v>6473</v>
      </c>
      <c r="B6474">
        <f>A6474&lt;=MineCount*Days</f>
        <v/>
      </c>
      <c r="C6474">
        <f>IF(B6474,INT((A6474-1)/Days)+1,"")</f>
        <v/>
      </c>
      <c r="D6474">
        <f>IF(B6474,MOD(A6474-1,Days),"")</f>
        <v/>
      </c>
      <c r="E6474" s="16">
        <f>IF(B6474,StartDate+D6474,"")</f>
        <v/>
      </c>
      <c r="F6474">
        <f>IF(B6474,MAX(MOD(SIN(Seed*0.1373+C6474*12.9898+D6474*78.233)*43758.5453,1),1E-9),"")</f>
        <v/>
      </c>
      <c r="G6474">
        <f>IF(B6474,MOD(SIN(Seed*0.5917+C6474*39.3468+D6474*11.135)*24634.6345,1),"")</f>
        <v/>
      </c>
      <c r="H6474">
        <f>IF(B6474,SQRT(-2*LN(F6474))*COS(2*PI()*G6474),"")</f>
        <v/>
      </c>
      <c r="I6474">
        <f>IF(B6474,IF(D6474=0,H6474,Rho*I6473+SQRT(1-Rho^2)*H6474),"")</f>
        <v/>
      </c>
      <c r="J6474">
        <f>IF(B6474,IF(Dist="Normal",DistA+DistB*I6474,DistA+(DistB-DistA)*NORMSDIST(I6474)),"")</f>
        <v/>
      </c>
      <c r="K6474">
        <f>IF(B6474,INDEX(MineScale,C6474),"")</f>
        <v/>
      </c>
      <c r="L6474">
        <f>IF(B6474,INDEX(Dow,1,WEEKDAY(E6474,2)),"")</f>
        <v/>
      </c>
      <c r="M6474">
        <f>IF(B6474,(1+Trend)^D6474,"")</f>
        <v/>
      </c>
      <c r="N6474">
        <f>IF(B6474,EXP(SUMPRODUCT(LN(1+(EvEff-1)*INDEX(Affected,0,C6474)*EXP(-((E6474-EvCenter)^2)/(2*EvSigma^2))))),"")</f>
        <v/>
      </c>
      <c r="O6474">
        <f>IF(B6474,ROUND(MAX(0,J6474*K6474*L6474*M6474*N6474),2),"")</f>
        <v/>
      </c>
    </row>
    <row r="6475">
      <c r="A6475" t="n">
        <v>6474</v>
      </c>
      <c r="B6475">
        <f>A6475&lt;=MineCount*Days</f>
        <v/>
      </c>
      <c r="C6475">
        <f>IF(B6475,INT((A6475-1)/Days)+1,"")</f>
        <v/>
      </c>
      <c r="D6475">
        <f>IF(B6475,MOD(A6475-1,Days),"")</f>
        <v/>
      </c>
      <c r="E6475" s="16">
        <f>IF(B6475,StartDate+D6475,"")</f>
        <v/>
      </c>
      <c r="F6475">
        <f>IF(B6475,MAX(MOD(SIN(Seed*0.1373+C6475*12.9898+D6475*78.233)*43758.5453,1),1E-9),"")</f>
        <v/>
      </c>
      <c r="G6475">
        <f>IF(B6475,MOD(SIN(Seed*0.5917+C6475*39.3468+D6475*11.135)*24634.6345,1),"")</f>
        <v/>
      </c>
      <c r="H6475">
        <f>IF(B6475,SQRT(-2*LN(F6475))*COS(2*PI()*G6475),"")</f>
        <v/>
      </c>
      <c r="I6475">
        <f>IF(B6475,IF(D6475=0,H6475,Rho*I6474+SQRT(1-Rho^2)*H6475),"")</f>
        <v/>
      </c>
      <c r="J6475">
        <f>IF(B6475,IF(Dist="Normal",DistA+DistB*I6475,DistA+(DistB-DistA)*NORMSDIST(I6475)),"")</f>
        <v/>
      </c>
      <c r="K6475">
        <f>IF(B6475,INDEX(MineScale,C6475),"")</f>
        <v/>
      </c>
      <c r="L6475">
        <f>IF(B6475,INDEX(Dow,1,WEEKDAY(E6475,2)),"")</f>
        <v/>
      </c>
      <c r="M6475">
        <f>IF(B6475,(1+Trend)^D6475,"")</f>
        <v/>
      </c>
      <c r="N6475">
        <f>IF(B6475,EXP(SUMPRODUCT(LN(1+(EvEff-1)*INDEX(Affected,0,C6475)*EXP(-((E6475-EvCenter)^2)/(2*EvSigma^2))))),"")</f>
        <v/>
      </c>
      <c r="O6475">
        <f>IF(B6475,ROUND(MAX(0,J6475*K6475*L6475*M6475*N6475),2),"")</f>
        <v/>
      </c>
    </row>
    <row r="6476">
      <c r="A6476" t="n">
        <v>6475</v>
      </c>
      <c r="B6476">
        <f>A6476&lt;=MineCount*Days</f>
        <v/>
      </c>
      <c r="C6476">
        <f>IF(B6476,INT((A6476-1)/Days)+1,"")</f>
        <v/>
      </c>
      <c r="D6476">
        <f>IF(B6476,MOD(A6476-1,Days),"")</f>
        <v/>
      </c>
      <c r="E6476" s="16">
        <f>IF(B6476,StartDate+D6476,"")</f>
        <v/>
      </c>
      <c r="F6476">
        <f>IF(B6476,MAX(MOD(SIN(Seed*0.1373+C6476*12.9898+D6476*78.233)*43758.5453,1),1E-9),"")</f>
        <v/>
      </c>
      <c r="G6476">
        <f>IF(B6476,MOD(SIN(Seed*0.5917+C6476*39.3468+D6476*11.135)*24634.6345,1),"")</f>
        <v/>
      </c>
      <c r="H6476">
        <f>IF(B6476,SQRT(-2*LN(F6476))*COS(2*PI()*G6476),"")</f>
        <v/>
      </c>
      <c r="I6476">
        <f>IF(B6476,IF(D6476=0,H6476,Rho*I6475+SQRT(1-Rho^2)*H6476),"")</f>
        <v/>
      </c>
      <c r="J6476">
        <f>IF(B6476,IF(Dist="Normal",DistA+DistB*I6476,DistA+(DistB-DistA)*NORMSDIST(I6476)),"")</f>
        <v/>
      </c>
      <c r="K6476">
        <f>IF(B6476,INDEX(MineScale,C6476),"")</f>
        <v/>
      </c>
      <c r="L6476">
        <f>IF(B6476,INDEX(Dow,1,WEEKDAY(E6476,2)),"")</f>
        <v/>
      </c>
      <c r="M6476">
        <f>IF(B6476,(1+Trend)^D6476,"")</f>
        <v/>
      </c>
      <c r="N6476">
        <f>IF(B6476,EXP(SUMPRODUCT(LN(1+(EvEff-1)*INDEX(Affected,0,C6476)*EXP(-((E6476-EvCenter)^2)/(2*EvSigma^2))))),"")</f>
        <v/>
      </c>
      <c r="O6476">
        <f>IF(B6476,ROUND(MAX(0,J6476*K6476*L6476*M6476*N6476),2),"")</f>
        <v/>
      </c>
    </row>
    <row r="6477">
      <c r="A6477" t="n">
        <v>6476</v>
      </c>
      <c r="B6477">
        <f>A6477&lt;=MineCount*Days</f>
        <v/>
      </c>
      <c r="C6477">
        <f>IF(B6477,INT((A6477-1)/Days)+1,"")</f>
        <v/>
      </c>
      <c r="D6477">
        <f>IF(B6477,MOD(A6477-1,Days),"")</f>
        <v/>
      </c>
      <c r="E6477" s="16">
        <f>IF(B6477,StartDate+D6477,"")</f>
        <v/>
      </c>
      <c r="F6477">
        <f>IF(B6477,MAX(MOD(SIN(Seed*0.1373+C6477*12.9898+D6477*78.233)*43758.5453,1),1E-9),"")</f>
        <v/>
      </c>
      <c r="G6477">
        <f>IF(B6477,MOD(SIN(Seed*0.5917+C6477*39.3468+D6477*11.135)*24634.6345,1),"")</f>
        <v/>
      </c>
      <c r="H6477">
        <f>IF(B6477,SQRT(-2*LN(F6477))*COS(2*PI()*G6477),"")</f>
        <v/>
      </c>
      <c r="I6477">
        <f>IF(B6477,IF(D6477=0,H6477,Rho*I6476+SQRT(1-Rho^2)*H6477),"")</f>
        <v/>
      </c>
      <c r="J6477">
        <f>IF(B6477,IF(Dist="Normal",DistA+DistB*I6477,DistA+(DistB-DistA)*NORMSDIST(I6477)),"")</f>
        <v/>
      </c>
      <c r="K6477">
        <f>IF(B6477,INDEX(MineScale,C6477),"")</f>
        <v/>
      </c>
      <c r="L6477">
        <f>IF(B6477,INDEX(Dow,1,WEEKDAY(E6477,2)),"")</f>
        <v/>
      </c>
      <c r="M6477">
        <f>IF(B6477,(1+Trend)^D6477,"")</f>
        <v/>
      </c>
      <c r="N6477">
        <f>IF(B6477,EXP(SUMPRODUCT(LN(1+(EvEff-1)*INDEX(Affected,0,C6477)*EXP(-((E6477-EvCenter)^2)/(2*EvSigma^2))))),"")</f>
        <v/>
      </c>
      <c r="O6477">
        <f>IF(B6477,ROUND(MAX(0,J6477*K6477*L6477*M6477*N6477),2),"")</f>
        <v/>
      </c>
    </row>
    <row r="6478">
      <c r="A6478" t="n">
        <v>6477</v>
      </c>
      <c r="B6478">
        <f>A6478&lt;=MineCount*Days</f>
        <v/>
      </c>
      <c r="C6478">
        <f>IF(B6478,INT((A6478-1)/Days)+1,"")</f>
        <v/>
      </c>
      <c r="D6478">
        <f>IF(B6478,MOD(A6478-1,Days),"")</f>
        <v/>
      </c>
      <c r="E6478" s="16">
        <f>IF(B6478,StartDate+D6478,"")</f>
        <v/>
      </c>
      <c r="F6478">
        <f>IF(B6478,MAX(MOD(SIN(Seed*0.1373+C6478*12.9898+D6478*78.233)*43758.5453,1),1E-9),"")</f>
        <v/>
      </c>
      <c r="G6478">
        <f>IF(B6478,MOD(SIN(Seed*0.5917+C6478*39.3468+D6478*11.135)*24634.6345,1),"")</f>
        <v/>
      </c>
      <c r="H6478">
        <f>IF(B6478,SQRT(-2*LN(F6478))*COS(2*PI()*G6478),"")</f>
        <v/>
      </c>
      <c r="I6478">
        <f>IF(B6478,IF(D6478=0,H6478,Rho*I6477+SQRT(1-Rho^2)*H6478),"")</f>
        <v/>
      </c>
      <c r="J6478">
        <f>IF(B6478,IF(Dist="Normal",DistA+DistB*I6478,DistA+(DistB-DistA)*NORMSDIST(I6478)),"")</f>
        <v/>
      </c>
      <c r="K6478">
        <f>IF(B6478,INDEX(MineScale,C6478),"")</f>
        <v/>
      </c>
      <c r="L6478">
        <f>IF(B6478,INDEX(Dow,1,WEEKDAY(E6478,2)),"")</f>
        <v/>
      </c>
      <c r="M6478">
        <f>IF(B6478,(1+Trend)^D6478,"")</f>
        <v/>
      </c>
      <c r="N6478">
        <f>IF(B6478,EXP(SUMPRODUCT(LN(1+(EvEff-1)*INDEX(Affected,0,C6478)*EXP(-((E6478-EvCenter)^2)/(2*EvSigma^2))))),"")</f>
        <v/>
      </c>
      <c r="O6478">
        <f>IF(B6478,ROUND(MAX(0,J6478*K6478*L6478*M6478*N6478),2),"")</f>
        <v/>
      </c>
    </row>
    <row r="6479">
      <c r="A6479" t="n">
        <v>6478</v>
      </c>
      <c r="B6479">
        <f>A6479&lt;=MineCount*Days</f>
        <v/>
      </c>
      <c r="C6479">
        <f>IF(B6479,INT((A6479-1)/Days)+1,"")</f>
        <v/>
      </c>
      <c r="D6479">
        <f>IF(B6479,MOD(A6479-1,Days),"")</f>
        <v/>
      </c>
      <c r="E6479" s="16">
        <f>IF(B6479,StartDate+D6479,"")</f>
        <v/>
      </c>
      <c r="F6479">
        <f>IF(B6479,MAX(MOD(SIN(Seed*0.1373+C6479*12.9898+D6479*78.233)*43758.5453,1),1E-9),"")</f>
        <v/>
      </c>
      <c r="G6479">
        <f>IF(B6479,MOD(SIN(Seed*0.5917+C6479*39.3468+D6479*11.135)*24634.6345,1),"")</f>
        <v/>
      </c>
      <c r="H6479">
        <f>IF(B6479,SQRT(-2*LN(F6479))*COS(2*PI()*G6479),"")</f>
        <v/>
      </c>
      <c r="I6479">
        <f>IF(B6479,IF(D6479=0,H6479,Rho*I6478+SQRT(1-Rho^2)*H6479),"")</f>
        <v/>
      </c>
      <c r="J6479">
        <f>IF(B6479,IF(Dist="Normal",DistA+DistB*I6479,DistA+(DistB-DistA)*NORMSDIST(I6479)),"")</f>
        <v/>
      </c>
      <c r="K6479">
        <f>IF(B6479,INDEX(MineScale,C6479),"")</f>
        <v/>
      </c>
      <c r="L6479">
        <f>IF(B6479,INDEX(Dow,1,WEEKDAY(E6479,2)),"")</f>
        <v/>
      </c>
      <c r="M6479">
        <f>IF(B6479,(1+Trend)^D6479,"")</f>
        <v/>
      </c>
      <c r="N6479">
        <f>IF(B6479,EXP(SUMPRODUCT(LN(1+(EvEff-1)*INDEX(Affected,0,C6479)*EXP(-((E6479-EvCenter)^2)/(2*EvSigma^2))))),"")</f>
        <v/>
      </c>
      <c r="O6479">
        <f>IF(B6479,ROUND(MAX(0,J6479*K6479*L6479*M6479*N6479),2),"")</f>
        <v/>
      </c>
    </row>
    <row r="6480">
      <c r="A6480" t="n">
        <v>6479</v>
      </c>
      <c r="B6480">
        <f>A6480&lt;=MineCount*Days</f>
        <v/>
      </c>
      <c r="C6480">
        <f>IF(B6480,INT((A6480-1)/Days)+1,"")</f>
        <v/>
      </c>
      <c r="D6480">
        <f>IF(B6480,MOD(A6480-1,Days),"")</f>
        <v/>
      </c>
      <c r="E6480" s="16">
        <f>IF(B6480,StartDate+D6480,"")</f>
        <v/>
      </c>
      <c r="F6480">
        <f>IF(B6480,MAX(MOD(SIN(Seed*0.1373+C6480*12.9898+D6480*78.233)*43758.5453,1),1E-9),"")</f>
        <v/>
      </c>
      <c r="G6480">
        <f>IF(B6480,MOD(SIN(Seed*0.5917+C6480*39.3468+D6480*11.135)*24634.6345,1),"")</f>
        <v/>
      </c>
      <c r="H6480">
        <f>IF(B6480,SQRT(-2*LN(F6480))*COS(2*PI()*G6480),"")</f>
        <v/>
      </c>
      <c r="I6480">
        <f>IF(B6480,IF(D6480=0,H6480,Rho*I6479+SQRT(1-Rho^2)*H6480),"")</f>
        <v/>
      </c>
      <c r="J6480">
        <f>IF(B6480,IF(Dist="Normal",DistA+DistB*I6480,DistA+(DistB-DistA)*NORMSDIST(I6480)),"")</f>
        <v/>
      </c>
      <c r="K6480">
        <f>IF(B6480,INDEX(MineScale,C6480),"")</f>
        <v/>
      </c>
      <c r="L6480">
        <f>IF(B6480,INDEX(Dow,1,WEEKDAY(E6480,2)),"")</f>
        <v/>
      </c>
      <c r="M6480">
        <f>IF(B6480,(1+Trend)^D6480,"")</f>
        <v/>
      </c>
      <c r="N6480">
        <f>IF(B6480,EXP(SUMPRODUCT(LN(1+(EvEff-1)*INDEX(Affected,0,C6480)*EXP(-((E6480-EvCenter)^2)/(2*EvSigma^2))))),"")</f>
        <v/>
      </c>
      <c r="O6480">
        <f>IF(B6480,ROUND(MAX(0,J6480*K6480*L6480*M6480*N6480),2),"")</f>
        <v/>
      </c>
    </row>
    <row r="6481">
      <c r="A6481" t="n">
        <v>6480</v>
      </c>
      <c r="B6481">
        <f>A6481&lt;=MineCount*Days</f>
        <v/>
      </c>
      <c r="C6481">
        <f>IF(B6481,INT((A6481-1)/Days)+1,"")</f>
        <v/>
      </c>
      <c r="D6481">
        <f>IF(B6481,MOD(A6481-1,Days),"")</f>
        <v/>
      </c>
      <c r="E6481" s="16">
        <f>IF(B6481,StartDate+D6481,"")</f>
        <v/>
      </c>
      <c r="F6481">
        <f>IF(B6481,MAX(MOD(SIN(Seed*0.1373+C6481*12.9898+D6481*78.233)*43758.5453,1),1E-9),"")</f>
        <v/>
      </c>
      <c r="G6481">
        <f>IF(B6481,MOD(SIN(Seed*0.5917+C6481*39.3468+D6481*11.135)*24634.6345,1),"")</f>
        <v/>
      </c>
      <c r="H6481">
        <f>IF(B6481,SQRT(-2*LN(F6481))*COS(2*PI()*G6481),"")</f>
        <v/>
      </c>
      <c r="I6481">
        <f>IF(B6481,IF(D6481=0,H6481,Rho*I6480+SQRT(1-Rho^2)*H6481),"")</f>
        <v/>
      </c>
      <c r="J6481">
        <f>IF(B6481,IF(Dist="Normal",DistA+DistB*I6481,DistA+(DistB-DistA)*NORMSDIST(I6481)),"")</f>
        <v/>
      </c>
      <c r="K6481">
        <f>IF(B6481,INDEX(MineScale,C6481),"")</f>
        <v/>
      </c>
      <c r="L6481">
        <f>IF(B6481,INDEX(Dow,1,WEEKDAY(E6481,2)),"")</f>
        <v/>
      </c>
      <c r="M6481">
        <f>IF(B6481,(1+Trend)^D6481,"")</f>
        <v/>
      </c>
      <c r="N6481">
        <f>IF(B6481,EXP(SUMPRODUCT(LN(1+(EvEff-1)*INDEX(Affected,0,C6481)*EXP(-((E6481-EvCenter)^2)/(2*EvSigma^2))))),"")</f>
        <v/>
      </c>
      <c r="O6481">
        <f>IF(B6481,ROUND(MAX(0,J6481*K6481*L6481*M6481*N6481),2),"")</f>
        <v/>
      </c>
    </row>
    <row r="6482">
      <c r="A6482" t="n">
        <v>6481</v>
      </c>
      <c r="B6482">
        <f>A6482&lt;=MineCount*Days</f>
        <v/>
      </c>
      <c r="C6482">
        <f>IF(B6482,INT((A6482-1)/Days)+1,"")</f>
        <v/>
      </c>
      <c r="D6482">
        <f>IF(B6482,MOD(A6482-1,Days),"")</f>
        <v/>
      </c>
      <c r="E6482" s="16">
        <f>IF(B6482,StartDate+D6482,"")</f>
        <v/>
      </c>
      <c r="F6482">
        <f>IF(B6482,MAX(MOD(SIN(Seed*0.1373+C6482*12.9898+D6482*78.233)*43758.5453,1),1E-9),"")</f>
        <v/>
      </c>
      <c r="G6482">
        <f>IF(B6482,MOD(SIN(Seed*0.5917+C6482*39.3468+D6482*11.135)*24634.6345,1),"")</f>
        <v/>
      </c>
      <c r="H6482">
        <f>IF(B6482,SQRT(-2*LN(F6482))*COS(2*PI()*G6482),"")</f>
        <v/>
      </c>
      <c r="I6482">
        <f>IF(B6482,IF(D6482=0,H6482,Rho*I6481+SQRT(1-Rho^2)*H6482),"")</f>
        <v/>
      </c>
      <c r="J6482">
        <f>IF(B6482,IF(Dist="Normal",DistA+DistB*I6482,DistA+(DistB-DistA)*NORMSDIST(I6482)),"")</f>
        <v/>
      </c>
      <c r="K6482">
        <f>IF(B6482,INDEX(MineScale,C6482),"")</f>
        <v/>
      </c>
      <c r="L6482">
        <f>IF(B6482,INDEX(Dow,1,WEEKDAY(E6482,2)),"")</f>
        <v/>
      </c>
      <c r="M6482">
        <f>IF(B6482,(1+Trend)^D6482,"")</f>
        <v/>
      </c>
      <c r="N6482">
        <f>IF(B6482,EXP(SUMPRODUCT(LN(1+(EvEff-1)*INDEX(Affected,0,C6482)*EXP(-((E6482-EvCenter)^2)/(2*EvSigma^2))))),"")</f>
        <v/>
      </c>
      <c r="O6482">
        <f>IF(B6482,ROUND(MAX(0,J6482*K6482*L6482*M6482*N6482),2),"")</f>
        <v/>
      </c>
    </row>
    <row r="6483">
      <c r="A6483" t="n">
        <v>6482</v>
      </c>
      <c r="B6483">
        <f>A6483&lt;=MineCount*Days</f>
        <v/>
      </c>
      <c r="C6483">
        <f>IF(B6483,INT((A6483-1)/Days)+1,"")</f>
        <v/>
      </c>
      <c r="D6483">
        <f>IF(B6483,MOD(A6483-1,Days),"")</f>
        <v/>
      </c>
      <c r="E6483" s="16">
        <f>IF(B6483,StartDate+D6483,"")</f>
        <v/>
      </c>
      <c r="F6483">
        <f>IF(B6483,MAX(MOD(SIN(Seed*0.1373+C6483*12.9898+D6483*78.233)*43758.5453,1),1E-9),"")</f>
        <v/>
      </c>
      <c r="G6483">
        <f>IF(B6483,MOD(SIN(Seed*0.5917+C6483*39.3468+D6483*11.135)*24634.6345,1),"")</f>
        <v/>
      </c>
      <c r="H6483">
        <f>IF(B6483,SQRT(-2*LN(F6483))*COS(2*PI()*G6483),"")</f>
        <v/>
      </c>
      <c r="I6483">
        <f>IF(B6483,IF(D6483=0,H6483,Rho*I6482+SQRT(1-Rho^2)*H6483),"")</f>
        <v/>
      </c>
      <c r="J6483">
        <f>IF(B6483,IF(Dist="Normal",DistA+DistB*I6483,DistA+(DistB-DistA)*NORMSDIST(I6483)),"")</f>
        <v/>
      </c>
      <c r="K6483">
        <f>IF(B6483,INDEX(MineScale,C6483),"")</f>
        <v/>
      </c>
      <c r="L6483">
        <f>IF(B6483,INDEX(Dow,1,WEEKDAY(E6483,2)),"")</f>
        <v/>
      </c>
      <c r="M6483">
        <f>IF(B6483,(1+Trend)^D6483,"")</f>
        <v/>
      </c>
      <c r="N6483">
        <f>IF(B6483,EXP(SUMPRODUCT(LN(1+(EvEff-1)*INDEX(Affected,0,C6483)*EXP(-((E6483-EvCenter)^2)/(2*EvSigma^2))))),"")</f>
        <v/>
      </c>
      <c r="O6483">
        <f>IF(B6483,ROUND(MAX(0,J6483*K6483*L6483*M6483*N6483),2),"")</f>
        <v/>
      </c>
    </row>
    <row r="6484">
      <c r="A6484" t="n">
        <v>6483</v>
      </c>
      <c r="B6484">
        <f>A6484&lt;=MineCount*Days</f>
        <v/>
      </c>
      <c r="C6484">
        <f>IF(B6484,INT((A6484-1)/Days)+1,"")</f>
        <v/>
      </c>
      <c r="D6484">
        <f>IF(B6484,MOD(A6484-1,Days),"")</f>
        <v/>
      </c>
      <c r="E6484" s="16">
        <f>IF(B6484,StartDate+D6484,"")</f>
        <v/>
      </c>
      <c r="F6484">
        <f>IF(B6484,MAX(MOD(SIN(Seed*0.1373+C6484*12.9898+D6484*78.233)*43758.5453,1),1E-9),"")</f>
        <v/>
      </c>
      <c r="G6484">
        <f>IF(B6484,MOD(SIN(Seed*0.5917+C6484*39.3468+D6484*11.135)*24634.6345,1),"")</f>
        <v/>
      </c>
      <c r="H6484">
        <f>IF(B6484,SQRT(-2*LN(F6484))*COS(2*PI()*G6484),"")</f>
        <v/>
      </c>
      <c r="I6484">
        <f>IF(B6484,IF(D6484=0,H6484,Rho*I6483+SQRT(1-Rho^2)*H6484),"")</f>
        <v/>
      </c>
      <c r="J6484">
        <f>IF(B6484,IF(Dist="Normal",DistA+DistB*I6484,DistA+(DistB-DistA)*NORMSDIST(I6484)),"")</f>
        <v/>
      </c>
      <c r="K6484">
        <f>IF(B6484,INDEX(MineScale,C6484),"")</f>
        <v/>
      </c>
      <c r="L6484">
        <f>IF(B6484,INDEX(Dow,1,WEEKDAY(E6484,2)),"")</f>
        <v/>
      </c>
      <c r="M6484">
        <f>IF(B6484,(1+Trend)^D6484,"")</f>
        <v/>
      </c>
      <c r="N6484">
        <f>IF(B6484,EXP(SUMPRODUCT(LN(1+(EvEff-1)*INDEX(Affected,0,C6484)*EXP(-((E6484-EvCenter)^2)/(2*EvSigma^2))))),"")</f>
        <v/>
      </c>
      <c r="O6484">
        <f>IF(B6484,ROUND(MAX(0,J6484*K6484*L6484*M6484*N6484),2),"")</f>
        <v/>
      </c>
    </row>
    <row r="6485">
      <c r="A6485" t="n">
        <v>6484</v>
      </c>
      <c r="B6485">
        <f>A6485&lt;=MineCount*Days</f>
        <v/>
      </c>
      <c r="C6485">
        <f>IF(B6485,INT((A6485-1)/Days)+1,"")</f>
        <v/>
      </c>
      <c r="D6485">
        <f>IF(B6485,MOD(A6485-1,Days),"")</f>
        <v/>
      </c>
      <c r="E6485" s="16">
        <f>IF(B6485,StartDate+D6485,"")</f>
        <v/>
      </c>
      <c r="F6485">
        <f>IF(B6485,MAX(MOD(SIN(Seed*0.1373+C6485*12.9898+D6485*78.233)*43758.5453,1),1E-9),"")</f>
        <v/>
      </c>
      <c r="G6485">
        <f>IF(B6485,MOD(SIN(Seed*0.5917+C6485*39.3468+D6485*11.135)*24634.6345,1),"")</f>
        <v/>
      </c>
      <c r="H6485">
        <f>IF(B6485,SQRT(-2*LN(F6485))*COS(2*PI()*G6485),"")</f>
        <v/>
      </c>
      <c r="I6485">
        <f>IF(B6485,IF(D6485=0,H6485,Rho*I6484+SQRT(1-Rho^2)*H6485),"")</f>
        <v/>
      </c>
      <c r="J6485">
        <f>IF(B6485,IF(Dist="Normal",DistA+DistB*I6485,DistA+(DistB-DistA)*NORMSDIST(I6485)),"")</f>
        <v/>
      </c>
      <c r="K6485">
        <f>IF(B6485,INDEX(MineScale,C6485),"")</f>
        <v/>
      </c>
      <c r="L6485">
        <f>IF(B6485,INDEX(Dow,1,WEEKDAY(E6485,2)),"")</f>
        <v/>
      </c>
      <c r="M6485">
        <f>IF(B6485,(1+Trend)^D6485,"")</f>
        <v/>
      </c>
      <c r="N6485">
        <f>IF(B6485,EXP(SUMPRODUCT(LN(1+(EvEff-1)*INDEX(Affected,0,C6485)*EXP(-((E6485-EvCenter)^2)/(2*EvSigma^2))))),"")</f>
        <v/>
      </c>
      <c r="O6485">
        <f>IF(B6485,ROUND(MAX(0,J6485*K6485*L6485*M6485*N6485),2),"")</f>
        <v/>
      </c>
    </row>
    <row r="6486">
      <c r="A6486" t="n">
        <v>6485</v>
      </c>
      <c r="B6486">
        <f>A6486&lt;=MineCount*Days</f>
        <v/>
      </c>
      <c r="C6486">
        <f>IF(B6486,INT((A6486-1)/Days)+1,"")</f>
        <v/>
      </c>
      <c r="D6486">
        <f>IF(B6486,MOD(A6486-1,Days),"")</f>
        <v/>
      </c>
      <c r="E6486" s="16">
        <f>IF(B6486,StartDate+D6486,"")</f>
        <v/>
      </c>
      <c r="F6486">
        <f>IF(B6486,MAX(MOD(SIN(Seed*0.1373+C6486*12.9898+D6486*78.233)*43758.5453,1),1E-9),"")</f>
        <v/>
      </c>
      <c r="G6486">
        <f>IF(B6486,MOD(SIN(Seed*0.5917+C6486*39.3468+D6486*11.135)*24634.6345,1),"")</f>
        <v/>
      </c>
      <c r="H6486">
        <f>IF(B6486,SQRT(-2*LN(F6486))*COS(2*PI()*G6486),"")</f>
        <v/>
      </c>
      <c r="I6486">
        <f>IF(B6486,IF(D6486=0,H6486,Rho*I6485+SQRT(1-Rho^2)*H6486),"")</f>
        <v/>
      </c>
      <c r="J6486">
        <f>IF(B6486,IF(Dist="Normal",DistA+DistB*I6486,DistA+(DistB-DistA)*NORMSDIST(I6486)),"")</f>
        <v/>
      </c>
      <c r="K6486">
        <f>IF(B6486,INDEX(MineScale,C6486),"")</f>
        <v/>
      </c>
      <c r="L6486">
        <f>IF(B6486,INDEX(Dow,1,WEEKDAY(E6486,2)),"")</f>
        <v/>
      </c>
      <c r="M6486">
        <f>IF(B6486,(1+Trend)^D6486,"")</f>
        <v/>
      </c>
      <c r="N6486">
        <f>IF(B6486,EXP(SUMPRODUCT(LN(1+(EvEff-1)*INDEX(Affected,0,C6486)*EXP(-((E6486-EvCenter)^2)/(2*EvSigma^2))))),"")</f>
        <v/>
      </c>
      <c r="O6486">
        <f>IF(B6486,ROUND(MAX(0,J6486*K6486*L6486*M6486*N6486),2),"")</f>
        <v/>
      </c>
    </row>
    <row r="6487">
      <c r="A6487" t="n">
        <v>6486</v>
      </c>
      <c r="B6487">
        <f>A6487&lt;=MineCount*Days</f>
        <v/>
      </c>
      <c r="C6487">
        <f>IF(B6487,INT((A6487-1)/Days)+1,"")</f>
        <v/>
      </c>
      <c r="D6487">
        <f>IF(B6487,MOD(A6487-1,Days),"")</f>
        <v/>
      </c>
      <c r="E6487" s="16">
        <f>IF(B6487,StartDate+D6487,"")</f>
        <v/>
      </c>
      <c r="F6487">
        <f>IF(B6487,MAX(MOD(SIN(Seed*0.1373+C6487*12.9898+D6487*78.233)*43758.5453,1),1E-9),"")</f>
        <v/>
      </c>
      <c r="G6487">
        <f>IF(B6487,MOD(SIN(Seed*0.5917+C6487*39.3468+D6487*11.135)*24634.6345,1),"")</f>
        <v/>
      </c>
      <c r="H6487">
        <f>IF(B6487,SQRT(-2*LN(F6487))*COS(2*PI()*G6487),"")</f>
        <v/>
      </c>
      <c r="I6487">
        <f>IF(B6487,IF(D6487=0,H6487,Rho*I6486+SQRT(1-Rho^2)*H6487),"")</f>
        <v/>
      </c>
      <c r="J6487">
        <f>IF(B6487,IF(Dist="Normal",DistA+DistB*I6487,DistA+(DistB-DistA)*NORMSDIST(I6487)),"")</f>
        <v/>
      </c>
      <c r="K6487">
        <f>IF(B6487,INDEX(MineScale,C6487),"")</f>
        <v/>
      </c>
      <c r="L6487">
        <f>IF(B6487,INDEX(Dow,1,WEEKDAY(E6487,2)),"")</f>
        <v/>
      </c>
      <c r="M6487">
        <f>IF(B6487,(1+Trend)^D6487,"")</f>
        <v/>
      </c>
      <c r="N6487">
        <f>IF(B6487,EXP(SUMPRODUCT(LN(1+(EvEff-1)*INDEX(Affected,0,C6487)*EXP(-((E6487-EvCenter)^2)/(2*EvSigma^2))))),"")</f>
        <v/>
      </c>
      <c r="O6487">
        <f>IF(B6487,ROUND(MAX(0,J6487*K6487*L6487*M6487*N6487),2),"")</f>
        <v/>
      </c>
    </row>
    <row r="6488">
      <c r="A6488" t="n">
        <v>6487</v>
      </c>
      <c r="B6488">
        <f>A6488&lt;=MineCount*Days</f>
        <v/>
      </c>
      <c r="C6488">
        <f>IF(B6488,INT((A6488-1)/Days)+1,"")</f>
        <v/>
      </c>
      <c r="D6488">
        <f>IF(B6488,MOD(A6488-1,Days),"")</f>
        <v/>
      </c>
      <c r="E6488" s="16">
        <f>IF(B6488,StartDate+D6488,"")</f>
        <v/>
      </c>
      <c r="F6488">
        <f>IF(B6488,MAX(MOD(SIN(Seed*0.1373+C6488*12.9898+D6488*78.233)*43758.5453,1),1E-9),"")</f>
        <v/>
      </c>
      <c r="G6488">
        <f>IF(B6488,MOD(SIN(Seed*0.5917+C6488*39.3468+D6488*11.135)*24634.6345,1),"")</f>
        <v/>
      </c>
      <c r="H6488">
        <f>IF(B6488,SQRT(-2*LN(F6488))*COS(2*PI()*G6488),"")</f>
        <v/>
      </c>
      <c r="I6488">
        <f>IF(B6488,IF(D6488=0,H6488,Rho*I6487+SQRT(1-Rho^2)*H6488),"")</f>
        <v/>
      </c>
      <c r="J6488">
        <f>IF(B6488,IF(Dist="Normal",DistA+DistB*I6488,DistA+(DistB-DistA)*NORMSDIST(I6488)),"")</f>
        <v/>
      </c>
      <c r="K6488">
        <f>IF(B6488,INDEX(MineScale,C6488),"")</f>
        <v/>
      </c>
      <c r="L6488">
        <f>IF(B6488,INDEX(Dow,1,WEEKDAY(E6488,2)),"")</f>
        <v/>
      </c>
      <c r="M6488">
        <f>IF(B6488,(1+Trend)^D6488,"")</f>
        <v/>
      </c>
      <c r="N6488">
        <f>IF(B6488,EXP(SUMPRODUCT(LN(1+(EvEff-1)*INDEX(Affected,0,C6488)*EXP(-((E6488-EvCenter)^2)/(2*EvSigma^2))))),"")</f>
        <v/>
      </c>
      <c r="O6488">
        <f>IF(B6488,ROUND(MAX(0,J6488*K6488*L6488*M6488*N6488),2),"")</f>
        <v/>
      </c>
    </row>
    <row r="6489">
      <c r="A6489" t="n">
        <v>6488</v>
      </c>
      <c r="B6489">
        <f>A6489&lt;=MineCount*Days</f>
        <v/>
      </c>
      <c r="C6489">
        <f>IF(B6489,INT((A6489-1)/Days)+1,"")</f>
        <v/>
      </c>
      <c r="D6489">
        <f>IF(B6489,MOD(A6489-1,Days),"")</f>
        <v/>
      </c>
      <c r="E6489" s="16">
        <f>IF(B6489,StartDate+D6489,"")</f>
        <v/>
      </c>
      <c r="F6489">
        <f>IF(B6489,MAX(MOD(SIN(Seed*0.1373+C6489*12.9898+D6489*78.233)*43758.5453,1),1E-9),"")</f>
        <v/>
      </c>
      <c r="G6489">
        <f>IF(B6489,MOD(SIN(Seed*0.5917+C6489*39.3468+D6489*11.135)*24634.6345,1),"")</f>
        <v/>
      </c>
      <c r="H6489">
        <f>IF(B6489,SQRT(-2*LN(F6489))*COS(2*PI()*G6489),"")</f>
        <v/>
      </c>
      <c r="I6489">
        <f>IF(B6489,IF(D6489=0,H6489,Rho*I6488+SQRT(1-Rho^2)*H6489),"")</f>
        <v/>
      </c>
      <c r="J6489">
        <f>IF(B6489,IF(Dist="Normal",DistA+DistB*I6489,DistA+(DistB-DistA)*NORMSDIST(I6489)),"")</f>
        <v/>
      </c>
      <c r="K6489">
        <f>IF(B6489,INDEX(MineScale,C6489),"")</f>
        <v/>
      </c>
      <c r="L6489">
        <f>IF(B6489,INDEX(Dow,1,WEEKDAY(E6489,2)),"")</f>
        <v/>
      </c>
      <c r="M6489">
        <f>IF(B6489,(1+Trend)^D6489,"")</f>
        <v/>
      </c>
      <c r="N6489">
        <f>IF(B6489,EXP(SUMPRODUCT(LN(1+(EvEff-1)*INDEX(Affected,0,C6489)*EXP(-((E6489-EvCenter)^2)/(2*EvSigma^2))))),"")</f>
        <v/>
      </c>
      <c r="O6489">
        <f>IF(B6489,ROUND(MAX(0,J6489*K6489*L6489*M6489*N6489),2),"")</f>
        <v/>
      </c>
    </row>
    <row r="6490">
      <c r="A6490" t="n">
        <v>6489</v>
      </c>
      <c r="B6490">
        <f>A6490&lt;=MineCount*Days</f>
        <v/>
      </c>
      <c r="C6490">
        <f>IF(B6490,INT((A6490-1)/Days)+1,"")</f>
        <v/>
      </c>
      <c r="D6490">
        <f>IF(B6490,MOD(A6490-1,Days),"")</f>
        <v/>
      </c>
      <c r="E6490" s="16">
        <f>IF(B6490,StartDate+D6490,"")</f>
        <v/>
      </c>
      <c r="F6490">
        <f>IF(B6490,MAX(MOD(SIN(Seed*0.1373+C6490*12.9898+D6490*78.233)*43758.5453,1),1E-9),"")</f>
        <v/>
      </c>
      <c r="G6490">
        <f>IF(B6490,MOD(SIN(Seed*0.5917+C6490*39.3468+D6490*11.135)*24634.6345,1),"")</f>
        <v/>
      </c>
      <c r="H6490">
        <f>IF(B6490,SQRT(-2*LN(F6490))*COS(2*PI()*G6490),"")</f>
        <v/>
      </c>
      <c r="I6490">
        <f>IF(B6490,IF(D6490=0,H6490,Rho*I6489+SQRT(1-Rho^2)*H6490),"")</f>
        <v/>
      </c>
      <c r="J6490">
        <f>IF(B6490,IF(Dist="Normal",DistA+DistB*I6490,DistA+(DistB-DistA)*NORMSDIST(I6490)),"")</f>
        <v/>
      </c>
      <c r="K6490">
        <f>IF(B6490,INDEX(MineScale,C6490),"")</f>
        <v/>
      </c>
      <c r="L6490">
        <f>IF(B6490,INDEX(Dow,1,WEEKDAY(E6490,2)),"")</f>
        <v/>
      </c>
      <c r="M6490">
        <f>IF(B6490,(1+Trend)^D6490,"")</f>
        <v/>
      </c>
      <c r="N6490">
        <f>IF(B6490,EXP(SUMPRODUCT(LN(1+(EvEff-1)*INDEX(Affected,0,C6490)*EXP(-((E6490-EvCenter)^2)/(2*EvSigma^2))))),"")</f>
        <v/>
      </c>
      <c r="O6490">
        <f>IF(B6490,ROUND(MAX(0,J6490*K6490*L6490*M6490*N6490),2),"")</f>
        <v/>
      </c>
    </row>
    <row r="6491">
      <c r="A6491" t="n">
        <v>6490</v>
      </c>
      <c r="B6491">
        <f>A6491&lt;=MineCount*Days</f>
        <v/>
      </c>
      <c r="C6491">
        <f>IF(B6491,INT((A6491-1)/Days)+1,"")</f>
        <v/>
      </c>
      <c r="D6491">
        <f>IF(B6491,MOD(A6491-1,Days),"")</f>
        <v/>
      </c>
      <c r="E6491" s="16">
        <f>IF(B6491,StartDate+D6491,"")</f>
        <v/>
      </c>
      <c r="F6491">
        <f>IF(B6491,MAX(MOD(SIN(Seed*0.1373+C6491*12.9898+D6491*78.233)*43758.5453,1),1E-9),"")</f>
        <v/>
      </c>
      <c r="G6491">
        <f>IF(B6491,MOD(SIN(Seed*0.5917+C6491*39.3468+D6491*11.135)*24634.6345,1),"")</f>
        <v/>
      </c>
      <c r="H6491">
        <f>IF(B6491,SQRT(-2*LN(F6491))*COS(2*PI()*G6491),"")</f>
        <v/>
      </c>
      <c r="I6491">
        <f>IF(B6491,IF(D6491=0,H6491,Rho*I6490+SQRT(1-Rho^2)*H6491),"")</f>
        <v/>
      </c>
      <c r="J6491">
        <f>IF(B6491,IF(Dist="Normal",DistA+DistB*I6491,DistA+(DistB-DistA)*NORMSDIST(I6491)),"")</f>
        <v/>
      </c>
      <c r="K6491">
        <f>IF(B6491,INDEX(MineScale,C6491),"")</f>
        <v/>
      </c>
      <c r="L6491">
        <f>IF(B6491,INDEX(Dow,1,WEEKDAY(E6491,2)),"")</f>
        <v/>
      </c>
      <c r="M6491">
        <f>IF(B6491,(1+Trend)^D6491,"")</f>
        <v/>
      </c>
      <c r="N6491">
        <f>IF(B6491,EXP(SUMPRODUCT(LN(1+(EvEff-1)*INDEX(Affected,0,C6491)*EXP(-((E6491-EvCenter)^2)/(2*EvSigma^2))))),"")</f>
        <v/>
      </c>
      <c r="O6491">
        <f>IF(B6491,ROUND(MAX(0,J6491*K6491*L6491*M6491*N6491),2),"")</f>
        <v/>
      </c>
    </row>
    <row r="6492">
      <c r="A6492" t="n">
        <v>6491</v>
      </c>
      <c r="B6492">
        <f>A6492&lt;=MineCount*Days</f>
        <v/>
      </c>
      <c r="C6492">
        <f>IF(B6492,INT((A6492-1)/Days)+1,"")</f>
        <v/>
      </c>
      <c r="D6492">
        <f>IF(B6492,MOD(A6492-1,Days),"")</f>
        <v/>
      </c>
      <c r="E6492" s="16">
        <f>IF(B6492,StartDate+D6492,"")</f>
        <v/>
      </c>
      <c r="F6492">
        <f>IF(B6492,MAX(MOD(SIN(Seed*0.1373+C6492*12.9898+D6492*78.233)*43758.5453,1),1E-9),"")</f>
        <v/>
      </c>
      <c r="G6492">
        <f>IF(B6492,MOD(SIN(Seed*0.5917+C6492*39.3468+D6492*11.135)*24634.6345,1),"")</f>
        <v/>
      </c>
      <c r="H6492">
        <f>IF(B6492,SQRT(-2*LN(F6492))*COS(2*PI()*G6492),"")</f>
        <v/>
      </c>
      <c r="I6492">
        <f>IF(B6492,IF(D6492=0,H6492,Rho*I6491+SQRT(1-Rho^2)*H6492),"")</f>
        <v/>
      </c>
      <c r="J6492">
        <f>IF(B6492,IF(Dist="Normal",DistA+DistB*I6492,DistA+(DistB-DistA)*NORMSDIST(I6492)),"")</f>
        <v/>
      </c>
      <c r="K6492">
        <f>IF(B6492,INDEX(MineScale,C6492),"")</f>
        <v/>
      </c>
      <c r="L6492">
        <f>IF(B6492,INDEX(Dow,1,WEEKDAY(E6492,2)),"")</f>
        <v/>
      </c>
      <c r="M6492">
        <f>IF(B6492,(1+Trend)^D6492,"")</f>
        <v/>
      </c>
      <c r="N6492">
        <f>IF(B6492,EXP(SUMPRODUCT(LN(1+(EvEff-1)*INDEX(Affected,0,C6492)*EXP(-((E6492-EvCenter)^2)/(2*EvSigma^2))))),"")</f>
        <v/>
      </c>
      <c r="O6492">
        <f>IF(B6492,ROUND(MAX(0,J6492*K6492*L6492*M6492*N6492),2),"")</f>
        <v/>
      </c>
    </row>
    <row r="6493">
      <c r="A6493" t="n">
        <v>6492</v>
      </c>
      <c r="B6493">
        <f>A6493&lt;=MineCount*Days</f>
        <v/>
      </c>
      <c r="C6493">
        <f>IF(B6493,INT((A6493-1)/Days)+1,"")</f>
        <v/>
      </c>
      <c r="D6493">
        <f>IF(B6493,MOD(A6493-1,Days),"")</f>
        <v/>
      </c>
      <c r="E6493" s="16">
        <f>IF(B6493,StartDate+D6493,"")</f>
        <v/>
      </c>
      <c r="F6493">
        <f>IF(B6493,MAX(MOD(SIN(Seed*0.1373+C6493*12.9898+D6493*78.233)*43758.5453,1),1E-9),"")</f>
        <v/>
      </c>
      <c r="G6493">
        <f>IF(B6493,MOD(SIN(Seed*0.5917+C6493*39.3468+D6493*11.135)*24634.6345,1),"")</f>
        <v/>
      </c>
      <c r="H6493">
        <f>IF(B6493,SQRT(-2*LN(F6493))*COS(2*PI()*G6493),"")</f>
        <v/>
      </c>
      <c r="I6493">
        <f>IF(B6493,IF(D6493=0,H6493,Rho*I6492+SQRT(1-Rho^2)*H6493),"")</f>
        <v/>
      </c>
      <c r="J6493">
        <f>IF(B6493,IF(Dist="Normal",DistA+DistB*I6493,DistA+(DistB-DistA)*NORMSDIST(I6493)),"")</f>
        <v/>
      </c>
      <c r="K6493">
        <f>IF(B6493,INDEX(MineScale,C6493),"")</f>
        <v/>
      </c>
      <c r="L6493">
        <f>IF(B6493,INDEX(Dow,1,WEEKDAY(E6493,2)),"")</f>
        <v/>
      </c>
      <c r="M6493">
        <f>IF(B6493,(1+Trend)^D6493,"")</f>
        <v/>
      </c>
      <c r="N6493">
        <f>IF(B6493,EXP(SUMPRODUCT(LN(1+(EvEff-1)*INDEX(Affected,0,C6493)*EXP(-((E6493-EvCenter)^2)/(2*EvSigma^2))))),"")</f>
        <v/>
      </c>
      <c r="O6493">
        <f>IF(B6493,ROUND(MAX(0,J6493*K6493*L6493*M6493*N6493),2),"")</f>
        <v/>
      </c>
    </row>
    <row r="6494">
      <c r="A6494" t="n">
        <v>6493</v>
      </c>
      <c r="B6494">
        <f>A6494&lt;=MineCount*Days</f>
        <v/>
      </c>
      <c r="C6494">
        <f>IF(B6494,INT((A6494-1)/Days)+1,"")</f>
        <v/>
      </c>
      <c r="D6494">
        <f>IF(B6494,MOD(A6494-1,Days),"")</f>
        <v/>
      </c>
      <c r="E6494" s="16">
        <f>IF(B6494,StartDate+D6494,"")</f>
        <v/>
      </c>
      <c r="F6494">
        <f>IF(B6494,MAX(MOD(SIN(Seed*0.1373+C6494*12.9898+D6494*78.233)*43758.5453,1),1E-9),"")</f>
        <v/>
      </c>
      <c r="G6494">
        <f>IF(B6494,MOD(SIN(Seed*0.5917+C6494*39.3468+D6494*11.135)*24634.6345,1),"")</f>
        <v/>
      </c>
      <c r="H6494">
        <f>IF(B6494,SQRT(-2*LN(F6494))*COS(2*PI()*G6494),"")</f>
        <v/>
      </c>
      <c r="I6494">
        <f>IF(B6494,IF(D6494=0,H6494,Rho*I6493+SQRT(1-Rho^2)*H6494),"")</f>
        <v/>
      </c>
      <c r="J6494">
        <f>IF(B6494,IF(Dist="Normal",DistA+DistB*I6494,DistA+(DistB-DistA)*NORMSDIST(I6494)),"")</f>
        <v/>
      </c>
      <c r="K6494">
        <f>IF(B6494,INDEX(MineScale,C6494),"")</f>
        <v/>
      </c>
      <c r="L6494">
        <f>IF(B6494,INDEX(Dow,1,WEEKDAY(E6494,2)),"")</f>
        <v/>
      </c>
      <c r="M6494">
        <f>IF(B6494,(1+Trend)^D6494,"")</f>
        <v/>
      </c>
      <c r="N6494">
        <f>IF(B6494,EXP(SUMPRODUCT(LN(1+(EvEff-1)*INDEX(Affected,0,C6494)*EXP(-((E6494-EvCenter)^2)/(2*EvSigma^2))))),"")</f>
        <v/>
      </c>
      <c r="O6494">
        <f>IF(B6494,ROUND(MAX(0,J6494*K6494*L6494*M6494*N6494),2),"")</f>
        <v/>
      </c>
    </row>
    <row r="6495">
      <c r="A6495" t="n">
        <v>6494</v>
      </c>
      <c r="B6495">
        <f>A6495&lt;=MineCount*Days</f>
        <v/>
      </c>
      <c r="C6495">
        <f>IF(B6495,INT((A6495-1)/Days)+1,"")</f>
        <v/>
      </c>
      <c r="D6495">
        <f>IF(B6495,MOD(A6495-1,Days),"")</f>
        <v/>
      </c>
      <c r="E6495" s="16">
        <f>IF(B6495,StartDate+D6495,"")</f>
        <v/>
      </c>
      <c r="F6495">
        <f>IF(B6495,MAX(MOD(SIN(Seed*0.1373+C6495*12.9898+D6495*78.233)*43758.5453,1),1E-9),"")</f>
        <v/>
      </c>
      <c r="G6495">
        <f>IF(B6495,MOD(SIN(Seed*0.5917+C6495*39.3468+D6495*11.135)*24634.6345,1),"")</f>
        <v/>
      </c>
      <c r="H6495">
        <f>IF(B6495,SQRT(-2*LN(F6495))*COS(2*PI()*G6495),"")</f>
        <v/>
      </c>
      <c r="I6495">
        <f>IF(B6495,IF(D6495=0,H6495,Rho*I6494+SQRT(1-Rho^2)*H6495),"")</f>
        <v/>
      </c>
      <c r="J6495">
        <f>IF(B6495,IF(Dist="Normal",DistA+DistB*I6495,DistA+(DistB-DistA)*NORMSDIST(I6495)),"")</f>
        <v/>
      </c>
      <c r="K6495">
        <f>IF(B6495,INDEX(MineScale,C6495),"")</f>
        <v/>
      </c>
      <c r="L6495">
        <f>IF(B6495,INDEX(Dow,1,WEEKDAY(E6495,2)),"")</f>
        <v/>
      </c>
      <c r="M6495">
        <f>IF(B6495,(1+Trend)^D6495,"")</f>
        <v/>
      </c>
      <c r="N6495">
        <f>IF(B6495,EXP(SUMPRODUCT(LN(1+(EvEff-1)*INDEX(Affected,0,C6495)*EXP(-((E6495-EvCenter)^2)/(2*EvSigma^2))))),"")</f>
        <v/>
      </c>
      <c r="O6495">
        <f>IF(B6495,ROUND(MAX(0,J6495*K6495*L6495*M6495*N6495),2),"")</f>
        <v/>
      </c>
    </row>
    <row r="6496">
      <c r="A6496" t="n">
        <v>6495</v>
      </c>
      <c r="B6496">
        <f>A6496&lt;=MineCount*Days</f>
        <v/>
      </c>
      <c r="C6496">
        <f>IF(B6496,INT((A6496-1)/Days)+1,"")</f>
        <v/>
      </c>
      <c r="D6496">
        <f>IF(B6496,MOD(A6496-1,Days),"")</f>
        <v/>
      </c>
      <c r="E6496" s="16">
        <f>IF(B6496,StartDate+D6496,"")</f>
        <v/>
      </c>
      <c r="F6496">
        <f>IF(B6496,MAX(MOD(SIN(Seed*0.1373+C6496*12.9898+D6496*78.233)*43758.5453,1),1E-9),"")</f>
        <v/>
      </c>
      <c r="G6496">
        <f>IF(B6496,MOD(SIN(Seed*0.5917+C6496*39.3468+D6496*11.135)*24634.6345,1),"")</f>
        <v/>
      </c>
      <c r="H6496">
        <f>IF(B6496,SQRT(-2*LN(F6496))*COS(2*PI()*G6496),"")</f>
        <v/>
      </c>
      <c r="I6496">
        <f>IF(B6496,IF(D6496=0,H6496,Rho*I6495+SQRT(1-Rho^2)*H6496),"")</f>
        <v/>
      </c>
      <c r="J6496">
        <f>IF(B6496,IF(Dist="Normal",DistA+DistB*I6496,DistA+(DistB-DistA)*NORMSDIST(I6496)),"")</f>
        <v/>
      </c>
      <c r="K6496">
        <f>IF(B6496,INDEX(MineScale,C6496),"")</f>
        <v/>
      </c>
      <c r="L6496">
        <f>IF(B6496,INDEX(Dow,1,WEEKDAY(E6496,2)),"")</f>
        <v/>
      </c>
      <c r="M6496">
        <f>IF(B6496,(1+Trend)^D6496,"")</f>
        <v/>
      </c>
      <c r="N6496">
        <f>IF(B6496,EXP(SUMPRODUCT(LN(1+(EvEff-1)*INDEX(Affected,0,C6496)*EXP(-((E6496-EvCenter)^2)/(2*EvSigma^2))))),"")</f>
        <v/>
      </c>
      <c r="O6496">
        <f>IF(B6496,ROUND(MAX(0,J6496*K6496*L6496*M6496*N6496),2),"")</f>
        <v/>
      </c>
    </row>
    <row r="6497">
      <c r="A6497" t="n">
        <v>6496</v>
      </c>
      <c r="B6497">
        <f>A6497&lt;=MineCount*Days</f>
        <v/>
      </c>
      <c r="C6497">
        <f>IF(B6497,INT((A6497-1)/Days)+1,"")</f>
        <v/>
      </c>
      <c r="D6497">
        <f>IF(B6497,MOD(A6497-1,Days),"")</f>
        <v/>
      </c>
      <c r="E6497" s="16">
        <f>IF(B6497,StartDate+D6497,"")</f>
        <v/>
      </c>
      <c r="F6497">
        <f>IF(B6497,MAX(MOD(SIN(Seed*0.1373+C6497*12.9898+D6497*78.233)*43758.5453,1),1E-9),"")</f>
        <v/>
      </c>
      <c r="G6497">
        <f>IF(B6497,MOD(SIN(Seed*0.5917+C6497*39.3468+D6497*11.135)*24634.6345,1),"")</f>
        <v/>
      </c>
      <c r="H6497">
        <f>IF(B6497,SQRT(-2*LN(F6497))*COS(2*PI()*G6497),"")</f>
        <v/>
      </c>
      <c r="I6497">
        <f>IF(B6497,IF(D6497=0,H6497,Rho*I6496+SQRT(1-Rho^2)*H6497),"")</f>
        <v/>
      </c>
      <c r="J6497">
        <f>IF(B6497,IF(Dist="Normal",DistA+DistB*I6497,DistA+(DistB-DistA)*NORMSDIST(I6497)),"")</f>
        <v/>
      </c>
      <c r="K6497">
        <f>IF(B6497,INDEX(MineScale,C6497),"")</f>
        <v/>
      </c>
      <c r="L6497">
        <f>IF(B6497,INDEX(Dow,1,WEEKDAY(E6497,2)),"")</f>
        <v/>
      </c>
      <c r="M6497">
        <f>IF(B6497,(1+Trend)^D6497,"")</f>
        <v/>
      </c>
      <c r="N6497">
        <f>IF(B6497,EXP(SUMPRODUCT(LN(1+(EvEff-1)*INDEX(Affected,0,C6497)*EXP(-((E6497-EvCenter)^2)/(2*EvSigma^2))))),"")</f>
        <v/>
      </c>
      <c r="O6497">
        <f>IF(B6497,ROUND(MAX(0,J6497*K6497*L6497*M6497*N6497),2),"")</f>
        <v/>
      </c>
    </row>
    <row r="6498">
      <c r="A6498" t="n">
        <v>6497</v>
      </c>
      <c r="B6498">
        <f>A6498&lt;=MineCount*Days</f>
        <v/>
      </c>
      <c r="C6498">
        <f>IF(B6498,INT((A6498-1)/Days)+1,"")</f>
        <v/>
      </c>
      <c r="D6498">
        <f>IF(B6498,MOD(A6498-1,Days),"")</f>
        <v/>
      </c>
      <c r="E6498" s="16">
        <f>IF(B6498,StartDate+D6498,"")</f>
        <v/>
      </c>
      <c r="F6498">
        <f>IF(B6498,MAX(MOD(SIN(Seed*0.1373+C6498*12.9898+D6498*78.233)*43758.5453,1),1E-9),"")</f>
        <v/>
      </c>
      <c r="G6498">
        <f>IF(B6498,MOD(SIN(Seed*0.5917+C6498*39.3468+D6498*11.135)*24634.6345,1),"")</f>
        <v/>
      </c>
      <c r="H6498">
        <f>IF(B6498,SQRT(-2*LN(F6498))*COS(2*PI()*G6498),"")</f>
        <v/>
      </c>
      <c r="I6498">
        <f>IF(B6498,IF(D6498=0,H6498,Rho*I6497+SQRT(1-Rho^2)*H6498),"")</f>
        <v/>
      </c>
      <c r="J6498">
        <f>IF(B6498,IF(Dist="Normal",DistA+DistB*I6498,DistA+(DistB-DistA)*NORMSDIST(I6498)),"")</f>
        <v/>
      </c>
      <c r="K6498">
        <f>IF(B6498,INDEX(MineScale,C6498),"")</f>
        <v/>
      </c>
      <c r="L6498">
        <f>IF(B6498,INDEX(Dow,1,WEEKDAY(E6498,2)),"")</f>
        <v/>
      </c>
      <c r="M6498">
        <f>IF(B6498,(1+Trend)^D6498,"")</f>
        <v/>
      </c>
      <c r="N6498">
        <f>IF(B6498,EXP(SUMPRODUCT(LN(1+(EvEff-1)*INDEX(Affected,0,C6498)*EXP(-((E6498-EvCenter)^2)/(2*EvSigma^2))))),"")</f>
        <v/>
      </c>
      <c r="O6498">
        <f>IF(B6498,ROUND(MAX(0,J6498*K6498*L6498*M6498*N6498),2),"")</f>
        <v/>
      </c>
    </row>
    <row r="6499">
      <c r="A6499" t="n">
        <v>6498</v>
      </c>
      <c r="B6499">
        <f>A6499&lt;=MineCount*Days</f>
        <v/>
      </c>
      <c r="C6499">
        <f>IF(B6499,INT((A6499-1)/Days)+1,"")</f>
        <v/>
      </c>
      <c r="D6499">
        <f>IF(B6499,MOD(A6499-1,Days),"")</f>
        <v/>
      </c>
      <c r="E6499" s="16">
        <f>IF(B6499,StartDate+D6499,"")</f>
        <v/>
      </c>
      <c r="F6499">
        <f>IF(B6499,MAX(MOD(SIN(Seed*0.1373+C6499*12.9898+D6499*78.233)*43758.5453,1),1E-9),"")</f>
        <v/>
      </c>
      <c r="G6499">
        <f>IF(B6499,MOD(SIN(Seed*0.5917+C6499*39.3468+D6499*11.135)*24634.6345,1),"")</f>
        <v/>
      </c>
      <c r="H6499">
        <f>IF(B6499,SQRT(-2*LN(F6499))*COS(2*PI()*G6499),"")</f>
        <v/>
      </c>
      <c r="I6499">
        <f>IF(B6499,IF(D6499=0,H6499,Rho*I6498+SQRT(1-Rho^2)*H6499),"")</f>
        <v/>
      </c>
      <c r="J6499">
        <f>IF(B6499,IF(Dist="Normal",DistA+DistB*I6499,DistA+(DistB-DistA)*NORMSDIST(I6499)),"")</f>
        <v/>
      </c>
      <c r="K6499">
        <f>IF(B6499,INDEX(MineScale,C6499),"")</f>
        <v/>
      </c>
      <c r="L6499">
        <f>IF(B6499,INDEX(Dow,1,WEEKDAY(E6499,2)),"")</f>
        <v/>
      </c>
      <c r="M6499">
        <f>IF(B6499,(1+Trend)^D6499,"")</f>
        <v/>
      </c>
      <c r="N6499">
        <f>IF(B6499,EXP(SUMPRODUCT(LN(1+(EvEff-1)*INDEX(Affected,0,C6499)*EXP(-((E6499-EvCenter)^2)/(2*EvSigma^2))))),"")</f>
        <v/>
      </c>
      <c r="O6499">
        <f>IF(B6499,ROUND(MAX(0,J6499*K6499*L6499*M6499*N6499),2),"")</f>
        <v/>
      </c>
    </row>
    <row r="6500">
      <c r="A6500" t="n">
        <v>6499</v>
      </c>
      <c r="B6500">
        <f>A6500&lt;=MineCount*Days</f>
        <v/>
      </c>
      <c r="C6500">
        <f>IF(B6500,INT((A6500-1)/Days)+1,"")</f>
        <v/>
      </c>
      <c r="D6500">
        <f>IF(B6500,MOD(A6500-1,Days),"")</f>
        <v/>
      </c>
      <c r="E6500" s="16">
        <f>IF(B6500,StartDate+D6500,"")</f>
        <v/>
      </c>
      <c r="F6500">
        <f>IF(B6500,MAX(MOD(SIN(Seed*0.1373+C6500*12.9898+D6500*78.233)*43758.5453,1),1E-9),"")</f>
        <v/>
      </c>
      <c r="G6500">
        <f>IF(B6500,MOD(SIN(Seed*0.5917+C6500*39.3468+D6500*11.135)*24634.6345,1),"")</f>
        <v/>
      </c>
      <c r="H6500">
        <f>IF(B6500,SQRT(-2*LN(F6500))*COS(2*PI()*G6500),"")</f>
        <v/>
      </c>
      <c r="I6500">
        <f>IF(B6500,IF(D6500=0,H6500,Rho*I6499+SQRT(1-Rho^2)*H6500),"")</f>
        <v/>
      </c>
      <c r="J6500">
        <f>IF(B6500,IF(Dist="Normal",DistA+DistB*I6500,DistA+(DistB-DistA)*NORMSDIST(I6500)),"")</f>
        <v/>
      </c>
      <c r="K6500">
        <f>IF(B6500,INDEX(MineScale,C6500),"")</f>
        <v/>
      </c>
      <c r="L6500">
        <f>IF(B6500,INDEX(Dow,1,WEEKDAY(E6500,2)),"")</f>
        <v/>
      </c>
      <c r="M6500">
        <f>IF(B6500,(1+Trend)^D6500,"")</f>
        <v/>
      </c>
      <c r="N6500">
        <f>IF(B6500,EXP(SUMPRODUCT(LN(1+(EvEff-1)*INDEX(Affected,0,C6500)*EXP(-((E6500-EvCenter)^2)/(2*EvSigma^2))))),"")</f>
        <v/>
      </c>
      <c r="O6500">
        <f>IF(B6500,ROUND(MAX(0,J6500*K6500*L6500*M6500*N6500),2),"")</f>
        <v/>
      </c>
    </row>
    <row r="6501">
      <c r="A6501" t="n">
        <v>6500</v>
      </c>
      <c r="B6501">
        <f>A6501&lt;=MineCount*Days</f>
        <v/>
      </c>
      <c r="C6501">
        <f>IF(B6501,INT((A6501-1)/Days)+1,"")</f>
        <v/>
      </c>
      <c r="D6501">
        <f>IF(B6501,MOD(A6501-1,Days),"")</f>
        <v/>
      </c>
      <c r="E6501" s="16">
        <f>IF(B6501,StartDate+D6501,"")</f>
        <v/>
      </c>
      <c r="F6501">
        <f>IF(B6501,MAX(MOD(SIN(Seed*0.1373+C6501*12.9898+D6501*78.233)*43758.5453,1),1E-9),"")</f>
        <v/>
      </c>
      <c r="G6501">
        <f>IF(B6501,MOD(SIN(Seed*0.5917+C6501*39.3468+D6501*11.135)*24634.6345,1),"")</f>
        <v/>
      </c>
      <c r="H6501">
        <f>IF(B6501,SQRT(-2*LN(F6501))*COS(2*PI()*G6501),"")</f>
        <v/>
      </c>
      <c r="I6501">
        <f>IF(B6501,IF(D6501=0,H6501,Rho*I6500+SQRT(1-Rho^2)*H6501),"")</f>
        <v/>
      </c>
      <c r="J6501">
        <f>IF(B6501,IF(Dist="Normal",DistA+DistB*I6501,DistA+(DistB-DistA)*NORMSDIST(I6501)),"")</f>
        <v/>
      </c>
      <c r="K6501">
        <f>IF(B6501,INDEX(MineScale,C6501),"")</f>
        <v/>
      </c>
      <c r="L6501">
        <f>IF(B6501,INDEX(Dow,1,WEEKDAY(E6501,2)),"")</f>
        <v/>
      </c>
      <c r="M6501">
        <f>IF(B6501,(1+Trend)^D6501,"")</f>
        <v/>
      </c>
      <c r="N6501">
        <f>IF(B6501,EXP(SUMPRODUCT(LN(1+(EvEff-1)*INDEX(Affected,0,C6501)*EXP(-((E6501-EvCenter)^2)/(2*EvSigma^2))))),"")</f>
        <v/>
      </c>
      <c r="O6501">
        <f>IF(B6501,ROUND(MAX(0,J6501*K6501*L6501*M6501*N6501),2),"")</f>
        <v/>
      </c>
    </row>
    <row r="6502">
      <c r="A6502" t="n">
        <v>6501</v>
      </c>
      <c r="B6502">
        <f>A6502&lt;=MineCount*Days</f>
        <v/>
      </c>
      <c r="C6502">
        <f>IF(B6502,INT((A6502-1)/Days)+1,"")</f>
        <v/>
      </c>
      <c r="D6502">
        <f>IF(B6502,MOD(A6502-1,Days),"")</f>
        <v/>
      </c>
      <c r="E6502" s="16">
        <f>IF(B6502,StartDate+D6502,"")</f>
        <v/>
      </c>
      <c r="F6502">
        <f>IF(B6502,MAX(MOD(SIN(Seed*0.1373+C6502*12.9898+D6502*78.233)*43758.5453,1),1E-9),"")</f>
        <v/>
      </c>
      <c r="G6502">
        <f>IF(B6502,MOD(SIN(Seed*0.5917+C6502*39.3468+D6502*11.135)*24634.6345,1),"")</f>
        <v/>
      </c>
      <c r="H6502">
        <f>IF(B6502,SQRT(-2*LN(F6502))*COS(2*PI()*G6502),"")</f>
        <v/>
      </c>
      <c r="I6502">
        <f>IF(B6502,IF(D6502=0,H6502,Rho*I6501+SQRT(1-Rho^2)*H6502),"")</f>
        <v/>
      </c>
      <c r="J6502">
        <f>IF(B6502,IF(Dist="Normal",DistA+DistB*I6502,DistA+(DistB-DistA)*NORMSDIST(I6502)),"")</f>
        <v/>
      </c>
      <c r="K6502">
        <f>IF(B6502,INDEX(MineScale,C6502),"")</f>
        <v/>
      </c>
      <c r="L6502">
        <f>IF(B6502,INDEX(Dow,1,WEEKDAY(E6502,2)),"")</f>
        <v/>
      </c>
      <c r="M6502">
        <f>IF(B6502,(1+Trend)^D6502,"")</f>
        <v/>
      </c>
      <c r="N6502">
        <f>IF(B6502,EXP(SUMPRODUCT(LN(1+(EvEff-1)*INDEX(Affected,0,C6502)*EXP(-((E6502-EvCenter)^2)/(2*EvSigma^2))))),"")</f>
        <v/>
      </c>
      <c r="O6502">
        <f>IF(B6502,ROUND(MAX(0,J6502*K6502*L6502*M6502*N6502),2),"")</f>
        <v/>
      </c>
    </row>
    <row r="6503">
      <c r="A6503" t="n">
        <v>6502</v>
      </c>
      <c r="B6503">
        <f>A6503&lt;=MineCount*Days</f>
        <v/>
      </c>
      <c r="C6503">
        <f>IF(B6503,INT((A6503-1)/Days)+1,"")</f>
        <v/>
      </c>
      <c r="D6503">
        <f>IF(B6503,MOD(A6503-1,Days),"")</f>
        <v/>
      </c>
      <c r="E6503" s="16">
        <f>IF(B6503,StartDate+D6503,"")</f>
        <v/>
      </c>
      <c r="F6503">
        <f>IF(B6503,MAX(MOD(SIN(Seed*0.1373+C6503*12.9898+D6503*78.233)*43758.5453,1),1E-9),"")</f>
        <v/>
      </c>
      <c r="G6503">
        <f>IF(B6503,MOD(SIN(Seed*0.5917+C6503*39.3468+D6503*11.135)*24634.6345,1),"")</f>
        <v/>
      </c>
      <c r="H6503">
        <f>IF(B6503,SQRT(-2*LN(F6503))*COS(2*PI()*G6503),"")</f>
        <v/>
      </c>
      <c r="I6503">
        <f>IF(B6503,IF(D6503=0,H6503,Rho*I6502+SQRT(1-Rho^2)*H6503),"")</f>
        <v/>
      </c>
      <c r="J6503">
        <f>IF(B6503,IF(Dist="Normal",DistA+DistB*I6503,DistA+(DistB-DistA)*NORMSDIST(I6503)),"")</f>
        <v/>
      </c>
      <c r="K6503">
        <f>IF(B6503,INDEX(MineScale,C6503),"")</f>
        <v/>
      </c>
      <c r="L6503">
        <f>IF(B6503,INDEX(Dow,1,WEEKDAY(E6503,2)),"")</f>
        <v/>
      </c>
      <c r="M6503">
        <f>IF(B6503,(1+Trend)^D6503,"")</f>
        <v/>
      </c>
      <c r="N6503">
        <f>IF(B6503,EXP(SUMPRODUCT(LN(1+(EvEff-1)*INDEX(Affected,0,C6503)*EXP(-((E6503-EvCenter)^2)/(2*EvSigma^2))))),"")</f>
        <v/>
      </c>
      <c r="O6503">
        <f>IF(B6503,ROUND(MAX(0,J6503*K6503*L6503*M6503*N6503),2),"")</f>
        <v/>
      </c>
    </row>
    <row r="6504">
      <c r="A6504" t="n">
        <v>6503</v>
      </c>
      <c r="B6504">
        <f>A6504&lt;=MineCount*Days</f>
        <v/>
      </c>
      <c r="C6504">
        <f>IF(B6504,INT((A6504-1)/Days)+1,"")</f>
        <v/>
      </c>
      <c r="D6504">
        <f>IF(B6504,MOD(A6504-1,Days),"")</f>
        <v/>
      </c>
      <c r="E6504" s="16">
        <f>IF(B6504,StartDate+D6504,"")</f>
        <v/>
      </c>
      <c r="F6504">
        <f>IF(B6504,MAX(MOD(SIN(Seed*0.1373+C6504*12.9898+D6504*78.233)*43758.5453,1),1E-9),"")</f>
        <v/>
      </c>
      <c r="G6504">
        <f>IF(B6504,MOD(SIN(Seed*0.5917+C6504*39.3468+D6504*11.135)*24634.6345,1),"")</f>
        <v/>
      </c>
      <c r="H6504">
        <f>IF(B6504,SQRT(-2*LN(F6504))*COS(2*PI()*G6504),"")</f>
        <v/>
      </c>
      <c r="I6504">
        <f>IF(B6504,IF(D6504=0,H6504,Rho*I6503+SQRT(1-Rho^2)*H6504),"")</f>
        <v/>
      </c>
      <c r="J6504">
        <f>IF(B6504,IF(Dist="Normal",DistA+DistB*I6504,DistA+(DistB-DistA)*NORMSDIST(I6504)),"")</f>
        <v/>
      </c>
      <c r="K6504">
        <f>IF(B6504,INDEX(MineScale,C6504),"")</f>
        <v/>
      </c>
      <c r="L6504">
        <f>IF(B6504,INDEX(Dow,1,WEEKDAY(E6504,2)),"")</f>
        <v/>
      </c>
      <c r="M6504">
        <f>IF(B6504,(1+Trend)^D6504,"")</f>
        <v/>
      </c>
      <c r="N6504">
        <f>IF(B6504,EXP(SUMPRODUCT(LN(1+(EvEff-1)*INDEX(Affected,0,C6504)*EXP(-((E6504-EvCenter)^2)/(2*EvSigma^2))))),"")</f>
        <v/>
      </c>
      <c r="O6504">
        <f>IF(B6504,ROUND(MAX(0,J6504*K6504*L6504*M6504*N6504),2),"")</f>
        <v/>
      </c>
    </row>
    <row r="6505">
      <c r="A6505" t="n">
        <v>6504</v>
      </c>
      <c r="B6505">
        <f>A6505&lt;=MineCount*Days</f>
        <v/>
      </c>
      <c r="C6505">
        <f>IF(B6505,INT((A6505-1)/Days)+1,"")</f>
        <v/>
      </c>
      <c r="D6505">
        <f>IF(B6505,MOD(A6505-1,Days),"")</f>
        <v/>
      </c>
      <c r="E6505" s="16">
        <f>IF(B6505,StartDate+D6505,"")</f>
        <v/>
      </c>
      <c r="F6505">
        <f>IF(B6505,MAX(MOD(SIN(Seed*0.1373+C6505*12.9898+D6505*78.233)*43758.5453,1),1E-9),"")</f>
        <v/>
      </c>
      <c r="G6505">
        <f>IF(B6505,MOD(SIN(Seed*0.5917+C6505*39.3468+D6505*11.135)*24634.6345,1),"")</f>
        <v/>
      </c>
      <c r="H6505">
        <f>IF(B6505,SQRT(-2*LN(F6505))*COS(2*PI()*G6505),"")</f>
        <v/>
      </c>
      <c r="I6505">
        <f>IF(B6505,IF(D6505=0,H6505,Rho*I6504+SQRT(1-Rho^2)*H6505),"")</f>
        <v/>
      </c>
      <c r="J6505">
        <f>IF(B6505,IF(Dist="Normal",DistA+DistB*I6505,DistA+(DistB-DistA)*NORMSDIST(I6505)),"")</f>
        <v/>
      </c>
      <c r="K6505">
        <f>IF(B6505,INDEX(MineScale,C6505),"")</f>
        <v/>
      </c>
      <c r="L6505">
        <f>IF(B6505,INDEX(Dow,1,WEEKDAY(E6505,2)),"")</f>
        <v/>
      </c>
      <c r="M6505">
        <f>IF(B6505,(1+Trend)^D6505,"")</f>
        <v/>
      </c>
      <c r="N6505">
        <f>IF(B6505,EXP(SUMPRODUCT(LN(1+(EvEff-1)*INDEX(Affected,0,C6505)*EXP(-((E6505-EvCenter)^2)/(2*EvSigma^2))))),"")</f>
        <v/>
      </c>
      <c r="O6505">
        <f>IF(B6505,ROUND(MAX(0,J6505*K6505*L6505*M6505*N6505),2),"")</f>
        <v/>
      </c>
    </row>
    <row r="6506">
      <c r="A6506" t="n">
        <v>6505</v>
      </c>
      <c r="B6506">
        <f>A6506&lt;=MineCount*Days</f>
        <v/>
      </c>
      <c r="C6506">
        <f>IF(B6506,INT((A6506-1)/Days)+1,"")</f>
        <v/>
      </c>
      <c r="D6506">
        <f>IF(B6506,MOD(A6506-1,Days),"")</f>
        <v/>
      </c>
      <c r="E6506" s="16">
        <f>IF(B6506,StartDate+D6506,"")</f>
        <v/>
      </c>
      <c r="F6506">
        <f>IF(B6506,MAX(MOD(SIN(Seed*0.1373+C6506*12.9898+D6506*78.233)*43758.5453,1),1E-9),"")</f>
        <v/>
      </c>
      <c r="G6506">
        <f>IF(B6506,MOD(SIN(Seed*0.5917+C6506*39.3468+D6506*11.135)*24634.6345,1),"")</f>
        <v/>
      </c>
      <c r="H6506">
        <f>IF(B6506,SQRT(-2*LN(F6506))*COS(2*PI()*G6506),"")</f>
        <v/>
      </c>
      <c r="I6506">
        <f>IF(B6506,IF(D6506=0,H6506,Rho*I6505+SQRT(1-Rho^2)*H6506),"")</f>
        <v/>
      </c>
      <c r="J6506">
        <f>IF(B6506,IF(Dist="Normal",DistA+DistB*I6506,DistA+(DistB-DistA)*NORMSDIST(I6506)),"")</f>
        <v/>
      </c>
      <c r="K6506">
        <f>IF(B6506,INDEX(MineScale,C6506),"")</f>
        <v/>
      </c>
      <c r="L6506">
        <f>IF(B6506,INDEX(Dow,1,WEEKDAY(E6506,2)),"")</f>
        <v/>
      </c>
      <c r="M6506">
        <f>IF(B6506,(1+Trend)^D6506,"")</f>
        <v/>
      </c>
      <c r="N6506">
        <f>IF(B6506,EXP(SUMPRODUCT(LN(1+(EvEff-1)*INDEX(Affected,0,C6506)*EXP(-((E6506-EvCenter)^2)/(2*EvSigma^2))))),"")</f>
        <v/>
      </c>
      <c r="O6506">
        <f>IF(B6506,ROUND(MAX(0,J6506*K6506*L6506*M6506*N6506),2),"")</f>
        <v/>
      </c>
    </row>
    <row r="6507">
      <c r="A6507" t="n">
        <v>6506</v>
      </c>
      <c r="B6507">
        <f>A6507&lt;=MineCount*Days</f>
        <v/>
      </c>
      <c r="C6507">
        <f>IF(B6507,INT((A6507-1)/Days)+1,"")</f>
        <v/>
      </c>
      <c r="D6507">
        <f>IF(B6507,MOD(A6507-1,Days),"")</f>
        <v/>
      </c>
      <c r="E6507" s="16">
        <f>IF(B6507,StartDate+D6507,"")</f>
        <v/>
      </c>
      <c r="F6507">
        <f>IF(B6507,MAX(MOD(SIN(Seed*0.1373+C6507*12.9898+D6507*78.233)*43758.5453,1),1E-9),"")</f>
        <v/>
      </c>
      <c r="G6507">
        <f>IF(B6507,MOD(SIN(Seed*0.5917+C6507*39.3468+D6507*11.135)*24634.6345,1),"")</f>
        <v/>
      </c>
      <c r="H6507">
        <f>IF(B6507,SQRT(-2*LN(F6507))*COS(2*PI()*G6507),"")</f>
        <v/>
      </c>
      <c r="I6507">
        <f>IF(B6507,IF(D6507=0,H6507,Rho*I6506+SQRT(1-Rho^2)*H6507),"")</f>
        <v/>
      </c>
      <c r="J6507">
        <f>IF(B6507,IF(Dist="Normal",DistA+DistB*I6507,DistA+(DistB-DistA)*NORMSDIST(I6507)),"")</f>
        <v/>
      </c>
      <c r="K6507">
        <f>IF(B6507,INDEX(MineScale,C6507),"")</f>
        <v/>
      </c>
      <c r="L6507">
        <f>IF(B6507,INDEX(Dow,1,WEEKDAY(E6507,2)),"")</f>
        <v/>
      </c>
      <c r="M6507">
        <f>IF(B6507,(1+Trend)^D6507,"")</f>
        <v/>
      </c>
      <c r="N6507">
        <f>IF(B6507,EXP(SUMPRODUCT(LN(1+(EvEff-1)*INDEX(Affected,0,C6507)*EXP(-((E6507-EvCenter)^2)/(2*EvSigma^2))))),"")</f>
        <v/>
      </c>
      <c r="O6507">
        <f>IF(B6507,ROUND(MAX(0,J6507*K6507*L6507*M6507*N6507),2),"")</f>
        <v/>
      </c>
    </row>
    <row r="6508">
      <c r="A6508" t="n">
        <v>6507</v>
      </c>
      <c r="B6508">
        <f>A6508&lt;=MineCount*Days</f>
        <v/>
      </c>
      <c r="C6508">
        <f>IF(B6508,INT((A6508-1)/Days)+1,"")</f>
        <v/>
      </c>
      <c r="D6508">
        <f>IF(B6508,MOD(A6508-1,Days),"")</f>
        <v/>
      </c>
      <c r="E6508" s="16">
        <f>IF(B6508,StartDate+D6508,"")</f>
        <v/>
      </c>
      <c r="F6508">
        <f>IF(B6508,MAX(MOD(SIN(Seed*0.1373+C6508*12.9898+D6508*78.233)*43758.5453,1),1E-9),"")</f>
        <v/>
      </c>
      <c r="G6508">
        <f>IF(B6508,MOD(SIN(Seed*0.5917+C6508*39.3468+D6508*11.135)*24634.6345,1),"")</f>
        <v/>
      </c>
      <c r="H6508">
        <f>IF(B6508,SQRT(-2*LN(F6508))*COS(2*PI()*G6508),"")</f>
        <v/>
      </c>
      <c r="I6508">
        <f>IF(B6508,IF(D6508=0,H6508,Rho*I6507+SQRT(1-Rho^2)*H6508),"")</f>
        <v/>
      </c>
      <c r="J6508">
        <f>IF(B6508,IF(Dist="Normal",DistA+DistB*I6508,DistA+(DistB-DistA)*NORMSDIST(I6508)),"")</f>
        <v/>
      </c>
      <c r="K6508">
        <f>IF(B6508,INDEX(MineScale,C6508),"")</f>
        <v/>
      </c>
      <c r="L6508">
        <f>IF(B6508,INDEX(Dow,1,WEEKDAY(E6508,2)),"")</f>
        <v/>
      </c>
      <c r="M6508">
        <f>IF(B6508,(1+Trend)^D6508,"")</f>
        <v/>
      </c>
      <c r="N6508">
        <f>IF(B6508,EXP(SUMPRODUCT(LN(1+(EvEff-1)*INDEX(Affected,0,C6508)*EXP(-((E6508-EvCenter)^2)/(2*EvSigma^2))))),"")</f>
        <v/>
      </c>
      <c r="O6508">
        <f>IF(B6508,ROUND(MAX(0,J6508*K6508*L6508*M6508*N6508),2),"")</f>
        <v/>
      </c>
    </row>
    <row r="6509">
      <c r="A6509" t="n">
        <v>6508</v>
      </c>
      <c r="B6509">
        <f>A6509&lt;=MineCount*Days</f>
        <v/>
      </c>
      <c r="C6509">
        <f>IF(B6509,INT((A6509-1)/Days)+1,"")</f>
        <v/>
      </c>
      <c r="D6509">
        <f>IF(B6509,MOD(A6509-1,Days),"")</f>
        <v/>
      </c>
      <c r="E6509" s="16">
        <f>IF(B6509,StartDate+D6509,"")</f>
        <v/>
      </c>
      <c r="F6509">
        <f>IF(B6509,MAX(MOD(SIN(Seed*0.1373+C6509*12.9898+D6509*78.233)*43758.5453,1),1E-9),"")</f>
        <v/>
      </c>
      <c r="G6509">
        <f>IF(B6509,MOD(SIN(Seed*0.5917+C6509*39.3468+D6509*11.135)*24634.6345,1),"")</f>
        <v/>
      </c>
      <c r="H6509">
        <f>IF(B6509,SQRT(-2*LN(F6509))*COS(2*PI()*G6509),"")</f>
        <v/>
      </c>
      <c r="I6509">
        <f>IF(B6509,IF(D6509=0,H6509,Rho*I6508+SQRT(1-Rho^2)*H6509),"")</f>
        <v/>
      </c>
      <c r="J6509">
        <f>IF(B6509,IF(Dist="Normal",DistA+DistB*I6509,DistA+(DistB-DistA)*NORMSDIST(I6509)),"")</f>
        <v/>
      </c>
      <c r="K6509">
        <f>IF(B6509,INDEX(MineScale,C6509),"")</f>
        <v/>
      </c>
      <c r="L6509">
        <f>IF(B6509,INDEX(Dow,1,WEEKDAY(E6509,2)),"")</f>
        <v/>
      </c>
      <c r="M6509">
        <f>IF(B6509,(1+Trend)^D6509,"")</f>
        <v/>
      </c>
      <c r="N6509">
        <f>IF(B6509,EXP(SUMPRODUCT(LN(1+(EvEff-1)*INDEX(Affected,0,C6509)*EXP(-((E6509-EvCenter)^2)/(2*EvSigma^2))))),"")</f>
        <v/>
      </c>
      <c r="O6509">
        <f>IF(B6509,ROUND(MAX(0,J6509*K6509*L6509*M6509*N6509),2),"")</f>
        <v/>
      </c>
    </row>
    <row r="6510">
      <c r="A6510" t="n">
        <v>6509</v>
      </c>
      <c r="B6510">
        <f>A6510&lt;=MineCount*Days</f>
        <v/>
      </c>
      <c r="C6510">
        <f>IF(B6510,INT((A6510-1)/Days)+1,"")</f>
        <v/>
      </c>
      <c r="D6510">
        <f>IF(B6510,MOD(A6510-1,Days),"")</f>
        <v/>
      </c>
      <c r="E6510" s="16">
        <f>IF(B6510,StartDate+D6510,"")</f>
        <v/>
      </c>
      <c r="F6510">
        <f>IF(B6510,MAX(MOD(SIN(Seed*0.1373+C6510*12.9898+D6510*78.233)*43758.5453,1),1E-9),"")</f>
        <v/>
      </c>
      <c r="G6510">
        <f>IF(B6510,MOD(SIN(Seed*0.5917+C6510*39.3468+D6510*11.135)*24634.6345,1),"")</f>
        <v/>
      </c>
      <c r="H6510">
        <f>IF(B6510,SQRT(-2*LN(F6510))*COS(2*PI()*G6510),"")</f>
        <v/>
      </c>
      <c r="I6510">
        <f>IF(B6510,IF(D6510=0,H6510,Rho*I6509+SQRT(1-Rho^2)*H6510),"")</f>
        <v/>
      </c>
      <c r="J6510">
        <f>IF(B6510,IF(Dist="Normal",DistA+DistB*I6510,DistA+(DistB-DistA)*NORMSDIST(I6510)),"")</f>
        <v/>
      </c>
      <c r="K6510">
        <f>IF(B6510,INDEX(MineScale,C6510),"")</f>
        <v/>
      </c>
      <c r="L6510">
        <f>IF(B6510,INDEX(Dow,1,WEEKDAY(E6510,2)),"")</f>
        <v/>
      </c>
      <c r="M6510">
        <f>IF(B6510,(1+Trend)^D6510,"")</f>
        <v/>
      </c>
      <c r="N6510">
        <f>IF(B6510,EXP(SUMPRODUCT(LN(1+(EvEff-1)*INDEX(Affected,0,C6510)*EXP(-((E6510-EvCenter)^2)/(2*EvSigma^2))))),"")</f>
        <v/>
      </c>
      <c r="O6510">
        <f>IF(B6510,ROUND(MAX(0,J6510*K6510*L6510*M6510*N6510),2),"")</f>
        <v/>
      </c>
    </row>
    <row r="6511">
      <c r="A6511" t="n">
        <v>6510</v>
      </c>
      <c r="B6511">
        <f>A6511&lt;=MineCount*Days</f>
        <v/>
      </c>
      <c r="C6511">
        <f>IF(B6511,INT((A6511-1)/Days)+1,"")</f>
        <v/>
      </c>
      <c r="D6511">
        <f>IF(B6511,MOD(A6511-1,Days),"")</f>
        <v/>
      </c>
      <c r="E6511" s="16">
        <f>IF(B6511,StartDate+D6511,"")</f>
        <v/>
      </c>
      <c r="F6511">
        <f>IF(B6511,MAX(MOD(SIN(Seed*0.1373+C6511*12.9898+D6511*78.233)*43758.5453,1),1E-9),"")</f>
        <v/>
      </c>
      <c r="G6511">
        <f>IF(B6511,MOD(SIN(Seed*0.5917+C6511*39.3468+D6511*11.135)*24634.6345,1),"")</f>
        <v/>
      </c>
      <c r="H6511">
        <f>IF(B6511,SQRT(-2*LN(F6511))*COS(2*PI()*G6511),"")</f>
        <v/>
      </c>
      <c r="I6511">
        <f>IF(B6511,IF(D6511=0,H6511,Rho*I6510+SQRT(1-Rho^2)*H6511),"")</f>
        <v/>
      </c>
      <c r="J6511">
        <f>IF(B6511,IF(Dist="Normal",DistA+DistB*I6511,DistA+(DistB-DistA)*NORMSDIST(I6511)),"")</f>
        <v/>
      </c>
      <c r="K6511">
        <f>IF(B6511,INDEX(MineScale,C6511),"")</f>
        <v/>
      </c>
      <c r="L6511">
        <f>IF(B6511,INDEX(Dow,1,WEEKDAY(E6511,2)),"")</f>
        <v/>
      </c>
      <c r="M6511">
        <f>IF(B6511,(1+Trend)^D6511,"")</f>
        <v/>
      </c>
      <c r="N6511">
        <f>IF(B6511,EXP(SUMPRODUCT(LN(1+(EvEff-1)*INDEX(Affected,0,C6511)*EXP(-((E6511-EvCenter)^2)/(2*EvSigma^2))))),"")</f>
        <v/>
      </c>
      <c r="O6511">
        <f>IF(B6511,ROUND(MAX(0,J6511*K6511*L6511*M6511*N6511),2),"")</f>
        <v/>
      </c>
    </row>
    <row r="6512">
      <c r="A6512" t="n">
        <v>6511</v>
      </c>
      <c r="B6512">
        <f>A6512&lt;=MineCount*Days</f>
        <v/>
      </c>
      <c r="C6512">
        <f>IF(B6512,INT((A6512-1)/Days)+1,"")</f>
        <v/>
      </c>
      <c r="D6512">
        <f>IF(B6512,MOD(A6512-1,Days),"")</f>
        <v/>
      </c>
      <c r="E6512" s="16">
        <f>IF(B6512,StartDate+D6512,"")</f>
        <v/>
      </c>
      <c r="F6512">
        <f>IF(B6512,MAX(MOD(SIN(Seed*0.1373+C6512*12.9898+D6512*78.233)*43758.5453,1),1E-9),"")</f>
        <v/>
      </c>
      <c r="G6512">
        <f>IF(B6512,MOD(SIN(Seed*0.5917+C6512*39.3468+D6512*11.135)*24634.6345,1),"")</f>
        <v/>
      </c>
      <c r="H6512">
        <f>IF(B6512,SQRT(-2*LN(F6512))*COS(2*PI()*G6512),"")</f>
        <v/>
      </c>
      <c r="I6512">
        <f>IF(B6512,IF(D6512=0,H6512,Rho*I6511+SQRT(1-Rho^2)*H6512),"")</f>
        <v/>
      </c>
      <c r="J6512">
        <f>IF(B6512,IF(Dist="Normal",DistA+DistB*I6512,DistA+(DistB-DistA)*NORMSDIST(I6512)),"")</f>
        <v/>
      </c>
      <c r="K6512">
        <f>IF(B6512,INDEX(MineScale,C6512),"")</f>
        <v/>
      </c>
      <c r="L6512">
        <f>IF(B6512,INDEX(Dow,1,WEEKDAY(E6512,2)),"")</f>
        <v/>
      </c>
      <c r="M6512">
        <f>IF(B6512,(1+Trend)^D6512,"")</f>
        <v/>
      </c>
      <c r="N6512">
        <f>IF(B6512,EXP(SUMPRODUCT(LN(1+(EvEff-1)*INDEX(Affected,0,C6512)*EXP(-((E6512-EvCenter)^2)/(2*EvSigma^2))))),"")</f>
        <v/>
      </c>
      <c r="O6512">
        <f>IF(B6512,ROUND(MAX(0,J6512*K6512*L6512*M6512*N6512),2),"")</f>
        <v/>
      </c>
    </row>
    <row r="6513">
      <c r="A6513" t="n">
        <v>6512</v>
      </c>
      <c r="B6513">
        <f>A6513&lt;=MineCount*Days</f>
        <v/>
      </c>
      <c r="C6513">
        <f>IF(B6513,INT((A6513-1)/Days)+1,"")</f>
        <v/>
      </c>
      <c r="D6513">
        <f>IF(B6513,MOD(A6513-1,Days),"")</f>
        <v/>
      </c>
      <c r="E6513" s="16">
        <f>IF(B6513,StartDate+D6513,"")</f>
        <v/>
      </c>
      <c r="F6513">
        <f>IF(B6513,MAX(MOD(SIN(Seed*0.1373+C6513*12.9898+D6513*78.233)*43758.5453,1),1E-9),"")</f>
        <v/>
      </c>
      <c r="G6513">
        <f>IF(B6513,MOD(SIN(Seed*0.5917+C6513*39.3468+D6513*11.135)*24634.6345,1),"")</f>
        <v/>
      </c>
      <c r="H6513">
        <f>IF(B6513,SQRT(-2*LN(F6513))*COS(2*PI()*G6513),"")</f>
        <v/>
      </c>
      <c r="I6513">
        <f>IF(B6513,IF(D6513=0,H6513,Rho*I6512+SQRT(1-Rho^2)*H6513),"")</f>
        <v/>
      </c>
      <c r="J6513">
        <f>IF(B6513,IF(Dist="Normal",DistA+DistB*I6513,DistA+(DistB-DistA)*NORMSDIST(I6513)),"")</f>
        <v/>
      </c>
      <c r="K6513">
        <f>IF(B6513,INDEX(MineScale,C6513),"")</f>
        <v/>
      </c>
      <c r="L6513">
        <f>IF(B6513,INDEX(Dow,1,WEEKDAY(E6513,2)),"")</f>
        <v/>
      </c>
      <c r="M6513">
        <f>IF(B6513,(1+Trend)^D6513,"")</f>
        <v/>
      </c>
      <c r="N6513">
        <f>IF(B6513,EXP(SUMPRODUCT(LN(1+(EvEff-1)*INDEX(Affected,0,C6513)*EXP(-((E6513-EvCenter)^2)/(2*EvSigma^2))))),"")</f>
        <v/>
      </c>
      <c r="O6513">
        <f>IF(B6513,ROUND(MAX(0,J6513*K6513*L6513*M6513*N6513),2),"")</f>
        <v/>
      </c>
    </row>
    <row r="6514">
      <c r="A6514" t="n">
        <v>6513</v>
      </c>
      <c r="B6514">
        <f>A6514&lt;=MineCount*Days</f>
        <v/>
      </c>
      <c r="C6514">
        <f>IF(B6514,INT((A6514-1)/Days)+1,"")</f>
        <v/>
      </c>
      <c r="D6514">
        <f>IF(B6514,MOD(A6514-1,Days),"")</f>
        <v/>
      </c>
      <c r="E6514" s="16">
        <f>IF(B6514,StartDate+D6514,"")</f>
        <v/>
      </c>
      <c r="F6514">
        <f>IF(B6514,MAX(MOD(SIN(Seed*0.1373+C6514*12.9898+D6514*78.233)*43758.5453,1),1E-9),"")</f>
        <v/>
      </c>
      <c r="G6514">
        <f>IF(B6514,MOD(SIN(Seed*0.5917+C6514*39.3468+D6514*11.135)*24634.6345,1),"")</f>
        <v/>
      </c>
      <c r="H6514">
        <f>IF(B6514,SQRT(-2*LN(F6514))*COS(2*PI()*G6514),"")</f>
        <v/>
      </c>
      <c r="I6514">
        <f>IF(B6514,IF(D6514=0,H6514,Rho*I6513+SQRT(1-Rho^2)*H6514),"")</f>
        <v/>
      </c>
      <c r="J6514">
        <f>IF(B6514,IF(Dist="Normal",DistA+DistB*I6514,DistA+(DistB-DistA)*NORMSDIST(I6514)),"")</f>
        <v/>
      </c>
      <c r="K6514">
        <f>IF(B6514,INDEX(MineScale,C6514),"")</f>
        <v/>
      </c>
      <c r="L6514">
        <f>IF(B6514,INDEX(Dow,1,WEEKDAY(E6514,2)),"")</f>
        <v/>
      </c>
      <c r="M6514">
        <f>IF(B6514,(1+Trend)^D6514,"")</f>
        <v/>
      </c>
      <c r="N6514">
        <f>IF(B6514,EXP(SUMPRODUCT(LN(1+(EvEff-1)*INDEX(Affected,0,C6514)*EXP(-((E6514-EvCenter)^2)/(2*EvSigma^2))))),"")</f>
        <v/>
      </c>
      <c r="O6514">
        <f>IF(B6514,ROUND(MAX(0,J6514*K6514*L6514*M6514*N6514),2),"")</f>
        <v/>
      </c>
    </row>
    <row r="6515">
      <c r="A6515" t="n">
        <v>6514</v>
      </c>
      <c r="B6515">
        <f>A6515&lt;=MineCount*Days</f>
        <v/>
      </c>
      <c r="C6515">
        <f>IF(B6515,INT((A6515-1)/Days)+1,"")</f>
        <v/>
      </c>
      <c r="D6515">
        <f>IF(B6515,MOD(A6515-1,Days),"")</f>
        <v/>
      </c>
      <c r="E6515" s="16">
        <f>IF(B6515,StartDate+D6515,"")</f>
        <v/>
      </c>
      <c r="F6515">
        <f>IF(B6515,MAX(MOD(SIN(Seed*0.1373+C6515*12.9898+D6515*78.233)*43758.5453,1),1E-9),"")</f>
        <v/>
      </c>
      <c r="G6515">
        <f>IF(B6515,MOD(SIN(Seed*0.5917+C6515*39.3468+D6515*11.135)*24634.6345,1),"")</f>
        <v/>
      </c>
      <c r="H6515">
        <f>IF(B6515,SQRT(-2*LN(F6515))*COS(2*PI()*G6515),"")</f>
        <v/>
      </c>
      <c r="I6515">
        <f>IF(B6515,IF(D6515=0,H6515,Rho*I6514+SQRT(1-Rho^2)*H6515),"")</f>
        <v/>
      </c>
      <c r="J6515">
        <f>IF(B6515,IF(Dist="Normal",DistA+DistB*I6515,DistA+(DistB-DistA)*NORMSDIST(I6515)),"")</f>
        <v/>
      </c>
      <c r="K6515">
        <f>IF(B6515,INDEX(MineScale,C6515),"")</f>
        <v/>
      </c>
      <c r="L6515">
        <f>IF(B6515,INDEX(Dow,1,WEEKDAY(E6515,2)),"")</f>
        <v/>
      </c>
      <c r="M6515">
        <f>IF(B6515,(1+Trend)^D6515,"")</f>
        <v/>
      </c>
      <c r="N6515">
        <f>IF(B6515,EXP(SUMPRODUCT(LN(1+(EvEff-1)*INDEX(Affected,0,C6515)*EXP(-((E6515-EvCenter)^2)/(2*EvSigma^2))))),"")</f>
        <v/>
      </c>
      <c r="O6515">
        <f>IF(B6515,ROUND(MAX(0,J6515*K6515*L6515*M6515*N6515),2),"")</f>
        <v/>
      </c>
    </row>
    <row r="6516">
      <c r="A6516" t="n">
        <v>6515</v>
      </c>
      <c r="B6516">
        <f>A6516&lt;=MineCount*Days</f>
        <v/>
      </c>
      <c r="C6516">
        <f>IF(B6516,INT((A6516-1)/Days)+1,"")</f>
        <v/>
      </c>
      <c r="D6516">
        <f>IF(B6516,MOD(A6516-1,Days),"")</f>
        <v/>
      </c>
      <c r="E6516" s="16">
        <f>IF(B6516,StartDate+D6516,"")</f>
        <v/>
      </c>
      <c r="F6516">
        <f>IF(B6516,MAX(MOD(SIN(Seed*0.1373+C6516*12.9898+D6516*78.233)*43758.5453,1),1E-9),"")</f>
        <v/>
      </c>
      <c r="G6516">
        <f>IF(B6516,MOD(SIN(Seed*0.5917+C6516*39.3468+D6516*11.135)*24634.6345,1),"")</f>
        <v/>
      </c>
      <c r="H6516">
        <f>IF(B6516,SQRT(-2*LN(F6516))*COS(2*PI()*G6516),"")</f>
        <v/>
      </c>
      <c r="I6516">
        <f>IF(B6516,IF(D6516=0,H6516,Rho*I6515+SQRT(1-Rho^2)*H6516),"")</f>
        <v/>
      </c>
      <c r="J6516">
        <f>IF(B6516,IF(Dist="Normal",DistA+DistB*I6516,DistA+(DistB-DistA)*NORMSDIST(I6516)),"")</f>
        <v/>
      </c>
      <c r="K6516">
        <f>IF(B6516,INDEX(MineScale,C6516),"")</f>
        <v/>
      </c>
      <c r="L6516">
        <f>IF(B6516,INDEX(Dow,1,WEEKDAY(E6516,2)),"")</f>
        <v/>
      </c>
      <c r="M6516">
        <f>IF(B6516,(1+Trend)^D6516,"")</f>
        <v/>
      </c>
      <c r="N6516">
        <f>IF(B6516,EXP(SUMPRODUCT(LN(1+(EvEff-1)*INDEX(Affected,0,C6516)*EXP(-((E6516-EvCenter)^2)/(2*EvSigma^2))))),"")</f>
        <v/>
      </c>
      <c r="O6516">
        <f>IF(B6516,ROUND(MAX(0,J6516*K6516*L6516*M6516*N6516),2),"")</f>
        <v/>
      </c>
    </row>
    <row r="6517">
      <c r="A6517" t="n">
        <v>6516</v>
      </c>
      <c r="B6517">
        <f>A6517&lt;=MineCount*Days</f>
        <v/>
      </c>
      <c r="C6517">
        <f>IF(B6517,INT((A6517-1)/Days)+1,"")</f>
        <v/>
      </c>
      <c r="D6517">
        <f>IF(B6517,MOD(A6517-1,Days),"")</f>
        <v/>
      </c>
      <c r="E6517" s="16">
        <f>IF(B6517,StartDate+D6517,"")</f>
        <v/>
      </c>
      <c r="F6517">
        <f>IF(B6517,MAX(MOD(SIN(Seed*0.1373+C6517*12.9898+D6517*78.233)*43758.5453,1),1E-9),"")</f>
        <v/>
      </c>
      <c r="G6517">
        <f>IF(B6517,MOD(SIN(Seed*0.5917+C6517*39.3468+D6517*11.135)*24634.6345,1),"")</f>
        <v/>
      </c>
      <c r="H6517">
        <f>IF(B6517,SQRT(-2*LN(F6517))*COS(2*PI()*G6517),"")</f>
        <v/>
      </c>
      <c r="I6517">
        <f>IF(B6517,IF(D6517=0,H6517,Rho*I6516+SQRT(1-Rho^2)*H6517),"")</f>
        <v/>
      </c>
      <c r="J6517">
        <f>IF(B6517,IF(Dist="Normal",DistA+DistB*I6517,DistA+(DistB-DistA)*NORMSDIST(I6517)),"")</f>
        <v/>
      </c>
      <c r="K6517">
        <f>IF(B6517,INDEX(MineScale,C6517),"")</f>
        <v/>
      </c>
      <c r="L6517">
        <f>IF(B6517,INDEX(Dow,1,WEEKDAY(E6517,2)),"")</f>
        <v/>
      </c>
      <c r="M6517">
        <f>IF(B6517,(1+Trend)^D6517,"")</f>
        <v/>
      </c>
      <c r="N6517">
        <f>IF(B6517,EXP(SUMPRODUCT(LN(1+(EvEff-1)*INDEX(Affected,0,C6517)*EXP(-((E6517-EvCenter)^2)/(2*EvSigma^2))))),"")</f>
        <v/>
      </c>
      <c r="O6517">
        <f>IF(B6517,ROUND(MAX(0,J6517*K6517*L6517*M6517*N6517),2),"")</f>
        <v/>
      </c>
    </row>
    <row r="6518">
      <c r="A6518" t="n">
        <v>6517</v>
      </c>
      <c r="B6518">
        <f>A6518&lt;=MineCount*Days</f>
        <v/>
      </c>
      <c r="C6518">
        <f>IF(B6518,INT((A6518-1)/Days)+1,"")</f>
        <v/>
      </c>
      <c r="D6518">
        <f>IF(B6518,MOD(A6518-1,Days),"")</f>
        <v/>
      </c>
      <c r="E6518" s="16">
        <f>IF(B6518,StartDate+D6518,"")</f>
        <v/>
      </c>
      <c r="F6518">
        <f>IF(B6518,MAX(MOD(SIN(Seed*0.1373+C6518*12.9898+D6518*78.233)*43758.5453,1),1E-9),"")</f>
        <v/>
      </c>
      <c r="G6518">
        <f>IF(B6518,MOD(SIN(Seed*0.5917+C6518*39.3468+D6518*11.135)*24634.6345,1),"")</f>
        <v/>
      </c>
      <c r="H6518">
        <f>IF(B6518,SQRT(-2*LN(F6518))*COS(2*PI()*G6518),"")</f>
        <v/>
      </c>
      <c r="I6518">
        <f>IF(B6518,IF(D6518=0,H6518,Rho*I6517+SQRT(1-Rho^2)*H6518),"")</f>
        <v/>
      </c>
      <c r="J6518">
        <f>IF(B6518,IF(Dist="Normal",DistA+DistB*I6518,DistA+(DistB-DistA)*NORMSDIST(I6518)),"")</f>
        <v/>
      </c>
      <c r="K6518">
        <f>IF(B6518,INDEX(MineScale,C6518),"")</f>
        <v/>
      </c>
      <c r="L6518">
        <f>IF(B6518,INDEX(Dow,1,WEEKDAY(E6518,2)),"")</f>
        <v/>
      </c>
      <c r="M6518">
        <f>IF(B6518,(1+Trend)^D6518,"")</f>
        <v/>
      </c>
      <c r="N6518">
        <f>IF(B6518,EXP(SUMPRODUCT(LN(1+(EvEff-1)*INDEX(Affected,0,C6518)*EXP(-((E6518-EvCenter)^2)/(2*EvSigma^2))))),"")</f>
        <v/>
      </c>
      <c r="O6518">
        <f>IF(B6518,ROUND(MAX(0,J6518*K6518*L6518*M6518*N6518),2),"")</f>
        <v/>
      </c>
    </row>
    <row r="6519">
      <c r="A6519" t="n">
        <v>6518</v>
      </c>
      <c r="B6519">
        <f>A6519&lt;=MineCount*Days</f>
        <v/>
      </c>
      <c r="C6519">
        <f>IF(B6519,INT((A6519-1)/Days)+1,"")</f>
        <v/>
      </c>
      <c r="D6519">
        <f>IF(B6519,MOD(A6519-1,Days),"")</f>
        <v/>
      </c>
      <c r="E6519" s="16">
        <f>IF(B6519,StartDate+D6519,"")</f>
        <v/>
      </c>
      <c r="F6519">
        <f>IF(B6519,MAX(MOD(SIN(Seed*0.1373+C6519*12.9898+D6519*78.233)*43758.5453,1),1E-9),"")</f>
        <v/>
      </c>
      <c r="G6519">
        <f>IF(B6519,MOD(SIN(Seed*0.5917+C6519*39.3468+D6519*11.135)*24634.6345,1),"")</f>
        <v/>
      </c>
      <c r="H6519">
        <f>IF(B6519,SQRT(-2*LN(F6519))*COS(2*PI()*G6519),"")</f>
        <v/>
      </c>
      <c r="I6519">
        <f>IF(B6519,IF(D6519=0,H6519,Rho*I6518+SQRT(1-Rho^2)*H6519),"")</f>
        <v/>
      </c>
      <c r="J6519">
        <f>IF(B6519,IF(Dist="Normal",DistA+DistB*I6519,DistA+(DistB-DistA)*NORMSDIST(I6519)),"")</f>
        <v/>
      </c>
      <c r="K6519">
        <f>IF(B6519,INDEX(MineScale,C6519),"")</f>
        <v/>
      </c>
      <c r="L6519">
        <f>IF(B6519,INDEX(Dow,1,WEEKDAY(E6519,2)),"")</f>
        <v/>
      </c>
      <c r="M6519">
        <f>IF(B6519,(1+Trend)^D6519,"")</f>
        <v/>
      </c>
      <c r="N6519">
        <f>IF(B6519,EXP(SUMPRODUCT(LN(1+(EvEff-1)*INDEX(Affected,0,C6519)*EXP(-((E6519-EvCenter)^2)/(2*EvSigma^2))))),"")</f>
        <v/>
      </c>
      <c r="O6519">
        <f>IF(B6519,ROUND(MAX(0,J6519*K6519*L6519*M6519*N6519),2),"")</f>
        <v/>
      </c>
    </row>
    <row r="6520">
      <c r="A6520" t="n">
        <v>6519</v>
      </c>
      <c r="B6520">
        <f>A6520&lt;=MineCount*Days</f>
        <v/>
      </c>
      <c r="C6520">
        <f>IF(B6520,INT((A6520-1)/Days)+1,"")</f>
        <v/>
      </c>
      <c r="D6520">
        <f>IF(B6520,MOD(A6520-1,Days),"")</f>
        <v/>
      </c>
      <c r="E6520" s="16">
        <f>IF(B6520,StartDate+D6520,"")</f>
        <v/>
      </c>
      <c r="F6520">
        <f>IF(B6520,MAX(MOD(SIN(Seed*0.1373+C6520*12.9898+D6520*78.233)*43758.5453,1),1E-9),"")</f>
        <v/>
      </c>
      <c r="G6520">
        <f>IF(B6520,MOD(SIN(Seed*0.5917+C6520*39.3468+D6520*11.135)*24634.6345,1),"")</f>
        <v/>
      </c>
      <c r="H6520">
        <f>IF(B6520,SQRT(-2*LN(F6520))*COS(2*PI()*G6520),"")</f>
        <v/>
      </c>
      <c r="I6520">
        <f>IF(B6520,IF(D6520=0,H6520,Rho*I6519+SQRT(1-Rho^2)*H6520),"")</f>
        <v/>
      </c>
      <c r="J6520">
        <f>IF(B6520,IF(Dist="Normal",DistA+DistB*I6520,DistA+(DistB-DistA)*NORMSDIST(I6520)),"")</f>
        <v/>
      </c>
      <c r="K6520">
        <f>IF(B6520,INDEX(MineScale,C6520),"")</f>
        <v/>
      </c>
      <c r="L6520">
        <f>IF(B6520,INDEX(Dow,1,WEEKDAY(E6520,2)),"")</f>
        <v/>
      </c>
      <c r="M6520">
        <f>IF(B6520,(1+Trend)^D6520,"")</f>
        <v/>
      </c>
      <c r="N6520">
        <f>IF(B6520,EXP(SUMPRODUCT(LN(1+(EvEff-1)*INDEX(Affected,0,C6520)*EXP(-((E6520-EvCenter)^2)/(2*EvSigma^2))))),"")</f>
        <v/>
      </c>
      <c r="O6520">
        <f>IF(B6520,ROUND(MAX(0,J6520*K6520*L6520*M6520*N6520),2),"")</f>
        <v/>
      </c>
    </row>
    <row r="6521">
      <c r="A6521" t="n">
        <v>6520</v>
      </c>
      <c r="B6521">
        <f>A6521&lt;=MineCount*Days</f>
        <v/>
      </c>
      <c r="C6521">
        <f>IF(B6521,INT((A6521-1)/Days)+1,"")</f>
        <v/>
      </c>
      <c r="D6521">
        <f>IF(B6521,MOD(A6521-1,Days),"")</f>
        <v/>
      </c>
      <c r="E6521" s="16">
        <f>IF(B6521,StartDate+D6521,"")</f>
        <v/>
      </c>
      <c r="F6521">
        <f>IF(B6521,MAX(MOD(SIN(Seed*0.1373+C6521*12.9898+D6521*78.233)*43758.5453,1),1E-9),"")</f>
        <v/>
      </c>
      <c r="G6521">
        <f>IF(B6521,MOD(SIN(Seed*0.5917+C6521*39.3468+D6521*11.135)*24634.6345,1),"")</f>
        <v/>
      </c>
      <c r="H6521">
        <f>IF(B6521,SQRT(-2*LN(F6521))*COS(2*PI()*G6521),"")</f>
        <v/>
      </c>
      <c r="I6521">
        <f>IF(B6521,IF(D6521=0,H6521,Rho*I6520+SQRT(1-Rho^2)*H6521),"")</f>
        <v/>
      </c>
      <c r="J6521">
        <f>IF(B6521,IF(Dist="Normal",DistA+DistB*I6521,DistA+(DistB-DistA)*NORMSDIST(I6521)),"")</f>
        <v/>
      </c>
      <c r="K6521">
        <f>IF(B6521,INDEX(MineScale,C6521),"")</f>
        <v/>
      </c>
      <c r="L6521">
        <f>IF(B6521,INDEX(Dow,1,WEEKDAY(E6521,2)),"")</f>
        <v/>
      </c>
      <c r="M6521">
        <f>IF(B6521,(1+Trend)^D6521,"")</f>
        <v/>
      </c>
      <c r="N6521">
        <f>IF(B6521,EXP(SUMPRODUCT(LN(1+(EvEff-1)*INDEX(Affected,0,C6521)*EXP(-((E6521-EvCenter)^2)/(2*EvSigma^2))))),"")</f>
        <v/>
      </c>
      <c r="O6521">
        <f>IF(B6521,ROUND(MAX(0,J6521*K6521*L6521*M6521*N6521),2),"")</f>
        <v/>
      </c>
    </row>
    <row r="6522">
      <c r="A6522" t="n">
        <v>6521</v>
      </c>
      <c r="B6522">
        <f>A6522&lt;=MineCount*Days</f>
        <v/>
      </c>
      <c r="C6522">
        <f>IF(B6522,INT((A6522-1)/Days)+1,"")</f>
        <v/>
      </c>
      <c r="D6522">
        <f>IF(B6522,MOD(A6522-1,Days),"")</f>
        <v/>
      </c>
      <c r="E6522" s="16">
        <f>IF(B6522,StartDate+D6522,"")</f>
        <v/>
      </c>
      <c r="F6522">
        <f>IF(B6522,MAX(MOD(SIN(Seed*0.1373+C6522*12.9898+D6522*78.233)*43758.5453,1),1E-9),"")</f>
        <v/>
      </c>
      <c r="G6522">
        <f>IF(B6522,MOD(SIN(Seed*0.5917+C6522*39.3468+D6522*11.135)*24634.6345,1),"")</f>
        <v/>
      </c>
      <c r="H6522">
        <f>IF(B6522,SQRT(-2*LN(F6522))*COS(2*PI()*G6522),"")</f>
        <v/>
      </c>
      <c r="I6522">
        <f>IF(B6522,IF(D6522=0,H6522,Rho*I6521+SQRT(1-Rho^2)*H6522),"")</f>
        <v/>
      </c>
      <c r="J6522">
        <f>IF(B6522,IF(Dist="Normal",DistA+DistB*I6522,DistA+(DistB-DistA)*NORMSDIST(I6522)),"")</f>
        <v/>
      </c>
      <c r="K6522">
        <f>IF(B6522,INDEX(MineScale,C6522),"")</f>
        <v/>
      </c>
      <c r="L6522">
        <f>IF(B6522,INDEX(Dow,1,WEEKDAY(E6522,2)),"")</f>
        <v/>
      </c>
      <c r="M6522">
        <f>IF(B6522,(1+Trend)^D6522,"")</f>
        <v/>
      </c>
      <c r="N6522">
        <f>IF(B6522,EXP(SUMPRODUCT(LN(1+(EvEff-1)*INDEX(Affected,0,C6522)*EXP(-((E6522-EvCenter)^2)/(2*EvSigma^2))))),"")</f>
        <v/>
      </c>
      <c r="O6522">
        <f>IF(B6522,ROUND(MAX(0,J6522*K6522*L6522*M6522*N6522),2),"")</f>
        <v/>
      </c>
    </row>
    <row r="6523">
      <c r="A6523" t="n">
        <v>6522</v>
      </c>
      <c r="B6523">
        <f>A6523&lt;=MineCount*Days</f>
        <v/>
      </c>
      <c r="C6523">
        <f>IF(B6523,INT((A6523-1)/Days)+1,"")</f>
        <v/>
      </c>
      <c r="D6523">
        <f>IF(B6523,MOD(A6523-1,Days),"")</f>
        <v/>
      </c>
      <c r="E6523" s="16">
        <f>IF(B6523,StartDate+D6523,"")</f>
        <v/>
      </c>
      <c r="F6523">
        <f>IF(B6523,MAX(MOD(SIN(Seed*0.1373+C6523*12.9898+D6523*78.233)*43758.5453,1),1E-9),"")</f>
        <v/>
      </c>
      <c r="G6523">
        <f>IF(B6523,MOD(SIN(Seed*0.5917+C6523*39.3468+D6523*11.135)*24634.6345,1),"")</f>
        <v/>
      </c>
      <c r="H6523">
        <f>IF(B6523,SQRT(-2*LN(F6523))*COS(2*PI()*G6523),"")</f>
        <v/>
      </c>
      <c r="I6523">
        <f>IF(B6523,IF(D6523=0,H6523,Rho*I6522+SQRT(1-Rho^2)*H6523),"")</f>
        <v/>
      </c>
      <c r="J6523">
        <f>IF(B6523,IF(Dist="Normal",DistA+DistB*I6523,DistA+(DistB-DistA)*NORMSDIST(I6523)),"")</f>
        <v/>
      </c>
      <c r="K6523">
        <f>IF(B6523,INDEX(MineScale,C6523),"")</f>
        <v/>
      </c>
      <c r="L6523">
        <f>IF(B6523,INDEX(Dow,1,WEEKDAY(E6523,2)),"")</f>
        <v/>
      </c>
      <c r="M6523">
        <f>IF(B6523,(1+Trend)^D6523,"")</f>
        <v/>
      </c>
      <c r="N6523">
        <f>IF(B6523,EXP(SUMPRODUCT(LN(1+(EvEff-1)*INDEX(Affected,0,C6523)*EXP(-((E6523-EvCenter)^2)/(2*EvSigma^2))))),"")</f>
        <v/>
      </c>
      <c r="O6523">
        <f>IF(B6523,ROUND(MAX(0,J6523*K6523*L6523*M6523*N6523),2),"")</f>
        <v/>
      </c>
    </row>
    <row r="6524">
      <c r="A6524" t="n">
        <v>6523</v>
      </c>
      <c r="B6524">
        <f>A6524&lt;=MineCount*Days</f>
        <v/>
      </c>
      <c r="C6524">
        <f>IF(B6524,INT((A6524-1)/Days)+1,"")</f>
        <v/>
      </c>
      <c r="D6524">
        <f>IF(B6524,MOD(A6524-1,Days),"")</f>
        <v/>
      </c>
      <c r="E6524" s="16">
        <f>IF(B6524,StartDate+D6524,"")</f>
        <v/>
      </c>
      <c r="F6524">
        <f>IF(B6524,MAX(MOD(SIN(Seed*0.1373+C6524*12.9898+D6524*78.233)*43758.5453,1),1E-9),"")</f>
        <v/>
      </c>
      <c r="G6524">
        <f>IF(B6524,MOD(SIN(Seed*0.5917+C6524*39.3468+D6524*11.135)*24634.6345,1),"")</f>
        <v/>
      </c>
      <c r="H6524">
        <f>IF(B6524,SQRT(-2*LN(F6524))*COS(2*PI()*G6524),"")</f>
        <v/>
      </c>
      <c r="I6524">
        <f>IF(B6524,IF(D6524=0,H6524,Rho*I6523+SQRT(1-Rho^2)*H6524),"")</f>
        <v/>
      </c>
      <c r="J6524">
        <f>IF(B6524,IF(Dist="Normal",DistA+DistB*I6524,DistA+(DistB-DistA)*NORMSDIST(I6524)),"")</f>
        <v/>
      </c>
      <c r="K6524">
        <f>IF(B6524,INDEX(MineScale,C6524),"")</f>
        <v/>
      </c>
      <c r="L6524">
        <f>IF(B6524,INDEX(Dow,1,WEEKDAY(E6524,2)),"")</f>
        <v/>
      </c>
      <c r="M6524">
        <f>IF(B6524,(1+Trend)^D6524,"")</f>
        <v/>
      </c>
      <c r="N6524">
        <f>IF(B6524,EXP(SUMPRODUCT(LN(1+(EvEff-1)*INDEX(Affected,0,C6524)*EXP(-((E6524-EvCenter)^2)/(2*EvSigma^2))))),"")</f>
        <v/>
      </c>
      <c r="O6524">
        <f>IF(B6524,ROUND(MAX(0,J6524*K6524*L6524*M6524*N6524),2),"")</f>
        <v/>
      </c>
    </row>
    <row r="6525">
      <c r="A6525" t="n">
        <v>6524</v>
      </c>
      <c r="B6525">
        <f>A6525&lt;=MineCount*Days</f>
        <v/>
      </c>
      <c r="C6525">
        <f>IF(B6525,INT((A6525-1)/Days)+1,"")</f>
        <v/>
      </c>
      <c r="D6525">
        <f>IF(B6525,MOD(A6525-1,Days),"")</f>
        <v/>
      </c>
      <c r="E6525" s="16">
        <f>IF(B6525,StartDate+D6525,"")</f>
        <v/>
      </c>
      <c r="F6525">
        <f>IF(B6525,MAX(MOD(SIN(Seed*0.1373+C6525*12.9898+D6525*78.233)*43758.5453,1),1E-9),"")</f>
        <v/>
      </c>
      <c r="G6525">
        <f>IF(B6525,MOD(SIN(Seed*0.5917+C6525*39.3468+D6525*11.135)*24634.6345,1),"")</f>
        <v/>
      </c>
      <c r="H6525">
        <f>IF(B6525,SQRT(-2*LN(F6525))*COS(2*PI()*G6525),"")</f>
        <v/>
      </c>
      <c r="I6525">
        <f>IF(B6525,IF(D6525=0,H6525,Rho*I6524+SQRT(1-Rho^2)*H6525),"")</f>
        <v/>
      </c>
      <c r="J6525">
        <f>IF(B6525,IF(Dist="Normal",DistA+DistB*I6525,DistA+(DistB-DistA)*NORMSDIST(I6525)),"")</f>
        <v/>
      </c>
      <c r="K6525">
        <f>IF(B6525,INDEX(MineScale,C6525),"")</f>
        <v/>
      </c>
      <c r="L6525">
        <f>IF(B6525,INDEX(Dow,1,WEEKDAY(E6525,2)),"")</f>
        <v/>
      </c>
      <c r="M6525">
        <f>IF(B6525,(1+Trend)^D6525,"")</f>
        <v/>
      </c>
      <c r="N6525">
        <f>IF(B6525,EXP(SUMPRODUCT(LN(1+(EvEff-1)*INDEX(Affected,0,C6525)*EXP(-((E6525-EvCenter)^2)/(2*EvSigma^2))))),"")</f>
        <v/>
      </c>
      <c r="O6525">
        <f>IF(B6525,ROUND(MAX(0,J6525*K6525*L6525*M6525*N6525),2),"")</f>
        <v/>
      </c>
    </row>
    <row r="6526">
      <c r="A6526" t="n">
        <v>6525</v>
      </c>
      <c r="B6526">
        <f>A6526&lt;=MineCount*Days</f>
        <v/>
      </c>
      <c r="C6526">
        <f>IF(B6526,INT((A6526-1)/Days)+1,"")</f>
        <v/>
      </c>
      <c r="D6526">
        <f>IF(B6526,MOD(A6526-1,Days),"")</f>
        <v/>
      </c>
      <c r="E6526" s="16">
        <f>IF(B6526,StartDate+D6526,"")</f>
        <v/>
      </c>
      <c r="F6526">
        <f>IF(B6526,MAX(MOD(SIN(Seed*0.1373+C6526*12.9898+D6526*78.233)*43758.5453,1),1E-9),"")</f>
        <v/>
      </c>
      <c r="G6526">
        <f>IF(B6526,MOD(SIN(Seed*0.5917+C6526*39.3468+D6526*11.135)*24634.6345,1),"")</f>
        <v/>
      </c>
      <c r="H6526">
        <f>IF(B6526,SQRT(-2*LN(F6526))*COS(2*PI()*G6526),"")</f>
        <v/>
      </c>
      <c r="I6526">
        <f>IF(B6526,IF(D6526=0,H6526,Rho*I6525+SQRT(1-Rho^2)*H6526),"")</f>
        <v/>
      </c>
      <c r="J6526">
        <f>IF(B6526,IF(Dist="Normal",DistA+DistB*I6526,DistA+(DistB-DistA)*NORMSDIST(I6526)),"")</f>
        <v/>
      </c>
      <c r="K6526">
        <f>IF(B6526,INDEX(MineScale,C6526),"")</f>
        <v/>
      </c>
      <c r="L6526">
        <f>IF(B6526,INDEX(Dow,1,WEEKDAY(E6526,2)),"")</f>
        <v/>
      </c>
      <c r="M6526">
        <f>IF(B6526,(1+Trend)^D6526,"")</f>
        <v/>
      </c>
      <c r="N6526">
        <f>IF(B6526,EXP(SUMPRODUCT(LN(1+(EvEff-1)*INDEX(Affected,0,C6526)*EXP(-((E6526-EvCenter)^2)/(2*EvSigma^2))))),"")</f>
        <v/>
      </c>
      <c r="O6526">
        <f>IF(B6526,ROUND(MAX(0,J6526*K6526*L6526*M6526*N6526),2),"")</f>
        <v/>
      </c>
    </row>
    <row r="6527">
      <c r="A6527" t="n">
        <v>6526</v>
      </c>
      <c r="B6527">
        <f>A6527&lt;=MineCount*Days</f>
        <v/>
      </c>
      <c r="C6527">
        <f>IF(B6527,INT((A6527-1)/Days)+1,"")</f>
        <v/>
      </c>
      <c r="D6527">
        <f>IF(B6527,MOD(A6527-1,Days),"")</f>
        <v/>
      </c>
      <c r="E6527" s="16">
        <f>IF(B6527,StartDate+D6527,"")</f>
        <v/>
      </c>
      <c r="F6527">
        <f>IF(B6527,MAX(MOD(SIN(Seed*0.1373+C6527*12.9898+D6527*78.233)*43758.5453,1),1E-9),"")</f>
        <v/>
      </c>
      <c r="G6527">
        <f>IF(B6527,MOD(SIN(Seed*0.5917+C6527*39.3468+D6527*11.135)*24634.6345,1),"")</f>
        <v/>
      </c>
      <c r="H6527">
        <f>IF(B6527,SQRT(-2*LN(F6527))*COS(2*PI()*G6527),"")</f>
        <v/>
      </c>
      <c r="I6527">
        <f>IF(B6527,IF(D6527=0,H6527,Rho*I6526+SQRT(1-Rho^2)*H6527),"")</f>
        <v/>
      </c>
      <c r="J6527">
        <f>IF(B6527,IF(Dist="Normal",DistA+DistB*I6527,DistA+(DistB-DistA)*NORMSDIST(I6527)),"")</f>
        <v/>
      </c>
      <c r="K6527">
        <f>IF(B6527,INDEX(MineScale,C6527),"")</f>
        <v/>
      </c>
      <c r="L6527">
        <f>IF(B6527,INDEX(Dow,1,WEEKDAY(E6527,2)),"")</f>
        <v/>
      </c>
      <c r="M6527">
        <f>IF(B6527,(1+Trend)^D6527,"")</f>
        <v/>
      </c>
      <c r="N6527">
        <f>IF(B6527,EXP(SUMPRODUCT(LN(1+(EvEff-1)*INDEX(Affected,0,C6527)*EXP(-((E6527-EvCenter)^2)/(2*EvSigma^2))))),"")</f>
        <v/>
      </c>
      <c r="O6527">
        <f>IF(B6527,ROUND(MAX(0,J6527*K6527*L6527*M6527*N6527),2),"")</f>
        <v/>
      </c>
    </row>
    <row r="6528">
      <c r="A6528" t="n">
        <v>6527</v>
      </c>
      <c r="B6528">
        <f>A6528&lt;=MineCount*Days</f>
        <v/>
      </c>
      <c r="C6528">
        <f>IF(B6528,INT((A6528-1)/Days)+1,"")</f>
        <v/>
      </c>
      <c r="D6528">
        <f>IF(B6528,MOD(A6528-1,Days),"")</f>
        <v/>
      </c>
      <c r="E6528" s="16">
        <f>IF(B6528,StartDate+D6528,"")</f>
        <v/>
      </c>
      <c r="F6528">
        <f>IF(B6528,MAX(MOD(SIN(Seed*0.1373+C6528*12.9898+D6528*78.233)*43758.5453,1),1E-9),"")</f>
        <v/>
      </c>
      <c r="G6528">
        <f>IF(B6528,MOD(SIN(Seed*0.5917+C6528*39.3468+D6528*11.135)*24634.6345,1),"")</f>
        <v/>
      </c>
      <c r="H6528">
        <f>IF(B6528,SQRT(-2*LN(F6528))*COS(2*PI()*G6528),"")</f>
        <v/>
      </c>
      <c r="I6528">
        <f>IF(B6528,IF(D6528=0,H6528,Rho*I6527+SQRT(1-Rho^2)*H6528),"")</f>
        <v/>
      </c>
      <c r="J6528">
        <f>IF(B6528,IF(Dist="Normal",DistA+DistB*I6528,DistA+(DistB-DistA)*NORMSDIST(I6528)),"")</f>
        <v/>
      </c>
      <c r="K6528">
        <f>IF(B6528,INDEX(MineScale,C6528),"")</f>
        <v/>
      </c>
      <c r="L6528">
        <f>IF(B6528,INDEX(Dow,1,WEEKDAY(E6528,2)),"")</f>
        <v/>
      </c>
      <c r="M6528">
        <f>IF(B6528,(1+Trend)^D6528,"")</f>
        <v/>
      </c>
      <c r="N6528">
        <f>IF(B6528,EXP(SUMPRODUCT(LN(1+(EvEff-1)*INDEX(Affected,0,C6528)*EXP(-((E6528-EvCenter)^2)/(2*EvSigma^2))))),"")</f>
        <v/>
      </c>
      <c r="O6528">
        <f>IF(B6528,ROUND(MAX(0,J6528*K6528*L6528*M6528*N6528),2),"")</f>
        <v/>
      </c>
    </row>
    <row r="6529">
      <c r="A6529" t="n">
        <v>6528</v>
      </c>
      <c r="B6529">
        <f>A6529&lt;=MineCount*Days</f>
        <v/>
      </c>
      <c r="C6529">
        <f>IF(B6529,INT((A6529-1)/Days)+1,"")</f>
        <v/>
      </c>
      <c r="D6529">
        <f>IF(B6529,MOD(A6529-1,Days),"")</f>
        <v/>
      </c>
      <c r="E6529" s="16">
        <f>IF(B6529,StartDate+D6529,"")</f>
        <v/>
      </c>
      <c r="F6529">
        <f>IF(B6529,MAX(MOD(SIN(Seed*0.1373+C6529*12.9898+D6529*78.233)*43758.5453,1),1E-9),"")</f>
        <v/>
      </c>
      <c r="G6529">
        <f>IF(B6529,MOD(SIN(Seed*0.5917+C6529*39.3468+D6529*11.135)*24634.6345,1),"")</f>
        <v/>
      </c>
      <c r="H6529">
        <f>IF(B6529,SQRT(-2*LN(F6529))*COS(2*PI()*G6529),"")</f>
        <v/>
      </c>
      <c r="I6529">
        <f>IF(B6529,IF(D6529=0,H6529,Rho*I6528+SQRT(1-Rho^2)*H6529),"")</f>
        <v/>
      </c>
      <c r="J6529">
        <f>IF(B6529,IF(Dist="Normal",DistA+DistB*I6529,DistA+(DistB-DistA)*NORMSDIST(I6529)),"")</f>
        <v/>
      </c>
      <c r="K6529">
        <f>IF(B6529,INDEX(MineScale,C6529),"")</f>
        <v/>
      </c>
      <c r="L6529">
        <f>IF(B6529,INDEX(Dow,1,WEEKDAY(E6529,2)),"")</f>
        <v/>
      </c>
      <c r="M6529">
        <f>IF(B6529,(1+Trend)^D6529,"")</f>
        <v/>
      </c>
      <c r="N6529">
        <f>IF(B6529,EXP(SUMPRODUCT(LN(1+(EvEff-1)*INDEX(Affected,0,C6529)*EXP(-((E6529-EvCenter)^2)/(2*EvSigma^2))))),"")</f>
        <v/>
      </c>
      <c r="O6529">
        <f>IF(B6529,ROUND(MAX(0,J6529*K6529*L6529*M6529*N6529),2),"")</f>
        <v/>
      </c>
    </row>
    <row r="6530">
      <c r="A6530" t="n">
        <v>6529</v>
      </c>
      <c r="B6530">
        <f>A6530&lt;=MineCount*Days</f>
        <v/>
      </c>
      <c r="C6530">
        <f>IF(B6530,INT((A6530-1)/Days)+1,"")</f>
        <v/>
      </c>
      <c r="D6530">
        <f>IF(B6530,MOD(A6530-1,Days),"")</f>
        <v/>
      </c>
      <c r="E6530" s="16">
        <f>IF(B6530,StartDate+D6530,"")</f>
        <v/>
      </c>
      <c r="F6530">
        <f>IF(B6530,MAX(MOD(SIN(Seed*0.1373+C6530*12.9898+D6530*78.233)*43758.5453,1),1E-9),"")</f>
        <v/>
      </c>
      <c r="G6530">
        <f>IF(B6530,MOD(SIN(Seed*0.5917+C6530*39.3468+D6530*11.135)*24634.6345,1),"")</f>
        <v/>
      </c>
      <c r="H6530">
        <f>IF(B6530,SQRT(-2*LN(F6530))*COS(2*PI()*G6530),"")</f>
        <v/>
      </c>
      <c r="I6530">
        <f>IF(B6530,IF(D6530=0,H6530,Rho*I6529+SQRT(1-Rho^2)*H6530),"")</f>
        <v/>
      </c>
      <c r="J6530">
        <f>IF(B6530,IF(Dist="Normal",DistA+DistB*I6530,DistA+(DistB-DistA)*NORMSDIST(I6530)),"")</f>
        <v/>
      </c>
      <c r="K6530">
        <f>IF(B6530,INDEX(MineScale,C6530),"")</f>
        <v/>
      </c>
      <c r="L6530">
        <f>IF(B6530,INDEX(Dow,1,WEEKDAY(E6530,2)),"")</f>
        <v/>
      </c>
      <c r="M6530">
        <f>IF(B6530,(1+Trend)^D6530,"")</f>
        <v/>
      </c>
      <c r="N6530">
        <f>IF(B6530,EXP(SUMPRODUCT(LN(1+(EvEff-1)*INDEX(Affected,0,C6530)*EXP(-((E6530-EvCenter)^2)/(2*EvSigma^2))))),"")</f>
        <v/>
      </c>
      <c r="O6530">
        <f>IF(B6530,ROUND(MAX(0,J6530*K6530*L6530*M6530*N6530),2),"")</f>
        <v/>
      </c>
    </row>
    <row r="6531">
      <c r="A6531" t="n">
        <v>6530</v>
      </c>
      <c r="B6531">
        <f>A6531&lt;=MineCount*Days</f>
        <v/>
      </c>
      <c r="C6531">
        <f>IF(B6531,INT((A6531-1)/Days)+1,"")</f>
        <v/>
      </c>
      <c r="D6531">
        <f>IF(B6531,MOD(A6531-1,Days),"")</f>
        <v/>
      </c>
      <c r="E6531" s="16">
        <f>IF(B6531,StartDate+D6531,"")</f>
        <v/>
      </c>
      <c r="F6531">
        <f>IF(B6531,MAX(MOD(SIN(Seed*0.1373+C6531*12.9898+D6531*78.233)*43758.5453,1),1E-9),"")</f>
        <v/>
      </c>
      <c r="G6531">
        <f>IF(B6531,MOD(SIN(Seed*0.5917+C6531*39.3468+D6531*11.135)*24634.6345,1),"")</f>
        <v/>
      </c>
      <c r="H6531">
        <f>IF(B6531,SQRT(-2*LN(F6531))*COS(2*PI()*G6531),"")</f>
        <v/>
      </c>
      <c r="I6531">
        <f>IF(B6531,IF(D6531=0,H6531,Rho*I6530+SQRT(1-Rho^2)*H6531),"")</f>
        <v/>
      </c>
      <c r="J6531">
        <f>IF(B6531,IF(Dist="Normal",DistA+DistB*I6531,DistA+(DistB-DistA)*NORMSDIST(I6531)),"")</f>
        <v/>
      </c>
      <c r="K6531">
        <f>IF(B6531,INDEX(MineScale,C6531),"")</f>
        <v/>
      </c>
      <c r="L6531">
        <f>IF(B6531,INDEX(Dow,1,WEEKDAY(E6531,2)),"")</f>
        <v/>
      </c>
      <c r="M6531">
        <f>IF(B6531,(1+Trend)^D6531,"")</f>
        <v/>
      </c>
      <c r="N6531">
        <f>IF(B6531,EXP(SUMPRODUCT(LN(1+(EvEff-1)*INDEX(Affected,0,C6531)*EXP(-((E6531-EvCenter)^2)/(2*EvSigma^2))))),"")</f>
        <v/>
      </c>
      <c r="O6531">
        <f>IF(B6531,ROUND(MAX(0,J6531*K6531*L6531*M6531*N6531),2),"")</f>
        <v/>
      </c>
    </row>
    <row r="6532">
      <c r="A6532" t="n">
        <v>6531</v>
      </c>
      <c r="B6532">
        <f>A6532&lt;=MineCount*Days</f>
        <v/>
      </c>
      <c r="C6532">
        <f>IF(B6532,INT((A6532-1)/Days)+1,"")</f>
        <v/>
      </c>
      <c r="D6532">
        <f>IF(B6532,MOD(A6532-1,Days),"")</f>
        <v/>
      </c>
      <c r="E6532" s="16">
        <f>IF(B6532,StartDate+D6532,"")</f>
        <v/>
      </c>
      <c r="F6532">
        <f>IF(B6532,MAX(MOD(SIN(Seed*0.1373+C6532*12.9898+D6532*78.233)*43758.5453,1),1E-9),"")</f>
        <v/>
      </c>
      <c r="G6532">
        <f>IF(B6532,MOD(SIN(Seed*0.5917+C6532*39.3468+D6532*11.135)*24634.6345,1),"")</f>
        <v/>
      </c>
      <c r="H6532">
        <f>IF(B6532,SQRT(-2*LN(F6532))*COS(2*PI()*G6532),"")</f>
        <v/>
      </c>
      <c r="I6532">
        <f>IF(B6532,IF(D6532=0,H6532,Rho*I6531+SQRT(1-Rho^2)*H6532),"")</f>
        <v/>
      </c>
      <c r="J6532">
        <f>IF(B6532,IF(Dist="Normal",DistA+DistB*I6532,DistA+(DistB-DistA)*NORMSDIST(I6532)),"")</f>
        <v/>
      </c>
      <c r="K6532">
        <f>IF(B6532,INDEX(MineScale,C6532),"")</f>
        <v/>
      </c>
      <c r="L6532">
        <f>IF(B6532,INDEX(Dow,1,WEEKDAY(E6532,2)),"")</f>
        <v/>
      </c>
      <c r="M6532">
        <f>IF(B6532,(1+Trend)^D6532,"")</f>
        <v/>
      </c>
      <c r="N6532">
        <f>IF(B6532,EXP(SUMPRODUCT(LN(1+(EvEff-1)*INDEX(Affected,0,C6532)*EXP(-((E6532-EvCenter)^2)/(2*EvSigma^2))))),"")</f>
        <v/>
      </c>
      <c r="O6532">
        <f>IF(B6532,ROUND(MAX(0,J6532*K6532*L6532*M6532*N6532),2),"")</f>
        <v/>
      </c>
    </row>
    <row r="6533">
      <c r="A6533" t="n">
        <v>6532</v>
      </c>
      <c r="B6533">
        <f>A6533&lt;=MineCount*Days</f>
        <v/>
      </c>
      <c r="C6533">
        <f>IF(B6533,INT((A6533-1)/Days)+1,"")</f>
        <v/>
      </c>
      <c r="D6533">
        <f>IF(B6533,MOD(A6533-1,Days),"")</f>
        <v/>
      </c>
      <c r="E6533" s="16">
        <f>IF(B6533,StartDate+D6533,"")</f>
        <v/>
      </c>
      <c r="F6533">
        <f>IF(B6533,MAX(MOD(SIN(Seed*0.1373+C6533*12.9898+D6533*78.233)*43758.5453,1),1E-9),"")</f>
        <v/>
      </c>
      <c r="G6533">
        <f>IF(B6533,MOD(SIN(Seed*0.5917+C6533*39.3468+D6533*11.135)*24634.6345,1),"")</f>
        <v/>
      </c>
      <c r="H6533">
        <f>IF(B6533,SQRT(-2*LN(F6533))*COS(2*PI()*G6533),"")</f>
        <v/>
      </c>
      <c r="I6533">
        <f>IF(B6533,IF(D6533=0,H6533,Rho*I6532+SQRT(1-Rho^2)*H6533),"")</f>
        <v/>
      </c>
      <c r="J6533">
        <f>IF(B6533,IF(Dist="Normal",DistA+DistB*I6533,DistA+(DistB-DistA)*NORMSDIST(I6533)),"")</f>
        <v/>
      </c>
      <c r="K6533">
        <f>IF(B6533,INDEX(MineScale,C6533),"")</f>
        <v/>
      </c>
      <c r="L6533">
        <f>IF(B6533,INDEX(Dow,1,WEEKDAY(E6533,2)),"")</f>
        <v/>
      </c>
      <c r="M6533">
        <f>IF(B6533,(1+Trend)^D6533,"")</f>
        <v/>
      </c>
      <c r="N6533">
        <f>IF(B6533,EXP(SUMPRODUCT(LN(1+(EvEff-1)*INDEX(Affected,0,C6533)*EXP(-((E6533-EvCenter)^2)/(2*EvSigma^2))))),"")</f>
        <v/>
      </c>
      <c r="O6533">
        <f>IF(B6533,ROUND(MAX(0,J6533*K6533*L6533*M6533*N6533),2),"")</f>
        <v/>
      </c>
    </row>
    <row r="6534">
      <c r="A6534" t="n">
        <v>6533</v>
      </c>
      <c r="B6534">
        <f>A6534&lt;=MineCount*Days</f>
        <v/>
      </c>
      <c r="C6534">
        <f>IF(B6534,INT((A6534-1)/Days)+1,"")</f>
        <v/>
      </c>
      <c r="D6534">
        <f>IF(B6534,MOD(A6534-1,Days),"")</f>
        <v/>
      </c>
      <c r="E6534" s="16">
        <f>IF(B6534,StartDate+D6534,"")</f>
        <v/>
      </c>
      <c r="F6534">
        <f>IF(B6534,MAX(MOD(SIN(Seed*0.1373+C6534*12.9898+D6534*78.233)*43758.5453,1),1E-9),"")</f>
        <v/>
      </c>
      <c r="G6534">
        <f>IF(B6534,MOD(SIN(Seed*0.5917+C6534*39.3468+D6534*11.135)*24634.6345,1),"")</f>
        <v/>
      </c>
      <c r="H6534">
        <f>IF(B6534,SQRT(-2*LN(F6534))*COS(2*PI()*G6534),"")</f>
        <v/>
      </c>
      <c r="I6534">
        <f>IF(B6534,IF(D6534=0,H6534,Rho*I6533+SQRT(1-Rho^2)*H6534),"")</f>
        <v/>
      </c>
      <c r="J6534">
        <f>IF(B6534,IF(Dist="Normal",DistA+DistB*I6534,DistA+(DistB-DistA)*NORMSDIST(I6534)),"")</f>
        <v/>
      </c>
      <c r="K6534">
        <f>IF(B6534,INDEX(MineScale,C6534),"")</f>
        <v/>
      </c>
      <c r="L6534">
        <f>IF(B6534,INDEX(Dow,1,WEEKDAY(E6534,2)),"")</f>
        <v/>
      </c>
      <c r="M6534">
        <f>IF(B6534,(1+Trend)^D6534,"")</f>
        <v/>
      </c>
      <c r="N6534">
        <f>IF(B6534,EXP(SUMPRODUCT(LN(1+(EvEff-1)*INDEX(Affected,0,C6534)*EXP(-((E6534-EvCenter)^2)/(2*EvSigma^2))))),"")</f>
        <v/>
      </c>
      <c r="O6534">
        <f>IF(B6534,ROUND(MAX(0,J6534*K6534*L6534*M6534*N6534),2),"")</f>
        <v/>
      </c>
    </row>
    <row r="6535">
      <c r="A6535" t="n">
        <v>6534</v>
      </c>
      <c r="B6535">
        <f>A6535&lt;=MineCount*Days</f>
        <v/>
      </c>
      <c r="C6535">
        <f>IF(B6535,INT((A6535-1)/Days)+1,"")</f>
        <v/>
      </c>
      <c r="D6535">
        <f>IF(B6535,MOD(A6535-1,Days),"")</f>
        <v/>
      </c>
      <c r="E6535" s="16">
        <f>IF(B6535,StartDate+D6535,"")</f>
        <v/>
      </c>
      <c r="F6535">
        <f>IF(B6535,MAX(MOD(SIN(Seed*0.1373+C6535*12.9898+D6535*78.233)*43758.5453,1),1E-9),"")</f>
        <v/>
      </c>
      <c r="G6535">
        <f>IF(B6535,MOD(SIN(Seed*0.5917+C6535*39.3468+D6535*11.135)*24634.6345,1),"")</f>
        <v/>
      </c>
      <c r="H6535">
        <f>IF(B6535,SQRT(-2*LN(F6535))*COS(2*PI()*G6535),"")</f>
        <v/>
      </c>
      <c r="I6535">
        <f>IF(B6535,IF(D6535=0,H6535,Rho*I6534+SQRT(1-Rho^2)*H6535),"")</f>
        <v/>
      </c>
      <c r="J6535">
        <f>IF(B6535,IF(Dist="Normal",DistA+DistB*I6535,DistA+(DistB-DistA)*NORMSDIST(I6535)),"")</f>
        <v/>
      </c>
      <c r="K6535">
        <f>IF(B6535,INDEX(MineScale,C6535),"")</f>
        <v/>
      </c>
      <c r="L6535">
        <f>IF(B6535,INDEX(Dow,1,WEEKDAY(E6535,2)),"")</f>
        <v/>
      </c>
      <c r="M6535">
        <f>IF(B6535,(1+Trend)^D6535,"")</f>
        <v/>
      </c>
      <c r="N6535">
        <f>IF(B6535,EXP(SUMPRODUCT(LN(1+(EvEff-1)*INDEX(Affected,0,C6535)*EXP(-((E6535-EvCenter)^2)/(2*EvSigma^2))))),"")</f>
        <v/>
      </c>
      <c r="O6535">
        <f>IF(B6535,ROUND(MAX(0,J6535*K6535*L6535*M6535*N6535),2),"")</f>
        <v/>
      </c>
    </row>
    <row r="6536">
      <c r="A6536" t="n">
        <v>6535</v>
      </c>
      <c r="B6536">
        <f>A6536&lt;=MineCount*Days</f>
        <v/>
      </c>
      <c r="C6536">
        <f>IF(B6536,INT((A6536-1)/Days)+1,"")</f>
        <v/>
      </c>
      <c r="D6536">
        <f>IF(B6536,MOD(A6536-1,Days),"")</f>
        <v/>
      </c>
      <c r="E6536" s="16">
        <f>IF(B6536,StartDate+D6536,"")</f>
        <v/>
      </c>
      <c r="F6536">
        <f>IF(B6536,MAX(MOD(SIN(Seed*0.1373+C6536*12.9898+D6536*78.233)*43758.5453,1),1E-9),"")</f>
        <v/>
      </c>
      <c r="G6536">
        <f>IF(B6536,MOD(SIN(Seed*0.5917+C6536*39.3468+D6536*11.135)*24634.6345,1),"")</f>
        <v/>
      </c>
      <c r="H6536">
        <f>IF(B6536,SQRT(-2*LN(F6536))*COS(2*PI()*G6536),"")</f>
        <v/>
      </c>
      <c r="I6536">
        <f>IF(B6536,IF(D6536=0,H6536,Rho*I6535+SQRT(1-Rho^2)*H6536),"")</f>
        <v/>
      </c>
      <c r="J6536">
        <f>IF(B6536,IF(Dist="Normal",DistA+DistB*I6536,DistA+(DistB-DistA)*NORMSDIST(I6536)),"")</f>
        <v/>
      </c>
      <c r="K6536">
        <f>IF(B6536,INDEX(MineScale,C6536),"")</f>
        <v/>
      </c>
      <c r="L6536">
        <f>IF(B6536,INDEX(Dow,1,WEEKDAY(E6536,2)),"")</f>
        <v/>
      </c>
      <c r="M6536">
        <f>IF(B6536,(1+Trend)^D6536,"")</f>
        <v/>
      </c>
      <c r="N6536">
        <f>IF(B6536,EXP(SUMPRODUCT(LN(1+(EvEff-1)*INDEX(Affected,0,C6536)*EXP(-((E6536-EvCenter)^2)/(2*EvSigma^2))))),"")</f>
        <v/>
      </c>
      <c r="O6536">
        <f>IF(B6536,ROUND(MAX(0,J6536*K6536*L6536*M6536*N6536),2),"")</f>
        <v/>
      </c>
    </row>
    <row r="6537">
      <c r="A6537" t="n">
        <v>6536</v>
      </c>
      <c r="B6537">
        <f>A6537&lt;=MineCount*Days</f>
        <v/>
      </c>
      <c r="C6537">
        <f>IF(B6537,INT((A6537-1)/Days)+1,"")</f>
        <v/>
      </c>
      <c r="D6537">
        <f>IF(B6537,MOD(A6537-1,Days),"")</f>
        <v/>
      </c>
      <c r="E6537" s="16">
        <f>IF(B6537,StartDate+D6537,"")</f>
        <v/>
      </c>
      <c r="F6537">
        <f>IF(B6537,MAX(MOD(SIN(Seed*0.1373+C6537*12.9898+D6537*78.233)*43758.5453,1),1E-9),"")</f>
        <v/>
      </c>
      <c r="G6537">
        <f>IF(B6537,MOD(SIN(Seed*0.5917+C6537*39.3468+D6537*11.135)*24634.6345,1),"")</f>
        <v/>
      </c>
      <c r="H6537">
        <f>IF(B6537,SQRT(-2*LN(F6537))*COS(2*PI()*G6537),"")</f>
        <v/>
      </c>
      <c r="I6537">
        <f>IF(B6537,IF(D6537=0,H6537,Rho*I6536+SQRT(1-Rho^2)*H6537),"")</f>
        <v/>
      </c>
      <c r="J6537">
        <f>IF(B6537,IF(Dist="Normal",DistA+DistB*I6537,DistA+(DistB-DistA)*NORMSDIST(I6537)),"")</f>
        <v/>
      </c>
      <c r="K6537">
        <f>IF(B6537,INDEX(MineScale,C6537),"")</f>
        <v/>
      </c>
      <c r="L6537">
        <f>IF(B6537,INDEX(Dow,1,WEEKDAY(E6537,2)),"")</f>
        <v/>
      </c>
      <c r="M6537">
        <f>IF(B6537,(1+Trend)^D6537,"")</f>
        <v/>
      </c>
      <c r="N6537">
        <f>IF(B6537,EXP(SUMPRODUCT(LN(1+(EvEff-1)*INDEX(Affected,0,C6537)*EXP(-((E6537-EvCenter)^2)/(2*EvSigma^2))))),"")</f>
        <v/>
      </c>
      <c r="O6537">
        <f>IF(B6537,ROUND(MAX(0,J6537*K6537*L6537*M6537*N6537),2),"")</f>
        <v/>
      </c>
    </row>
    <row r="6538">
      <c r="A6538" t="n">
        <v>6537</v>
      </c>
      <c r="B6538">
        <f>A6538&lt;=MineCount*Days</f>
        <v/>
      </c>
      <c r="C6538">
        <f>IF(B6538,INT((A6538-1)/Days)+1,"")</f>
        <v/>
      </c>
      <c r="D6538">
        <f>IF(B6538,MOD(A6538-1,Days),"")</f>
        <v/>
      </c>
      <c r="E6538" s="16">
        <f>IF(B6538,StartDate+D6538,"")</f>
        <v/>
      </c>
      <c r="F6538">
        <f>IF(B6538,MAX(MOD(SIN(Seed*0.1373+C6538*12.9898+D6538*78.233)*43758.5453,1),1E-9),"")</f>
        <v/>
      </c>
      <c r="G6538">
        <f>IF(B6538,MOD(SIN(Seed*0.5917+C6538*39.3468+D6538*11.135)*24634.6345,1),"")</f>
        <v/>
      </c>
      <c r="H6538">
        <f>IF(B6538,SQRT(-2*LN(F6538))*COS(2*PI()*G6538),"")</f>
        <v/>
      </c>
      <c r="I6538">
        <f>IF(B6538,IF(D6538=0,H6538,Rho*I6537+SQRT(1-Rho^2)*H6538),"")</f>
        <v/>
      </c>
      <c r="J6538">
        <f>IF(B6538,IF(Dist="Normal",DistA+DistB*I6538,DistA+(DistB-DistA)*NORMSDIST(I6538)),"")</f>
        <v/>
      </c>
      <c r="K6538">
        <f>IF(B6538,INDEX(MineScale,C6538),"")</f>
        <v/>
      </c>
      <c r="L6538">
        <f>IF(B6538,INDEX(Dow,1,WEEKDAY(E6538,2)),"")</f>
        <v/>
      </c>
      <c r="M6538">
        <f>IF(B6538,(1+Trend)^D6538,"")</f>
        <v/>
      </c>
      <c r="N6538">
        <f>IF(B6538,EXP(SUMPRODUCT(LN(1+(EvEff-1)*INDEX(Affected,0,C6538)*EXP(-((E6538-EvCenter)^2)/(2*EvSigma^2))))),"")</f>
        <v/>
      </c>
      <c r="O6538">
        <f>IF(B6538,ROUND(MAX(0,J6538*K6538*L6538*M6538*N6538),2),"")</f>
        <v/>
      </c>
    </row>
    <row r="6539">
      <c r="A6539" t="n">
        <v>6538</v>
      </c>
      <c r="B6539">
        <f>A6539&lt;=MineCount*Days</f>
        <v/>
      </c>
      <c r="C6539">
        <f>IF(B6539,INT((A6539-1)/Days)+1,"")</f>
        <v/>
      </c>
      <c r="D6539">
        <f>IF(B6539,MOD(A6539-1,Days),"")</f>
        <v/>
      </c>
      <c r="E6539" s="16">
        <f>IF(B6539,StartDate+D6539,"")</f>
        <v/>
      </c>
      <c r="F6539">
        <f>IF(B6539,MAX(MOD(SIN(Seed*0.1373+C6539*12.9898+D6539*78.233)*43758.5453,1),1E-9),"")</f>
        <v/>
      </c>
      <c r="G6539">
        <f>IF(B6539,MOD(SIN(Seed*0.5917+C6539*39.3468+D6539*11.135)*24634.6345,1),"")</f>
        <v/>
      </c>
      <c r="H6539">
        <f>IF(B6539,SQRT(-2*LN(F6539))*COS(2*PI()*G6539),"")</f>
        <v/>
      </c>
      <c r="I6539">
        <f>IF(B6539,IF(D6539=0,H6539,Rho*I6538+SQRT(1-Rho^2)*H6539),"")</f>
        <v/>
      </c>
      <c r="J6539">
        <f>IF(B6539,IF(Dist="Normal",DistA+DistB*I6539,DistA+(DistB-DistA)*NORMSDIST(I6539)),"")</f>
        <v/>
      </c>
      <c r="K6539">
        <f>IF(B6539,INDEX(MineScale,C6539),"")</f>
        <v/>
      </c>
      <c r="L6539">
        <f>IF(B6539,INDEX(Dow,1,WEEKDAY(E6539,2)),"")</f>
        <v/>
      </c>
      <c r="M6539">
        <f>IF(B6539,(1+Trend)^D6539,"")</f>
        <v/>
      </c>
      <c r="N6539">
        <f>IF(B6539,EXP(SUMPRODUCT(LN(1+(EvEff-1)*INDEX(Affected,0,C6539)*EXP(-((E6539-EvCenter)^2)/(2*EvSigma^2))))),"")</f>
        <v/>
      </c>
      <c r="O6539">
        <f>IF(B6539,ROUND(MAX(0,J6539*K6539*L6539*M6539*N6539),2),"")</f>
        <v/>
      </c>
    </row>
    <row r="6540">
      <c r="A6540" t="n">
        <v>6539</v>
      </c>
      <c r="B6540">
        <f>A6540&lt;=MineCount*Days</f>
        <v/>
      </c>
      <c r="C6540">
        <f>IF(B6540,INT((A6540-1)/Days)+1,"")</f>
        <v/>
      </c>
      <c r="D6540">
        <f>IF(B6540,MOD(A6540-1,Days),"")</f>
        <v/>
      </c>
      <c r="E6540" s="16">
        <f>IF(B6540,StartDate+D6540,"")</f>
        <v/>
      </c>
      <c r="F6540">
        <f>IF(B6540,MAX(MOD(SIN(Seed*0.1373+C6540*12.9898+D6540*78.233)*43758.5453,1),1E-9),"")</f>
        <v/>
      </c>
      <c r="G6540">
        <f>IF(B6540,MOD(SIN(Seed*0.5917+C6540*39.3468+D6540*11.135)*24634.6345,1),"")</f>
        <v/>
      </c>
      <c r="H6540">
        <f>IF(B6540,SQRT(-2*LN(F6540))*COS(2*PI()*G6540),"")</f>
        <v/>
      </c>
      <c r="I6540">
        <f>IF(B6540,IF(D6540=0,H6540,Rho*I6539+SQRT(1-Rho^2)*H6540),"")</f>
        <v/>
      </c>
      <c r="J6540">
        <f>IF(B6540,IF(Dist="Normal",DistA+DistB*I6540,DistA+(DistB-DistA)*NORMSDIST(I6540)),"")</f>
        <v/>
      </c>
      <c r="K6540">
        <f>IF(B6540,INDEX(MineScale,C6540),"")</f>
        <v/>
      </c>
      <c r="L6540">
        <f>IF(B6540,INDEX(Dow,1,WEEKDAY(E6540,2)),"")</f>
        <v/>
      </c>
      <c r="M6540">
        <f>IF(B6540,(1+Trend)^D6540,"")</f>
        <v/>
      </c>
      <c r="N6540">
        <f>IF(B6540,EXP(SUMPRODUCT(LN(1+(EvEff-1)*INDEX(Affected,0,C6540)*EXP(-((E6540-EvCenter)^2)/(2*EvSigma^2))))),"")</f>
        <v/>
      </c>
      <c r="O6540">
        <f>IF(B6540,ROUND(MAX(0,J6540*K6540*L6540*M6540*N6540),2),"")</f>
        <v/>
      </c>
    </row>
    <row r="6541">
      <c r="A6541" t="n">
        <v>6540</v>
      </c>
      <c r="B6541">
        <f>A6541&lt;=MineCount*Days</f>
        <v/>
      </c>
      <c r="C6541">
        <f>IF(B6541,INT((A6541-1)/Days)+1,"")</f>
        <v/>
      </c>
      <c r="D6541">
        <f>IF(B6541,MOD(A6541-1,Days),"")</f>
        <v/>
      </c>
      <c r="E6541" s="16">
        <f>IF(B6541,StartDate+D6541,"")</f>
        <v/>
      </c>
      <c r="F6541">
        <f>IF(B6541,MAX(MOD(SIN(Seed*0.1373+C6541*12.9898+D6541*78.233)*43758.5453,1),1E-9),"")</f>
        <v/>
      </c>
      <c r="G6541">
        <f>IF(B6541,MOD(SIN(Seed*0.5917+C6541*39.3468+D6541*11.135)*24634.6345,1),"")</f>
        <v/>
      </c>
      <c r="H6541">
        <f>IF(B6541,SQRT(-2*LN(F6541))*COS(2*PI()*G6541),"")</f>
        <v/>
      </c>
      <c r="I6541">
        <f>IF(B6541,IF(D6541=0,H6541,Rho*I6540+SQRT(1-Rho^2)*H6541),"")</f>
        <v/>
      </c>
      <c r="J6541">
        <f>IF(B6541,IF(Dist="Normal",DistA+DistB*I6541,DistA+(DistB-DistA)*NORMSDIST(I6541)),"")</f>
        <v/>
      </c>
      <c r="K6541">
        <f>IF(B6541,INDEX(MineScale,C6541),"")</f>
        <v/>
      </c>
      <c r="L6541">
        <f>IF(B6541,INDEX(Dow,1,WEEKDAY(E6541,2)),"")</f>
        <v/>
      </c>
      <c r="M6541">
        <f>IF(B6541,(1+Trend)^D6541,"")</f>
        <v/>
      </c>
      <c r="N6541">
        <f>IF(B6541,EXP(SUMPRODUCT(LN(1+(EvEff-1)*INDEX(Affected,0,C6541)*EXP(-((E6541-EvCenter)^2)/(2*EvSigma^2))))),"")</f>
        <v/>
      </c>
      <c r="O6541">
        <f>IF(B6541,ROUND(MAX(0,J6541*K6541*L6541*M6541*N6541),2),"")</f>
        <v/>
      </c>
    </row>
    <row r="6542">
      <c r="A6542" t="n">
        <v>6541</v>
      </c>
      <c r="B6542">
        <f>A6542&lt;=MineCount*Days</f>
        <v/>
      </c>
      <c r="C6542">
        <f>IF(B6542,INT((A6542-1)/Days)+1,"")</f>
        <v/>
      </c>
      <c r="D6542">
        <f>IF(B6542,MOD(A6542-1,Days),"")</f>
        <v/>
      </c>
      <c r="E6542" s="16">
        <f>IF(B6542,StartDate+D6542,"")</f>
        <v/>
      </c>
      <c r="F6542">
        <f>IF(B6542,MAX(MOD(SIN(Seed*0.1373+C6542*12.9898+D6542*78.233)*43758.5453,1),1E-9),"")</f>
        <v/>
      </c>
      <c r="G6542">
        <f>IF(B6542,MOD(SIN(Seed*0.5917+C6542*39.3468+D6542*11.135)*24634.6345,1),"")</f>
        <v/>
      </c>
      <c r="H6542">
        <f>IF(B6542,SQRT(-2*LN(F6542))*COS(2*PI()*G6542),"")</f>
        <v/>
      </c>
      <c r="I6542">
        <f>IF(B6542,IF(D6542=0,H6542,Rho*I6541+SQRT(1-Rho^2)*H6542),"")</f>
        <v/>
      </c>
      <c r="J6542">
        <f>IF(B6542,IF(Dist="Normal",DistA+DistB*I6542,DistA+(DistB-DistA)*NORMSDIST(I6542)),"")</f>
        <v/>
      </c>
      <c r="K6542">
        <f>IF(B6542,INDEX(MineScale,C6542),"")</f>
        <v/>
      </c>
      <c r="L6542">
        <f>IF(B6542,INDEX(Dow,1,WEEKDAY(E6542,2)),"")</f>
        <v/>
      </c>
      <c r="M6542">
        <f>IF(B6542,(1+Trend)^D6542,"")</f>
        <v/>
      </c>
      <c r="N6542">
        <f>IF(B6542,EXP(SUMPRODUCT(LN(1+(EvEff-1)*INDEX(Affected,0,C6542)*EXP(-((E6542-EvCenter)^2)/(2*EvSigma^2))))),"")</f>
        <v/>
      </c>
      <c r="O6542">
        <f>IF(B6542,ROUND(MAX(0,J6542*K6542*L6542*M6542*N6542),2),"")</f>
        <v/>
      </c>
    </row>
    <row r="6543">
      <c r="A6543" t="n">
        <v>6542</v>
      </c>
      <c r="B6543">
        <f>A6543&lt;=MineCount*Days</f>
        <v/>
      </c>
      <c r="C6543">
        <f>IF(B6543,INT((A6543-1)/Days)+1,"")</f>
        <v/>
      </c>
      <c r="D6543">
        <f>IF(B6543,MOD(A6543-1,Days),"")</f>
        <v/>
      </c>
      <c r="E6543" s="16">
        <f>IF(B6543,StartDate+D6543,"")</f>
        <v/>
      </c>
      <c r="F6543">
        <f>IF(B6543,MAX(MOD(SIN(Seed*0.1373+C6543*12.9898+D6543*78.233)*43758.5453,1),1E-9),"")</f>
        <v/>
      </c>
      <c r="G6543">
        <f>IF(B6543,MOD(SIN(Seed*0.5917+C6543*39.3468+D6543*11.135)*24634.6345,1),"")</f>
        <v/>
      </c>
      <c r="H6543">
        <f>IF(B6543,SQRT(-2*LN(F6543))*COS(2*PI()*G6543),"")</f>
        <v/>
      </c>
      <c r="I6543">
        <f>IF(B6543,IF(D6543=0,H6543,Rho*I6542+SQRT(1-Rho^2)*H6543),"")</f>
        <v/>
      </c>
      <c r="J6543">
        <f>IF(B6543,IF(Dist="Normal",DistA+DistB*I6543,DistA+(DistB-DistA)*NORMSDIST(I6543)),"")</f>
        <v/>
      </c>
      <c r="K6543">
        <f>IF(B6543,INDEX(MineScale,C6543),"")</f>
        <v/>
      </c>
      <c r="L6543">
        <f>IF(B6543,INDEX(Dow,1,WEEKDAY(E6543,2)),"")</f>
        <v/>
      </c>
      <c r="M6543">
        <f>IF(B6543,(1+Trend)^D6543,"")</f>
        <v/>
      </c>
      <c r="N6543">
        <f>IF(B6543,EXP(SUMPRODUCT(LN(1+(EvEff-1)*INDEX(Affected,0,C6543)*EXP(-((E6543-EvCenter)^2)/(2*EvSigma^2))))),"")</f>
        <v/>
      </c>
      <c r="O6543">
        <f>IF(B6543,ROUND(MAX(0,J6543*K6543*L6543*M6543*N6543),2),"")</f>
        <v/>
      </c>
    </row>
    <row r="6544">
      <c r="A6544" t="n">
        <v>6543</v>
      </c>
      <c r="B6544">
        <f>A6544&lt;=MineCount*Days</f>
        <v/>
      </c>
      <c r="C6544">
        <f>IF(B6544,INT((A6544-1)/Days)+1,"")</f>
        <v/>
      </c>
      <c r="D6544">
        <f>IF(B6544,MOD(A6544-1,Days),"")</f>
        <v/>
      </c>
      <c r="E6544" s="16">
        <f>IF(B6544,StartDate+D6544,"")</f>
        <v/>
      </c>
      <c r="F6544">
        <f>IF(B6544,MAX(MOD(SIN(Seed*0.1373+C6544*12.9898+D6544*78.233)*43758.5453,1),1E-9),"")</f>
        <v/>
      </c>
      <c r="G6544">
        <f>IF(B6544,MOD(SIN(Seed*0.5917+C6544*39.3468+D6544*11.135)*24634.6345,1),"")</f>
        <v/>
      </c>
      <c r="H6544">
        <f>IF(B6544,SQRT(-2*LN(F6544))*COS(2*PI()*G6544),"")</f>
        <v/>
      </c>
      <c r="I6544">
        <f>IF(B6544,IF(D6544=0,H6544,Rho*I6543+SQRT(1-Rho^2)*H6544),"")</f>
        <v/>
      </c>
      <c r="J6544">
        <f>IF(B6544,IF(Dist="Normal",DistA+DistB*I6544,DistA+(DistB-DistA)*NORMSDIST(I6544)),"")</f>
        <v/>
      </c>
      <c r="K6544">
        <f>IF(B6544,INDEX(MineScale,C6544),"")</f>
        <v/>
      </c>
      <c r="L6544">
        <f>IF(B6544,INDEX(Dow,1,WEEKDAY(E6544,2)),"")</f>
        <v/>
      </c>
      <c r="M6544">
        <f>IF(B6544,(1+Trend)^D6544,"")</f>
        <v/>
      </c>
      <c r="N6544">
        <f>IF(B6544,EXP(SUMPRODUCT(LN(1+(EvEff-1)*INDEX(Affected,0,C6544)*EXP(-((E6544-EvCenter)^2)/(2*EvSigma^2))))),"")</f>
        <v/>
      </c>
      <c r="O6544">
        <f>IF(B6544,ROUND(MAX(0,J6544*K6544*L6544*M6544*N6544),2),"")</f>
        <v/>
      </c>
    </row>
    <row r="6545">
      <c r="A6545" t="n">
        <v>6544</v>
      </c>
      <c r="B6545">
        <f>A6545&lt;=MineCount*Days</f>
        <v/>
      </c>
      <c r="C6545">
        <f>IF(B6545,INT((A6545-1)/Days)+1,"")</f>
        <v/>
      </c>
      <c r="D6545">
        <f>IF(B6545,MOD(A6545-1,Days),"")</f>
        <v/>
      </c>
      <c r="E6545" s="16">
        <f>IF(B6545,StartDate+D6545,"")</f>
        <v/>
      </c>
      <c r="F6545">
        <f>IF(B6545,MAX(MOD(SIN(Seed*0.1373+C6545*12.9898+D6545*78.233)*43758.5453,1),1E-9),"")</f>
        <v/>
      </c>
      <c r="G6545">
        <f>IF(B6545,MOD(SIN(Seed*0.5917+C6545*39.3468+D6545*11.135)*24634.6345,1),"")</f>
        <v/>
      </c>
      <c r="H6545">
        <f>IF(B6545,SQRT(-2*LN(F6545))*COS(2*PI()*G6545),"")</f>
        <v/>
      </c>
      <c r="I6545">
        <f>IF(B6545,IF(D6545=0,H6545,Rho*I6544+SQRT(1-Rho^2)*H6545),"")</f>
        <v/>
      </c>
      <c r="J6545">
        <f>IF(B6545,IF(Dist="Normal",DistA+DistB*I6545,DistA+(DistB-DistA)*NORMSDIST(I6545)),"")</f>
        <v/>
      </c>
      <c r="K6545">
        <f>IF(B6545,INDEX(MineScale,C6545),"")</f>
        <v/>
      </c>
      <c r="L6545">
        <f>IF(B6545,INDEX(Dow,1,WEEKDAY(E6545,2)),"")</f>
        <v/>
      </c>
      <c r="M6545">
        <f>IF(B6545,(1+Trend)^D6545,"")</f>
        <v/>
      </c>
      <c r="N6545">
        <f>IF(B6545,EXP(SUMPRODUCT(LN(1+(EvEff-1)*INDEX(Affected,0,C6545)*EXP(-((E6545-EvCenter)^2)/(2*EvSigma^2))))),"")</f>
        <v/>
      </c>
      <c r="O6545">
        <f>IF(B6545,ROUND(MAX(0,J6545*K6545*L6545*M6545*N6545),2),"")</f>
        <v/>
      </c>
    </row>
    <row r="6546">
      <c r="A6546" t="n">
        <v>6545</v>
      </c>
      <c r="B6546">
        <f>A6546&lt;=MineCount*Days</f>
        <v/>
      </c>
      <c r="C6546">
        <f>IF(B6546,INT((A6546-1)/Days)+1,"")</f>
        <v/>
      </c>
      <c r="D6546">
        <f>IF(B6546,MOD(A6546-1,Days),"")</f>
        <v/>
      </c>
      <c r="E6546" s="16">
        <f>IF(B6546,StartDate+D6546,"")</f>
        <v/>
      </c>
      <c r="F6546">
        <f>IF(B6546,MAX(MOD(SIN(Seed*0.1373+C6546*12.9898+D6546*78.233)*43758.5453,1),1E-9),"")</f>
        <v/>
      </c>
      <c r="G6546">
        <f>IF(B6546,MOD(SIN(Seed*0.5917+C6546*39.3468+D6546*11.135)*24634.6345,1),"")</f>
        <v/>
      </c>
      <c r="H6546">
        <f>IF(B6546,SQRT(-2*LN(F6546))*COS(2*PI()*G6546),"")</f>
        <v/>
      </c>
      <c r="I6546">
        <f>IF(B6546,IF(D6546=0,H6546,Rho*I6545+SQRT(1-Rho^2)*H6546),"")</f>
        <v/>
      </c>
      <c r="J6546">
        <f>IF(B6546,IF(Dist="Normal",DistA+DistB*I6546,DistA+(DistB-DistA)*NORMSDIST(I6546)),"")</f>
        <v/>
      </c>
      <c r="K6546">
        <f>IF(B6546,INDEX(MineScale,C6546),"")</f>
        <v/>
      </c>
      <c r="L6546">
        <f>IF(B6546,INDEX(Dow,1,WEEKDAY(E6546,2)),"")</f>
        <v/>
      </c>
      <c r="M6546">
        <f>IF(B6546,(1+Trend)^D6546,"")</f>
        <v/>
      </c>
      <c r="N6546">
        <f>IF(B6546,EXP(SUMPRODUCT(LN(1+(EvEff-1)*INDEX(Affected,0,C6546)*EXP(-((E6546-EvCenter)^2)/(2*EvSigma^2))))),"")</f>
        <v/>
      </c>
      <c r="O6546">
        <f>IF(B6546,ROUND(MAX(0,J6546*K6546*L6546*M6546*N6546),2),"")</f>
        <v/>
      </c>
    </row>
    <row r="6547">
      <c r="A6547" t="n">
        <v>6546</v>
      </c>
      <c r="B6547">
        <f>A6547&lt;=MineCount*Days</f>
        <v/>
      </c>
      <c r="C6547">
        <f>IF(B6547,INT((A6547-1)/Days)+1,"")</f>
        <v/>
      </c>
      <c r="D6547">
        <f>IF(B6547,MOD(A6547-1,Days),"")</f>
        <v/>
      </c>
      <c r="E6547" s="16">
        <f>IF(B6547,StartDate+D6547,"")</f>
        <v/>
      </c>
      <c r="F6547">
        <f>IF(B6547,MAX(MOD(SIN(Seed*0.1373+C6547*12.9898+D6547*78.233)*43758.5453,1),1E-9),"")</f>
        <v/>
      </c>
      <c r="G6547">
        <f>IF(B6547,MOD(SIN(Seed*0.5917+C6547*39.3468+D6547*11.135)*24634.6345,1),"")</f>
        <v/>
      </c>
      <c r="H6547">
        <f>IF(B6547,SQRT(-2*LN(F6547))*COS(2*PI()*G6547),"")</f>
        <v/>
      </c>
      <c r="I6547">
        <f>IF(B6547,IF(D6547=0,H6547,Rho*I6546+SQRT(1-Rho^2)*H6547),"")</f>
        <v/>
      </c>
      <c r="J6547">
        <f>IF(B6547,IF(Dist="Normal",DistA+DistB*I6547,DistA+(DistB-DistA)*NORMSDIST(I6547)),"")</f>
        <v/>
      </c>
      <c r="K6547">
        <f>IF(B6547,INDEX(MineScale,C6547),"")</f>
        <v/>
      </c>
      <c r="L6547">
        <f>IF(B6547,INDEX(Dow,1,WEEKDAY(E6547,2)),"")</f>
        <v/>
      </c>
      <c r="M6547">
        <f>IF(B6547,(1+Trend)^D6547,"")</f>
        <v/>
      </c>
      <c r="N6547">
        <f>IF(B6547,EXP(SUMPRODUCT(LN(1+(EvEff-1)*INDEX(Affected,0,C6547)*EXP(-((E6547-EvCenter)^2)/(2*EvSigma^2))))),"")</f>
        <v/>
      </c>
      <c r="O6547">
        <f>IF(B6547,ROUND(MAX(0,J6547*K6547*L6547*M6547*N6547),2),"")</f>
        <v/>
      </c>
    </row>
    <row r="6548">
      <c r="A6548" t="n">
        <v>6547</v>
      </c>
      <c r="B6548">
        <f>A6548&lt;=MineCount*Days</f>
        <v/>
      </c>
      <c r="C6548">
        <f>IF(B6548,INT((A6548-1)/Days)+1,"")</f>
        <v/>
      </c>
      <c r="D6548">
        <f>IF(B6548,MOD(A6548-1,Days),"")</f>
        <v/>
      </c>
      <c r="E6548" s="16">
        <f>IF(B6548,StartDate+D6548,"")</f>
        <v/>
      </c>
      <c r="F6548">
        <f>IF(B6548,MAX(MOD(SIN(Seed*0.1373+C6548*12.9898+D6548*78.233)*43758.5453,1),1E-9),"")</f>
        <v/>
      </c>
      <c r="G6548">
        <f>IF(B6548,MOD(SIN(Seed*0.5917+C6548*39.3468+D6548*11.135)*24634.6345,1),"")</f>
        <v/>
      </c>
      <c r="H6548">
        <f>IF(B6548,SQRT(-2*LN(F6548))*COS(2*PI()*G6548),"")</f>
        <v/>
      </c>
      <c r="I6548">
        <f>IF(B6548,IF(D6548=0,H6548,Rho*I6547+SQRT(1-Rho^2)*H6548),"")</f>
        <v/>
      </c>
      <c r="J6548">
        <f>IF(B6548,IF(Dist="Normal",DistA+DistB*I6548,DistA+(DistB-DistA)*NORMSDIST(I6548)),"")</f>
        <v/>
      </c>
      <c r="K6548">
        <f>IF(B6548,INDEX(MineScale,C6548),"")</f>
        <v/>
      </c>
      <c r="L6548">
        <f>IF(B6548,INDEX(Dow,1,WEEKDAY(E6548,2)),"")</f>
        <v/>
      </c>
      <c r="M6548">
        <f>IF(B6548,(1+Trend)^D6548,"")</f>
        <v/>
      </c>
      <c r="N6548">
        <f>IF(B6548,EXP(SUMPRODUCT(LN(1+(EvEff-1)*INDEX(Affected,0,C6548)*EXP(-((E6548-EvCenter)^2)/(2*EvSigma^2))))),"")</f>
        <v/>
      </c>
      <c r="O6548">
        <f>IF(B6548,ROUND(MAX(0,J6548*K6548*L6548*M6548*N6548),2),"")</f>
        <v/>
      </c>
    </row>
    <row r="6549">
      <c r="A6549" t="n">
        <v>6548</v>
      </c>
      <c r="B6549">
        <f>A6549&lt;=MineCount*Days</f>
        <v/>
      </c>
      <c r="C6549">
        <f>IF(B6549,INT((A6549-1)/Days)+1,"")</f>
        <v/>
      </c>
      <c r="D6549">
        <f>IF(B6549,MOD(A6549-1,Days),"")</f>
        <v/>
      </c>
      <c r="E6549" s="16">
        <f>IF(B6549,StartDate+D6549,"")</f>
        <v/>
      </c>
      <c r="F6549">
        <f>IF(B6549,MAX(MOD(SIN(Seed*0.1373+C6549*12.9898+D6549*78.233)*43758.5453,1),1E-9),"")</f>
        <v/>
      </c>
      <c r="G6549">
        <f>IF(B6549,MOD(SIN(Seed*0.5917+C6549*39.3468+D6549*11.135)*24634.6345,1),"")</f>
        <v/>
      </c>
      <c r="H6549">
        <f>IF(B6549,SQRT(-2*LN(F6549))*COS(2*PI()*G6549),"")</f>
        <v/>
      </c>
      <c r="I6549">
        <f>IF(B6549,IF(D6549=0,H6549,Rho*I6548+SQRT(1-Rho^2)*H6549),"")</f>
        <v/>
      </c>
      <c r="J6549">
        <f>IF(B6549,IF(Dist="Normal",DistA+DistB*I6549,DistA+(DistB-DistA)*NORMSDIST(I6549)),"")</f>
        <v/>
      </c>
      <c r="K6549">
        <f>IF(B6549,INDEX(MineScale,C6549),"")</f>
        <v/>
      </c>
      <c r="L6549">
        <f>IF(B6549,INDEX(Dow,1,WEEKDAY(E6549,2)),"")</f>
        <v/>
      </c>
      <c r="M6549">
        <f>IF(B6549,(1+Trend)^D6549,"")</f>
        <v/>
      </c>
      <c r="N6549">
        <f>IF(B6549,EXP(SUMPRODUCT(LN(1+(EvEff-1)*INDEX(Affected,0,C6549)*EXP(-((E6549-EvCenter)^2)/(2*EvSigma^2))))),"")</f>
        <v/>
      </c>
      <c r="O6549">
        <f>IF(B6549,ROUND(MAX(0,J6549*K6549*L6549*M6549*N6549),2),"")</f>
        <v/>
      </c>
    </row>
    <row r="6550">
      <c r="A6550" t="n">
        <v>6549</v>
      </c>
      <c r="B6550">
        <f>A6550&lt;=MineCount*Days</f>
        <v/>
      </c>
      <c r="C6550">
        <f>IF(B6550,INT((A6550-1)/Days)+1,"")</f>
        <v/>
      </c>
      <c r="D6550">
        <f>IF(B6550,MOD(A6550-1,Days),"")</f>
        <v/>
      </c>
      <c r="E6550" s="16">
        <f>IF(B6550,StartDate+D6550,"")</f>
        <v/>
      </c>
      <c r="F6550">
        <f>IF(B6550,MAX(MOD(SIN(Seed*0.1373+C6550*12.9898+D6550*78.233)*43758.5453,1),1E-9),"")</f>
        <v/>
      </c>
      <c r="G6550">
        <f>IF(B6550,MOD(SIN(Seed*0.5917+C6550*39.3468+D6550*11.135)*24634.6345,1),"")</f>
        <v/>
      </c>
      <c r="H6550">
        <f>IF(B6550,SQRT(-2*LN(F6550))*COS(2*PI()*G6550),"")</f>
        <v/>
      </c>
      <c r="I6550">
        <f>IF(B6550,IF(D6550=0,H6550,Rho*I6549+SQRT(1-Rho^2)*H6550),"")</f>
        <v/>
      </c>
      <c r="J6550">
        <f>IF(B6550,IF(Dist="Normal",DistA+DistB*I6550,DistA+(DistB-DistA)*NORMSDIST(I6550)),"")</f>
        <v/>
      </c>
      <c r="K6550">
        <f>IF(B6550,INDEX(MineScale,C6550),"")</f>
        <v/>
      </c>
      <c r="L6550">
        <f>IF(B6550,INDEX(Dow,1,WEEKDAY(E6550,2)),"")</f>
        <v/>
      </c>
      <c r="M6550">
        <f>IF(B6550,(1+Trend)^D6550,"")</f>
        <v/>
      </c>
      <c r="N6550">
        <f>IF(B6550,EXP(SUMPRODUCT(LN(1+(EvEff-1)*INDEX(Affected,0,C6550)*EXP(-((E6550-EvCenter)^2)/(2*EvSigma^2))))),"")</f>
        <v/>
      </c>
      <c r="O6550">
        <f>IF(B6550,ROUND(MAX(0,J6550*K6550*L6550*M6550*N6550),2),"")</f>
        <v/>
      </c>
    </row>
    <row r="6551">
      <c r="A6551" t="n">
        <v>6550</v>
      </c>
      <c r="B6551">
        <f>A6551&lt;=MineCount*Days</f>
        <v/>
      </c>
      <c r="C6551">
        <f>IF(B6551,INT((A6551-1)/Days)+1,"")</f>
        <v/>
      </c>
      <c r="D6551">
        <f>IF(B6551,MOD(A6551-1,Days),"")</f>
        <v/>
      </c>
      <c r="E6551" s="16">
        <f>IF(B6551,StartDate+D6551,"")</f>
        <v/>
      </c>
      <c r="F6551">
        <f>IF(B6551,MAX(MOD(SIN(Seed*0.1373+C6551*12.9898+D6551*78.233)*43758.5453,1),1E-9),"")</f>
        <v/>
      </c>
      <c r="G6551">
        <f>IF(B6551,MOD(SIN(Seed*0.5917+C6551*39.3468+D6551*11.135)*24634.6345,1),"")</f>
        <v/>
      </c>
      <c r="H6551">
        <f>IF(B6551,SQRT(-2*LN(F6551))*COS(2*PI()*G6551),"")</f>
        <v/>
      </c>
      <c r="I6551">
        <f>IF(B6551,IF(D6551=0,H6551,Rho*I6550+SQRT(1-Rho^2)*H6551),"")</f>
        <v/>
      </c>
      <c r="J6551">
        <f>IF(B6551,IF(Dist="Normal",DistA+DistB*I6551,DistA+(DistB-DistA)*NORMSDIST(I6551)),"")</f>
        <v/>
      </c>
      <c r="K6551">
        <f>IF(B6551,INDEX(MineScale,C6551),"")</f>
        <v/>
      </c>
      <c r="L6551">
        <f>IF(B6551,INDEX(Dow,1,WEEKDAY(E6551,2)),"")</f>
        <v/>
      </c>
      <c r="M6551">
        <f>IF(B6551,(1+Trend)^D6551,"")</f>
        <v/>
      </c>
      <c r="N6551">
        <f>IF(B6551,EXP(SUMPRODUCT(LN(1+(EvEff-1)*INDEX(Affected,0,C6551)*EXP(-((E6551-EvCenter)^2)/(2*EvSigma^2))))),"")</f>
        <v/>
      </c>
      <c r="O6551">
        <f>IF(B6551,ROUND(MAX(0,J6551*K6551*L6551*M6551*N6551),2),"")</f>
        <v/>
      </c>
    </row>
    <row r="6552">
      <c r="A6552" t="n">
        <v>6551</v>
      </c>
      <c r="B6552">
        <f>A6552&lt;=MineCount*Days</f>
        <v/>
      </c>
      <c r="C6552">
        <f>IF(B6552,INT((A6552-1)/Days)+1,"")</f>
        <v/>
      </c>
      <c r="D6552">
        <f>IF(B6552,MOD(A6552-1,Days),"")</f>
        <v/>
      </c>
      <c r="E6552" s="16">
        <f>IF(B6552,StartDate+D6552,"")</f>
        <v/>
      </c>
      <c r="F6552">
        <f>IF(B6552,MAX(MOD(SIN(Seed*0.1373+C6552*12.9898+D6552*78.233)*43758.5453,1),1E-9),"")</f>
        <v/>
      </c>
      <c r="G6552">
        <f>IF(B6552,MOD(SIN(Seed*0.5917+C6552*39.3468+D6552*11.135)*24634.6345,1),"")</f>
        <v/>
      </c>
      <c r="H6552">
        <f>IF(B6552,SQRT(-2*LN(F6552))*COS(2*PI()*G6552),"")</f>
        <v/>
      </c>
      <c r="I6552">
        <f>IF(B6552,IF(D6552=0,H6552,Rho*I6551+SQRT(1-Rho^2)*H6552),"")</f>
        <v/>
      </c>
      <c r="J6552">
        <f>IF(B6552,IF(Dist="Normal",DistA+DistB*I6552,DistA+(DistB-DistA)*NORMSDIST(I6552)),"")</f>
        <v/>
      </c>
      <c r="K6552">
        <f>IF(B6552,INDEX(MineScale,C6552),"")</f>
        <v/>
      </c>
      <c r="L6552">
        <f>IF(B6552,INDEX(Dow,1,WEEKDAY(E6552,2)),"")</f>
        <v/>
      </c>
      <c r="M6552">
        <f>IF(B6552,(1+Trend)^D6552,"")</f>
        <v/>
      </c>
      <c r="N6552">
        <f>IF(B6552,EXP(SUMPRODUCT(LN(1+(EvEff-1)*INDEX(Affected,0,C6552)*EXP(-((E6552-EvCenter)^2)/(2*EvSigma^2))))),"")</f>
        <v/>
      </c>
      <c r="O6552">
        <f>IF(B6552,ROUND(MAX(0,J6552*K6552*L6552*M6552*N6552),2),"")</f>
        <v/>
      </c>
    </row>
    <row r="6553">
      <c r="A6553" t="n">
        <v>6552</v>
      </c>
      <c r="B6553">
        <f>A6553&lt;=MineCount*Days</f>
        <v/>
      </c>
      <c r="C6553">
        <f>IF(B6553,INT((A6553-1)/Days)+1,"")</f>
        <v/>
      </c>
      <c r="D6553">
        <f>IF(B6553,MOD(A6553-1,Days),"")</f>
        <v/>
      </c>
      <c r="E6553" s="16">
        <f>IF(B6553,StartDate+D6553,"")</f>
        <v/>
      </c>
      <c r="F6553">
        <f>IF(B6553,MAX(MOD(SIN(Seed*0.1373+C6553*12.9898+D6553*78.233)*43758.5453,1),1E-9),"")</f>
        <v/>
      </c>
      <c r="G6553">
        <f>IF(B6553,MOD(SIN(Seed*0.5917+C6553*39.3468+D6553*11.135)*24634.6345,1),"")</f>
        <v/>
      </c>
      <c r="H6553">
        <f>IF(B6553,SQRT(-2*LN(F6553))*COS(2*PI()*G6553),"")</f>
        <v/>
      </c>
      <c r="I6553">
        <f>IF(B6553,IF(D6553=0,H6553,Rho*I6552+SQRT(1-Rho^2)*H6553),"")</f>
        <v/>
      </c>
      <c r="J6553">
        <f>IF(B6553,IF(Dist="Normal",DistA+DistB*I6553,DistA+(DistB-DistA)*NORMSDIST(I6553)),"")</f>
        <v/>
      </c>
      <c r="K6553">
        <f>IF(B6553,INDEX(MineScale,C6553),"")</f>
        <v/>
      </c>
      <c r="L6553">
        <f>IF(B6553,INDEX(Dow,1,WEEKDAY(E6553,2)),"")</f>
        <v/>
      </c>
      <c r="M6553">
        <f>IF(B6553,(1+Trend)^D6553,"")</f>
        <v/>
      </c>
      <c r="N6553">
        <f>IF(B6553,EXP(SUMPRODUCT(LN(1+(EvEff-1)*INDEX(Affected,0,C6553)*EXP(-((E6553-EvCenter)^2)/(2*EvSigma^2))))),"")</f>
        <v/>
      </c>
      <c r="O6553">
        <f>IF(B6553,ROUND(MAX(0,J6553*K6553*L6553*M6553*N6553),2),"")</f>
        <v/>
      </c>
    </row>
    <row r="6554">
      <c r="A6554" t="n">
        <v>6553</v>
      </c>
      <c r="B6554">
        <f>A6554&lt;=MineCount*Days</f>
        <v/>
      </c>
      <c r="C6554">
        <f>IF(B6554,INT((A6554-1)/Days)+1,"")</f>
        <v/>
      </c>
      <c r="D6554">
        <f>IF(B6554,MOD(A6554-1,Days),"")</f>
        <v/>
      </c>
      <c r="E6554" s="16">
        <f>IF(B6554,StartDate+D6554,"")</f>
        <v/>
      </c>
      <c r="F6554">
        <f>IF(B6554,MAX(MOD(SIN(Seed*0.1373+C6554*12.9898+D6554*78.233)*43758.5453,1),1E-9),"")</f>
        <v/>
      </c>
      <c r="G6554">
        <f>IF(B6554,MOD(SIN(Seed*0.5917+C6554*39.3468+D6554*11.135)*24634.6345,1),"")</f>
        <v/>
      </c>
      <c r="H6554">
        <f>IF(B6554,SQRT(-2*LN(F6554))*COS(2*PI()*G6554),"")</f>
        <v/>
      </c>
      <c r="I6554">
        <f>IF(B6554,IF(D6554=0,H6554,Rho*I6553+SQRT(1-Rho^2)*H6554),"")</f>
        <v/>
      </c>
      <c r="J6554">
        <f>IF(B6554,IF(Dist="Normal",DistA+DistB*I6554,DistA+(DistB-DistA)*NORMSDIST(I6554)),"")</f>
        <v/>
      </c>
      <c r="K6554">
        <f>IF(B6554,INDEX(MineScale,C6554),"")</f>
        <v/>
      </c>
      <c r="L6554">
        <f>IF(B6554,INDEX(Dow,1,WEEKDAY(E6554,2)),"")</f>
        <v/>
      </c>
      <c r="M6554">
        <f>IF(B6554,(1+Trend)^D6554,"")</f>
        <v/>
      </c>
      <c r="N6554">
        <f>IF(B6554,EXP(SUMPRODUCT(LN(1+(EvEff-1)*INDEX(Affected,0,C6554)*EXP(-((E6554-EvCenter)^2)/(2*EvSigma^2))))),"")</f>
        <v/>
      </c>
      <c r="O6554">
        <f>IF(B6554,ROUND(MAX(0,J6554*K6554*L6554*M6554*N6554),2),"")</f>
        <v/>
      </c>
    </row>
    <row r="6555">
      <c r="A6555" t="n">
        <v>6554</v>
      </c>
      <c r="B6555">
        <f>A6555&lt;=MineCount*Days</f>
        <v/>
      </c>
      <c r="C6555">
        <f>IF(B6555,INT((A6555-1)/Days)+1,"")</f>
        <v/>
      </c>
      <c r="D6555">
        <f>IF(B6555,MOD(A6555-1,Days),"")</f>
        <v/>
      </c>
      <c r="E6555" s="16">
        <f>IF(B6555,StartDate+D6555,"")</f>
        <v/>
      </c>
      <c r="F6555">
        <f>IF(B6555,MAX(MOD(SIN(Seed*0.1373+C6555*12.9898+D6555*78.233)*43758.5453,1),1E-9),"")</f>
        <v/>
      </c>
      <c r="G6555">
        <f>IF(B6555,MOD(SIN(Seed*0.5917+C6555*39.3468+D6555*11.135)*24634.6345,1),"")</f>
        <v/>
      </c>
      <c r="H6555">
        <f>IF(B6555,SQRT(-2*LN(F6555))*COS(2*PI()*G6555),"")</f>
        <v/>
      </c>
      <c r="I6555">
        <f>IF(B6555,IF(D6555=0,H6555,Rho*I6554+SQRT(1-Rho^2)*H6555),"")</f>
        <v/>
      </c>
      <c r="J6555">
        <f>IF(B6555,IF(Dist="Normal",DistA+DistB*I6555,DistA+(DistB-DistA)*NORMSDIST(I6555)),"")</f>
        <v/>
      </c>
      <c r="K6555">
        <f>IF(B6555,INDEX(MineScale,C6555),"")</f>
        <v/>
      </c>
      <c r="L6555">
        <f>IF(B6555,INDEX(Dow,1,WEEKDAY(E6555,2)),"")</f>
        <v/>
      </c>
      <c r="M6555">
        <f>IF(B6555,(1+Trend)^D6555,"")</f>
        <v/>
      </c>
      <c r="N6555">
        <f>IF(B6555,EXP(SUMPRODUCT(LN(1+(EvEff-1)*INDEX(Affected,0,C6555)*EXP(-((E6555-EvCenter)^2)/(2*EvSigma^2))))),"")</f>
        <v/>
      </c>
      <c r="O6555">
        <f>IF(B6555,ROUND(MAX(0,J6555*K6555*L6555*M6555*N6555),2),"")</f>
        <v/>
      </c>
    </row>
    <row r="6556">
      <c r="A6556" t="n">
        <v>6555</v>
      </c>
      <c r="B6556">
        <f>A6556&lt;=MineCount*Days</f>
        <v/>
      </c>
      <c r="C6556">
        <f>IF(B6556,INT((A6556-1)/Days)+1,"")</f>
        <v/>
      </c>
      <c r="D6556">
        <f>IF(B6556,MOD(A6556-1,Days),"")</f>
        <v/>
      </c>
      <c r="E6556" s="16">
        <f>IF(B6556,StartDate+D6556,"")</f>
        <v/>
      </c>
      <c r="F6556">
        <f>IF(B6556,MAX(MOD(SIN(Seed*0.1373+C6556*12.9898+D6556*78.233)*43758.5453,1),1E-9),"")</f>
        <v/>
      </c>
      <c r="G6556">
        <f>IF(B6556,MOD(SIN(Seed*0.5917+C6556*39.3468+D6556*11.135)*24634.6345,1),"")</f>
        <v/>
      </c>
      <c r="H6556">
        <f>IF(B6556,SQRT(-2*LN(F6556))*COS(2*PI()*G6556),"")</f>
        <v/>
      </c>
      <c r="I6556">
        <f>IF(B6556,IF(D6556=0,H6556,Rho*I6555+SQRT(1-Rho^2)*H6556),"")</f>
        <v/>
      </c>
      <c r="J6556">
        <f>IF(B6556,IF(Dist="Normal",DistA+DistB*I6556,DistA+(DistB-DistA)*NORMSDIST(I6556)),"")</f>
        <v/>
      </c>
      <c r="K6556">
        <f>IF(B6556,INDEX(MineScale,C6556),"")</f>
        <v/>
      </c>
      <c r="L6556">
        <f>IF(B6556,INDEX(Dow,1,WEEKDAY(E6556,2)),"")</f>
        <v/>
      </c>
      <c r="M6556">
        <f>IF(B6556,(1+Trend)^D6556,"")</f>
        <v/>
      </c>
      <c r="N6556">
        <f>IF(B6556,EXP(SUMPRODUCT(LN(1+(EvEff-1)*INDEX(Affected,0,C6556)*EXP(-((E6556-EvCenter)^2)/(2*EvSigma^2))))),"")</f>
        <v/>
      </c>
      <c r="O6556">
        <f>IF(B6556,ROUND(MAX(0,J6556*K6556*L6556*M6556*N6556),2),"")</f>
        <v/>
      </c>
    </row>
    <row r="6557">
      <c r="A6557" t="n">
        <v>6556</v>
      </c>
      <c r="B6557">
        <f>A6557&lt;=MineCount*Days</f>
        <v/>
      </c>
      <c r="C6557">
        <f>IF(B6557,INT((A6557-1)/Days)+1,"")</f>
        <v/>
      </c>
      <c r="D6557">
        <f>IF(B6557,MOD(A6557-1,Days),"")</f>
        <v/>
      </c>
      <c r="E6557" s="16">
        <f>IF(B6557,StartDate+D6557,"")</f>
        <v/>
      </c>
      <c r="F6557">
        <f>IF(B6557,MAX(MOD(SIN(Seed*0.1373+C6557*12.9898+D6557*78.233)*43758.5453,1),1E-9),"")</f>
        <v/>
      </c>
      <c r="G6557">
        <f>IF(B6557,MOD(SIN(Seed*0.5917+C6557*39.3468+D6557*11.135)*24634.6345,1),"")</f>
        <v/>
      </c>
      <c r="H6557">
        <f>IF(B6557,SQRT(-2*LN(F6557))*COS(2*PI()*G6557),"")</f>
        <v/>
      </c>
      <c r="I6557">
        <f>IF(B6557,IF(D6557=0,H6557,Rho*I6556+SQRT(1-Rho^2)*H6557),"")</f>
        <v/>
      </c>
      <c r="J6557">
        <f>IF(B6557,IF(Dist="Normal",DistA+DistB*I6557,DistA+(DistB-DistA)*NORMSDIST(I6557)),"")</f>
        <v/>
      </c>
      <c r="K6557">
        <f>IF(B6557,INDEX(MineScale,C6557),"")</f>
        <v/>
      </c>
      <c r="L6557">
        <f>IF(B6557,INDEX(Dow,1,WEEKDAY(E6557,2)),"")</f>
        <v/>
      </c>
      <c r="M6557">
        <f>IF(B6557,(1+Trend)^D6557,"")</f>
        <v/>
      </c>
      <c r="N6557">
        <f>IF(B6557,EXP(SUMPRODUCT(LN(1+(EvEff-1)*INDEX(Affected,0,C6557)*EXP(-((E6557-EvCenter)^2)/(2*EvSigma^2))))),"")</f>
        <v/>
      </c>
      <c r="O6557">
        <f>IF(B6557,ROUND(MAX(0,J6557*K6557*L6557*M6557*N6557),2),"")</f>
        <v/>
      </c>
    </row>
    <row r="6558">
      <c r="A6558" t="n">
        <v>6557</v>
      </c>
      <c r="B6558">
        <f>A6558&lt;=MineCount*Days</f>
        <v/>
      </c>
      <c r="C6558">
        <f>IF(B6558,INT((A6558-1)/Days)+1,"")</f>
        <v/>
      </c>
      <c r="D6558">
        <f>IF(B6558,MOD(A6558-1,Days),"")</f>
        <v/>
      </c>
      <c r="E6558" s="16">
        <f>IF(B6558,StartDate+D6558,"")</f>
        <v/>
      </c>
      <c r="F6558">
        <f>IF(B6558,MAX(MOD(SIN(Seed*0.1373+C6558*12.9898+D6558*78.233)*43758.5453,1),1E-9),"")</f>
        <v/>
      </c>
      <c r="G6558">
        <f>IF(B6558,MOD(SIN(Seed*0.5917+C6558*39.3468+D6558*11.135)*24634.6345,1),"")</f>
        <v/>
      </c>
      <c r="H6558">
        <f>IF(B6558,SQRT(-2*LN(F6558))*COS(2*PI()*G6558),"")</f>
        <v/>
      </c>
      <c r="I6558">
        <f>IF(B6558,IF(D6558=0,H6558,Rho*I6557+SQRT(1-Rho^2)*H6558),"")</f>
        <v/>
      </c>
      <c r="J6558">
        <f>IF(B6558,IF(Dist="Normal",DistA+DistB*I6558,DistA+(DistB-DistA)*NORMSDIST(I6558)),"")</f>
        <v/>
      </c>
      <c r="K6558">
        <f>IF(B6558,INDEX(MineScale,C6558),"")</f>
        <v/>
      </c>
      <c r="L6558">
        <f>IF(B6558,INDEX(Dow,1,WEEKDAY(E6558,2)),"")</f>
        <v/>
      </c>
      <c r="M6558">
        <f>IF(B6558,(1+Trend)^D6558,"")</f>
        <v/>
      </c>
      <c r="N6558">
        <f>IF(B6558,EXP(SUMPRODUCT(LN(1+(EvEff-1)*INDEX(Affected,0,C6558)*EXP(-((E6558-EvCenter)^2)/(2*EvSigma^2))))),"")</f>
        <v/>
      </c>
      <c r="O6558">
        <f>IF(B6558,ROUND(MAX(0,J6558*K6558*L6558*M6558*N6558),2),"")</f>
        <v/>
      </c>
    </row>
    <row r="6559">
      <c r="A6559" t="n">
        <v>6558</v>
      </c>
      <c r="B6559">
        <f>A6559&lt;=MineCount*Days</f>
        <v/>
      </c>
      <c r="C6559">
        <f>IF(B6559,INT((A6559-1)/Days)+1,"")</f>
        <v/>
      </c>
      <c r="D6559">
        <f>IF(B6559,MOD(A6559-1,Days),"")</f>
        <v/>
      </c>
      <c r="E6559" s="16">
        <f>IF(B6559,StartDate+D6559,"")</f>
        <v/>
      </c>
      <c r="F6559">
        <f>IF(B6559,MAX(MOD(SIN(Seed*0.1373+C6559*12.9898+D6559*78.233)*43758.5453,1),1E-9),"")</f>
        <v/>
      </c>
      <c r="G6559">
        <f>IF(B6559,MOD(SIN(Seed*0.5917+C6559*39.3468+D6559*11.135)*24634.6345,1),"")</f>
        <v/>
      </c>
      <c r="H6559">
        <f>IF(B6559,SQRT(-2*LN(F6559))*COS(2*PI()*G6559),"")</f>
        <v/>
      </c>
      <c r="I6559">
        <f>IF(B6559,IF(D6559=0,H6559,Rho*I6558+SQRT(1-Rho^2)*H6559),"")</f>
        <v/>
      </c>
      <c r="J6559">
        <f>IF(B6559,IF(Dist="Normal",DistA+DistB*I6559,DistA+(DistB-DistA)*NORMSDIST(I6559)),"")</f>
        <v/>
      </c>
      <c r="K6559">
        <f>IF(B6559,INDEX(MineScale,C6559),"")</f>
        <v/>
      </c>
      <c r="L6559">
        <f>IF(B6559,INDEX(Dow,1,WEEKDAY(E6559,2)),"")</f>
        <v/>
      </c>
      <c r="M6559">
        <f>IF(B6559,(1+Trend)^D6559,"")</f>
        <v/>
      </c>
      <c r="N6559">
        <f>IF(B6559,EXP(SUMPRODUCT(LN(1+(EvEff-1)*INDEX(Affected,0,C6559)*EXP(-((E6559-EvCenter)^2)/(2*EvSigma^2))))),"")</f>
        <v/>
      </c>
      <c r="O6559">
        <f>IF(B6559,ROUND(MAX(0,J6559*K6559*L6559*M6559*N6559),2),"")</f>
        <v/>
      </c>
    </row>
    <row r="6560">
      <c r="A6560" t="n">
        <v>6559</v>
      </c>
      <c r="B6560">
        <f>A6560&lt;=MineCount*Days</f>
        <v/>
      </c>
      <c r="C6560">
        <f>IF(B6560,INT((A6560-1)/Days)+1,"")</f>
        <v/>
      </c>
      <c r="D6560">
        <f>IF(B6560,MOD(A6560-1,Days),"")</f>
        <v/>
      </c>
      <c r="E6560" s="16">
        <f>IF(B6560,StartDate+D6560,"")</f>
        <v/>
      </c>
      <c r="F6560">
        <f>IF(B6560,MAX(MOD(SIN(Seed*0.1373+C6560*12.9898+D6560*78.233)*43758.5453,1),1E-9),"")</f>
        <v/>
      </c>
      <c r="G6560">
        <f>IF(B6560,MOD(SIN(Seed*0.5917+C6560*39.3468+D6560*11.135)*24634.6345,1),"")</f>
        <v/>
      </c>
      <c r="H6560">
        <f>IF(B6560,SQRT(-2*LN(F6560))*COS(2*PI()*G6560),"")</f>
        <v/>
      </c>
      <c r="I6560">
        <f>IF(B6560,IF(D6560=0,H6560,Rho*I6559+SQRT(1-Rho^2)*H6560),"")</f>
        <v/>
      </c>
      <c r="J6560">
        <f>IF(B6560,IF(Dist="Normal",DistA+DistB*I6560,DistA+(DistB-DistA)*NORMSDIST(I6560)),"")</f>
        <v/>
      </c>
      <c r="K6560">
        <f>IF(B6560,INDEX(MineScale,C6560),"")</f>
        <v/>
      </c>
      <c r="L6560">
        <f>IF(B6560,INDEX(Dow,1,WEEKDAY(E6560,2)),"")</f>
        <v/>
      </c>
      <c r="M6560">
        <f>IF(B6560,(1+Trend)^D6560,"")</f>
        <v/>
      </c>
      <c r="N6560">
        <f>IF(B6560,EXP(SUMPRODUCT(LN(1+(EvEff-1)*INDEX(Affected,0,C6560)*EXP(-((E6560-EvCenter)^2)/(2*EvSigma^2))))),"")</f>
        <v/>
      </c>
      <c r="O6560">
        <f>IF(B6560,ROUND(MAX(0,J6560*K6560*L6560*M6560*N6560),2),"")</f>
        <v/>
      </c>
    </row>
    <row r="6561">
      <c r="A6561" t="n">
        <v>6560</v>
      </c>
      <c r="B6561">
        <f>A6561&lt;=MineCount*Days</f>
        <v/>
      </c>
      <c r="C6561">
        <f>IF(B6561,INT((A6561-1)/Days)+1,"")</f>
        <v/>
      </c>
      <c r="D6561">
        <f>IF(B6561,MOD(A6561-1,Days),"")</f>
        <v/>
      </c>
      <c r="E6561" s="16">
        <f>IF(B6561,StartDate+D6561,"")</f>
        <v/>
      </c>
      <c r="F6561">
        <f>IF(B6561,MAX(MOD(SIN(Seed*0.1373+C6561*12.9898+D6561*78.233)*43758.5453,1),1E-9),"")</f>
        <v/>
      </c>
      <c r="G6561">
        <f>IF(B6561,MOD(SIN(Seed*0.5917+C6561*39.3468+D6561*11.135)*24634.6345,1),"")</f>
        <v/>
      </c>
      <c r="H6561">
        <f>IF(B6561,SQRT(-2*LN(F6561))*COS(2*PI()*G6561),"")</f>
        <v/>
      </c>
      <c r="I6561">
        <f>IF(B6561,IF(D6561=0,H6561,Rho*I6560+SQRT(1-Rho^2)*H6561),"")</f>
        <v/>
      </c>
      <c r="J6561">
        <f>IF(B6561,IF(Dist="Normal",DistA+DistB*I6561,DistA+(DistB-DistA)*NORMSDIST(I6561)),"")</f>
        <v/>
      </c>
      <c r="K6561">
        <f>IF(B6561,INDEX(MineScale,C6561),"")</f>
        <v/>
      </c>
      <c r="L6561">
        <f>IF(B6561,INDEX(Dow,1,WEEKDAY(E6561,2)),"")</f>
        <v/>
      </c>
      <c r="M6561">
        <f>IF(B6561,(1+Trend)^D6561,"")</f>
        <v/>
      </c>
      <c r="N6561">
        <f>IF(B6561,EXP(SUMPRODUCT(LN(1+(EvEff-1)*INDEX(Affected,0,C6561)*EXP(-((E6561-EvCenter)^2)/(2*EvSigma^2))))),"")</f>
        <v/>
      </c>
      <c r="O6561">
        <f>IF(B6561,ROUND(MAX(0,J6561*K6561*L6561*M6561*N6561),2),"")</f>
        <v/>
      </c>
    </row>
    <row r="6562">
      <c r="A6562" t="n">
        <v>6561</v>
      </c>
      <c r="B6562">
        <f>A6562&lt;=MineCount*Days</f>
        <v/>
      </c>
      <c r="C6562">
        <f>IF(B6562,INT((A6562-1)/Days)+1,"")</f>
        <v/>
      </c>
      <c r="D6562">
        <f>IF(B6562,MOD(A6562-1,Days),"")</f>
        <v/>
      </c>
      <c r="E6562" s="16">
        <f>IF(B6562,StartDate+D6562,"")</f>
        <v/>
      </c>
      <c r="F6562">
        <f>IF(B6562,MAX(MOD(SIN(Seed*0.1373+C6562*12.9898+D6562*78.233)*43758.5453,1),1E-9),"")</f>
        <v/>
      </c>
      <c r="G6562">
        <f>IF(B6562,MOD(SIN(Seed*0.5917+C6562*39.3468+D6562*11.135)*24634.6345,1),"")</f>
        <v/>
      </c>
      <c r="H6562">
        <f>IF(B6562,SQRT(-2*LN(F6562))*COS(2*PI()*G6562),"")</f>
        <v/>
      </c>
      <c r="I6562">
        <f>IF(B6562,IF(D6562=0,H6562,Rho*I6561+SQRT(1-Rho^2)*H6562),"")</f>
        <v/>
      </c>
      <c r="J6562">
        <f>IF(B6562,IF(Dist="Normal",DistA+DistB*I6562,DistA+(DistB-DistA)*NORMSDIST(I6562)),"")</f>
        <v/>
      </c>
      <c r="K6562">
        <f>IF(B6562,INDEX(MineScale,C6562),"")</f>
        <v/>
      </c>
      <c r="L6562">
        <f>IF(B6562,INDEX(Dow,1,WEEKDAY(E6562,2)),"")</f>
        <v/>
      </c>
      <c r="M6562">
        <f>IF(B6562,(1+Trend)^D6562,"")</f>
        <v/>
      </c>
      <c r="N6562">
        <f>IF(B6562,EXP(SUMPRODUCT(LN(1+(EvEff-1)*INDEX(Affected,0,C6562)*EXP(-((E6562-EvCenter)^2)/(2*EvSigma^2))))),"")</f>
        <v/>
      </c>
      <c r="O6562">
        <f>IF(B6562,ROUND(MAX(0,J6562*K6562*L6562*M6562*N6562),2),"")</f>
        <v/>
      </c>
    </row>
    <row r="6563">
      <c r="A6563" t="n">
        <v>6562</v>
      </c>
      <c r="B6563">
        <f>A6563&lt;=MineCount*Days</f>
        <v/>
      </c>
      <c r="C6563">
        <f>IF(B6563,INT((A6563-1)/Days)+1,"")</f>
        <v/>
      </c>
      <c r="D6563">
        <f>IF(B6563,MOD(A6563-1,Days),"")</f>
        <v/>
      </c>
      <c r="E6563" s="16">
        <f>IF(B6563,StartDate+D6563,"")</f>
        <v/>
      </c>
      <c r="F6563">
        <f>IF(B6563,MAX(MOD(SIN(Seed*0.1373+C6563*12.9898+D6563*78.233)*43758.5453,1),1E-9),"")</f>
        <v/>
      </c>
      <c r="G6563">
        <f>IF(B6563,MOD(SIN(Seed*0.5917+C6563*39.3468+D6563*11.135)*24634.6345,1),"")</f>
        <v/>
      </c>
      <c r="H6563">
        <f>IF(B6563,SQRT(-2*LN(F6563))*COS(2*PI()*G6563),"")</f>
        <v/>
      </c>
      <c r="I6563">
        <f>IF(B6563,IF(D6563=0,H6563,Rho*I6562+SQRT(1-Rho^2)*H6563),"")</f>
        <v/>
      </c>
      <c r="J6563">
        <f>IF(B6563,IF(Dist="Normal",DistA+DistB*I6563,DistA+(DistB-DistA)*NORMSDIST(I6563)),"")</f>
        <v/>
      </c>
      <c r="K6563">
        <f>IF(B6563,INDEX(MineScale,C6563),"")</f>
        <v/>
      </c>
      <c r="L6563">
        <f>IF(B6563,INDEX(Dow,1,WEEKDAY(E6563,2)),"")</f>
        <v/>
      </c>
      <c r="M6563">
        <f>IF(B6563,(1+Trend)^D6563,"")</f>
        <v/>
      </c>
      <c r="N6563">
        <f>IF(B6563,EXP(SUMPRODUCT(LN(1+(EvEff-1)*INDEX(Affected,0,C6563)*EXP(-((E6563-EvCenter)^2)/(2*EvSigma^2))))),"")</f>
        <v/>
      </c>
      <c r="O6563">
        <f>IF(B6563,ROUND(MAX(0,J6563*K6563*L6563*M6563*N6563),2),"")</f>
        <v/>
      </c>
    </row>
    <row r="6564">
      <c r="A6564" t="n">
        <v>6563</v>
      </c>
      <c r="B6564">
        <f>A6564&lt;=MineCount*Days</f>
        <v/>
      </c>
      <c r="C6564">
        <f>IF(B6564,INT((A6564-1)/Days)+1,"")</f>
        <v/>
      </c>
      <c r="D6564">
        <f>IF(B6564,MOD(A6564-1,Days),"")</f>
        <v/>
      </c>
      <c r="E6564" s="16">
        <f>IF(B6564,StartDate+D6564,"")</f>
        <v/>
      </c>
      <c r="F6564">
        <f>IF(B6564,MAX(MOD(SIN(Seed*0.1373+C6564*12.9898+D6564*78.233)*43758.5453,1),1E-9),"")</f>
        <v/>
      </c>
      <c r="G6564">
        <f>IF(B6564,MOD(SIN(Seed*0.5917+C6564*39.3468+D6564*11.135)*24634.6345,1),"")</f>
        <v/>
      </c>
      <c r="H6564">
        <f>IF(B6564,SQRT(-2*LN(F6564))*COS(2*PI()*G6564),"")</f>
        <v/>
      </c>
      <c r="I6564">
        <f>IF(B6564,IF(D6564=0,H6564,Rho*I6563+SQRT(1-Rho^2)*H6564),"")</f>
        <v/>
      </c>
      <c r="J6564">
        <f>IF(B6564,IF(Dist="Normal",DistA+DistB*I6564,DistA+(DistB-DistA)*NORMSDIST(I6564)),"")</f>
        <v/>
      </c>
      <c r="K6564">
        <f>IF(B6564,INDEX(MineScale,C6564),"")</f>
        <v/>
      </c>
      <c r="L6564">
        <f>IF(B6564,INDEX(Dow,1,WEEKDAY(E6564,2)),"")</f>
        <v/>
      </c>
      <c r="M6564">
        <f>IF(B6564,(1+Trend)^D6564,"")</f>
        <v/>
      </c>
      <c r="N6564">
        <f>IF(B6564,EXP(SUMPRODUCT(LN(1+(EvEff-1)*INDEX(Affected,0,C6564)*EXP(-((E6564-EvCenter)^2)/(2*EvSigma^2))))),"")</f>
        <v/>
      </c>
      <c r="O6564">
        <f>IF(B6564,ROUND(MAX(0,J6564*K6564*L6564*M6564*N6564),2),"")</f>
        <v/>
      </c>
    </row>
    <row r="6565">
      <c r="A6565" t="n">
        <v>6564</v>
      </c>
      <c r="B6565">
        <f>A6565&lt;=MineCount*Days</f>
        <v/>
      </c>
      <c r="C6565">
        <f>IF(B6565,INT((A6565-1)/Days)+1,"")</f>
        <v/>
      </c>
      <c r="D6565">
        <f>IF(B6565,MOD(A6565-1,Days),"")</f>
        <v/>
      </c>
      <c r="E6565" s="16">
        <f>IF(B6565,StartDate+D6565,"")</f>
        <v/>
      </c>
      <c r="F6565">
        <f>IF(B6565,MAX(MOD(SIN(Seed*0.1373+C6565*12.9898+D6565*78.233)*43758.5453,1),1E-9),"")</f>
        <v/>
      </c>
      <c r="G6565">
        <f>IF(B6565,MOD(SIN(Seed*0.5917+C6565*39.3468+D6565*11.135)*24634.6345,1),"")</f>
        <v/>
      </c>
      <c r="H6565">
        <f>IF(B6565,SQRT(-2*LN(F6565))*COS(2*PI()*G6565),"")</f>
        <v/>
      </c>
      <c r="I6565">
        <f>IF(B6565,IF(D6565=0,H6565,Rho*I6564+SQRT(1-Rho^2)*H6565),"")</f>
        <v/>
      </c>
      <c r="J6565">
        <f>IF(B6565,IF(Dist="Normal",DistA+DistB*I6565,DistA+(DistB-DistA)*NORMSDIST(I6565)),"")</f>
        <v/>
      </c>
      <c r="K6565">
        <f>IF(B6565,INDEX(MineScale,C6565),"")</f>
        <v/>
      </c>
      <c r="L6565">
        <f>IF(B6565,INDEX(Dow,1,WEEKDAY(E6565,2)),"")</f>
        <v/>
      </c>
      <c r="M6565">
        <f>IF(B6565,(1+Trend)^D6565,"")</f>
        <v/>
      </c>
      <c r="N6565">
        <f>IF(B6565,EXP(SUMPRODUCT(LN(1+(EvEff-1)*INDEX(Affected,0,C6565)*EXP(-((E6565-EvCenter)^2)/(2*EvSigma^2))))),"")</f>
        <v/>
      </c>
      <c r="O6565">
        <f>IF(B6565,ROUND(MAX(0,J6565*K6565*L6565*M6565*N6565),2),"")</f>
        <v/>
      </c>
    </row>
    <row r="6566">
      <c r="A6566" t="n">
        <v>6565</v>
      </c>
      <c r="B6566">
        <f>A6566&lt;=MineCount*Days</f>
        <v/>
      </c>
      <c r="C6566">
        <f>IF(B6566,INT((A6566-1)/Days)+1,"")</f>
        <v/>
      </c>
      <c r="D6566">
        <f>IF(B6566,MOD(A6566-1,Days),"")</f>
        <v/>
      </c>
      <c r="E6566" s="16">
        <f>IF(B6566,StartDate+D6566,"")</f>
        <v/>
      </c>
      <c r="F6566">
        <f>IF(B6566,MAX(MOD(SIN(Seed*0.1373+C6566*12.9898+D6566*78.233)*43758.5453,1),1E-9),"")</f>
        <v/>
      </c>
      <c r="G6566">
        <f>IF(B6566,MOD(SIN(Seed*0.5917+C6566*39.3468+D6566*11.135)*24634.6345,1),"")</f>
        <v/>
      </c>
      <c r="H6566">
        <f>IF(B6566,SQRT(-2*LN(F6566))*COS(2*PI()*G6566),"")</f>
        <v/>
      </c>
      <c r="I6566">
        <f>IF(B6566,IF(D6566=0,H6566,Rho*I6565+SQRT(1-Rho^2)*H6566),"")</f>
        <v/>
      </c>
      <c r="J6566">
        <f>IF(B6566,IF(Dist="Normal",DistA+DistB*I6566,DistA+(DistB-DistA)*NORMSDIST(I6566)),"")</f>
        <v/>
      </c>
      <c r="K6566">
        <f>IF(B6566,INDEX(MineScale,C6566),"")</f>
        <v/>
      </c>
      <c r="L6566">
        <f>IF(B6566,INDEX(Dow,1,WEEKDAY(E6566,2)),"")</f>
        <v/>
      </c>
      <c r="M6566">
        <f>IF(B6566,(1+Trend)^D6566,"")</f>
        <v/>
      </c>
      <c r="N6566">
        <f>IF(B6566,EXP(SUMPRODUCT(LN(1+(EvEff-1)*INDEX(Affected,0,C6566)*EXP(-((E6566-EvCenter)^2)/(2*EvSigma^2))))),"")</f>
        <v/>
      </c>
      <c r="O6566">
        <f>IF(B6566,ROUND(MAX(0,J6566*K6566*L6566*M6566*N6566),2),"")</f>
        <v/>
      </c>
    </row>
    <row r="6567">
      <c r="A6567" t="n">
        <v>6566</v>
      </c>
      <c r="B6567">
        <f>A6567&lt;=MineCount*Days</f>
        <v/>
      </c>
      <c r="C6567">
        <f>IF(B6567,INT((A6567-1)/Days)+1,"")</f>
        <v/>
      </c>
      <c r="D6567">
        <f>IF(B6567,MOD(A6567-1,Days),"")</f>
        <v/>
      </c>
      <c r="E6567" s="16">
        <f>IF(B6567,StartDate+D6567,"")</f>
        <v/>
      </c>
      <c r="F6567">
        <f>IF(B6567,MAX(MOD(SIN(Seed*0.1373+C6567*12.9898+D6567*78.233)*43758.5453,1),1E-9),"")</f>
        <v/>
      </c>
      <c r="G6567">
        <f>IF(B6567,MOD(SIN(Seed*0.5917+C6567*39.3468+D6567*11.135)*24634.6345,1),"")</f>
        <v/>
      </c>
      <c r="H6567">
        <f>IF(B6567,SQRT(-2*LN(F6567))*COS(2*PI()*G6567),"")</f>
        <v/>
      </c>
      <c r="I6567">
        <f>IF(B6567,IF(D6567=0,H6567,Rho*I6566+SQRT(1-Rho^2)*H6567),"")</f>
        <v/>
      </c>
      <c r="J6567">
        <f>IF(B6567,IF(Dist="Normal",DistA+DistB*I6567,DistA+(DistB-DistA)*NORMSDIST(I6567)),"")</f>
        <v/>
      </c>
      <c r="K6567">
        <f>IF(B6567,INDEX(MineScale,C6567),"")</f>
        <v/>
      </c>
      <c r="L6567">
        <f>IF(B6567,INDEX(Dow,1,WEEKDAY(E6567,2)),"")</f>
        <v/>
      </c>
      <c r="M6567">
        <f>IF(B6567,(1+Trend)^D6567,"")</f>
        <v/>
      </c>
      <c r="N6567">
        <f>IF(B6567,EXP(SUMPRODUCT(LN(1+(EvEff-1)*INDEX(Affected,0,C6567)*EXP(-((E6567-EvCenter)^2)/(2*EvSigma^2))))),"")</f>
        <v/>
      </c>
      <c r="O6567">
        <f>IF(B6567,ROUND(MAX(0,J6567*K6567*L6567*M6567*N6567),2),"")</f>
        <v/>
      </c>
    </row>
    <row r="6568">
      <c r="A6568" t="n">
        <v>6567</v>
      </c>
      <c r="B6568">
        <f>A6568&lt;=MineCount*Days</f>
        <v/>
      </c>
      <c r="C6568">
        <f>IF(B6568,INT((A6568-1)/Days)+1,"")</f>
        <v/>
      </c>
      <c r="D6568">
        <f>IF(B6568,MOD(A6568-1,Days),"")</f>
        <v/>
      </c>
      <c r="E6568" s="16">
        <f>IF(B6568,StartDate+D6568,"")</f>
        <v/>
      </c>
      <c r="F6568">
        <f>IF(B6568,MAX(MOD(SIN(Seed*0.1373+C6568*12.9898+D6568*78.233)*43758.5453,1),1E-9),"")</f>
        <v/>
      </c>
      <c r="G6568">
        <f>IF(B6568,MOD(SIN(Seed*0.5917+C6568*39.3468+D6568*11.135)*24634.6345,1),"")</f>
        <v/>
      </c>
      <c r="H6568">
        <f>IF(B6568,SQRT(-2*LN(F6568))*COS(2*PI()*G6568),"")</f>
        <v/>
      </c>
      <c r="I6568">
        <f>IF(B6568,IF(D6568=0,H6568,Rho*I6567+SQRT(1-Rho^2)*H6568),"")</f>
        <v/>
      </c>
      <c r="J6568">
        <f>IF(B6568,IF(Dist="Normal",DistA+DistB*I6568,DistA+(DistB-DistA)*NORMSDIST(I6568)),"")</f>
        <v/>
      </c>
      <c r="K6568">
        <f>IF(B6568,INDEX(MineScale,C6568),"")</f>
        <v/>
      </c>
      <c r="L6568">
        <f>IF(B6568,INDEX(Dow,1,WEEKDAY(E6568,2)),"")</f>
        <v/>
      </c>
      <c r="M6568">
        <f>IF(B6568,(1+Trend)^D6568,"")</f>
        <v/>
      </c>
      <c r="N6568">
        <f>IF(B6568,EXP(SUMPRODUCT(LN(1+(EvEff-1)*INDEX(Affected,0,C6568)*EXP(-((E6568-EvCenter)^2)/(2*EvSigma^2))))),"")</f>
        <v/>
      </c>
      <c r="O6568">
        <f>IF(B6568,ROUND(MAX(0,J6568*K6568*L6568*M6568*N6568),2),"")</f>
        <v/>
      </c>
    </row>
    <row r="6569">
      <c r="A6569" t="n">
        <v>6568</v>
      </c>
      <c r="B6569">
        <f>A6569&lt;=MineCount*Days</f>
        <v/>
      </c>
      <c r="C6569">
        <f>IF(B6569,INT((A6569-1)/Days)+1,"")</f>
        <v/>
      </c>
      <c r="D6569">
        <f>IF(B6569,MOD(A6569-1,Days),"")</f>
        <v/>
      </c>
      <c r="E6569" s="16">
        <f>IF(B6569,StartDate+D6569,"")</f>
        <v/>
      </c>
      <c r="F6569">
        <f>IF(B6569,MAX(MOD(SIN(Seed*0.1373+C6569*12.9898+D6569*78.233)*43758.5453,1),1E-9),"")</f>
        <v/>
      </c>
      <c r="G6569">
        <f>IF(B6569,MOD(SIN(Seed*0.5917+C6569*39.3468+D6569*11.135)*24634.6345,1),"")</f>
        <v/>
      </c>
      <c r="H6569">
        <f>IF(B6569,SQRT(-2*LN(F6569))*COS(2*PI()*G6569),"")</f>
        <v/>
      </c>
      <c r="I6569">
        <f>IF(B6569,IF(D6569=0,H6569,Rho*I6568+SQRT(1-Rho^2)*H6569),"")</f>
        <v/>
      </c>
      <c r="J6569">
        <f>IF(B6569,IF(Dist="Normal",DistA+DistB*I6569,DistA+(DistB-DistA)*NORMSDIST(I6569)),"")</f>
        <v/>
      </c>
      <c r="K6569">
        <f>IF(B6569,INDEX(MineScale,C6569),"")</f>
        <v/>
      </c>
      <c r="L6569">
        <f>IF(B6569,INDEX(Dow,1,WEEKDAY(E6569,2)),"")</f>
        <v/>
      </c>
      <c r="M6569">
        <f>IF(B6569,(1+Trend)^D6569,"")</f>
        <v/>
      </c>
      <c r="N6569">
        <f>IF(B6569,EXP(SUMPRODUCT(LN(1+(EvEff-1)*INDEX(Affected,0,C6569)*EXP(-((E6569-EvCenter)^2)/(2*EvSigma^2))))),"")</f>
        <v/>
      </c>
      <c r="O6569">
        <f>IF(B6569,ROUND(MAX(0,J6569*K6569*L6569*M6569*N6569),2),"")</f>
        <v/>
      </c>
    </row>
    <row r="6570">
      <c r="A6570" t="n">
        <v>6569</v>
      </c>
      <c r="B6570">
        <f>A6570&lt;=MineCount*Days</f>
        <v/>
      </c>
      <c r="C6570">
        <f>IF(B6570,INT((A6570-1)/Days)+1,"")</f>
        <v/>
      </c>
      <c r="D6570">
        <f>IF(B6570,MOD(A6570-1,Days),"")</f>
        <v/>
      </c>
      <c r="E6570" s="16">
        <f>IF(B6570,StartDate+D6570,"")</f>
        <v/>
      </c>
      <c r="F6570">
        <f>IF(B6570,MAX(MOD(SIN(Seed*0.1373+C6570*12.9898+D6570*78.233)*43758.5453,1),1E-9),"")</f>
        <v/>
      </c>
      <c r="G6570">
        <f>IF(B6570,MOD(SIN(Seed*0.5917+C6570*39.3468+D6570*11.135)*24634.6345,1),"")</f>
        <v/>
      </c>
      <c r="H6570">
        <f>IF(B6570,SQRT(-2*LN(F6570))*COS(2*PI()*G6570),"")</f>
        <v/>
      </c>
      <c r="I6570">
        <f>IF(B6570,IF(D6570=0,H6570,Rho*I6569+SQRT(1-Rho^2)*H6570),"")</f>
        <v/>
      </c>
      <c r="J6570">
        <f>IF(B6570,IF(Dist="Normal",DistA+DistB*I6570,DistA+(DistB-DistA)*NORMSDIST(I6570)),"")</f>
        <v/>
      </c>
      <c r="K6570">
        <f>IF(B6570,INDEX(MineScale,C6570),"")</f>
        <v/>
      </c>
      <c r="L6570">
        <f>IF(B6570,INDEX(Dow,1,WEEKDAY(E6570,2)),"")</f>
        <v/>
      </c>
      <c r="M6570">
        <f>IF(B6570,(1+Trend)^D6570,"")</f>
        <v/>
      </c>
      <c r="N6570">
        <f>IF(B6570,EXP(SUMPRODUCT(LN(1+(EvEff-1)*INDEX(Affected,0,C6570)*EXP(-((E6570-EvCenter)^2)/(2*EvSigma^2))))),"")</f>
        <v/>
      </c>
      <c r="O6570">
        <f>IF(B6570,ROUND(MAX(0,J6570*K6570*L6570*M6570*N6570),2),"")</f>
        <v/>
      </c>
    </row>
    <row r="6571">
      <c r="A6571" t="n">
        <v>6570</v>
      </c>
      <c r="B6571">
        <f>A6571&lt;=MineCount*Days</f>
        <v/>
      </c>
      <c r="C6571">
        <f>IF(B6571,INT((A6571-1)/Days)+1,"")</f>
        <v/>
      </c>
      <c r="D6571">
        <f>IF(B6571,MOD(A6571-1,Days),"")</f>
        <v/>
      </c>
      <c r="E6571" s="16">
        <f>IF(B6571,StartDate+D6571,"")</f>
        <v/>
      </c>
      <c r="F6571">
        <f>IF(B6571,MAX(MOD(SIN(Seed*0.1373+C6571*12.9898+D6571*78.233)*43758.5453,1),1E-9),"")</f>
        <v/>
      </c>
      <c r="G6571">
        <f>IF(B6571,MOD(SIN(Seed*0.5917+C6571*39.3468+D6571*11.135)*24634.6345,1),"")</f>
        <v/>
      </c>
      <c r="H6571">
        <f>IF(B6571,SQRT(-2*LN(F6571))*COS(2*PI()*G6571),"")</f>
        <v/>
      </c>
      <c r="I6571">
        <f>IF(B6571,IF(D6571=0,H6571,Rho*I6570+SQRT(1-Rho^2)*H6571),"")</f>
        <v/>
      </c>
      <c r="J6571">
        <f>IF(B6571,IF(Dist="Normal",DistA+DistB*I6571,DistA+(DistB-DistA)*NORMSDIST(I6571)),"")</f>
        <v/>
      </c>
      <c r="K6571">
        <f>IF(B6571,INDEX(MineScale,C6571),"")</f>
        <v/>
      </c>
      <c r="L6571">
        <f>IF(B6571,INDEX(Dow,1,WEEKDAY(E6571,2)),"")</f>
        <v/>
      </c>
      <c r="M6571">
        <f>IF(B6571,(1+Trend)^D6571,"")</f>
        <v/>
      </c>
      <c r="N6571">
        <f>IF(B6571,EXP(SUMPRODUCT(LN(1+(EvEff-1)*INDEX(Affected,0,C6571)*EXP(-((E6571-EvCenter)^2)/(2*EvSigma^2))))),"")</f>
        <v/>
      </c>
      <c r="O6571">
        <f>IF(B6571,ROUND(MAX(0,J6571*K6571*L6571*M6571*N6571),2),"")</f>
        <v/>
      </c>
    </row>
    <row r="6572">
      <c r="A6572" t="n">
        <v>6571</v>
      </c>
      <c r="B6572">
        <f>A6572&lt;=MineCount*Days</f>
        <v/>
      </c>
      <c r="C6572">
        <f>IF(B6572,INT((A6572-1)/Days)+1,"")</f>
        <v/>
      </c>
      <c r="D6572">
        <f>IF(B6572,MOD(A6572-1,Days),"")</f>
        <v/>
      </c>
      <c r="E6572" s="16">
        <f>IF(B6572,StartDate+D6572,"")</f>
        <v/>
      </c>
      <c r="F6572">
        <f>IF(B6572,MAX(MOD(SIN(Seed*0.1373+C6572*12.9898+D6572*78.233)*43758.5453,1),1E-9),"")</f>
        <v/>
      </c>
      <c r="G6572">
        <f>IF(B6572,MOD(SIN(Seed*0.5917+C6572*39.3468+D6572*11.135)*24634.6345,1),"")</f>
        <v/>
      </c>
      <c r="H6572">
        <f>IF(B6572,SQRT(-2*LN(F6572))*COS(2*PI()*G6572),"")</f>
        <v/>
      </c>
      <c r="I6572">
        <f>IF(B6572,IF(D6572=0,H6572,Rho*I6571+SQRT(1-Rho^2)*H6572),"")</f>
        <v/>
      </c>
      <c r="J6572">
        <f>IF(B6572,IF(Dist="Normal",DistA+DistB*I6572,DistA+(DistB-DistA)*NORMSDIST(I6572)),"")</f>
        <v/>
      </c>
      <c r="K6572">
        <f>IF(B6572,INDEX(MineScale,C6572),"")</f>
        <v/>
      </c>
      <c r="L6572">
        <f>IF(B6572,INDEX(Dow,1,WEEKDAY(E6572,2)),"")</f>
        <v/>
      </c>
      <c r="M6572">
        <f>IF(B6572,(1+Trend)^D6572,"")</f>
        <v/>
      </c>
      <c r="N6572">
        <f>IF(B6572,EXP(SUMPRODUCT(LN(1+(EvEff-1)*INDEX(Affected,0,C6572)*EXP(-((E6572-EvCenter)^2)/(2*EvSigma^2))))),"")</f>
        <v/>
      </c>
      <c r="O6572">
        <f>IF(B6572,ROUND(MAX(0,J6572*K6572*L6572*M6572*N6572),2),"")</f>
        <v/>
      </c>
    </row>
    <row r="6573">
      <c r="A6573" t="n">
        <v>6572</v>
      </c>
      <c r="B6573">
        <f>A6573&lt;=MineCount*Days</f>
        <v/>
      </c>
      <c r="C6573">
        <f>IF(B6573,INT((A6573-1)/Days)+1,"")</f>
        <v/>
      </c>
      <c r="D6573">
        <f>IF(B6573,MOD(A6573-1,Days),"")</f>
        <v/>
      </c>
      <c r="E6573" s="16">
        <f>IF(B6573,StartDate+D6573,"")</f>
        <v/>
      </c>
      <c r="F6573">
        <f>IF(B6573,MAX(MOD(SIN(Seed*0.1373+C6573*12.9898+D6573*78.233)*43758.5453,1),1E-9),"")</f>
        <v/>
      </c>
      <c r="G6573">
        <f>IF(B6573,MOD(SIN(Seed*0.5917+C6573*39.3468+D6573*11.135)*24634.6345,1),"")</f>
        <v/>
      </c>
      <c r="H6573">
        <f>IF(B6573,SQRT(-2*LN(F6573))*COS(2*PI()*G6573),"")</f>
        <v/>
      </c>
      <c r="I6573">
        <f>IF(B6573,IF(D6573=0,H6573,Rho*I6572+SQRT(1-Rho^2)*H6573),"")</f>
        <v/>
      </c>
      <c r="J6573">
        <f>IF(B6573,IF(Dist="Normal",DistA+DistB*I6573,DistA+(DistB-DistA)*NORMSDIST(I6573)),"")</f>
        <v/>
      </c>
      <c r="K6573">
        <f>IF(B6573,INDEX(MineScale,C6573),"")</f>
        <v/>
      </c>
      <c r="L6573">
        <f>IF(B6573,INDEX(Dow,1,WEEKDAY(E6573,2)),"")</f>
        <v/>
      </c>
      <c r="M6573">
        <f>IF(B6573,(1+Trend)^D6573,"")</f>
        <v/>
      </c>
      <c r="N6573">
        <f>IF(B6573,EXP(SUMPRODUCT(LN(1+(EvEff-1)*INDEX(Affected,0,C6573)*EXP(-((E6573-EvCenter)^2)/(2*EvSigma^2))))),"")</f>
        <v/>
      </c>
      <c r="O6573">
        <f>IF(B6573,ROUND(MAX(0,J6573*K6573*L6573*M6573*N6573),2),"")</f>
        <v/>
      </c>
    </row>
    <row r="6574">
      <c r="A6574" t="n">
        <v>6573</v>
      </c>
      <c r="B6574">
        <f>A6574&lt;=MineCount*Days</f>
        <v/>
      </c>
      <c r="C6574">
        <f>IF(B6574,INT((A6574-1)/Days)+1,"")</f>
        <v/>
      </c>
      <c r="D6574">
        <f>IF(B6574,MOD(A6574-1,Days),"")</f>
        <v/>
      </c>
      <c r="E6574" s="16">
        <f>IF(B6574,StartDate+D6574,"")</f>
        <v/>
      </c>
      <c r="F6574">
        <f>IF(B6574,MAX(MOD(SIN(Seed*0.1373+C6574*12.9898+D6574*78.233)*43758.5453,1),1E-9),"")</f>
        <v/>
      </c>
      <c r="G6574">
        <f>IF(B6574,MOD(SIN(Seed*0.5917+C6574*39.3468+D6574*11.135)*24634.6345,1),"")</f>
        <v/>
      </c>
      <c r="H6574">
        <f>IF(B6574,SQRT(-2*LN(F6574))*COS(2*PI()*G6574),"")</f>
        <v/>
      </c>
      <c r="I6574">
        <f>IF(B6574,IF(D6574=0,H6574,Rho*I6573+SQRT(1-Rho^2)*H6574),"")</f>
        <v/>
      </c>
      <c r="J6574">
        <f>IF(B6574,IF(Dist="Normal",DistA+DistB*I6574,DistA+(DistB-DistA)*NORMSDIST(I6574)),"")</f>
        <v/>
      </c>
      <c r="K6574">
        <f>IF(B6574,INDEX(MineScale,C6574),"")</f>
        <v/>
      </c>
      <c r="L6574">
        <f>IF(B6574,INDEX(Dow,1,WEEKDAY(E6574,2)),"")</f>
        <v/>
      </c>
      <c r="M6574">
        <f>IF(B6574,(1+Trend)^D6574,"")</f>
        <v/>
      </c>
      <c r="N6574">
        <f>IF(B6574,EXP(SUMPRODUCT(LN(1+(EvEff-1)*INDEX(Affected,0,C6574)*EXP(-((E6574-EvCenter)^2)/(2*EvSigma^2))))),"")</f>
        <v/>
      </c>
      <c r="O6574">
        <f>IF(B6574,ROUND(MAX(0,J6574*K6574*L6574*M6574*N6574),2),"")</f>
        <v/>
      </c>
    </row>
    <row r="6575">
      <c r="A6575" t="n">
        <v>6574</v>
      </c>
      <c r="B6575">
        <f>A6575&lt;=MineCount*Days</f>
        <v/>
      </c>
      <c r="C6575">
        <f>IF(B6575,INT((A6575-1)/Days)+1,"")</f>
        <v/>
      </c>
      <c r="D6575">
        <f>IF(B6575,MOD(A6575-1,Days),"")</f>
        <v/>
      </c>
      <c r="E6575" s="16">
        <f>IF(B6575,StartDate+D6575,"")</f>
        <v/>
      </c>
      <c r="F6575">
        <f>IF(B6575,MAX(MOD(SIN(Seed*0.1373+C6575*12.9898+D6575*78.233)*43758.5453,1),1E-9),"")</f>
        <v/>
      </c>
      <c r="G6575">
        <f>IF(B6575,MOD(SIN(Seed*0.5917+C6575*39.3468+D6575*11.135)*24634.6345,1),"")</f>
        <v/>
      </c>
      <c r="H6575">
        <f>IF(B6575,SQRT(-2*LN(F6575))*COS(2*PI()*G6575),"")</f>
        <v/>
      </c>
      <c r="I6575">
        <f>IF(B6575,IF(D6575=0,H6575,Rho*I6574+SQRT(1-Rho^2)*H6575),"")</f>
        <v/>
      </c>
      <c r="J6575">
        <f>IF(B6575,IF(Dist="Normal",DistA+DistB*I6575,DistA+(DistB-DistA)*NORMSDIST(I6575)),"")</f>
        <v/>
      </c>
      <c r="K6575">
        <f>IF(B6575,INDEX(MineScale,C6575),"")</f>
        <v/>
      </c>
      <c r="L6575">
        <f>IF(B6575,INDEX(Dow,1,WEEKDAY(E6575,2)),"")</f>
        <v/>
      </c>
      <c r="M6575">
        <f>IF(B6575,(1+Trend)^D6575,"")</f>
        <v/>
      </c>
      <c r="N6575">
        <f>IF(B6575,EXP(SUMPRODUCT(LN(1+(EvEff-1)*INDEX(Affected,0,C6575)*EXP(-((E6575-EvCenter)^2)/(2*EvSigma^2))))),"")</f>
        <v/>
      </c>
      <c r="O6575">
        <f>IF(B6575,ROUND(MAX(0,J6575*K6575*L6575*M6575*N6575),2),"")</f>
        <v/>
      </c>
    </row>
    <row r="6576">
      <c r="A6576" t="n">
        <v>6575</v>
      </c>
      <c r="B6576">
        <f>A6576&lt;=MineCount*Days</f>
        <v/>
      </c>
      <c r="C6576">
        <f>IF(B6576,INT((A6576-1)/Days)+1,"")</f>
        <v/>
      </c>
      <c r="D6576">
        <f>IF(B6576,MOD(A6576-1,Days),"")</f>
        <v/>
      </c>
      <c r="E6576" s="16">
        <f>IF(B6576,StartDate+D6576,"")</f>
        <v/>
      </c>
      <c r="F6576">
        <f>IF(B6576,MAX(MOD(SIN(Seed*0.1373+C6576*12.9898+D6576*78.233)*43758.5453,1),1E-9),"")</f>
        <v/>
      </c>
      <c r="G6576">
        <f>IF(B6576,MOD(SIN(Seed*0.5917+C6576*39.3468+D6576*11.135)*24634.6345,1),"")</f>
        <v/>
      </c>
      <c r="H6576">
        <f>IF(B6576,SQRT(-2*LN(F6576))*COS(2*PI()*G6576),"")</f>
        <v/>
      </c>
      <c r="I6576">
        <f>IF(B6576,IF(D6576=0,H6576,Rho*I6575+SQRT(1-Rho^2)*H6576),"")</f>
        <v/>
      </c>
      <c r="J6576">
        <f>IF(B6576,IF(Dist="Normal",DistA+DistB*I6576,DistA+(DistB-DistA)*NORMSDIST(I6576)),"")</f>
        <v/>
      </c>
      <c r="K6576">
        <f>IF(B6576,INDEX(MineScale,C6576),"")</f>
        <v/>
      </c>
      <c r="L6576">
        <f>IF(B6576,INDEX(Dow,1,WEEKDAY(E6576,2)),"")</f>
        <v/>
      </c>
      <c r="M6576">
        <f>IF(B6576,(1+Trend)^D6576,"")</f>
        <v/>
      </c>
      <c r="N6576">
        <f>IF(B6576,EXP(SUMPRODUCT(LN(1+(EvEff-1)*INDEX(Affected,0,C6576)*EXP(-((E6576-EvCenter)^2)/(2*EvSigma^2))))),"")</f>
        <v/>
      </c>
      <c r="O6576">
        <f>IF(B6576,ROUND(MAX(0,J6576*K6576*L6576*M6576*N6576),2),"")</f>
        <v/>
      </c>
    </row>
    <row r="6577">
      <c r="A6577" t="n">
        <v>6576</v>
      </c>
      <c r="B6577">
        <f>A6577&lt;=MineCount*Days</f>
        <v/>
      </c>
      <c r="C6577">
        <f>IF(B6577,INT((A6577-1)/Days)+1,"")</f>
        <v/>
      </c>
      <c r="D6577">
        <f>IF(B6577,MOD(A6577-1,Days),"")</f>
        <v/>
      </c>
      <c r="E6577" s="16">
        <f>IF(B6577,StartDate+D6577,"")</f>
        <v/>
      </c>
      <c r="F6577">
        <f>IF(B6577,MAX(MOD(SIN(Seed*0.1373+C6577*12.9898+D6577*78.233)*43758.5453,1),1E-9),"")</f>
        <v/>
      </c>
      <c r="G6577">
        <f>IF(B6577,MOD(SIN(Seed*0.5917+C6577*39.3468+D6577*11.135)*24634.6345,1),"")</f>
        <v/>
      </c>
      <c r="H6577">
        <f>IF(B6577,SQRT(-2*LN(F6577))*COS(2*PI()*G6577),"")</f>
        <v/>
      </c>
      <c r="I6577">
        <f>IF(B6577,IF(D6577=0,H6577,Rho*I6576+SQRT(1-Rho^2)*H6577),"")</f>
        <v/>
      </c>
      <c r="J6577">
        <f>IF(B6577,IF(Dist="Normal",DistA+DistB*I6577,DistA+(DistB-DistA)*NORMSDIST(I6577)),"")</f>
        <v/>
      </c>
      <c r="K6577">
        <f>IF(B6577,INDEX(MineScale,C6577),"")</f>
        <v/>
      </c>
      <c r="L6577">
        <f>IF(B6577,INDEX(Dow,1,WEEKDAY(E6577,2)),"")</f>
        <v/>
      </c>
      <c r="M6577">
        <f>IF(B6577,(1+Trend)^D6577,"")</f>
        <v/>
      </c>
      <c r="N6577">
        <f>IF(B6577,EXP(SUMPRODUCT(LN(1+(EvEff-1)*INDEX(Affected,0,C6577)*EXP(-((E6577-EvCenter)^2)/(2*EvSigma^2))))),"")</f>
        <v/>
      </c>
      <c r="O6577">
        <f>IF(B6577,ROUND(MAX(0,J6577*K6577*L6577*M6577*N6577),2),"")</f>
        <v/>
      </c>
    </row>
    <row r="6578">
      <c r="A6578" t="n">
        <v>6577</v>
      </c>
      <c r="B6578">
        <f>A6578&lt;=MineCount*Days</f>
        <v/>
      </c>
      <c r="C6578">
        <f>IF(B6578,INT((A6578-1)/Days)+1,"")</f>
        <v/>
      </c>
      <c r="D6578">
        <f>IF(B6578,MOD(A6578-1,Days),"")</f>
        <v/>
      </c>
      <c r="E6578" s="16">
        <f>IF(B6578,StartDate+D6578,"")</f>
        <v/>
      </c>
      <c r="F6578">
        <f>IF(B6578,MAX(MOD(SIN(Seed*0.1373+C6578*12.9898+D6578*78.233)*43758.5453,1),1E-9),"")</f>
        <v/>
      </c>
      <c r="G6578">
        <f>IF(B6578,MOD(SIN(Seed*0.5917+C6578*39.3468+D6578*11.135)*24634.6345,1),"")</f>
        <v/>
      </c>
      <c r="H6578">
        <f>IF(B6578,SQRT(-2*LN(F6578))*COS(2*PI()*G6578),"")</f>
        <v/>
      </c>
      <c r="I6578">
        <f>IF(B6578,IF(D6578=0,H6578,Rho*I6577+SQRT(1-Rho^2)*H6578),"")</f>
        <v/>
      </c>
      <c r="J6578">
        <f>IF(B6578,IF(Dist="Normal",DistA+DistB*I6578,DistA+(DistB-DistA)*NORMSDIST(I6578)),"")</f>
        <v/>
      </c>
      <c r="K6578">
        <f>IF(B6578,INDEX(MineScale,C6578),"")</f>
        <v/>
      </c>
      <c r="L6578">
        <f>IF(B6578,INDEX(Dow,1,WEEKDAY(E6578,2)),"")</f>
        <v/>
      </c>
      <c r="M6578">
        <f>IF(B6578,(1+Trend)^D6578,"")</f>
        <v/>
      </c>
      <c r="N6578">
        <f>IF(B6578,EXP(SUMPRODUCT(LN(1+(EvEff-1)*INDEX(Affected,0,C6578)*EXP(-((E6578-EvCenter)^2)/(2*EvSigma^2))))),"")</f>
        <v/>
      </c>
      <c r="O6578">
        <f>IF(B6578,ROUND(MAX(0,J6578*K6578*L6578*M6578*N6578),2),"")</f>
        <v/>
      </c>
    </row>
    <row r="6579">
      <c r="A6579" t="n">
        <v>6578</v>
      </c>
      <c r="B6579">
        <f>A6579&lt;=MineCount*Days</f>
        <v/>
      </c>
      <c r="C6579">
        <f>IF(B6579,INT((A6579-1)/Days)+1,"")</f>
        <v/>
      </c>
      <c r="D6579">
        <f>IF(B6579,MOD(A6579-1,Days),"")</f>
        <v/>
      </c>
      <c r="E6579" s="16">
        <f>IF(B6579,StartDate+D6579,"")</f>
        <v/>
      </c>
      <c r="F6579">
        <f>IF(B6579,MAX(MOD(SIN(Seed*0.1373+C6579*12.9898+D6579*78.233)*43758.5453,1),1E-9),"")</f>
        <v/>
      </c>
      <c r="G6579">
        <f>IF(B6579,MOD(SIN(Seed*0.5917+C6579*39.3468+D6579*11.135)*24634.6345,1),"")</f>
        <v/>
      </c>
      <c r="H6579">
        <f>IF(B6579,SQRT(-2*LN(F6579))*COS(2*PI()*G6579),"")</f>
        <v/>
      </c>
      <c r="I6579">
        <f>IF(B6579,IF(D6579=0,H6579,Rho*I6578+SQRT(1-Rho^2)*H6579),"")</f>
        <v/>
      </c>
      <c r="J6579">
        <f>IF(B6579,IF(Dist="Normal",DistA+DistB*I6579,DistA+(DistB-DistA)*NORMSDIST(I6579)),"")</f>
        <v/>
      </c>
      <c r="K6579">
        <f>IF(B6579,INDEX(MineScale,C6579),"")</f>
        <v/>
      </c>
      <c r="L6579">
        <f>IF(B6579,INDEX(Dow,1,WEEKDAY(E6579,2)),"")</f>
        <v/>
      </c>
      <c r="M6579">
        <f>IF(B6579,(1+Trend)^D6579,"")</f>
        <v/>
      </c>
      <c r="N6579">
        <f>IF(B6579,EXP(SUMPRODUCT(LN(1+(EvEff-1)*INDEX(Affected,0,C6579)*EXP(-((E6579-EvCenter)^2)/(2*EvSigma^2))))),"")</f>
        <v/>
      </c>
      <c r="O6579">
        <f>IF(B6579,ROUND(MAX(0,J6579*K6579*L6579*M6579*N6579),2),"")</f>
        <v/>
      </c>
    </row>
    <row r="6580">
      <c r="A6580" t="n">
        <v>6579</v>
      </c>
      <c r="B6580">
        <f>A6580&lt;=MineCount*Days</f>
        <v/>
      </c>
      <c r="C6580">
        <f>IF(B6580,INT((A6580-1)/Days)+1,"")</f>
        <v/>
      </c>
      <c r="D6580">
        <f>IF(B6580,MOD(A6580-1,Days),"")</f>
        <v/>
      </c>
      <c r="E6580" s="16">
        <f>IF(B6580,StartDate+D6580,"")</f>
        <v/>
      </c>
      <c r="F6580">
        <f>IF(B6580,MAX(MOD(SIN(Seed*0.1373+C6580*12.9898+D6580*78.233)*43758.5453,1),1E-9),"")</f>
        <v/>
      </c>
      <c r="G6580">
        <f>IF(B6580,MOD(SIN(Seed*0.5917+C6580*39.3468+D6580*11.135)*24634.6345,1),"")</f>
        <v/>
      </c>
      <c r="H6580">
        <f>IF(B6580,SQRT(-2*LN(F6580))*COS(2*PI()*G6580),"")</f>
        <v/>
      </c>
      <c r="I6580">
        <f>IF(B6580,IF(D6580=0,H6580,Rho*I6579+SQRT(1-Rho^2)*H6580),"")</f>
        <v/>
      </c>
      <c r="J6580">
        <f>IF(B6580,IF(Dist="Normal",DistA+DistB*I6580,DistA+(DistB-DistA)*NORMSDIST(I6580)),"")</f>
        <v/>
      </c>
      <c r="K6580">
        <f>IF(B6580,INDEX(MineScale,C6580),"")</f>
        <v/>
      </c>
      <c r="L6580">
        <f>IF(B6580,INDEX(Dow,1,WEEKDAY(E6580,2)),"")</f>
        <v/>
      </c>
      <c r="M6580">
        <f>IF(B6580,(1+Trend)^D6580,"")</f>
        <v/>
      </c>
      <c r="N6580">
        <f>IF(B6580,EXP(SUMPRODUCT(LN(1+(EvEff-1)*INDEX(Affected,0,C6580)*EXP(-((E6580-EvCenter)^2)/(2*EvSigma^2))))),"")</f>
        <v/>
      </c>
      <c r="O6580">
        <f>IF(B6580,ROUND(MAX(0,J6580*K6580*L6580*M6580*N6580),2),"")</f>
        <v/>
      </c>
    </row>
    <row r="6581">
      <c r="A6581" t="n">
        <v>6580</v>
      </c>
      <c r="B6581">
        <f>A6581&lt;=MineCount*Days</f>
        <v/>
      </c>
      <c r="C6581">
        <f>IF(B6581,INT((A6581-1)/Days)+1,"")</f>
        <v/>
      </c>
      <c r="D6581">
        <f>IF(B6581,MOD(A6581-1,Days),"")</f>
        <v/>
      </c>
      <c r="E6581" s="16">
        <f>IF(B6581,StartDate+D6581,"")</f>
        <v/>
      </c>
      <c r="F6581">
        <f>IF(B6581,MAX(MOD(SIN(Seed*0.1373+C6581*12.9898+D6581*78.233)*43758.5453,1),1E-9),"")</f>
        <v/>
      </c>
      <c r="G6581">
        <f>IF(B6581,MOD(SIN(Seed*0.5917+C6581*39.3468+D6581*11.135)*24634.6345,1),"")</f>
        <v/>
      </c>
      <c r="H6581">
        <f>IF(B6581,SQRT(-2*LN(F6581))*COS(2*PI()*G6581),"")</f>
        <v/>
      </c>
      <c r="I6581">
        <f>IF(B6581,IF(D6581=0,H6581,Rho*I6580+SQRT(1-Rho^2)*H6581),"")</f>
        <v/>
      </c>
      <c r="J6581">
        <f>IF(B6581,IF(Dist="Normal",DistA+DistB*I6581,DistA+(DistB-DistA)*NORMSDIST(I6581)),"")</f>
        <v/>
      </c>
      <c r="K6581">
        <f>IF(B6581,INDEX(MineScale,C6581),"")</f>
        <v/>
      </c>
      <c r="L6581">
        <f>IF(B6581,INDEX(Dow,1,WEEKDAY(E6581,2)),"")</f>
        <v/>
      </c>
      <c r="M6581">
        <f>IF(B6581,(1+Trend)^D6581,"")</f>
        <v/>
      </c>
      <c r="N6581">
        <f>IF(B6581,EXP(SUMPRODUCT(LN(1+(EvEff-1)*INDEX(Affected,0,C6581)*EXP(-((E6581-EvCenter)^2)/(2*EvSigma^2))))),"")</f>
        <v/>
      </c>
      <c r="O6581">
        <f>IF(B6581,ROUND(MAX(0,J6581*K6581*L6581*M6581*N6581),2),"")</f>
        <v/>
      </c>
    </row>
    <row r="6582">
      <c r="A6582" t="n">
        <v>6581</v>
      </c>
      <c r="B6582">
        <f>A6582&lt;=MineCount*Days</f>
        <v/>
      </c>
      <c r="C6582">
        <f>IF(B6582,INT((A6582-1)/Days)+1,"")</f>
        <v/>
      </c>
      <c r="D6582">
        <f>IF(B6582,MOD(A6582-1,Days),"")</f>
        <v/>
      </c>
      <c r="E6582" s="16">
        <f>IF(B6582,StartDate+D6582,"")</f>
        <v/>
      </c>
      <c r="F6582">
        <f>IF(B6582,MAX(MOD(SIN(Seed*0.1373+C6582*12.9898+D6582*78.233)*43758.5453,1),1E-9),"")</f>
        <v/>
      </c>
      <c r="G6582">
        <f>IF(B6582,MOD(SIN(Seed*0.5917+C6582*39.3468+D6582*11.135)*24634.6345,1),"")</f>
        <v/>
      </c>
      <c r="H6582">
        <f>IF(B6582,SQRT(-2*LN(F6582))*COS(2*PI()*G6582),"")</f>
        <v/>
      </c>
      <c r="I6582">
        <f>IF(B6582,IF(D6582=0,H6582,Rho*I6581+SQRT(1-Rho^2)*H6582),"")</f>
        <v/>
      </c>
      <c r="J6582">
        <f>IF(B6582,IF(Dist="Normal",DistA+DistB*I6582,DistA+(DistB-DistA)*NORMSDIST(I6582)),"")</f>
        <v/>
      </c>
      <c r="K6582">
        <f>IF(B6582,INDEX(MineScale,C6582),"")</f>
        <v/>
      </c>
      <c r="L6582">
        <f>IF(B6582,INDEX(Dow,1,WEEKDAY(E6582,2)),"")</f>
        <v/>
      </c>
      <c r="M6582">
        <f>IF(B6582,(1+Trend)^D6582,"")</f>
        <v/>
      </c>
      <c r="N6582">
        <f>IF(B6582,EXP(SUMPRODUCT(LN(1+(EvEff-1)*INDEX(Affected,0,C6582)*EXP(-((E6582-EvCenter)^2)/(2*EvSigma^2))))),"")</f>
        <v/>
      </c>
      <c r="O6582">
        <f>IF(B6582,ROUND(MAX(0,J6582*K6582*L6582*M6582*N6582),2),"")</f>
        <v/>
      </c>
    </row>
    <row r="6583">
      <c r="A6583" t="n">
        <v>6582</v>
      </c>
      <c r="B6583">
        <f>A6583&lt;=MineCount*Days</f>
        <v/>
      </c>
      <c r="C6583">
        <f>IF(B6583,INT((A6583-1)/Days)+1,"")</f>
        <v/>
      </c>
      <c r="D6583">
        <f>IF(B6583,MOD(A6583-1,Days),"")</f>
        <v/>
      </c>
      <c r="E6583" s="16">
        <f>IF(B6583,StartDate+D6583,"")</f>
        <v/>
      </c>
      <c r="F6583">
        <f>IF(B6583,MAX(MOD(SIN(Seed*0.1373+C6583*12.9898+D6583*78.233)*43758.5453,1),1E-9),"")</f>
        <v/>
      </c>
      <c r="G6583">
        <f>IF(B6583,MOD(SIN(Seed*0.5917+C6583*39.3468+D6583*11.135)*24634.6345,1),"")</f>
        <v/>
      </c>
      <c r="H6583">
        <f>IF(B6583,SQRT(-2*LN(F6583))*COS(2*PI()*G6583),"")</f>
        <v/>
      </c>
      <c r="I6583">
        <f>IF(B6583,IF(D6583=0,H6583,Rho*I6582+SQRT(1-Rho^2)*H6583),"")</f>
        <v/>
      </c>
      <c r="J6583">
        <f>IF(B6583,IF(Dist="Normal",DistA+DistB*I6583,DistA+(DistB-DistA)*NORMSDIST(I6583)),"")</f>
        <v/>
      </c>
      <c r="K6583">
        <f>IF(B6583,INDEX(MineScale,C6583),"")</f>
        <v/>
      </c>
      <c r="L6583">
        <f>IF(B6583,INDEX(Dow,1,WEEKDAY(E6583,2)),"")</f>
        <v/>
      </c>
      <c r="M6583">
        <f>IF(B6583,(1+Trend)^D6583,"")</f>
        <v/>
      </c>
      <c r="N6583">
        <f>IF(B6583,EXP(SUMPRODUCT(LN(1+(EvEff-1)*INDEX(Affected,0,C6583)*EXP(-((E6583-EvCenter)^2)/(2*EvSigma^2))))),"")</f>
        <v/>
      </c>
      <c r="O6583">
        <f>IF(B6583,ROUND(MAX(0,J6583*K6583*L6583*M6583*N6583),2),"")</f>
        <v/>
      </c>
    </row>
    <row r="6584">
      <c r="A6584" t="n">
        <v>6583</v>
      </c>
      <c r="B6584">
        <f>A6584&lt;=MineCount*Days</f>
        <v/>
      </c>
      <c r="C6584">
        <f>IF(B6584,INT((A6584-1)/Days)+1,"")</f>
        <v/>
      </c>
      <c r="D6584">
        <f>IF(B6584,MOD(A6584-1,Days),"")</f>
        <v/>
      </c>
      <c r="E6584" s="16">
        <f>IF(B6584,StartDate+D6584,"")</f>
        <v/>
      </c>
      <c r="F6584">
        <f>IF(B6584,MAX(MOD(SIN(Seed*0.1373+C6584*12.9898+D6584*78.233)*43758.5453,1),1E-9),"")</f>
        <v/>
      </c>
      <c r="G6584">
        <f>IF(B6584,MOD(SIN(Seed*0.5917+C6584*39.3468+D6584*11.135)*24634.6345,1),"")</f>
        <v/>
      </c>
      <c r="H6584">
        <f>IF(B6584,SQRT(-2*LN(F6584))*COS(2*PI()*G6584),"")</f>
        <v/>
      </c>
      <c r="I6584">
        <f>IF(B6584,IF(D6584=0,H6584,Rho*I6583+SQRT(1-Rho^2)*H6584),"")</f>
        <v/>
      </c>
      <c r="J6584">
        <f>IF(B6584,IF(Dist="Normal",DistA+DistB*I6584,DistA+(DistB-DistA)*NORMSDIST(I6584)),"")</f>
        <v/>
      </c>
      <c r="K6584">
        <f>IF(B6584,INDEX(MineScale,C6584),"")</f>
        <v/>
      </c>
      <c r="L6584">
        <f>IF(B6584,INDEX(Dow,1,WEEKDAY(E6584,2)),"")</f>
        <v/>
      </c>
      <c r="M6584">
        <f>IF(B6584,(1+Trend)^D6584,"")</f>
        <v/>
      </c>
      <c r="N6584">
        <f>IF(B6584,EXP(SUMPRODUCT(LN(1+(EvEff-1)*INDEX(Affected,0,C6584)*EXP(-((E6584-EvCenter)^2)/(2*EvSigma^2))))),"")</f>
        <v/>
      </c>
      <c r="O6584">
        <f>IF(B6584,ROUND(MAX(0,J6584*K6584*L6584*M6584*N6584),2),"")</f>
        <v/>
      </c>
    </row>
    <row r="6585">
      <c r="A6585" t="n">
        <v>6584</v>
      </c>
      <c r="B6585">
        <f>A6585&lt;=MineCount*Days</f>
        <v/>
      </c>
      <c r="C6585">
        <f>IF(B6585,INT((A6585-1)/Days)+1,"")</f>
        <v/>
      </c>
      <c r="D6585">
        <f>IF(B6585,MOD(A6585-1,Days),"")</f>
        <v/>
      </c>
      <c r="E6585" s="16">
        <f>IF(B6585,StartDate+D6585,"")</f>
        <v/>
      </c>
      <c r="F6585">
        <f>IF(B6585,MAX(MOD(SIN(Seed*0.1373+C6585*12.9898+D6585*78.233)*43758.5453,1),1E-9),"")</f>
        <v/>
      </c>
      <c r="G6585">
        <f>IF(B6585,MOD(SIN(Seed*0.5917+C6585*39.3468+D6585*11.135)*24634.6345,1),"")</f>
        <v/>
      </c>
      <c r="H6585">
        <f>IF(B6585,SQRT(-2*LN(F6585))*COS(2*PI()*G6585),"")</f>
        <v/>
      </c>
      <c r="I6585">
        <f>IF(B6585,IF(D6585=0,H6585,Rho*I6584+SQRT(1-Rho^2)*H6585),"")</f>
        <v/>
      </c>
      <c r="J6585">
        <f>IF(B6585,IF(Dist="Normal",DistA+DistB*I6585,DistA+(DistB-DistA)*NORMSDIST(I6585)),"")</f>
        <v/>
      </c>
      <c r="K6585">
        <f>IF(B6585,INDEX(MineScale,C6585),"")</f>
        <v/>
      </c>
      <c r="L6585">
        <f>IF(B6585,INDEX(Dow,1,WEEKDAY(E6585,2)),"")</f>
        <v/>
      </c>
      <c r="M6585">
        <f>IF(B6585,(1+Trend)^D6585,"")</f>
        <v/>
      </c>
      <c r="N6585">
        <f>IF(B6585,EXP(SUMPRODUCT(LN(1+(EvEff-1)*INDEX(Affected,0,C6585)*EXP(-((E6585-EvCenter)^2)/(2*EvSigma^2))))),"")</f>
        <v/>
      </c>
      <c r="O6585">
        <f>IF(B6585,ROUND(MAX(0,J6585*K6585*L6585*M6585*N6585),2),"")</f>
        <v/>
      </c>
    </row>
    <row r="6586">
      <c r="A6586" t="n">
        <v>6585</v>
      </c>
      <c r="B6586">
        <f>A6586&lt;=MineCount*Days</f>
        <v/>
      </c>
      <c r="C6586">
        <f>IF(B6586,INT((A6586-1)/Days)+1,"")</f>
        <v/>
      </c>
      <c r="D6586">
        <f>IF(B6586,MOD(A6586-1,Days),"")</f>
        <v/>
      </c>
      <c r="E6586" s="16">
        <f>IF(B6586,StartDate+D6586,"")</f>
        <v/>
      </c>
      <c r="F6586">
        <f>IF(B6586,MAX(MOD(SIN(Seed*0.1373+C6586*12.9898+D6586*78.233)*43758.5453,1),1E-9),"")</f>
        <v/>
      </c>
      <c r="G6586">
        <f>IF(B6586,MOD(SIN(Seed*0.5917+C6586*39.3468+D6586*11.135)*24634.6345,1),"")</f>
        <v/>
      </c>
      <c r="H6586">
        <f>IF(B6586,SQRT(-2*LN(F6586))*COS(2*PI()*G6586),"")</f>
        <v/>
      </c>
      <c r="I6586">
        <f>IF(B6586,IF(D6586=0,H6586,Rho*I6585+SQRT(1-Rho^2)*H6586),"")</f>
        <v/>
      </c>
      <c r="J6586">
        <f>IF(B6586,IF(Dist="Normal",DistA+DistB*I6586,DistA+(DistB-DistA)*NORMSDIST(I6586)),"")</f>
        <v/>
      </c>
      <c r="K6586">
        <f>IF(B6586,INDEX(MineScale,C6586),"")</f>
        <v/>
      </c>
      <c r="L6586">
        <f>IF(B6586,INDEX(Dow,1,WEEKDAY(E6586,2)),"")</f>
        <v/>
      </c>
      <c r="M6586">
        <f>IF(B6586,(1+Trend)^D6586,"")</f>
        <v/>
      </c>
      <c r="N6586">
        <f>IF(B6586,EXP(SUMPRODUCT(LN(1+(EvEff-1)*INDEX(Affected,0,C6586)*EXP(-((E6586-EvCenter)^2)/(2*EvSigma^2))))),"")</f>
        <v/>
      </c>
      <c r="O6586">
        <f>IF(B6586,ROUND(MAX(0,J6586*K6586*L6586*M6586*N6586),2),"")</f>
        <v/>
      </c>
    </row>
    <row r="6587">
      <c r="A6587" t="n">
        <v>6586</v>
      </c>
      <c r="B6587">
        <f>A6587&lt;=MineCount*Days</f>
        <v/>
      </c>
      <c r="C6587">
        <f>IF(B6587,INT((A6587-1)/Days)+1,"")</f>
        <v/>
      </c>
      <c r="D6587">
        <f>IF(B6587,MOD(A6587-1,Days),"")</f>
        <v/>
      </c>
      <c r="E6587" s="16">
        <f>IF(B6587,StartDate+D6587,"")</f>
        <v/>
      </c>
      <c r="F6587">
        <f>IF(B6587,MAX(MOD(SIN(Seed*0.1373+C6587*12.9898+D6587*78.233)*43758.5453,1),1E-9),"")</f>
        <v/>
      </c>
      <c r="G6587">
        <f>IF(B6587,MOD(SIN(Seed*0.5917+C6587*39.3468+D6587*11.135)*24634.6345,1),"")</f>
        <v/>
      </c>
      <c r="H6587">
        <f>IF(B6587,SQRT(-2*LN(F6587))*COS(2*PI()*G6587),"")</f>
        <v/>
      </c>
      <c r="I6587">
        <f>IF(B6587,IF(D6587=0,H6587,Rho*I6586+SQRT(1-Rho^2)*H6587),"")</f>
        <v/>
      </c>
      <c r="J6587">
        <f>IF(B6587,IF(Dist="Normal",DistA+DistB*I6587,DistA+(DistB-DistA)*NORMSDIST(I6587)),"")</f>
        <v/>
      </c>
      <c r="K6587">
        <f>IF(B6587,INDEX(MineScale,C6587),"")</f>
        <v/>
      </c>
      <c r="L6587">
        <f>IF(B6587,INDEX(Dow,1,WEEKDAY(E6587,2)),"")</f>
        <v/>
      </c>
      <c r="M6587">
        <f>IF(B6587,(1+Trend)^D6587,"")</f>
        <v/>
      </c>
      <c r="N6587">
        <f>IF(B6587,EXP(SUMPRODUCT(LN(1+(EvEff-1)*INDEX(Affected,0,C6587)*EXP(-((E6587-EvCenter)^2)/(2*EvSigma^2))))),"")</f>
        <v/>
      </c>
      <c r="O6587">
        <f>IF(B6587,ROUND(MAX(0,J6587*K6587*L6587*M6587*N6587),2),"")</f>
        <v/>
      </c>
    </row>
    <row r="6588">
      <c r="A6588" t="n">
        <v>6587</v>
      </c>
      <c r="B6588">
        <f>A6588&lt;=MineCount*Days</f>
        <v/>
      </c>
      <c r="C6588">
        <f>IF(B6588,INT((A6588-1)/Days)+1,"")</f>
        <v/>
      </c>
      <c r="D6588">
        <f>IF(B6588,MOD(A6588-1,Days),"")</f>
        <v/>
      </c>
      <c r="E6588" s="16">
        <f>IF(B6588,StartDate+D6588,"")</f>
        <v/>
      </c>
      <c r="F6588">
        <f>IF(B6588,MAX(MOD(SIN(Seed*0.1373+C6588*12.9898+D6588*78.233)*43758.5453,1),1E-9),"")</f>
        <v/>
      </c>
      <c r="G6588">
        <f>IF(B6588,MOD(SIN(Seed*0.5917+C6588*39.3468+D6588*11.135)*24634.6345,1),"")</f>
        <v/>
      </c>
      <c r="H6588">
        <f>IF(B6588,SQRT(-2*LN(F6588))*COS(2*PI()*G6588),"")</f>
        <v/>
      </c>
      <c r="I6588">
        <f>IF(B6588,IF(D6588=0,H6588,Rho*I6587+SQRT(1-Rho^2)*H6588),"")</f>
        <v/>
      </c>
      <c r="J6588">
        <f>IF(B6588,IF(Dist="Normal",DistA+DistB*I6588,DistA+(DistB-DistA)*NORMSDIST(I6588)),"")</f>
        <v/>
      </c>
      <c r="K6588">
        <f>IF(B6588,INDEX(MineScale,C6588),"")</f>
        <v/>
      </c>
      <c r="L6588">
        <f>IF(B6588,INDEX(Dow,1,WEEKDAY(E6588,2)),"")</f>
        <v/>
      </c>
      <c r="M6588">
        <f>IF(B6588,(1+Trend)^D6588,"")</f>
        <v/>
      </c>
      <c r="N6588">
        <f>IF(B6588,EXP(SUMPRODUCT(LN(1+(EvEff-1)*INDEX(Affected,0,C6588)*EXP(-((E6588-EvCenter)^2)/(2*EvSigma^2))))),"")</f>
        <v/>
      </c>
      <c r="O6588">
        <f>IF(B6588,ROUND(MAX(0,J6588*K6588*L6588*M6588*N6588),2),"")</f>
        <v/>
      </c>
    </row>
    <row r="6589">
      <c r="A6589" t="n">
        <v>6588</v>
      </c>
      <c r="B6589">
        <f>A6589&lt;=MineCount*Days</f>
        <v/>
      </c>
      <c r="C6589">
        <f>IF(B6589,INT((A6589-1)/Days)+1,"")</f>
        <v/>
      </c>
      <c r="D6589">
        <f>IF(B6589,MOD(A6589-1,Days),"")</f>
        <v/>
      </c>
      <c r="E6589" s="16">
        <f>IF(B6589,StartDate+D6589,"")</f>
        <v/>
      </c>
      <c r="F6589">
        <f>IF(B6589,MAX(MOD(SIN(Seed*0.1373+C6589*12.9898+D6589*78.233)*43758.5453,1),1E-9),"")</f>
        <v/>
      </c>
      <c r="G6589">
        <f>IF(B6589,MOD(SIN(Seed*0.5917+C6589*39.3468+D6589*11.135)*24634.6345,1),"")</f>
        <v/>
      </c>
      <c r="H6589">
        <f>IF(B6589,SQRT(-2*LN(F6589))*COS(2*PI()*G6589),"")</f>
        <v/>
      </c>
      <c r="I6589">
        <f>IF(B6589,IF(D6589=0,H6589,Rho*I6588+SQRT(1-Rho^2)*H6589),"")</f>
        <v/>
      </c>
      <c r="J6589">
        <f>IF(B6589,IF(Dist="Normal",DistA+DistB*I6589,DistA+(DistB-DistA)*NORMSDIST(I6589)),"")</f>
        <v/>
      </c>
      <c r="K6589">
        <f>IF(B6589,INDEX(MineScale,C6589),"")</f>
        <v/>
      </c>
      <c r="L6589">
        <f>IF(B6589,INDEX(Dow,1,WEEKDAY(E6589,2)),"")</f>
        <v/>
      </c>
      <c r="M6589">
        <f>IF(B6589,(1+Trend)^D6589,"")</f>
        <v/>
      </c>
      <c r="N6589">
        <f>IF(B6589,EXP(SUMPRODUCT(LN(1+(EvEff-1)*INDEX(Affected,0,C6589)*EXP(-((E6589-EvCenter)^2)/(2*EvSigma^2))))),"")</f>
        <v/>
      </c>
      <c r="O6589">
        <f>IF(B6589,ROUND(MAX(0,J6589*K6589*L6589*M6589*N6589),2),"")</f>
        <v/>
      </c>
    </row>
    <row r="6590">
      <c r="A6590" t="n">
        <v>6589</v>
      </c>
      <c r="B6590">
        <f>A6590&lt;=MineCount*Days</f>
        <v/>
      </c>
      <c r="C6590">
        <f>IF(B6590,INT((A6590-1)/Days)+1,"")</f>
        <v/>
      </c>
      <c r="D6590">
        <f>IF(B6590,MOD(A6590-1,Days),"")</f>
        <v/>
      </c>
      <c r="E6590" s="16">
        <f>IF(B6590,StartDate+D6590,"")</f>
        <v/>
      </c>
      <c r="F6590">
        <f>IF(B6590,MAX(MOD(SIN(Seed*0.1373+C6590*12.9898+D6590*78.233)*43758.5453,1),1E-9),"")</f>
        <v/>
      </c>
      <c r="G6590">
        <f>IF(B6590,MOD(SIN(Seed*0.5917+C6590*39.3468+D6590*11.135)*24634.6345,1),"")</f>
        <v/>
      </c>
      <c r="H6590">
        <f>IF(B6590,SQRT(-2*LN(F6590))*COS(2*PI()*G6590),"")</f>
        <v/>
      </c>
      <c r="I6590">
        <f>IF(B6590,IF(D6590=0,H6590,Rho*I6589+SQRT(1-Rho^2)*H6590),"")</f>
        <v/>
      </c>
      <c r="J6590">
        <f>IF(B6590,IF(Dist="Normal",DistA+DistB*I6590,DistA+(DistB-DistA)*NORMSDIST(I6590)),"")</f>
        <v/>
      </c>
      <c r="K6590">
        <f>IF(B6590,INDEX(MineScale,C6590),"")</f>
        <v/>
      </c>
      <c r="L6590">
        <f>IF(B6590,INDEX(Dow,1,WEEKDAY(E6590,2)),"")</f>
        <v/>
      </c>
      <c r="M6590">
        <f>IF(B6590,(1+Trend)^D6590,"")</f>
        <v/>
      </c>
      <c r="N6590">
        <f>IF(B6590,EXP(SUMPRODUCT(LN(1+(EvEff-1)*INDEX(Affected,0,C6590)*EXP(-((E6590-EvCenter)^2)/(2*EvSigma^2))))),"")</f>
        <v/>
      </c>
      <c r="O6590">
        <f>IF(B6590,ROUND(MAX(0,J6590*K6590*L6590*M6590*N6590),2),"")</f>
        <v/>
      </c>
    </row>
    <row r="6591">
      <c r="A6591" t="n">
        <v>6590</v>
      </c>
      <c r="B6591">
        <f>A6591&lt;=MineCount*Days</f>
        <v/>
      </c>
      <c r="C6591">
        <f>IF(B6591,INT((A6591-1)/Days)+1,"")</f>
        <v/>
      </c>
      <c r="D6591">
        <f>IF(B6591,MOD(A6591-1,Days),"")</f>
        <v/>
      </c>
      <c r="E6591" s="16">
        <f>IF(B6591,StartDate+D6591,"")</f>
        <v/>
      </c>
      <c r="F6591">
        <f>IF(B6591,MAX(MOD(SIN(Seed*0.1373+C6591*12.9898+D6591*78.233)*43758.5453,1),1E-9),"")</f>
        <v/>
      </c>
      <c r="G6591">
        <f>IF(B6591,MOD(SIN(Seed*0.5917+C6591*39.3468+D6591*11.135)*24634.6345,1),"")</f>
        <v/>
      </c>
      <c r="H6591">
        <f>IF(B6591,SQRT(-2*LN(F6591))*COS(2*PI()*G6591),"")</f>
        <v/>
      </c>
      <c r="I6591">
        <f>IF(B6591,IF(D6591=0,H6591,Rho*I6590+SQRT(1-Rho^2)*H6591),"")</f>
        <v/>
      </c>
      <c r="J6591">
        <f>IF(B6591,IF(Dist="Normal",DistA+DistB*I6591,DistA+(DistB-DistA)*NORMSDIST(I6591)),"")</f>
        <v/>
      </c>
      <c r="K6591">
        <f>IF(B6591,INDEX(MineScale,C6591),"")</f>
        <v/>
      </c>
      <c r="L6591">
        <f>IF(B6591,INDEX(Dow,1,WEEKDAY(E6591,2)),"")</f>
        <v/>
      </c>
      <c r="M6591">
        <f>IF(B6591,(1+Trend)^D6591,"")</f>
        <v/>
      </c>
      <c r="N6591">
        <f>IF(B6591,EXP(SUMPRODUCT(LN(1+(EvEff-1)*INDEX(Affected,0,C6591)*EXP(-((E6591-EvCenter)^2)/(2*EvSigma^2))))),"")</f>
        <v/>
      </c>
      <c r="O6591">
        <f>IF(B6591,ROUND(MAX(0,J6591*K6591*L6591*M6591*N6591),2),"")</f>
        <v/>
      </c>
    </row>
    <row r="6592">
      <c r="A6592" t="n">
        <v>6591</v>
      </c>
      <c r="B6592">
        <f>A6592&lt;=MineCount*Days</f>
        <v/>
      </c>
      <c r="C6592">
        <f>IF(B6592,INT((A6592-1)/Days)+1,"")</f>
        <v/>
      </c>
      <c r="D6592">
        <f>IF(B6592,MOD(A6592-1,Days),"")</f>
        <v/>
      </c>
      <c r="E6592" s="16">
        <f>IF(B6592,StartDate+D6592,"")</f>
        <v/>
      </c>
      <c r="F6592">
        <f>IF(B6592,MAX(MOD(SIN(Seed*0.1373+C6592*12.9898+D6592*78.233)*43758.5453,1),1E-9),"")</f>
        <v/>
      </c>
      <c r="G6592">
        <f>IF(B6592,MOD(SIN(Seed*0.5917+C6592*39.3468+D6592*11.135)*24634.6345,1),"")</f>
        <v/>
      </c>
      <c r="H6592">
        <f>IF(B6592,SQRT(-2*LN(F6592))*COS(2*PI()*G6592),"")</f>
        <v/>
      </c>
      <c r="I6592">
        <f>IF(B6592,IF(D6592=0,H6592,Rho*I6591+SQRT(1-Rho^2)*H6592),"")</f>
        <v/>
      </c>
      <c r="J6592">
        <f>IF(B6592,IF(Dist="Normal",DistA+DistB*I6592,DistA+(DistB-DistA)*NORMSDIST(I6592)),"")</f>
        <v/>
      </c>
      <c r="K6592">
        <f>IF(B6592,INDEX(MineScale,C6592),"")</f>
        <v/>
      </c>
      <c r="L6592">
        <f>IF(B6592,INDEX(Dow,1,WEEKDAY(E6592,2)),"")</f>
        <v/>
      </c>
      <c r="M6592">
        <f>IF(B6592,(1+Trend)^D6592,"")</f>
        <v/>
      </c>
      <c r="N6592">
        <f>IF(B6592,EXP(SUMPRODUCT(LN(1+(EvEff-1)*INDEX(Affected,0,C6592)*EXP(-((E6592-EvCenter)^2)/(2*EvSigma^2))))),"")</f>
        <v/>
      </c>
      <c r="O6592">
        <f>IF(B6592,ROUND(MAX(0,J6592*K6592*L6592*M6592*N6592),2),"")</f>
        <v/>
      </c>
    </row>
    <row r="6593">
      <c r="A6593" t="n">
        <v>6592</v>
      </c>
      <c r="B6593">
        <f>A6593&lt;=MineCount*Days</f>
        <v/>
      </c>
      <c r="C6593">
        <f>IF(B6593,INT((A6593-1)/Days)+1,"")</f>
        <v/>
      </c>
      <c r="D6593">
        <f>IF(B6593,MOD(A6593-1,Days),"")</f>
        <v/>
      </c>
      <c r="E6593" s="16">
        <f>IF(B6593,StartDate+D6593,"")</f>
        <v/>
      </c>
      <c r="F6593">
        <f>IF(B6593,MAX(MOD(SIN(Seed*0.1373+C6593*12.9898+D6593*78.233)*43758.5453,1),1E-9),"")</f>
        <v/>
      </c>
      <c r="G6593">
        <f>IF(B6593,MOD(SIN(Seed*0.5917+C6593*39.3468+D6593*11.135)*24634.6345,1),"")</f>
        <v/>
      </c>
      <c r="H6593">
        <f>IF(B6593,SQRT(-2*LN(F6593))*COS(2*PI()*G6593),"")</f>
        <v/>
      </c>
      <c r="I6593">
        <f>IF(B6593,IF(D6593=0,H6593,Rho*I6592+SQRT(1-Rho^2)*H6593),"")</f>
        <v/>
      </c>
      <c r="J6593">
        <f>IF(B6593,IF(Dist="Normal",DistA+DistB*I6593,DistA+(DistB-DistA)*NORMSDIST(I6593)),"")</f>
        <v/>
      </c>
      <c r="K6593">
        <f>IF(B6593,INDEX(MineScale,C6593),"")</f>
        <v/>
      </c>
      <c r="L6593">
        <f>IF(B6593,INDEX(Dow,1,WEEKDAY(E6593,2)),"")</f>
        <v/>
      </c>
      <c r="M6593">
        <f>IF(B6593,(1+Trend)^D6593,"")</f>
        <v/>
      </c>
      <c r="N6593">
        <f>IF(B6593,EXP(SUMPRODUCT(LN(1+(EvEff-1)*INDEX(Affected,0,C6593)*EXP(-((E6593-EvCenter)^2)/(2*EvSigma^2))))),"")</f>
        <v/>
      </c>
      <c r="O6593">
        <f>IF(B6593,ROUND(MAX(0,J6593*K6593*L6593*M6593*N6593),2),"")</f>
        <v/>
      </c>
    </row>
    <row r="6594">
      <c r="A6594" t="n">
        <v>6593</v>
      </c>
      <c r="B6594">
        <f>A6594&lt;=MineCount*Days</f>
        <v/>
      </c>
      <c r="C6594">
        <f>IF(B6594,INT((A6594-1)/Days)+1,"")</f>
        <v/>
      </c>
      <c r="D6594">
        <f>IF(B6594,MOD(A6594-1,Days),"")</f>
        <v/>
      </c>
      <c r="E6594" s="16">
        <f>IF(B6594,StartDate+D6594,"")</f>
        <v/>
      </c>
      <c r="F6594">
        <f>IF(B6594,MAX(MOD(SIN(Seed*0.1373+C6594*12.9898+D6594*78.233)*43758.5453,1),1E-9),"")</f>
        <v/>
      </c>
      <c r="G6594">
        <f>IF(B6594,MOD(SIN(Seed*0.5917+C6594*39.3468+D6594*11.135)*24634.6345,1),"")</f>
        <v/>
      </c>
      <c r="H6594">
        <f>IF(B6594,SQRT(-2*LN(F6594))*COS(2*PI()*G6594),"")</f>
        <v/>
      </c>
      <c r="I6594">
        <f>IF(B6594,IF(D6594=0,H6594,Rho*I6593+SQRT(1-Rho^2)*H6594),"")</f>
        <v/>
      </c>
      <c r="J6594">
        <f>IF(B6594,IF(Dist="Normal",DistA+DistB*I6594,DistA+(DistB-DistA)*NORMSDIST(I6594)),"")</f>
        <v/>
      </c>
      <c r="K6594">
        <f>IF(B6594,INDEX(MineScale,C6594),"")</f>
        <v/>
      </c>
      <c r="L6594">
        <f>IF(B6594,INDEX(Dow,1,WEEKDAY(E6594,2)),"")</f>
        <v/>
      </c>
      <c r="M6594">
        <f>IF(B6594,(1+Trend)^D6594,"")</f>
        <v/>
      </c>
      <c r="N6594">
        <f>IF(B6594,EXP(SUMPRODUCT(LN(1+(EvEff-1)*INDEX(Affected,0,C6594)*EXP(-((E6594-EvCenter)^2)/(2*EvSigma^2))))),"")</f>
        <v/>
      </c>
      <c r="O6594">
        <f>IF(B6594,ROUND(MAX(0,J6594*K6594*L6594*M6594*N6594),2),"")</f>
        <v/>
      </c>
    </row>
    <row r="6595">
      <c r="A6595" t="n">
        <v>6594</v>
      </c>
      <c r="B6595">
        <f>A6595&lt;=MineCount*Days</f>
        <v/>
      </c>
      <c r="C6595">
        <f>IF(B6595,INT((A6595-1)/Days)+1,"")</f>
        <v/>
      </c>
      <c r="D6595">
        <f>IF(B6595,MOD(A6595-1,Days),"")</f>
        <v/>
      </c>
      <c r="E6595" s="16">
        <f>IF(B6595,StartDate+D6595,"")</f>
        <v/>
      </c>
      <c r="F6595">
        <f>IF(B6595,MAX(MOD(SIN(Seed*0.1373+C6595*12.9898+D6595*78.233)*43758.5453,1),1E-9),"")</f>
        <v/>
      </c>
      <c r="G6595">
        <f>IF(B6595,MOD(SIN(Seed*0.5917+C6595*39.3468+D6595*11.135)*24634.6345,1),"")</f>
        <v/>
      </c>
      <c r="H6595">
        <f>IF(B6595,SQRT(-2*LN(F6595))*COS(2*PI()*G6595),"")</f>
        <v/>
      </c>
      <c r="I6595">
        <f>IF(B6595,IF(D6595=0,H6595,Rho*I6594+SQRT(1-Rho^2)*H6595),"")</f>
        <v/>
      </c>
      <c r="J6595">
        <f>IF(B6595,IF(Dist="Normal",DistA+DistB*I6595,DistA+(DistB-DistA)*NORMSDIST(I6595)),"")</f>
        <v/>
      </c>
      <c r="K6595">
        <f>IF(B6595,INDEX(MineScale,C6595),"")</f>
        <v/>
      </c>
      <c r="L6595">
        <f>IF(B6595,INDEX(Dow,1,WEEKDAY(E6595,2)),"")</f>
        <v/>
      </c>
      <c r="M6595">
        <f>IF(B6595,(1+Trend)^D6595,"")</f>
        <v/>
      </c>
      <c r="N6595">
        <f>IF(B6595,EXP(SUMPRODUCT(LN(1+(EvEff-1)*INDEX(Affected,0,C6595)*EXP(-((E6595-EvCenter)^2)/(2*EvSigma^2))))),"")</f>
        <v/>
      </c>
      <c r="O6595">
        <f>IF(B6595,ROUND(MAX(0,J6595*K6595*L6595*M6595*N6595),2),"")</f>
        <v/>
      </c>
    </row>
    <row r="6596">
      <c r="A6596" t="n">
        <v>6595</v>
      </c>
      <c r="B6596">
        <f>A6596&lt;=MineCount*Days</f>
        <v/>
      </c>
      <c r="C6596">
        <f>IF(B6596,INT((A6596-1)/Days)+1,"")</f>
        <v/>
      </c>
      <c r="D6596">
        <f>IF(B6596,MOD(A6596-1,Days),"")</f>
        <v/>
      </c>
      <c r="E6596" s="16">
        <f>IF(B6596,StartDate+D6596,"")</f>
        <v/>
      </c>
      <c r="F6596">
        <f>IF(B6596,MAX(MOD(SIN(Seed*0.1373+C6596*12.9898+D6596*78.233)*43758.5453,1),1E-9),"")</f>
        <v/>
      </c>
      <c r="G6596">
        <f>IF(B6596,MOD(SIN(Seed*0.5917+C6596*39.3468+D6596*11.135)*24634.6345,1),"")</f>
        <v/>
      </c>
      <c r="H6596">
        <f>IF(B6596,SQRT(-2*LN(F6596))*COS(2*PI()*G6596),"")</f>
        <v/>
      </c>
      <c r="I6596">
        <f>IF(B6596,IF(D6596=0,H6596,Rho*I6595+SQRT(1-Rho^2)*H6596),"")</f>
        <v/>
      </c>
      <c r="J6596">
        <f>IF(B6596,IF(Dist="Normal",DistA+DistB*I6596,DistA+(DistB-DistA)*NORMSDIST(I6596)),"")</f>
        <v/>
      </c>
      <c r="K6596">
        <f>IF(B6596,INDEX(MineScale,C6596),"")</f>
        <v/>
      </c>
      <c r="L6596">
        <f>IF(B6596,INDEX(Dow,1,WEEKDAY(E6596,2)),"")</f>
        <v/>
      </c>
      <c r="M6596">
        <f>IF(B6596,(1+Trend)^D6596,"")</f>
        <v/>
      </c>
      <c r="N6596">
        <f>IF(B6596,EXP(SUMPRODUCT(LN(1+(EvEff-1)*INDEX(Affected,0,C6596)*EXP(-((E6596-EvCenter)^2)/(2*EvSigma^2))))),"")</f>
        <v/>
      </c>
      <c r="O6596">
        <f>IF(B6596,ROUND(MAX(0,J6596*K6596*L6596*M6596*N6596),2),"")</f>
        <v/>
      </c>
    </row>
    <row r="6597">
      <c r="A6597" t="n">
        <v>6596</v>
      </c>
      <c r="B6597">
        <f>A6597&lt;=MineCount*Days</f>
        <v/>
      </c>
      <c r="C6597">
        <f>IF(B6597,INT((A6597-1)/Days)+1,"")</f>
        <v/>
      </c>
      <c r="D6597">
        <f>IF(B6597,MOD(A6597-1,Days),"")</f>
        <v/>
      </c>
      <c r="E6597" s="16">
        <f>IF(B6597,StartDate+D6597,"")</f>
        <v/>
      </c>
      <c r="F6597">
        <f>IF(B6597,MAX(MOD(SIN(Seed*0.1373+C6597*12.9898+D6597*78.233)*43758.5453,1),1E-9),"")</f>
        <v/>
      </c>
      <c r="G6597">
        <f>IF(B6597,MOD(SIN(Seed*0.5917+C6597*39.3468+D6597*11.135)*24634.6345,1),"")</f>
        <v/>
      </c>
      <c r="H6597">
        <f>IF(B6597,SQRT(-2*LN(F6597))*COS(2*PI()*G6597),"")</f>
        <v/>
      </c>
      <c r="I6597">
        <f>IF(B6597,IF(D6597=0,H6597,Rho*I6596+SQRT(1-Rho^2)*H6597),"")</f>
        <v/>
      </c>
      <c r="J6597">
        <f>IF(B6597,IF(Dist="Normal",DistA+DistB*I6597,DistA+(DistB-DistA)*NORMSDIST(I6597)),"")</f>
        <v/>
      </c>
      <c r="K6597">
        <f>IF(B6597,INDEX(MineScale,C6597),"")</f>
        <v/>
      </c>
      <c r="L6597">
        <f>IF(B6597,INDEX(Dow,1,WEEKDAY(E6597,2)),"")</f>
        <v/>
      </c>
      <c r="M6597">
        <f>IF(B6597,(1+Trend)^D6597,"")</f>
        <v/>
      </c>
      <c r="N6597">
        <f>IF(B6597,EXP(SUMPRODUCT(LN(1+(EvEff-1)*INDEX(Affected,0,C6597)*EXP(-((E6597-EvCenter)^2)/(2*EvSigma^2))))),"")</f>
        <v/>
      </c>
      <c r="O6597">
        <f>IF(B6597,ROUND(MAX(0,J6597*K6597*L6597*M6597*N6597),2),"")</f>
        <v/>
      </c>
    </row>
    <row r="6598">
      <c r="A6598" t="n">
        <v>6597</v>
      </c>
      <c r="B6598">
        <f>A6598&lt;=MineCount*Days</f>
        <v/>
      </c>
      <c r="C6598">
        <f>IF(B6598,INT((A6598-1)/Days)+1,"")</f>
        <v/>
      </c>
      <c r="D6598">
        <f>IF(B6598,MOD(A6598-1,Days),"")</f>
        <v/>
      </c>
      <c r="E6598" s="16">
        <f>IF(B6598,StartDate+D6598,"")</f>
        <v/>
      </c>
      <c r="F6598">
        <f>IF(B6598,MAX(MOD(SIN(Seed*0.1373+C6598*12.9898+D6598*78.233)*43758.5453,1),1E-9),"")</f>
        <v/>
      </c>
      <c r="G6598">
        <f>IF(B6598,MOD(SIN(Seed*0.5917+C6598*39.3468+D6598*11.135)*24634.6345,1),"")</f>
        <v/>
      </c>
      <c r="H6598">
        <f>IF(B6598,SQRT(-2*LN(F6598))*COS(2*PI()*G6598),"")</f>
        <v/>
      </c>
      <c r="I6598">
        <f>IF(B6598,IF(D6598=0,H6598,Rho*I6597+SQRT(1-Rho^2)*H6598),"")</f>
        <v/>
      </c>
      <c r="J6598">
        <f>IF(B6598,IF(Dist="Normal",DistA+DistB*I6598,DistA+(DistB-DistA)*NORMSDIST(I6598)),"")</f>
        <v/>
      </c>
      <c r="K6598">
        <f>IF(B6598,INDEX(MineScale,C6598),"")</f>
        <v/>
      </c>
      <c r="L6598">
        <f>IF(B6598,INDEX(Dow,1,WEEKDAY(E6598,2)),"")</f>
        <v/>
      </c>
      <c r="M6598">
        <f>IF(B6598,(1+Trend)^D6598,"")</f>
        <v/>
      </c>
      <c r="N6598">
        <f>IF(B6598,EXP(SUMPRODUCT(LN(1+(EvEff-1)*INDEX(Affected,0,C6598)*EXP(-((E6598-EvCenter)^2)/(2*EvSigma^2))))),"")</f>
        <v/>
      </c>
      <c r="O6598">
        <f>IF(B6598,ROUND(MAX(0,J6598*K6598*L6598*M6598*N6598),2),"")</f>
        <v/>
      </c>
    </row>
    <row r="6599">
      <c r="A6599" t="n">
        <v>6598</v>
      </c>
      <c r="B6599">
        <f>A6599&lt;=MineCount*Days</f>
        <v/>
      </c>
      <c r="C6599">
        <f>IF(B6599,INT((A6599-1)/Days)+1,"")</f>
        <v/>
      </c>
      <c r="D6599">
        <f>IF(B6599,MOD(A6599-1,Days),"")</f>
        <v/>
      </c>
      <c r="E6599" s="16">
        <f>IF(B6599,StartDate+D6599,"")</f>
        <v/>
      </c>
      <c r="F6599">
        <f>IF(B6599,MAX(MOD(SIN(Seed*0.1373+C6599*12.9898+D6599*78.233)*43758.5453,1),1E-9),"")</f>
        <v/>
      </c>
      <c r="G6599">
        <f>IF(B6599,MOD(SIN(Seed*0.5917+C6599*39.3468+D6599*11.135)*24634.6345,1),"")</f>
        <v/>
      </c>
      <c r="H6599">
        <f>IF(B6599,SQRT(-2*LN(F6599))*COS(2*PI()*G6599),"")</f>
        <v/>
      </c>
      <c r="I6599">
        <f>IF(B6599,IF(D6599=0,H6599,Rho*I6598+SQRT(1-Rho^2)*H6599),"")</f>
        <v/>
      </c>
      <c r="J6599">
        <f>IF(B6599,IF(Dist="Normal",DistA+DistB*I6599,DistA+(DistB-DistA)*NORMSDIST(I6599)),"")</f>
        <v/>
      </c>
      <c r="K6599">
        <f>IF(B6599,INDEX(MineScale,C6599),"")</f>
        <v/>
      </c>
      <c r="L6599">
        <f>IF(B6599,INDEX(Dow,1,WEEKDAY(E6599,2)),"")</f>
        <v/>
      </c>
      <c r="M6599">
        <f>IF(B6599,(1+Trend)^D6599,"")</f>
        <v/>
      </c>
      <c r="N6599">
        <f>IF(B6599,EXP(SUMPRODUCT(LN(1+(EvEff-1)*INDEX(Affected,0,C6599)*EXP(-((E6599-EvCenter)^2)/(2*EvSigma^2))))),"")</f>
        <v/>
      </c>
      <c r="O6599">
        <f>IF(B6599,ROUND(MAX(0,J6599*K6599*L6599*M6599*N6599),2),"")</f>
        <v/>
      </c>
    </row>
    <row r="6600">
      <c r="A6600" t="n">
        <v>6599</v>
      </c>
      <c r="B6600">
        <f>A6600&lt;=MineCount*Days</f>
        <v/>
      </c>
      <c r="C6600">
        <f>IF(B6600,INT((A6600-1)/Days)+1,"")</f>
        <v/>
      </c>
      <c r="D6600">
        <f>IF(B6600,MOD(A6600-1,Days),"")</f>
        <v/>
      </c>
      <c r="E6600" s="16">
        <f>IF(B6600,StartDate+D6600,"")</f>
        <v/>
      </c>
      <c r="F6600">
        <f>IF(B6600,MAX(MOD(SIN(Seed*0.1373+C6600*12.9898+D6600*78.233)*43758.5453,1),1E-9),"")</f>
        <v/>
      </c>
      <c r="G6600">
        <f>IF(B6600,MOD(SIN(Seed*0.5917+C6600*39.3468+D6600*11.135)*24634.6345,1),"")</f>
        <v/>
      </c>
      <c r="H6600">
        <f>IF(B6600,SQRT(-2*LN(F6600))*COS(2*PI()*G6600),"")</f>
        <v/>
      </c>
      <c r="I6600">
        <f>IF(B6600,IF(D6600=0,H6600,Rho*I6599+SQRT(1-Rho^2)*H6600),"")</f>
        <v/>
      </c>
      <c r="J6600">
        <f>IF(B6600,IF(Dist="Normal",DistA+DistB*I6600,DistA+(DistB-DistA)*NORMSDIST(I6600)),"")</f>
        <v/>
      </c>
      <c r="K6600">
        <f>IF(B6600,INDEX(MineScale,C6600),"")</f>
        <v/>
      </c>
      <c r="L6600">
        <f>IF(B6600,INDEX(Dow,1,WEEKDAY(E6600,2)),"")</f>
        <v/>
      </c>
      <c r="M6600">
        <f>IF(B6600,(1+Trend)^D6600,"")</f>
        <v/>
      </c>
      <c r="N6600">
        <f>IF(B6600,EXP(SUMPRODUCT(LN(1+(EvEff-1)*INDEX(Affected,0,C6600)*EXP(-((E6600-EvCenter)^2)/(2*EvSigma^2))))),"")</f>
        <v/>
      </c>
      <c r="O6600">
        <f>IF(B6600,ROUND(MAX(0,J6600*K6600*L6600*M6600*N6600),2),"")</f>
        <v/>
      </c>
    </row>
    <row r="6601">
      <c r="A6601" t="n">
        <v>6600</v>
      </c>
      <c r="B6601">
        <f>A6601&lt;=MineCount*Days</f>
        <v/>
      </c>
      <c r="C6601">
        <f>IF(B6601,INT((A6601-1)/Days)+1,"")</f>
        <v/>
      </c>
      <c r="D6601">
        <f>IF(B6601,MOD(A6601-1,Days),"")</f>
        <v/>
      </c>
      <c r="E6601" s="16">
        <f>IF(B6601,StartDate+D6601,"")</f>
        <v/>
      </c>
      <c r="F6601">
        <f>IF(B6601,MAX(MOD(SIN(Seed*0.1373+C6601*12.9898+D6601*78.233)*43758.5453,1),1E-9),"")</f>
        <v/>
      </c>
      <c r="G6601">
        <f>IF(B6601,MOD(SIN(Seed*0.5917+C6601*39.3468+D6601*11.135)*24634.6345,1),"")</f>
        <v/>
      </c>
      <c r="H6601">
        <f>IF(B6601,SQRT(-2*LN(F6601))*COS(2*PI()*G6601),"")</f>
        <v/>
      </c>
      <c r="I6601">
        <f>IF(B6601,IF(D6601=0,H6601,Rho*I6600+SQRT(1-Rho^2)*H6601),"")</f>
        <v/>
      </c>
      <c r="J6601">
        <f>IF(B6601,IF(Dist="Normal",DistA+DistB*I6601,DistA+(DistB-DistA)*NORMSDIST(I6601)),"")</f>
        <v/>
      </c>
      <c r="K6601">
        <f>IF(B6601,INDEX(MineScale,C6601),"")</f>
        <v/>
      </c>
      <c r="L6601">
        <f>IF(B6601,INDEX(Dow,1,WEEKDAY(E6601,2)),"")</f>
        <v/>
      </c>
      <c r="M6601">
        <f>IF(B6601,(1+Trend)^D6601,"")</f>
        <v/>
      </c>
      <c r="N6601">
        <f>IF(B6601,EXP(SUMPRODUCT(LN(1+(EvEff-1)*INDEX(Affected,0,C6601)*EXP(-((E6601-EvCenter)^2)/(2*EvSigma^2))))),"")</f>
        <v/>
      </c>
      <c r="O6601">
        <f>IF(B6601,ROUND(MAX(0,J6601*K6601*L6601*M6601*N6601),2),"")</f>
        <v/>
      </c>
    </row>
    <row r="6602">
      <c r="A6602" t="n">
        <v>6601</v>
      </c>
      <c r="B6602">
        <f>A6602&lt;=MineCount*Days</f>
        <v/>
      </c>
      <c r="C6602">
        <f>IF(B6602,INT((A6602-1)/Days)+1,"")</f>
        <v/>
      </c>
      <c r="D6602">
        <f>IF(B6602,MOD(A6602-1,Days),"")</f>
        <v/>
      </c>
      <c r="E6602" s="16">
        <f>IF(B6602,StartDate+D6602,"")</f>
        <v/>
      </c>
      <c r="F6602">
        <f>IF(B6602,MAX(MOD(SIN(Seed*0.1373+C6602*12.9898+D6602*78.233)*43758.5453,1),1E-9),"")</f>
        <v/>
      </c>
      <c r="G6602">
        <f>IF(B6602,MOD(SIN(Seed*0.5917+C6602*39.3468+D6602*11.135)*24634.6345,1),"")</f>
        <v/>
      </c>
      <c r="H6602">
        <f>IF(B6602,SQRT(-2*LN(F6602))*COS(2*PI()*G6602),"")</f>
        <v/>
      </c>
      <c r="I6602">
        <f>IF(B6602,IF(D6602=0,H6602,Rho*I6601+SQRT(1-Rho^2)*H6602),"")</f>
        <v/>
      </c>
      <c r="J6602">
        <f>IF(B6602,IF(Dist="Normal",DistA+DistB*I6602,DistA+(DistB-DistA)*NORMSDIST(I6602)),"")</f>
        <v/>
      </c>
      <c r="K6602">
        <f>IF(B6602,INDEX(MineScale,C6602),"")</f>
        <v/>
      </c>
      <c r="L6602">
        <f>IF(B6602,INDEX(Dow,1,WEEKDAY(E6602,2)),"")</f>
        <v/>
      </c>
      <c r="M6602">
        <f>IF(B6602,(1+Trend)^D6602,"")</f>
        <v/>
      </c>
      <c r="N6602">
        <f>IF(B6602,EXP(SUMPRODUCT(LN(1+(EvEff-1)*INDEX(Affected,0,C6602)*EXP(-((E6602-EvCenter)^2)/(2*EvSigma^2))))),"")</f>
        <v/>
      </c>
      <c r="O6602">
        <f>IF(B6602,ROUND(MAX(0,J6602*K6602*L6602*M6602*N6602),2),"")</f>
        <v/>
      </c>
    </row>
    <row r="6603">
      <c r="A6603" t="n">
        <v>6602</v>
      </c>
      <c r="B6603">
        <f>A6603&lt;=MineCount*Days</f>
        <v/>
      </c>
      <c r="C6603">
        <f>IF(B6603,INT((A6603-1)/Days)+1,"")</f>
        <v/>
      </c>
      <c r="D6603">
        <f>IF(B6603,MOD(A6603-1,Days),"")</f>
        <v/>
      </c>
      <c r="E6603" s="16">
        <f>IF(B6603,StartDate+D6603,"")</f>
        <v/>
      </c>
      <c r="F6603">
        <f>IF(B6603,MAX(MOD(SIN(Seed*0.1373+C6603*12.9898+D6603*78.233)*43758.5453,1),1E-9),"")</f>
        <v/>
      </c>
      <c r="G6603">
        <f>IF(B6603,MOD(SIN(Seed*0.5917+C6603*39.3468+D6603*11.135)*24634.6345,1),"")</f>
        <v/>
      </c>
      <c r="H6603">
        <f>IF(B6603,SQRT(-2*LN(F6603))*COS(2*PI()*G6603),"")</f>
        <v/>
      </c>
      <c r="I6603">
        <f>IF(B6603,IF(D6603=0,H6603,Rho*I6602+SQRT(1-Rho^2)*H6603),"")</f>
        <v/>
      </c>
      <c r="J6603">
        <f>IF(B6603,IF(Dist="Normal",DistA+DistB*I6603,DistA+(DistB-DistA)*NORMSDIST(I6603)),"")</f>
        <v/>
      </c>
      <c r="K6603">
        <f>IF(B6603,INDEX(MineScale,C6603),"")</f>
        <v/>
      </c>
      <c r="L6603">
        <f>IF(B6603,INDEX(Dow,1,WEEKDAY(E6603,2)),"")</f>
        <v/>
      </c>
      <c r="M6603">
        <f>IF(B6603,(1+Trend)^D6603,"")</f>
        <v/>
      </c>
      <c r="N6603">
        <f>IF(B6603,EXP(SUMPRODUCT(LN(1+(EvEff-1)*INDEX(Affected,0,C6603)*EXP(-((E6603-EvCenter)^2)/(2*EvSigma^2))))),"")</f>
        <v/>
      </c>
      <c r="O6603">
        <f>IF(B6603,ROUND(MAX(0,J6603*K6603*L6603*M6603*N6603),2),"")</f>
        <v/>
      </c>
    </row>
    <row r="6604">
      <c r="A6604" t="n">
        <v>6603</v>
      </c>
      <c r="B6604">
        <f>A6604&lt;=MineCount*Days</f>
        <v/>
      </c>
      <c r="C6604">
        <f>IF(B6604,INT((A6604-1)/Days)+1,"")</f>
        <v/>
      </c>
      <c r="D6604">
        <f>IF(B6604,MOD(A6604-1,Days),"")</f>
        <v/>
      </c>
      <c r="E6604" s="16">
        <f>IF(B6604,StartDate+D6604,"")</f>
        <v/>
      </c>
      <c r="F6604">
        <f>IF(B6604,MAX(MOD(SIN(Seed*0.1373+C6604*12.9898+D6604*78.233)*43758.5453,1),1E-9),"")</f>
        <v/>
      </c>
      <c r="G6604">
        <f>IF(B6604,MOD(SIN(Seed*0.5917+C6604*39.3468+D6604*11.135)*24634.6345,1),"")</f>
        <v/>
      </c>
      <c r="H6604">
        <f>IF(B6604,SQRT(-2*LN(F6604))*COS(2*PI()*G6604),"")</f>
        <v/>
      </c>
      <c r="I6604">
        <f>IF(B6604,IF(D6604=0,H6604,Rho*I6603+SQRT(1-Rho^2)*H6604),"")</f>
        <v/>
      </c>
      <c r="J6604">
        <f>IF(B6604,IF(Dist="Normal",DistA+DistB*I6604,DistA+(DistB-DistA)*NORMSDIST(I6604)),"")</f>
        <v/>
      </c>
      <c r="K6604">
        <f>IF(B6604,INDEX(MineScale,C6604),"")</f>
        <v/>
      </c>
      <c r="L6604">
        <f>IF(B6604,INDEX(Dow,1,WEEKDAY(E6604,2)),"")</f>
        <v/>
      </c>
      <c r="M6604">
        <f>IF(B6604,(1+Trend)^D6604,"")</f>
        <v/>
      </c>
      <c r="N6604">
        <f>IF(B6604,EXP(SUMPRODUCT(LN(1+(EvEff-1)*INDEX(Affected,0,C6604)*EXP(-((E6604-EvCenter)^2)/(2*EvSigma^2))))),"")</f>
        <v/>
      </c>
      <c r="O6604">
        <f>IF(B6604,ROUND(MAX(0,J6604*K6604*L6604*M6604*N6604),2),"")</f>
        <v/>
      </c>
    </row>
    <row r="6605">
      <c r="A6605" t="n">
        <v>6604</v>
      </c>
      <c r="B6605">
        <f>A6605&lt;=MineCount*Days</f>
        <v/>
      </c>
      <c r="C6605">
        <f>IF(B6605,INT((A6605-1)/Days)+1,"")</f>
        <v/>
      </c>
      <c r="D6605">
        <f>IF(B6605,MOD(A6605-1,Days),"")</f>
        <v/>
      </c>
      <c r="E6605" s="16">
        <f>IF(B6605,StartDate+D6605,"")</f>
        <v/>
      </c>
      <c r="F6605">
        <f>IF(B6605,MAX(MOD(SIN(Seed*0.1373+C6605*12.9898+D6605*78.233)*43758.5453,1),1E-9),"")</f>
        <v/>
      </c>
      <c r="G6605">
        <f>IF(B6605,MOD(SIN(Seed*0.5917+C6605*39.3468+D6605*11.135)*24634.6345,1),"")</f>
        <v/>
      </c>
      <c r="H6605">
        <f>IF(B6605,SQRT(-2*LN(F6605))*COS(2*PI()*G6605),"")</f>
        <v/>
      </c>
      <c r="I6605">
        <f>IF(B6605,IF(D6605=0,H6605,Rho*I6604+SQRT(1-Rho^2)*H6605),"")</f>
        <v/>
      </c>
      <c r="J6605">
        <f>IF(B6605,IF(Dist="Normal",DistA+DistB*I6605,DistA+(DistB-DistA)*NORMSDIST(I6605)),"")</f>
        <v/>
      </c>
      <c r="K6605">
        <f>IF(B6605,INDEX(MineScale,C6605),"")</f>
        <v/>
      </c>
      <c r="L6605">
        <f>IF(B6605,INDEX(Dow,1,WEEKDAY(E6605,2)),"")</f>
        <v/>
      </c>
      <c r="M6605">
        <f>IF(B6605,(1+Trend)^D6605,"")</f>
        <v/>
      </c>
      <c r="N6605">
        <f>IF(B6605,EXP(SUMPRODUCT(LN(1+(EvEff-1)*INDEX(Affected,0,C6605)*EXP(-((E6605-EvCenter)^2)/(2*EvSigma^2))))),"")</f>
        <v/>
      </c>
      <c r="O6605">
        <f>IF(B6605,ROUND(MAX(0,J6605*K6605*L6605*M6605*N6605),2),"")</f>
        <v/>
      </c>
    </row>
    <row r="6606">
      <c r="A6606" t="n">
        <v>6605</v>
      </c>
      <c r="B6606">
        <f>A6606&lt;=MineCount*Days</f>
        <v/>
      </c>
      <c r="C6606">
        <f>IF(B6606,INT((A6606-1)/Days)+1,"")</f>
        <v/>
      </c>
      <c r="D6606">
        <f>IF(B6606,MOD(A6606-1,Days),"")</f>
        <v/>
      </c>
      <c r="E6606" s="16">
        <f>IF(B6606,StartDate+D6606,"")</f>
        <v/>
      </c>
      <c r="F6606">
        <f>IF(B6606,MAX(MOD(SIN(Seed*0.1373+C6606*12.9898+D6606*78.233)*43758.5453,1),1E-9),"")</f>
        <v/>
      </c>
      <c r="G6606">
        <f>IF(B6606,MOD(SIN(Seed*0.5917+C6606*39.3468+D6606*11.135)*24634.6345,1),"")</f>
        <v/>
      </c>
      <c r="H6606">
        <f>IF(B6606,SQRT(-2*LN(F6606))*COS(2*PI()*G6606),"")</f>
        <v/>
      </c>
      <c r="I6606">
        <f>IF(B6606,IF(D6606=0,H6606,Rho*I6605+SQRT(1-Rho^2)*H6606),"")</f>
        <v/>
      </c>
      <c r="J6606">
        <f>IF(B6606,IF(Dist="Normal",DistA+DistB*I6606,DistA+(DistB-DistA)*NORMSDIST(I6606)),"")</f>
        <v/>
      </c>
      <c r="K6606">
        <f>IF(B6606,INDEX(MineScale,C6606),"")</f>
        <v/>
      </c>
      <c r="L6606">
        <f>IF(B6606,INDEX(Dow,1,WEEKDAY(E6606,2)),"")</f>
        <v/>
      </c>
      <c r="M6606">
        <f>IF(B6606,(1+Trend)^D6606,"")</f>
        <v/>
      </c>
      <c r="N6606">
        <f>IF(B6606,EXP(SUMPRODUCT(LN(1+(EvEff-1)*INDEX(Affected,0,C6606)*EXP(-((E6606-EvCenter)^2)/(2*EvSigma^2))))),"")</f>
        <v/>
      </c>
      <c r="O6606">
        <f>IF(B6606,ROUND(MAX(0,J6606*K6606*L6606*M6606*N6606),2),"")</f>
        <v/>
      </c>
    </row>
    <row r="6607">
      <c r="A6607" t="n">
        <v>6606</v>
      </c>
      <c r="B6607">
        <f>A6607&lt;=MineCount*Days</f>
        <v/>
      </c>
      <c r="C6607">
        <f>IF(B6607,INT((A6607-1)/Days)+1,"")</f>
        <v/>
      </c>
      <c r="D6607">
        <f>IF(B6607,MOD(A6607-1,Days),"")</f>
        <v/>
      </c>
      <c r="E6607" s="16">
        <f>IF(B6607,StartDate+D6607,"")</f>
        <v/>
      </c>
      <c r="F6607">
        <f>IF(B6607,MAX(MOD(SIN(Seed*0.1373+C6607*12.9898+D6607*78.233)*43758.5453,1),1E-9),"")</f>
        <v/>
      </c>
      <c r="G6607">
        <f>IF(B6607,MOD(SIN(Seed*0.5917+C6607*39.3468+D6607*11.135)*24634.6345,1),"")</f>
        <v/>
      </c>
      <c r="H6607">
        <f>IF(B6607,SQRT(-2*LN(F6607))*COS(2*PI()*G6607),"")</f>
        <v/>
      </c>
      <c r="I6607">
        <f>IF(B6607,IF(D6607=0,H6607,Rho*I6606+SQRT(1-Rho^2)*H6607),"")</f>
        <v/>
      </c>
      <c r="J6607">
        <f>IF(B6607,IF(Dist="Normal",DistA+DistB*I6607,DistA+(DistB-DistA)*NORMSDIST(I6607)),"")</f>
        <v/>
      </c>
      <c r="K6607">
        <f>IF(B6607,INDEX(MineScale,C6607),"")</f>
        <v/>
      </c>
      <c r="L6607">
        <f>IF(B6607,INDEX(Dow,1,WEEKDAY(E6607,2)),"")</f>
        <v/>
      </c>
      <c r="M6607">
        <f>IF(B6607,(1+Trend)^D6607,"")</f>
        <v/>
      </c>
      <c r="N6607">
        <f>IF(B6607,EXP(SUMPRODUCT(LN(1+(EvEff-1)*INDEX(Affected,0,C6607)*EXP(-((E6607-EvCenter)^2)/(2*EvSigma^2))))),"")</f>
        <v/>
      </c>
      <c r="O6607">
        <f>IF(B6607,ROUND(MAX(0,J6607*K6607*L6607*M6607*N6607),2),"")</f>
        <v/>
      </c>
    </row>
    <row r="6608">
      <c r="A6608" t="n">
        <v>6607</v>
      </c>
      <c r="B6608">
        <f>A6608&lt;=MineCount*Days</f>
        <v/>
      </c>
      <c r="C6608">
        <f>IF(B6608,INT((A6608-1)/Days)+1,"")</f>
        <v/>
      </c>
      <c r="D6608">
        <f>IF(B6608,MOD(A6608-1,Days),"")</f>
        <v/>
      </c>
      <c r="E6608" s="16">
        <f>IF(B6608,StartDate+D6608,"")</f>
        <v/>
      </c>
      <c r="F6608">
        <f>IF(B6608,MAX(MOD(SIN(Seed*0.1373+C6608*12.9898+D6608*78.233)*43758.5453,1),1E-9),"")</f>
        <v/>
      </c>
      <c r="G6608">
        <f>IF(B6608,MOD(SIN(Seed*0.5917+C6608*39.3468+D6608*11.135)*24634.6345,1),"")</f>
        <v/>
      </c>
      <c r="H6608">
        <f>IF(B6608,SQRT(-2*LN(F6608))*COS(2*PI()*G6608),"")</f>
        <v/>
      </c>
      <c r="I6608">
        <f>IF(B6608,IF(D6608=0,H6608,Rho*I6607+SQRT(1-Rho^2)*H6608),"")</f>
        <v/>
      </c>
      <c r="J6608">
        <f>IF(B6608,IF(Dist="Normal",DistA+DistB*I6608,DistA+(DistB-DistA)*NORMSDIST(I6608)),"")</f>
        <v/>
      </c>
      <c r="K6608">
        <f>IF(B6608,INDEX(MineScale,C6608),"")</f>
        <v/>
      </c>
      <c r="L6608">
        <f>IF(B6608,INDEX(Dow,1,WEEKDAY(E6608,2)),"")</f>
        <v/>
      </c>
      <c r="M6608">
        <f>IF(B6608,(1+Trend)^D6608,"")</f>
        <v/>
      </c>
      <c r="N6608">
        <f>IF(B6608,EXP(SUMPRODUCT(LN(1+(EvEff-1)*INDEX(Affected,0,C6608)*EXP(-((E6608-EvCenter)^2)/(2*EvSigma^2))))),"")</f>
        <v/>
      </c>
      <c r="O6608">
        <f>IF(B6608,ROUND(MAX(0,J6608*K6608*L6608*M6608*N6608),2),"")</f>
        <v/>
      </c>
    </row>
    <row r="6609">
      <c r="A6609" t="n">
        <v>6608</v>
      </c>
      <c r="B6609">
        <f>A6609&lt;=MineCount*Days</f>
        <v/>
      </c>
      <c r="C6609">
        <f>IF(B6609,INT((A6609-1)/Days)+1,"")</f>
        <v/>
      </c>
      <c r="D6609">
        <f>IF(B6609,MOD(A6609-1,Days),"")</f>
        <v/>
      </c>
      <c r="E6609" s="16">
        <f>IF(B6609,StartDate+D6609,"")</f>
        <v/>
      </c>
      <c r="F6609">
        <f>IF(B6609,MAX(MOD(SIN(Seed*0.1373+C6609*12.9898+D6609*78.233)*43758.5453,1),1E-9),"")</f>
        <v/>
      </c>
      <c r="G6609">
        <f>IF(B6609,MOD(SIN(Seed*0.5917+C6609*39.3468+D6609*11.135)*24634.6345,1),"")</f>
        <v/>
      </c>
      <c r="H6609">
        <f>IF(B6609,SQRT(-2*LN(F6609))*COS(2*PI()*G6609),"")</f>
        <v/>
      </c>
      <c r="I6609">
        <f>IF(B6609,IF(D6609=0,H6609,Rho*I6608+SQRT(1-Rho^2)*H6609),"")</f>
        <v/>
      </c>
      <c r="J6609">
        <f>IF(B6609,IF(Dist="Normal",DistA+DistB*I6609,DistA+(DistB-DistA)*NORMSDIST(I6609)),"")</f>
        <v/>
      </c>
      <c r="K6609">
        <f>IF(B6609,INDEX(MineScale,C6609),"")</f>
        <v/>
      </c>
      <c r="L6609">
        <f>IF(B6609,INDEX(Dow,1,WEEKDAY(E6609,2)),"")</f>
        <v/>
      </c>
      <c r="M6609">
        <f>IF(B6609,(1+Trend)^D6609,"")</f>
        <v/>
      </c>
      <c r="N6609">
        <f>IF(B6609,EXP(SUMPRODUCT(LN(1+(EvEff-1)*INDEX(Affected,0,C6609)*EXP(-((E6609-EvCenter)^2)/(2*EvSigma^2))))),"")</f>
        <v/>
      </c>
      <c r="O6609">
        <f>IF(B6609,ROUND(MAX(0,J6609*K6609*L6609*M6609*N6609),2),"")</f>
        <v/>
      </c>
    </row>
    <row r="6610">
      <c r="A6610" t="n">
        <v>6609</v>
      </c>
      <c r="B6610">
        <f>A6610&lt;=MineCount*Days</f>
        <v/>
      </c>
      <c r="C6610">
        <f>IF(B6610,INT((A6610-1)/Days)+1,"")</f>
        <v/>
      </c>
      <c r="D6610">
        <f>IF(B6610,MOD(A6610-1,Days),"")</f>
        <v/>
      </c>
      <c r="E6610" s="16">
        <f>IF(B6610,StartDate+D6610,"")</f>
        <v/>
      </c>
      <c r="F6610">
        <f>IF(B6610,MAX(MOD(SIN(Seed*0.1373+C6610*12.9898+D6610*78.233)*43758.5453,1),1E-9),"")</f>
        <v/>
      </c>
      <c r="G6610">
        <f>IF(B6610,MOD(SIN(Seed*0.5917+C6610*39.3468+D6610*11.135)*24634.6345,1),"")</f>
        <v/>
      </c>
      <c r="H6610">
        <f>IF(B6610,SQRT(-2*LN(F6610))*COS(2*PI()*G6610),"")</f>
        <v/>
      </c>
      <c r="I6610">
        <f>IF(B6610,IF(D6610=0,H6610,Rho*I6609+SQRT(1-Rho^2)*H6610),"")</f>
        <v/>
      </c>
      <c r="J6610">
        <f>IF(B6610,IF(Dist="Normal",DistA+DistB*I6610,DistA+(DistB-DistA)*NORMSDIST(I6610)),"")</f>
        <v/>
      </c>
      <c r="K6610">
        <f>IF(B6610,INDEX(MineScale,C6610),"")</f>
        <v/>
      </c>
      <c r="L6610">
        <f>IF(B6610,INDEX(Dow,1,WEEKDAY(E6610,2)),"")</f>
        <v/>
      </c>
      <c r="M6610">
        <f>IF(B6610,(1+Trend)^D6610,"")</f>
        <v/>
      </c>
      <c r="N6610">
        <f>IF(B6610,EXP(SUMPRODUCT(LN(1+(EvEff-1)*INDEX(Affected,0,C6610)*EXP(-((E6610-EvCenter)^2)/(2*EvSigma^2))))),"")</f>
        <v/>
      </c>
      <c r="O6610">
        <f>IF(B6610,ROUND(MAX(0,J6610*K6610*L6610*M6610*N6610),2),"")</f>
        <v/>
      </c>
    </row>
    <row r="6611">
      <c r="A6611" t="n">
        <v>6610</v>
      </c>
      <c r="B6611">
        <f>A6611&lt;=MineCount*Days</f>
        <v/>
      </c>
      <c r="C6611">
        <f>IF(B6611,INT((A6611-1)/Days)+1,"")</f>
        <v/>
      </c>
      <c r="D6611">
        <f>IF(B6611,MOD(A6611-1,Days),"")</f>
        <v/>
      </c>
      <c r="E6611" s="16">
        <f>IF(B6611,StartDate+D6611,"")</f>
        <v/>
      </c>
      <c r="F6611">
        <f>IF(B6611,MAX(MOD(SIN(Seed*0.1373+C6611*12.9898+D6611*78.233)*43758.5453,1),1E-9),"")</f>
        <v/>
      </c>
      <c r="G6611">
        <f>IF(B6611,MOD(SIN(Seed*0.5917+C6611*39.3468+D6611*11.135)*24634.6345,1),"")</f>
        <v/>
      </c>
      <c r="H6611">
        <f>IF(B6611,SQRT(-2*LN(F6611))*COS(2*PI()*G6611),"")</f>
        <v/>
      </c>
      <c r="I6611">
        <f>IF(B6611,IF(D6611=0,H6611,Rho*I6610+SQRT(1-Rho^2)*H6611),"")</f>
        <v/>
      </c>
      <c r="J6611">
        <f>IF(B6611,IF(Dist="Normal",DistA+DistB*I6611,DistA+(DistB-DistA)*NORMSDIST(I6611)),"")</f>
        <v/>
      </c>
      <c r="K6611">
        <f>IF(B6611,INDEX(MineScale,C6611),"")</f>
        <v/>
      </c>
      <c r="L6611">
        <f>IF(B6611,INDEX(Dow,1,WEEKDAY(E6611,2)),"")</f>
        <v/>
      </c>
      <c r="M6611">
        <f>IF(B6611,(1+Trend)^D6611,"")</f>
        <v/>
      </c>
      <c r="N6611">
        <f>IF(B6611,EXP(SUMPRODUCT(LN(1+(EvEff-1)*INDEX(Affected,0,C6611)*EXP(-((E6611-EvCenter)^2)/(2*EvSigma^2))))),"")</f>
        <v/>
      </c>
      <c r="O6611">
        <f>IF(B6611,ROUND(MAX(0,J6611*K6611*L6611*M6611*N6611),2),"")</f>
        <v/>
      </c>
    </row>
    <row r="6612">
      <c r="A6612" t="n">
        <v>6611</v>
      </c>
      <c r="B6612">
        <f>A6612&lt;=MineCount*Days</f>
        <v/>
      </c>
      <c r="C6612">
        <f>IF(B6612,INT((A6612-1)/Days)+1,"")</f>
        <v/>
      </c>
      <c r="D6612">
        <f>IF(B6612,MOD(A6612-1,Days),"")</f>
        <v/>
      </c>
      <c r="E6612" s="16">
        <f>IF(B6612,StartDate+D6612,"")</f>
        <v/>
      </c>
      <c r="F6612">
        <f>IF(B6612,MAX(MOD(SIN(Seed*0.1373+C6612*12.9898+D6612*78.233)*43758.5453,1),1E-9),"")</f>
        <v/>
      </c>
      <c r="G6612">
        <f>IF(B6612,MOD(SIN(Seed*0.5917+C6612*39.3468+D6612*11.135)*24634.6345,1),"")</f>
        <v/>
      </c>
      <c r="H6612">
        <f>IF(B6612,SQRT(-2*LN(F6612))*COS(2*PI()*G6612),"")</f>
        <v/>
      </c>
      <c r="I6612">
        <f>IF(B6612,IF(D6612=0,H6612,Rho*I6611+SQRT(1-Rho^2)*H6612),"")</f>
        <v/>
      </c>
      <c r="J6612">
        <f>IF(B6612,IF(Dist="Normal",DistA+DistB*I6612,DistA+(DistB-DistA)*NORMSDIST(I6612)),"")</f>
        <v/>
      </c>
      <c r="K6612">
        <f>IF(B6612,INDEX(MineScale,C6612),"")</f>
        <v/>
      </c>
      <c r="L6612">
        <f>IF(B6612,INDEX(Dow,1,WEEKDAY(E6612,2)),"")</f>
        <v/>
      </c>
      <c r="M6612">
        <f>IF(B6612,(1+Trend)^D6612,"")</f>
        <v/>
      </c>
      <c r="N6612">
        <f>IF(B6612,EXP(SUMPRODUCT(LN(1+(EvEff-1)*INDEX(Affected,0,C6612)*EXP(-((E6612-EvCenter)^2)/(2*EvSigma^2))))),"")</f>
        <v/>
      </c>
      <c r="O6612">
        <f>IF(B6612,ROUND(MAX(0,J6612*K6612*L6612*M6612*N6612),2),"")</f>
        <v/>
      </c>
    </row>
    <row r="6613">
      <c r="A6613" t="n">
        <v>6612</v>
      </c>
      <c r="B6613">
        <f>A6613&lt;=MineCount*Days</f>
        <v/>
      </c>
      <c r="C6613">
        <f>IF(B6613,INT((A6613-1)/Days)+1,"")</f>
        <v/>
      </c>
      <c r="D6613">
        <f>IF(B6613,MOD(A6613-1,Days),"")</f>
        <v/>
      </c>
      <c r="E6613" s="16">
        <f>IF(B6613,StartDate+D6613,"")</f>
        <v/>
      </c>
      <c r="F6613">
        <f>IF(B6613,MAX(MOD(SIN(Seed*0.1373+C6613*12.9898+D6613*78.233)*43758.5453,1),1E-9),"")</f>
        <v/>
      </c>
      <c r="G6613">
        <f>IF(B6613,MOD(SIN(Seed*0.5917+C6613*39.3468+D6613*11.135)*24634.6345,1),"")</f>
        <v/>
      </c>
      <c r="H6613">
        <f>IF(B6613,SQRT(-2*LN(F6613))*COS(2*PI()*G6613),"")</f>
        <v/>
      </c>
      <c r="I6613">
        <f>IF(B6613,IF(D6613=0,H6613,Rho*I6612+SQRT(1-Rho^2)*H6613),"")</f>
        <v/>
      </c>
      <c r="J6613">
        <f>IF(B6613,IF(Dist="Normal",DistA+DistB*I6613,DistA+(DistB-DistA)*NORMSDIST(I6613)),"")</f>
        <v/>
      </c>
      <c r="K6613">
        <f>IF(B6613,INDEX(MineScale,C6613),"")</f>
        <v/>
      </c>
      <c r="L6613">
        <f>IF(B6613,INDEX(Dow,1,WEEKDAY(E6613,2)),"")</f>
        <v/>
      </c>
      <c r="M6613">
        <f>IF(B6613,(1+Trend)^D6613,"")</f>
        <v/>
      </c>
      <c r="N6613">
        <f>IF(B6613,EXP(SUMPRODUCT(LN(1+(EvEff-1)*INDEX(Affected,0,C6613)*EXP(-((E6613-EvCenter)^2)/(2*EvSigma^2))))),"")</f>
        <v/>
      </c>
      <c r="O6613">
        <f>IF(B6613,ROUND(MAX(0,J6613*K6613*L6613*M6613*N6613),2),"")</f>
        <v/>
      </c>
    </row>
    <row r="6614">
      <c r="A6614" t="n">
        <v>6613</v>
      </c>
      <c r="B6614">
        <f>A6614&lt;=MineCount*Days</f>
        <v/>
      </c>
      <c r="C6614">
        <f>IF(B6614,INT((A6614-1)/Days)+1,"")</f>
        <v/>
      </c>
      <c r="D6614">
        <f>IF(B6614,MOD(A6614-1,Days),"")</f>
        <v/>
      </c>
      <c r="E6614" s="16">
        <f>IF(B6614,StartDate+D6614,"")</f>
        <v/>
      </c>
      <c r="F6614">
        <f>IF(B6614,MAX(MOD(SIN(Seed*0.1373+C6614*12.9898+D6614*78.233)*43758.5453,1),1E-9),"")</f>
        <v/>
      </c>
      <c r="G6614">
        <f>IF(B6614,MOD(SIN(Seed*0.5917+C6614*39.3468+D6614*11.135)*24634.6345,1),"")</f>
        <v/>
      </c>
      <c r="H6614">
        <f>IF(B6614,SQRT(-2*LN(F6614))*COS(2*PI()*G6614),"")</f>
        <v/>
      </c>
      <c r="I6614">
        <f>IF(B6614,IF(D6614=0,H6614,Rho*I6613+SQRT(1-Rho^2)*H6614),"")</f>
        <v/>
      </c>
      <c r="J6614">
        <f>IF(B6614,IF(Dist="Normal",DistA+DistB*I6614,DistA+(DistB-DistA)*NORMSDIST(I6614)),"")</f>
        <v/>
      </c>
      <c r="K6614">
        <f>IF(B6614,INDEX(MineScale,C6614),"")</f>
        <v/>
      </c>
      <c r="L6614">
        <f>IF(B6614,INDEX(Dow,1,WEEKDAY(E6614,2)),"")</f>
        <v/>
      </c>
      <c r="M6614">
        <f>IF(B6614,(1+Trend)^D6614,"")</f>
        <v/>
      </c>
      <c r="N6614">
        <f>IF(B6614,EXP(SUMPRODUCT(LN(1+(EvEff-1)*INDEX(Affected,0,C6614)*EXP(-((E6614-EvCenter)^2)/(2*EvSigma^2))))),"")</f>
        <v/>
      </c>
      <c r="O6614">
        <f>IF(B6614,ROUND(MAX(0,J6614*K6614*L6614*M6614*N6614),2),"")</f>
        <v/>
      </c>
    </row>
    <row r="6615">
      <c r="A6615" t="n">
        <v>6614</v>
      </c>
      <c r="B6615">
        <f>A6615&lt;=MineCount*Days</f>
        <v/>
      </c>
      <c r="C6615">
        <f>IF(B6615,INT((A6615-1)/Days)+1,"")</f>
        <v/>
      </c>
      <c r="D6615">
        <f>IF(B6615,MOD(A6615-1,Days),"")</f>
        <v/>
      </c>
      <c r="E6615" s="16">
        <f>IF(B6615,StartDate+D6615,"")</f>
        <v/>
      </c>
      <c r="F6615">
        <f>IF(B6615,MAX(MOD(SIN(Seed*0.1373+C6615*12.9898+D6615*78.233)*43758.5453,1),1E-9),"")</f>
        <v/>
      </c>
      <c r="G6615">
        <f>IF(B6615,MOD(SIN(Seed*0.5917+C6615*39.3468+D6615*11.135)*24634.6345,1),"")</f>
        <v/>
      </c>
      <c r="H6615">
        <f>IF(B6615,SQRT(-2*LN(F6615))*COS(2*PI()*G6615),"")</f>
        <v/>
      </c>
      <c r="I6615">
        <f>IF(B6615,IF(D6615=0,H6615,Rho*I6614+SQRT(1-Rho^2)*H6615),"")</f>
        <v/>
      </c>
      <c r="J6615">
        <f>IF(B6615,IF(Dist="Normal",DistA+DistB*I6615,DistA+(DistB-DistA)*NORMSDIST(I6615)),"")</f>
        <v/>
      </c>
      <c r="K6615">
        <f>IF(B6615,INDEX(MineScale,C6615),"")</f>
        <v/>
      </c>
      <c r="L6615">
        <f>IF(B6615,INDEX(Dow,1,WEEKDAY(E6615,2)),"")</f>
        <v/>
      </c>
      <c r="M6615">
        <f>IF(B6615,(1+Trend)^D6615,"")</f>
        <v/>
      </c>
      <c r="N6615">
        <f>IF(B6615,EXP(SUMPRODUCT(LN(1+(EvEff-1)*INDEX(Affected,0,C6615)*EXP(-((E6615-EvCenter)^2)/(2*EvSigma^2))))),"")</f>
        <v/>
      </c>
      <c r="O6615">
        <f>IF(B6615,ROUND(MAX(0,J6615*K6615*L6615*M6615*N6615),2),"")</f>
        <v/>
      </c>
    </row>
    <row r="6616">
      <c r="A6616" t="n">
        <v>6615</v>
      </c>
      <c r="B6616">
        <f>A6616&lt;=MineCount*Days</f>
        <v/>
      </c>
      <c r="C6616">
        <f>IF(B6616,INT((A6616-1)/Days)+1,"")</f>
        <v/>
      </c>
      <c r="D6616">
        <f>IF(B6616,MOD(A6616-1,Days),"")</f>
        <v/>
      </c>
      <c r="E6616" s="16">
        <f>IF(B6616,StartDate+D6616,"")</f>
        <v/>
      </c>
      <c r="F6616">
        <f>IF(B6616,MAX(MOD(SIN(Seed*0.1373+C6616*12.9898+D6616*78.233)*43758.5453,1),1E-9),"")</f>
        <v/>
      </c>
      <c r="G6616">
        <f>IF(B6616,MOD(SIN(Seed*0.5917+C6616*39.3468+D6616*11.135)*24634.6345,1),"")</f>
        <v/>
      </c>
      <c r="H6616">
        <f>IF(B6616,SQRT(-2*LN(F6616))*COS(2*PI()*G6616),"")</f>
        <v/>
      </c>
      <c r="I6616">
        <f>IF(B6616,IF(D6616=0,H6616,Rho*I6615+SQRT(1-Rho^2)*H6616),"")</f>
        <v/>
      </c>
      <c r="J6616">
        <f>IF(B6616,IF(Dist="Normal",DistA+DistB*I6616,DistA+(DistB-DistA)*NORMSDIST(I6616)),"")</f>
        <v/>
      </c>
      <c r="K6616">
        <f>IF(B6616,INDEX(MineScale,C6616),"")</f>
        <v/>
      </c>
      <c r="L6616">
        <f>IF(B6616,INDEX(Dow,1,WEEKDAY(E6616,2)),"")</f>
        <v/>
      </c>
      <c r="M6616">
        <f>IF(B6616,(1+Trend)^D6616,"")</f>
        <v/>
      </c>
      <c r="N6616">
        <f>IF(B6616,EXP(SUMPRODUCT(LN(1+(EvEff-1)*INDEX(Affected,0,C6616)*EXP(-((E6616-EvCenter)^2)/(2*EvSigma^2))))),"")</f>
        <v/>
      </c>
      <c r="O6616">
        <f>IF(B6616,ROUND(MAX(0,J6616*K6616*L6616*M6616*N6616),2),"")</f>
        <v/>
      </c>
    </row>
    <row r="6617">
      <c r="A6617" t="n">
        <v>6616</v>
      </c>
      <c r="B6617">
        <f>A6617&lt;=MineCount*Days</f>
        <v/>
      </c>
      <c r="C6617">
        <f>IF(B6617,INT((A6617-1)/Days)+1,"")</f>
        <v/>
      </c>
      <c r="D6617">
        <f>IF(B6617,MOD(A6617-1,Days),"")</f>
        <v/>
      </c>
      <c r="E6617" s="16">
        <f>IF(B6617,StartDate+D6617,"")</f>
        <v/>
      </c>
      <c r="F6617">
        <f>IF(B6617,MAX(MOD(SIN(Seed*0.1373+C6617*12.9898+D6617*78.233)*43758.5453,1),1E-9),"")</f>
        <v/>
      </c>
      <c r="G6617">
        <f>IF(B6617,MOD(SIN(Seed*0.5917+C6617*39.3468+D6617*11.135)*24634.6345,1),"")</f>
        <v/>
      </c>
      <c r="H6617">
        <f>IF(B6617,SQRT(-2*LN(F6617))*COS(2*PI()*G6617),"")</f>
        <v/>
      </c>
      <c r="I6617">
        <f>IF(B6617,IF(D6617=0,H6617,Rho*I6616+SQRT(1-Rho^2)*H6617),"")</f>
        <v/>
      </c>
      <c r="J6617">
        <f>IF(B6617,IF(Dist="Normal",DistA+DistB*I6617,DistA+(DistB-DistA)*NORMSDIST(I6617)),"")</f>
        <v/>
      </c>
      <c r="K6617">
        <f>IF(B6617,INDEX(MineScale,C6617),"")</f>
        <v/>
      </c>
      <c r="L6617">
        <f>IF(B6617,INDEX(Dow,1,WEEKDAY(E6617,2)),"")</f>
        <v/>
      </c>
      <c r="M6617">
        <f>IF(B6617,(1+Trend)^D6617,"")</f>
        <v/>
      </c>
      <c r="N6617">
        <f>IF(B6617,EXP(SUMPRODUCT(LN(1+(EvEff-1)*INDEX(Affected,0,C6617)*EXP(-((E6617-EvCenter)^2)/(2*EvSigma^2))))),"")</f>
        <v/>
      </c>
      <c r="O6617">
        <f>IF(B6617,ROUND(MAX(0,J6617*K6617*L6617*M6617*N6617),2),"")</f>
        <v/>
      </c>
    </row>
    <row r="6618">
      <c r="A6618" t="n">
        <v>6617</v>
      </c>
      <c r="B6618">
        <f>A6618&lt;=MineCount*Days</f>
        <v/>
      </c>
      <c r="C6618">
        <f>IF(B6618,INT((A6618-1)/Days)+1,"")</f>
        <v/>
      </c>
      <c r="D6618">
        <f>IF(B6618,MOD(A6618-1,Days),"")</f>
        <v/>
      </c>
      <c r="E6618" s="16">
        <f>IF(B6618,StartDate+D6618,"")</f>
        <v/>
      </c>
      <c r="F6618">
        <f>IF(B6618,MAX(MOD(SIN(Seed*0.1373+C6618*12.9898+D6618*78.233)*43758.5453,1),1E-9),"")</f>
        <v/>
      </c>
      <c r="G6618">
        <f>IF(B6618,MOD(SIN(Seed*0.5917+C6618*39.3468+D6618*11.135)*24634.6345,1),"")</f>
        <v/>
      </c>
      <c r="H6618">
        <f>IF(B6618,SQRT(-2*LN(F6618))*COS(2*PI()*G6618),"")</f>
        <v/>
      </c>
      <c r="I6618">
        <f>IF(B6618,IF(D6618=0,H6618,Rho*I6617+SQRT(1-Rho^2)*H6618),"")</f>
        <v/>
      </c>
      <c r="J6618">
        <f>IF(B6618,IF(Dist="Normal",DistA+DistB*I6618,DistA+(DistB-DistA)*NORMSDIST(I6618)),"")</f>
        <v/>
      </c>
      <c r="K6618">
        <f>IF(B6618,INDEX(MineScale,C6618),"")</f>
        <v/>
      </c>
      <c r="L6618">
        <f>IF(B6618,INDEX(Dow,1,WEEKDAY(E6618,2)),"")</f>
        <v/>
      </c>
      <c r="M6618">
        <f>IF(B6618,(1+Trend)^D6618,"")</f>
        <v/>
      </c>
      <c r="N6618">
        <f>IF(B6618,EXP(SUMPRODUCT(LN(1+(EvEff-1)*INDEX(Affected,0,C6618)*EXP(-((E6618-EvCenter)^2)/(2*EvSigma^2))))),"")</f>
        <v/>
      </c>
      <c r="O6618">
        <f>IF(B6618,ROUND(MAX(0,J6618*K6618*L6618*M6618*N6618),2),"")</f>
        <v/>
      </c>
    </row>
    <row r="6619">
      <c r="A6619" t="n">
        <v>6618</v>
      </c>
      <c r="B6619">
        <f>A6619&lt;=MineCount*Days</f>
        <v/>
      </c>
      <c r="C6619">
        <f>IF(B6619,INT((A6619-1)/Days)+1,"")</f>
        <v/>
      </c>
      <c r="D6619">
        <f>IF(B6619,MOD(A6619-1,Days),"")</f>
        <v/>
      </c>
      <c r="E6619" s="16">
        <f>IF(B6619,StartDate+D6619,"")</f>
        <v/>
      </c>
      <c r="F6619">
        <f>IF(B6619,MAX(MOD(SIN(Seed*0.1373+C6619*12.9898+D6619*78.233)*43758.5453,1),1E-9),"")</f>
        <v/>
      </c>
      <c r="G6619">
        <f>IF(B6619,MOD(SIN(Seed*0.5917+C6619*39.3468+D6619*11.135)*24634.6345,1),"")</f>
        <v/>
      </c>
      <c r="H6619">
        <f>IF(B6619,SQRT(-2*LN(F6619))*COS(2*PI()*G6619),"")</f>
        <v/>
      </c>
      <c r="I6619">
        <f>IF(B6619,IF(D6619=0,H6619,Rho*I6618+SQRT(1-Rho^2)*H6619),"")</f>
        <v/>
      </c>
      <c r="J6619">
        <f>IF(B6619,IF(Dist="Normal",DistA+DistB*I6619,DistA+(DistB-DistA)*NORMSDIST(I6619)),"")</f>
        <v/>
      </c>
      <c r="K6619">
        <f>IF(B6619,INDEX(MineScale,C6619),"")</f>
        <v/>
      </c>
      <c r="L6619">
        <f>IF(B6619,INDEX(Dow,1,WEEKDAY(E6619,2)),"")</f>
        <v/>
      </c>
      <c r="M6619">
        <f>IF(B6619,(1+Trend)^D6619,"")</f>
        <v/>
      </c>
      <c r="N6619">
        <f>IF(B6619,EXP(SUMPRODUCT(LN(1+(EvEff-1)*INDEX(Affected,0,C6619)*EXP(-((E6619-EvCenter)^2)/(2*EvSigma^2))))),"")</f>
        <v/>
      </c>
      <c r="O6619">
        <f>IF(B6619,ROUND(MAX(0,J6619*K6619*L6619*M6619*N6619),2),"")</f>
        <v/>
      </c>
    </row>
    <row r="6620">
      <c r="A6620" t="n">
        <v>6619</v>
      </c>
      <c r="B6620">
        <f>A6620&lt;=MineCount*Days</f>
        <v/>
      </c>
      <c r="C6620">
        <f>IF(B6620,INT((A6620-1)/Days)+1,"")</f>
        <v/>
      </c>
      <c r="D6620">
        <f>IF(B6620,MOD(A6620-1,Days),"")</f>
        <v/>
      </c>
      <c r="E6620" s="16">
        <f>IF(B6620,StartDate+D6620,"")</f>
        <v/>
      </c>
      <c r="F6620">
        <f>IF(B6620,MAX(MOD(SIN(Seed*0.1373+C6620*12.9898+D6620*78.233)*43758.5453,1),1E-9),"")</f>
        <v/>
      </c>
      <c r="G6620">
        <f>IF(B6620,MOD(SIN(Seed*0.5917+C6620*39.3468+D6620*11.135)*24634.6345,1),"")</f>
        <v/>
      </c>
      <c r="H6620">
        <f>IF(B6620,SQRT(-2*LN(F6620))*COS(2*PI()*G6620),"")</f>
        <v/>
      </c>
      <c r="I6620">
        <f>IF(B6620,IF(D6620=0,H6620,Rho*I6619+SQRT(1-Rho^2)*H6620),"")</f>
        <v/>
      </c>
      <c r="J6620">
        <f>IF(B6620,IF(Dist="Normal",DistA+DistB*I6620,DistA+(DistB-DistA)*NORMSDIST(I6620)),"")</f>
        <v/>
      </c>
      <c r="K6620">
        <f>IF(B6620,INDEX(MineScale,C6620),"")</f>
        <v/>
      </c>
      <c r="L6620">
        <f>IF(B6620,INDEX(Dow,1,WEEKDAY(E6620,2)),"")</f>
        <v/>
      </c>
      <c r="M6620">
        <f>IF(B6620,(1+Trend)^D6620,"")</f>
        <v/>
      </c>
      <c r="N6620">
        <f>IF(B6620,EXP(SUMPRODUCT(LN(1+(EvEff-1)*INDEX(Affected,0,C6620)*EXP(-((E6620-EvCenter)^2)/(2*EvSigma^2))))),"")</f>
        <v/>
      </c>
      <c r="O6620">
        <f>IF(B6620,ROUND(MAX(0,J6620*K6620*L6620*M6620*N6620),2),"")</f>
        <v/>
      </c>
    </row>
    <row r="6621">
      <c r="A6621" t="n">
        <v>6620</v>
      </c>
      <c r="B6621">
        <f>A6621&lt;=MineCount*Days</f>
        <v/>
      </c>
      <c r="C6621">
        <f>IF(B6621,INT((A6621-1)/Days)+1,"")</f>
        <v/>
      </c>
      <c r="D6621">
        <f>IF(B6621,MOD(A6621-1,Days),"")</f>
        <v/>
      </c>
      <c r="E6621" s="16">
        <f>IF(B6621,StartDate+D6621,"")</f>
        <v/>
      </c>
      <c r="F6621">
        <f>IF(B6621,MAX(MOD(SIN(Seed*0.1373+C6621*12.9898+D6621*78.233)*43758.5453,1),1E-9),"")</f>
        <v/>
      </c>
      <c r="G6621">
        <f>IF(B6621,MOD(SIN(Seed*0.5917+C6621*39.3468+D6621*11.135)*24634.6345,1),"")</f>
        <v/>
      </c>
      <c r="H6621">
        <f>IF(B6621,SQRT(-2*LN(F6621))*COS(2*PI()*G6621),"")</f>
        <v/>
      </c>
      <c r="I6621">
        <f>IF(B6621,IF(D6621=0,H6621,Rho*I6620+SQRT(1-Rho^2)*H6621),"")</f>
        <v/>
      </c>
      <c r="J6621">
        <f>IF(B6621,IF(Dist="Normal",DistA+DistB*I6621,DistA+(DistB-DistA)*NORMSDIST(I6621)),"")</f>
        <v/>
      </c>
      <c r="K6621">
        <f>IF(B6621,INDEX(MineScale,C6621),"")</f>
        <v/>
      </c>
      <c r="L6621">
        <f>IF(B6621,INDEX(Dow,1,WEEKDAY(E6621,2)),"")</f>
        <v/>
      </c>
      <c r="M6621">
        <f>IF(B6621,(1+Trend)^D6621,"")</f>
        <v/>
      </c>
      <c r="N6621">
        <f>IF(B6621,EXP(SUMPRODUCT(LN(1+(EvEff-1)*INDEX(Affected,0,C6621)*EXP(-((E6621-EvCenter)^2)/(2*EvSigma^2))))),"")</f>
        <v/>
      </c>
      <c r="O6621">
        <f>IF(B6621,ROUND(MAX(0,J6621*K6621*L6621*M6621*N6621),2),"")</f>
        <v/>
      </c>
    </row>
    <row r="6622">
      <c r="A6622" t="n">
        <v>6621</v>
      </c>
      <c r="B6622">
        <f>A6622&lt;=MineCount*Days</f>
        <v/>
      </c>
      <c r="C6622">
        <f>IF(B6622,INT((A6622-1)/Days)+1,"")</f>
        <v/>
      </c>
      <c r="D6622">
        <f>IF(B6622,MOD(A6622-1,Days),"")</f>
        <v/>
      </c>
      <c r="E6622" s="16">
        <f>IF(B6622,StartDate+D6622,"")</f>
        <v/>
      </c>
      <c r="F6622">
        <f>IF(B6622,MAX(MOD(SIN(Seed*0.1373+C6622*12.9898+D6622*78.233)*43758.5453,1),1E-9),"")</f>
        <v/>
      </c>
      <c r="G6622">
        <f>IF(B6622,MOD(SIN(Seed*0.5917+C6622*39.3468+D6622*11.135)*24634.6345,1),"")</f>
        <v/>
      </c>
      <c r="H6622">
        <f>IF(B6622,SQRT(-2*LN(F6622))*COS(2*PI()*G6622),"")</f>
        <v/>
      </c>
      <c r="I6622">
        <f>IF(B6622,IF(D6622=0,H6622,Rho*I6621+SQRT(1-Rho^2)*H6622),"")</f>
        <v/>
      </c>
      <c r="J6622">
        <f>IF(B6622,IF(Dist="Normal",DistA+DistB*I6622,DistA+(DistB-DistA)*NORMSDIST(I6622)),"")</f>
        <v/>
      </c>
      <c r="K6622">
        <f>IF(B6622,INDEX(MineScale,C6622),"")</f>
        <v/>
      </c>
      <c r="L6622">
        <f>IF(B6622,INDEX(Dow,1,WEEKDAY(E6622,2)),"")</f>
        <v/>
      </c>
      <c r="M6622">
        <f>IF(B6622,(1+Trend)^D6622,"")</f>
        <v/>
      </c>
      <c r="N6622">
        <f>IF(B6622,EXP(SUMPRODUCT(LN(1+(EvEff-1)*INDEX(Affected,0,C6622)*EXP(-((E6622-EvCenter)^2)/(2*EvSigma^2))))),"")</f>
        <v/>
      </c>
      <c r="O6622">
        <f>IF(B6622,ROUND(MAX(0,J6622*K6622*L6622*M6622*N6622),2),"")</f>
        <v/>
      </c>
    </row>
    <row r="6623">
      <c r="A6623" t="n">
        <v>6622</v>
      </c>
      <c r="B6623">
        <f>A6623&lt;=MineCount*Days</f>
        <v/>
      </c>
      <c r="C6623">
        <f>IF(B6623,INT((A6623-1)/Days)+1,"")</f>
        <v/>
      </c>
      <c r="D6623">
        <f>IF(B6623,MOD(A6623-1,Days),"")</f>
        <v/>
      </c>
      <c r="E6623" s="16">
        <f>IF(B6623,StartDate+D6623,"")</f>
        <v/>
      </c>
      <c r="F6623">
        <f>IF(B6623,MAX(MOD(SIN(Seed*0.1373+C6623*12.9898+D6623*78.233)*43758.5453,1),1E-9),"")</f>
        <v/>
      </c>
      <c r="G6623">
        <f>IF(B6623,MOD(SIN(Seed*0.5917+C6623*39.3468+D6623*11.135)*24634.6345,1),"")</f>
        <v/>
      </c>
      <c r="H6623">
        <f>IF(B6623,SQRT(-2*LN(F6623))*COS(2*PI()*G6623),"")</f>
        <v/>
      </c>
      <c r="I6623">
        <f>IF(B6623,IF(D6623=0,H6623,Rho*I6622+SQRT(1-Rho^2)*H6623),"")</f>
        <v/>
      </c>
      <c r="J6623">
        <f>IF(B6623,IF(Dist="Normal",DistA+DistB*I6623,DistA+(DistB-DistA)*NORMSDIST(I6623)),"")</f>
        <v/>
      </c>
      <c r="K6623">
        <f>IF(B6623,INDEX(MineScale,C6623),"")</f>
        <v/>
      </c>
      <c r="L6623">
        <f>IF(B6623,INDEX(Dow,1,WEEKDAY(E6623,2)),"")</f>
        <v/>
      </c>
      <c r="M6623">
        <f>IF(B6623,(1+Trend)^D6623,"")</f>
        <v/>
      </c>
      <c r="N6623">
        <f>IF(B6623,EXP(SUMPRODUCT(LN(1+(EvEff-1)*INDEX(Affected,0,C6623)*EXP(-((E6623-EvCenter)^2)/(2*EvSigma^2))))),"")</f>
        <v/>
      </c>
      <c r="O6623">
        <f>IF(B6623,ROUND(MAX(0,J6623*K6623*L6623*M6623*N6623),2),"")</f>
        <v/>
      </c>
    </row>
    <row r="6624">
      <c r="A6624" t="n">
        <v>6623</v>
      </c>
      <c r="B6624">
        <f>A6624&lt;=MineCount*Days</f>
        <v/>
      </c>
      <c r="C6624">
        <f>IF(B6624,INT((A6624-1)/Days)+1,"")</f>
        <v/>
      </c>
      <c r="D6624">
        <f>IF(B6624,MOD(A6624-1,Days),"")</f>
        <v/>
      </c>
      <c r="E6624" s="16">
        <f>IF(B6624,StartDate+D6624,"")</f>
        <v/>
      </c>
      <c r="F6624">
        <f>IF(B6624,MAX(MOD(SIN(Seed*0.1373+C6624*12.9898+D6624*78.233)*43758.5453,1),1E-9),"")</f>
        <v/>
      </c>
      <c r="G6624">
        <f>IF(B6624,MOD(SIN(Seed*0.5917+C6624*39.3468+D6624*11.135)*24634.6345,1),"")</f>
        <v/>
      </c>
      <c r="H6624">
        <f>IF(B6624,SQRT(-2*LN(F6624))*COS(2*PI()*G6624),"")</f>
        <v/>
      </c>
      <c r="I6624">
        <f>IF(B6624,IF(D6624=0,H6624,Rho*I6623+SQRT(1-Rho^2)*H6624),"")</f>
        <v/>
      </c>
      <c r="J6624">
        <f>IF(B6624,IF(Dist="Normal",DistA+DistB*I6624,DistA+(DistB-DistA)*NORMSDIST(I6624)),"")</f>
        <v/>
      </c>
      <c r="K6624">
        <f>IF(B6624,INDEX(MineScale,C6624),"")</f>
        <v/>
      </c>
      <c r="L6624">
        <f>IF(B6624,INDEX(Dow,1,WEEKDAY(E6624,2)),"")</f>
        <v/>
      </c>
      <c r="M6624">
        <f>IF(B6624,(1+Trend)^D6624,"")</f>
        <v/>
      </c>
      <c r="N6624">
        <f>IF(B6624,EXP(SUMPRODUCT(LN(1+(EvEff-1)*INDEX(Affected,0,C6624)*EXP(-((E6624-EvCenter)^2)/(2*EvSigma^2))))),"")</f>
        <v/>
      </c>
      <c r="O6624">
        <f>IF(B6624,ROUND(MAX(0,J6624*K6624*L6624*M6624*N6624),2),"")</f>
        <v/>
      </c>
    </row>
    <row r="6625">
      <c r="A6625" t="n">
        <v>6624</v>
      </c>
      <c r="B6625">
        <f>A6625&lt;=MineCount*Days</f>
        <v/>
      </c>
      <c r="C6625">
        <f>IF(B6625,INT((A6625-1)/Days)+1,"")</f>
        <v/>
      </c>
      <c r="D6625">
        <f>IF(B6625,MOD(A6625-1,Days),"")</f>
        <v/>
      </c>
      <c r="E6625" s="16">
        <f>IF(B6625,StartDate+D6625,"")</f>
        <v/>
      </c>
      <c r="F6625">
        <f>IF(B6625,MAX(MOD(SIN(Seed*0.1373+C6625*12.9898+D6625*78.233)*43758.5453,1),1E-9),"")</f>
        <v/>
      </c>
      <c r="G6625">
        <f>IF(B6625,MOD(SIN(Seed*0.5917+C6625*39.3468+D6625*11.135)*24634.6345,1),"")</f>
        <v/>
      </c>
      <c r="H6625">
        <f>IF(B6625,SQRT(-2*LN(F6625))*COS(2*PI()*G6625),"")</f>
        <v/>
      </c>
      <c r="I6625">
        <f>IF(B6625,IF(D6625=0,H6625,Rho*I6624+SQRT(1-Rho^2)*H6625),"")</f>
        <v/>
      </c>
      <c r="J6625">
        <f>IF(B6625,IF(Dist="Normal",DistA+DistB*I6625,DistA+(DistB-DistA)*NORMSDIST(I6625)),"")</f>
        <v/>
      </c>
      <c r="K6625">
        <f>IF(B6625,INDEX(MineScale,C6625),"")</f>
        <v/>
      </c>
      <c r="L6625">
        <f>IF(B6625,INDEX(Dow,1,WEEKDAY(E6625,2)),"")</f>
        <v/>
      </c>
      <c r="M6625">
        <f>IF(B6625,(1+Trend)^D6625,"")</f>
        <v/>
      </c>
      <c r="N6625">
        <f>IF(B6625,EXP(SUMPRODUCT(LN(1+(EvEff-1)*INDEX(Affected,0,C6625)*EXP(-((E6625-EvCenter)^2)/(2*EvSigma^2))))),"")</f>
        <v/>
      </c>
      <c r="O6625">
        <f>IF(B6625,ROUND(MAX(0,J6625*K6625*L6625*M6625*N6625),2),"")</f>
        <v/>
      </c>
    </row>
    <row r="6626">
      <c r="A6626" t="n">
        <v>6625</v>
      </c>
      <c r="B6626">
        <f>A6626&lt;=MineCount*Days</f>
        <v/>
      </c>
      <c r="C6626">
        <f>IF(B6626,INT((A6626-1)/Days)+1,"")</f>
        <v/>
      </c>
      <c r="D6626">
        <f>IF(B6626,MOD(A6626-1,Days),"")</f>
        <v/>
      </c>
      <c r="E6626" s="16">
        <f>IF(B6626,StartDate+D6626,"")</f>
        <v/>
      </c>
      <c r="F6626">
        <f>IF(B6626,MAX(MOD(SIN(Seed*0.1373+C6626*12.9898+D6626*78.233)*43758.5453,1),1E-9),"")</f>
        <v/>
      </c>
      <c r="G6626">
        <f>IF(B6626,MOD(SIN(Seed*0.5917+C6626*39.3468+D6626*11.135)*24634.6345,1),"")</f>
        <v/>
      </c>
      <c r="H6626">
        <f>IF(B6626,SQRT(-2*LN(F6626))*COS(2*PI()*G6626),"")</f>
        <v/>
      </c>
      <c r="I6626">
        <f>IF(B6626,IF(D6626=0,H6626,Rho*I6625+SQRT(1-Rho^2)*H6626),"")</f>
        <v/>
      </c>
      <c r="J6626">
        <f>IF(B6626,IF(Dist="Normal",DistA+DistB*I6626,DistA+(DistB-DistA)*NORMSDIST(I6626)),"")</f>
        <v/>
      </c>
      <c r="K6626">
        <f>IF(B6626,INDEX(MineScale,C6626),"")</f>
        <v/>
      </c>
      <c r="L6626">
        <f>IF(B6626,INDEX(Dow,1,WEEKDAY(E6626,2)),"")</f>
        <v/>
      </c>
      <c r="M6626">
        <f>IF(B6626,(1+Trend)^D6626,"")</f>
        <v/>
      </c>
      <c r="N6626">
        <f>IF(B6626,EXP(SUMPRODUCT(LN(1+(EvEff-1)*INDEX(Affected,0,C6626)*EXP(-((E6626-EvCenter)^2)/(2*EvSigma^2))))),"")</f>
        <v/>
      </c>
      <c r="O6626">
        <f>IF(B6626,ROUND(MAX(0,J6626*K6626*L6626*M6626*N6626),2),"")</f>
        <v/>
      </c>
    </row>
    <row r="6627">
      <c r="A6627" t="n">
        <v>6626</v>
      </c>
      <c r="B6627">
        <f>A6627&lt;=MineCount*Days</f>
        <v/>
      </c>
      <c r="C6627">
        <f>IF(B6627,INT((A6627-1)/Days)+1,"")</f>
        <v/>
      </c>
      <c r="D6627">
        <f>IF(B6627,MOD(A6627-1,Days),"")</f>
        <v/>
      </c>
      <c r="E6627" s="16">
        <f>IF(B6627,StartDate+D6627,"")</f>
        <v/>
      </c>
      <c r="F6627">
        <f>IF(B6627,MAX(MOD(SIN(Seed*0.1373+C6627*12.9898+D6627*78.233)*43758.5453,1),1E-9),"")</f>
        <v/>
      </c>
      <c r="G6627">
        <f>IF(B6627,MOD(SIN(Seed*0.5917+C6627*39.3468+D6627*11.135)*24634.6345,1),"")</f>
        <v/>
      </c>
      <c r="H6627">
        <f>IF(B6627,SQRT(-2*LN(F6627))*COS(2*PI()*G6627),"")</f>
        <v/>
      </c>
      <c r="I6627">
        <f>IF(B6627,IF(D6627=0,H6627,Rho*I6626+SQRT(1-Rho^2)*H6627),"")</f>
        <v/>
      </c>
      <c r="J6627">
        <f>IF(B6627,IF(Dist="Normal",DistA+DistB*I6627,DistA+(DistB-DistA)*NORMSDIST(I6627)),"")</f>
        <v/>
      </c>
      <c r="K6627">
        <f>IF(B6627,INDEX(MineScale,C6627),"")</f>
        <v/>
      </c>
      <c r="L6627">
        <f>IF(B6627,INDEX(Dow,1,WEEKDAY(E6627,2)),"")</f>
        <v/>
      </c>
      <c r="M6627">
        <f>IF(B6627,(1+Trend)^D6627,"")</f>
        <v/>
      </c>
      <c r="N6627">
        <f>IF(B6627,EXP(SUMPRODUCT(LN(1+(EvEff-1)*INDEX(Affected,0,C6627)*EXP(-((E6627-EvCenter)^2)/(2*EvSigma^2))))),"")</f>
        <v/>
      </c>
      <c r="O6627">
        <f>IF(B6627,ROUND(MAX(0,J6627*K6627*L6627*M6627*N6627),2),"")</f>
        <v/>
      </c>
    </row>
    <row r="6628">
      <c r="A6628" t="n">
        <v>6627</v>
      </c>
      <c r="B6628">
        <f>A6628&lt;=MineCount*Days</f>
        <v/>
      </c>
      <c r="C6628">
        <f>IF(B6628,INT((A6628-1)/Days)+1,"")</f>
        <v/>
      </c>
      <c r="D6628">
        <f>IF(B6628,MOD(A6628-1,Days),"")</f>
        <v/>
      </c>
      <c r="E6628" s="16">
        <f>IF(B6628,StartDate+D6628,"")</f>
        <v/>
      </c>
      <c r="F6628">
        <f>IF(B6628,MAX(MOD(SIN(Seed*0.1373+C6628*12.9898+D6628*78.233)*43758.5453,1),1E-9),"")</f>
        <v/>
      </c>
      <c r="G6628">
        <f>IF(B6628,MOD(SIN(Seed*0.5917+C6628*39.3468+D6628*11.135)*24634.6345,1),"")</f>
        <v/>
      </c>
      <c r="H6628">
        <f>IF(B6628,SQRT(-2*LN(F6628))*COS(2*PI()*G6628),"")</f>
        <v/>
      </c>
      <c r="I6628">
        <f>IF(B6628,IF(D6628=0,H6628,Rho*I6627+SQRT(1-Rho^2)*H6628),"")</f>
        <v/>
      </c>
      <c r="J6628">
        <f>IF(B6628,IF(Dist="Normal",DistA+DistB*I6628,DistA+(DistB-DistA)*NORMSDIST(I6628)),"")</f>
        <v/>
      </c>
      <c r="K6628">
        <f>IF(B6628,INDEX(MineScale,C6628),"")</f>
        <v/>
      </c>
      <c r="L6628">
        <f>IF(B6628,INDEX(Dow,1,WEEKDAY(E6628,2)),"")</f>
        <v/>
      </c>
      <c r="M6628">
        <f>IF(B6628,(1+Trend)^D6628,"")</f>
        <v/>
      </c>
      <c r="N6628">
        <f>IF(B6628,EXP(SUMPRODUCT(LN(1+(EvEff-1)*INDEX(Affected,0,C6628)*EXP(-((E6628-EvCenter)^2)/(2*EvSigma^2))))),"")</f>
        <v/>
      </c>
      <c r="O6628">
        <f>IF(B6628,ROUND(MAX(0,J6628*K6628*L6628*M6628*N6628),2),"")</f>
        <v/>
      </c>
    </row>
    <row r="6629">
      <c r="A6629" t="n">
        <v>6628</v>
      </c>
      <c r="B6629">
        <f>A6629&lt;=MineCount*Days</f>
        <v/>
      </c>
      <c r="C6629">
        <f>IF(B6629,INT((A6629-1)/Days)+1,"")</f>
        <v/>
      </c>
      <c r="D6629">
        <f>IF(B6629,MOD(A6629-1,Days),"")</f>
        <v/>
      </c>
      <c r="E6629" s="16">
        <f>IF(B6629,StartDate+D6629,"")</f>
        <v/>
      </c>
      <c r="F6629">
        <f>IF(B6629,MAX(MOD(SIN(Seed*0.1373+C6629*12.9898+D6629*78.233)*43758.5453,1),1E-9),"")</f>
        <v/>
      </c>
      <c r="G6629">
        <f>IF(B6629,MOD(SIN(Seed*0.5917+C6629*39.3468+D6629*11.135)*24634.6345,1),"")</f>
        <v/>
      </c>
      <c r="H6629">
        <f>IF(B6629,SQRT(-2*LN(F6629))*COS(2*PI()*G6629),"")</f>
        <v/>
      </c>
      <c r="I6629">
        <f>IF(B6629,IF(D6629=0,H6629,Rho*I6628+SQRT(1-Rho^2)*H6629),"")</f>
        <v/>
      </c>
      <c r="J6629">
        <f>IF(B6629,IF(Dist="Normal",DistA+DistB*I6629,DistA+(DistB-DistA)*NORMSDIST(I6629)),"")</f>
        <v/>
      </c>
      <c r="K6629">
        <f>IF(B6629,INDEX(MineScale,C6629),"")</f>
        <v/>
      </c>
      <c r="L6629">
        <f>IF(B6629,INDEX(Dow,1,WEEKDAY(E6629,2)),"")</f>
        <v/>
      </c>
      <c r="M6629">
        <f>IF(B6629,(1+Trend)^D6629,"")</f>
        <v/>
      </c>
      <c r="N6629">
        <f>IF(B6629,EXP(SUMPRODUCT(LN(1+(EvEff-1)*INDEX(Affected,0,C6629)*EXP(-((E6629-EvCenter)^2)/(2*EvSigma^2))))),"")</f>
        <v/>
      </c>
      <c r="O6629">
        <f>IF(B6629,ROUND(MAX(0,J6629*K6629*L6629*M6629*N6629),2),"")</f>
        <v/>
      </c>
    </row>
    <row r="6630">
      <c r="A6630" t="n">
        <v>6629</v>
      </c>
      <c r="B6630">
        <f>A6630&lt;=MineCount*Days</f>
        <v/>
      </c>
      <c r="C6630">
        <f>IF(B6630,INT((A6630-1)/Days)+1,"")</f>
        <v/>
      </c>
      <c r="D6630">
        <f>IF(B6630,MOD(A6630-1,Days),"")</f>
        <v/>
      </c>
      <c r="E6630" s="16">
        <f>IF(B6630,StartDate+D6630,"")</f>
        <v/>
      </c>
      <c r="F6630">
        <f>IF(B6630,MAX(MOD(SIN(Seed*0.1373+C6630*12.9898+D6630*78.233)*43758.5453,1),1E-9),"")</f>
        <v/>
      </c>
      <c r="G6630">
        <f>IF(B6630,MOD(SIN(Seed*0.5917+C6630*39.3468+D6630*11.135)*24634.6345,1),"")</f>
        <v/>
      </c>
      <c r="H6630">
        <f>IF(B6630,SQRT(-2*LN(F6630))*COS(2*PI()*G6630),"")</f>
        <v/>
      </c>
      <c r="I6630">
        <f>IF(B6630,IF(D6630=0,H6630,Rho*I6629+SQRT(1-Rho^2)*H6630),"")</f>
        <v/>
      </c>
      <c r="J6630">
        <f>IF(B6630,IF(Dist="Normal",DistA+DistB*I6630,DistA+(DistB-DistA)*NORMSDIST(I6630)),"")</f>
        <v/>
      </c>
      <c r="K6630">
        <f>IF(B6630,INDEX(MineScale,C6630),"")</f>
        <v/>
      </c>
      <c r="L6630">
        <f>IF(B6630,INDEX(Dow,1,WEEKDAY(E6630,2)),"")</f>
        <v/>
      </c>
      <c r="M6630">
        <f>IF(B6630,(1+Trend)^D6630,"")</f>
        <v/>
      </c>
      <c r="N6630">
        <f>IF(B6630,EXP(SUMPRODUCT(LN(1+(EvEff-1)*INDEX(Affected,0,C6630)*EXP(-((E6630-EvCenter)^2)/(2*EvSigma^2))))),"")</f>
        <v/>
      </c>
      <c r="O6630">
        <f>IF(B6630,ROUND(MAX(0,J6630*K6630*L6630*M6630*N6630),2),"")</f>
        <v/>
      </c>
    </row>
    <row r="6631">
      <c r="A6631" t="n">
        <v>6630</v>
      </c>
      <c r="B6631">
        <f>A6631&lt;=MineCount*Days</f>
        <v/>
      </c>
      <c r="C6631">
        <f>IF(B6631,INT((A6631-1)/Days)+1,"")</f>
        <v/>
      </c>
      <c r="D6631">
        <f>IF(B6631,MOD(A6631-1,Days),"")</f>
        <v/>
      </c>
      <c r="E6631" s="16">
        <f>IF(B6631,StartDate+D6631,"")</f>
        <v/>
      </c>
      <c r="F6631">
        <f>IF(B6631,MAX(MOD(SIN(Seed*0.1373+C6631*12.9898+D6631*78.233)*43758.5453,1),1E-9),"")</f>
        <v/>
      </c>
      <c r="G6631">
        <f>IF(B6631,MOD(SIN(Seed*0.5917+C6631*39.3468+D6631*11.135)*24634.6345,1),"")</f>
        <v/>
      </c>
      <c r="H6631">
        <f>IF(B6631,SQRT(-2*LN(F6631))*COS(2*PI()*G6631),"")</f>
        <v/>
      </c>
      <c r="I6631">
        <f>IF(B6631,IF(D6631=0,H6631,Rho*I6630+SQRT(1-Rho^2)*H6631),"")</f>
        <v/>
      </c>
      <c r="J6631">
        <f>IF(B6631,IF(Dist="Normal",DistA+DistB*I6631,DistA+(DistB-DistA)*NORMSDIST(I6631)),"")</f>
        <v/>
      </c>
      <c r="K6631">
        <f>IF(B6631,INDEX(MineScale,C6631),"")</f>
        <v/>
      </c>
      <c r="L6631">
        <f>IF(B6631,INDEX(Dow,1,WEEKDAY(E6631,2)),"")</f>
        <v/>
      </c>
      <c r="M6631">
        <f>IF(B6631,(1+Trend)^D6631,"")</f>
        <v/>
      </c>
      <c r="N6631">
        <f>IF(B6631,EXP(SUMPRODUCT(LN(1+(EvEff-1)*INDEX(Affected,0,C6631)*EXP(-((E6631-EvCenter)^2)/(2*EvSigma^2))))),"")</f>
        <v/>
      </c>
      <c r="O6631">
        <f>IF(B6631,ROUND(MAX(0,J6631*K6631*L6631*M6631*N6631),2),"")</f>
        <v/>
      </c>
    </row>
    <row r="6632">
      <c r="A6632" t="n">
        <v>6631</v>
      </c>
      <c r="B6632">
        <f>A6632&lt;=MineCount*Days</f>
        <v/>
      </c>
      <c r="C6632">
        <f>IF(B6632,INT((A6632-1)/Days)+1,"")</f>
        <v/>
      </c>
      <c r="D6632">
        <f>IF(B6632,MOD(A6632-1,Days),"")</f>
        <v/>
      </c>
      <c r="E6632" s="16">
        <f>IF(B6632,StartDate+D6632,"")</f>
        <v/>
      </c>
      <c r="F6632">
        <f>IF(B6632,MAX(MOD(SIN(Seed*0.1373+C6632*12.9898+D6632*78.233)*43758.5453,1),1E-9),"")</f>
        <v/>
      </c>
      <c r="G6632">
        <f>IF(B6632,MOD(SIN(Seed*0.5917+C6632*39.3468+D6632*11.135)*24634.6345,1),"")</f>
        <v/>
      </c>
      <c r="H6632">
        <f>IF(B6632,SQRT(-2*LN(F6632))*COS(2*PI()*G6632),"")</f>
        <v/>
      </c>
      <c r="I6632">
        <f>IF(B6632,IF(D6632=0,H6632,Rho*I6631+SQRT(1-Rho^2)*H6632),"")</f>
        <v/>
      </c>
      <c r="J6632">
        <f>IF(B6632,IF(Dist="Normal",DistA+DistB*I6632,DistA+(DistB-DistA)*NORMSDIST(I6632)),"")</f>
        <v/>
      </c>
      <c r="K6632">
        <f>IF(B6632,INDEX(MineScale,C6632),"")</f>
        <v/>
      </c>
      <c r="L6632">
        <f>IF(B6632,INDEX(Dow,1,WEEKDAY(E6632,2)),"")</f>
        <v/>
      </c>
      <c r="M6632">
        <f>IF(B6632,(1+Trend)^D6632,"")</f>
        <v/>
      </c>
      <c r="N6632">
        <f>IF(B6632,EXP(SUMPRODUCT(LN(1+(EvEff-1)*INDEX(Affected,0,C6632)*EXP(-((E6632-EvCenter)^2)/(2*EvSigma^2))))),"")</f>
        <v/>
      </c>
      <c r="O6632">
        <f>IF(B6632,ROUND(MAX(0,J6632*K6632*L6632*M6632*N6632),2),"")</f>
        <v/>
      </c>
    </row>
    <row r="6633">
      <c r="A6633" t="n">
        <v>6632</v>
      </c>
      <c r="B6633">
        <f>A6633&lt;=MineCount*Days</f>
        <v/>
      </c>
      <c r="C6633">
        <f>IF(B6633,INT((A6633-1)/Days)+1,"")</f>
        <v/>
      </c>
      <c r="D6633">
        <f>IF(B6633,MOD(A6633-1,Days),"")</f>
        <v/>
      </c>
      <c r="E6633" s="16">
        <f>IF(B6633,StartDate+D6633,"")</f>
        <v/>
      </c>
      <c r="F6633">
        <f>IF(B6633,MAX(MOD(SIN(Seed*0.1373+C6633*12.9898+D6633*78.233)*43758.5453,1),1E-9),"")</f>
        <v/>
      </c>
      <c r="G6633">
        <f>IF(B6633,MOD(SIN(Seed*0.5917+C6633*39.3468+D6633*11.135)*24634.6345,1),"")</f>
        <v/>
      </c>
      <c r="H6633">
        <f>IF(B6633,SQRT(-2*LN(F6633))*COS(2*PI()*G6633),"")</f>
        <v/>
      </c>
      <c r="I6633">
        <f>IF(B6633,IF(D6633=0,H6633,Rho*I6632+SQRT(1-Rho^2)*H6633),"")</f>
        <v/>
      </c>
      <c r="J6633">
        <f>IF(B6633,IF(Dist="Normal",DistA+DistB*I6633,DistA+(DistB-DistA)*NORMSDIST(I6633)),"")</f>
        <v/>
      </c>
      <c r="K6633">
        <f>IF(B6633,INDEX(MineScale,C6633),"")</f>
        <v/>
      </c>
      <c r="L6633">
        <f>IF(B6633,INDEX(Dow,1,WEEKDAY(E6633,2)),"")</f>
        <v/>
      </c>
      <c r="M6633">
        <f>IF(B6633,(1+Trend)^D6633,"")</f>
        <v/>
      </c>
      <c r="N6633">
        <f>IF(B6633,EXP(SUMPRODUCT(LN(1+(EvEff-1)*INDEX(Affected,0,C6633)*EXP(-((E6633-EvCenter)^2)/(2*EvSigma^2))))),"")</f>
        <v/>
      </c>
      <c r="O6633">
        <f>IF(B6633,ROUND(MAX(0,J6633*K6633*L6633*M6633*N6633),2),"")</f>
        <v/>
      </c>
    </row>
    <row r="6634">
      <c r="A6634" t="n">
        <v>6633</v>
      </c>
      <c r="B6634">
        <f>A6634&lt;=MineCount*Days</f>
        <v/>
      </c>
      <c r="C6634">
        <f>IF(B6634,INT((A6634-1)/Days)+1,"")</f>
        <v/>
      </c>
      <c r="D6634">
        <f>IF(B6634,MOD(A6634-1,Days),"")</f>
        <v/>
      </c>
      <c r="E6634" s="16">
        <f>IF(B6634,StartDate+D6634,"")</f>
        <v/>
      </c>
      <c r="F6634">
        <f>IF(B6634,MAX(MOD(SIN(Seed*0.1373+C6634*12.9898+D6634*78.233)*43758.5453,1),1E-9),"")</f>
        <v/>
      </c>
      <c r="G6634">
        <f>IF(B6634,MOD(SIN(Seed*0.5917+C6634*39.3468+D6634*11.135)*24634.6345,1),"")</f>
        <v/>
      </c>
      <c r="H6634">
        <f>IF(B6634,SQRT(-2*LN(F6634))*COS(2*PI()*G6634),"")</f>
        <v/>
      </c>
      <c r="I6634">
        <f>IF(B6634,IF(D6634=0,H6634,Rho*I6633+SQRT(1-Rho^2)*H6634),"")</f>
        <v/>
      </c>
      <c r="J6634">
        <f>IF(B6634,IF(Dist="Normal",DistA+DistB*I6634,DistA+(DistB-DistA)*NORMSDIST(I6634)),"")</f>
        <v/>
      </c>
      <c r="K6634">
        <f>IF(B6634,INDEX(MineScale,C6634),"")</f>
        <v/>
      </c>
      <c r="L6634">
        <f>IF(B6634,INDEX(Dow,1,WEEKDAY(E6634,2)),"")</f>
        <v/>
      </c>
      <c r="M6634">
        <f>IF(B6634,(1+Trend)^D6634,"")</f>
        <v/>
      </c>
      <c r="N6634">
        <f>IF(B6634,EXP(SUMPRODUCT(LN(1+(EvEff-1)*INDEX(Affected,0,C6634)*EXP(-((E6634-EvCenter)^2)/(2*EvSigma^2))))),"")</f>
        <v/>
      </c>
      <c r="O6634">
        <f>IF(B6634,ROUND(MAX(0,J6634*K6634*L6634*M6634*N6634),2),"")</f>
        <v/>
      </c>
    </row>
    <row r="6635">
      <c r="A6635" t="n">
        <v>6634</v>
      </c>
      <c r="B6635">
        <f>A6635&lt;=MineCount*Days</f>
        <v/>
      </c>
      <c r="C6635">
        <f>IF(B6635,INT((A6635-1)/Days)+1,"")</f>
        <v/>
      </c>
      <c r="D6635">
        <f>IF(B6635,MOD(A6635-1,Days),"")</f>
        <v/>
      </c>
      <c r="E6635" s="16">
        <f>IF(B6635,StartDate+D6635,"")</f>
        <v/>
      </c>
      <c r="F6635">
        <f>IF(B6635,MAX(MOD(SIN(Seed*0.1373+C6635*12.9898+D6635*78.233)*43758.5453,1),1E-9),"")</f>
        <v/>
      </c>
      <c r="G6635">
        <f>IF(B6635,MOD(SIN(Seed*0.5917+C6635*39.3468+D6635*11.135)*24634.6345,1),"")</f>
        <v/>
      </c>
      <c r="H6635">
        <f>IF(B6635,SQRT(-2*LN(F6635))*COS(2*PI()*G6635),"")</f>
        <v/>
      </c>
      <c r="I6635">
        <f>IF(B6635,IF(D6635=0,H6635,Rho*I6634+SQRT(1-Rho^2)*H6635),"")</f>
        <v/>
      </c>
      <c r="J6635">
        <f>IF(B6635,IF(Dist="Normal",DistA+DistB*I6635,DistA+(DistB-DistA)*NORMSDIST(I6635)),"")</f>
        <v/>
      </c>
      <c r="K6635">
        <f>IF(B6635,INDEX(MineScale,C6635),"")</f>
        <v/>
      </c>
      <c r="L6635">
        <f>IF(B6635,INDEX(Dow,1,WEEKDAY(E6635,2)),"")</f>
        <v/>
      </c>
      <c r="M6635">
        <f>IF(B6635,(1+Trend)^D6635,"")</f>
        <v/>
      </c>
      <c r="N6635">
        <f>IF(B6635,EXP(SUMPRODUCT(LN(1+(EvEff-1)*INDEX(Affected,0,C6635)*EXP(-((E6635-EvCenter)^2)/(2*EvSigma^2))))),"")</f>
        <v/>
      </c>
      <c r="O6635">
        <f>IF(B6635,ROUND(MAX(0,J6635*K6635*L6635*M6635*N6635),2),"")</f>
        <v/>
      </c>
    </row>
    <row r="6636">
      <c r="A6636" t="n">
        <v>6635</v>
      </c>
      <c r="B6636">
        <f>A6636&lt;=MineCount*Days</f>
        <v/>
      </c>
      <c r="C6636">
        <f>IF(B6636,INT((A6636-1)/Days)+1,"")</f>
        <v/>
      </c>
      <c r="D6636">
        <f>IF(B6636,MOD(A6636-1,Days),"")</f>
        <v/>
      </c>
      <c r="E6636" s="16">
        <f>IF(B6636,StartDate+D6636,"")</f>
        <v/>
      </c>
      <c r="F6636">
        <f>IF(B6636,MAX(MOD(SIN(Seed*0.1373+C6636*12.9898+D6636*78.233)*43758.5453,1),1E-9),"")</f>
        <v/>
      </c>
      <c r="G6636">
        <f>IF(B6636,MOD(SIN(Seed*0.5917+C6636*39.3468+D6636*11.135)*24634.6345,1),"")</f>
        <v/>
      </c>
      <c r="H6636">
        <f>IF(B6636,SQRT(-2*LN(F6636))*COS(2*PI()*G6636),"")</f>
        <v/>
      </c>
      <c r="I6636">
        <f>IF(B6636,IF(D6636=0,H6636,Rho*I6635+SQRT(1-Rho^2)*H6636),"")</f>
        <v/>
      </c>
      <c r="J6636">
        <f>IF(B6636,IF(Dist="Normal",DistA+DistB*I6636,DistA+(DistB-DistA)*NORMSDIST(I6636)),"")</f>
        <v/>
      </c>
      <c r="K6636">
        <f>IF(B6636,INDEX(MineScale,C6636),"")</f>
        <v/>
      </c>
      <c r="L6636">
        <f>IF(B6636,INDEX(Dow,1,WEEKDAY(E6636,2)),"")</f>
        <v/>
      </c>
      <c r="M6636">
        <f>IF(B6636,(1+Trend)^D6636,"")</f>
        <v/>
      </c>
      <c r="N6636">
        <f>IF(B6636,EXP(SUMPRODUCT(LN(1+(EvEff-1)*INDEX(Affected,0,C6636)*EXP(-((E6636-EvCenter)^2)/(2*EvSigma^2))))),"")</f>
        <v/>
      </c>
      <c r="O6636">
        <f>IF(B6636,ROUND(MAX(0,J6636*K6636*L6636*M6636*N6636),2),"")</f>
        <v/>
      </c>
    </row>
    <row r="6637">
      <c r="A6637" t="n">
        <v>6636</v>
      </c>
      <c r="B6637">
        <f>A6637&lt;=MineCount*Days</f>
        <v/>
      </c>
      <c r="C6637">
        <f>IF(B6637,INT((A6637-1)/Days)+1,"")</f>
        <v/>
      </c>
      <c r="D6637">
        <f>IF(B6637,MOD(A6637-1,Days),"")</f>
        <v/>
      </c>
      <c r="E6637" s="16">
        <f>IF(B6637,StartDate+D6637,"")</f>
        <v/>
      </c>
      <c r="F6637">
        <f>IF(B6637,MAX(MOD(SIN(Seed*0.1373+C6637*12.9898+D6637*78.233)*43758.5453,1),1E-9),"")</f>
        <v/>
      </c>
      <c r="G6637">
        <f>IF(B6637,MOD(SIN(Seed*0.5917+C6637*39.3468+D6637*11.135)*24634.6345,1),"")</f>
        <v/>
      </c>
      <c r="H6637">
        <f>IF(B6637,SQRT(-2*LN(F6637))*COS(2*PI()*G6637),"")</f>
        <v/>
      </c>
      <c r="I6637">
        <f>IF(B6637,IF(D6637=0,H6637,Rho*I6636+SQRT(1-Rho^2)*H6637),"")</f>
        <v/>
      </c>
      <c r="J6637">
        <f>IF(B6637,IF(Dist="Normal",DistA+DistB*I6637,DistA+(DistB-DistA)*NORMSDIST(I6637)),"")</f>
        <v/>
      </c>
      <c r="K6637">
        <f>IF(B6637,INDEX(MineScale,C6637),"")</f>
        <v/>
      </c>
      <c r="L6637">
        <f>IF(B6637,INDEX(Dow,1,WEEKDAY(E6637,2)),"")</f>
        <v/>
      </c>
      <c r="M6637">
        <f>IF(B6637,(1+Trend)^D6637,"")</f>
        <v/>
      </c>
      <c r="N6637">
        <f>IF(B6637,EXP(SUMPRODUCT(LN(1+(EvEff-1)*INDEX(Affected,0,C6637)*EXP(-((E6637-EvCenter)^2)/(2*EvSigma^2))))),"")</f>
        <v/>
      </c>
      <c r="O6637">
        <f>IF(B6637,ROUND(MAX(0,J6637*K6637*L6637*M6637*N6637),2),"")</f>
        <v/>
      </c>
    </row>
    <row r="6638">
      <c r="A6638" t="n">
        <v>6637</v>
      </c>
      <c r="B6638">
        <f>A6638&lt;=MineCount*Days</f>
        <v/>
      </c>
      <c r="C6638">
        <f>IF(B6638,INT((A6638-1)/Days)+1,"")</f>
        <v/>
      </c>
      <c r="D6638">
        <f>IF(B6638,MOD(A6638-1,Days),"")</f>
        <v/>
      </c>
      <c r="E6638" s="16">
        <f>IF(B6638,StartDate+D6638,"")</f>
        <v/>
      </c>
      <c r="F6638">
        <f>IF(B6638,MAX(MOD(SIN(Seed*0.1373+C6638*12.9898+D6638*78.233)*43758.5453,1),1E-9),"")</f>
        <v/>
      </c>
      <c r="G6638">
        <f>IF(B6638,MOD(SIN(Seed*0.5917+C6638*39.3468+D6638*11.135)*24634.6345,1),"")</f>
        <v/>
      </c>
      <c r="H6638">
        <f>IF(B6638,SQRT(-2*LN(F6638))*COS(2*PI()*G6638),"")</f>
        <v/>
      </c>
      <c r="I6638">
        <f>IF(B6638,IF(D6638=0,H6638,Rho*I6637+SQRT(1-Rho^2)*H6638),"")</f>
        <v/>
      </c>
      <c r="J6638">
        <f>IF(B6638,IF(Dist="Normal",DistA+DistB*I6638,DistA+(DistB-DistA)*NORMSDIST(I6638)),"")</f>
        <v/>
      </c>
      <c r="K6638">
        <f>IF(B6638,INDEX(MineScale,C6638),"")</f>
        <v/>
      </c>
      <c r="L6638">
        <f>IF(B6638,INDEX(Dow,1,WEEKDAY(E6638,2)),"")</f>
        <v/>
      </c>
      <c r="M6638">
        <f>IF(B6638,(1+Trend)^D6638,"")</f>
        <v/>
      </c>
      <c r="N6638">
        <f>IF(B6638,EXP(SUMPRODUCT(LN(1+(EvEff-1)*INDEX(Affected,0,C6638)*EXP(-((E6638-EvCenter)^2)/(2*EvSigma^2))))),"")</f>
        <v/>
      </c>
      <c r="O6638">
        <f>IF(B6638,ROUND(MAX(0,J6638*K6638*L6638*M6638*N6638),2),"")</f>
        <v/>
      </c>
    </row>
    <row r="6639">
      <c r="A6639" t="n">
        <v>6638</v>
      </c>
      <c r="B6639">
        <f>A6639&lt;=MineCount*Days</f>
        <v/>
      </c>
      <c r="C6639">
        <f>IF(B6639,INT((A6639-1)/Days)+1,"")</f>
        <v/>
      </c>
      <c r="D6639">
        <f>IF(B6639,MOD(A6639-1,Days),"")</f>
        <v/>
      </c>
      <c r="E6639" s="16">
        <f>IF(B6639,StartDate+D6639,"")</f>
        <v/>
      </c>
      <c r="F6639">
        <f>IF(B6639,MAX(MOD(SIN(Seed*0.1373+C6639*12.9898+D6639*78.233)*43758.5453,1),1E-9),"")</f>
        <v/>
      </c>
      <c r="G6639">
        <f>IF(B6639,MOD(SIN(Seed*0.5917+C6639*39.3468+D6639*11.135)*24634.6345,1),"")</f>
        <v/>
      </c>
      <c r="H6639">
        <f>IF(B6639,SQRT(-2*LN(F6639))*COS(2*PI()*G6639),"")</f>
        <v/>
      </c>
      <c r="I6639">
        <f>IF(B6639,IF(D6639=0,H6639,Rho*I6638+SQRT(1-Rho^2)*H6639),"")</f>
        <v/>
      </c>
      <c r="J6639">
        <f>IF(B6639,IF(Dist="Normal",DistA+DistB*I6639,DistA+(DistB-DistA)*NORMSDIST(I6639)),"")</f>
        <v/>
      </c>
      <c r="K6639">
        <f>IF(B6639,INDEX(MineScale,C6639),"")</f>
        <v/>
      </c>
      <c r="L6639">
        <f>IF(B6639,INDEX(Dow,1,WEEKDAY(E6639,2)),"")</f>
        <v/>
      </c>
      <c r="M6639">
        <f>IF(B6639,(1+Trend)^D6639,"")</f>
        <v/>
      </c>
      <c r="N6639">
        <f>IF(B6639,EXP(SUMPRODUCT(LN(1+(EvEff-1)*INDEX(Affected,0,C6639)*EXP(-((E6639-EvCenter)^2)/(2*EvSigma^2))))),"")</f>
        <v/>
      </c>
      <c r="O6639">
        <f>IF(B6639,ROUND(MAX(0,J6639*K6639*L6639*M6639*N6639),2),"")</f>
        <v/>
      </c>
    </row>
    <row r="6640">
      <c r="A6640" t="n">
        <v>6639</v>
      </c>
      <c r="B6640">
        <f>A6640&lt;=MineCount*Days</f>
        <v/>
      </c>
      <c r="C6640">
        <f>IF(B6640,INT((A6640-1)/Days)+1,"")</f>
        <v/>
      </c>
      <c r="D6640">
        <f>IF(B6640,MOD(A6640-1,Days),"")</f>
        <v/>
      </c>
      <c r="E6640" s="16">
        <f>IF(B6640,StartDate+D6640,"")</f>
        <v/>
      </c>
      <c r="F6640">
        <f>IF(B6640,MAX(MOD(SIN(Seed*0.1373+C6640*12.9898+D6640*78.233)*43758.5453,1),1E-9),"")</f>
        <v/>
      </c>
      <c r="G6640">
        <f>IF(B6640,MOD(SIN(Seed*0.5917+C6640*39.3468+D6640*11.135)*24634.6345,1),"")</f>
        <v/>
      </c>
      <c r="H6640">
        <f>IF(B6640,SQRT(-2*LN(F6640))*COS(2*PI()*G6640),"")</f>
        <v/>
      </c>
      <c r="I6640">
        <f>IF(B6640,IF(D6640=0,H6640,Rho*I6639+SQRT(1-Rho^2)*H6640),"")</f>
        <v/>
      </c>
      <c r="J6640">
        <f>IF(B6640,IF(Dist="Normal",DistA+DistB*I6640,DistA+(DistB-DistA)*NORMSDIST(I6640)),"")</f>
        <v/>
      </c>
      <c r="K6640">
        <f>IF(B6640,INDEX(MineScale,C6640),"")</f>
        <v/>
      </c>
      <c r="L6640">
        <f>IF(B6640,INDEX(Dow,1,WEEKDAY(E6640,2)),"")</f>
        <v/>
      </c>
      <c r="M6640">
        <f>IF(B6640,(1+Trend)^D6640,"")</f>
        <v/>
      </c>
      <c r="N6640">
        <f>IF(B6640,EXP(SUMPRODUCT(LN(1+(EvEff-1)*INDEX(Affected,0,C6640)*EXP(-((E6640-EvCenter)^2)/(2*EvSigma^2))))),"")</f>
        <v/>
      </c>
      <c r="O6640">
        <f>IF(B6640,ROUND(MAX(0,J6640*K6640*L6640*M6640*N6640),2),"")</f>
        <v/>
      </c>
    </row>
    <row r="6641">
      <c r="A6641" t="n">
        <v>6640</v>
      </c>
      <c r="B6641">
        <f>A6641&lt;=MineCount*Days</f>
        <v/>
      </c>
      <c r="C6641">
        <f>IF(B6641,INT((A6641-1)/Days)+1,"")</f>
        <v/>
      </c>
      <c r="D6641">
        <f>IF(B6641,MOD(A6641-1,Days),"")</f>
        <v/>
      </c>
      <c r="E6641" s="16">
        <f>IF(B6641,StartDate+D6641,"")</f>
        <v/>
      </c>
      <c r="F6641">
        <f>IF(B6641,MAX(MOD(SIN(Seed*0.1373+C6641*12.9898+D6641*78.233)*43758.5453,1),1E-9),"")</f>
        <v/>
      </c>
      <c r="G6641">
        <f>IF(B6641,MOD(SIN(Seed*0.5917+C6641*39.3468+D6641*11.135)*24634.6345,1),"")</f>
        <v/>
      </c>
      <c r="H6641">
        <f>IF(B6641,SQRT(-2*LN(F6641))*COS(2*PI()*G6641),"")</f>
        <v/>
      </c>
      <c r="I6641">
        <f>IF(B6641,IF(D6641=0,H6641,Rho*I6640+SQRT(1-Rho^2)*H6641),"")</f>
        <v/>
      </c>
      <c r="J6641">
        <f>IF(B6641,IF(Dist="Normal",DistA+DistB*I6641,DistA+(DistB-DistA)*NORMSDIST(I6641)),"")</f>
        <v/>
      </c>
      <c r="K6641">
        <f>IF(B6641,INDEX(MineScale,C6641),"")</f>
        <v/>
      </c>
      <c r="L6641">
        <f>IF(B6641,INDEX(Dow,1,WEEKDAY(E6641,2)),"")</f>
        <v/>
      </c>
      <c r="M6641">
        <f>IF(B6641,(1+Trend)^D6641,"")</f>
        <v/>
      </c>
      <c r="N6641">
        <f>IF(B6641,EXP(SUMPRODUCT(LN(1+(EvEff-1)*INDEX(Affected,0,C6641)*EXP(-((E6641-EvCenter)^2)/(2*EvSigma^2))))),"")</f>
        <v/>
      </c>
      <c r="O6641">
        <f>IF(B6641,ROUND(MAX(0,J6641*K6641*L6641*M6641*N6641),2),"")</f>
        <v/>
      </c>
    </row>
    <row r="6642">
      <c r="A6642" t="n">
        <v>6641</v>
      </c>
      <c r="B6642">
        <f>A6642&lt;=MineCount*Days</f>
        <v/>
      </c>
      <c r="C6642">
        <f>IF(B6642,INT((A6642-1)/Days)+1,"")</f>
        <v/>
      </c>
      <c r="D6642">
        <f>IF(B6642,MOD(A6642-1,Days),"")</f>
        <v/>
      </c>
      <c r="E6642" s="16">
        <f>IF(B6642,StartDate+D6642,"")</f>
        <v/>
      </c>
      <c r="F6642">
        <f>IF(B6642,MAX(MOD(SIN(Seed*0.1373+C6642*12.9898+D6642*78.233)*43758.5453,1),1E-9),"")</f>
        <v/>
      </c>
      <c r="G6642">
        <f>IF(B6642,MOD(SIN(Seed*0.5917+C6642*39.3468+D6642*11.135)*24634.6345,1),"")</f>
        <v/>
      </c>
      <c r="H6642">
        <f>IF(B6642,SQRT(-2*LN(F6642))*COS(2*PI()*G6642),"")</f>
        <v/>
      </c>
      <c r="I6642">
        <f>IF(B6642,IF(D6642=0,H6642,Rho*I6641+SQRT(1-Rho^2)*H6642),"")</f>
        <v/>
      </c>
      <c r="J6642">
        <f>IF(B6642,IF(Dist="Normal",DistA+DistB*I6642,DistA+(DistB-DistA)*NORMSDIST(I6642)),"")</f>
        <v/>
      </c>
      <c r="K6642">
        <f>IF(B6642,INDEX(MineScale,C6642),"")</f>
        <v/>
      </c>
      <c r="L6642">
        <f>IF(B6642,INDEX(Dow,1,WEEKDAY(E6642,2)),"")</f>
        <v/>
      </c>
      <c r="M6642">
        <f>IF(B6642,(1+Trend)^D6642,"")</f>
        <v/>
      </c>
      <c r="N6642">
        <f>IF(B6642,EXP(SUMPRODUCT(LN(1+(EvEff-1)*INDEX(Affected,0,C6642)*EXP(-((E6642-EvCenter)^2)/(2*EvSigma^2))))),"")</f>
        <v/>
      </c>
      <c r="O6642">
        <f>IF(B6642,ROUND(MAX(0,J6642*K6642*L6642*M6642*N6642),2),"")</f>
        <v/>
      </c>
    </row>
    <row r="6643">
      <c r="A6643" t="n">
        <v>6642</v>
      </c>
      <c r="B6643">
        <f>A6643&lt;=MineCount*Days</f>
        <v/>
      </c>
      <c r="C6643">
        <f>IF(B6643,INT((A6643-1)/Days)+1,"")</f>
        <v/>
      </c>
      <c r="D6643">
        <f>IF(B6643,MOD(A6643-1,Days),"")</f>
        <v/>
      </c>
      <c r="E6643" s="16">
        <f>IF(B6643,StartDate+D6643,"")</f>
        <v/>
      </c>
      <c r="F6643">
        <f>IF(B6643,MAX(MOD(SIN(Seed*0.1373+C6643*12.9898+D6643*78.233)*43758.5453,1),1E-9),"")</f>
        <v/>
      </c>
      <c r="G6643">
        <f>IF(B6643,MOD(SIN(Seed*0.5917+C6643*39.3468+D6643*11.135)*24634.6345,1),"")</f>
        <v/>
      </c>
      <c r="H6643">
        <f>IF(B6643,SQRT(-2*LN(F6643))*COS(2*PI()*G6643),"")</f>
        <v/>
      </c>
      <c r="I6643">
        <f>IF(B6643,IF(D6643=0,H6643,Rho*I6642+SQRT(1-Rho^2)*H6643),"")</f>
        <v/>
      </c>
      <c r="J6643">
        <f>IF(B6643,IF(Dist="Normal",DistA+DistB*I6643,DistA+(DistB-DistA)*NORMSDIST(I6643)),"")</f>
        <v/>
      </c>
      <c r="K6643">
        <f>IF(B6643,INDEX(MineScale,C6643),"")</f>
        <v/>
      </c>
      <c r="L6643">
        <f>IF(B6643,INDEX(Dow,1,WEEKDAY(E6643,2)),"")</f>
        <v/>
      </c>
      <c r="M6643">
        <f>IF(B6643,(1+Trend)^D6643,"")</f>
        <v/>
      </c>
      <c r="N6643">
        <f>IF(B6643,EXP(SUMPRODUCT(LN(1+(EvEff-1)*INDEX(Affected,0,C6643)*EXP(-((E6643-EvCenter)^2)/(2*EvSigma^2))))),"")</f>
        <v/>
      </c>
      <c r="O6643">
        <f>IF(B6643,ROUND(MAX(0,J6643*K6643*L6643*M6643*N6643),2),"")</f>
        <v/>
      </c>
    </row>
    <row r="6644">
      <c r="A6644" t="n">
        <v>6643</v>
      </c>
      <c r="B6644">
        <f>A6644&lt;=MineCount*Days</f>
        <v/>
      </c>
      <c r="C6644">
        <f>IF(B6644,INT((A6644-1)/Days)+1,"")</f>
        <v/>
      </c>
      <c r="D6644">
        <f>IF(B6644,MOD(A6644-1,Days),"")</f>
        <v/>
      </c>
      <c r="E6644" s="16">
        <f>IF(B6644,StartDate+D6644,"")</f>
        <v/>
      </c>
      <c r="F6644">
        <f>IF(B6644,MAX(MOD(SIN(Seed*0.1373+C6644*12.9898+D6644*78.233)*43758.5453,1),1E-9),"")</f>
        <v/>
      </c>
      <c r="G6644">
        <f>IF(B6644,MOD(SIN(Seed*0.5917+C6644*39.3468+D6644*11.135)*24634.6345,1),"")</f>
        <v/>
      </c>
      <c r="H6644">
        <f>IF(B6644,SQRT(-2*LN(F6644))*COS(2*PI()*G6644),"")</f>
        <v/>
      </c>
      <c r="I6644">
        <f>IF(B6644,IF(D6644=0,H6644,Rho*I6643+SQRT(1-Rho^2)*H6644),"")</f>
        <v/>
      </c>
      <c r="J6644">
        <f>IF(B6644,IF(Dist="Normal",DistA+DistB*I6644,DistA+(DistB-DistA)*NORMSDIST(I6644)),"")</f>
        <v/>
      </c>
      <c r="K6644">
        <f>IF(B6644,INDEX(MineScale,C6644),"")</f>
        <v/>
      </c>
      <c r="L6644">
        <f>IF(B6644,INDEX(Dow,1,WEEKDAY(E6644,2)),"")</f>
        <v/>
      </c>
      <c r="M6644">
        <f>IF(B6644,(1+Trend)^D6644,"")</f>
        <v/>
      </c>
      <c r="N6644">
        <f>IF(B6644,EXP(SUMPRODUCT(LN(1+(EvEff-1)*INDEX(Affected,0,C6644)*EXP(-((E6644-EvCenter)^2)/(2*EvSigma^2))))),"")</f>
        <v/>
      </c>
      <c r="O6644">
        <f>IF(B6644,ROUND(MAX(0,J6644*K6644*L6644*M6644*N6644),2),"")</f>
        <v/>
      </c>
    </row>
    <row r="6645">
      <c r="A6645" t="n">
        <v>6644</v>
      </c>
      <c r="B6645">
        <f>A6645&lt;=MineCount*Days</f>
        <v/>
      </c>
      <c r="C6645">
        <f>IF(B6645,INT((A6645-1)/Days)+1,"")</f>
        <v/>
      </c>
      <c r="D6645">
        <f>IF(B6645,MOD(A6645-1,Days),"")</f>
        <v/>
      </c>
      <c r="E6645" s="16">
        <f>IF(B6645,StartDate+D6645,"")</f>
        <v/>
      </c>
      <c r="F6645">
        <f>IF(B6645,MAX(MOD(SIN(Seed*0.1373+C6645*12.9898+D6645*78.233)*43758.5453,1),1E-9),"")</f>
        <v/>
      </c>
      <c r="G6645">
        <f>IF(B6645,MOD(SIN(Seed*0.5917+C6645*39.3468+D6645*11.135)*24634.6345,1),"")</f>
        <v/>
      </c>
      <c r="H6645">
        <f>IF(B6645,SQRT(-2*LN(F6645))*COS(2*PI()*G6645),"")</f>
        <v/>
      </c>
      <c r="I6645">
        <f>IF(B6645,IF(D6645=0,H6645,Rho*I6644+SQRT(1-Rho^2)*H6645),"")</f>
        <v/>
      </c>
      <c r="J6645">
        <f>IF(B6645,IF(Dist="Normal",DistA+DistB*I6645,DistA+(DistB-DistA)*NORMSDIST(I6645)),"")</f>
        <v/>
      </c>
      <c r="K6645">
        <f>IF(B6645,INDEX(MineScale,C6645),"")</f>
        <v/>
      </c>
      <c r="L6645">
        <f>IF(B6645,INDEX(Dow,1,WEEKDAY(E6645,2)),"")</f>
        <v/>
      </c>
      <c r="M6645">
        <f>IF(B6645,(1+Trend)^D6645,"")</f>
        <v/>
      </c>
      <c r="N6645">
        <f>IF(B6645,EXP(SUMPRODUCT(LN(1+(EvEff-1)*INDEX(Affected,0,C6645)*EXP(-((E6645-EvCenter)^2)/(2*EvSigma^2))))),"")</f>
        <v/>
      </c>
      <c r="O6645">
        <f>IF(B6645,ROUND(MAX(0,J6645*K6645*L6645*M6645*N6645),2),"")</f>
        <v/>
      </c>
    </row>
    <row r="6646">
      <c r="A6646" t="n">
        <v>6645</v>
      </c>
      <c r="B6646">
        <f>A6646&lt;=MineCount*Days</f>
        <v/>
      </c>
      <c r="C6646">
        <f>IF(B6646,INT((A6646-1)/Days)+1,"")</f>
        <v/>
      </c>
      <c r="D6646">
        <f>IF(B6646,MOD(A6646-1,Days),"")</f>
        <v/>
      </c>
      <c r="E6646" s="16">
        <f>IF(B6646,StartDate+D6646,"")</f>
        <v/>
      </c>
      <c r="F6646">
        <f>IF(B6646,MAX(MOD(SIN(Seed*0.1373+C6646*12.9898+D6646*78.233)*43758.5453,1),1E-9),"")</f>
        <v/>
      </c>
      <c r="G6646">
        <f>IF(B6646,MOD(SIN(Seed*0.5917+C6646*39.3468+D6646*11.135)*24634.6345,1),"")</f>
        <v/>
      </c>
      <c r="H6646">
        <f>IF(B6646,SQRT(-2*LN(F6646))*COS(2*PI()*G6646),"")</f>
        <v/>
      </c>
      <c r="I6646">
        <f>IF(B6646,IF(D6646=0,H6646,Rho*I6645+SQRT(1-Rho^2)*H6646),"")</f>
        <v/>
      </c>
      <c r="J6646">
        <f>IF(B6646,IF(Dist="Normal",DistA+DistB*I6646,DistA+(DistB-DistA)*NORMSDIST(I6646)),"")</f>
        <v/>
      </c>
      <c r="K6646">
        <f>IF(B6646,INDEX(MineScale,C6646),"")</f>
        <v/>
      </c>
      <c r="L6646">
        <f>IF(B6646,INDEX(Dow,1,WEEKDAY(E6646,2)),"")</f>
        <v/>
      </c>
      <c r="M6646">
        <f>IF(B6646,(1+Trend)^D6646,"")</f>
        <v/>
      </c>
      <c r="N6646">
        <f>IF(B6646,EXP(SUMPRODUCT(LN(1+(EvEff-1)*INDEX(Affected,0,C6646)*EXP(-((E6646-EvCenter)^2)/(2*EvSigma^2))))),"")</f>
        <v/>
      </c>
      <c r="O6646">
        <f>IF(B6646,ROUND(MAX(0,J6646*K6646*L6646*M6646*N6646),2),"")</f>
        <v/>
      </c>
    </row>
    <row r="6647">
      <c r="A6647" t="n">
        <v>6646</v>
      </c>
      <c r="B6647">
        <f>A6647&lt;=MineCount*Days</f>
        <v/>
      </c>
      <c r="C6647">
        <f>IF(B6647,INT((A6647-1)/Days)+1,"")</f>
        <v/>
      </c>
      <c r="D6647">
        <f>IF(B6647,MOD(A6647-1,Days),"")</f>
        <v/>
      </c>
      <c r="E6647" s="16">
        <f>IF(B6647,StartDate+D6647,"")</f>
        <v/>
      </c>
      <c r="F6647">
        <f>IF(B6647,MAX(MOD(SIN(Seed*0.1373+C6647*12.9898+D6647*78.233)*43758.5453,1),1E-9),"")</f>
        <v/>
      </c>
      <c r="G6647">
        <f>IF(B6647,MOD(SIN(Seed*0.5917+C6647*39.3468+D6647*11.135)*24634.6345,1),"")</f>
        <v/>
      </c>
      <c r="H6647">
        <f>IF(B6647,SQRT(-2*LN(F6647))*COS(2*PI()*G6647),"")</f>
        <v/>
      </c>
      <c r="I6647">
        <f>IF(B6647,IF(D6647=0,H6647,Rho*I6646+SQRT(1-Rho^2)*H6647),"")</f>
        <v/>
      </c>
      <c r="J6647">
        <f>IF(B6647,IF(Dist="Normal",DistA+DistB*I6647,DistA+(DistB-DistA)*NORMSDIST(I6647)),"")</f>
        <v/>
      </c>
      <c r="K6647">
        <f>IF(B6647,INDEX(MineScale,C6647),"")</f>
        <v/>
      </c>
      <c r="L6647">
        <f>IF(B6647,INDEX(Dow,1,WEEKDAY(E6647,2)),"")</f>
        <v/>
      </c>
      <c r="M6647">
        <f>IF(B6647,(1+Trend)^D6647,"")</f>
        <v/>
      </c>
      <c r="N6647">
        <f>IF(B6647,EXP(SUMPRODUCT(LN(1+(EvEff-1)*INDEX(Affected,0,C6647)*EXP(-((E6647-EvCenter)^2)/(2*EvSigma^2))))),"")</f>
        <v/>
      </c>
      <c r="O6647">
        <f>IF(B6647,ROUND(MAX(0,J6647*K6647*L6647*M6647*N6647),2),"")</f>
        <v/>
      </c>
    </row>
    <row r="6648">
      <c r="A6648" t="n">
        <v>6647</v>
      </c>
      <c r="B6648">
        <f>A6648&lt;=MineCount*Days</f>
        <v/>
      </c>
      <c r="C6648">
        <f>IF(B6648,INT((A6648-1)/Days)+1,"")</f>
        <v/>
      </c>
      <c r="D6648">
        <f>IF(B6648,MOD(A6648-1,Days),"")</f>
        <v/>
      </c>
      <c r="E6648" s="16">
        <f>IF(B6648,StartDate+D6648,"")</f>
        <v/>
      </c>
      <c r="F6648">
        <f>IF(B6648,MAX(MOD(SIN(Seed*0.1373+C6648*12.9898+D6648*78.233)*43758.5453,1),1E-9),"")</f>
        <v/>
      </c>
      <c r="G6648">
        <f>IF(B6648,MOD(SIN(Seed*0.5917+C6648*39.3468+D6648*11.135)*24634.6345,1),"")</f>
        <v/>
      </c>
      <c r="H6648">
        <f>IF(B6648,SQRT(-2*LN(F6648))*COS(2*PI()*G6648),"")</f>
        <v/>
      </c>
      <c r="I6648">
        <f>IF(B6648,IF(D6648=0,H6648,Rho*I6647+SQRT(1-Rho^2)*H6648),"")</f>
        <v/>
      </c>
      <c r="J6648">
        <f>IF(B6648,IF(Dist="Normal",DistA+DistB*I6648,DistA+(DistB-DistA)*NORMSDIST(I6648)),"")</f>
        <v/>
      </c>
      <c r="K6648">
        <f>IF(B6648,INDEX(MineScale,C6648),"")</f>
        <v/>
      </c>
      <c r="L6648">
        <f>IF(B6648,INDEX(Dow,1,WEEKDAY(E6648,2)),"")</f>
        <v/>
      </c>
      <c r="M6648">
        <f>IF(B6648,(1+Trend)^D6648,"")</f>
        <v/>
      </c>
      <c r="N6648">
        <f>IF(B6648,EXP(SUMPRODUCT(LN(1+(EvEff-1)*INDEX(Affected,0,C6648)*EXP(-((E6648-EvCenter)^2)/(2*EvSigma^2))))),"")</f>
        <v/>
      </c>
      <c r="O6648">
        <f>IF(B6648,ROUND(MAX(0,J6648*K6648*L6648*M6648*N6648),2),"")</f>
        <v/>
      </c>
    </row>
    <row r="6649">
      <c r="A6649" t="n">
        <v>6648</v>
      </c>
      <c r="B6649">
        <f>A6649&lt;=MineCount*Days</f>
        <v/>
      </c>
      <c r="C6649">
        <f>IF(B6649,INT((A6649-1)/Days)+1,"")</f>
        <v/>
      </c>
      <c r="D6649">
        <f>IF(B6649,MOD(A6649-1,Days),"")</f>
        <v/>
      </c>
      <c r="E6649" s="16">
        <f>IF(B6649,StartDate+D6649,"")</f>
        <v/>
      </c>
      <c r="F6649">
        <f>IF(B6649,MAX(MOD(SIN(Seed*0.1373+C6649*12.9898+D6649*78.233)*43758.5453,1),1E-9),"")</f>
        <v/>
      </c>
      <c r="G6649">
        <f>IF(B6649,MOD(SIN(Seed*0.5917+C6649*39.3468+D6649*11.135)*24634.6345,1),"")</f>
        <v/>
      </c>
      <c r="H6649">
        <f>IF(B6649,SQRT(-2*LN(F6649))*COS(2*PI()*G6649),"")</f>
        <v/>
      </c>
      <c r="I6649">
        <f>IF(B6649,IF(D6649=0,H6649,Rho*I6648+SQRT(1-Rho^2)*H6649),"")</f>
        <v/>
      </c>
      <c r="J6649">
        <f>IF(B6649,IF(Dist="Normal",DistA+DistB*I6649,DistA+(DistB-DistA)*NORMSDIST(I6649)),"")</f>
        <v/>
      </c>
      <c r="K6649">
        <f>IF(B6649,INDEX(MineScale,C6649),"")</f>
        <v/>
      </c>
      <c r="L6649">
        <f>IF(B6649,INDEX(Dow,1,WEEKDAY(E6649,2)),"")</f>
        <v/>
      </c>
      <c r="M6649">
        <f>IF(B6649,(1+Trend)^D6649,"")</f>
        <v/>
      </c>
      <c r="N6649">
        <f>IF(B6649,EXP(SUMPRODUCT(LN(1+(EvEff-1)*INDEX(Affected,0,C6649)*EXP(-((E6649-EvCenter)^2)/(2*EvSigma^2))))),"")</f>
        <v/>
      </c>
      <c r="O6649">
        <f>IF(B6649,ROUND(MAX(0,J6649*K6649*L6649*M6649*N6649),2),"")</f>
        <v/>
      </c>
    </row>
    <row r="6650">
      <c r="A6650" t="n">
        <v>6649</v>
      </c>
      <c r="B6650">
        <f>A6650&lt;=MineCount*Days</f>
        <v/>
      </c>
      <c r="C6650">
        <f>IF(B6650,INT((A6650-1)/Days)+1,"")</f>
        <v/>
      </c>
      <c r="D6650">
        <f>IF(B6650,MOD(A6650-1,Days),"")</f>
        <v/>
      </c>
      <c r="E6650" s="16">
        <f>IF(B6650,StartDate+D6650,"")</f>
        <v/>
      </c>
      <c r="F6650">
        <f>IF(B6650,MAX(MOD(SIN(Seed*0.1373+C6650*12.9898+D6650*78.233)*43758.5453,1),1E-9),"")</f>
        <v/>
      </c>
      <c r="G6650">
        <f>IF(B6650,MOD(SIN(Seed*0.5917+C6650*39.3468+D6650*11.135)*24634.6345,1),"")</f>
        <v/>
      </c>
      <c r="H6650">
        <f>IF(B6650,SQRT(-2*LN(F6650))*COS(2*PI()*G6650),"")</f>
        <v/>
      </c>
      <c r="I6650">
        <f>IF(B6650,IF(D6650=0,H6650,Rho*I6649+SQRT(1-Rho^2)*H6650),"")</f>
        <v/>
      </c>
      <c r="J6650">
        <f>IF(B6650,IF(Dist="Normal",DistA+DistB*I6650,DistA+(DistB-DistA)*NORMSDIST(I6650)),"")</f>
        <v/>
      </c>
      <c r="K6650">
        <f>IF(B6650,INDEX(MineScale,C6650),"")</f>
        <v/>
      </c>
      <c r="L6650">
        <f>IF(B6650,INDEX(Dow,1,WEEKDAY(E6650,2)),"")</f>
        <v/>
      </c>
      <c r="M6650">
        <f>IF(B6650,(1+Trend)^D6650,"")</f>
        <v/>
      </c>
      <c r="N6650">
        <f>IF(B6650,EXP(SUMPRODUCT(LN(1+(EvEff-1)*INDEX(Affected,0,C6650)*EXP(-((E6650-EvCenter)^2)/(2*EvSigma^2))))),"")</f>
        <v/>
      </c>
      <c r="O6650">
        <f>IF(B6650,ROUND(MAX(0,J6650*K6650*L6650*M6650*N6650),2),"")</f>
        <v/>
      </c>
    </row>
    <row r="6651">
      <c r="A6651" t="n">
        <v>6650</v>
      </c>
      <c r="B6651">
        <f>A6651&lt;=MineCount*Days</f>
        <v/>
      </c>
      <c r="C6651">
        <f>IF(B6651,INT((A6651-1)/Days)+1,"")</f>
        <v/>
      </c>
      <c r="D6651">
        <f>IF(B6651,MOD(A6651-1,Days),"")</f>
        <v/>
      </c>
      <c r="E6651" s="16">
        <f>IF(B6651,StartDate+D6651,"")</f>
        <v/>
      </c>
      <c r="F6651">
        <f>IF(B6651,MAX(MOD(SIN(Seed*0.1373+C6651*12.9898+D6651*78.233)*43758.5453,1),1E-9),"")</f>
        <v/>
      </c>
      <c r="G6651">
        <f>IF(B6651,MOD(SIN(Seed*0.5917+C6651*39.3468+D6651*11.135)*24634.6345,1),"")</f>
        <v/>
      </c>
      <c r="H6651">
        <f>IF(B6651,SQRT(-2*LN(F6651))*COS(2*PI()*G6651),"")</f>
        <v/>
      </c>
      <c r="I6651">
        <f>IF(B6651,IF(D6651=0,H6651,Rho*I6650+SQRT(1-Rho^2)*H6651),"")</f>
        <v/>
      </c>
      <c r="J6651">
        <f>IF(B6651,IF(Dist="Normal",DistA+DistB*I6651,DistA+(DistB-DistA)*NORMSDIST(I6651)),"")</f>
        <v/>
      </c>
      <c r="K6651">
        <f>IF(B6651,INDEX(MineScale,C6651),"")</f>
        <v/>
      </c>
      <c r="L6651">
        <f>IF(B6651,INDEX(Dow,1,WEEKDAY(E6651,2)),"")</f>
        <v/>
      </c>
      <c r="M6651">
        <f>IF(B6651,(1+Trend)^D6651,"")</f>
        <v/>
      </c>
      <c r="N6651">
        <f>IF(B6651,EXP(SUMPRODUCT(LN(1+(EvEff-1)*INDEX(Affected,0,C6651)*EXP(-((E6651-EvCenter)^2)/(2*EvSigma^2))))),"")</f>
        <v/>
      </c>
      <c r="O6651">
        <f>IF(B6651,ROUND(MAX(0,J6651*K6651*L6651*M6651*N6651),2),"")</f>
        <v/>
      </c>
    </row>
    <row r="6652">
      <c r="A6652" t="n">
        <v>6651</v>
      </c>
      <c r="B6652">
        <f>A6652&lt;=MineCount*Days</f>
        <v/>
      </c>
      <c r="C6652">
        <f>IF(B6652,INT((A6652-1)/Days)+1,"")</f>
        <v/>
      </c>
      <c r="D6652">
        <f>IF(B6652,MOD(A6652-1,Days),"")</f>
        <v/>
      </c>
      <c r="E6652" s="16">
        <f>IF(B6652,StartDate+D6652,"")</f>
        <v/>
      </c>
      <c r="F6652">
        <f>IF(B6652,MAX(MOD(SIN(Seed*0.1373+C6652*12.9898+D6652*78.233)*43758.5453,1),1E-9),"")</f>
        <v/>
      </c>
      <c r="G6652">
        <f>IF(B6652,MOD(SIN(Seed*0.5917+C6652*39.3468+D6652*11.135)*24634.6345,1),"")</f>
        <v/>
      </c>
      <c r="H6652">
        <f>IF(B6652,SQRT(-2*LN(F6652))*COS(2*PI()*G6652),"")</f>
        <v/>
      </c>
      <c r="I6652">
        <f>IF(B6652,IF(D6652=0,H6652,Rho*I6651+SQRT(1-Rho^2)*H6652),"")</f>
        <v/>
      </c>
      <c r="J6652">
        <f>IF(B6652,IF(Dist="Normal",DistA+DistB*I6652,DistA+(DistB-DistA)*NORMSDIST(I6652)),"")</f>
        <v/>
      </c>
      <c r="K6652">
        <f>IF(B6652,INDEX(MineScale,C6652),"")</f>
        <v/>
      </c>
      <c r="L6652">
        <f>IF(B6652,INDEX(Dow,1,WEEKDAY(E6652,2)),"")</f>
        <v/>
      </c>
      <c r="M6652">
        <f>IF(B6652,(1+Trend)^D6652,"")</f>
        <v/>
      </c>
      <c r="N6652">
        <f>IF(B6652,EXP(SUMPRODUCT(LN(1+(EvEff-1)*INDEX(Affected,0,C6652)*EXP(-((E6652-EvCenter)^2)/(2*EvSigma^2))))),"")</f>
        <v/>
      </c>
      <c r="O6652">
        <f>IF(B6652,ROUND(MAX(0,J6652*K6652*L6652*M6652*N6652),2),"")</f>
        <v/>
      </c>
    </row>
    <row r="6653">
      <c r="A6653" t="n">
        <v>6652</v>
      </c>
      <c r="B6653">
        <f>A6653&lt;=MineCount*Days</f>
        <v/>
      </c>
      <c r="C6653">
        <f>IF(B6653,INT((A6653-1)/Days)+1,"")</f>
        <v/>
      </c>
      <c r="D6653">
        <f>IF(B6653,MOD(A6653-1,Days),"")</f>
        <v/>
      </c>
      <c r="E6653" s="16">
        <f>IF(B6653,StartDate+D6653,"")</f>
        <v/>
      </c>
      <c r="F6653">
        <f>IF(B6653,MAX(MOD(SIN(Seed*0.1373+C6653*12.9898+D6653*78.233)*43758.5453,1),1E-9),"")</f>
        <v/>
      </c>
      <c r="G6653">
        <f>IF(B6653,MOD(SIN(Seed*0.5917+C6653*39.3468+D6653*11.135)*24634.6345,1),"")</f>
        <v/>
      </c>
      <c r="H6653">
        <f>IF(B6653,SQRT(-2*LN(F6653))*COS(2*PI()*G6653),"")</f>
        <v/>
      </c>
      <c r="I6653">
        <f>IF(B6653,IF(D6653=0,H6653,Rho*I6652+SQRT(1-Rho^2)*H6653),"")</f>
        <v/>
      </c>
      <c r="J6653">
        <f>IF(B6653,IF(Dist="Normal",DistA+DistB*I6653,DistA+(DistB-DistA)*NORMSDIST(I6653)),"")</f>
        <v/>
      </c>
      <c r="K6653">
        <f>IF(B6653,INDEX(MineScale,C6653),"")</f>
        <v/>
      </c>
      <c r="L6653">
        <f>IF(B6653,INDEX(Dow,1,WEEKDAY(E6653,2)),"")</f>
        <v/>
      </c>
      <c r="M6653">
        <f>IF(B6653,(1+Trend)^D6653,"")</f>
        <v/>
      </c>
      <c r="N6653">
        <f>IF(B6653,EXP(SUMPRODUCT(LN(1+(EvEff-1)*INDEX(Affected,0,C6653)*EXP(-((E6653-EvCenter)^2)/(2*EvSigma^2))))),"")</f>
        <v/>
      </c>
      <c r="O6653">
        <f>IF(B6653,ROUND(MAX(0,J6653*K6653*L6653*M6653*N6653),2),"")</f>
        <v/>
      </c>
    </row>
    <row r="6654">
      <c r="A6654" t="n">
        <v>6653</v>
      </c>
      <c r="B6654">
        <f>A6654&lt;=MineCount*Days</f>
        <v/>
      </c>
      <c r="C6654">
        <f>IF(B6654,INT((A6654-1)/Days)+1,"")</f>
        <v/>
      </c>
      <c r="D6654">
        <f>IF(B6654,MOD(A6654-1,Days),"")</f>
        <v/>
      </c>
      <c r="E6654" s="16">
        <f>IF(B6654,StartDate+D6654,"")</f>
        <v/>
      </c>
      <c r="F6654">
        <f>IF(B6654,MAX(MOD(SIN(Seed*0.1373+C6654*12.9898+D6654*78.233)*43758.5453,1),1E-9),"")</f>
        <v/>
      </c>
      <c r="G6654">
        <f>IF(B6654,MOD(SIN(Seed*0.5917+C6654*39.3468+D6654*11.135)*24634.6345,1),"")</f>
        <v/>
      </c>
      <c r="H6654">
        <f>IF(B6654,SQRT(-2*LN(F6654))*COS(2*PI()*G6654),"")</f>
        <v/>
      </c>
      <c r="I6654">
        <f>IF(B6654,IF(D6654=0,H6654,Rho*I6653+SQRT(1-Rho^2)*H6654),"")</f>
        <v/>
      </c>
      <c r="J6654">
        <f>IF(B6654,IF(Dist="Normal",DistA+DistB*I6654,DistA+(DistB-DistA)*NORMSDIST(I6654)),"")</f>
        <v/>
      </c>
      <c r="K6654">
        <f>IF(B6654,INDEX(MineScale,C6654),"")</f>
        <v/>
      </c>
      <c r="L6654">
        <f>IF(B6654,INDEX(Dow,1,WEEKDAY(E6654,2)),"")</f>
        <v/>
      </c>
      <c r="M6654">
        <f>IF(B6654,(1+Trend)^D6654,"")</f>
        <v/>
      </c>
      <c r="N6654">
        <f>IF(B6654,EXP(SUMPRODUCT(LN(1+(EvEff-1)*INDEX(Affected,0,C6654)*EXP(-((E6654-EvCenter)^2)/(2*EvSigma^2))))),"")</f>
        <v/>
      </c>
      <c r="O6654">
        <f>IF(B6654,ROUND(MAX(0,J6654*K6654*L6654*M6654*N6654),2),"")</f>
        <v/>
      </c>
    </row>
    <row r="6655">
      <c r="A6655" t="n">
        <v>6654</v>
      </c>
      <c r="B6655">
        <f>A6655&lt;=MineCount*Days</f>
        <v/>
      </c>
      <c r="C6655">
        <f>IF(B6655,INT((A6655-1)/Days)+1,"")</f>
        <v/>
      </c>
      <c r="D6655">
        <f>IF(B6655,MOD(A6655-1,Days),"")</f>
        <v/>
      </c>
      <c r="E6655" s="16">
        <f>IF(B6655,StartDate+D6655,"")</f>
        <v/>
      </c>
      <c r="F6655">
        <f>IF(B6655,MAX(MOD(SIN(Seed*0.1373+C6655*12.9898+D6655*78.233)*43758.5453,1),1E-9),"")</f>
        <v/>
      </c>
      <c r="G6655">
        <f>IF(B6655,MOD(SIN(Seed*0.5917+C6655*39.3468+D6655*11.135)*24634.6345,1),"")</f>
        <v/>
      </c>
      <c r="H6655">
        <f>IF(B6655,SQRT(-2*LN(F6655))*COS(2*PI()*G6655),"")</f>
        <v/>
      </c>
      <c r="I6655">
        <f>IF(B6655,IF(D6655=0,H6655,Rho*I6654+SQRT(1-Rho^2)*H6655),"")</f>
        <v/>
      </c>
      <c r="J6655">
        <f>IF(B6655,IF(Dist="Normal",DistA+DistB*I6655,DistA+(DistB-DistA)*NORMSDIST(I6655)),"")</f>
        <v/>
      </c>
      <c r="K6655">
        <f>IF(B6655,INDEX(MineScale,C6655),"")</f>
        <v/>
      </c>
      <c r="L6655">
        <f>IF(B6655,INDEX(Dow,1,WEEKDAY(E6655,2)),"")</f>
        <v/>
      </c>
      <c r="M6655">
        <f>IF(B6655,(1+Trend)^D6655,"")</f>
        <v/>
      </c>
      <c r="N6655">
        <f>IF(B6655,EXP(SUMPRODUCT(LN(1+(EvEff-1)*INDEX(Affected,0,C6655)*EXP(-((E6655-EvCenter)^2)/(2*EvSigma^2))))),"")</f>
        <v/>
      </c>
      <c r="O6655">
        <f>IF(B6655,ROUND(MAX(0,J6655*K6655*L6655*M6655*N6655),2),"")</f>
        <v/>
      </c>
    </row>
    <row r="6656">
      <c r="A6656" t="n">
        <v>6655</v>
      </c>
      <c r="B6656">
        <f>A6656&lt;=MineCount*Days</f>
        <v/>
      </c>
      <c r="C6656">
        <f>IF(B6656,INT((A6656-1)/Days)+1,"")</f>
        <v/>
      </c>
      <c r="D6656">
        <f>IF(B6656,MOD(A6656-1,Days),"")</f>
        <v/>
      </c>
      <c r="E6656" s="16">
        <f>IF(B6656,StartDate+D6656,"")</f>
        <v/>
      </c>
      <c r="F6656">
        <f>IF(B6656,MAX(MOD(SIN(Seed*0.1373+C6656*12.9898+D6656*78.233)*43758.5453,1),1E-9),"")</f>
        <v/>
      </c>
      <c r="G6656">
        <f>IF(B6656,MOD(SIN(Seed*0.5917+C6656*39.3468+D6656*11.135)*24634.6345,1),"")</f>
        <v/>
      </c>
      <c r="H6656">
        <f>IF(B6656,SQRT(-2*LN(F6656))*COS(2*PI()*G6656),"")</f>
        <v/>
      </c>
      <c r="I6656">
        <f>IF(B6656,IF(D6656=0,H6656,Rho*I6655+SQRT(1-Rho^2)*H6656),"")</f>
        <v/>
      </c>
      <c r="J6656">
        <f>IF(B6656,IF(Dist="Normal",DistA+DistB*I6656,DistA+(DistB-DistA)*NORMSDIST(I6656)),"")</f>
        <v/>
      </c>
      <c r="K6656">
        <f>IF(B6656,INDEX(MineScale,C6656),"")</f>
        <v/>
      </c>
      <c r="L6656">
        <f>IF(B6656,INDEX(Dow,1,WEEKDAY(E6656,2)),"")</f>
        <v/>
      </c>
      <c r="M6656">
        <f>IF(B6656,(1+Trend)^D6656,"")</f>
        <v/>
      </c>
      <c r="N6656">
        <f>IF(B6656,EXP(SUMPRODUCT(LN(1+(EvEff-1)*INDEX(Affected,0,C6656)*EXP(-((E6656-EvCenter)^2)/(2*EvSigma^2))))),"")</f>
        <v/>
      </c>
      <c r="O6656">
        <f>IF(B6656,ROUND(MAX(0,J6656*K6656*L6656*M6656*N6656),2),"")</f>
        <v/>
      </c>
    </row>
    <row r="6657">
      <c r="A6657" t="n">
        <v>6656</v>
      </c>
      <c r="B6657">
        <f>A6657&lt;=MineCount*Days</f>
        <v/>
      </c>
      <c r="C6657">
        <f>IF(B6657,INT((A6657-1)/Days)+1,"")</f>
        <v/>
      </c>
      <c r="D6657">
        <f>IF(B6657,MOD(A6657-1,Days),"")</f>
        <v/>
      </c>
      <c r="E6657" s="16">
        <f>IF(B6657,StartDate+D6657,"")</f>
        <v/>
      </c>
      <c r="F6657">
        <f>IF(B6657,MAX(MOD(SIN(Seed*0.1373+C6657*12.9898+D6657*78.233)*43758.5453,1),1E-9),"")</f>
        <v/>
      </c>
      <c r="G6657">
        <f>IF(B6657,MOD(SIN(Seed*0.5917+C6657*39.3468+D6657*11.135)*24634.6345,1),"")</f>
        <v/>
      </c>
      <c r="H6657">
        <f>IF(B6657,SQRT(-2*LN(F6657))*COS(2*PI()*G6657),"")</f>
        <v/>
      </c>
      <c r="I6657">
        <f>IF(B6657,IF(D6657=0,H6657,Rho*I6656+SQRT(1-Rho^2)*H6657),"")</f>
        <v/>
      </c>
      <c r="J6657">
        <f>IF(B6657,IF(Dist="Normal",DistA+DistB*I6657,DistA+(DistB-DistA)*NORMSDIST(I6657)),"")</f>
        <v/>
      </c>
      <c r="K6657">
        <f>IF(B6657,INDEX(MineScale,C6657),"")</f>
        <v/>
      </c>
      <c r="L6657">
        <f>IF(B6657,INDEX(Dow,1,WEEKDAY(E6657,2)),"")</f>
        <v/>
      </c>
      <c r="M6657">
        <f>IF(B6657,(1+Trend)^D6657,"")</f>
        <v/>
      </c>
      <c r="N6657">
        <f>IF(B6657,EXP(SUMPRODUCT(LN(1+(EvEff-1)*INDEX(Affected,0,C6657)*EXP(-((E6657-EvCenter)^2)/(2*EvSigma^2))))),"")</f>
        <v/>
      </c>
      <c r="O6657">
        <f>IF(B6657,ROUND(MAX(0,J6657*K6657*L6657*M6657*N6657),2),"")</f>
        <v/>
      </c>
    </row>
    <row r="6658">
      <c r="A6658" t="n">
        <v>6657</v>
      </c>
      <c r="B6658">
        <f>A6658&lt;=MineCount*Days</f>
        <v/>
      </c>
      <c r="C6658">
        <f>IF(B6658,INT((A6658-1)/Days)+1,"")</f>
        <v/>
      </c>
      <c r="D6658">
        <f>IF(B6658,MOD(A6658-1,Days),"")</f>
        <v/>
      </c>
      <c r="E6658" s="16">
        <f>IF(B6658,StartDate+D6658,"")</f>
        <v/>
      </c>
      <c r="F6658">
        <f>IF(B6658,MAX(MOD(SIN(Seed*0.1373+C6658*12.9898+D6658*78.233)*43758.5453,1),1E-9),"")</f>
        <v/>
      </c>
      <c r="G6658">
        <f>IF(B6658,MOD(SIN(Seed*0.5917+C6658*39.3468+D6658*11.135)*24634.6345,1),"")</f>
        <v/>
      </c>
      <c r="H6658">
        <f>IF(B6658,SQRT(-2*LN(F6658))*COS(2*PI()*G6658),"")</f>
        <v/>
      </c>
      <c r="I6658">
        <f>IF(B6658,IF(D6658=0,H6658,Rho*I6657+SQRT(1-Rho^2)*H6658),"")</f>
        <v/>
      </c>
      <c r="J6658">
        <f>IF(B6658,IF(Dist="Normal",DistA+DistB*I6658,DistA+(DistB-DistA)*NORMSDIST(I6658)),"")</f>
        <v/>
      </c>
      <c r="K6658">
        <f>IF(B6658,INDEX(MineScale,C6658),"")</f>
        <v/>
      </c>
      <c r="L6658">
        <f>IF(B6658,INDEX(Dow,1,WEEKDAY(E6658,2)),"")</f>
        <v/>
      </c>
      <c r="M6658">
        <f>IF(B6658,(1+Trend)^D6658,"")</f>
        <v/>
      </c>
      <c r="N6658">
        <f>IF(B6658,EXP(SUMPRODUCT(LN(1+(EvEff-1)*INDEX(Affected,0,C6658)*EXP(-((E6658-EvCenter)^2)/(2*EvSigma^2))))),"")</f>
        <v/>
      </c>
      <c r="O6658">
        <f>IF(B6658,ROUND(MAX(0,J6658*K6658*L6658*M6658*N6658),2),"")</f>
        <v/>
      </c>
    </row>
    <row r="6659">
      <c r="A6659" t="n">
        <v>6658</v>
      </c>
      <c r="B6659">
        <f>A6659&lt;=MineCount*Days</f>
        <v/>
      </c>
      <c r="C6659">
        <f>IF(B6659,INT((A6659-1)/Days)+1,"")</f>
        <v/>
      </c>
      <c r="D6659">
        <f>IF(B6659,MOD(A6659-1,Days),"")</f>
        <v/>
      </c>
      <c r="E6659" s="16">
        <f>IF(B6659,StartDate+D6659,"")</f>
        <v/>
      </c>
      <c r="F6659">
        <f>IF(B6659,MAX(MOD(SIN(Seed*0.1373+C6659*12.9898+D6659*78.233)*43758.5453,1),1E-9),"")</f>
        <v/>
      </c>
      <c r="G6659">
        <f>IF(B6659,MOD(SIN(Seed*0.5917+C6659*39.3468+D6659*11.135)*24634.6345,1),"")</f>
        <v/>
      </c>
      <c r="H6659">
        <f>IF(B6659,SQRT(-2*LN(F6659))*COS(2*PI()*G6659),"")</f>
        <v/>
      </c>
      <c r="I6659">
        <f>IF(B6659,IF(D6659=0,H6659,Rho*I6658+SQRT(1-Rho^2)*H6659),"")</f>
        <v/>
      </c>
      <c r="J6659">
        <f>IF(B6659,IF(Dist="Normal",DistA+DistB*I6659,DistA+(DistB-DistA)*NORMSDIST(I6659)),"")</f>
        <v/>
      </c>
      <c r="K6659">
        <f>IF(B6659,INDEX(MineScale,C6659),"")</f>
        <v/>
      </c>
      <c r="L6659">
        <f>IF(B6659,INDEX(Dow,1,WEEKDAY(E6659,2)),"")</f>
        <v/>
      </c>
      <c r="M6659">
        <f>IF(B6659,(1+Trend)^D6659,"")</f>
        <v/>
      </c>
      <c r="N6659">
        <f>IF(B6659,EXP(SUMPRODUCT(LN(1+(EvEff-1)*INDEX(Affected,0,C6659)*EXP(-((E6659-EvCenter)^2)/(2*EvSigma^2))))),"")</f>
        <v/>
      </c>
      <c r="O6659">
        <f>IF(B6659,ROUND(MAX(0,J6659*K6659*L6659*M6659*N6659),2),"")</f>
        <v/>
      </c>
    </row>
    <row r="6660">
      <c r="A6660" t="n">
        <v>6659</v>
      </c>
      <c r="B6660">
        <f>A6660&lt;=MineCount*Days</f>
        <v/>
      </c>
      <c r="C6660">
        <f>IF(B6660,INT((A6660-1)/Days)+1,"")</f>
        <v/>
      </c>
      <c r="D6660">
        <f>IF(B6660,MOD(A6660-1,Days),"")</f>
        <v/>
      </c>
      <c r="E6660" s="16">
        <f>IF(B6660,StartDate+D6660,"")</f>
        <v/>
      </c>
      <c r="F6660">
        <f>IF(B6660,MAX(MOD(SIN(Seed*0.1373+C6660*12.9898+D6660*78.233)*43758.5453,1),1E-9),"")</f>
        <v/>
      </c>
      <c r="G6660">
        <f>IF(B6660,MOD(SIN(Seed*0.5917+C6660*39.3468+D6660*11.135)*24634.6345,1),"")</f>
        <v/>
      </c>
      <c r="H6660">
        <f>IF(B6660,SQRT(-2*LN(F6660))*COS(2*PI()*G6660),"")</f>
        <v/>
      </c>
      <c r="I6660">
        <f>IF(B6660,IF(D6660=0,H6660,Rho*I6659+SQRT(1-Rho^2)*H6660),"")</f>
        <v/>
      </c>
      <c r="J6660">
        <f>IF(B6660,IF(Dist="Normal",DistA+DistB*I6660,DistA+(DistB-DistA)*NORMSDIST(I6660)),"")</f>
        <v/>
      </c>
      <c r="K6660">
        <f>IF(B6660,INDEX(MineScale,C6660),"")</f>
        <v/>
      </c>
      <c r="L6660">
        <f>IF(B6660,INDEX(Dow,1,WEEKDAY(E6660,2)),"")</f>
        <v/>
      </c>
      <c r="M6660">
        <f>IF(B6660,(1+Trend)^D6660,"")</f>
        <v/>
      </c>
      <c r="N6660">
        <f>IF(B6660,EXP(SUMPRODUCT(LN(1+(EvEff-1)*INDEX(Affected,0,C6660)*EXP(-((E6660-EvCenter)^2)/(2*EvSigma^2))))),"")</f>
        <v/>
      </c>
      <c r="O6660">
        <f>IF(B6660,ROUND(MAX(0,J6660*K6660*L6660*M6660*N6660),2),"")</f>
        <v/>
      </c>
    </row>
    <row r="6661">
      <c r="A6661" t="n">
        <v>6660</v>
      </c>
      <c r="B6661">
        <f>A6661&lt;=MineCount*Days</f>
        <v/>
      </c>
      <c r="C6661">
        <f>IF(B6661,INT((A6661-1)/Days)+1,"")</f>
        <v/>
      </c>
      <c r="D6661">
        <f>IF(B6661,MOD(A6661-1,Days),"")</f>
        <v/>
      </c>
      <c r="E6661" s="16">
        <f>IF(B6661,StartDate+D6661,"")</f>
        <v/>
      </c>
      <c r="F6661">
        <f>IF(B6661,MAX(MOD(SIN(Seed*0.1373+C6661*12.9898+D6661*78.233)*43758.5453,1),1E-9),"")</f>
        <v/>
      </c>
      <c r="G6661">
        <f>IF(B6661,MOD(SIN(Seed*0.5917+C6661*39.3468+D6661*11.135)*24634.6345,1),"")</f>
        <v/>
      </c>
      <c r="H6661">
        <f>IF(B6661,SQRT(-2*LN(F6661))*COS(2*PI()*G6661),"")</f>
        <v/>
      </c>
      <c r="I6661">
        <f>IF(B6661,IF(D6661=0,H6661,Rho*I6660+SQRT(1-Rho^2)*H6661),"")</f>
        <v/>
      </c>
      <c r="J6661">
        <f>IF(B6661,IF(Dist="Normal",DistA+DistB*I6661,DistA+(DistB-DistA)*NORMSDIST(I6661)),"")</f>
        <v/>
      </c>
      <c r="K6661">
        <f>IF(B6661,INDEX(MineScale,C6661),"")</f>
        <v/>
      </c>
      <c r="L6661">
        <f>IF(B6661,INDEX(Dow,1,WEEKDAY(E6661,2)),"")</f>
        <v/>
      </c>
      <c r="M6661">
        <f>IF(B6661,(1+Trend)^D6661,"")</f>
        <v/>
      </c>
      <c r="N6661">
        <f>IF(B6661,EXP(SUMPRODUCT(LN(1+(EvEff-1)*INDEX(Affected,0,C6661)*EXP(-((E6661-EvCenter)^2)/(2*EvSigma^2))))),"")</f>
        <v/>
      </c>
      <c r="O6661">
        <f>IF(B6661,ROUND(MAX(0,J6661*K6661*L6661*M6661*N6661),2),"")</f>
        <v/>
      </c>
    </row>
    <row r="6662">
      <c r="A6662" t="n">
        <v>6661</v>
      </c>
      <c r="B6662">
        <f>A6662&lt;=MineCount*Days</f>
        <v/>
      </c>
      <c r="C6662">
        <f>IF(B6662,INT((A6662-1)/Days)+1,"")</f>
        <v/>
      </c>
      <c r="D6662">
        <f>IF(B6662,MOD(A6662-1,Days),"")</f>
        <v/>
      </c>
      <c r="E6662" s="16">
        <f>IF(B6662,StartDate+D6662,"")</f>
        <v/>
      </c>
      <c r="F6662">
        <f>IF(B6662,MAX(MOD(SIN(Seed*0.1373+C6662*12.9898+D6662*78.233)*43758.5453,1),1E-9),"")</f>
        <v/>
      </c>
      <c r="G6662">
        <f>IF(B6662,MOD(SIN(Seed*0.5917+C6662*39.3468+D6662*11.135)*24634.6345,1),"")</f>
        <v/>
      </c>
      <c r="H6662">
        <f>IF(B6662,SQRT(-2*LN(F6662))*COS(2*PI()*G6662),"")</f>
        <v/>
      </c>
      <c r="I6662">
        <f>IF(B6662,IF(D6662=0,H6662,Rho*I6661+SQRT(1-Rho^2)*H6662),"")</f>
        <v/>
      </c>
      <c r="J6662">
        <f>IF(B6662,IF(Dist="Normal",DistA+DistB*I6662,DistA+(DistB-DistA)*NORMSDIST(I6662)),"")</f>
        <v/>
      </c>
      <c r="K6662">
        <f>IF(B6662,INDEX(MineScale,C6662),"")</f>
        <v/>
      </c>
      <c r="L6662">
        <f>IF(B6662,INDEX(Dow,1,WEEKDAY(E6662,2)),"")</f>
        <v/>
      </c>
      <c r="M6662">
        <f>IF(B6662,(1+Trend)^D6662,"")</f>
        <v/>
      </c>
      <c r="N6662">
        <f>IF(B6662,EXP(SUMPRODUCT(LN(1+(EvEff-1)*INDEX(Affected,0,C6662)*EXP(-((E6662-EvCenter)^2)/(2*EvSigma^2))))),"")</f>
        <v/>
      </c>
      <c r="O6662">
        <f>IF(B6662,ROUND(MAX(0,J6662*K6662*L6662*M6662*N6662),2),"")</f>
        <v/>
      </c>
    </row>
    <row r="6663">
      <c r="A6663" t="n">
        <v>6662</v>
      </c>
      <c r="B6663">
        <f>A6663&lt;=MineCount*Days</f>
        <v/>
      </c>
      <c r="C6663">
        <f>IF(B6663,INT((A6663-1)/Days)+1,"")</f>
        <v/>
      </c>
      <c r="D6663">
        <f>IF(B6663,MOD(A6663-1,Days),"")</f>
        <v/>
      </c>
      <c r="E6663" s="16">
        <f>IF(B6663,StartDate+D6663,"")</f>
        <v/>
      </c>
      <c r="F6663">
        <f>IF(B6663,MAX(MOD(SIN(Seed*0.1373+C6663*12.9898+D6663*78.233)*43758.5453,1),1E-9),"")</f>
        <v/>
      </c>
      <c r="G6663">
        <f>IF(B6663,MOD(SIN(Seed*0.5917+C6663*39.3468+D6663*11.135)*24634.6345,1),"")</f>
        <v/>
      </c>
      <c r="H6663">
        <f>IF(B6663,SQRT(-2*LN(F6663))*COS(2*PI()*G6663),"")</f>
        <v/>
      </c>
      <c r="I6663">
        <f>IF(B6663,IF(D6663=0,H6663,Rho*I6662+SQRT(1-Rho^2)*H6663),"")</f>
        <v/>
      </c>
      <c r="J6663">
        <f>IF(B6663,IF(Dist="Normal",DistA+DistB*I6663,DistA+(DistB-DistA)*NORMSDIST(I6663)),"")</f>
        <v/>
      </c>
      <c r="K6663">
        <f>IF(B6663,INDEX(MineScale,C6663),"")</f>
        <v/>
      </c>
      <c r="L6663">
        <f>IF(B6663,INDEX(Dow,1,WEEKDAY(E6663,2)),"")</f>
        <v/>
      </c>
      <c r="M6663">
        <f>IF(B6663,(1+Trend)^D6663,"")</f>
        <v/>
      </c>
      <c r="N6663">
        <f>IF(B6663,EXP(SUMPRODUCT(LN(1+(EvEff-1)*INDEX(Affected,0,C6663)*EXP(-((E6663-EvCenter)^2)/(2*EvSigma^2))))),"")</f>
        <v/>
      </c>
      <c r="O6663">
        <f>IF(B6663,ROUND(MAX(0,J6663*K6663*L6663*M6663*N6663),2),"")</f>
        <v/>
      </c>
    </row>
    <row r="6664">
      <c r="A6664" t="n">
        <v>6663</v>
      </c>
      <c r="B6664">
        <f>A6664&lt;=MineCount*Days</f>
        <v/>
      </c>
      <c r="C6664">
        <f>IF(B6664,INT((A6664-1)/Days)+1,"")</f>
        <v/>
      </c>
      <c r="D6664">
        <f>IF(B6664,MOD(A6664-1,Days),"")</f>
        <v/>
      </c>
      <c r="E6664" s="16">
        <f>IF(B6664,StartDate+D6664,"")</f>
        <v/>
      </c>
      <c r="F6664">
        <f>IF(B6664,MAX(MOD(SIN(Seed*0.1373+C6664*12.9898+D6664*78.233)*43758.5453,1),1E-9),"")</f>
        <v/>
      </c>
      <c r="G6664">
        <f>IF(B6664,MOD(SIN(Seed*0.5917+C6664*39.3468+D6664*11.135)*24634.6345,1),"")</f>
        <v/>
      </c>
      <c r="H6664">
        <f>IF(B6664,SQRT(-2*LN(F6664))*COS(2*PI()*G6664),"")</f>
        <v/>
      </c>
      <c r="I6664">
        <f>IF(B6664,IF(D6664=0,H6664,Rho*I6663+SQRT(1-Rho^2)*H6664),"")</f>
        <v/>
      </c>
      <c r="J6664">
        <f>IF(B6664,IF(Dist="Normal",DistA+DistB*I6664,DistA+(DistB-DistA)*NORMSDIST(I6664)),"")</f>
        <v/>
      </c>
      <c r="K6664">
        <f>IF(B6664,INDEX(MineScale,C6664),"")</f>
        <v/>
      </c>
      <c r="L6664">
        <f>IF(B6664,INDEX(Dow,1,WEEKDAY(E6664,2)),"")</f>
        <v/>
      </c>
      <c r="M6664">
        <f>IF(B6664,(1+Trend)^D6664,"")</f>
        <v/>
      </c>
      <c r="N6664">
        <f>IF(B6664,EXP(SUMPRODUCT(LN(1+(EvEff-1)*INDEX(Affected,0,C6664)*EXP(-((E6664-EvCenter)^2)/(2*EvSigma^2))))),"")</f>
        <v/>
      </c>
      <c r="O6664">
        <f>IF(B6664,ROUND(MAX(0,J6664*K6664*L6664*M6664*N6664),2),"")</f>
        <v/>
      </c>
    </row>
    <row r="6665">
      <c r="A6665" t="n">
        <v>6664</v>
      </c>
      <c r="B6665">
        <f>A6665&lt;=MineCount*Days</f>
        <v/>
      </c>
      <c r="C6665">
        <f>IF(B6665,INT((A6665-1)/Days)+1,"")</f>
        <v/>
      </c>
      <c r="D6665">
        <f>IF(B6665,MOD(A6665-1,Days),"")</f>
        <v/>
      </c>
      <c r="E6665" s="16">
        <f>IF(B6665,StartDate+D6665,"")</f>
        <v/>
      </c>
      <c r="F6665">
        <f>IF(B6665,MAX(MOD(SIN(Seed*0.1373+C6665*12.9898+D6665*78.233)*43758.5453,1),1E-9),"")</f>
        <v/>
      </c>
      <c r="G6665">
        <f>IF(B6665,MOD(SIN(Seed*0.5917+C6665*39.3468+D6665*11.135)*24634.6345,1),"")</f>
        <v/>
      </c>
      <c r="H6665">
        <f>IF(B6665,SQRT(-2*LN(F6665))*COS(2*PI()*G6665),"")</f>
        <v/>
      </c>
      <c r="I6665">
        <f>IF(B6665,IF(D6665=0,H6665,Rho*I6664+SQRT(1-Rho^2)*H6665),"")</f>
        <v/>
      </c>
      <c r="J6665">
        <f>IF(B6665,IF(Dist="Normal",DistA+DistB*I6665,DistA+(DistB-DistA)*NORMSDIST(I6665)),"")</f>
        <v/>
      </c>
      <c r="K6665">
        <f>IF(B6665,INDEX(MineScale,C6665),"")</f>
        <v/>
      </c>
      <c r="L6665">
        <f>IF(B6665,INDEX(Dow,1,WEEKDAY(E6665,2)),"")</f>
        <v/>
      </c>
      <c r="M6665">
        <f>IF(B6665,(1+Trend)^D6665,"")</f>
        <v/>
      </c>
      <c r="N6665">
        <f>IF(B6665,EXP(SUMPRODUCT(LN(1+(EvEff-1)*INDEX(Affected,0,C6665)*EXP(-((E6665-EvCenter)^2)/(2*EvSigma^2))))),"")</f>
        <v/>
      </c>
      <c r="O6665">
        <f>IF(B6665,ROUND(MAX(0,J6665*K6665*L6665*M6665*N6665),2),"")</f>
        <v/>
      </c>
    </row>
    <row r="6666">
      <c r="A6666" t="n">
        <v>6665</v>
      </c>
      <c r="B6666">
        <f>A6666&lt;=MineCount*Days</f>
        <v/>
      </c>
      <c r="C6666">
        <f>IF(B6666,INT((A6666-1)/Days)+1,"")</f>
        <v/>
      </c>
      <c r="D6666">
        <f>IF(B6666,MOD(A6666-1,Days),"")</f>
        <v/>
      </c>
      <c r="E6666" s="16">
        <f>IF(B6666,StartDate+D6666,"")</f>
        <v/>
      </c>
      <c r="F6666">
        <f>IF(B6666,MAX(MOD(SIN(Seed*0.1373+C6666*12.9898+D6666*78.233)*43758.5453,1),1E-9),"")</f>
        <v/>
      </c>
      <c r="G6666">
        <f>IF(B6666,MOD(SIN(Seed*0.5917+C6666*39.3468+D6666*11.135)*24634.6345,1),"")</f>
        <v/>
      </c>
      <c r="H6666">
        <f>IF(B6666,SQRT(-2*LN(F6666))*COS(2*PI()*G6666),"")</f>
        <v/>
      </c>
      <c r="I6666">
        <f>IF(B6666,IF(D6666=0,H6666,Rho*I6665+SQRT(1-Rho^2)*H6666),"")</f>
        <v/>
      </c>
      <c r="J6666">
        <f>IF(B6666,IF(Dist="Normal",DistA+DistB*I6666,DistA+(DistB-DistA)*NORMSDIST(I6666)),"")</f>
        <v/>
      </c>
      <c r="K6666">
        <f>IF(B6666,INDEX(MineScale,C6666),"")</f>
        <v/>
      </c>
      <c r="L6666">
        <f>IF(B6666,INDEX(Dow,1,WEEKDAY(E6666,2)),"")</f>
        <v/>
      </c>
      <c r="M6666">
        <f>IF(B6666,(1+Trend)^D6666,"")</f>
        <v/>
      </c>
      <c r="N6666">
        <f>IF(B6666,EXP(SUMPRODUCT(LN(1+(EvEff-1)*INDEX(Affected,0,C6666)*EXP(-((E6666-EvCenter)^2)/(2*EvSigma^2))))),"")</f>
        <v/>
      </c>
      <c r="O6666">
        <f>IF(B6666,ROUND(MAX(0,J6666*K6666*L6666*M6666*N6666),2),"")</f>
        <v/>
      </c>
    </row>
    <row r="6667">
      <c r="A6667" t="n">
        <v>6666</v>
      </c>
      <c r="B6667">
        <f>A6667&lt;=MineCount*Days</f>
        <v/>
      </c>
      <c r="C6667">
        <f>IF(B6667,INT((A6667-1)/Days)+1,"")</f>
        <v/>
      </c>
      <c r="D6667">
        <f>IF(B6667,MOD(A6667-1,Days),"")</f>
        <v/>
      </c>
      <c r="E6667" s="16">
        <f>IF(B6667,StartDate+D6667,"")</f>
        <v/>
      </c>
      <c r="F6667">
        <f>IF(B6667,MAX(MOD(SIN(Seed*0.1373+C6667*12.9898+D6667*78.233)*43758.5453,1),1E-9),"")</f>
        <v/>
      </c>
      <c r="G6667">
        <f>IF(B6667,MOD(SIN(Seed*0.5917+C6667*39.3468+D6667*11.135)*24634.6345,1),"")</f>
        <v/>
      </c>
      <c r="H6667">
        <f>IF(B6667,SQRT(-2*LN(F6667))*COS(2*PI()*G6667),"")</f>
        <v/>
      </c>
      <c r="I6667">
        <f>IF(B6667,IF(D6667=0,H6667,Rho*I6666+SQRT(1-Rho^2)*H6667),"")</f>
        <v/>
      </c>
      <c r="J6667">
        <f>IF(B6667,IF(Dist="Normal",DistA+DistB*I6667,DistA+(DistB-DistA)*NORMSDIST(I6667)),"")</f>
        <v/>
      </c>
      <c r="K6667">
        <f>IF(B6667,INDEX(MineScale,C6667),"")</f>
        <v/>
      </c>
      <c r="L6667">
        <f>IF(B6667,INDEX(Dow,1,WEEKDAY(E6667,2)),"")</f>
        <v/>
      </c>
      <c r="M6667">
        <f>IF(B6667,(1+Trend)^D6667,"")</f>
        <v/>
      </c>
      <c r="N6667">
        <f>IF(B6667,EXP(SUMPRODUCT(LN(1+(EvEff-1)*INDEX(Affected,0,C6667)*EXP(-((E6667-EvCenter)^2)/(2*EvSigma^2))))),"")</f>
        <v/>
      </c>
      <c r="O6667">
        <f>IF(B6667,ROUND(MAX(0,J6667*K6667*L6667*M6667*N6667),2),"")</f>
        <v/>
      </c>
    </row>
    <row r="6668">
      <c r="A6668" t="n">
        <v>6667</v>
      </c>
      <c r="B6668">
        <f>A6668&lt;=MineCount*Days</f>
        <v/>
      </c>
      <c r="C6668">
        <f>IF(B6668,INT((A6668-1)/Days)+1,"")</f>
        <v/>
      </c>
      <c r="D6668">
        <f>IF(B6668,MOD(A6668-1,Days),"")</f>
        <v/>
      </c>
      <c r="E6668" s="16">
        <f>IF(B6668,StartDate+D6668,"")</f>
        <v/>
      </c>
      <c r="F6668">
        <f>IF(B6668,MAX(MOD(SIN(Seed*0.1373+C6668*12.9898+D6668*78.233)*43758.5453,1),1E-9),"")</f>
        <v/>
      </c>
      <c r="G6668">
        <f>IF(B6668,MOD(SIN(Seed*0.5917+C6668*39.3468+D6668*11.135)*24634.6345,1),"")</f>
        <v/>
      </c>
      <c r="H6668">
        <f>IF(B6668,SQRT(-2*LN(F6668))*COS(2*PI()*G6668),"")</f>
        <v/>
      </c>
      <c r="I6668">
        <f>IF(B6668,IF(D6668=0,H6668,Rho*I6667+SQRT(1-Rho^2)*H6668),"")</f>
        <v/>
      </c>
      <c r="J6668">
        <f>IF(B6668,IF(Dist="Normal",DistA+DistB*I6668,DistA+(DistB-DistA)*NORMSDIST(I6668)),"")</f>
        <v/>
      </c>
      <c r="K6668">
        <f>IF(B6668,INDEX(MineScale,C6668),"")</f>
        <v/>
      </c>
      <c r="L6668">
        <f>IF(B6668,INDEX(Dow,1,WEEKDAY(E6668,2)),"")</f>
        <v/>
      </c>
      <c r="M6668">
        <f>IF(B6668,(1+Trend)^D6668,"")</f>
        <v/>
      </c>
      <c r="N6668">
        <f>IF(B6668,EXP(SUMPRODUCT(LN(1+(EvEff-1)*INDEX(Affected,0,C6668)*EXP(-((E6668-EvCenter)^2)/(2*EvSigma^2))))),"")</f>
        <v/>
      </c>
      <c r="O6668">
        <f>IF(B6668,ROUND(MAX(0,J6668*K6668*L6668*M6668*N6668),2),"")</f>
        <v/>
      </c>
    </row>
    <row r="6669">
      <c r="A6669" t="n">
        <v>6668</v>
      </c>
      <c r="B6669">
        <f>A6669&lt;=MineCount*Days</f>
        <v/>
      </c>
      <c r="C6669">
        <f>IF(B6669,INT((A6669-1)/Days)+1,"")</f>
        <v/>
      </c>
      <c r="D6669">
        <f>IF(B6669,MOD(A6669-1,Days),"")</f>
        <v/>
      </c>
      <c r="E6669" s="16">
        <f>IF(B6669,StartDate+D6669,"")</f>
        <v/>
      </c>
      <c r="F6669">
        <f>IF(B6669,MAX(MOD(SIN(Seed*0.1373+C6669*12.9898+D6669*78.233)*43758.5453,1),1E-9),"")</f>
        <v/>
      </c>
      <c r="G6669">
        <f>IF(B6669,MOD(SIN(Seed*0.5917+C6669*39.3468+D6669*11.135)*24634.6345,1),"")</f>
        <v/>
      </c>
      <c r="H6669">
        <f>IF(B6669,SQRT(-2*LN(F6669))*COS(2*PI()*G6669),"")</f>
        <v/>
      </c>
      <c r="I6669">
        <f>IF(B6669,IF(D6669=0,H6669,Rho*I6668+SQRT(1-Rho^2)*H6669),"")</f>
        <v/>
      </c>
      <c r="J6669">
        <f>IF(B6669,IF(Dist="Normal",DistA+DistB*I6669,DistA+(DistB-DistA)*NORMSDIST(I6669)),"")</f>
        <v/>
      </c>
      <c r="K6669">
        <f>IF(B6669,INDEX(MineScale,C6669),"")</f>
        <v/>
      </c>
      <c r="L6669">
        <f>IF(B6669,INDEX(Dow,1,WEEKDAY(E6669,2)),"")</f>
        <v/>
      </c>
      <c r="M6669">
        <f>IF(B6669,(1+Trend)^D6669,"")</f>
        <v/>
      </c>
      <c r="N6669">
        <f>IF(B6669,EXP(SUMPRODUCT(LN(1+(EvEff-1)*INDEX(Affected,0,C6669)*EXP(-((E6669-EvCenter)^2)/(2*EvSigma^2))))),"")</f>
        <v/>
      </c>
      <c r="O6669">
        <f>IF(B6669,ROUND(MAX(0,J6669*K6669*L6669*M6669*N6669),2),"")</f>
        <v/>
      </c>
    </row>
    <row r="6670">
      <c r="A6670" t="n">
        <v>6669</v>
      </c>
      <c r="B6670">
        <f>A6670&lt;=MineCount*Days</f>
        <v/>
      </c>
      <c r="C6670">
        <f>IF(B6670,INT((A6670-1)/Days)+1,"")</f>
        <v/>
      </c>
      <c r="D6670">
        <f>IF(B6670,MOD(A6670-1,Days),"")</f>
        <v/>
      </c>
      <c r="E6670" s="16">
        <f>IF(B6670,StartDate+D6670,"")</f>
        <v/>
      </c>
      <c r="F6670">
        <f>IF(B6670,MAX(MOD(SIN(Seed*0.1373+C6670*12.9898+D6670*78.233)*43758.5453,1),1E-9),"")</f>
        <v/>
      </c>
      <c r="G6670">
        <f>IF(B6670,MOD(SIN(Seed*0.5917+C6670*39.3468+D6670*11.135)*24634.6345,1),"")</f>
        <v/>
      </c>
      <c r="H6670">
        <f>IF(B6670,SQRT(-2*LN(F6670))*COS(2*PI()*G6670),"")</f>
        <v/>
      </c>
      <c r="I6670">
        <f>IF(B6670,IF(D6670=0,H6670,Rho*I6669+SQRT(1-Rho^2)*H6670),"")</f>
        <v/>
      </c>
      <c r="J6670">
        <f>IF(B6670,IF(Dist="Normal",DistA+DistB*I6670,DistA+(DistB-DistA)*NORMSDIST(I6670)),"")</f>
        <v/>
      </c>
      <c r="K6670">
        <f>IF(B6670,INDEX(MineScale,C6670),"")</f>
        <v/>
      </c>
      <c r="L6670">
        <f>IF(B6670,INDEX(Dow,1,WEEKDAY(E6670,2)),"")</f>
        <v/>
      </c>
      <c r="M6670">
        <f>IF(B6670,(1+Trend)^D6670,"")</f>
        <v/>
      </c>
      <c r="N6670">
        <f>IF(B6670,EXP(SUMPRODUCT(LN(1+(EvEff-1)*INDEX(Affected,0,C6670)*EXP(-((E6670-EvCenter)^2)/(2*EvSigma^2))))),"")</f>
        <v/>
      </c>
      <c r="O6670">
        <f>IF(B6670,ROUND(MAX(0,J6670*K6670*L6670*M6670*N6670),2),"")</f>
        <v/>
      </c>
    </row>
    <row r="6671">
      <c r="A6671" t="n">
        <v>6670</v>
      </c>
      <c r="B6671">
        <f>A6671&lt;=MineCount*Days</f>
        <v/>
      </c>
      <c r="C6671">
        <f>IF(B6671,INT((A6671-1)/Days)+1,"")</f>
        <v/>
      </c>
      <c r="D6671">
        <f>IF(B6671,MOD(A6671-1,Days),"")</f>
        <v/>
      </c>
      <c r="E6671" s="16">
        <f>IF(B6671,StartDate+D6671,"")</f>
        <v/>
      </c>
      <c r="F6671">
        <f>IF(B6671,MAX(MOD(SIN(Seed*0.1373+C6671*12.9898+D6671*78.233)*43758.5453,1),1E-9),"")</f>
        <v/>
      </c>
      <c r="G6671">
        <f>IF(B6671,MOD(SIN(Seed*0.5917+C6671*39.3468+D6671*11.135)*24634.6345,1),"")</f>
        <v/>
      </c>
      <c r="H6671">
        <f>IF(B6671,SQRT(-2*LN(F6671))*COS(2*PI()*G6671),"")</f>
        <v/>
      </c>
      <c r="I6671">
        <f>IF(B6671,IF(D6671=0,H6671,Rho*I6670+SQRT(1-Rho^2)*H6671),"")</f>
        <v/>
      </c>
      <c r="J6671">
        <f>IF(B6671,IF(Dist="Normal",DistA+DistB*I6671,DistA+(DistB-DistA)*NORMSDIST(I6671)),"")</f>
        <v/>
      </c>
      <c r="K6671">
        <f>IF(B6671,INDEX(MineScale,C6671),"")</f>
        <v/>
      </c>
      <c r="L6671">
        <f>IF(B6671,INDEX(Dow,1,WEEKDAY(E6671,2)),"")</f>
        <v/>
      </c>
      <c r="M6671">
        <f>IF(B6671,(1+Trend)^D6671,"")</f>
        <v/>
      </c>
      <c r="N6671">
        <f>IF(B6671,EXP(SUMPRODUCT(LN(1+(EvEff-1)*INDEX(Affected,0,C6671)*EXP(-((E6671-EvCenter)^2)/(2*EvSigma^2))))),"")</f>
        <v/>
      </c>
      <c r="O6671">
        <f>IF(B6671,ROUND(MAX(0,J6671*K6671*L6671*M6671*N6671),2),"")</f>
        <v/>
      </c>
    </row>
    <row r="6672">
      <c r="A6672" t="n">
        <v>6671</v>
      </c>
      <c r="B6672">
        <f>A6672&lt;=MineCount*Days</f>
        <v/>
      </c>
      <c r="C6672">
        <f>IF(B6672,INT((A6672-1)/Days)+1,"")</f>
        <v/>
      </c>
      <c r="D6672">
        <f>IF(B6672,MOD(A6672-1,Days),"")</f>
        <v/>
      </c>
      <c r="E6672" s="16">
        <f>IF(B6672,StartDate+D6672,"")</f>
        <v/>
      </c>
      <c r="F6672">
        <f>IF(B6672,MAX(MOD(SIN(Seed*0.1373+C6672*12.9898+D6672*78.233)*43758.5453,1),1E-9),"")</f>
        <v/>
      </c>
      <c r="G6672">
        <f>IF(B6672,MOD(SIN(Seed*0.5917+C6672*39.3468+D6672*11.135)*24634.6345,1),"")</f>
        <v/>
      </c>
      <c r="H6672">
        <f>IF(B6672,SQRT(-2*LN(F6672))*COS(2*PI()*G6672),"")</f>
        <v/>
      </c>
      <c r="I6672">
        <f>IF(B6672,IF(D6672=0,H6672,Rho*I6671+SQRT(1-Rho^2)*H6672),"")</f>
        <v/>
      </c>
      <c r="J6672">
        <f>IF(B6672,IF(Dist="Normal",DistA+DistB*I6672,DistA+(DistB-DistA)*NORMSDIST(I6672)),"")</f>
        <v/>
      </c>
      <c r="K6672">
        <f>IF(B6672,INDEX(MineScale,C6672),"")</f>
        <v/>
      </c>
      <c r="L6672">
        <f>IF(B6672,INDEX(Dow,1,WEEKDAY(E6672,2)),"")</f>
        <v/>
      </c>
      <c r="M6672">
        <f>IF(B6672,(1+Trend)^D6672,"")</f>
        <v/>
      </c>
      <c r="N6672">
        <f>IF(B6672,EXP(SUMPRODUCT(LN(1+(EvEff-1)*INDEX(Affected,0,C6672)*EXP(-((E6672-EvCenter)^2)/(2*EvSigma^2))))),"")</f>
        <v/>
      </c>
      <c r="O6672">
        <f>IF(B6672,ROUND(MAX(0,J6672*K6672*L6672*M6672*N6672),2),"")</f>
        <v/>
      </c>
    </row>
    <row r="6673">
      <c r="A6673" t="n">
        <v>6672</v>
      </c>
      <c r="B6673">
        <f>A6673&lt;=MineCount*Days</f>
        <v/>
      </c>
      <c r="C6673">
        <f>IF(B6673,INT((A6673-1)/Days)+1,"")</f>
        <v/>
      </c>
      <c r="D6673">
        <f>IF(B6673,MOD(A6673-1,Days),"")</f>
        <v/>
      </c>
      <c r="E6673" s="16">
        <f>IF(B6673,StartDate+D6673,"")</f>
        <v/>
      </c>
      <c r="F6673">
        <f>IF(B6673,MAX(MOD(SIN(Seed*0.1373+C6673*12.9898+D6673*78.233)*43758.5453,1),1E-9),"")</f>
        <v/>
      </c>
      <c r="G6673">
        <f>IF(B6673,MOD(SIN(Seed*0.5917+C6673*39.3468+D6673*11.135)*24634.6345,1),"")</f>
        <v/>
      </c>
      <c r="H6673">
        <f>IF(B6673,SQRT(-2*LN(F6673))*COS(2*PI()*G6673),"")</f>
        <v/>
      </c>
      <c r="I6673">
        <f>IF(B6673,IF(D6673=0,H6673,Rho*I6672+SQRT(1-Rho^2)*H6673),"")</f>
        <v/>
      </c>
      <c r="J6673">
        <f>IF(B6673,IF(Dist="Normal",DistA+DistB*I6673,DistA+(DistB-DistA)*NORMSDIST(I6673)),"")</f>
        <v/>
      </c>
      <c r="K6673">
        <f>IF(B6673,INDEX(MineScale,C6673),"")</f>
        <v/>
      </c>
      <c r="L6673">
        <f>IF(B6673,INDEX(Dow,1,WEEKDAY(E6673,2)),"")</f>
        <v/>
      </c>
      <c r="M6673">
        <f>IF(B6673,(1+Trend)^D6673,"")</f>
        <v/>
      </c>
      <c r="N6673">
        <f>IF(B6673,EXP(SUMPRODUCT(LN(1+(EvEff-1)*INDEX(Affected,0,C6673)*EXP(-((E6673-EvCenter)^2)/(2*EvSigma^2))))),"")</f>
        <v/>
      </c>
      <c r="O6673">
        <f>IF(B6673,ROUND(MAX(0,J6673*K6673*L6673*M6673*N6673),2),"")</f>
        <v/>
      </c>
    </row>
    <row r="6674">
      <c r="A6674" t="n">
        <v>6673</v>
      </c>
      <c r="B6674">
        <f>A6674&lt;=MineCount*Days</f>
        <v/>
      </c>
      <c r="C6674">
        <f>IF(B6674,INT((A6674-1)/Days)+1,"")</f>
        <v/>
      </c>
      <c r="D6674">
        <f>IF(B6674,MOD(A6674-1,Days),"")</f>
        <v/>
      </c>
      <c r="E6674" s="16">
        <f>IF(B6674,StartDate+D6674,"")</f>
        <v/>
      </c>
      <c r="F6674">
        <f>IF(B6674,MAX(MOD(SIN(Seed*0.1373+C6674*12.9898+D6674*78.233)*43758.5453,1),1E-9),"")</f>
        <v/>
      </c>
      <c r="G6674">
        <f>IF(B6674,MOD(SIN(Seed*0.5917+C6674*39.3468+D6674*11.135)*24634.6345,1),"")</f>
        <v/>
      </c>
      <c r="H6674">
        <f>IF(B6674,SQRT(-2*LN(F6674))*COS(2*PI()*G6674),"")</f>
        <v/>
      </c>
      <c r="I6674">
        <f>IF(B6674,IF(D6674=0,H6674,Rho*I6673+SQRT(1-Rho^2)*H6674),"")</f>
        <v/>
      </c>
      <c r="J6674">
        <f>IF(B6674,IF(Dist="Normal",DistA+DistB*I6674,DistA+(DistB-DistA)*NORMSDIST(I6674)),"")</f>
        <v/>
      </c>
      <c r="K6674">
        <f>IF(B6674,INDEX(MineScale,C6674),"")</f>
        <v/>
      </c>
      <c r="L6674">
        <f>IF(B6674,INDEX(Dow,1,WEEKDAY(E6674,2)),"")</f>
        <v/>
      </c>
      <c r="M6674">
        <f>IF(B6674,(1+Trend)^D6674,"")</f>
        <v/>
      </c>
      <c r="N6674">
        <f>IF(B6674,EXP(SUMPRODUCT(LN(1+(EvEff-1)*INDEX(Affected,0,C6674)*EXP(-((E6674-EvCenter)^2)/(2*EvSigma^2))))),"")</f>
        <v/>
      </c>
      <c r="O6674">
        <f>IF(B6674,ROUND(MAX(0,J6674*K6674*L6674*M6674*N6674),2),"")</f>
        <v/>
      </c>
    </row>
    <row r="6675">
      <c r="A6675" t="n">
        <v>6674</v>
      </c>
      <c r="B6675">
        <f>A6675&lt;=MineCount*Days</f>
        <v/>
      </c>
      <c r="C6675">
        <f>IF(B6675,INT((A6675-1)/Days)+1,"")</f>
        <v/>
      </c>
      <c r="D6675">
        <f>IF(B6675,MOD(A6675-1,Days),"")</f>
        <v/>
      </c>
      <c r="E6675" s="16">
        <f>IF(B6675,StartDate+D6675,"")</f>
        <v/>
      </c>
      <c r="F6675">
        <f>IF(B6675,MAX(MOD(SIN(Seed*0.1373+C6675*12.9898+D6675*78.233)*43758.5453,1),1E-9),"")</f>
        <v/>
      </c>
      <c r="G6675">
        <f>IF(B6675,MOD(SIN(Seed*0.5917+C6675*39.3468+D6675*11.135)*24634.6345,1),"")</f>
        <v/>
      </c>
      <c r="H6675">
        <f>IF(B6675,SQRT(-2*LN(F6675))*COS(2*PI()*G6675),"")</f>
        <v/>
      </c>
      <c r="I6675">
        <f>IF(B6675,IF(D6675=0,H6675,Rho*I6674+SQRT(1-Rho^2)*H6675),"")</f>
        <v/>
      </c>
      <c r="J6675">
        <f>IF(B6675,IF(Dist="Normal",DistA+DistB*I6675,DistA+(DistB-DistA)*NORMSDIST(I6675)),"")</f>
        <v/>
      </c>
      <c r="K6675">
        <f>IF(B6675,INDEX(MineScale,C6675),"")</f>
        <v/>
      </c>
      <c r="L6675">
        <f>IF(B6675,INDEX(Dow,1,WEEKDAY(E6675,2)),"")</f>
        <v/>
      </c>
      <c r="M6675">
        <f>IF(B6675,(1+Trend)^D6675,"")</f>
        <v/>
      </c>
      <c r="N6675">
        <f>IF(B6675,EXP(SUMPRODUCT(LN(1+(EvEff-1)*INDEX(Affected,0,C6675)*EXP(-((E6675-EvCenter)^2)/(2*EvSigma^2))))),"")</f>
        <v/>
      </c>
      <c r="O6675">
        <f>IF(B6675,ROUND(MAX(0,J6675*K6675*L6675*M6675*N6675),2),"")</f>
        <v/>
      </c>
    </row>
    <row r="6676">
      <c r="A6676" t="n">
        <v>6675</v>
      </c>
      <c r="B6676">
        <f>A6676&lt;=MineCount*Days</f>
        <v/>
      </c>
      <c r="C6676">
        <f>IF(B6676,INT((A6676-1)/Days)+1,"")</f>
        <v/>
      </c>
      <c r="D6676">
        <f>IF(B6676,MOD(A6676-1,Days),"")</f>
        <v/>
      </c>
      <c r="E6676" s="16">
        <f>IF(B6676,StartDate+D6676,"")</f>
        <v/>
      </c>
      <c r="F6676">
        <f>IF(B6676,MAX(MOD(SIN(Seed*0.1373+C6676*12.9898+D6676*78.233)*43758.5453,1),1E-9),"")</f>
        <v/>
      </c>
      <c r="G6676">
        <f>IF(B6676,MOD(SIN(Seed*0.5917+C6676*39.3468+D6676*11.135)*24634.6345,1),"")</f>
        <v/>
      </c>
      <c r="H6676">
        <f>IF(B6676,SQRT(-2*LN(F6676))*COS(2*PI()*G6676),"")</f>
        <v/>
      </c>
      <c r="I6676">
        <f>IF(B6676,IF(D6676=0,H6676,Rho*I6675+SQRT(1-Rho^2)*H6676),"")</f>
        <v/>
      </c>
      <c r="J6676">
        <f>IF(B6676,IF(Dist="Normal",DistA+DistB*I6676,DistA+(DistB-DistA)*NORMSDIST(I6676)),"")</f>
        <v/>
      </c>
      <c r="K6676">
        <f>IF(B6676,INDEX(MineScale,C6676),"")</f>
        <v/>
      </c>
      <c r="L6676">
        <f>IF(B6676,INDEX(Dow,1,WEEKDAY(E6676,2)),"")</f>
        <v/>
      </c>
      <c r="M6676">
        <f>IF(B6676,(1+Trend)^D6676,"")</f>
        <v/>
      </c>
      <c r="N6676">
        <f>IF(B6676,EXP(SUMPRODUCT(LN(1+(EvEff-1)*INDEX(Affected,0,C6676)*EXP(-((E6676-EvCenter)^2)/(2*EvSigma^2))))),"")</f>
        <v/>
      </c>
      <c r="O6676">
        <f>IF(B6676,ROUND(MAX(0,J6676*K6676*L6676*M6676*N6676),2),"")</f>
        <v/>
      </c>
    </row>
    <row r="6677">
      <c r="A6677" t="n">
        <v>6676</v>
      </c>
      <c r="B6677">
        <f>A6677&lt;=MineCount*Days</f>
        <v/>
      </c>
      <c r="C6677">
        <f>IF(B6677,INT((A6677-1)/Days)+1,"")</f>
        <v/>
      </c>
      <c r="D6677">
        <f>IF(B6677,MOD(A6677-1,Days),"")</f>
        <v/>
      </c>
      <c r="E6677" s="16">
        <f>IF(B6677,StartDate+D6677,"")</f>
        <v/>
      </c>
      <c r="F6677">
        <f>IF(B6677,MAX(MOD(SIN(Seed*0.1373+C6677*12.9898+D6677*78.233)*43758.5453,1),1E-9),"")</f>
        <v/>
      </c>
      <c r="G6677">
        <f>IF(B6677,MOD(SIN(Seed*0.5917+C6677*39.3468+D6677*11.135)*24634.6345,1),"")</f>
        <v/>
      </c>
      <c r="H6677">
        <f>IF(B6677,SQRT(-2*LN(F6677))*COS(2*PI()*G6677),"")</f>
        <v/>
      </c>
      <c r="I6677">
        <f>IF(B6677,IF(D6677=0,H6677,Rho*I6676+SQRT(1-Rho^2)*H6677),"")</f>
        <v/>
      </c>
      <c r="J6677">
        <f>IF(B6677,IF(Dist="Normal",DistA+DistB*I6677,DistA+(DistB-DistA)*NORMSDIST(I6677)),"")</f>
        <v/>
      </c>
      <c r="K6677">
        <f>IF(B6677,INDEX(MineScale,C6677),"")</f>
        <v/>
      </c>
      <c r="L6677">
        <f>IF(B6677,INDEX(Dow,1,WEEKDAY(E6677,2)),"")</f>
        <v/>
      </c>
      <c r="M6677">
        <f>IF(B6677,(1+Trend)^D6677,"")</f>
        <v/>
      </c>
      <c r="N6677">
        <f>IF(B6677,EXP(SUMPRODUCT(LN(1+(EvEff-1)*INDEX(Affected,0,C6677)*EXP(-((E6677-EvCenter)^2)/(2*EvSigma^2))))),"")</f>
        <v/>
      </c>
      <c r="O6677">
        <f>IF(B6677,ROUND(MAX(0,J6677*K6677*L6677*M6677*N6677),2),"")</f>
        <v/>
      </c>
    </row>
    <row r="6678">
      <c r="A6678" t="n">
        <v>6677</v>
      </c>
      <c r="B6678">
        <f>A6678&lt;=MineCount*Days</f>
        <v/>
      </c>
      <c r="C6678">
        <f>IF(B6678,INT((A6678-1)/Days)+1,"")</f>
        <v/>
      </c>
      <c r="D6678">
        <f>IF(B6678,MOD(A6678-1,Days),"")</f>
        <v/>
      </c>
      <c r="E6678" s="16">
        <f>IF(B6678,StartDate+D6678,"")</f>
        <v/>
      </c>
      <c r="F6678">
        <f>IF(B6678,MAX(MOD(SIN(Seed*0.1373+C6678*12.9898+D6678*78.233)*43758.5453,1),1E-9),"")</f>
        <v/>
      </c>
      <c r="G6678">
        <f>IF(B6678,MOD(SIN(Seed*0.5917+C6678*39.3468+D6678*11.135)*24634.6345,1),"")</f>
        <v/>
      </c>
      <c r="H6678">
        <f>IF(B6678,SQRT(-2*LN(F6678))*COS(2*PI()*G6678),"")</f>
        <v/>
      </c>
      <c r="I6678">
        <f>IF(B6678,IF(D6678=0,H6678,Rho*I6677+SQRT(1-Rho^2)*H6678),"")</f>
        <v/>
      </c>
      <c r="J6678">
        <f>IF(B6678,IF(Dist="Normal",DistA+DistB*I6678,DistA+(DistB-DistA)*NORMSDIST(I6678)),"")</f>
        <v/>
      </c>
      <c r="K6678">
        <f>IF(B6678,INDEX(MineScale,C6678),"")</f>
        <v/>
      </c>
      <c r="L6678">
        <f>IF(B6678,INDEX(Dow,1,WEEKDAY(E6678,2)),"")</f>
        <v/>
      </c>
      <c r="M6678">
        <f>IF(B6678,(1+Trend)^D6678,"")</f>
        <v/>
      </c>
      <c r="N6678">
        <f>IF(B6678,EXP(SUMPRODUCT(LN(1+(EvEff-1)*INDEX(Affected,0,C6678)*EXP(-((E6678-EvCenter)^2)/(2*EvSigma^2))))),"")</f>
        <v/>
      </c>
      <c r="O6678">
        <f>IF(B6678,ROUND(MAX(0,J6678*K6678*L6678*M6678*N6678),2),"")</f>
        <v/>
      </c>
    </row>
    <row r="6679">
      <c r="A6679" t="n">
        <v>6678</v>
      </c>
      <c r="B6679">
        <f>A6679&lt;=MineCount*Days</f>
        <v/>
      </c>
      <c r="C6679">
        <f>IF(B6679,INT((A6679-1)/Days)+1,"")</f>
        <v/>
      </c>
      <c r="D6679">
        <f>IF(B6679,MOD(A6679-1,Days),"")</f>
        <v/>
      </c>
      <c r="E6679" s="16">
        <f>IF(B6679,StartDate+D6679,"")</f>
        <v/>
      </c>
      <c r="F6679">
        <f>IF(B6679,MAX(MOD(SIN(Seed*0.1373+C6679*12.9898+D6679*78.233)*43758.5453,1),1E-9),"")</f>
        <v/>
      </c>
      <c r="G6679">
        <f>IF(B6679,MOD(SIN(Seed*0.5917+C6679*39.3468+D6679*11.135)*24634.6345,1),"")</f>
        <v/>
      </c>
      <c r="H6679">
        <f>IF(B6679,SQRT(-2*LN(F6679))*COS(2*PI()*G6679),"")</f>
        <v/>
      </c>
      <c r="I6679">
        <f>IF(B6679,IF(D6679=0,H6679,Rho*I6678+SQRT(1-Rho^2)*H6679),"")</f>
        <v/>
      </c>
      <c r="J6679">
        <f>IF(B6679,IF(Dist="Normal",DistA+DistB*I6679,DistA+(DistB-DistA)*NORMSDIST(I6679)),"")</f>
        <v/>
      </c>
      <c r="K6679">
        <f>IF(B6679,INDEX(MineScale,C6679),"")</f>
        <v/>
      </c>
      <c r="L6679">
        <f>IF(B6679,INDEX(Dow,1,WEEKDAY(E6679,2)),"")</f>
        <v/>
      </c>
      <c r="M6679">
        <f>IF(B6679,(1+Trend)^D6679,"")</f>
        <v/>
      </c>
      <c r="N6679">
        <f>IF(B6679,EXP(SUMPRODUCT(LN(1+(EvEff-1)*INDEX(Affected,0,C6679)*EXP(-((E6679-EvCenter)^2)/(2*EvSigma^2))))),"")</f>
        <v/>
      </c>
      <c r="O6679">
        <f>IF(B6679,ROUND(MAX(0,J6679*K6679*L6679*M6679*N6679),2),"")</f>
        <v/>
      </c>
    </row>
    <row r="6680">
      <c r="A6680" t="n">
        <v>6679</v>
      </c>
      <c r="B6680">
        <f>A6680&lt;=MineCount*Days</f>
        <v/>
      </c>
      <c r="C6680">
        <f>IF(B6680,INT((A6680-1)/Days)+1,"")</f>
        <v/>
      </c>
      <c r="D6680">
        <f>IF(B6680,MOD(A6680-1,Days),"")</f>
        <v/>
      </c>
      <c r="E6680" s="16">
        <f>IF(B6680,StartDate+D6680,"")</f>
        <v/>
      </c>
      <c r="F6680">
        <f>IF(B6680,MAX(MOD(SIN(Seed*0.1373+C6680*12.9898+D6680*78.233)*43758.5453,1),1E-9),"")</f>
        <v/>
      </c>
      <c r="G6680">
        <f>IF(B6680,MOD(SIN(Seed*0.5917+C6680*39.3468+D6680*11.135)*24634.6345,1),"")</f>
        <v/>
      </c>
      <c r="H6680">
        <f>IF(B6680,SQRT(-2*LN(F6680))*COS(2*PI()*G6680),"")</f>
        <v/>
      </c>
      <c r="I6680">
        <f>IF(B6680,IF(D6680=0,H6680,Rho*I6679+SQRT(1-Rho^2)*H6680),"")</f>
        <v/>
      </c>
      <c r="J6680">
        <f>IF(B6680,IF(Dist="Normal",DistA+DistB*I6680,DistA+(DistB-DistA)*NORMSDIST(I6680)),"")</f>
        <v/>
      </c>
      <c r="K6680">
        <f>IF(B6680,INDEX(MineScale,C6680),"")</f>
        <v/>
      </c>
      <c r="L6680">
        <f>IF(B6680,INDEX(Dow,1,WEEKDAY(E6680,2)),"")</f>
        <v/>
      </c>
      <c r="M6680">
        <f>IF(B6680,(1+Trend)^D6680,"")</f>
        <v/>
      </c>
      <c r="N6680">
        <f>IF(B6680,EXP(SUMPRODUCT(LN(1+(EvEff-1)*INDEX(Affected,0,C6680)*EXP(-((E6680-EvCenter)^2)/(2*EvSigma^2))))),"")</f>
        <v/>
      </c>
      <c r="O6680">
        <f>IF(B6680,ROUND(MAX(0,J6680*K6680*L6680*M6680*N6680),2),"")</f>
        <v/>
      </c>
    </row>
    <row r="6681">
      <c r="A6681" t="n">
        <v>6680</v>
      </c>
      <c r="B6681">
        <f>A6681&lt;=MineCount*Days</f>
        <v/>
      </c>
      <c r="C6681">
        <f>IF(B6681,INT((A6681-1)/Days)+1,"")</f>
        <v/>
      </c>
      <c r="D6681">
        <f>IF(B6681,MOD(A6681-1,Days),"")</f>
        <v/>
      </c>
      <c r="E6681" s="16">
        <f>IF(B6681,StartDate+D6681,"")</f>
        <v/>
      </c>
      <c r="F6681">
        <f>IF(B6681,MAX(MOD(SIN(Seed*0.1373+C6681*12.9898+D6681*78.233)*43758.5453,1),1E-9),"")</f>
        <v/>
      </c>
      <c r="G6681">
        <f>IF(B6681,MOD(SIN(Seed*0.5917+C6681*39.3468+D6681*11.135)*24634.6345,1),"")</f>
        <v/>
      </c>
      <c r="H6681">
        <f>IF(B6681,SQRT(-2*LN(F6681))*COS(2*PI()*G6681),"")</f>
        <v/>
      </c>
      <c r="I6681">
        <f>IF(B6681,IF(D6681=0,H6681,Rho*I6680+SQRT(1-Rho^2)*H6681),"")</f>
        <v/>
      </c>
      <c r="J6681">
        <f>IF(B6681,IF(Dist="Normal",DistA+DistB*I6681,DistA+(DistB-DistA)*NORMSDIST(I6681)),"")</f>
        <v/>
      </c>
      <c r="K6681">
        <f>IF(B6681,INDEX(MineScale,C6681),"")</f>
        <v/>
      </c>
      <c r="L6681">
        <f>IF(B6681,INDEX(Dow,1,WEEKDAY(E6681,2)),"")</f>
        <v/>
      </c>
      <c r="M6681">
        <f>IF(B6681,(1+Trend)^D6681,"")</f>
        <v/>
      </c>
      <c r="N6681">
        <f>IF(B6681,EXP(SUMPRODUCT(LN(1+(EvEff-1)*INDEX(Affected,0,C6681)*EXP(-((E6681-EvCenter)^2)/(2*EvSigma^2))))),"")</f>
        <v/>
      </c>
      <c r="O6681">
        <f>IF(B6681,ROUND(MAX(0,J6681*K6681*L6681*M6681*N6681),2),"")</f>
        <v/>
      </c>
    </row>
    <row r="6682">
      <c r="A6682" t="n">
        <v>6681</v>
      </c>
      <c r="B6682">
        <f>A6682&lt;=MineCount*Days</f>
        <v/>
      </c>
      <c r="C6682">
        <f>IF(B6682,INT((A6682-1)/Days)+1,"")</f>
        <v/>
      </c>
      <c r="D6682">
        <f>IF(B6682,MOD(A6682-1,Days),"")</f>
        <v/>
      </c>
      <c r="E6682" s="16">
        <f>IF(B6682,StartDate+D6682,"")</f>
        <v/>
      </c>
      <c r="F6682">
        <f>IF(B6682,MAX(MOD(SIN(Seed*0.1373+C6682*12.9898+D6682*78.233)*43758.5453,1),1E-9),"")</f>
        <v/>
      </c>
      <c r="G6682">
        <f>IF(B6682,MOD(SIN(Seed*0.5917+C6682*39.3468+D6682*11.135)*24634.6345,1),"")</f>
        <v/>
      </c>
      <c r="H6682">
        <f>IF(B6682,SQRT(-2*LN(F6682))*COS(2*PI()*G6682),"")</f>
        <v/>
      </c>
      <c r="I6682">
        <f>IF(B6682,IF(D6682=0,H6682,Rho*I6681+SQRT(1-Rho^2)*H6682),"")</f>
        <v/>
      </c>
      <c r="J6682">
        <f>IF(B6682,IF(Dist="Normal",DistA+DistB*I6682,DistA+(DistB-DistA)*NORMSDIST(I6682)),"")</f>
        <v/>
      </c>
      <c r="K6682">
        <f>IF(B6682,INDEX(MineScale,C6682),"")</f>
        <v/>
      </c>
      <c r="L6682">
        <f>IF(B6682,INDEX(Dow,1,WEEKDAY(E6682,2)),"")</f>
        <v/>
      </c>
      <c r="M6682">
        <f>IF(B6682,(1+Trend)^D6682,"")</f>
        <v/>
      </c>
      <c r="N6682">
        <f>IF(B6682,EXP(SUMPRODUCT(LN(1+(EvEff-1)*INDEX(Affected,0,C6682)*EXP(-((E6682-EvCenter)^2)/(2*EvSigma^2))))),"")</f>
        <v/>
      </c>
      <c r="O6682">
        <f>IF(B6682,ROUND(MAX(0,J6682*K6682*L6682*M6682*N6682),2),"")</f>
        <v/>
      </c>
    </row>
    <row r="6683">
      <c r="A6683" t="n">
        <v>6682</v>
      </c>
      <c r="B6683">
        <f>A6683&lt;=MineCount*Days</f>
        <v/>
      </c>
      <c r="C6683">
        <f>IF(B6683,INT((A6683-1)/Days)+1,"")</f>
        <v/>
      </c>
      <c r="D6683">
        <f>IF(B6683,MOD(A6683-1,Days),"")</f>
        <v/>
      </c>
      <c r="E6683" s="16">
        <f>IF(B6683,StartDate+D6683,"")</f>
        <v/>
      </c>
      <c r="F6683">
        <f>IF(B6683,MAX(MOD(SIN(Seed*0.1373+C6683*12.9898+D6683*78.233)*43758.5453,1),1E-9),"")</f>
        <v/>
      </c>
      <c r="G6683">
        <f>IF(B6683,MOD(SIN(Seed*0.5917+C6683*39.3468+D6683*11.135)*24634.6345,1),"")</f>
        <v/>
      </c>
      <c r="H6683">
        <f>IF(B6683,SQRT(-2*LN(F6683))*COS(2*PI()*G6683),"")</f>
        <v/>
      </c>
      <c r="I6683">
        <f>IF(B6683,IF(D6683=0,H6683,Rho*I6682+SQRT(1-Rho^2)*H6683),"")</f>
        <v/>
      </c>
      <c r="J6683">
        <f>IF(B6683,IF(Dist="Normal",DistA+DistB*I6683,DistA+(DistB-DistA)*NORMSDIST(I6683)),"")</f>
        <v/>
      </c>
      <c r="K6683">
        <f>IF(B6683,INDEX(MineScale,C6683),"")</f>
        <v/>
      </c>
      <c r="L6683">
        <f>IF(B6683,INDEX(Dow,1,WEEKDAY(E6683,2)),"")</f>
        <v/>
      </c>
      <c r="M6683">
        <f>IF(B6683,(1+Trend)^D6683,"")</f>
        <v/>
      </c>
      <c r="N6683">
        <f>IF(B6683,EXP(SUMPRODUCT(LN(1+(EvEff-1)*INDEX(Affected,0,C6683)*EXP(-((E6683-EvCenter)^2)/(2*EvSigma^2))))),"")</f>
        <v/>
      </c>
      <c r="O6683">
        <f>IF(B6683,ROUND(MAX(0,J6683*K6683*L6683*M6683*N6683),2),"")</f>
        <v/>
      </c>
    </row>
    <row r="6684">
      <c r="A6684" t="n">
        <v>6683</v>
      </c>
      <c r="B6684">
        <f>A6684&lt;=MineCount*Days</f>
        <v/>
      </c>
      <c r="C6684">
        <f>IF(B6684,INT((A6684-1)/Days)+1,"")</f>
        <v/>
      </c>
      <c r="D6684">
        <f>IF(B6684,MOD(A6684-1,Days),"")</f>
        <v/>
      </c>
      <c r="E6684" s="16">
        <f>IF(B6684,StartDate+D6684,"")</f>
        <v/>
      </c>
      <c r="F6684">
        <f>IF(B6684,MAX(MOD(SIN(Seed*0.1373+C6684*12.9898+D6684*78.233)*43758.5453,1),1E-9),"")</f>
        <v/>
      </c>
      <c r="G6684">
        <f>IF(B6684,MOD(SIN(Seed*0.5917+C6684*39.3468+D6684*11.135)*24634.6345,1),"")</f>
        <v/>
      </c>
      <c r="H6684">
        <f>IF(B6684,SQRT(-2*LN(F6684))*COS(2*PI()*G6684),"")</f>
        <v/>
      </c>
      <c r="I6684">
        <f>IF(B6684,IF(D6684=0,H6684,Rho*I6683+SQRT(1-Rho^2)*H6684),"")</f>
        <v/>
      </c>
      <c r="J6684">
        <f>IF(B6684,IF(Dist="Normal",DistA+DistB*I6684,DistA+(DistB-DistA)*NORMSDIST(I6684)),"")</f>
        <v/>
      </c>
      <c r="K6684">
        <f>IF(B6684,INDEX(MineScale,C6684),"")</f>
        <v/>
      </c>
      <c r="L6684">
        <f>IF(B6684,INDEX(Dow,1,WEEKDAY(E6684,2)),"")</f>
        <v/>
      </c>
      <c r="M6684">
        <f>IF(B6684,(1+Trend)^D6684,"")</f>
        <v/>
      </c>
      <c r="N6684">
        <f>IF(B6684,EXP(SUMPRODUCT(LN(1+(EvEff-1)*INDEX(Affected,0,C6684)*EXP(-((E6684-EvCenter)^2)/(2*EvSigma^2))))),"")</f>
        <v/>
      </c>
      <c r="O6684">
        <f>IF(B6684,ROUND(MAX(0,J6684*K6684*L6684*M6684*N6684),2),"")</f>
        <v/>
      </c>
    </row>
    <row r="6685">
      <c r="A6685" t="n">
        <v>6684</v>
      </c>
      <c r="B6685">
        <f>A6685&lt;=MineCount*Days</f>
        <v/>
      </c>
      <c r="C6685">
        <f>IF(B6685,INT((A6685-1)/Days)+1,"")</f>
        <v/>
      </c>
      <c r="D6685">
        <f>IF(B6685,MOD(A6685-1,Days),"")</f>
        <v/>
      </c>
      <c r="E6685" s="16">
        <f>IF(B6685,StartDate+D6685,"")</f>
        <v/>
      </c>
      <c r="F6685">
        <f>IF(B6685,MAX(MOD(SIN(Seed*0.1373+C6685*12.9898+D6685*78.233)*43758.5453,1),1E-9),"")</f>
        <v/>
      </c>
      <c r="G6685">
        <f>IF(B6685,MOD(SIN(Seed*0.5917+C6685*39.3468+D6685*11.135)*24634.6345,1),"")</f>
        <v/>
      </c>
      <c r="H6685">
        <f>IF(B6685,SQRT(-2*LN(F6685))*COS(2*PI()*G6685),"")</f>
        <v/>
      </c>
      <c r="I6685">
        <f>IF(B6685,IF(D6685=0,H6685,Rho*I6684+SQRT(1-Rho^2)*H6685),"")</f>
        <v/>
      </c>
      <c r="J6685">
        <f>IF(B6685,IF(Dist="Normal",DistA+DistB*I6685,DistA+(DistB-DistA)*NORMSDIST(I6685)),"")</f>
        <v/>
      </c>
      <c r="K6685">
        <f>IF(B6685,INDEX(MineScale,C6685),"")</f>
        <v/>
      </c>
      <c r="L6685">
        <f>IF(B6685,INDEX(Dow,1,WEEKDAY(E6685,2)),"")</f>
        <v/>
      </c>
      <c r="M6685">
        <f>IF(B6685,(1+Trend)^D6685,"")</f>
        <v/>
      </c>
      <c r="N6685">
        <f>IF(B6685,EXP(SUMPRODUCT(LN(1+(EvEff-1)*INDEX(Affected,0,C6685)*EXP(-((E6685-EvCenter)^2)/(2*EvSigma^2))))),"")</f>
        <v/>
      </c>
      <c r="O6685">
        <f>IF(B6685,ROUND(MAX(0,J6685*K6685*L6685*M6685*N6685),2),"")</f>
        <v/>
      </c>
    </row>
    <row r="6686">
      <c r="A6686" t="n">
        <v>6685</v>
      </c>
      <c r="B6686">
        <f>A6686&lt;=MineCount*Days</f>
        <v/>
      </c>
      <c r="C6686">
        <f>IF(B6686,INT((A6686-1)/Days)+1,"")</f>
        <v/>
      </c>
      <c r="D6686">
        <f>IF(B6686,MOD(A6686-1,Days),"")</f>
        <v/>
      </c>
      <c r="E6686" s="16">
        <f>IF(B6686,StartDate+D6686,"")</f>
        <v/>
      </c>
      <c r="F6686">
        <f>IF(B6686,MAX(MOD(SIN(Seed*0.1373+C6686*12.9898+D6686*78.233)*43758.5453,1),1E-9),"")</f>
        <v/>
      </c>
      <c r="G6686">
        <f>IF(B6686,MOD(SIN(Seed*0.5917+C6686*39.3468+D6686*11.135)*24634.6345,1),"")</f>
        <v/>
      </c>
      <c r="H6686">
        <f>IF(B6686,SQRT(-2*LN(F6686))*COS(2*PI()*G6686),"")</f>
        <v/>
      </c>
      <c r="I6686">
        <f>IF(B6686,IF(D6686=0,H6686,Rho*I6685+SQRT(1-Rho^2)*H6686),"")</f>
        <v/>
      </c>
      <c r="J6686">
        <f>IF(B6686,IF(Dist="Normal",DistA+DistB*I6686,DistA+(DistB-DistA)*NORMSDIST(I6686)),"")</f>
        <v/>
      </c>
      <c r="K6686">
        <f>IF(B6686,INDEX(MineScale,C6686),"")</f>
        <v/>
      </c>
      <c r="L6686">
        <f>IF(B6686,INDEX(Dow,1,WEEKDAY(E6686,2)),"")</f>
        <v/>
      </c>
      <c r="M6686">
        <f>IF(B6686,(1+Trend)^D6686,"")</f>
        <v/>
      </c>
      <c r="N6686">
        <f>IF(B6686,EXP(SUMPRODUCT(LN(1+(EvEff-1)*INDEX(Affected,0,C6686)*EXP(-((E6686-EvCenter)^2)/(2*EvSigma^2))))),"")</f>
        <v/>
      </c>
      <c r="O6686">
        <f>IF(B6686,ROUND(MAX(0,J6686*K6686*L6686*M6686*N6686),2),"")</f>
        <v/>
      </c>
    </row>
    <row r="6687">
      <c r="A6687" t="n">
        <v>6686</v>
      </c>
      <c r="B6687">
        <f>A6687&lt;=MineCount*Days</f>
        <v/>
      </c>
      <c r="C6687">
        <f>IF(B6687,INT((A6687-1)/Days)+1,"")</f>
        <v/>
      </c>
      <c r="D6687">
        <f>IF(B6687,MOD(A6687-1,Days),"")</f>
        <v/>
      </c>
      <c r="E6687" s="16">
        <f>IF(B6687,StartDate+D6687,"")</f>
        <v/>
      </c>
      <c r="F6687">
        <f>IF(B6687,MAX(MOD(SIN(Seed*0.1373+C6687*12.9898+D6687*78.233)*43758.5453,1),1E-9),"")</f>
        <v/>
      </c>
      <c r="G6687">
        <f>IF(B6687,MOD(SIN(Seed*0.5917+C6687*39.3468+D6687*11.135)*24634.6345,1),"")</f>
        <v/>
      </c>
      <c r="H6687">
        <f>IF(B6687,SQRT(-2*LN(F6687))*COS(2*PI()*G6687),"")</f>
        <v/>
      </c>
      <c r="I6687">
        <f>IF(B6687,IF(D6687=0,H6687,Rho*I6686+SQRT(1-Rho^2)*H6687),"")</f>
        <v/>
      </c>
      <c r="J6687">
        <f>IF(B6687,IF(Dist="Normal",DistA+DistB*I6687,DistA+(DistB-DistA)*NORMSDIST(I6687)),"")</f>
        <v/>
      </c>
      <c r="K6687">
        <f>IF(B6687,INDEX(MineScale,C6687),"")</f>
        <v/>
      </c>
      <c r="L6687">
        <f>IF(B6687,INDEX(Dow,1,WEEKDAY(E6687,2)),"")</f>
        <v/>
      </c>
      <c r="M6687">
        <f>IF(B6687,(1+Trend)^D6687,"")</f>
        <v/>
      </c>
      <c r="N6687">
        <f>IF(B6687,EXP(SUMPRODUCT(LN(1+(EvEff-1)*INDEX(Affected,0,C6687)*EXP(-((E6687-EvCenter)^2)/(2*EvSigma^2))))),"")</f>
        <v/>
      </c>
      <c r="O6687">
        <f>IF(B6687,ROUND(MAX(0,J6687*K6687*L6687*M6687*N6687),2),"")</f>
        <v/>
      </c>
    </row>
    <row r="6688">
      <c r="A6688" t="n">
        <v>6687</v>
      </c>
      <c r="B6688">
        <f>A6688&lt;=MineCount*Days</f>
        <v/>
      </c>
      <c r="C6688">
        <f>IF(B6688,INT((A6688-1)/Days)+1,"")</f>
        <v/>
      </c>
      <c r="D6688">
        <f>IF(B6688,MOD(A6688-1,Days),"")</f>
        <v/>
      </c>
      <c r="E6688" s="16">
        <f>IF(B6688,StartDate+D6688,"")</f>
        <v/>
      </c>
      <c r="F6688">
        <f>IF(B6688,MAX(MOD(SIN(Seed*0.1373+C6688*12.9898+D6688*78.233)*43758.5453,1),1E-9),"")</f>
        <v/>
      </c>
      <c r="G6688">
        <f>IF(B6688,MOD(SIN(Seed*0.5917+C6688*39.3468+D6688*11.135)*24634.6345,1),"")</f>
        <v/>
      </c>
      <c r="H6688">
        <f>IF(B6688,SQRT(-2*LN(F6688))*COS(2*PI()*G6688),"")</f>
        <v/>
      </c>
      <c r="I6688">
        <f>IF(B6688,IF(D6688=0,H6688,Rho*I6687+SQRT(1-Rho^2)*H6688),"")</f>
        <v/>
      </c>
      <c r="J6688">
        <f>IF(B6688,IF(Dist="Normal",DistA+DistB*I6688,DistA+(DistB-DistA)*NORMSDIST(I6688)),"")</f>
        <v/>
      </c>
      <c r="K6688">
        <f>IF(B6688,INDEX(MineScale,C6688),"")</f>
        <v/>
      </c>
      <c r="L6688">
        <f>IF(B6688,INDEX(Dow,1,WEEKDAY(E6688,2)),"")</f>
        <v/>
      </c>
      <c r="M6688">
        <f>IF(B6688,(1+Trend)^D6688,"")</f>
        <v/>
      </c>
      <c r="N6688">
        <f>IF(B6688,EXP(SUMPRODUCT(LN(1+(EvEff-1)*INDEX(Affected,0,C6688)*EXP(-((E6688-EvCenter)^2)/(2*EvSigma^2))))),"")</f>
        <v/>
      </c>
      <c r="O6688">
        <f>IF(B6688,ROUND(MAX(0,J6688*K6688*L6688*M6688*N6688),2),"")</f>
        <v/>
      </c>
    </row>
    <row r="6689">
      <c r="A6689" t="n">
        <v>6688</v>
      </c>
      <c r="B6689">
        <f>A6689&lt;=MineCount*Days</f>
        <v/>
      </c>
      <c r="C6689">
        <f>IF(B6689,INT((A6689-1)/Days)+1,"")</f>
        <v/>
      </c>
      <c r="D6689">
        <f>IF(B6689,MOD(A6689-1,Days),"")</f>
        <v/>
      </c>
      <c r="E6689" s="16">
        <f>IF(B6689,StartDate+D6689,"")</f>
        <v/>
      </c>
      <c r="F6689">
        <f>IF(B6689,MAX(MOD(SIN(Seed*0.1373+C6689*12.9898+D6689*78.233)*43758.5453,1),1E-9),"")</f>
        <v/>
      </c>
      <c r="G6689">
        <f>IF(B6689,MOD(SIN(Seed*0.5917+C6689*39.3468+D6689*11.135)*24634.6345,1),"")</f>
        <v/>
      </c>
      <c r="H6689">
        <f>IF(B6689,SQRT(-2*LN(F6689))*COS(2*PI()*G6689),"")</f>
        <v/>
      </c>
      <c r="I6689">
        <f>IF(B6689,IF(D6689=0,H6689,Rho*I6688+SQRT(1-Rho^2)*H6689),"")</f>
        <v/>
      </c>
      <c r="J6689">
        <f>IF(B6689,IF(Dist="Normal",DistA+DistB*I6689,DistA+(DistB-DistA)*NORMSDIST(I6689)),"")</f>
        <v/>
      </c>
      <c r="K6689">
        <f>IF(B6689,INDEX(MineScale,C6689),"")</f>
        <v/>
      </c>
      <c r="L6689">
        <f>IF(B6689,INDEX(Dow,1,WEEKDAY(E6689,2)),"")</f>
        <v/>
      </c>
      <c r="M6689">
        <f>IF(B6689,(1+Trend)^D6689,"")</f>
        <v/>
      </c>
      <c r="N6689">
        <f>IF(B6689,EXP(SUMPRODUCT(LN(1+(EvEff-1)*INDEX(Affected,0,C6689)*EXP(-((E6689-EvCenter)^2)/(2*EvSigma^2))))),"")</f>
        <v/>
      </c>
      <c r="O6689">
        <f>IF(B6689,ROUND(MAX(0,J6689*K6689*L6689*M6689*N6689),2),"")</f>
        <v/>
      </c>
    </row>
    <row r="6690">
      <c r="A6690" t="n">
        <v>6689</v>
      </c>
      <c r="B6690">
        <f>A6690&lt;=MineCount*Days</f>
        <v/>
      </c>
      <c r="C6690">
        <f>IF(B6690,INT((A6690-1)/Days)+1,"")</f>
        <v/>
      </c>
      <c r="D6690">
        <f>IF(B6690,MOD(A6690-1,Days),"")</f>
        <v/>
      </c>
      <c r="E6690" s="16">
        <f>IF(B6690,StartDate+D6690,"")</f>
        <v/>
      </c>
      <c r="F6690">
        <f>IF(B6690,MAX(MOD(SIN(Seed*0.1373+C6690*12.9898+D6690*78.233)*43758.5453,1),1E-9),"")</f>
        <v/>
      </c>
      <c r="G6690">
        <f>IF(B6690,MOD(SIN(Seed*0.5917+C6690*39.3468+D6690*11.135)*24634.6345,1),"")</f>
        <v/>
      </c>
      <c r="H6690">
        <f>IF(B6690,SQRT(-2*LN(F6690))*COS(2*PI()*G6690),"")</f>
        <v/>
      </c>
      <c r="I6690">
        <f>IF(B6690,IF(D6690=0,H6690,Rho*I6689+SQRT(1-Rho^2)*H6690),"")</f>
        <v/>
      </c>
      <c r="J6690">
        <f>IF(B6690,IF(Dist="Normal",DistA+DistB*I6690,DistA+(DistB-DistA)*NORMSDIST(I6690)),"")</f>
        <v/>
      </c>
      <c r="K6690">
        <f>IF(B6690,INDEX(MineScale,C6690),"")</f>
        <v/>
      </c>
      <c r="L6690">
        <f>IF(B6690,INDEX(Dow,1,WEEKDAY(E6690,2)),"")</f>
        <v/>
      </c>
      <c r="M6690">
        <f>IF(B6690,(1+Trend)^D6690,"")</f>
        <v/>
      </c>
      <c r="N6690">
        <f>IF(B6690,EXP(SUMPRODUCT(LN(1+(EvEff-1)*INDEX(Affected,0,C6690)*EXP(-((E6690-EvCenter)^2)/(2*EvSigma^2))))),"")</f>
        <v/>
      </c>
      <c r="O6690">
        <f>IF(B6690,ROUND(MAX(0,J6690*K6690*L6690*M6690*N6690),2),"")</f>
        <v/>
      </c>
    </row>
    <row r="6691">
      <c r="A6691" t="n">
        <v>6690</v>
      </c>
      <c r="B6691">
        <f>A6691&lt;=MineCount*Days</f>
        <v/>
      </c>
      <c r="C6691">
        <f>IF(B6691,INT((A6691-1)/Days)+1,"")</f>
        <v/>
      </c>
      <c r="D6691">
        <f>IF(B6691,MOD(A6691-1,Days),"")</f>
        <v/>
      </c>
      <c r="E6691" s="16">
        <f>IF(B6691,StartDate+D6691,"")</f>
        <v/>
      </c>
      <c r="F6691">
        <f>IF(B6691,MAX(MOD(SIN(Seed*0.1373+C6691*12.9898+D6691*78.233)*43758.5453,1),1E-9),"")</f>
        <v/>
      </c>
      <c r="G6691">
        <f>IF(B6691,MOD(SIN(Seed*0.5917+C6691*39.3468+D6691*11.135)*24634.6345,1),"")</f>
        <v/>
      </c>
      <c r="H6691">
        <f>IF(B6691,SQRT(-2*LN(F6691))*COS(2*PI()*G6691),"")</f>
        <v/>
      </c>
      <c r="I6691">
        <f>IF(B6691,IF(D6691=0,H6691,Rho*I6690+SQRT(1-Rho^2)*H6691),"")</f>
        <v/>
      </c>
      <c r="J6691">
        <f>IF(B6691,IF(Dist="Normal",DistA+DistB*I6691,DistA+(DistB-DistA)*NORMSDIST(I6691)),"")</f>
        <v/>
      </c>
      <c r="K6691">
        <f>IF(B6691,INDEX(MineScale,C6691),"")</f>
        <v/>
      </c>
      <c r="L6691">
        <f>IF(B6691,INDEX(Dow,1,WEEKDAY(E6691,2)),"")</f>
        <v/>
      </c>
      <c r="M6691">
        <f>IF(B6691,(1+Trend)^D6691,"")</f>
        <v/>
      </c>
      <c r="N6691">
        <f>IF(B6691,EXP(SUMPRODUCT(LN(1+(EvEff-1)*INDEX(Affected,0,C6691)*EXP(-((E6691-EvCenter)^2)/(2*EvSigma^2))))),"")</f>
        <v/>
      </c>
      <c r="O6691">
        <f>IF(B6691,ROUND(MAX(0,J6691*K6691*L6691*M6691*N6691),2),"")</f>
        <v/>
      </c>
    </row>
    <row r="6692">
      <c r="A6692" t="n">
        <v>6691</v>
      </c>
      <c r="B6692">
        <f>A6692&lt;=MineCount*Days</f>
        <v/>
      </c>
      <c r="C6692">
        <f>IF(B6692,INT((A6692-1)/Days)+1,"")</f>
        <v/>
      </c>
      <c r="D6692">
        <f>IF(B6692,MOD(A6692-1,Days),"")</f>
        <v/>
      </c>
      <c r="E6692" s="16">
        <f>IF(B6692,StartDate+D6692,"")</f>
        <v/>
      </c>
      <c r="F6692">
        <f>IF(B6692,MAX(MOD(SIN(Seed*0.1373+C6692*12.9898+D6692*78.233)*43758.5453,1),1E-9),"")</f>
        <v/>
      </c>
      <c r="G6692">
        <f>IF(B6692,MOD(SIN(Seed*0.5917+C6692*39.3468+D6692*11.135)*24634.6345,1),"")</f>
        <v/>
      </c>
      <c r="H6692">
        <f>IF(B6692,SQRT(-2*LN(F6692))*COS(2*PI()*G6692),"")</f>
        <v/>
      </c>
      <c r="I6692">
        <f>IF(B6692,IF(D6692=0,H6692,Rho*I6691+SQRT(1-Rho^2)*H6692),"")</f>
        <v/>
      </c>
      <c r="J6692">
        <f>IF(B6692,IF(Dist="Normal",DistA+DistB*I6692,DistA+(DistB-DistA)*NORMSDIST(I6692)),"")</f>
        <v/>
      </c>
      <c r="K6692">
        <f>IF(B6692,INDEX(MineScale,C6692),"")</f>
        <v/>
      </c>
      <c r="L6692">
        <f>IF(B6692,INDEX(Dow,1,WEEKDAY(E6692,2)),"")</f>
        <v/>
      </c>
      <c r="M6692">
        <f>IF(B6692,(1+Trend)^D6692,"")</f>
        <v/>
      </c>
      <c r="N6692">
        <f>IF(B6692,EXP(SUMPRODUCT(LN(1+(EvEff-1)*INDEX(Affected,0,C6692)*EXP(-((E6692-EvCenter)^2)/(2*EvSigma^2))))),"")</f>
        <v/>
      </c>
      <c r="O6692">
        <f>IF(B6692,ROUND(MAX(0,J6692*K6692*L6692*M6692*N6692),2),"")</f>
        <v/>
      </c>
    </row>
    <row r="6693">
      <c r="A6693" t="n">
        <v>6692</v>
      </c>
      <c r="B6693">
        <f>A6693&lt;=MineCount*Days</f>
        <v/>
      </c>
      <c r="C6693">
        <f>IF(B6693,INT((A6693-1)/Days)+1,"")</f>
        <v/>
      </c>
      <c r="D6693">
        <f>IF(B6693,MOD(A6693-1,Days),"")</f>
        <v/>
      </c>
      <c r="E6693" s="16">
        <f>IF(B6693,StartDate+D6693,"")</f>
        <v/>
      </c>
      <c r="F6693">
        <f>IF(B6693,MAX(MOD(SIN(Seed*0.1373+C6693*12.9898+D6693*78.233)*43758.5453,1),1E-9),"")</f>
        <v/>
      </c>
      <c r="G6693">
        <f>IF(B6693,MOD(SIN(Seed*0.5917+C6693*39.3468+D6693*11.135)*24634.6345,1),"")</f>
        <v/>
      </c>
      <c r="H6693">
        <f>IF(B6693,SQRT(-2*LN(F6693))*COS(2*PI()*G6693),"")</f>
        <v/>
      </c>
      <c r="I6693">
        <f>IF(B6693,IF(D6693=0,H6693,Rho*I6692+SQRT(1-Rho^2)*H6693),"")</f>
        <v/>
      </c>
      <c r="J6693">
        <f>IF(B6693,IF(Dist="Normal",DistA+DistB*I6693,DistA+(DistB-DistA)*NORMSDIST(I6693)),"")</f>
        <v/>
      </c>
      <c r="K6693">
        <f>IF(B6693,INDEX(MineScale,C6693),"")</f>
        <v/>
      </c>
      <c r="L6693">
        <f>IF(B6693,INDEX(Dow,1,WEEKDAY(E6693,2)),"")</f>
        <v/>
      </c>
      <c r="M6693">
        <f>IF(B6693,(1+Trend)^D6693,"")</f>
        <v/>
      </c>
      <c r="N6693">
        <f>IF(B6693,EXP(SUMPRODUCT(LN(1+(EvEff-1)*INDEX(Affected,0,C6693)*EXP(-((E6693-EvCenter)^2)/(2*EvSigma^2))))),"")</f>
        <v/>
      </c>
      <c r="O6693">
        <f>IF(B6693,ROUND(MAX(0,J6693*K6693*L6693*M6693*N6693),2),"")</f>
        <v/>
      </c>
    </row>
    <row r="6694">
      <c r="A6694" t="n">
        <v>6693</v>
      </c>
      <c r="B6694">
        <f>A6694&lt;=MineCount*Days</f>
        <v/>
      </c>
      <c r="C6694">
        <f>IF(B6694,INT((A6694-1)/Days)+1,"")</f>
        <v/>
      </c>
      <c r="D6694">
        <f>IF(B6694,MOD(A6694-1,Days),"")</f>
        <v/>
      </c>
      <c r="E6694" s="16">
        <f>IF(B6694,StartDate+D6694,"")</f>
        <v/>
      </c>
      <c r="F6694">
        <f>IF(B6694,MAX(MOD(SIN(Seed*0.1373+C6694*12.9898+D6694*78.233)*43758.5453,1),1E-9),"")</f>
        <v/>
      </c>
      <c r="G6694">
        <f>IF(B6694,MOD(SIN(Seed*0.5917+C6694*39.3468+D6694*11.135)*24634.6345,1),"")</f>
        <v/>
      </c>
      <c r="H6694">
        <f>IF(B6694,SQRT(-2*LN(F6694))*COS(2*PI()*G6694),"")</f>
        <v/>
      </c>
      <c r="I6694">
        <f>IF(B6694,IF(D6694=0,H6694,Rho*I6693+SQRT(1-Rho^2)*H6694),"")</f>
        <v/>
      </c>
      <c r="J6694">
        <f>IF(B6694,IF(Dist="Normal",DistA+DistB*I6694,DistA+(DistB-DistA)*NORMSDIST(I6694)),"")</f>
        <v/>
      </c>
      <c r="K6694">
        <f>IF(B6694,INDEX(MineScale,C6694),"")</f>
        <v/>
      </c>
      <c r="L6694">
        <f>IF(B6694,INDEX(Dow,1,WEEKDAY(E6694,2)),"")</f>
        <v/>
      </c>
      <c r="M6694">
        <f>IF(B6694,(1+Trend)^D6694,"")</f>
        <v/>
      </c>
      <c r="N6694">
        <f>IF(B6694,EXP(SUMPRODUCT(LN(1+(EvEff-1)*INDEX(Affected,0,C6694)*EXP(-((E6694-EvCenter)^2)/(2*EvSigma^2))))),"")</f>
        <v/>
      </c>
      <c r="O6694">
        <f>IF(B6694,ROUND(MAX(0,J6694*K6694*L6694*M6694*N6694),2),"")</f>
        <v/>
      </c>
    </row>
    <row r="6695">
      <c r="A6695" t="n">
        <v>6694</v>
      </c>
      <c r="B6695">
        <f>A6695&lt;=MineCount*Days</f>
        <v/>
      </c>
      <c r="C6695">
        <f>IF(B6695,INT((A6695-1)/Days)+1,"")</f>
        <v/>
      </c>
      <c r="D6695">
        <f>IF(B6695,MOD(A6695-1,Days),"")</f>
        <v/>
      </c>
      <c r="E6695" s="16">
        <f>IF(B6695,StartDate+D6695,"")</f>
        <v/>
      </c>
      <c r="F6695">
        <f>IF(B6695,MAX(MOD(SIN(Seed*0.1373+C6695*12.9898+D6695*78.233)*43758.5453,1),1E-9),"")</f>
        <v/>
      </c>
      <c r="G6695">
        <f>IF(B6695,MOD(SIN(Seed*0.5917+C6695*39.3468+D6695*11.135)*24634.6345,1),"")</f>
        <v/>
      </c>
      <c r="H6695">
        <f>IF(B6695,SQRT(-2*LN(F6695))*COS(2*PI()*G6695),"")</f>
        <v/>
      </c>
      <c r="I6695">
        <f>IF(B6695,IF(D6695=0,H6695,Rho*I6694+SQRT(1-Rho^2)*H6695),"")</f>
        <v/>
      </c>
      <c r="J6695">
        <f>IF(B6695,IF(Dist="Normal",DistA+DistB*I6695,DistA+(DistB-DistA)*NORMSDIST(I6695)),"")</f>
        <v/>
      </c>
      <c r="K6695">
        <f>IF(B6695,INDEX(MineScale,C6695),"")</f>
        <v/>
      </c>
      <c r="L6695">
        <f>IF(B6695,INDEX(Dow,1,WEEKDAY(E6695,2)),"")</f>
        <v/>
      </c>
      <c r="M6695">
        <f>IF(B6695,(1+Trend)^D6695,"")</f>
        <v/>
      </c>
      <c r="N6695">
        <f>IF(B6695,EXP(SUMPRODUCT(LN(1+(EvEff-1)*INDEX(Affected,0,C6695)*EXP(-((E6695-EvCenter)^2)/(2*EvSigma^2))))),"")</f>
        <v/>
      </c>
      <c r="O6695">
        <f>IF(B6695,ROUND(MAX(0,J6695*K6695*L6695*M6695*N6695),2),"")</f>
        <v/>
      </c>
    </row>
    <row r="6696">
      <c r="A6696" t="n">
        <v>6695</v>
      </c>
      <c r="B6696">
        <f>A6696&lt;=MineCount*Days</f>
        <v/>
      </c>
      <c r="C6696">
        <f>IF(B6696,INT((A6696-1)/Days)+1,"")</f>
        <v/>
      </c>
      <c r="D6696">
        <f>IF(B6696,MOD(A6696-1,Days),"")</f>
        <v/>
      </c>
      <c r="E6696" s="16">
        <f>IF(B6696,StartDate+D6696,"")</f>
        <v/>
      </c>
      <c r="F6696">
        <f>IF(B6696,MAX(MOD(SIN(Seed*0.1373+C6696*12.9898+D6696*78.233)*43758.5453,1),1E-9),"")</f>
        <v/>
      </c>
      <c r="G6696">
        <f>IF(B6696,MOD(SIN(Seed*0.5917+C6696*39.3468+D6696*11.135)*24634.6345,1),"")</f>
        <v/>
      </c>
      <c r="H6696">
        <f>IF(B6696,SQRT(-2*LN(F6696))*COS(2*PI()*G6696),"")</f>
        <v/>
      </c>
      <c r="I6696">
        <f>IF(B6696,IF(D6696=0,H6696,Rho*I6695+SQRT(1-Rho^2)*H6696),"")</f>
        <v/>
      </c>
      <c r="J6696">
        <f>IF(B6696,IF(Dist="Normal",DistA+DistB*I6696,DistA+(DistB-DistA)*NORMSDIST(I6696)),"")</f>
        <v/>
      </c>
      <c r="K6696">
        <f>IF(B6696,INDEX(MineScale,C6696),"")</f>
        <v/>
      </c>
      <c r="L6696">
        <f>IF(B6696,INDEX(Dow,1,WEEKDAY(E6696,2)),"")</f>
        <v/>
      </c>
      <c r="M6696">
        <f>IF(B6696,(1+Trend)^D6696,"")</f>
        <v/>
      </c>
      <c r="N6696">
        <f>IF(B6696,EXP(SUMPRODUCT(LN(1+(EvEff-1)*INDEX(Affected,0,C6696)*EXP(-((E6696-EvCenter)^2)/(2*EvSigma^2))))),"")</f>
        <v/>
      </c>
      <c r="O6696">
        <f>IF(B6696,ROUND(MAX(0,J6696*K6696*L6696*M6696*N6696),2),"")</f>
        <v/>
      </c>
    </row>
    <row r="6697">
      <c r="A6697" t="n">
        <v>6696</v>
      </c>
      <c r="B6697">
        <f>A6697&lt;=MineCount*Days</f>
        <v/>
      </c>
      <c r="C6697">
        <f>IF(B6697,INT((A6697-1)/Days)+1,"")</f>
        <v/>
      </c>
      <c r="D6697">
        <f>IF(B6697,MOD(A6697-1,Days),"")</f>
        <v/>
      </c>
      <c r="E6697" s="16">
        <f>IF(B6697,StartDate+D6697,"")</f>
        <v/>
      </c>
      <c r="F6697">
        <f>IF(B6697,MAX(MOD(SIN(Seed*0.1373+C6697*12.9898+D6697*78.233)*43758.5453,1),1E-9),"")</f>
        <v/>
      </c>
      <c r="G6697">
        <f>IF(B6697,MOD(SIN(Seed*0.5917+C6697*39.3468+D6697*11.135)*24634.6345,1),"")</f>
        <v/>
      </c>
      <c r="H6697">
        <f>IF(B6697,SQRT(-2*LN(F6697))*COS(2*PI()*G6697),"")</f>
        <v/>
      </c>
      <c r="I6697">
        <f>IF(B6697,IF(D6697=0,H6697,Rho*I6696+SQRT(1-Rho^2)*H6697),"")</f>
        <v/>
      </c>
      <c r="J6697">
        <f>IF(B6697,IF(Dist="Normal",DistA+DistB*I6697,DistA+(DistB-DistA)*NORMSDIST(I6697)),"")</f>
        <v/>
      </c>
      <c r="K6697">
        <f>IF(B6697,INDEX(MineScale,C6697),"")</f>
        <v/>
      </c>
      <c r="L6697">
        <f>IF(B6697,INDEX(Dow,1,WEEKDAY(E6697,2)),"")</f>
        <v/>
      </c>
      <c r="M6697">
        <f>IF(B6697,(1+Trend)^D6697,"")</f>
        <v/>
      </c>
      <c r="N6697">
        <f>IF(B6697,EXP(SUMPRODUCT(LN(1+(EvEff-1)*INDEX(Affected,0,C6697)*EXP(-((E6697-EvCenter)^2)/(2*EvSigma^2))))),"")</f>
        <v/>
      </c>
      <c r="O6697">
        <f>IF(B6697,ROUND(MAX(0,J6697*K6697*L6697*M6697*N6697),2),"")</f>
        <v/>
      </c>
    </row>
    <row r="6698">
      <c r="A6698" t="n">
        <v>6697</v>
      </c>
      <c r="B6698">
        <f>A6698&lt;=MineCount*Days</f>
        <v/>
      </c>
      <c r="C6698">
        <f>IF(B6698,INT((A6698-1)/Days)+1,"")</f>
        <v/>
      </c>
      <c r="D6698">
        <f>IF(B6698,MOD(A6698-1,Days),"")</f>
        <v/>
      </c>
      <c r="E6698" s="16">
        <f>IF(B6698,StartDate+D6698,"")</f>
        <v/>
      </c>
      <c r="F6698">
        <f>IF(B6698,MAX(MOD(SIN(Seed*0.1373+C6698*12.9898+D6698*78.233)*43758.5453,1),1E-9),"")</f>
        <v/>
      </c>
      <c r="G6698">
        <f>IF(B6698,MOD(SIN(Seed*0.5917+C6698*39.3468+D6698*11.135)*24634.6345,1),"")</f>
        <v/>
      </c>
      <c r="H6698">
        <f>IF(B6698,SQRT(-2*LN(F6698))*COS(2*PI()*G6698),"")</f>
        <v/>
      </c>
      <c r="I6698">
        <f>IF(B6698,IF(D6698=0,H6698,Rho*I6697+SQRT(1-Rho^2)*H6698),"")</f>
        <v/>
      </c>
      <c r="J6698">
        <f>IF(B6698,IF(Dist="Normal",DistA+DistB*I6698,DistA+(DistB-DistA)*NORMSDIST(I6698)),"")</f>
        <v/>
      </c>
      <c r="K6698">
        <f>IF(B6698,INDEX(MineScale,C6698),"")</f>
        <v/>
      </c>
      <c r="L6698">
        <f>IF(B6698,INDEX(Dow,1,WEEKDAY(E6698,2)),"")</f>
        <v/>
      </c>
      <c r="M6698">
        <f>IF(B6698,(1+Trend)^D6698,"")</f>
        <v/>
      </c>
      <c r="N6698">
        <f>IF(B6698,EXP(SUMPRODUCT(LN(1+(EvEff-1)*INDEX(Affected,0,C6698)*EXP(-((E6698-EvCenter)^2)/(2*EvSigma^2))))),"")</f>
        <v/>
      </c>
      <c r="O6698">
        <f>IF(B6698,ROUND(MAX(0,J6698*K6698*L6698*M6698*N6698),2),"")</f>
        <v/>
      </c>
    </row>
    <row r="6699">
      <c r="A6699" t="n">
        <v>6698</v>
      </c>
      <c r="B6699">
        <f>A6699&lt;=MineCount*Days</f>
        <v/>
      </c>
      <c r="C6699">
        <f>IF(B6699,INT((A6699-1)/Days)+1,"")</f>
        <v/>
      </c>
      <c r="D6699">
        <f>IF(B6699,MOD(A6699-1,Days),"")</f>
        <v/>
      </c>
      <c r="E6699" s="16">
        <f>IF(B6699,StartDate+D6699,"")</f>
        <v/>
      </c>
      <c r="F6699">
        <f>IF(B6699,MAX(MOD(SIN(Seed*0.1373+C6699*12.9898+D6699*78.233)*43758.5453,1),1E-9),"")</f>
        <v/>
      </c>
      <c r="G6699">
        <f>IF(B6699,MOD(SIN(Seed*0.5917+C6699*39.3468+D6699*11.135)*24634.6345,1),"")</f>
        <v/>
      </c>
      <c r="H6699">
        <f>IF(B6699,SQRT(-2*LN(F6699))*COS(2*PI()*G6699),"")</f>
        <v/>
      </c>
      <c r="I6699">
        <f>IF(B6699,IF(D6699=0,H6699,Rho*I6698+SQRT(1-Rho^2)*H6699),"")</f>
        <v/>
      </c>
      <c r="J6699">
        <f>IF(B6699,IF(Dist="Normal",DistA+DistB*I6699,DistA+(DistB-DistA)*NORMSDIST(I6699)),"")</f>
        <v/>
      </c>
      <c r="K6699">
        <f>IF(B6699,INDEX(MineScale,C6699),"")</f>
        <v/>
      </c>
      <c r="L6699">
        <f>IF(B6699,INDEX(Dow,1,WEEKDAY(E6699,2)),"")</f>
        <v/>
      </c>
      <c r="M6699">
        <f>IF(B6699,(1+Trend)^D6699,"")</f>
        <v/>
      </c>
      <c r="N6699">
        <f>IF(B6699,EXP(SUMPRODUCT(LN(1+(EvEff-1)*INDEX(Affected,0,C6699)*EXP(-((E6699-EvCenter)^2)/(2*EvSigma^2))))),"")</f>
        <v/>
      </c>
      <c r="O6699">
        <f>IF(B6699,ROUND(MAX(0,J6699*K6699*L6699*M6699*N6699),2),"")</f>
        <v/>
      </c>
    </row>
    <row r="6700">
      <c r="A6700" t="n">
        <v>6699</v>
      </c>
      <c r="B6700">
        <f>A6700&lt;=MineCount*Days</f>
        <v/>
      </c>
      <c r="C6700">
        <f>IF(B6700,INT((A6700-1)/Days)+1,"")</f>
        <v/>
      </c>
      <c r="D6700">
        <f>IF(B6700,MOD(A6700-1,Days),"")</f>
        <v/>
      </c>
      <c r="E6700" s="16">
        <f>IF(B6700,StartDate+D6700,"")</f>
        <v/>
      </c>
      <c r="F6700">
        <f>IF(B6700,MAX(MOD(SIN(Seed*0.1373+C6700*12.9898+D6700*78.233)*43758.5453,1),1E-9),"")</f>
        <v/>
      </c>
      <c r="G6700">
        <f>IF(B6700,MOD(SIN(Seed*0.5917+C6700*39.3468+D6700*11.135)*24634.6345,1),"")</f>
        <v/>
      </c>
      <c r="H6700">
        <f>IF(B6700,SQRT(-2*LN(F6700))*COS(2*PI()*G6700),"")</f>
        <v/>
      </c>
      <c r="I6700">
        <f>IF(B6700,IF(D6700=0,H6700,Rho*I6699+SQRT(1-Rho^2)*H6700),"")</f>
        <v/>
      </c>
      <c r="J6700">
        <f>IF(B6700,IF(Dist="Normal",DistA+DistB*I6700,DistA+(DistB-DistA)*NORMSDIST(I6700)),"")</f>
        <v/>
      </c>
      <c r="K6700">
        <f>IF(B6700,INDEX(MineScale,C6700),"")</f>
        <v/>
      </c>
      <c r="L6700">
        <f>IF(B6700,INDEX(Dow,1,WEEKDAY(E6700,2)),"")</f>
        <v/>
      </c>
      <c r="M6700">
        <f>IF(B6700,(1+Trend)^D6700,"")</f>
        <v/>
      </c>
      <c r="N6700">
        <f>IF(B6700,EXP(SUMPRODUCT(LN(1+(EvEff-1)*INDEX(Affected,0,C6700)*EXP(-((E6700-EvCenter)^2)/(2*EvSigma^2))))),"")</f>
        <v/>
      </c>
      <c r="O6700">
        <f>IF(B6700,ROUND(MAX(0,J6700*K6700*L6700*M6700*N6700),2),"")</f>
        <v/>
      </c>
    </row>
    <row r="6701">
      <c r="A6701" t="n">
        <v>6700</v>
      </c>
      <c r="B6701">
        <f>A6701&lt;=MineCount*Days</f>
        <v/>
      </c>
      <c r="C6701">
        <f>IF(B6701,INT((A6701-1)/Days)+1,"")</f>
        <v/>
      </c>
      <c r="D6701">
        <f>IF(B6701,MOD(A6701-1,Days),"")</f>
        <v/>
      </c>
      <c r="E6701" s="16">
        <f>IF(B6701,StartDate+D6701,"")</f>
        <v/>
      </c>
      <c r="F6701">
        <f>IF(B6701,MAX(MOD(SIN(Seed*0.1373+C6701*12.9898+D6701*78.233)*43758.5453,1),1E-9),"")</f>
        <v/>
      </c>
      <c r="G6701">
        <f>IF(B6701,MOD(SIN(Seed*0.5917+C6701*39.3468+D6701*11.135)*24634.6345,1),"")</f>
        <v/>
      </c>
      <c r="H6701">
        <f>IF(B6701,SQRT(-2*LN(F6701))*COS(2*PI()*G6701),"")</f>
        <v/>
      </c>
      <c r="I6701">
        <f>IF(B6701,IF(D6701=0,H6701,Rho*I6700+SQRT(1-Rho^2)*H6701),"")</f>
        <v/>
      </c>
      <c r="J6701">
        <f>IF(B6701,IF(Dist="Normal",DistA+DistB*I6701,DistA+(DistB-DistA)*NORMSDIST(I6701)),"")</f>
        <v/>
      </c>
      <c r="K6701">
        <f>IF(B6701,INDEX(MineScale,C6701),"")</f>
        <v/>
      </c>
      <c r="L6701">
        <f>IF(B6701,INDEX(Dow,1,WEEKDAY(E6701,2)),"")</f>
        <v/>
      </c>
      <c r="M6701">
        <f>IF(B6701,(1+Trend)^D6701,"")</f>
        <v/>
      </c>
      <c r="N6701">
        <f>IF(B6701,EXP(SUMPRODUCT(LN(1+(EvEff-1)*INDEX(Affected,0,C6701)*EXP(-((E6701-EvCenter)^2)/(2*EvSigma^2))))),"")</f>
        <v/>
      </c>
      <c r="O6701">
        <f>IF(B6701,ROUND(MAX(0,J6701*K6701*L6701*M6701*N6701),2),"")</f>
        <v/>
      </c>
    </row>
    <row r="6702">
      <c r="A6702" t="n">
        <v>6701</v>
      </c>
      <c r="B6702">
        <f>A6702&lt;=MineCount*Days</f>
        <v/>
      </c>
      <c r="C6702">
        <f>IF(B6702,INT((A6702-1)/Days)+1,"")</f>
        <v/>
      </c>
      <c r="D6702">
        <f>IF(B6702,MOD(A6702-1,Days),"")</f>
        <v/>
      </c>
      <c r="E6702" s="16">
        <f>IF(B6702,StartDate+D6702,"")</f>
        <v/>
      </c>
      <c r="F6702">
        <f>IF(B6702,MAX(MOD(SIN(Seed*0.1373+C6702*12.9898+D6702*78.233)*43758.5453,1),1E-9),"")</f>
        <v/>
      </c>
      <c r="G6702">
        <f>IF(B6702,MOD(SIN(Seed*0.5917+C6702*39.3468+D6702*11.135)*24634.6345,1),"")</f>
        <v/>
      </c>
      <c r="H6702">
        <f>IF(B6702,SQRT(-2*LN(F6702))*COS(2*PI()*G6702),"")</f>
        <v/>
      </c>
      <c r="I6702">
        <f>IF(B6702,IF(D6702=0,H6702,Rho*I6701+SQRT(1-Rho^2)*H6702),"")</f>
        <v/>
      </c>
      <c r="J6702">
        <f>IF(B6702,IF(Dist="Normal",DistA+DistB*I6702,DistA+(DistB-DistA)*NORMSDIST(I6702)),"")</f>
        <v/>
      </c>
      <c r="K6702">
        <f>IF(B6702,INDEX(MineScale,C6702),"")</f>
        <v/>
      </c>
      <c r="L6702">
        <f>IF(B6702,INDEX(Dow,1,WEEKDAY(E6702,2)),"")</f>
        <v/>
      </c>
      <c r="M6702">
        <f>IF(B6702,(1+Trend)^D6702,"")</f>
        <v/>
      </c>
      <c r="N6702">
        <f>IF(B6702,EXP(SUMPRODUCT(LN(1+(EvEff-1)*INDEX(Affected,0,C6702)*EXP(-((E6702-EvCenter)^2)/(2*EvSigma^2))))),"")</f>
        <v/>
      </c>
      <c r="O6702">
        <f>IF(B6702,ROUND(MAX(0,J6702*K6702*L6702*M6702*N6702),2),"")</f>
        <v/>
      </c>
    </row>
    <row r="6703">
      <c r="A6703" t="n">
        <v>6702</v>
      </c>
      <c r="B6703">
        <f>A6703&lt;=MineCount*Days</f>
        <v/>
      </c>
      <c r="C6703">
        <f>IF(B6703,INT((A6703-1)/Days)+1,"")</f>
        <v/>
      </c>
      <c r="D6703">
        <f>IF(B6703,MOD(A6703-1,Days),"")</f>
        <v/>
      </c>
      <c r="E6703" s="16">
        <f>IF(B6703,StartDate+D6703,"")</f>
        <v/>
      </c>
      <c r="F6703">
        <f>IF(B6703,MAX(MOD(SIN(Seed*0.1373+C6703*12.9898+D6703*78.233)*43758.5453,1),1E-9),"")</f>
        <v/>
      </c>
      <c r="G6703">
        <f>IF(B6703,MOD(SIN(Seed*0.5917+C6703*39.3468+D6703*11.135)*24634.6345,1),"")</f>
        <v/>
      </c>
      <c r="H6703">
        <f>IF(B6703,SQRT(-2*LN(F6703))*COS(2*PI()*G6703),"")</f>
        <v/>
      </c>
      <c r="I6703">
        <f>IF(B6703,IF(D6703=0,H6703,Rho*I6702+SQRT(1-Rho^2)*H6703),"")</f>
        <v/>
      </c>
      <c r="J6703">
        <f>IF(B6703,IF(Dist="Normal",DistA+DistB*I6703,DistA+(DistB-DistA)*NORMSDIST(I6703)),"")</f>
        <v/>
      </c>
      <c r="K6703">
        <f>IF(B6703,INDEX(MineScale,C6703),"")</f>
        <v/>
      </c>
      <c r="L6703">
        <f>IF(B6703,INDEX(Dow,1,WEEKDAY(E6703,2)),"")</f>
        <v/>
      </c>
      <c r="M6703">
        <f>IF(B6703,(1+Trend)^D6703,"")</f>
        <v/>
      </c>
      <c r="N6703">
        <f>IF(B6703,EXP(SUMPRODUCT(LN(1+(EvEff-1)*INDEX(Affected,0,C6703)*EXP(-((E6703-EvCenter)^2)/(2*EvSigma^2))))),"")</f>
        <v/>
      </c>
      <c r="O6703">
        <f>IF(B6703,ROUND(MAX(0,J6703*K6703*L6703*M6703*N6703),2),"")</f>
        <v/>
      </c>
    </row>
    <row r="6704">
      <c r="A6704" t="n">
        <v>6703</v>
      </c>
      <c r="B6704">
        <f>A6704&lt;=MineCount*Days</f>
        <v/>
      </c>
      <c r="C6704">
        <f>IF(B6704,INT((A6704-1)/Days)+1,"")</f>
        <v/>
      </c>
      <c r="D6704">
        <f>IF(B6704,MOD(A6704-1,Days),"")</f>
        <v/>
      </c>
      <c r="E6704" s="16">
        <f>IF(B6704,StartDate+D6704,"")</f>
        <v/>
      </c>
      <c r="F6704">
        <f>IF(B6704,MAX(MOD(SIN(Seed*0.1373+C6704*12.9898+D6704*78.233)*43758.5453,1),1E-9),"")</f>
        <v/>
      </c>
      <c r="G6704">
        <f>IF(B6704,MOD(SIN(Seed*0.5917+C6704*39.3468+D6704*11.135)*24634.6345,1),"")</f>
        <v/>
      </c>
      <c r="H6704">
        <f>IF(B6704,SQRT(-2*LN(F6704))*COS(2*PI()*G6704),"")</f>
        <v/>
      </c>
      <c r="I6704">
        <f>IF(B6704,IF(D6704=0,H6704,Rho*I6703+SQRT(1-Rho^2)*H6704),"")</f>
        <v/>
      </c>
      <c r="J6704">
        <f>IF(B6704,IF(Dist="Normal",DistA+DistB*I6704,DistA+(DistB-DistA)*NORMSDIST(I6704)),"")</f>
        <v/>
      </c>
      <c r="K6704">
        <f>IF(B6704,INDEX(MineScale,C6704),"")</f>
        <v/>
      </c>
      <c r="L6704">
        <f>IF(B6704,INDEX(Dow,1,WEEKDAY(E6704,2)),"")</f>
        <v/>
      </c>
      <c r="M6704">
        <f>IF(B6704,(1+Trend)^D6704,"")</f>
        <v/>
      </c>
      <c r="N6704">
        <f>IF(B6704,EXP(SUMPRODUCT(LN(1+(EvEff-1)*INDEX(Affected,0,C6704)*EXP(-((E6704-EvCenter)^2)/(2*EvSigma^2))))),"")</f>
        <v/>
      </c>
      <c r="O6704">
        <f>IF(B6704,ROUND(MAX(0,J6704*K6704*L6704*M6704*N6704),2),"")</f>
        <v/>
      </c>
    </row>
    <row r="6705">
      <c r="A6705" t="n">
        <v>6704</v>
      </c>
      <c r="B6705">
        <f>A6705&lt;=MineCount*Days</f>
        <v/>
      </c>
      <c r="C6705">
        <f>IF(B6705,INT((A6705-1)/Days)+1,"")</f>
        <v/>
      </c>
      <c r="D6705">
        <f>IF(B6705,MOD(A6705-1,Days),"")</f>
        <v/>
      </c>
      <c r="E6705" s="16">
        <f>IF(B6705,StartDate+D6705,"")</f>
        <v/>
      </c>
      <c r="F6705">
        <f>IF(B6705,MAX(MOD(SIN(Seed*0.1373+C6705*12.9898+D6705*78.233)*43758.5453,1),1E-9),"")</f>
        <v/>
      </c>
      <c r="G6705">
        <f>IF(B6705,MOD(SIN(Seed*0.5917+C6705*39.3468+D6705*11.135)*24634.6345,1),"")</f>
        <v/>
      </c>
      <c r="H6705">
        <f>IF(B6705,SQRT(-2*LN(F6705))*COS(2*PI()*G6705),"")</f>
        <v/>
      </c>
      <c r="I6705">
        <f>IF(B6705,IF(D6705=0,H6705,Rho*I6704+SQRT(1-Rho^2)*H6705),"")</f>
        <v/>
      </c>
      <c r="J6705">
        <f>IF(B6705,IF(Dist="Normal",DistA+DistB*I6705,DistA+(DistB-DistA)*NORMSDIST(I6705)),"")</f>
        <v/>
      </c>
      <c r="K6705">
        <f>IF(B6705,INDEX(MineScale,C6705),"")</f>
        <v/>
      </c>
      <c r="L6705">
        <f>IF(B6705,INDEX(Dow,1,WEEKDAY(E6705,2)),"")</f>
        <v/>
      </c>
      <c r="M6705">
        <f>IF(B6705,(1+Trend)^D6705,"")</f>
        <v/>
      </c>
      <c r="N6705">
        <f>IF(B6705,EXP(SUMPRODUCT(LN(1+(EvEff-1)*INDEX(Affected,0,C6705)*EXP(-((E6705-EvCenter)^2)/(2*EvSigma^2))))),"")</f>
        <v/>
      </c>
      <c r="O6705">
        <f>IF(B6705,ROUND(MAX(0,J6705*K6705*L6705*M6705*N6705),2),"")</f>
        <v/>
      </c>
    </row>
    <row r="6706">
      <c r="A6706" t="n">
        <v>6705</v>
      </c>
      <c r="B6706">
        <f>A6706&lt;=MineCount*Days</f>
        <v/>
      </c>
      <c r="C6706">
        <f>IF(B6706,INT((A6706-1)/Days)+1,"")</f>
        <v/>
      </c>
      <c r="D6706">
        <f>IF(B6706,MOD(A6706-1,Days),"")</f>
        <v/>
      </c>
      <c r="E6706" s="16">
        <f>IF(B6706,StartDate+D6706,"")</f>
        <v/>
      </c>
      <c r="F6706">
        <f>IF(B6706,MAX(MOD(SIN(Seed*0.1373+C6706*12.9898+D6706*78.233)*43758.5453,1),1E-9),"")</f>
        <v/>
      </c>
      <c r="G6706">
        <f>IF(B6706,MOD(SIN(Seed*0.5917+C6706*39.3468+D6706*11.135)*24634.6345,1),"")</f>
        <v/>
      </c>
      <c r="H6706">
        <f>IF(B6706,SQRT(-2*LN(F6706))*COS(2*PI()*G6706),"")</f>
        <v/>
      </c>
      <c r="I6706">
        <f>IF(B6706,IF(D6706=0,H6706,Rho*I6705+SQRT(1-Rho^2)*H6706),"")</f>
        <v/>
      </c>
      <c r="J6706">
        <f>IF(B6706,IF(Dist="Normal",DistA+DistB*I6706,DistA+(DistB-DistA)*NORMSDIST(I6706)),"")</f>
        <v/>
      </c>
      <c r="K6706">
        <f>IF(B6706,INDEX(MineScale,C6706),"")</f>
        <v/>
      </c>
      <c r="L6706">
        <f>IF(B6706,INDEX(Dow,1,WEEKDAY(E6706,2)),"")</f>
        <v/>
      </c>
      <c r="M6706">
        <f>IF(B6706,(1+Trend)^D6706,"")</f>
        <v/>
      </c>
      <c r="N6706">
        <f>IF(B6706,EXP(SUMPRODUCT(LN(1+(EvEff-1)*INDEX(Affected,0,C6706)*EXP(-((E6706-EvCenter)^2)/(2*EvSigma^2))))),"")</f>
        <v/>
      </c>
      <c r="O6706">
        <f>IF(B6706,ROUND(MAX(0,J6706*K6706*L6706*M6706*N6706),2),"")</f>
        <v/>
      </c>
    </row>
    <row r="6707">
      <c r="A6707" t="n">
        <v>6706</v>
      </c>
      <c r="B6707">
        <f>A6707&lt;=MineCount*Days</f>
        <v/>
      </c>
      <c r="C6707">
        <f>IF(B6707,INT((A6707-1)/Days)+1,"")</f>
        <v/>
      </c>
      <c r="D6707">
        <f>IF(B6707,MOD(A6707-1,Days),"")</f>
        <v/>
      </c>
      <c r="E6707" s="16">
        <f>IF(B6707,StartDate+D6707,"")</f>
        <v/>
      </c>
      <c r="F6707">
        <f>IF(B6707,MAX(MOD(SIN(Seed*0.1373+C6707*12.9898+D6707*78.233)*43758.5453,1),1E-9),"")</f>
        <v/>
      </c>
      <c r="G6707">
        <f>IF(B6707,MOD(SIN(Seed*0.5917+C6707*39.3468+D6707*11.135)*24634.6345,1),"")</f>
        <v/>
      </c>
      <c r="H6707">
        <f>IF(B6707,SQRT(-2*LN(F6707))*COS(2*PI()*G6707),"")</f>
        <v/>
      </c>
      <c r="I6707">
        <f>IF(B6707,IF(D6707=0,H6707,Rho*I6706+SQRT(1-Rho^2)*H6707),"")</f>
        <v/>
      </c>
      <c r="J6707">
        <f>IF(B6707,IF(Dist="Normal",DistA+DistB*I6707,DistA+(DistB-DistA)*NORMSDIST(I6707)),"")</f>
        <v/>
      </c>
      <c r="K6707">
        <f>IF(B6707,INDEX(MineScale,C6707),"")</f>
        <v/>
      </c>
      <c r="L6707">
        <f>IF(B6707,INDEX(Dow,1,WEEKDAY(E6707,2)),"")</f>
        <v/>
      </c>
      <c r="M6707">
        <f>IF(B6707,(1+Trend)^D6707,"")</f>
        <v/>
      </c>
      <c r="N6707">
        <f>IF(B6707,EXP(SUMPRODUCT(LN(1+(EvEff-1)*INDEX(Affected,0,C6707)*EXP(-((E6707-EvCenter)^2)/(2*EvSigma^2))))),"")</f>
        <v/>
      </c>
      <c r="O6707">
        <f>IF(B6707,ROUND(MAX(0,J6707*K6707*L6707*M6707*N6707),2),"")</f>
        <v/>
      </c>
    </row>
    <row r="6708">
      <c r="A6708" t="n">
        <v>6707</v>
      </c>
      <c r="B6708">
        <f>A6708&lt;=MineCount*Days</f>
        <v/>
      </c>
      <c r="C6708">
        <f>IF(B6708,INT((A6708-1)/Days)+1,"")</f>
        <v/>
      </c>
      <c r="D6708">
        <f>IF(B6708,MOD(A6708-1,Days),"")</f>
        <v/>
      </c>
      <c r="E6708" s="16">
        <f>IF(B6708,StartDate+D6708,"")</f>
        <v/>
      </c>
      <c r="F6708">
        <f>IF(B6708,MAX(MOD(SIN(Seed*0.1373+C6708*12.9898+D6708*78.233)*43758.5453,1),1E-9),"")</f>
        <v/>
      </c>
      <c r="G6708">
        <f>IF(B6708,MOD(SIN(Seed*0.5917+C6708*39.3468+D6708*11.135)*24634.6345,1),"")</f>
        <v/>
      </c>
      <c r="H6708">
        <f>IF(B6708,SQRT(-2*LN(F6708))*COS(2*PI()*G6708),"")</f>
        <v/>
      </c>
      <c r="I6708">
        <f>IF(B6708,IF(D6708=0,H6708,Rho*I6707+SQRT(1-Rho^2)*H6708),"")</f>
        <v/>
      </c>
      <c r="J6708">
        <f>IF(B6708,IF(Dist="Normal",DistA+DistB*I6708,DistA+(DistB-DistA)*NORMSDIST(I6708)),"")</f>
        <v/>
      </c>
      <c r="K6708">
        <f>IF(B6708,INDEX(MineScale,C6708),"")</f>
        <v/>
      </c>
      <c r="L6708">
        <f>IF(B6708,INDEX(Dow,1,WEEKDAY(E6708,2)),"")</f>
        <v/>
      </c>
      <c r="M6708">
        <f>IF(B6708,(1+Trend)^D6708,"")</f>
        <v/>
      </c>
      <c r="N6708">
        <f>IF(B6708,EXP(SUMPRODUCT(LN(1+(EvEff-1)*INDEX(Affected,0,C6708)*EXP(-((E6708-EvCenter)^2)/(2*EvSigma^2))))),"")</f>
        <v/>
      </c>
      <c r="O6708">
        <f>IF(B6708,ROUND(MAX(0,J6708*K6708*L6708*M6708*N6708),2),"")</f>
        <v/>
      </c>
    </row>
    <row r="6709">
      <c r="A6709" t="n">
        <v>6708</v>
      </c>
      <c r="B6709">
        <f>A6709&lt;=MineCount*Days</f>
        <v/>
      </c>
      <c r="C6709">
        <f>IF(B6709,INT((A6709-1)/Days)+1,"")</f>
        <v/>
      </c>
      <c r="D6709">
        <f>IF(B6709,MOD(A6709-1,Days),"")</f>
        <v/>
      </c>
      <c r="E6709" s="16">
        <f>IF(B6709,StartDate+D6709,"")</f>
        <v/>
      </c>
      <c r="F6709">
        <f>IF(B6709,MAX(MOD(SIN(Seed*0.1373+C6709*12.9898+D6709*78.233)*43758.5453,1),1E-9),"")</f>
        <v/>
      </c>
      <c r="G6709">
        <f>IF(B6709,MOD(SIN(Seed*0.5917+C6709*39.3468+D6709*11.135)*24634.6345,1),"")</f>
        <v/>
      </c>
      <c r="H6709">
        <f>IF(B6709,SQRT(-2*LN(F6709))*COS(2*PI()*G6709),"")</f>
        <v/>
      </c>
      <c r="I6709">
        <f>IF(B6709,IF(D6709=0,H6709,Rho*I6708+SQRT(1-Rho^2)*H6709),"")</f>
        <v/>
      </c>
      <c r="J6709">
        <f>IF(B6709,IF(Dist="Normal",DistA+DistB*I6709,DistA+(DistB-DistA)*NORMSDIST(I6709)),"")</f>
        <v/>
      </c>
      <c r="K6709">
        <f>IF(B6709,INDEX(MineScale,C6709),"")</f>
        <v/>
      </c>
      <c r="L6709">
        <f>IF(B6709,INDEX(Dow,1,WEEKDAY(E6709,2)),"")</f>
        <v/>
      </c>
      <c r="M6709">
        <f>IF(B6709,(1+Trend)^D6709,"")</f>
        <v/>
      </c>
      <c r="N6709">
        <f>IF(B6709,EXP(SUMPRODUCT(LN(1+(EvEff-1)*INDEX(Affected,0,C6709)*EXP(-((E6709-EvCenter)^2)/(2*EvSigma^2))))),"")</f>
        <v/>
      </c>
      <c r="O6709">
        <f>IF(B6709,ROUND(MAX(0,J6709*K6709*L6709*M6709*N6709),2),"")</f>
        <v/>
      </c>
    </row>
    <row r="6710">
      <c r="A6710" t="n">
        <v>6709</v>
      </c>
      <c r="B6710">
        <f>A6710&lt;=MineCount*Days</f>
        <v/>
      </c>
      <c r="C6710">
        <f>IF(B6710,INT((A6710-1)/Days)+1,"")</f>
        <v/>
      </c>
      <c r="D6710">
        <f>IF(B6710,MOD(A6710-1,Days),"")</f>
        <v/>
      </c>
      <c r="E6710" s="16">
        <f>IF(B6710,StartDate+D6710,"")</f>
        <v/>
      </c>
      <c r="F6710">
        <f>IF(B6710,MAX(MOD(SIN(Seed*0.1373+C6710*12.9898+D6710*78.233)*43758.5453,1),1E-9),"")</f>
        <v/>
      </c>
      <c r="G6710">
        <f>IF(B6710,MOD(SIN(Seed*0.5917+C6710*39.3468+D6710*11.135)*24634.6345,1),"")</f>
        <v/>
      </c>
      <c r="H6710">
        <f>IF(B6710,SQRT(-2*LN(F6710))*COS(2*PI()*G6710),"")</f>
        <v/>
      </c>
      <c r="I6710">
        <f>IF(B6710,IF(D6710=0,H6710,Rho*I6709+SQRT(1-Rho^2)*H6710),"")</f>
        <v/>
      </c>
      <c r="J6710">
        <f>IF(B6710,IF(Dist="Normal",DistA+DistB*I6710,DistA+(DistB-DistA)*NORMSDIST(I6710)),"")</f>
        <v/>
      </c>
      <c r="K6710">
        <f>IF(B6710,INDEX(MineScale,C6710),"")</f>
        <v/>
      </c>
      <c r="L6710">
        <f>IF(B6710,INDEX(Dow,1,WEEKDAY(E6710,2)),"")</f>
        <v/>
      </c>
      <c r="M6710">
        <f>IF(B6710,(1+Trend)^D6710,"")</f>
        <v/>
      </c>
      <c r="N6710">
        <f>IF(B6710,EXP(SUMPRODUCT(LN(1+(EvEff-1)*INDEX(Affected,0,C6710)*EXP(-((E6710-EvCenter)^2)/(2*EvSigma^2))))),"")</f>
        <v/>
      </c>
      <c r="O6710">
        <f>IF(B6710,ROUND(MAX(0,J6710*K6710*L6710*M6710*N6710),2),"")</f>
        <v/>
      </c>
    </row>
    <row r="6711">
      <c r="A6711" t="n">
        <v>6710</v>
      </c>
      <c r="B6711">
        <f>A6711&lt;=MineCount*Days</f>
        <v/>
      </c>
      <c r="C6711">
        <f>IF(B6711,INT((A6711-1)/Days)+1,"")</f>
        <v/>
      </c>
      <c r="D6711">
        <f>IF(B6711,MOD(A6711-1,Days),"")</f>
        <v/>
      </c>
      <c r="E6711" s="16">
        <f>IF(B6711,StartDate+D6711,"")</f>
        <v/>
      </c>
      <c r="F6711">
        <f>IF(B6711,MAX(MOD(SIN(Seed*0.1373+C6711*12.9898+D6711*78.233)*43758.5453,1),1E-9),"")</f>
        <v/>
      </c>
      <c r="G6711">
        <f>IF(B6711,MOD(SIN(Seed*0.5917+C6711*39.3468+D6711*11.135)*24634.6345,1),"")</f>
        <v/>
      </c>
      <c r="H6711">
        <f>IF(B6711,SQRT(-2*LN(F6711))*COS(2*PI()*G6711),"")</f>
        <v/>
      </c>
      <c r="I6711">
        <f>IF(B6711,IF(D6711=0,H6711,Rho*I6710+SQRT(1-Rho^2)*H6711),"")</f>
        <v/>
      </c>
      <c r="J6711">
        <f>IF(B6711,IF(Dist="Normal",DistA+DistB*I6711,DistA+(DistB-DistA)*NORMSDIST(I6711)),"")</f>
        <v/>
      </c>
      <c r="K6711">
        <f>IF(B6711,INDEX(MineScale,C6711),"")</f>
        <v/>
      </c>
      <c r="L6711">
        <f>IF(B6711,INDEX(Dow,1,WEEKDAY(E6711,2)),"")</f>
        <v/>
      </c>
      <c r="M6711">
        <f>IF(B6711,(1+Trend)^D6711,"")</f>
        <v/>
      </c>
      <c r="N6711">
        <f>IF(B6711,EXP(SUMPRODUCT(LN(1+(EvEff-1)*INDEX(Affected,0,C6711)*EXP(-((E6711-EvCenter)^2)/(2*EvSigma^2))))),"")</f>
        <v/>
      </c>
      <c r="O6711">
        <f>IF(B6711,ROUND(MAX(0,J6711*K6711*L6711*M6711*N6711),2),"")</f>
        <v/>
      </c>
    </row>
    <row r="6712">
      <c r="A6712" t="n">
        <v>6711</v>
      </c>
      <c r="B6712">
        <f>A6712&lt;=MineCount*Days</f>
        <v/>
      </c>
      <c r="C6712">
        <f>IF(B6712,INT((A6712-1)/Days)+1,"")</f>
        <v/>
      </c>
      <c r="D6712">
        <f>IF(B6712,MOD(A6712-1,Days),"")</f>
        <v/>
      </c>
      <c r="E6712" s="16">
        <f>IF(B6712,StartDate+D6712,"")</f>
        <v/>
      </c>
      <c r="F6712">
        <f>IF(B6712,MAX(MOD(SIN(Seed*0.1373+C6712*12.9898+D6712*78.233)*43758.5453,1),1E-9),"")</f>
        <v/>
      </c>
      <c r="G6712">
        <f>IF(B6712,MOD(SIN(Seed*0.5917+C6712*39.3468+D6712*11.135)*24634.6345,1),"")</f>
        <v/>
      </c>
      <c r="H6712">
        <f>IF(B6712,SQRT(-2*LN(F6712))*COS(2*PI()*G6712),"")</f>
        <v/>
      </c>
      <c r="I6712">
        <f>IF(B6712,IF(D6712=0,H6712,Rho*I6711+SQRT(1-Rho^2)*H6712),"")</f>
        <v/>
      </c>
      <c r="J6712">
        <f>IF(B6712,IF(Dist="Normal",DistA+DistB*I6712,DistA+(DistB-DistA)*NORMSDIST(I6712)),"")</f>
        <v/>
      </c>
      <c r="K6712">
        <f>IF(B6712,INDEX(MineScale,C6712),"")</f>
        <v/>
      </c>
      <c r="L6712">
        <f>IF(B6712,INDEX(Dow,1,WEEKDAY(E6712,2)),"")</f>
        <v/>
      </c>
      <c r="M6712">
        <f>IF(B6712,(1+Trend)^D6712,"")</f>
        <v/>
      </c>
      <c r="N6712">
        <f>IF(B6712,EXP(SUMPRODUCT(LN(1+(EvEff-1)*INDEX(Affected,0,C6712)*EXP(-((E6712-EvCenter)^2)/(2*EvSigma^2))))),"")</f>
        <v/>
      </c>
      <c r="O6712">
        <f>IF(B6712,ROUND(MAX(0,J6712*K6712*L6712*M6712*N6712),2),"")</f>
        <v/>
      </c>
    </row>
    <row r="6713">
      <c r="A6713" t="n">
        <v>6712</v>
      </c>
      <c r="B6713">
        <f>A6713&lt;=MineCount*Days</f>
        <v/>
      </c>
      <c r="C6713">
        <f>IF(B6713,INT((A6713-1)/Days)+1,"")</f>
        <v/>
      </c>
      <c r="D6713">
        <f>IF(B6713,MOD(A6713-1,Days),"")</f>
        <v/>
      </c>
      <c r="E6713" s="16">
        <f>IF(B6713,StartDate+D6713,"")</f>
        <v/>
      </c>
      <c r="F6713">
        <f>IF(B6713,MAX(MOD(SIN(Seed*0.1373+C6713*12.9898+D6713*78.233)*43758.5453,1),1E-9),"")</f>
        <v/>
      </c>
      <c r="G6713">
        <f>IF(B6713,MOD(SIN(Seed*0.5917+C6713*39.3468+D6713*11.135)*24634.6345,1),"")</f>
        <v/>
      </c>
      <c r="H6713">
        <f>IF(B6713,SQRT(-2*LN(F6713))*COS(2*PI()*G6713),"")</f>
        <v/>
      </c>
      <c r="I6713">
        <f>IF(B6713,IF(D6713=0,H6713,Rho*I6712+SQRT(1-Rho^2)*H6713),"")</f>
        <v/>
      </c>
      <c r="J6713">
        <f>IF(B6713,IF(Dist="Normal",DistA+DistB*I6713,DistA+(DistB-DistA)*NORMSDIST(I6713)),"")</f>
        <v/>
      </c>
      <c r="K6713">
        <f>IF(B6713,INDEX(MineScale,C6713),"")</f>
        <v/>
      </c>
      <c r="L6713">
        <f>IF(B6713,INDEX(Dow,1,WEEKDAY(E6713,2)),"")</f>
        <v/>
      </c>
      <c r="M6713">
        <f>IF(B6713,(1+Trend)^D6713,"")</f>
        <v/>
      </c>
      <c r="N6713">
        <f>IF(B6713,EXP(SUMPRODUCT(LN(1+(EvEff-1)*INDEX(Affected,0,C6713)*EXP(-((E6713-EvCenter)^2)/(2*EvSigma^2))))),"")</f>
        <v/>
      </c>
      <c r="O6713">
        <f>IF(B6713,ROUND(MAX(0,J6713*K6713*L6713*M6713*N6713),2),"")</f>
        <v/>
      </c>
    </row>
    <row r="6714">
      <c r="A6714" t="n">
        <v>6713</v>
      </c>
      <c r="B6714">
        <f>A6714&lt;=MineCount*Days</f>
        <v/>
      </c>
      <c r="C6714">
        <f>IF(B6714,INT((A6714-1)/Days)+1,"")</f>
        <v/>
      </c>
      <c r="D6714">
        <f>IF(B6714,MOD(A6714-1,Days),"")</f>
        <v/>
      </c>
      <c r="E6714" s="16">
        <f>IF(B6714,StartDate+D6714,"")</f>
        <v/>
      </c>
      <c r="F6714">
        <f>IF(B6714,MAX(MOD(SIN(Seed*0.1373+C6714*12.9898+D6714*78.233)*43758.5453,1),1E-9),"")</f>
        <v/>
      </c>
      <c r="G6714">
        <f>IF(B6714,MOD(SIN(Seed*0.5917+C6714*39.3468+D6714*11.135)*24634.6345,1),"")</f>
        <v/>
      </c>
      <c r="H6714">
        <f>IF(B6714,SQRT(-2*LN(F6714))*COS(2*PI()*G6714),"")</f>
        <v/>
      </c>
      <c r="I6714">
        <f>IF(B6714,IF(D6714=0,H6714,Rho*I6713+SQRT(1-Rho^2)*H6714),"")</f>
        <v/>
      </c>
      <c r="J6714">
        <f>IF(B6714,IF(Dist="Normal",DistA+DistB*I6714,DistA+(DistB-DistA)*NORMSDIST(I6714)),"")</f>
        <v/>
      </c>
      <c r="K6714">
        <f>IF(B6714,INDEX(MineScale,C6714),"")</f>
        <v/>
      </c>
      <c r="L6714">
        <f>IF(B6714,INDEX(Dow,1,WEEKDAY(E6714,2)),"")</f>
        <v/>
      </c>
      <c r="M6714">
        <f>IF(B6714,(1+Trend)^D6714,"")</f>
        <v/>
      </c>
      <c r="N6714">
        <f>IF(B6714,EXP(SUMPRODUCT(LN(1+(EvEff-1)*INDEX(Affected,0,C6714)*EXP(-((E6714-EvCenter)^2)/(2*EvSigma^2))))),"")</f>
        <v/>
      </c>
      <c r="O6714">
        <f>IF(B6714,ROUND(MAX(0,J6714*K6714*L6714*M6714*N6714),2),"")</f>
        <v/>
      </c>
    </row>
    <row r="6715">
      <c r="A6715" t="n">
        <v>6714</v>
      </c>
      <c r="B6715">
        <f>A6715&lt;=MineCount*Days</f>
        <v/>
      </c>
      <c r="C6715">
        <f>IF(B6715,INT((A6715-1)/Days)+1,"")</f>
        <v/>
      </c>
      <c r="D6715">
        <f>IF(B6715,MOD(A6715-1,Days),"")</f>
        <v/>
      </c>
      <c r="E6715" s="16">
        <f>IF(B6715,StartDate+D6715,"")</f>
        <v/>
      </c>
      <c r="F6715">
        <f>IF(B6715,MAX(MOD(SIN(Seed*0.1373+C6715*12.9898+D6715*78.233)*43758.5453,1),1E-9),"")</f>
        <v/>
      </c>
      <c r="G6715">
        <f>IF(B6715,MOD(SIN(Seed*0.5917+C6715*39.3468+D6715*11.135)*24634.6345,1),"")</f>
        <v/>
      </c>
      <c r="H6715">
        <f>IF(B6715,SQRT(-2*LN(F6715))*COS(2*PI()*G6715),"")</f>
        <v/>
      </c>
      <c r="I6715">
        <f>IF(B6715,IF(D6715=0,H6715,Rho*I6714+SQRT(1-Rho^2)*H6715),"")</f>
        <v/>
      </c>
      <c r="J6715">
        <f>IF(B6715,IF(Dist="Normal",DistA+DistB*I6715,DistA+(DistB-DistA)*NORMSDIST(I6715)),"")</f>
        <v/>
      </c>
      <c r="K6715">
        <f>IF(B6715,INDEX(MineScale,C6715),"")</f>
        <v/>
      </c>
      <c r="L6715">
        <f>IF(B6715,INDEX(Dow,1,WEEKDAY(E6715,2)),"")</f>
        <v/>
      </c>
      <c r="M6715">
        <f>IF(B6715,(1+Trend)^D6715,"")</f>
        <v/>
      </c>
      <c r="N6715">
        <f>IF(B6715,EXP(SUMPRODUCT(LN(1+(EvEff-1)*INDEX(Affected,0,C6715)*EXP(-((E6715-EvCenter)^2)/(2*EvSigma^2))))),"")</f>
        <v/>
      </c>
      <c r="O6715">
        <f>IF(B6715,ROUND(MAX(0,J6715*K6715*L6715*M6715*N6715),2),"")</f>
        <v/>
      </c>
    </row>
    <row r="6716">
      <c r="A6716" t="n">
        <v>6715</v>
      </c>
      <c r="B6716">
        <f>A6716&lt;=MineCount*Days</f>
        <v/>
      </c>
      <c r="C6716">
        <f>IF(B6716,INT((A6716-1)/Days)+1,"")</f>
        <v/>
      </c>
      <c r="D6716">
        <f>IF(B6716,MOD(A6716-1,Days),"")</f>
        <v/>
      </c>
      <c r="E6716" s="16">
        <f>IF(B6716,StartDate+D6716,"")</f>
        <v/>
      </c>
      <c r="F6716">
        <f>IF(B6716,MAX(MOD(SIN(Seed*0.1373+C6716*12.9898+D6716*78.233)*43758.5453,1),1E-9),"")</f>
        <v/>
      </c>
      <c r="G6716">
        <f>IF(B6716,MOD(SIN(Seed*0.5917+C6716*39.3468+D6716*11.135)*24634.6345,1),"")</f>
        <v/>
      </c>
      <c r="H6716">
        <f>IF(B6716,SQRT(-2*LN(F6716))*COS(2*PI()*G6716),"")</f>
        <v/>
      </c>
      <c r="I6716">
        <f>IF(B6716,IF(D6716=0,H6716,Rho*I6715+SQRT(1-Rho^2)*H6716),"")</f>
        <v/>
      </c>
      <c r="J6716">
        <f>IF(B6716,IF(Dist="Normal",DistA+DistB*I6716,DistA+(DistB-DistA)*NORMSDIST(I6716)),"")</f>
        <v/>
      </c>
      <c r="K6716">
        <f>IF(B6716,INDEX(MineScale,C6716),"")</f>
        <v/>
      </c>
      <c r="L6716">
        <f>IF(B6716,INDEX(Dow,1,WEEKDAY(E6716,2)),"")</f>
        <v/>
      </c>
      <c r="M6716">
        <f>IF(B6716,(1+Trend)^D6716,"")</f>
        <v/>
      </c>
      <c r="N6716">
        <f>IF(B6716,EXP(SUMPRODUCT(LN(1+(EvEff-1)*INDEX(Affected,0,C6716)*EXP(-((E6716-EvCenter)^2)/(2*EvSigma^2))))),"")</f>
        <v/>
      </c>
      <c r="O6716">
        <f>IF(B6716,ROUND(MAX(0,J6716*K6716*L6716*M6716*N6716),2),"")</f>
        <v/>
      </c>
    </row>
    <row r="6717">
      <c r="A6717" t="n">
        <v>6716</v>
      </c>
      <c r="B6717">
        <f>A6717&lt;=MineCount*Days</f>
        <v/>
      </c>
      <c r="C6717">
        <f>IF(B6717,INT((A6717-1)/Days)+1,"")</f>
        <v/>
      </c>
      <c r="D6717">
        <f>IF(B6717,MOD(A6717-1,Days),"")</f>
        <v/>
      </c>
      <c r="E6717" s="16">
        <f>IF(B6717,StartDate+D6717,"")</f>
        <v/>
      </c>
      <c r="F6717">
        <f>IF(B6717,MAX(MOD(SIN(Seed*0.1373+C6717*12.9898+D6717*78.233)*43758.5453,1),1E-9),"")</f>
        <v/>
      </c>
      <c r="G6717">
        <f>IF(B6717,MOD(SIN(Seed*0.5917+C6717*39.3468+D6717*11.135)*24634.6345,1),"")</f>
        <v/>
      </c>
      <c r="H6717">
        <f>IF(B6717,SQRT(-2*LN(F6717))*COS(2*PI()*G6717),"")</f>
        <v/>
      </c>
      <c r="I6717">
        <f>IF(B6717,IF(D6717=0,H6717,Rho*I6716+SQRT(1-Rho^2)*H6717),"")</f>
        <v/>
      </c>
      <c r="J6717">
        <f>IF(B6717,IF(Dist="Normal",DistA+DistB*I6717,DistA+(DistB-DistA)*NORMSDIST(I6717)),"")</f>
        <v/>
      </c>
      <c r="K6717">
        <f>IF(B6717,INDEX(MineScale,C6717),"")</f>
        <v/>
      </c>
      <c r="L6717">
        <f>IF(B6717,INDEX(Dow,1,WEEKDAY(E6717,2)),"")</f>
        <v/>
      </c>
      <c r="M6717">
        <f>IF(B6717,(1+Trend)^D6717,"")</f>
        <v/>
      </c>
      <c r="N6717">
        <f>IF(B6717,EXP(SUMPRODUCT(LN(1+(EvEff-1)*INDEX(Affected,0,C6717)*EXP(-((E6717-EvCenter)^2)/(2*EvSigma^2))))),"")</f>
        <v/>
      </c>
      <c r="O6717">
        <f>IF(B6717,ROUND(MAX(0,J6717*K6717*L6717*M6717*N6717),2),"")</f>
        <v/>
      </c>
    </row>
    <row r="6718">
      <c r="A6718" t="n">
        <v>6717</v>
      </c>
      <c r="B6718">
        <f>A6718&lt;=MineCount*Days</f>
        <v/>
      </c>
      <c r="C6718">
        <f>IF(B6718,INT((A6718-1)/Days)+1,"")</f>
        <v/>
      </c>
      <c r="D6718">
        <f>IF(B6718,MOD(A6718-1,Days),"")</f>
        <v/>
      </c>
      <c r="E6718" s="16">
        <f>IF(B6718,StartDate+D6718,"")</f>
        <v/>
      </c>
      <c r="F6718">
        <f>IF(B6718,MAX(MOD(SIN(Seed*0.1373+C6718*12.9898+D6718*78.233)*43758.5453,1),1E-9),"")</f>
        <v/>
      </c>
      <c r="G6718">
        <f>IF(B6718,MOD(SIN(Seed*0.5917+C6718*39.3468+D6718*11.135)*24634.6345,1),"")</f>
        <v/>
      </c>
      <c r="H6718">
        <f>IF(B6718,SQRT(-2*LN(F6718))*COS(2*PI()*G6718),"")</f>
        <v/>
      </c>
      <c r="I6718">
        <f>IF(B6718,IF(D6718=0,H6718,Rho*I6717+SQRT(1-Rho^2)*H6718),"")</f>
        <v/>
      </c>
      <c r="J6718">
        <f>IF(B6718,IF(Dist="Normal",DistA+DistB*I6718,DistA+(DistB-DistA)*NORMSDIST(I6718)),"")</f>
        <v/>
      </c>
      <c r="K6718">
        <f>IF(B6718,INDEX(MineScale,C6718),"")</f>
        <v/>
      </c>
      <c r="L6718">
        <f>IF(B6718,INDEX(Dow,1,WEEKDAY(E6718,2)),"")</f>
        <v/>
      </c>
      <c r="M6718">
        <f>IF(B6718,(1+Trend)^D6718,"")</f>
        <v/>
      </c>
      <c r="N6718">
        <f>IF(B6718,EXP(SUMPRODUCT(LN(1+(EvEff-1)*INDEX(Affected,0,C6718)*EXP(-((E6718-EvCenter)^2)/(2*EvSigma^2))))),"")</f>
        <v/>
      </c>
      <c r="O6718">
        <f>IF(B6718,ROUND(MAX(0,J6718*K6718*L6718*M6718*N6718),2),"")</f>
        <v/>
      </c>
    </row>
    <row r="6719">
      <c r="A6719" t="n">
        <v>6718</v>
      </c>
      <c r="B6719">
        <f>A6719&lt;=MineCount*Days</f>
        <v/>
      </c>
      <c r="C6719">
        <f>IF(B6719,INT((A6719-1)/Days)+1,"")</f>
        <v/>
      </c>
      <c r="D6719">
        <f>IF(B6719,MOD(A6719-1,Days),"")</f>
        <v/>
      </c>
      <c r="E6719" s="16">
        <f>IF(B6719,StartDate+D6719,"")</f>
        <v/>
      </c>
      <c r="F6719">
        <f>IF(B6719,MAX(MOD(SIN(Seed*0.1373+C6719*12.9898+D6719*78.233)*43758.5453,1),1E-9),"")</f>
        <v/>
      </c>
      <c r="G6719">
        <f>IF(B6719,MOD(SIN(Seed*0.5917+C6719*39.3468+D6719*11.135)*24634.6345,1),"")</f>
        <v/>
      </c>
      <c r="H6719">
        <f>IF(B6719,SQRT(-2*LN(F6719))*COS(2*PI()*G6719),"")</f>
        <v/>
      </c>
      <c r="I6719">
        <f>IF(B6719,IF(D6719=0,H6719,Rho*I6718+SQRT(1-Rho^2)*H6719),"")</f>
        <v/>
      </c>
      <c r="J6719">
        <f>IF(B6719,IF(Dist="Normal",DistA+DistB*I6719,DistA+(DistB-DistA)*NORMSDIST(I6719)),"")</f>
        <v/>
      </c>
      <c r="K6719">
        <f>IF(B6719,INDEX(MineScale,C6719),"")</f>
        <v/>
      </c>
      <c r="L6719">
        <f>IF(B6719,INDEX(Dow,1,WEEKDAY(E6719,2)),"")</f>
        <v/>
      </c>
      <c r="M6719">
        <f>IF(B6719,(1+Trend)^D6719,"")</f>
        <v/>
      </c>
      <c r="N6719">
        <f>IF(B6719,EXP(SUMPRODUCT(LN(1+(EvEff-1)*INDEX(Affected,0,C6719)*EXP(-((E6719-EvCenter)^2)/(2*EvSigma^2))))),"")</f>
        <v/>
      </c>
      <c r="O6719">
        <f>IF(B6719,ROUND(MAX(0,J6719*K6719*L6719*M6719*N6719),2),"")</f>
        <v/>
      </c>
    </row>
    <row r="6720">
      <c r="A6720" t="n">
        <v>6719</v>
      </c>
      <c r="B6720">
        <f>A6720&lt;=MineCount*Days</f>
        <v/>
      </c>
      <c r="C6720">
        <f>IF(B6720,INT((A6720-1)/Days)+1,"")</f>
        <v/>
      </c>
      <c r="D6720">
        <f>IF(B6720,MOD(A6720-1,Days),"")</f>
        <v/>
      </c>
      <c r="E6720" s="16">
        <f>IF(B6720,StartDate+D6720,"")</f>
        <v/>
      </c>
      <c r="F6720">
        <f>IF(B6720,MAX(MOD(SIN(Seed*0.1373+C6720*12.9898+D6720*78.233)*43758.5453,1),1E-9),"")</f>
        <v/>
      </c>
      <c r="G6720">
        <f>IF(B6720,MOD(SIN(Seed*0.5917+C6720*39.3468+D6720*11.135)*24634.6345,1),"")</f>
        <v/>
      </c>
      <c r="H6720">
        <f>IF(B6720,SQRT(-2*LN(F6720))*COS(2*PI()*G6720),"")</f>
        <v/>
      </c>
      <c r="I6720">
        <f>IF(B6720,IF(D6720=0,H6720,Rho*I6719+SQRT(1-Rho^2)*H6720),"")</f>
        <v/>
      </c>
      <c r="J6720">
        <f>IF(B6720,IF(Dist="Normal",DistA+DistB*I6720,DistA+(DistB-DistA)*NORMSDIST(I6720)),"")</f>
        <v/>
      </c>
      <c r="K6720">
        <f>IF(B6720,INDEX(MineScale,C6720),"")</f>
        <v/>
      </c>
      <c r="L6720">
        <f>IF(B6720,INDEX(Dow,1,WEEKDAY(E6720,2)),"")</f>
        <v/>
      </c>
      <c r="M6720">
        <f>IF(B6720,(1+Trend)^D6720,"")</f>
        <v/>
      </c>
      <c r="N6720">
        <f>IF(B6720,EXP(SUMPRODUCT(LN(1+(EvEff-1)*INDEX(Affected,0,C6720)*EXP(-((E6720-EvCenter)^2)/(2*EvSigma^2))))),"")</f>
        <v/>
      </c>
      <c r="O6720">
        <f>IF(B6720,ROUND(MAX(0,J6720*K6720*L6720*M6720*N6720),2),"")</f>
        <v/>
      </c>
    </row>
    <row r="6721">
      <c r="A6721" t="n">
        <v>6720</v>
      </c>
      <c r="B6721">
        <f>A6721&lt;=MineCount*Days</f>
        <v/>
      </c>
      <c r="C6721">
        <f>IF(B6721,INT((A6721-1)/Days)+1,"")</f>
        <v/>
      </c>
      <c r="D6721">
        <f>IF(B6721,MOD(A6721-1,Days),"")</f>
        <v/>
      </c>
      <c r="E6721" s="16">
        <f>IF(B6721,StartDate+D6721,"")</f>
        <v/>
      </c>
      <c r="F6721">
        <f>IF(B6721,MAX(MOD(SIN(Seed*0.1373+C6721*12.9898+D6721*78.233)*43758.5453,1),1E-9),"")</f>
        <v/>
      </c>
      <c r="G6721">
        <f>IF(B6721,MOD(SIN(Seed*0.5917+C6721*39.3468+D6721*11.135)*24634.6345,1),"")</f>
        <v/>
      </c>
      <c r="H6721">
        <f>IF(B6721,SQRT(-2*LN(F6721))*COS(2*PI()*G6721),"")</f>
        <v/>
      </c>
      <c r="I6721">
        <f>IF(B6721,IF(D6721=0,H6721,Rho*I6720+SQRT(1-Rho^2)*H6721),"")</f>
        <v/>
      </c>
      <c r="J6721">
        <f>IF(B6721,IF(Dist="Normal",DistA+DistB*I6721,DistA+(DistB-DistA)*NORMSDIST(I6721)),"")</f>
        <v/>
      </c>
      <c r="K6721">
        <f>IF(B6721,INDEX(MineScale,C6721),"")</f>
        <v/>
      </c>
      <c r="L6721">
        <f>IF(B6721,INDEX(Dow,1,WEEKDAY(E6721,2)),"")</f>
        <v/>
      </c>
      <c r="M6721">
        <f>IF(B6721,(1+Trend)^D6721,"")</f>
        <v/>
      </c>
      <c r="N6721">
        <f>IF(B6721,EXP(SUMPRODUCT(LN(1+(EvEff-1)*INDEX(Affected,0,C6721)*EXP(-((E6721-EvCenter)^2)/(2*EvSigma^2))))),"")</f>
        <v/>
      </c>
      <c r="O6721">
        <f>IF(B6721,ROUND(MAX(0,J6721*K6721*L6721*M6721*N6721),2),"")</f>
        <v/>
      </c>
    </row>
    <row r="6722">
      <c r="A6722" t="n">
        <v>6721</v>
      </c>
      <c r="B6722">
        <f>A6722&lt;=MineCount*Days</f>
        <v/>
      </c>
      <c r="C6722">
        <f>IF(B6722,INT((A6722-1)/Days)+1,"")</f>
        <v/>
      </c>
      <c r="D6722">
        <f>IF(B6722,MOD(A6722-1,Days),"")</f>
        <v/>
      </c>
      <c r="E6722" s="16">
        <f>IF(B6722,StartDate+D6722,"")</f>
        <v/>
      </c>
      <c r="F6722">
        <f>IF(B6722,MAX(MOD(SIN(Seed*0.1373+C6722*12.9898+D6722*78.233)*43758.5453,1),1E-9),"")</f>
        <v/>
      </c>
      <c r="G6722">
        <f>IF(B6722,MOD(SIN(Seed*0.5917+C6722*39.3468+D6722*11.135)*24634.6345,1),"")</f>
        <v/>
      </c>
      <c r="H6722">
        <f>IF(B6722,SQRT(-2*LN(F6722))*COS(2*PI()*G6722),"")</f>
        <v/>
      </c>
      <c r="I6722">
        <f>IF(B6722,IF(D6722=0,H6722,Rho*I6721+SQRT(1-Rho^2)*H6722),"")</f>
        <v/>
      </c>
      <c r="J6722">
        <f>IF(B6722,IF(Dist="Normal",DistA+DistB*I6722,DistA+(DistB-DistA)*NORMSDIST(I6722)),"")</f>
        <v/>
      </c>
      <c r="K6722">
        <f>IF(B6722,INDEX(MineScale,C6722),"")</f>
        <v/>
      </c>
      <c r="L6722">
        <f>IF(B6722,INDEX(Dow,1,WEEKDAY(E6722,2)),"")</f>
        <v/>
      </c>
      <c r="M6722">
        <f>IF(B6722,(1+Trend)^D6722,"")</f>
        <v/>
      </c>
      <c r="N6722">
        <f>IF(B6722,EXP(SUMPRODUCT(LN(1+(EvEff-1)*INDEX(Affected,0,C6722)*EXP(-((E6722-EvCenter)^2)/(2*EvSigma^2))))),"")</f>
        <v/>
      </c>
      <c r="O6722">
        <f>IF(B6722,ROUND(MAX(0,J6722*K6722*L6722*M6722*N6722),2),"")</f>
        <v/>
      </c>
    </row>
    <row r="6723">
      <c r="A6723" t="n">
        <v>6722</v>
      </c>
      <c r="B6723">
        <f>A6723&lt;=MineCount*Days</f>
        <v/>
      </c>
      <c r="C6723">
        <f>IF(B6723,INT((A6723-1)/Days)+1,"")</f>
        <v/>
      </c>
      <c r="D6723">
        <f>IF(B6723,MOD(A6723-1,Days),"")</f>
        <v/>
      </c>
      <c r="E6723" s="16">
        <f>IF(B6723,StartDate+D6723,"")</f>
        <v/>
      </c>
      <c r="F6723">
        <f>IF(B6723,MAX(MOD(SIN(Seed*0.1373+C6723*12.9898+D6723*78.233)*43758.5453,1),1E-9),"")</f>
        <v/>
      </c>
      <c r="G6723">
        <f>IF(B6723,MOD(SIN(Seed*0.5917+C6723*39.3468+D6723*11.135)*24634.6345,1),"")</f>
        <v/>
      </c>
      <c r="H6723">
        <f>IF(B6723,SQRT(-2*LN(F6723))*COS(2*PI()*G6723),"")</f>
        <v/>
      </c>
      <c r="I6723">
        <f>IF(B6723,IF(D6723=0,H6723,Rho*I6722+SQRT(1-Rho^2)*H6723),"")</f>
        <v/>
      </c>
      <c r="J6723">
        <f>IF(B6723,IF(Dist="Normal",DistA+DistB*I6723,DistA+(DistB-DistA)*NORMSDIST(I6723)),"")</f>
        <v/>
      </c>
      <c r="K6723">
        <f>IF(B6723,INDEX(MineScale,C6723),"")</f>
        <v/>
      </c>
      <c r="L6723">
        <f>IF(B6723,INDEX(Dow,1,WEEKDAY(E6723,2)),"")</f>
        <v/>
      </c>
      <c r="M6723">
        <f>IF(B6723,(1+Trend)^D6723,"")</f>
        <v/>
      </c>
      <c r="N6723">
        <f>IF(B6723,EXP(SUMPRODUCT(LN(1+(EvEff-1)*INDEX(Affected,0,C6723)*EXP(-((E6723-EvCenter)^2)/(2*EvSigma^2))))),"")</f>
        <v/>
      </c>
      <c r="O6723">
        <f>IF(B6723,ROUND(MAX(0,J6723*K6723*L6723*M6723*N6723),2),"")</f>
        <v/>
      </c>
    </row>
    <row r="6724">
      <c r="A6724" t="n">
        <v>6723</v>
      </c>
      <c r="B6724">
        <f>A6724&lt;=MineCount*Days</f>
        <v/>
      </c>
      <c r="C6724">
        <f>IF(B6724,INT((A6724-1)/Days)+1,"")</f>
        <v/>
      </c>
      <c r="D6724">
        <f>IF(B6724,MOD(A6724-1,Days),"")</f>
        <v/>
      </c>
      <c r="E6724" s="16">
        <f>IF(B6724,StartDate+D6724,"")</f>
        <v/>
      </c>
      <c r="F6724">
        <f>IF(B6724,MAX(MOD(SIN(Seed*0.1373+C6724*12.9898+D6724*78.233)*43758.5453,1),1E-9),"")</f>
        <v/>
      </c>
      <c r="G6724">
        <f>IF(B6724,MOD(SIN(Seed*0.5917+C6724*39.3468+D6724*11.135)*24634.6345,1),"")</f>
        <v/>
      </c>
      <c r="H6724">
        <f>IF(B6724,SQRT(-2*LN(F6724))*COS(2*PI()*G6724),"")</f>
        <v/>
      </c>
      <c r="I6724">
        <f>IF(B6724,IF(D6724=0,H6724,Rho*I6723+SQRT(1-Rho^2)*H6724),"")</f>
        <v/>
      </c>
      <c r="J6724">
        <f>IF(B6724,IF(Dist="Normal",DistA+DistB*I6724,DistA+(DistB-DistA)*NORMSDIST(I6724)),"")</f>
        <v/>
      </c>
      <c r="K6724">
        <f>IF(B6724,INDEX(MineScale,C6724),"")</f>
        <v/>
      </c>
      <c r="L6724">
        <f>IF(B6724,INDEX(Dow,1,WEEKDAY(E6724,2)),"")</f>
        <v/>
      </c>
      <c r="M6724">
        <f>IF(B6724,(1+Trend)^D6724,"")</f>
        <v/>
      </c>
      <c r="N6724">
        <f>IF(B6724,EXP(SUMPRODUCT(LN(1+(EvEff-1)*INDEX(Affected,0,C6724)*EXP(-((E6724-EvCenter)^2)/(2*EvSigma^2))))),"")</f>
        <v/>
      </c>
      <c r="O6724">
        <f>IF(B6724,ROUND(MAX(0,J6724*K6724*L6724*M6724*N6724),2),"")</f>
        <v/>
      </c>
    </row>
    <row r="6725">
      <c r="A6725" t="n">
        <v>6724</v>
      </c>
      <c r="B6725">
        <f>A6725&lt;=MineCount*Days</f>
        <v/>
      </c>
      <c r="C6725">
        <f>IF(B6725,INT((A6725-1)/Days)+1,"")</f>
        <v/>
      </c>
      <c r="D6725">
        <f>IF(B6725,MOD(A6725-1,Days),"")</f>
        <v/>
      </c>
      <c r="E6725" s="16">
        <f>IF(B6725,StartDate+D6725,"")</f>
        <v/>
      </c>
      <c r="F6725">
        <f>IF(B6725,MAX(MOD(SIN(Seed*0.1373+C6725*12.9898+D6725*78.233)*43758.5453,1),1E-9),"")</f>
        <v/>
      </c>
      <c r="G6725">
        <f>IF(B6725,MOD(SIN(Seed*0.5917+C6725*39.3468+D6725*11.135)*24634.6345,1),"")</f>
        <v/>
      </c>
      <c r="H6725">
        <f>IF(B6725,SQRT(-2*LN(F6725))*COS(2*PI()*G6725),"")</f>
        <v/>
      </c>
      <c r="I6725">
        <f>IF(B6725,IF(D6725=0,H6725,Rho*I6724+SQRT(1-Rho^2)*H6725),"")</f>
        <v/>
      </c>
      <c r="J6725">
        <f>IF(B6725,IF(Dist="Normal",DistA+DistB*I6725,DistA+(DistB-DistA)*NORMSDIST(I6725)),"")</f>
        <v/>
      </c>
      <c r="K6725">
        <f>IF(B6725,INDEX(MineScale,C6725),"")</f>
        <v/>
      </c>
      <c r="L6725">
        <f>IF(B6725,INDEX(Dow,1,WEEKDAY(E6725,2)),"")</f>
        <v/>
      </c>
      <c r="M6725">
        <f>IF(B6725,(1+Trend)^D6725,"")</f>
        <v/>
      </c>
      <c r="N6725">
        <f>IF(B6725,EXP(SUMPRODUCT(LN(1+(EvEff-1)*INDEX(Affected,0,C6725)*EXP(-((E6725-EvCenter)^2)/(2*EvSigma^2))))),"")</f>
        <v/>
      </c>
      <c r="O6725">
        <f>IF(B6725,ROUND(MAX(0,J6725*K6725*L6725*M6725*N6725),2),"")</f>
        <v/>
      </c>
    </row>
    <row r="6726">
      <c r="A6726" t="n">
        <v>6725</v>
      </c>
      <c r="B6726">
        <f>A6726&lt;=MineCount*Days</f>
        <v/>
      </c>
      <c r="C6726">
        <f>IF(B6726,INT((A6726-1)/Days)+1,"")</f>
        <v/>
      </c>
      <c r="D6726">
        <f>IF(B6726,MOD(A6726-1,Days),"")</f>
        <v/>
      </c>
      <c r="E6726" s="16">
        <f>IF(B6726,StartDate+D6726,"")</f>
        <v/>
      </c>
      <c r="F6726">
        <f>IF(B6726,MAX(MOD(SIN(Seed*0.1373+C6726*12.9898+D6726*78.233)*43758.5453,1),1E-9),"")</f>
        <v/>
      </c>
      <c r="G6726">
        <f>IF(B6726,MOD(SIN(Seed*0.5917+C6726*39.3468+D6726*11.135)*24634.6345,1),"")</f>
        <v/>
      </c>
      <c r="H6726">
        <f>IF(B6726,SQRT(-2*LN(F6726))*COS(2*PI()*G6726),"")</f>
        <v/>
      </c>
      <c r="I6726">
        <f>IF(B6726,IF(D6726=0,H6726,Rho*I6725+SQRT(1-Rho^2)*H6726),"")</f>
        <v/>
      </c>
      <c r="J6726">
        <f>IF(B6726,IF(Dist="Normal",DistA+DistB*I6726,DistA+(DistB-DistA)*NORMSDIST(I6726)),"")</f>
        <v/>
      </c>
      <c r="K6726">
        <f>IF(B6726,INDEX(MineScale,C6726),"")</f>
        <v/>
      </c>
      <c r="L6726">
        <f>IF(B6726,INDEX(Dow,1,WEEKDAY(E6726,2)),"")</f>
        <v/>
      </c>
      <c r="M6726">
        <f>IF(B6726,(1+Trend)^D6726,"")</f>
        <v/>
      </c>
      <c r="N6726">
        <f>IF(B6726,EXP(SUMPRODUCT(LN(1+(EvEff-1)*INDEX(Affected,0,C6726)*EXP(-((E6726-EvCenter)^2)/(2*EvSigma^2))))),"")</f>
        <v/>
      </c>
      <c r="O6726">
        <f>IF(B6726,ROUND(MAX(0,J6726*K6726*L6726*M6726*N6726),2),"")</f>
        <v/>
      </c>
    </row>
    <row r="6727">
      <c r="A6727" t="n">
        <v>6726</v>
      </c>
      <c r="B6727">
        <f>A6727&lt;=MineCount*Days</f>
        <v/>
      </c>
      <c r="C6727">
        <f>IF(B6727,INT((A6727-1)/Days)+1,"")</f>
        <v/>
      </c>
      <c r="D6727">
        <f>IF(B6727,MOD(A6727-1,Days),"")</f>
        <v/>
      </c>
      <c r="E6727" s="16">
        <f>IF(B6727,StartDate+D6727,"")</f>
        <v/>
      </c>
      <c r="F6727">
        <f>IF(B6727,MAX(MOD(SIN(Seed*0.1373+C6727*12.9898+D6727*78.233)*43758.5453,1),1E-9),"")</f>
        <v/>
      </c>
      <c r="G6727">
        <f>IF(B6727,MOD(SIN(Seed*0.5917+C6727*39.3468+D6727*11.135)*24634.6345,1),"")</f>
        <v/>
      </c>
      <c r="H6727">
        <f>IF(B6727,SQRT(-2*LN(F6727))*COS(2*PI()*G6727),"")</f>
        <v/>
      </c>
      <c r="I6727">
        <f>IF(B6727,IF(D6727=0,H6727,Rho*I6726+SQRT(1-Rho^2)*H6727),"")</f>
        <v/>
      </c>
      <c r="J6727">
        <f>IF(B6727,IF(Dist="Normal",DistA+DistB*I6727,DistA+(DistB-DistA)*NORMSDIST(I6727)),"")</f>
        <v/>
      </c>
      <c r="K6727">
        <f>IF(B6727,INDEX(MineScale,C6727),"")</f>
        <v/>
      </c>
      <c r="L6727">
        <f>IF(B6727,INDEX(Dow,1,WEEKDAY(E6727,2)),"")</f>
        <v/>
      </c>
      <c r="M6727">
        <f>IF(B6727,(1+Trend)^D6727,"")</f>
        <v/>
      </c>
      <c r="N6727">
        <f>IF(B6727,EXP(SUMPRODUCT(LN(1+(EvEff-1)*INDEX(Affected,0,C6727)*EXP(-((E6727-EvCenter)^2)/(2*EvSigma^2))))),"")</f>
        <v/>
      </c>
      <c r="O6727">
        <f>IF(B6727,ROUND(MAX(0,J6727*K6727*L6727*M6727*N6727),2),"")</f>
        <v/>
      </c>
    </row>
    <row r="6728">
      <c r="A6728" t="n">
        <v>6727</v>
      </c>
      <c r="B6728">
        <f>A6728&lt;=MineCount*Days</f>
        <v/>
      </c>
      <c r="C6728">
        <f>IF(B6728,INT((A6728-1)/Days)+1,"")</f>
        <v/>
      </c>
      <c r="D6728">
        <f>IF(B6728,MOD(A6728-1,Days),"")</f>
        <v/>
      </c>
      <c r="E6728" s="16">
        <f>IF(B6728,StartDate+D6728,"")</f>
        <v/>
      </c>
      <c r="F6728">
        <f>IF(B6728,MAX(MOD(SIN(Seed*0.1373+C6728*12.9898+D6728*78.233)*43758.5453,1),1E-9),"")</f>
        <v/>
      </c>
      <c r="G6728">
        <f>IF(B6728,MOD(SIN(Seed*0.5917+C6728*39.3468+D6728*11.135)*24634.6345,1),"")</f>
        <v/>
      </c>
      <c r="H6728">
        <f>IF(B6728,SQRT(-2*LN(F6728))*COS(2*PI()*G6728),"")</f>
        <v/>
      </c>
      <c r="I6728">
        <f>IF(B6728,IF(D6728=0,H6728,Rho*I6727+SQRT(1-Rho^2)*H6728),"")</f>
        <v/>
      </c>
      <c r="J6728">
        <f>IF(B6728,IF(Dist="Normal",DistA+DistB*I6728,DistA+(DistB-DistA)*NORMSDIST(I6728)),"")</f>
        <v/>
      </c>
      <c r="K6728">
        <f>IF(B6728,INDEX(MineScale,C6728),"")</f>
        <v/>
      </c>
      <c r="L6728">
        <f>IF(B6728,INDEX(Dow,1,WEEKDAY(E6728,2)),"")</f>
        <v/>
      </c>
      <c r="M6728">
        <f>IF(B6728,(1+Trend)^D6728,"")</f>
        <v/>
      </c>
      <c r="N6728">
        <f>IF(B6728,EXP(SUMPRODUCT(LN(1+(EvEff-1)*INDEX(Affected,0,C6728)*EXP(-((E6728-EvCenter)^2)/(2*EvSigma^2))))),"")</f>
        <v/>
      </c>
      <c r="O6728">
        <f>IF(B6728,ROUND(MAX(0,J6728*K6728*L6728*M6728*N6728),2),"")</f>
        <v/>
      </c>
    </row>
    <row r="6729">
      <c r="A6729" t="n">
        <v>6728</v>
      </c>
      <c r="B6729">
        <f>A6729&lt;=MineCount*Days</f>
        <v/>
      </c>
      <c r="C6729">
        <f>IF(B6729,INT((A6729-1)/Days)+1,"")</f>
        <v/>
      </c>
      <c r="D6729">
        <f>IF(B6729,MOD(A6729-1,Days),"")</f>
        <v/>
      </c>
      <c r="E6729" s="16">
        <f>IF(B6729,StartDate+D6729,"")</f>
        <v/>
      </c>
      <c r="F6729">
        <f>IF(B6729,MAX(MOD(SIN(Seed*0.1373+C6729*12.9898+D6729*78.233)*43758.5453,1),1E-9),"")</f>
        <v/>
      </c>
      <c r="G6729">
        <f>IF(B6729,MOD(SIN(Seed*0.5917+C6729*39.3468+D6729*11.135)*24634.6345,1),"")</f>
        <v/>
      </c>
      <c r="H6729">
        <f>IF(B6729,SQRT(-2*LN(F6729))*COS(2*PI()*G6729),"")</f>
        <v/>
      </c>
      <c r="I6729">
        <f>IF(B6729,IF(D6729=0,H6729,Rho*I6728+SQRT(1-Rho^2)*H6729),"")</f>
        <v/>
      </c>
      <c r="J6729">
        <f>IF(B6729,IF(Dist="Normal",DistA+DistB*I6729,DistA+(DistB-DistA)*NORMSDIST(I6729)),"")</f>
        <v/>
      </c>
      <c r="K6729">
        <f>IF(B6729,INDEX(MineScale,C6729),"")</f>
        <v/>
      </c>
      <c r="L6729">
        <f>IF(B6729,INDEX(Dow,1,WEEKDAY(E6729,2)),"")</f>
        <v/>
      </c>
      <c r="M6729">
        <f>IF(B6729,(1+Trend)^D6729,"")</f>
        <v/>
      </c>
      <c r="N6729">
        <f>IF(B6729,EXP(SUMPRODUCT(LN(1+(EvEff-1)*INDEX(Affected,0,C6729)*EXP(-((E6729-EvCenter)^2)/(2*EvSigma^2))))),"")</f>
        <v/>
      </c>
      <c r="O6729">
        <f>IF(B6729,ROUND(MAX(0,J6729*K6729*L6729*M6729*N6729),2),"")</f>
        <v/>
      </c>
    </row>
    <row r="6730">
      <c r="A6730" t="n">
        <v>6729</v>
      </c>
      <c r="B6730">
        <f>A6730&lt;=MineCount*Days</f>
        <v/>
      </c>
      <c r="C6730">
        <f>IF(B6730,INT((A6730-1)/Days)+1,"")</f>
        <v/>
      </c>
      <c r="D6730">
        <f>IF(B6730,MOD(A6730-1,Days),"")</f>
        <v/>
      </c>
      <c r="E6730" s="16">
        <f>IF(B6730,StartDate+D6730,"")</f>
        <v/>
      </c>
      <c r="F6730">
        <f>IF(B6730,MAX(MOD(SIN(Seed*0.1373+C6730*12.9898+D6730*78.233)*43758.5453,1),1E-9),"")</f>
        <v/>
      </c>
      <c r="G6730">
        <f>IF(B6730,MOD(SIN(Seed*0.5917+C6730*39.3468+D6730*11.135)*24634.6345,1),"")</f>
        <v/>
      </c>
      <c r="H6730">
        <f>IF(B6730,SQRT(-2*LN(F6730))*COS(2*PI()*G6730),"")</f>
        <v/>
      </c>
      <c r="I6730">
        <f>IF(B6730,IF(D6730=0,H6730,Rho*I6729+SQRT(1-Rho^2)*H6730),"")</f>
        <v/>
      </c>
      <c r="J6730">
        <f>IF(B6730,IF(Dist="Normal",DistA+DistB*I6730,DistA+(DistB-DistA)*NORMSDIST(I6730)),"")</f>
        <v/>
      </c>
      <c r="K6730">
        <f>IF(B6730,INDEX(MineScale,C6730),"")</f>
        <v/>
      </c>
      <c r="L6730">
        <f>IF(B6730,INDEX(Dow,1,WEEKDAY(E6730,2)),"")</f>
        <v/>
      </c>
      <c r="M6730">
        <f>IF(B6730,(1+Trend)^D6730,"")</f>
        <v/>
      </c>
      <c r="N6730">
        <f>IF(B6730,EXP(SUMPRODUCT(LN(1+(EvEff-1)*INDEX(Affected,0,C6730)*EXP(-((E6730-EvCenter)^2)/(2*EvSigma^2))))),"")</f>
        <v/>
      </c>
      <c r="O6730">
        <f>IF(B6730,ROUND(MAX(0,J6730*K6730*L6730*M6730*N6730),2),"")</f>
        <v/>
      </c>
    </row>
    <row r="6731">
      <c r="A6731" t="n">
        <v>6730</v>
      </c>
      <c r="B6731">
        <f>A6731&lt;=MineCount*Days</f>
        <v/>
      </c>
      <c r="C6731">
        <f>IF(B6731,INT((A6731-1)/Days)+1,"")</f>
        <v/>
      </c>
      <c r="D6731">
        <f>IF(B6731,MOD(A6731-1,Days),"")</f>
        <v/>
      </c>
      <c r="E6731" s="16">
        <f>IF(B6731,StartDate+D6731,"")</f>
        <v/>
      </c>
      <c r="F6731">
        <f>IF(B6731,MAX(MOD(SIN(Seed*0.1373+C6731*12.9898+D6731*78.233)*43758.5453,1),1E-9),"")</f>
        <v/>
      </c>
      <c r="G6731">
        <f>IF(B6731,MOD(SIN(Seed*0.5917+C6731*39.3468+D6731*11.135)*24634.6345,1),"")</f>
        <v/>
      </c>
      <c r="H6731">
        <f>IF(B6731,SQRT(-2*LN(F6731))*COS(2*PI()*G6731),"")</f>
        <v/>
      </c>
      <c r="I6731">
        <f>IF(B6731,IF(D6731=0,H6731,Rho*I6730+SQRT(1-Rho^2)*H6731),"")</f>
        <v/>
      </c>
      <c r="J6731">
        <f>IF(B6731,IF(Dist="Normal",DistA+DistB*I6731,DistA+(DistB-DistA)*NORMSDIST(I6731)),"")</f>
        <v/>
      </c>
      <c r="K6731">
        <f>IF(B6731,INDEX(MineScale,C6731),"")</f>
        <v/>
      </c>
      <c r="L6731">
        <f>IF(B6731,INDEX(Dow,1,WEEKDAY(E6731,2)),"")</f>
        <v/>
      </c>
      <c r="M6731">
        <f>IF(B6731,(1+Trend)^D6731,"")</f>
        <v/>
      </c>
      <c r="N6731">
        <f>IF(B6731,EXP(SUMPRODUCT(LN(1+(EvEff-1)*INDEX(Affected,0,C6731)*EXP(-((E6731-EvCenter)^2)/(2*EvSigma^2))))),"")</f>
        <v/>
      </c>
      <c r="O6731">
        <f>IF(B6731,ROUND(MAX(0,J6731*K6731*L6731*M6731*N6731),2),"")</f>
        <v/>
      </c>
    </row>
    <row r="6732">
      <c r="A6732" t="n">
        <v>6731</v>
      </c>
      <c r="B6732">
        <f>A6732&lt;=MineCount*Days</f>
        <v/>
      </c>
      <c r="C6732">
        <f>IF(B6732,INT((A6732-1)/Days)+1,"")</f>
        <v/>
      </c>
      <c r="D6732">
        <f>IF(B6732,MOD(A6732-1,Days),"")</f>
        <v/>
      </c>
      <c r="E6732" s="16">
        <f>IF(B6732,StartDate+D6732,"")</f>
        <v/>
      </c>
      <c r="F6732">
        <f>IF(B6732,MAX(MOD(SIN(Seed*0.1373+C6732*12.9898+D6732*78.233)*43758.5453,1),1E-9),"")</f>
        <v/>
      </c>
      <c r="G6732">
        <f>IF(B6732,MOD(SIN(Seed*0.5917+C6732*39.3468+D6732*11.135)*24634.6345,1),"")</f>
        <v/>
      </c>
      <c r="H6732">
        <f>IF(B6732,SQRT(-2*LN(F6732))*COS(2*PI()*G6732),"")</f>
        <v/>
      </c>
      <c r="I6732">
        <f>IF(B6732,IF(D6732=0,H6732,Rho*I6731+SQRT(1-Rho^2)*H6732),"")</f>
        <v/>
      </c>
      <c r="J6732">
        <f>IF(B6732,IF(Dist="Normal",DistA+DistB*I6732,DistA+(DistB-DistA)*NORMSDIST(I6732)),"")</f>
        <v/>
      </c>
      <c r="K6732">
        <f>IF(B6732,INDEX(MineScale,C6732),"")</f>
        <v/>
      </c>
      <c r="L6732">
        <f>IF(B6732,INDEX(Dow,1,WEEKDAY(E6732,2)),"")</f>
        <v/>
      </c>
      <c r="M6732">
        <f>IF(B6732,(1+Trend)^D6732,"")</f>
        <v/>
      </c>
      <c r="N6732">
        <f>IF(B6732,EXP(SUMPRODUCT(LN(1+(EvEff-1)*INDEX(Affected,0,C6732)*EXP(-((E6732-EvCenter)^2)/(2*EvSigma^2))))),"")</f>
        <v/>
      </c>
      <c r="O6732">
        <f>IF(B6732,ROUND(MAX(0,J6732*K6732*L6732*M6732*N6732),2),"")</f>
        <v/>
      </c>
    </row>
    <row r="6733">
      <c r="A6733" t="n">
        <v>6732</v>
      </c>
      <c r="B6733">
        <f>A6733&lt;=MineCount*Days</f>
        <v/>
      </c>
      <c r="C6733">
        <f>IF(B6733,INT((A6733-1)/Days)+1,"")</f>
        <v/>
      </c>
      <c r="D6733">
        <f>IF(B6733,MOD(A6733-1,Days),"")</f>
        <v/>
      </c>
      <c r="E6733" s="16">
        <f>IF(B6733,StartDate+D6733,"")</f>
        <v/>
      </c>
      <c r="F6733">
        <f>IF(B6733,MAX(MOD(SIN(Seed*0.1373+C6733*12.9898+D6733*78.233)*43758.5453,1),1E-9),"")</f>
        <v/>
      </c>
      <c r="G6733">
        <f>IF(B6733,MOD(SIN(Seed*0.5917+C6733*39.3468+D6733*11.135)*24634.6345,1),"")</f>
        <v/>
      </c>
      <c r="H6733">
        <f>IF(B6733,SQRT(-2*LN(F6733))*COS(2*PI()*G6733),"")</f>
        <v/>
      </c>
      <c r="I6733">
        <f>IF(B6733,IF(D6733=0,H6733,Rho*I6732+SQRT(1-Rho^2)*H6733),"")</f>
        <v/>
      </c>
      <c r="J6733">
        <f>IF(B6733,IF(Dist="Normal",DistA+DistB*I6733,DistA+(DistB-DistA)*NORMSDIST(I6733)),"")</f>
        <v/>
      </c>
      <c r="K6733">
        <f>IF(B6733,INDEX(MineScale,C6733),"")</f>
        <v/>
      </c>
      <c r="L6733">
        <f>IF(B6733,INDEX(Dow,1,WEEKDAY(E6733,2)),"")</f>
        <v/>
      </c>
      <c r="M6733">
        <f>IF(B6733,(1+Trend)^D6733,"")</f>
        <v/>
      </c>
      <c r="N6733">
        <f>IF(B6733,EXP(SUMPRODUCT(LN(1+(EvEff-1)*INDEX(Affected,0,C6733)*EXP(-((E6733-EvCenter)^2)/(2*EvSigma^2))))),"")</f>
        <v/>
      </c>
      <c r="O6733">
        <f>IF(B6733,ROUND(MAX(0,J6733*K6733*L6733*M6733*N6733),2),"")</f>
        <v/>
      </c>
    </row>
    <row r="6734">
      <c r="A6734" t="n">
        <v>6733</v>
      </c>
      <c r="B6734">
        <f>A6734&lt;=MineCount*Days</f>
        <v/>
      </c>
      <c r="C6734">
        <f>IF(B6734,INT((A6734-1)/Days)+1,"")</f>
        <v/>
      </c>
      <c r="D6734">
        <f>IF(B6734,MOD(A6734-1,Days),"")</f>
        <v/>
      </c>
      <c r="E6734" s="16">
        <f>IF(B6734,StartDate+D6734,"")</f>
        <v/>
      </c>
      <c r="F6734">
        <f>IF(B6734,MAX(MOD(SIN(Seed*0.1373+C6734*12.9898+D6734*78.233)*43758.5453,1),1E-9),"")</f>
        <v/>
      </c>
      <c r="G6734">
        <f>IF(B6734,MOD(SIN(Seed*0.5917+C6734*39.3468+D6734*11.135)*24634.6345,1),"")</f>
        <v/>
      </c>
      <c r="H6734">
        <f>IF(B6734,SQRT(-2*LN(F6734))*COS(2*PI()*G6734),"")</f>
        <v/>
      </c>
      <c r="I6734">
        <f>IF(B6734,IF(D6734=0,H6734,Rho*I6733+SQRT(1-Rho^2)*H6734),"")</f>
        <v/>
      </c>
      <c r="J6734">
        <f>IF(B6734,IF(Dist="Normal",DistA+DistB*I6734,DistA+(DistB-DistA)*NORMSDIST(I6734)),"")</f>
        <v/>
      </c>
      <c r="K6734">
        <f>IF(B6734,INDEX(MineScale,C6734),"")</f>
        <v/>
      </c>
      <c r="L6734">
        <f>IF(B6734,INDEX(Dow,1,WEEKDAY(E6734,2)),"")</f>
        <v/>
      </c>
      <c r="M6734">
        <f>IF(B6734,(1+Trend)^D6734,"")</f>
        <v/>
      </c>
      <c r="N6734">
        <f>IF(B6734,EXP(SUMPRODUCT(LN(1+(EvEff-1)*INDEX(Affected,0,C6734)*EXP(-((E6734-EvCenter)^2)/(2*EvSigma^2))))),"")</f>
        <v/>
      </c>
      <c r="O6734">
        <f>IF(B6734,ROUND(MAX(0,J6734*K6734*L6734*M6734*N6734),2),"")</f>
        <v/>
      </c>
    </row>
    <row r="6735">
      <c r="A6735" t="n">
        <v>6734</v>
      </c>
      <c r="B6735">
        <f>A6735&lt;=MineCount*Days</f>
        <v/>
      </c>
      <c r="C6735">
        <f>IF(B6735,INT((A6735-1)/Days)+1,"")</f>
        <v/>
      </c>
      <c r="D6735">
        <f>IF(B6735,MOD(A6735-1,Days),"")</f>
        <v/>
      </c>
      <c r="E6735" s="16">
        <f>IF(B6735,StartDate+D6735,"")</f>
        <v/>
      </c>
      <c r="F6735">
        <f>IF(B6735,MAX(MOD(SIN(Seed*0.1373+C6735*12.9898+D6735*78.233)*43758.5453,1),1E-9),"")</f>
        <v/>
      </c>
      <c r="G6735">
        <f>IF(B6735,MOD(SIN(Seed*0.5917+C6735*39.3468+D6735*11.135)*24634.6345,1),"")</f>
        <v/>
      </c>
      <c r="H6735">
        <f>IF(B6735,SQRT(-2*LN(F6735))*COS(2*PI()*G6735),"")</f>
        <v/>
      </c>
      <c r="I6735">
        <f>IF(B6735,IF(D6735=0,H6735,Rho*I6734+SQRT(1-Rho^2)*H6735),"")</f>
        <v/>
      </c>
      <c r="J6735">
        <f>IF(B6735,IF(Dist="Normal",DistA+DistB*I6735,DistA+(DistB-DistA)*NORMSDIST(I6735)),"")</f>
        <v/>
      </c>
      <c r="K6735">
        <f>IF(B6735,INDEX(MineScale,C6735),"")</f>
        <v/>
      </c>
      <c r="L6735">
        <f>IF(B6735,INDEX(Dow,1,WEEKDAY(E6735,2)),"")</f>
        <v/>
      </c>
      <c r="M6735">
        <f>IF(B6735,(1+Trend)^D6735,"")</f>
        <v/>
      </c>
      <c r="N6735">
        <f>IF(B6735,EXP(SUMPRODUCT(LN(1+(EvEff-1)*INDEX(Affected,0,C6735)*EXP(-((E6735-EvCenter)^2)/(2*EvSigma^2))))),"")</f>
        <v/>
      </c>
      <c r="O6735">
        <f>IF(B6735,ROUND(MAX(0,J6735*K6735*L6735*M6735*N6735),2),"")</f>
        <v/>
      </c>
    </row>
    <row r="6736">
      <c r="A6736" t="n">
        <v>6735</v>
      </c>
      <c r="B6736">
        <f>A6736&lt;=MineCount*Days</f>
        <v/>
      </c>
      <c r="C6736">
        <f>IF(B6736,INT((A6736-1)/Days)+1,"")</f>
        <v/>
      </c>
      <c r="D6736">
        <f>IF(B6736,MOD(A6736-1,Days),"")</f>
        <v/>
      </c>
      <c r="E6736" s="16">
        <f>IF(B6736,StartDate+D6736,"")</f>
        <v/>
      </c>
      <c r="F6736">
        <f>IF(B6736,MAX(MOD(SIN(Seed*0.1373+C6736*12.9898+D6736*78.233)*43758.5453,1),1E-9),"")</f>
        <v/>
      </c>
      <c r="G6736">
        <f>IF(B6736,MOD(SIN(Seed*0.5917+C6736*39.3468+D6736*11.135)*24634.6345,1),"")</f>
        <v/>
      </c>
      <c r="H6736">
        <f>IF(B6736,SQRT(-2*LN(F6736))*COS(2*PI()*G6736),"")</f>
        <v/>
      </c>
      <c r="I6736">
        <f>IF(B6736,IF(D6736=0,H6736,Rho*I6735+SQRT(1-Rho^2)*H6736),"")</f>
        <v/>
      </c>
      <c r="J6736">
        <f>IF(B6736,IF(Dist="Normal",DistA+DistB*I6736,DistA+(DistB-DistA)*NORMSDIST(I6736)),"")</f>
        <v/>
      </c>
      <c r="K6736">
        <f>IF(B6736,INDEX(MineScale,C6736),"")</f>
        <v/>
      </c>
      <c r="L6736">
        <f>IF(B6736,INDEX(Dow,1,WEEKDAY(E6736,2)),"")</f>
        <v/>
      </c>
      <c r="M6736">
        <f>IF(B6736,(1+Trend)^D6736,"")</f>
        <v/>
      </c>
      <c r="N6736">
        <f>IF(B6736,EXP(SUMPRODUCT(LN(1+(EvEff-1)*INDEX(Affected,0,C6736)*EXP(-((E6736-EvCenter)^2)/(2*EvSigma^2))))),"")</f>
        <v/>
      </c>
      <c r="O6736">
        <f>IF(B6736,ROUND(MAX(0,J6736*K6736*L6736*M6736*N6736),2),"")</f>
        <v/>
      </c>
    </row>
    <row r="6737">
      <c r="A6737" t="n">
        <v>6736</v>
      </c>
      <c r="B6737">
        <f>A6737&lt;=MineCount*Days</f>
        <v/>
      </c>
      <c r="C6737">
        <f>IF(B6737,INT((A6737-1)/Days)+1,"")</f>
        <v/>
      </c>
      <c r="D6737">
        <f>IF(B6737,MOD(A6737-1,Days),"")</f>
        <v/>
      </c>
      <c r="E6737" s="16">
        <f>IF(B6737,StartDate+D6737,"")</f>
        <v/>
      </c>
      <c r="F6737">
        <f>IF(B6737,MAX(MOD(SIN(Seed*0.1373+C6737*12.9898+D6737*78.233)*43758.5453,1),1E-9),"")</f>
        <v/>
      </c>
      <c r="G6737">
        <f>IF(B6737,MOD(SIN(Seed*0.5917+C6737*39.3468+D6737*11.135)*24634.6345,1),"")</f>
        <v/>
      </c>
      <c r="H6737">
        <f>IF(B6737,SQRT(-2*LN(F6737))*COS(2*PI()*G6737),"")</f>
        <v/>
      </c>
      <c r="I6737">
        <f>IF(B6737,IF(D6737=0,H6737,Rho*I6736+SQRT(1-Rho^2)*H6737),"")</f>
        <v/>
      </c>
      <c r="J6737">
        <f>IF(B6737,IF(Dist="Normal",DistA+DistB*I6737,DistA+(DistB-DistA)*NORMSDIST(I6737)),"")</f>
        <v/>
      </c>
      <c r="K6737">
        <f>IF(B6737,INDEX(MineScale,C6737),"")</f>
        <v/>
      </c>
      <c r="L6737">
        <f>IF(B6737,INDEX(Dow,1,WEEKDAY(E6737,2)),"")</f>
        <v/>
      </c>
      <c r="M6737">
        <f>IF(B6737,(1+Trend)^D6737,"")</f>
        <v/>
      </c>
      <c r="N6737">
        <f>IF(B6737,EXP(SUMPRODUCT(LN(1+(EvEff-1)*INDEX(Affected,0,C6737)*EXP(-((E6737-EvCenter)^2)/(2*EvSigma^2))))),"")</f>
        <v/>
      </c>
      <c r="O6737">
        <f>IF(B6737,ROUND(MAX(0,J6737*K6737*L6737*M6737*N6737),2),"")</f>
        <v/>
      </c>
    </row>
    <row r="6738">
      <c r="A6738" t="n">
        <v>6737</v>
      </c>
      <c r="B6738">
        <f>A6738&lt;=MineCount*Days</f>
        <v/>
      </c>
      <c r="C6738">
        <f>IF(B6738,INT((A6738-1)/Days)+1,"")</f>
        <v/>
      </c>
      <c r="D6738">
        <f>IF(B6738,MOD(A6738-1,Days),"")</f>
        <v/>
      </c>
      <c r="E6738" s="16">
        <f>IF(B6738,StartDate+D6738,"")</f>
        <v/>
      </c>
      <c r="F6738">
        <f>IF(B6738,MAX(MOD(SIN(Seed*0.1373+C6738*12.9898+D6738*78.233)*43758.5453,1),1E-9),"")</f>
        <v/>
      </c>
      <c r="G6738">
        <f>IF(B6738,MOD(SIN(Seed*0.5917+C6738*39.3468+D6738*11.135)*24634.6345,1),"")</f>
        <v/>
      </c>
      <c r="H6738">
        <f>IF(B6738,SQRT(-2*LN(F6738))*COS(2*PI()*G6738),"")</f>
        <v/>
      </c>
      <c r="I6738">
        <f>IF(B6738,IF(D6738=0,H6738,Rho*I6737+SQRT(1-Rho^2)*H6738),"")</f>
        <v/>
      </c>
      <c r="J6738">
        <f>IF(B6738,IF(Dist="Normal",DistA+DistB*I6738,DistA+(DistB-DistA)*NORMSDIST(I6738)),"")</f>
        <v/>
      </c>
      <c r="K6738">
        <f>IF(B6738,INDEX(MineScale,C6738),"")</f>
        <v/>
      </c>
      <c r="L6738">
        <f>IF(B6738,INDEX(Dow,1,WEEKDAY(E6738,2)),"")</f>
        <v/>
      </c>
      <c r="M6738">
        <f>IF(B6738,(1+Trend)^D6738,"")</f>
        <v/>
      </c>
      <c r="N6738">
        <f>IF(B6738,EXP(SUMPRODUCT(LN(1+(EvEff-1)*INDEX(Affected,0,C6738)*EXP(-((E6738-EvCenter)^2)/(2*EvSigma^2))))),"")</f>
        <v/>
      </c>
      <c r="O6738">
        <f>IF(B6738,ROUND(MAX(0,J6738*K6738*L6738*M6738*N6738),2),"")</f>
        <v/>
      </c>
    </row>
    <row r="6739">
      <c r="A6739" t="n">
        <v>6738</v>
      </c>
      <c r="B6739">
        <f>A6739&lt;=MineCount*Days</f>
        <v/>
      </c>
      <c r="C6739">
        <f>IF(B6739,INT((A6739-1)/Days)+1,"")</f>
        <v/>
      </c>
      <c r="D6739">
        <f>IF(B6739,MOD(A6739-1,Days),"")</f>
        <v/>
      </c>
      <c r="E6739" s="16">
        <f>IF(B6739,StartDate+D6739,"")</f>
        <v/>
      </c>
      <c r="F6739">
        <f>IF(B6739,MAX(MOD(SIN(Seed*0.1373+C6739*12.9898+D6739*78.233)*43758.5453,1),1E-9),"")</f>
        <v/>
      </c>
      <c r="G6739">
        <f>IF(B6739,MOD(SIN(Seed*0.5917+C6739*39.3468+D6739*11.135)*24634.6345,1),"")</f>
        <v/>
      </c>
      <c r="H6739">
        <f>IF(B6739,SQRT(-2*LN(F6739))*COS(2*PI()*G6739),"")</f>
        <v/>
      </c>
      <c r="I6739">
        <f>IF(B6739,IF(D6739=0,H6739,Rho*I6738+SQRT(1-Rho^2)*H6739),"")</f>
        <v/>
      </c>
      <c r="J6739">
        <f>IF(B6739,IF(Dist="Normal",DistA+DistB*I6739,DistA+(DistB-DistA)*NORMSDIST(I6739)),"")</f>
        <v/>
      </c>
      <c r="K6739">
        <f>IF(B6739,INDEX(MineScale,C6739),"")</f>
        <v/>
      </c>
      <c r="L6739">
        <f>IF(B6739,INDEX(Dow,1,WEEKDAY(E6739,2)),"")</f>
        <v/>
      </c>
      <c r="M6739">
        <f>IF(B6739,(1+Trend)^D6739,"")</f>
        <v/>
      </c>
      <c r="N6739">
        <f>IF(B6739,EXP(SUMPRODUCT(LN(1+(EvEff-1)*INDEX(Affected,0,C6739)*EXP(-((E6739-EvCenter)^2)/(2*EvSigma^2))))),"")</f>
        <v/>
      </c>
      <c r="O6739">
        <f>IF(B6739,ROUND(MAX(0,J6739*K6739*L6739*M6739*N6739),2),"")</f>
        <v/>
      </c>
    </row>
    <row r="6740">
      <c r="A6740" t="n">
        <v>6739</v>
      </c>
      <c r="B6740">
        <f>A6740&lt;=MineCount*Days</f>
        <v/>
      </c>
      <c r="C6740">
        <f>IF(B6740,INT((A6740-1)/Days)+1,"")</f>
        <v/>
      </c>
      <c r="D6740">
        <f>IF(B6740,MOD(A6740-1,Days),"")</f>
        <v/>
      </c>
      <c r="E6740" s="16">
        <f>IF(B6740,StartDate+D6740,"")</f>
        <v/>
      </c>
      <c r="F6740">
        <f>IF(B6740,MAX(MOD(SIN(Seed*0.1373+C6740*12.9898+D6740*78.233)*43758.5453,1),1E-9),"")</f>
        <v/>
      </c>
      <c r="G6740">
        <f>IF(B6740,MOD(SIN(Seed*0.5917+C6740*39.3468+D6740*11.135)*24634.6345,1),"")</f>
        <v/>
      </c>
      <c r="H6740">
        <f>IF(B6740,SQRT(-2*LN(F6740))*COS(2*PI()*G6740),"")</f>
        <v/>
      </c>
      <c r="I6740">
        <f>IF(B6740,IF(D6740=0,H6740,Rho*I6739+SQRT(1-Rho^2)*H6740),"")</f>
        <v/>
      </c>
      <c r="J6740">
        <f>IF(B6740,IF(Dist="Normal",DistA+DistB*I6740,DistA+(DistB-DistA)*NORMSDIST(I6740)),"")</f>
        <v/>
      </c>
      <c r="K6740">
        <f>IF(B6740,INDEX(MineScale,C6740),"")</f>
        <v/>
      </c>
      <c r="L6740">
        <f>IF(B6740,INDEX(Dow,1,WEEKDAY(E6740,2)),"")</f>
        <v/>
      </c>
      <c r="M6740">
        <f>IF(B6740,(1+Trend)^D6740,"")</f>
        <v/>
      </c>
      <c r="N6740">
        <f>IF(B6740,EXP(SUMPRODUCT(LN(1+(EvEff-1)*INDEX(Affected,0,C6740)*EXP(-((E6740-EvCenter)^2)/(2*EvSigma^2))))),"")</f>
        <v/>
      </c>
      <c r="O6740">
        <f>IF(B6740,ROUND(MAX(0,J6740*K6740*L6740*M6740*N6740),2),"")</f>
        <v/>
      </c>
    </row>
    <row r="6741">
      <c r="A6741" t="n">
        <v>6740</v>
      </c>
      <c r="B6741">
        <f>A6741&lt;=MineCount*Days</f>
        <v/>
      </c>
      <c r="C6741">
        <f>IF(B6741,INT((A6741-1)/Days)+1,"")</f>
        <v/>
      </c>
      <c r="D6741">
        <f>IF(B6741,MOD(A6741-1,Days),"")</f>
        <v/>
      </c>
      <c r="E6741" s="16">
        <f>IF(B6741,StartDate+D6741,"")</f>
        <v/>
      </c>
      <c r="F6741">
        <f>IF(B6741,MAX(MOD(SIN(Seed*0.1373+C6741*12.9898+D6741*78.233)*43758.5453,1),1E-9),"")</f>
        <v/>
      </c>
      <c r="G6741">
        <f>IF(B6741,MOD(SIN(Seed*0.5917+C6741*39.3468+D6741*11.135)*24634.6345,1),"")</f>
        <v/>
      </c>
      <c r="H6741">
        <f>IF(B6741,SQRT(-2*LN(F6741))*COS(2*PI()*G6741),"")</f>
        <v/>
      </c>
      <c r="I6741">
        <f>IF(B6741,IF(D6741=0,H6741,Rho*I6740+SQRT(1-Rho^2)*H6741),"")</f>
        <v/>
      </c>
      <c r="J6741">
        <f>IF(B6741,IF(Dist="Normal",DistA+DistB*I6741,DistA+(DistB-DistA)*NORMSDIST(I6741)),"")</f>
        <v/>
      </c>
      <c r="K6741">
        <f>IF(B6741,INDEX(MineScale,C6741),"")</f>
        <v/>
      </c>
      <c r="L6741">
        <f>IF(B6741,INDEX(Dow,1,WEEKDAY(E6741,2)),"")</f>
        <v/>
      </c>
      <c r="M6741">
        <f>IF(B6741,(1+Trend)^D6741,"")</f>
        <v/>
      </c>
      <c r="N6741">
        <f>IF(B6741,EXP(SUMPRODUCT(LN(1+(EvEff-1)*INDEX(Affected,0,C6741)*EXP(-((E6741-EvCenter)^2)/(2*EvSigma^2))))),"")</f>
        <v/>
      </c>
      <c r="O6741">
        <f>IF(B6741,ROUND(MAX(0,J6741*K6741*L6741*M6741*N6741),2),"")</f>
        <v/>
      </c>
    </row>
    <row r="6742">
      <c r="A6742" t="n">
        <v>6741</v>
      </c>
      <c r="B6742">
        <f>A6742&lt;=MineCount*Days</f>
        <v/>
      </c>
      <c r="C6742">
        <f>IF(B6742,INT((A6742-1)/Days)+1,"")</f>
        <v/>
      </c>
      <c r="D6742">
        <f>IF(B6742,MOD(A6742-1,Days),"")</f>
        <v/>
      </c>
      <c r="E6742" s="16">
        <f>IF(B6742,StartDate+D6742,"")</f>
        <v/>
      </c>
      <c r="F6742">
        <f>IF(B6742,MAX(MOD(SIN(Seed*0.1373+C6742*12.9898+D6742*78.233)*43758.5453,1),1E-9),"")</f>
        <v/>
      </c>
      <c r="G6742">
        <f>IF(B6742,MOD(SIN(Seed*0.5917+C6742*39.3468+D6742*11.135)*24634.6345,1),"")</f>
        <v/>
      </c>
      <c r="H6742">
        <f>IF(B6742,SQRT(-2*LN(F6742))*COS(2*PI()*G6742),"")</f>
        <v/>
      </c>
      <c r="I6742">
        <f>IF(B6742,IF(D6742=0,H6742,Rho*I6741+SQRT(1-Rho^2)*H6742),"")</f>
        <v/>
      </c>
      <c r="J6742">
        <f>IF(B6742,IF(Dist="Normal",DistA+DistB*I6742,DistA+(DistB-DistA)*NORMSDIST(I6742)),"")</f>
        <v/>
      </c>
      <c r="K6742">
        <f>IF(B6742,INDEX(MineScale,C6742),"")</f>
        <v/>
      </c>
      <c r="L6742">
        <f>IF(B6742,INDEX(Dow,1,WEEKDAY(E6742,2)),"")</f>
        <v/>
      </c>
      <c r="M6742">
        <f>IF(B6742,(1+Trend)^D6742,"")</f>
        <v/>
      </c>
      <c r="N6742">
        <f>IF(B6742,EXP(SUMPRODUCT(LN(1+(EvEff-1)*INDEX(Affected,0,C6742)*EXP(-((E6742-EvCenter)^2)/(2*EvSigma^2))))),"")</f>
        <v/>
      </c>
      <c r="O6742">
        <f>IF(B6742,ROUND(MAX(0,J6742*K6742*L6742*M6742*N6742),2),"")</f>
        <v/>
      </c>
    </row>
    <row r="6743">
      <c r="A6743" t="n">
        <v>6742</v>
      </c>
      <c r="B6743">
        <f>A6743&lt;=MineCount*Days</f>
        <v/>
      </c>
      <c r="C6743">
        <f>IF(B6743,INT((A6743-1)/Days)+1,"")</f>
        <v/>
      </c>
      <c r="D6743">
        <f>IF(B6743,MOD(A6743-1,Days),"")</f>
        <v/>
      </c>
      <c r="E6743" s="16">
        <f>IF(B6743,StartDate+D6743,"")</f>
        <v/>
      </c>
      <c r="F6743">
        <f>IF(B6743,MAX(MOD(SIN(Seed*0.1373+C6743*12.9898+D6743*78.233)*43758.5453,1),1E-9),"")</f>
        <v/>
      </c>
      <c r="G6743">
        <f>IF(B6743,MOD(SIN(Seed*0.5917+C6743*39.3468+D6743*11.135)*24634.6345,1),"")</f>
        <v/>
      </c>
      <c r="H6743">
        <f>IF(B6743,SQRT(-2*LN(F6743))*COS(2*PI()*G6743),"")</f>
        <v/>
      </c>
      <c r="I6743">
        <f>IF(B6743,IF(D6743=0,H6743,Rho*I6742+SQRT(1-Rho^2)*H6743),"")</f>
        <v/>
      </c>
      <c r="J6743">
        <f>IF(B6743,IF(Dist="Normal",DistA+DistB*I6743,DistA+(DistB-DistA)*NORMSDIST(I6743)),"")</f>
        <v/>
      </c>
      <c r="K6743">
        <f>IF(B6743,INDEX(MineScale,C6743),"")</f>
        <v/>
      </c>
      <c r="L6743">
        <f>IF(B6743,INDEX(Dow,1,WEEKDAY(E6743,2)),"")</f>
        <v/>
      </c>
      <c r="M6743">
        <f>IF(B6743,(1+Trend)^D6743,"")</f>
        <v/>
      </c>
      <c r="N6743">
        <f>IF(B6743,EXP(SUMPRODUCT(LN(1+(EvEff-1)*INDEX(Affected,0,C6743)*EXP(-((E6743-EvCenter)^2)/(2*EvSigma^2))))),"")</f>
        <v/>
      </c>
      <c r="O6743">
        <f>IF(B6743,ROUND(MAX(0,J6743*K6743*L6743*M6743*N6743),2),"")</f>
        <v/>
      </c>
    </row>
    <row r="6744">
      <c r="A6744" t="n">
        <v>6743</v>
      </c>
      <c r="B6744">
        <f>A6744&lt;=MineCount*Days</f>
        <v/>
      </c>
      <c r="C6744">
        <f>IF(B6744,INT((A6744-1)/Days)+1,"")</f>
        <v/>
      </c>
      <c r="D6744">
        <f>IF(B6744,MOD(A6744-1,Days),"")</f>
        <v/>
      </c>
      <c r="E6744" s="16">
        <f>IF(B6744,StartDate+D6744,"")</f>
        <v/>
      </c>
      <c r="F6744">
        <f>IF(B6744,MAX(MOD(SIN(Seed*0.1373+C6744*12.9898+D6744*78.233)*43758.5453,1),1E-9),"")</f>
        <v/>
      </c>
      <c r="G6744">
        <f>IF(B6744,MOD(SIN(Seed*0.5917+C6744*39.3468+D6744*11.135)*24634.6345,1),"")</f>
        <v/>
      </c>
      <c r="H6744">
        <f>IF(B6744,SQRT(-2*LN(F6744))*COS(2*PI()*G6744),"")</f>
        <v/>
      </c>
      <c r="I6744">
        <f>IF(B6744,IF(D6744=0,H6744,Rho*I6743+SQRT(1-Rho^2)*H6744),"")</f>
        <v/>
      </c>
      <c r="J6744">
        <f>IF(B6744,IF(Dist="Normal",DistA+DistB*I6744,DistA+(DistB-DistA)*NORMSDIST(I6744)),"")</f>
        <v/>
      </c>
      <c r="K6744">
        <f>IF(B6744,INDEX(MineScale,C6744),"")</f>
        <v/>
      </c>
      <c r="L6744">
        <f>IF(B6744,INDEX(Dow,1,WEEKDAY(E6744,2)),"")</f>
        <v/>
      </c>
      <c r="M6744">
        <f>IF(B6744,(1+Trend)^D6744,"")</f>
        <v/>
      </c>
      <c r="N6744">
        <f>IF(B6744,EXP(SUMPRODUCT(LN(1+(EvEff-1)*INDEX(Affected,0,C6744)*EXP(-((E6744-EvCenter)^2)/(2*EvSigma^2))))),"")</f>
        <v/>
      </c>
      <c r="O6744">
        <f>IF(B6744,ROUND(MAX(0,J6744*K6744*L6744*M6744*N6744),2),"")</f>
        <v/>
      </c>
    </row>
    <row r="6745">
      <c r="A6745" t="n">
        <v>6744</v>
      </c>
      <c r="B6745">
        <f>A6745&lt;=MineCount*Days</f>
        <v/>
      </c>
      <c r="C6745">
        <f>IF(B6745,INT((A6745-1)/Days)+1,"")</f>
        <v/>
      </c>
      <c r="D6745">
        <f>IF(B6745,MOD(A6745-1,Days),"")</f>
        <v/>
      </c>
      <c r="E6745" s="16">
        <f>IF(B6745,StartDate+D6745,"")</f>
        <v/>
      </c>
      <c r="F6745">
        <f>IF(B6745,MAX(MOD(SIN(Seed*0.1373+C6745*12.9898+D6745*78.233)*43758.5453,1),1E-9),"")</f>
        <v/>
      </c>
      <c r="G6745">
        <f>IF(B6745,MOD(SIN(Seed*0.5917+C6745*39.3468+D6745*11.135)*24634.6345,1),"")</f>
        <v/>
      </c>
      <c r="H6745">
        <f>IF(B6745,SQRT(-2*LN(F6745))*COS(2*PI()*G6745),"")</f>
        <v/>
      </c>
      <c r="I6745">
        <f>IF(B6745,IF(D6745=0,H6745,Rho*I6744+SQRT(1-Rho^2)*H6745),"")</f>
        <v/>
      </c>
      <c r="J6745">
        <f>IF(B6745,IF(Dist="Normal",DistA+DistB*I6745,DistA+(DistB-DistA)*NORMSDIST(I6745)),"")</f>
        <v/>
      </c>
      <c r="K6745">
        <f>IF(B6745,INDEX(MineScale,C6745),"")</f>
        <v/>
      </c>
      <c r="L6745">
        <f>IF(B6745,INDEX(Dow,1,WEEKDAY(E6745,2)),"")</f>
        <v/>
      </c>
      <c r="M6745">
        <f>IF(B6745,(1+Trend)^D6745,"")</f>
        <v/>
      </c>
      <c r="N6745">
        <f>IF(B6745,EXP(SUMPRODUCT(LN(1+(EvEff-1)*INDEX(Affected,0,C6745)*EXP(-((E6745-EvCenter)^2)/(2*EvSigma^2))))),"")</f>
        <v/>
      </c>
      <c r="O6745">
        <f>IF(B6745,ROUND(MAX(0,J6745*K6745*L6745*M6745*N6745),2),"")</f>
        <v/>
      </c>
    </row>
    <row r="6746">
      <c r="A6746" t="n">
        <v>6745</v>
      </c>
      <c r="B6746">
        <f>A6746&lt;=MineCount*Days</f>
        <v/>
      </c>
      <c r="C6746">
        <f>IF(B6746,INT((A6746-1)/Days)+1,"")</f>
        <v/>
      </c>
      <c r="D6746">
        <f>IF(B6746,MOD(A6746-1,Days),"")</f>
        <v/>
      </c>
      <c r="E6746" s="16">
        <f>IF(B6746,StartDate+D6746,"")</f>
        <v/>
      </c>
      <c r="F6746">
        <f>IF(B6746,MAX(MOD(SIN(Seed*0.1373+C6746*12.9898+D6746*78.233)*43758.5453,1),1E-9),"")</f>
        <v/>
      </c>
      <c r="G6746">
        <f>IF(B6746,MOD(SIN(Seed*0.5917+C6746*39.3468+D6746*11.135)*24634.6345,1),"")</f>
        <v/>
      </c>
      <c r="H6746">
        <f>IF(B6746,SQRT(-2*LN(F6746))*COS(2*PI()*G6746),"")</f>
        <v/>
      </c>
      <c r="I6746">
        <f>IF(B6746,IF(D6746=0,H6746,Rho*I6745+SQRT(1-Rho^2)*H6746),"")</f>
        <v/>
      </c>
      <c r="J6746">
        <f>IF(B6746,IF(Dist="Normal",DistA+DistB*I6746,DistA+(DistB-DistA)*NORMSDIST(I6746)),"")</f>
        <v/>
      </c>
      <c r="K6746">
        <f>IF(B6746,INDEX(MineScale,C6746),"")</f>
        <v/>
      </c>
      <c r="L6746">
        <f>IF(B6746,INDEX(Dow,1,WEEKDAY(E6746,2)),"")</f>
        <v/>
      </c>
      <c r="M6746">
        <f>IF(B6746,(1+Trend)^D6746,"")</f>
        <v/>
      </c>
      <c r="N6746">
        <f>IF(B6746,EXP(SUMPRODUCT(LN(1+(EvEff-1)*INDEX(Affected,0,C6746)*EXP(-((E6746-EvCenter)^2)/(2*EvSigma^2))))),"")</f>
        <v/>
      </c>
      <c r="O6746">
        <f>IF(B6746,ROUND(MAX(0,J6746*K6746*L6746*M6746*N6746),2),"")</f>
        <v/>
      </c>
    </row>
    <row r="6747">
      <c r="A6747" t="n">
        <v>6746</v>
      </c>
      <c r="B6747">
        <f>A6747&lt;=MineCount*Days</f>
        <v/>
      </c>
      <c r="C6747">
        <f>IF(B6747,INT((A6747-1)/Days)+1,"")</f>
        <v/>
      </c>
      <c r="D6747">
        <f>IF(B6747,MOD(A6747-1,Days),"")</f>
        <v/>
      </c>
      <c r="E6747" s="16">
        <f>IF(B6747,StartDate+D6747,"")</f>
        <v/>
      </c>
      <c r="F6747">
        <f>IF(B6747,MAX(MOD(SIN(Seed*0.1373+C6747*12.9898+D6747*78.233)*43758.5453,1),1E-9),"")</f>
        <v/>
      </c>
      <c r="G6747">
        <f>IF(B6747,MOD(SIN(Seed*0.5917+C6747*39.3468+D6747*11.135)*24634.6345,1),"")</f>
        <v/>
      </c>
      <c r="H6747">
        <f>IF(B6747,SQRT(-2*LN(F6747))*COS(2*PI()*G6747),"")</f>
        <v/>
      </c>
      <c r="I6747">
        <f>IF(B6747,IF(D6747=0,H6747,Rho*I6746+SQRT(1-Rho^2)*H6747),"")</f>
        <v/>
      </c>
      <c r="J6747">
        <f>IF(B6747,IF(Dist="Normal",DistA+DistB*I6747,DistA+(DistB-DistA)*NORMSDIST(I6747)),"")</f>
        <v/>
      </c>
      <c r="K6747">
        <f>IF(B6747,INDEX(MineScale,C6747),"")</f>
        <v/>
      </c>
      <c r="L6747">
        <f>IF(B6747,INDEX(Dow,1,WEEKDAY(E6747,2)),"")</f>
        <v/>
      </c>
      <c r="M6747">
        <f>IF(B6747,(1+Trend)^D6747,"")</f>
        <v/>
      </c>
      <c r="N6747">
        <f>IF(B6747,EXP(SUMPRODUCT(LN(1+(EvEff-1)*INDEX(Affected,0,C6747)*EXP(-((E6747-EvCenter)^2)/(2*EvSigma^2))))),"")</f>
        <v/>
      </c>
      <c r="O6747">
        <f>IF(B6747,ROUND(MAX(0,J6747*K6747*L6747*M6747*N6747),2),"")</f>
        <v/>
      </c>
    </row>
    <row r="6748">
      <c r="A6748" t="n">
        <v>6747</v>
      </c>
      <c r="B6748">
        <f>A6748&lt;=MineCount*Days</f>
        <v/>
      </c>
      <c r="C6748">
        <f>IF(B6748,INT((A6748-1)/Days)+1,"")</f>
        <v/>
      </c>
      <c r="D6748">
        <f>IF(B6748,MOD(A6748-1,Days),"")</f>
        <v/>
      </c>
      <c r="E6748" s="16">
        <f>IF(B6748,StartDate+D6748,"")</f>
        <v/>
      </c>
      <c r="F6748">
        <f>IF(B6748,MAX(MOD(SIN(Seed*0.1373+C6748*12.9898+D6748*78.233)*43758.5453,1),1E-9),"")</f>
        <v/>
      </c>
      <c r="G6748">
        <f>IF(B6748,MOD(SIN(Seed*0.5917+C6748*39.3468+D6748*11.135)*24634.6345,1),"")</f>
        <v/>
      </c>
      <c r="H6748">
        <f>IF(B6748,SQRT(-2*LN(F6748))*COS(2*PI()*G6748),"")</f>
        <v/>
      </c>
      <c r="I6748">
        <f>IF(B6748,IF(D6748=0,H6748,Rho*I6747+SQRT(1-Rho^2)*H6748),"")</f>
        <v/>
      </c>
      <c r="J6748">
        <f>IF(B6748,IF(Dist="Normal",DistA+DistB*I6748,DistA+(DistB-DistA)*NORMSDIST(I6748)),"")</f>
        <v/>
      </c>
      <c r="K6748">
        <f>IF(B6748,INDEX(MineScale,C6748),"")</f>
        <v/>
      </c>
      <c r="L6748">
        <f>IF(B6748,INDEX(Dow,1,WEEKDAY(E6748,2)),"")</f>
        <v/>
      </c>
      <c r="M6748">
        <f>IF(B6748,(1+Trend)^D6748,"")</f>
        <v/>
      </c>
      <c r="N6748">
        <f>IF(B6748,EXP(SUMPRODUCT(LN(1+(EvEff-1)*INDEX(Affected,0,C6748)*EXP(-((E6748-EvCenter)^2)/(2*EvSigma^2))))),"")</f>
        <v/>
      </c>
      <c r="O6748">
        <f>IF(B6748,ROUND(MAX(0,J6748*K6748*L6748*M6748*N6748),2),"")</f>
        <v/>
      </c>
    </row>
    <row r="6749">
      <c r="A6749" t="n">
        <v>6748</v>
      </c>
      <c r="B6749">
        <f>A6749&lt;=MineCount*Days</f>
        <v/>
      </c>
      <c r="C6749">
        <f>IF(B6749,INT((A6749-1)/Days)+1,"")</f>
        <v/>
      </c>
      <c r="D6749">
        <f>IF(B6749,MOD(A6749-1,Days),"")</f>
        <v/>
      </c>
      <c r="E6749" s="16">
        <f>IF(B6749,StartDate+D6749,"")</f>
        <v/>
      </c>
      <c r="F6749">
        <f>IF(B6749,MAX(MOD(SIN(Seed*0.1373+C6749*12.9898+D6749*78.233)*43758.5453,1),1E-9),"")</f>
        <v/>
      </c>
      <c r="G6749">
        <f>IF(B6749,MOD(SIN(Seed*0.5917+C6749*39.3468+D6749*11.135)*24634.6345,1),"")</f>
        <v/>
      </c>
      <c r="H6749">
        <f>IF(B6749,SQRT(-2*LN(F6749))*COS(2*PI()*G6749),"")</f>
        <v/>
      </c>
      <c r="I6749">
        <f>IF(B6749,IF(D6749=0,H6749,Rho*I6748+SQRT(1-Rho^2)*H6749),"")</f>
        <v/>
      </c>
      <c r="J6749">
        <f>IF(B6749,IF(Dist="Normal",DistA+DistB*I6749,DistA+(DistB-DistA)*NORMSDIST(I6749)),"")</f>
        <v/>
      </c>
      <c r="K6749">
        <f>IF(B6749,INDEX(MineScale,C6749),"")</f>
        <v/>
      </c>
      <c r="L6749">
        <f>IF(B6749,INDEX(Dow,1,WEEKDAY(E6749,2)),"")</f>
        <v/>
      </c>
      <c r="M6749">
        <f>IF(B6749,(1+Trend)^D6749,"")</f>
        <v/>
      </c>
      <c r="N6749">
        <f>IF(B6749,EXP(SUMPRODUCT(LN(1+(EvEff-1)*INDEX(Affected,0,C6749)*EXP(-((E6749-EvCenter)^2)/(2*EvSigma^2))))),"")</f>
        <v/>
      </c>
      <c r="O6749">
        <f>IF(B6749,ROUND(MAX(0,J6749*K6749*L6749*M6749*N6749),2),"")</f>
        <v/>
      </c>
    </row>
    <row r="6750">
      <c r="A6750" t="n">
        <v>6749</v>
      </c>
      <c r="B6750">
        <f>A6750&lt;=MineCount*Days</f>
        <v/>
      </c>
      <c r="C6750">
        <f>IF(B6750,INT((A6750-1)/Days)+1,"")</f>
        <v/>
      </c>
      <c r="D6750">
        <f>IF(B6750,MOD(A6750-1,Days),"")</f>
        <v/>
      </c>
      <c r="E6750" s="16">
        <f>IF(B6750,StartDate+D6750,"")</f>
        <v/>
      </c>
      <c r="F6750">
        <f>IF(B6750,MAX(MOD(SIN(Seed*0.1373+C6750*12.9898+D6750*78.233)*43758.5453,1),1E-9),"")</f>
        <v/>
      </c>
      <c r="G6750">
        <f>IF(B6750,MOD(SIN(Seed*0.5917+C6750*39.3468+D6750*11.135)*24634.6345,1),"")</f>
        <v/>
      </c>
      <c r="H6750">
        <f>IF(B6750,SQRT(-2*LN(F6750))*COS(2*PI()*G6750),"")</f>
        <v/>
      </c>
      <c r="I6750">
        <f>IF(B6750,IF(D6750=0,H6750,Rho*I6749+SQRT(1-Rho^2)*H6750),"")</f>
        <v/>
      </c>
      <c r="J6750">
        <f>IF(B6750,IF(Dist="Normal",DistA+DistB*I6750,DistA+(DistB-DistA)*NORMSDIST(I6750)),"")</f>
        <v/>
      </c>
      <c r="K6750">
        <f>IF(B6750,INDEX(MineScale,C6750),"")</f>
        <v/>
      </c>
      <c r="L6750">
        <f>IF(B6750,INDEX(Dow,1,WEEKDAY(E6750,2)),"")</f>
        <v/>
      </c>
      <c r="M6750">
        <f>IF(B6750,(1+Trend)^D6750,"")</f>
        <v/>
      </c>
      <c r="N6750">
        <f>IF(B6750,EXP(SUMPRODUCT(LN(1+(EvEff-1)*INDEX(Affected,0,C6750)*EXP(-((E6750-EvCenter)^2)/(2*EvSigma^2))))),"")</f>
        <v/>
      </c>
      <c r="O6750">
        <f>IF(B6750,ROUND(MAX(0,J6750*K6750*L6750*M6750*N6750),2),"")</f>
        <v/>
      </c>
    </row>
    <row r="6751">
      <c r="A6751" t="n">
        <v>6750</v>
      </c>
      <c r="B6751">
        <f>A6751&lt;=MineCount*Days</f>
        <v/>
      </c>
      <c r="C6751">
        <f>IF(B6751,INT((A6751-1)/Days)+1,"")</f>
        <v/>
      </c>
      <c r="D6751">
        <f>IF(B6751,MOD(A6751-1,Days),"")</f>
        <v/>
      </c>
      <c r="E6751" s="16">
        <f>IF(B6751,StartDate+D6751,"")</f>
        <v/>
      </c>
      <c r="F6751">
        <f>IF(B6751,MAX(MOD(SIN(Seed*0.1373+C6751*12.9898+D6751*78.233)*43758.5453,1),1E-9),"")</f>
        <v/>
      </c>
      <c r="G6751">
        <f>IF(B6751,MOD(SIN(Seed*0.5917+C6751*39.3468+D6751*11.135)*24634.6345,1),"")</f>
        <v/>
      </c>
      <c r="H6751">
        <f>IF(B6751,SQRT(-2*LN(F6751))*COS(2*PI()*G6751),"")</f>
        <v/>
      </c>
      <c r="I6751">
        <f>IF(B6751,IF(D6751=0,H6751,Rho*I6750+SQRT(1-Rho^2)*H6751),"")</f>
        <v/>
      </c>
      <c r="J6751">
        <f>IF(B6751,IF(Dist="Normal",DistA+DistB*I6751,DistA+(DistB-DistA)*NORMSDIST(I6751)),"")</f>
        <v/>
      </c>
      <c r="K6751">
        <f>IF(B6751,INDEX(MineScale,C6751),"")</f>
        <v/>
      </c>
      <c r="L6751">
        <f>IF(B6751,INDEX(Dow,1,WEEKDAY(E6751,2)),"")</f>
        <v/>
      </c>
      <c r="M6751">
        <f>IF(B6751,(1+Trend)^D6751,"")</f>
        <v/>
      </c>
      <c r="N6751">
        <f>IF(B6751,EXP(SUMPRODUCT(LN(1+(EvEff-1)*INDEX(Affected,0,C6751)*EXP(-((E6751-EvCenter)^2)/(2*EvSigma^2))))),"")</f>
        <v/>
      </c>
      <c r="O6751">
        <f>IF(B6751,ROUND(MAX(0,J6751*K6751*L6751*M6751*N6751),2),"")</f>
        <v/>
      </c>
    </row>
    <row r="6752">
      <c r="A6752" t="n">
        <v>6751</v>
      </c>
      <c r="B6752">
        <f>A6752&lt;=MineCount*Days</f>
        <v/>
      </c>
      <c r="C6752">
        <f>IF(B6752,INT((A6752-1)/Days)+1,"")</f>
        <v/>
      </c>
      <c r="D6752">
        <f>IF(B6752,MOD(A6752-1,Days),"")</f>
        <v/>
      </c>
      <c r="E6752" s="16">
        <f>IF(B6752,StartDate+D6752,"")</f>
        <v/>
      </c>
      <c r="F6752">
        <f>IF(B6752,MAX(MOD(SIN(Seed*0.1373+C6752*12.9898+D6752*78.233)*43758.5453,1),1E-9),"")</f>
        <v/>
      </c>
      <c r="G6752">
        <f>IF(B6752,MOD(SIN(Seed*0.5917+C6752*39.3468+D6752*11.135)*24634.6345,1),"")</f>
        <v/>
      </c>
      <c r="H6752">
        <f>IF(B6752,SQRT(-2*LN(F6752))*COS(2*PI()*G6752),"")</f>
        <v/>
      </c>
      <c r="I6752">
        <f>IF(B6752,IF(D6752=0,H6752,Rho*I6751+SQRT(1-Rho^2)*H6752),"")</f>
        <v/>
      </c>
      <c r="J6752">
        <f>IF(B6752,IF(Dist="Normal",DistA+DistB*I6752,DistA+(DistB-DistA)*NORMSDIST(I6752)),"")</f>
        <v/>
      </c>
      <c r="K6752">
        <f>IF(B6752,INDEX(MineScale,C6752),"")</f>
        <v/>
      </c>
      <c r="L6752">
        <f>IF(B6752,INDEX(Dow,1,WEEKDAY(E6752,2)),"")</f>
        <v/>
      </c>
      <c r="M6752">
        <f>IF(B6752,(1+Trend)^D6752,"")</f>
        <v/>
      </c>
      <c r="N6752">
        <f>IF(B6752,EXP(SUMPRODUCT(LN(1+(EvEff-1)*INDEX(Affected,0,C6752)*EXP(-((E6752-EvCenter)^2)/(2*EvSigma^2))))),"")</f>
        <v/>
      </c>
      <c r="O6752">
        <f>IF(B6752,ROUND(MAX(0,J6752*K6752*L6752*M6752*N6752),2),"")</f>
        <v/>
      </c>
    </row>
    <row r="6753">
      <c r="A6753" t="n">
        <v>6752</v>
      </c>
      <c r="B6753">
        <f>A6753&lt;=MineCount*Days</f>
        <v/>
      </c>
      <c r="C6753">
        <f>IF(B6753,INT((A6753-1)/Days)+1,"")</f>
        <v/>
      </c>
      <c r="D6753">
        <f>IF(B6753,MOD(A6753-1,Days),"")</f>
        <v/>
      </c>
      <c r="E6753" s="16">
        <f>IF(B6753,StartDate+D6753,"")</f>
        <v/>
      </c>
      <c r="F6753">
        <f>IF(B6753,MAX(MOD(SIN(Seed*0.1373+C6753*12.9898+D6753*78.233)*43758.5453,1),1E-9),"")</f>
        <v/>
      </c>
      <c r="G6753">
        <f>IF(B6753,MOD(SIN(Seed*0.5917+C6753*39.3468+D6753*11.135)*24634.6345,1),"")</f>
        <v/>
      </c>
      <c r="H6753">
        <f>IF(B6753,SQRT(-2*LN(F6753))*COS(2*PI()*G6753),"")</f>
        <v/>
      </c>
      <c r="I6753">
        <f>IF(B6753,IF(D6753=0,H6753,Rho*I6752+SQRT(1-Rho^2)*H6753),"")</f>
        <v/>
      </c>
      <c r="J6753">
        <f>IF(B6753,IF(Dist="Normal",DistA+DistB*I6753,DistA+(DistB-DistA)*NORMSDIST(I6753)),"")</f>
        <v/>
      </c>
      <c r="K6753">
        <f>IF(B6753,INDEX(MineScale,C6753),"")</f>
        <v/>
      </c>
      <c r="L6753">
        <f>IF(B6753,INDEX(Dow,1,WEEKDAY(E6753,2)),"")</f>
        <v/>
      </c>
      <c r="M6753">
        <f>IF(B6753,(1+Trend)^D6753,"")</f>
        <v/>
      </c>
      <c r="N6753">
        <f>IF(B6753,EXP(SUMPRODUCT(LN(1+(EvEff-1)*INDEX(Affected,0,C6753)*EXP(-((E6753-EvCenter)^2)/(2*EvSigma^2))))),"")</f>
        <v/>
      </c>
      <c r="O6753">
        <f>IF(B6753,ROUND(MAX(0,J6753*K6753*L6753*M6753*N6753),2),"")</f>
        <v/>
      </c>
    </row>
    <row r="6754">
      <c r="A6754" t="n">
        <v>6753</v>
      </c>
      <c r="B6754">
        <f>A6754&lt;=MineCount*Days</f>
        <v/>
      </c>
      <c r="C6754">
        <f>IF(B6754,INT((A6754-1)/Days)+1,"")</f>
        <v/>
      </c>
      <c r="D6754">
        <f>IF(B6754,MOD(A6754-1,Days),"")</f>
        <v/>
      </c>
      <c r="E6754" s="16">
        <f>IF(B6754,StartDate+D6754,"")</f>
        <v/>
      </c>
      <c r="F6754">
        <f>IF(B6754,MAX(MOD(SIN(Seed*0.1373+C6754*12.9898+D6754*78.233)*43758.5453,1),1E-9),"")</f>
        <v/>
      </c>
      <c r="G6754">
        <f>IF(B6754,MOD(SIN(Seed*0.5917+C6754*39.3468+D6754*11.135)*24634.6345,1),"")</f>
        <v/>
      </c>
      <c r="H6754">
        <f>IF(B6754,SQRT(-2*LN(F6754))*COS(2*PI()*G6754),"")</f>
        <v/>
      </c>
      <c r="I6754">
        <f>IF(B6754,IF(D6754=0,H6754,Rho*I6753+SQRT(1-Rho^2)*H6754),"")</f>
        <v/>
      </c>
      <c r="J6754">
        <f>IF(B6754,IF(Dist="Normal",DistA+DistB*I6754,DistA+(DistB-DistA)*NORMSDIST(I6754)),"")</f>
        <v/>
      </c>
      <c r="K6754">
        <f>IF(B6754,INDEX(MineScale,C6754),"")</f>
        <v/>
      </c>
      <c r="L6754">
        <f>IF(B6754,INDEX(Dow,1,WEEKDAY(E6754,2)),"")</f>
        <v/>
      </c>
      <c r="M6754">
        <f>IF(B6754,(1+Trend)^D6754,"")</f>
        <v/>
      </c>
      <c r="N6754">
        <f>IF(B6754,EXP(SUMPRODUCT(LN(1+(EvEff-1)*INDEX(Affected,0,C6754)*EXP(-((E6754-EvCenter)^2)/(2*EvSigma^2))))),"")</f>
        <v/>
      </c>
      <c r="O6754">
        <f>IF(B6754,ROUND(MAX(0,J6754*K6754*L6754*M6754*N6754),2),"")</f>
        <v/>
      </c>
    </row>
    <row r="6755">
      <c r="A6755" t="n">
        <v>6754</v>
      </c>
      <c r="B6755">
        <f>A6755&lt;=MineCount*Days</f>
        <v/>
      </c>
      <c r="C6755">
        <f>IF(B6755,INT((A6755-1)/Days)+1,"")</f>
        <v/>
      </c>
      <c r="D6755">
        <f>IF(B6755,MOD(A6755-1,Days),"")</f>
        <v/>
      </c>
      <c r="E6755" s="16">
        <f>IF(B6755,StartDate+D6755,"")</f>
        <v/>
      </c>
      <c r="F6755">
        <f>IF(B6755,MAX(MOD(SIN(Seed*0.1373+C6755*12.9898+D6755*78.233)*43758.5453,1),1E-9),"")</f>
        <v/>
      </c>
      <c r="G6755">
        <f>IF(B6755,MOD(SIN(Seed*0.5917+C6755*39.3468+D6755*11.135)*24634.6345,1),"")</f>
        <v/>
      </c>
      <c r="H6755">
        <f>IF(B6755,SQRT(-2*LN(F6755))*COS(2*PI()*G6755),"")</f>
        <v/>
      </c>
      <c r="I6755">
        <f>IF(B6755,IF(D6755=0,H6755,Rho*I6754+SQRT(1-Rho^2)*H6755),"")</f>
        <v/>
      </c>
      <c r="J6755">
        <f>IF(B6755,IF(Dist="Normal",DistA+DistB*I6755,DistA+(DistB-DistA)*NORMSDIST(I6755)),"")</f>
        <v/>
      </c>
      <c r="K6755">
        <f>IF(B6755,INDEX(MineScale,C6755),"")</f>
        <v/>
      </c>
      <c r="L6755">
        <f>IF(B6755,INDEX(Dow,1,WEEKDAY(E6755,2)),"")</f>
        <v/>
      </c>
      <c r="M6755">
        <f>IF(B6755,(1+Trend)^D6755,"")</f>
        <v/>
      </c>
      <c r="N6755">
        <f>IF(B6755,EXP(SUMPRODUCT(LN(1+(EvEff-1)*INDEX(Affected,0,C6755)*EXP(-((E6755-EvCenter)^2)/(2*EvSigma^2))))),"")</f>
        <v/>
      </c>
      <c r="O6755">
        <f>IF(B6755,ROUND(MAX(0,J6755*K6755*L6755*M6755*N6755),2),"")</f>
        <v/>
      </c>
    </row>
    <row r="6756">
      <c r="A6756" t="n">
        <v>6755</v>
      </c>
      <c r="B6756">
        <f>A6756&lt;=MineCount*Days</f>
        <v/>
      </c>
      <c r="C6756">
        <f>IF(B6756,INT((A6756-1)/Days)+1,"")</f>
        <v/>
      </c>
      <c r="D6756">
        <f>IF(B6756,MOD(A6756-1,Days),"")</f>
        <v/>
      </c>
      <c r="E6756" s="16">
        <f>IF(B6756,StartDate+D6756,"")</f>
        <v/>
      </c>
      <c r="F6756">
        <f>IF(B6756,MAX(MOD(SIN(Seed*0.1373+C6756*12.9898+D6756*78.233)*43758.5453,1),1E-9),"")</f>
        <v/>
      </c>
      <c r="G6756">
        <f>IF(B6756,MOD(SIN(Seed*0.5917+C6756*39.3468+D6756*11.135)*24634.6345,1),"")</f>
        <v/>
      </c>
      <c r="H6756">
        <f>IF(B6756,SQRT(-2*LN(F6756))*COS(2*PI()*G6756),"")</f>
        <v/>
      </c>
      <c r="I6756">
        <f>IF(B6756,IF(D6756=0,H6756,Rho*I6755+SQRT(1-Rho^2)*H6756),"")</f>
        <v/>
      </c>
      <c r="J6756">
        <f>IF(B6756,IF(Dist="Normal",DistA+DistB*I6756,DistA+(DistB-DistA)*NORMSDIST(I6756)),"")</f>
        <v/>
      </c>
      <c r="K6756">
        <f>IF(B6756,INDEX(MineScale,C6756),"")</f>
        <v/>
      </c>
      <c r="L6756">
        <f>IF(B6756,INDEX(Dow,1,WEEKDAY(E6756,2)),"")</f>
        <v/>
      </c>
      <c r="M6756">
        <f>IF(B6756,(1+Trend)^D6756,"")</f>
        <v/>
      </c>
      <c r="N6756">
        <f>IF(B6756,EXP(SUMPRODUCT(LN(1+(EvEff-1)*INDEX(Affected,0,C6756)*EXP(-((E6756-EvCenter)^2)/(2*EvSigma^2))))),"")</f>
        <v/>
      </c>
      <c r="O6756">
        <f>IF(B6756,ROUND(MAX(0,J6756*K6756*L6756*M6756*N6756),2),"")</f>
        <v/>
      </c>
    </row>
    <row r="6757">
      <c r="A6757" t="n">
        <v>6756</v>
      </c>
      <c r="B6757">
        <f>A6757&lt;=MineCount*Days</f>
        <v/>
      </c>
      <c r="C6757">
        <f>IF(B6757,INT((A6757-1)/Days)+1,"")</f>
        <v/>
      </c>
      <c r="D6757">
        <f>IF(B6757,MOD(A6757-1,Days),"")</f>
        <v/>
      </c>
      <c r="E6757" s="16">
        <f>IF(B6757,StartDate+D6757,"")</f>
        <v/>
      </c>
      <c r="F6757">
        <f>IF(B6757,MAX(MOD(SIN(Seed*0.1373+C6757*12.9898+D6757*78.233)*43758.5453,1),1E-9),"")</f>
        <v/>
      </c>
      <c r="G6757">
        <f>IF(B6757,MOD(SIN(Seed*0.5917+C6757*39.3468+D6757*11.135)*24634.6345,1),"")</f>
        <v/>
      </c>
      <c r="H6757">
        <f>IF(B6757,SQRT(-2*LN(F6757))*COS(2*PI()*G6757),"")</f>
        <v/>
      </c>
      <c r="I6757">
        <f>IF(B6757,IF(D6757=0,H6757,Rho*I6756+SQRT(1-Rho^2)*H6757),"")</f>
        <v/>
      </c>
      <c r="J6757">
        <f>IF(B6757,IF(Dist="Normal",DistA+DistB*I6757,DistA+(DistB-DistA)*NORMSDIST(I6757)),"")</f>
        <v/>
      </c>
      <c r="K6757">
        <f>IF(B6757,INDEX(MineScale,C6757),"")</f>
        <v/>
      </c>
      <c r="L6757">
        <f>IF(B6757,INDEX(Dow,1,WEEKDAY(E6757,2)),"")</f>
        <v/>
      </c>
      <c r="M6757">
        <f>IF(B6757,(1+Trend)^D6757,"")</f>
        <v/>
      </c>
      <c r="N6757">
        <f>IF(B6757,EXP(SUMPRODUCT(LN(1+(EvEff-1)*INDEX(Affected,0,C6757)*EXP(-((E6757-EvCenter)^2)/(2*EvSigma^2))))),"")</f>
        <v/>
      </c>
      <c r="O6757">
        <f>IF(B6757,ROUND(MAX(0,J6757*K6757*L6757*M6757*N6757),2),"")</f>
        <v/>
      </c>
    </row>
    <row r="6758">
      <c r="A6758" t="n">
        <v>6757</v>
      </c>
      <c r="B6758">
        <f>A6758&lt;=MineCount*Days</f>
        <v/>
      </c>
      <c r="C6758">
        <f>IF(B6758,INT((A6758-1)/Days)+1,"")</f>
        <v/>
      </c>
      <c r="D6758">
        <f>IF(B6758,MOD(A6758-1,Days),"")</f>
        <v/>
      </c>
      <c r="E6758" s="16">
        <f>IF(B6758,StartDate+D6758,"")</f>
        <v/>
      </c>
      <c r="F6758">
        <f>IF(B6758,MAX(MOD(SIN(Seed*0.1373+C6758*12.9898+D6758*78.233)*43758.5453,1),1E-9),"")</f>
        <v/>
      </c>
      <c r="G6758">
        <f>IF(B6758,MOD(SIN(Seed*0.5917+C6758*39.3468+D6758*11.135)*24634.6345,1),"")</f>
        <v/>
      </c>
      <c r="H6758">
        <f>IF(B6758,SQRT(-2*LN(F6758))*COS(2*PI()*G6758),"")</f>
        <v/>
      </c>
      <c r="I6758">
        <f>IF(B6758,IF(D6758=0,H6758,Rho*I6757+SQRT(1-Rho^2)*H6758),"")</f>
        <v/>
      </c>
      <c r="J6758">
        <f>IF(B6758,IF(Dist="Normal",DistA+DistB*I6758,DistA+(DistB-DistA)*NORMSDIST(I6758)),"")</f>
        <v/>
      </c>
      <c r="K6758">
        <f>IF(B6758,INDEX(MineScale,C6758),"")</f>
        <v/>
      </c>
      <c r="L6758">
        <f>IF(B6758,INDEX(Dow,1,WEEKDAY(E6758,2)),"")</f>
        <v/>
      </c>
      <c r="M6758">
        <f>IF(B6758,(1+Trend)^D6758,"")</f>
        <v/>
      </c>
      <c r="N6758">
        <f>IF(B6758,EXP(SUMPRODUCT(LN(1+(EvEff-1)*INDEX(Affected,0,C6758)*EXP(-((E6758-EvCenter)^2)/(2*EvSigma^2))))),"")</f>
        <v/>
      </c>
      <c r="O6758">
        <f>IF(B6758,ROUND(MAX(0,J6758*K6758*L6758*M6758*N6758),2),"")</f>
        <v/>
      </c>
    </row>
    <row r="6759">
      <c r="A6759" t="n">
        <v>6758</v>
      </c>
      <c r="B6759">
        <f>A6759&lt;=MineCount*Days</f>
        <v/>
      </c>
      <c r="C6759">
        <f>IF(B6759,INT((A6759-1)/Days)+1,"")</f>
        <v/>
      </c>
      <c r="D6759">
        <f>IF(B6759,MOD(A6759-1,Days),"")</f>
        <v/>
      </c>
      <c r="E6759" s="16">
        <f>IF(B6759,StartDate+D6759,"")</f>
        <v/>
      </c>
      <c r="F6759">
        <f>IF(B6759,MAX(MOD(SIN(Seed*0.1373+C6759*12.9898+D6759*78.233)*43758.5453,1),1E-9),"")</f>
        <v/>
      </c>
      <c r="G6759">
        <f>IF(B6759,MOD(SIN(Seed*0.5917+C6759*39.3468+D6759*11.135)*24634.6345,1),"")</f>
        <v/>
      </c>
      <c r="H6759">
        <f>IF(B6759,SQRT(-2*LN(F6759))*COS(2*PI()*G6759),"")</f>
        <v/>
      </c>
      <c r="I6759">
        <f>IF(B6759,IF(D6759=0,H6759,Rho*I6758+SQRT(1-Rho^2)*H6759),"")</f>
        <v/>
      </c>
      <c r="J6759">
        <f>IF(B6759,IF(Dist="Normal",DistA+DistB*I6759,DistA+(DistB-DistA)*NORMSDIST(I6759)),"")</f>
        <v/>
      </c>
      <c r="K6759">
        <f>IF(B6759,INDEX(MineScale,C6759),"")</f>
        <v/>
      </c>
      <c r="L6759">
        <f>IF(B6759,INDEX(Dow,1,WEEKDAY(E6759,2)),"")</f>
        <v/>
      </c>
      <c r="M6759">
        <f>IF(B6759,(1+Trend)^D6759,"")</f>
        <v/>
      </c>
      <c r="N6759">
        <f>IF(B6759,EXP(SUMPRODUCT(LN(1+(EvEff-1)*INDEX(Affected,0,C6759)*EXP(-((E6759-EvCenter)^2)/(2*EvSigma^2))))),"")</f>
        <v/>
      </c>
      <c r="O6759">
        <f>IF(B6759,ROUND(MAX(0,J6759*K6759*L6759*M6759*N6759),2),"")</f>
        <v/>
      </c>
    </row>
    <row r="6760">
      <c r="A6760" t="n">
        <v>6759</v>
      </c>
      <c r="B6760">
        <f>A6760&lt;=MineCount*Days</f>
        <v/>
      </c>
      <c r="C6760">
        <f>IF(B6760,INT((A6760-1)/Days)+1,"")</f>
        <v/>
      </c>
      <c r="D6760">
        <f>IF(B6760,MOD(A6760-1,Days),"")</f>
        <v/>
      </c>
      <c r="E6760" s="16">
        <f>IF(B6760,StartDate+D6760,"")</f>
        <v/>
      </c>
      <c r="F6760">
        <f>IF(B6760,MAX(MOD(SIN(Seed*0.1373+C6760*12.9898+D6760*78.233)*43758.5453,1),1E-9),"")</f>
        <v/>
      </c>
      <c r="G6760">
        <f>IF(B6760,MOD(SIN(Seed*0.5917+C6760*39.3468+D6760*11.135)*24634.6345,1),"")</f>
        <v/>
      </c>
      <c r="H6760">
        <f>IF(B6760,SQRT(-2*LN(F6760))*COS(2*PI()*G6760),"")</f>
        <v/>
      </c>
      <c r="I6760">
        <f>IF(B6760,IF(D6760=0,H6760,Rho*I6759+SQRT(1-Rho^2)*H6760),"")</f>
        <v/>
      </c>
      <c r="J6760">
        <f>IF(B6760,IF(Dist="Normal",DistA+DistB*I6760,DistA+(DistB-DistA)*NORMSDIST(I6760)),"")</f>
        <v/>
      </c>
      <c r="K6760">
        <f>IF(B6760,INDEX(MineScale,C6760),"")</f>
        <v/>
      </c>
      <c r="L6760">
        <f>IF(B6760,INDEX(Dow,1,WEEKDAY(E6760,2)),"")</f>
        <v/>
      </c>
      <c r="M6760">
        <f>IF(B6760,(1+Trend)^D6760,"")</f>
        <v/>
      </c>
      <c r="N6760">
        <f>IF(B6760,EXP(SUMPRODUCT(LN(1+(EvEff-1)*INDEX(Affected,0,C6760)*EXP(-((E6760-EvCenter)^2)/(2*EvSigma^2))))),"")</f>
        <v/>
      </c>
      <c r="O6760">
        <f>IF(B6760,ROUND(MAX(0,J6760*K6760*L6760*M6760*N6760),2),"")</f>
        <v/>
      </c>
    </row>
    <row r="6761">
      <c r="A6761" t="n">
        <v>6760</v>
      </c>
      <c r="B6761">
        <f>A6761&lt;=MineCount*Days</f>
        <v/>
      </c>
      <c r="C6761">
        <f>IF(B6761,INT((A6761-1)/Days)+1,"")</f>
        <v/>
      </c>
      <c r="D6761">
        <f>IF(B6761,MOD(A6761-1,Days),"")</f>
        <v/>
      </c>
      <c r="E6761" s="16">
        <f>IF(B6761,StartDate+D6761,"")</f>
        <v/>
      </c>
      <c r="F6761">
        <f>IF(B6761,MAX(MOD(SIN(Seed*0.1373+C6761*12.9898+D6761*78.233)*43758.5453,1),1E-9),"")</f>
        <v/>
      </c>
      <c r="G6761">
        <f>IF(B6761,MOD(SIN(Seed*0.5917+C6761*39.3468+D6761*11.135)*24634.6345,1),"")</f>
        <v/>
      </c>
      <c r="H6761">
        <f>IF(B6761,SQRT(-2*LN(F6761))*COS(2*PI()*G6761),"")</f>
        <v/>
      </c>
      <c r="I6761">
        <f>IF(B6761,IF(D6761=0,H6761,Rho*I6760+SQRT(1-Rho^2)*H6761),"")</f>
        <v/>
      </c>
      <c r="J6761">
        <f>IF(B6761,IF(Dist="Normal",DistA+DistB*I6761,DistA+(DistB-DistA)*NORMSDIST(I6761)),"")</f>
        <v/>
      </c>
      <c r="K6761">
        <f>IF(B6761,INDEX(MineScale,C6761),"")</f>
        <v/>
      </c>
      <c r="L6761">
        <f>IF(B6761,INDEX(Dow,1,WEEKDAY(E6761,2)),"")</f>
        <v/>
      </c>
      <c r="M6761">
        <f>IF(B6761,(1+Trend)^D6761,"")</f>
        <v/>
      </c>
      <c r="N6761">
        <f>IF(B6761,EXP(SUMPRODUCT(LN(1+(EvEff-1)*INDEX(Affected,0,C6761)*EXP(-((E6761-EvCenter)^2)/(2*EvSigma^2))))),"")</f>
        <v/>
      </c>
      <c r="O6761">
        <f>IF(B6761,ROUND(MAX(0,J6761*K6761*L6761*M6761*N6761),2),"")</f>
        <v/>
      </c>
    </row>
    <row r="6762">
      <c r="A6762" t="n">
        <v>6761</v>
      </c>
      <c r="B6762">
        <f>A6762&lt;=MineCount*Days</f>
        <v/>
      </c>
      <c r="C6762">
        <f>IF(B6762,INT((A6762-1)/Days)+1,"")</f>
        <v/>
      </c>
      <c r="D6762">
        <f>IF(B6762,MOD(A6762-1,Days),"")</f>
        <v/>
      </c>
      <c r="E6762" s="16">
        <f>IF(B6762,StartDate+D6762,"")</f>
        <v/>
      </c>
      <c r="F6762">
        <f>IF(B6762,MAX(MOD(SIN(Seed*0.1373+C6762*12.9898+D6762*78.233)*43758.5453,1),1E-9),"")</f>
        <v/>
      </c>
      <c r="G6762">
        <f>IF(B6762,MOD(SIN(Seed*0.5917+C6762*39.3468+D6762*11.135)*24634.6345,1),"")</f>
        <v/>
      </c>
      <c r="H6762">
        <f>IF(B6762,SQRT(-2*LN(F6762))*COS(2*PI()*G6762),"")</f>
        <v/>
      </c>
      <c r="I6762">
        <f>IF(B6762,IF(D6762=0,H6762,Rho*I6761+SQRT(1-Rho^2)*H6762),"")</f>
        <v/>
      </c>
      <c r="J6762">
        <f>IF(B6762,IF(Dist="Normal",DistA+DistB*I6762,DistA+(DistB-DistA)*NORMSDIST(I6762)),"")</f>
        <v/>
      </c>
      <c r="K6762">
        <f>IF(B6762,INDEX(MineScale,C6762),"")</f>
        <v/>
      </c>
      <c r="L6762">
        <f>IF(B6762,INDEX(Dow,1,WEEKDAY(E6762,2)),"")</f>
        <v/>
      </c>
      <c r="M6762">
        <f>IF(B6762,(1+Trend)^D6762,"")</f>
        <v/>
      </c>
      <c r="N6762">
        <f>IF(B6762,EXP(SUMPRODUCT(LN(1+(EvEff-1)*INDEX(Affected,0,C6762)*EXP(-((E6762-EvCenter)^2)/(2*EvSigma^2))))),"")</f>
        <v/>
      </c>
      <c r="O6762">
        <f>IF(B6762,ROUND(MAX(0,J6762*K6762*L6762*M6762*N6762),2),"")</f>
        <v/>
      </c>
    </row>
    <row r="6763">
      <c r="A6763" t="n">
        <v>6762</v>
      </c>
      <c r="B6763">
        <f>A6763&lt;=MineCount*Days</f>
        <v/>
      </c>
      <c r="C6763">
        <f>IF(B6763,INT((A6763-1)/Days)+1,"")</f>
        <v/>
      </c>
      <c r="D6763">
        <f>IF(B6763,MOD(A6763-1,Days),"")</f>
        <v/>
      </c>
      <c r="E6763" s="16">
        <f>IF(B6763,StartDate+D6763,"")</f>
        <v/>
      </c>
      <c r="F6763">
        <f>IF(B6763,MAX(MOD(SIN(Seed*0.1373+C6763*12.9898+D6763*78.233)*43758.5453,1),1E-9),"")</f>
        <v/>
      </c>
      <c r="G6763">
        <f>IF(B6763,MOD(SIN(Seed*0.5917+C6763*39.3468+D6763*11.135)*24634.6345,1),"")</f>
        <v/>
      </c>
      <c r="H6763">
        <f>IF(B6763,SQRT(-2*LN(F6763))*COS(2*PI()*G6763),"")</f>
        <v/>
      </c>
      <c r="I6763">
        <f>IF(B6763,IF(D6763=0,H6763,Rho*I6762+SQRT(1-Rho^2)*H6763),"")</f>
        <v/>
      </c>
      <c r="J6763">
        <f>IF(B6763,IF(Dist="Normal",DistA+DistB*I6763,DistA+(DistB-DistA)*NORMSDIST(I6763)),"")</f>
        <v/>
      </c>
      <c r="K6763">
        <f>IF(B6763,INDEX(MineScale,C6763),"")</f>
        <v/>
      </c>
      <c r="L6763">
        <f>IF(B6763,INDEX(Dow,1,WEEKDAY(E6763,2)),"")</f>
        <v/>
      </c>
      <c r="M6763">
        <f>IF(B6763,(1+Trend)^D6763,"")</f>
        <v/>
      </c>
      <c r="N6763">
        <f>IF(B6763,EXP(SUMPRODUCT(LN(1+(EvEff-1)*INDEX(Affected,0,C6763)*EXP(-((E6763-EvCenter)^2)/(2*EvSigma^2))))),"")</f>
        <v/>
      </c>
      <c r="O6763">
        <f>IF(B6763,ROUND(MAX(0,J6763*K6763*L6763*M6763*N6763),2),"")</f>
        <v/>
      </c>
    </row>
    <row r="6764">
      <c r="A6764" t="n">
        <v>6763</v>
      </c>
      <c r="B6764">
        <f>A6764&lt;=MineCount*Days</f>
        <v/>
      </c>
      <c r="C6764">
        <f>IF(B6764,INT((A6764-1)/Days)+1,"")</f>
        <v/>
      </c>
      <c r="D6764">
        <f>IF(B6764,MOD(A6764-1,Days),"")</f>
        <v/>
      </c>
      <c r="E6764" s="16">
        <f>IF(B6764,StartDate+D6764,"")</f>
        <v/>
      </c>
      <c r="F6764">
        <f>IF(B6764,MAX(MOD(SIN(Seed*0.1373+C6764*12.9898+D6764*78.233)*43758.5453,1),1E-9),"")</f>
        <v/>
      </c>
      <c r="G6764">
        <f>IF(B6764,MOD(SIN(Seed*0.5917+C6764*39.3468+D6764*11.135)*24634.6345,1),"")</f>
        <v/>
      </c>
      <c r="H6764">
        <f>IF(B6764,SQRT(-2*LN(F6764))*COS(2*PI()*G6764),"")</f>
        <v/>
      </c>
      <c r="I6764">
        <f>IF(B6764,IF(D6764=0,H6764,Rho*I6763+SQRT(1-Rho^2)*H6764),"")</f>
        <v/>
      </c>
      <c r="J6764">
        <f>IF(B6764,IF(Dist="Normal",DistA+DistB*I6764,DistA+(DistB-DistA)*NORMSDIST(I6764)),"")</f>
        <v/>
      </c>
      <c r="K6764">
        <f>IF(B6764,INDEX(MineScale,C6764),"")</f>
        <v/>
      </c>
      <c r="L6764">
        <f>IF(B6764,INDEX(Dow,1,WEEKDAY(E6764,2)),"")</f>
        <v/>
      </c>
      <c r="M6764">
        <f>IF(B6764,(1+Trend)^D6764,"")</f>
        <v/>
      </c>
      <c r="N6764">
        <f>IF(B6764,EXP(SUMPRODUCT(LN(1+(EvEff-1)*INDEX(Affected,0,C6764)*EXP(-((E6764-EvCenter)^2)/(2*EvSigma^2))))),"")</f>
        <v/>
      </c>
      <c r="O6764">
        <f>IF(B6764,ROUND(MAX(0,J6764*K6764*L6764*M6764*N6764),2),"")</f>
        <v/>
      </c>
    </row>
    <row r="6765">
      <c r="A6765" t="n">
        <v>6764</v>
      </c>
      <c r="B6765">
        <f>A6765&lt;=MineCount*Days</f>
        <v/>
      </c>
      <c r="C6765">
        <f>IF(B6765,INT((A6765-1)/Days)+1,"")</f>
        <v/>
      </c>
      <c r="D6765">
        <f>IF(B6765,MOD(A6765-1,Days),"")</f>
        <v/>
      </c>
      <c r="E6765" s="16">
        <f>IF(B6765,StartDate+D6765,"")</f>
        <v/>
      </c>
      <c r="F6765">
        <f>IF(B6765,MAX(MOD(SIN(Seed*0.1373+C6765*12.9898+D6765*78.233)*43758.5453,1),1E-9),"")</f>
        <v/>
      </c>
      <c r="G6765">
        <f>IF(B6765,MOD(SIN(Seed*0.5917+C6765*39.3468+D6765*11.135)*24634.6345,1),"")</f>
        <v/>
      </c>
      <c r="H6765">
        <f>IF(B6765,SQRT(-2*LN(F6765))*COS(2*PI()*G6765),"")</f>
        <v/>
      </c>
      <c r="I6765">
        <f>IF(B6765,IF(D6765=0,H6765,Rho*I6764+SQRT(1-Rho^2)*H6765),"")</f>
        <v/>
      </c>
      <c r="J6765">
        <f>IF(B6765,IF(Dist="Normal",DistA+DistB*I6765,DistA+(DistB-DistA)*NORMSDIST(I6765)),"")</f>
        <v/>
      </c>
      <c r="K6765">
        <f>IF(B6765,INDEX(MineScale,C6765),"")</f>
        <v/>
      </c>
      <c r="L6765">
        <f>IF(B6765,INDEX(Dow,1,WEEKDAY(E6765,2)),"")</f>
        <v/>
      </c>
      <c r="M6765">
        <f>IF(B6765,(1+Trend)^D6765,"")</f>
        <v/>
      </c>
      <c r="N6765">
        <f>IF(B6765,EXP(SUMPRODUCT(LN(1+(EvEff-1)*INDEX(Affected,0,C6765)*EXP(-((E6765-EvCenter)^2)/(2*EvSigma^2))))),"")</f>
        <v/>
      </c>
      <c r="O6765">
        <f>IF(B6765,ROUND(MAX(0,J6765*K6765*L6765*M6765*N6765),2),"")</f>
        <v/>
      </c>
    </row>
    <row r="6766">
      <c r="A6766" t="n">
        <v>6765</v>
      </c>
      <c r="B6766">
        <f>A6766&lt;=MineCount*Days</f>
        <v/>
      </c>
      <c r="C6766">
        <f>IF(B6766,INT((A6766-1)/Days)+1,"")</f>
        <v/>
      </c>
      <c r="D6766">
        <f>IF(B6766,MOD(A6766-1,Days),"")</f>
        <v/>
      </c>
      <c r="E6766" s="16">
        <f>IF(B6766,StartDate+D6766,"")</f>
        <v/>
      </c>
      <c r="F6766">
        <f>IF(B6766,MAX(MOD(SIN(Seed*0.1373+C6766*12.9898+D6766*78.233)*43758.5453,1),1E-9),"")</f>
        <v/>
      </c>
      <c r="G6766">
        <f>IF(B6766,MOD(SIN(Seed*0.5917+C6766*39.3468+D6766*11.135)*24634.6345,1),"")</f>
        <v/>
      </c>
      <c r="H6766">
        <f>IF(B6766,SQRT(-2*LN(F6766))*COS(2*PI()*G6766),"")</f>
        <v/>
      </c>
      <c r="I6766">
        <f>IF(B6766,IF(D6766=0,H6766,Rho*I6765+SQRT(1-Rho^2)*H6766),"")</f>
        <v/>
      </c>
      <c r="J6766">
        <f>IF(B6766,IF(Dist="Normal",DistA+DistB*I6766,DistA+(DistB-DistA)*NORMSDIST(I6766)),"")</f>
        <v/>
      </c>
      <c r="K6766">
        <f>IF(B6766,INDEX(MineScale,C6766),"")</f>
        <v/>
      </c>
      <c r="L6766">
        <f>IF(B6766,INDEX(Dow,1,WEEKDAY(E6766,2)),"")</f>
        <v/>
      </c>
      <c r="M6766">
        <f>IF(B6766,(1+Trend)^D6766,"")</f>
        <v/>
      </c>
      <c r="N6766">
        <f>IF(B6766,EXP(SUMPRODUCT(LN(1+(EvEff-1)*INDEX(Affected,0,C6766)*EXP(-((E6766-EvCenter)^2)/(2*EvSigma^2))))),"")</f>
        <v/>
      </c>
      <c r="O6766">
        <f>IF(B6766,ROUND(MAX(0,J6766*K6766*L6766*M6766*N6766),2),"")</f>
        <v/>
      </c>
    </row>
    <row r="6767">
      <c r="A6767" t="n">
        <v>6766</v>
      </c>
      <c r="B6767">
        <f>A6767&lt;=MineCount*Days</f>
        <v/>
      </c>
      <c r="C6767">
        <f>IF(B6767,INT((A6767-1)/Days)+1,"")</f>
        <v/>
      </c>
      <c r="D6767">
        <f>IF(B6767,MOD(A6767-1,Days),"")</f>
        <v/>
      </c>
      <c r="E6767" s="16">
        <f>IF(B6767,StartDate+D6767,"")</f>
        <v/>
      </c>
      <c r="F6767">
        <f>IF(B6767,MAX(MOD(SIN(Seed*0.1373+C6767*12.9898+D6767*78.233)*43758.5453,1),1E-9),"")</f>
        <v/>
      </c>
      <c r="G6767">
        <f>IF(B6767,MOD(SIN(Seed*0.5917+C6767*39.3468+D6767*11.135)*24634.6345,1),"")</f>
        <v/>
      </c>
      <c r="H6767">
        <f>IF(B6767,SQRT(-2*LN(F6767))*COS(2*PI()*G6767),"")</f>
        <v/>
      </c>
      <c r="I6767">
        <f>IF(B6767,IF(D6767=0,H6767,Rho*I6766+SQRT(1-Rho^2)*H6767),"")</f>
        <v/>
      </c>
      <c r="J6767">
        <f>IF(B6767,IF(Dist="Normal",DistA+DistB*I6767,DistA+(DistB-DistA)*NORMSDIST(I6767)),"")</f>
        <v/>
      </c>
      <c r="K6767">
        <f>IF(B6767,INDEX(MineScale,C6767),"")</f>
        <v/>
      </c>
      <c r="L6767">
        <f>IF(B6767,INDEX(Dow,1,WEEKDAY(E6767,2)),"")</f>
        <v/>
      </c>
      <c r="M6767">
        <f>IF(B6767,(1+Trend)^D6767,"")</f>
        <v/>
      </c>
      <c r="N6767">
        <f>IF(B6767,EXP(SUMPRODUCT(LN(1+(EvEff-1)*INDEX(Affected,0,C6767)*EXP(-((E6767-EvCenter)^2)/(2*EvSigma^2))))),"")</f>
        <v/>
      </c>
      <c r="O6767">
        <f>IF(B6767,ROUND(MAX(0,J6767*K6767*L6767*M6767*N6767),2),"")</f>
        <v/>
      </c>
    </row>
    <row r="6768">
      <c r="A6768" t="n">
        <v>6767</v>
      </c>
      <c r="B6768">
        <f>A6768&lt;=MineCount*Days</f>
        <v/>
      </c>
      <c r="C6768">
        <f>IF(B6768,INT((A6768-1)/Days)+1,"")</f>
        <v/>
      </c>
      <c r="D6768">
        <f>IF(B6768,MOD(A6768-1,Days),"")</f>
        <v/>
      </c>
      <c r="E6768" s="16">
        <f>IF(B6768,StartDate+D6768,"")</f>
        <v/>
      </c>
      <c r="F6768">
        <f>IF(B6768,MAX(MOD(SIN(Seed*0.1373+C6768*12.9898+D6768*78.233)*43758.5453,1),1E-9),"")</f>
        <v/>
      </c>
      <c r="G6768">
        <f>IF(B6768,MOD(SIN(Seed*0.5917+C6768*39.3468+D6768*11.135)*24634.6345,1),"")</f>
        <v/>
      </c>
      <c r="H6768">
        <f>IF(B6768,SQRT(-2*LN(F6768))*COS(2*PI()*G6768),"")</f>
        <v/>
      </c>
      <c r="I6768">
        <f>IF(B6768,IF(D6768=0,H6768,Rho*I6767+SQRT(1-Rho^2)*H6768),"")</f>
        <v/>
      </c>
      <c r="J6768">
        <f>IF(B6768,IF(Dist="Normal",DistA+DistB*I6768,DistA+(DistB-DistA)*NORMSDIST(I6768)),"")</f>
        <v/>
      </c>
      <c r="K6768">
        <f>IF(B6768,INDEX(MineScale,C6768),"")</f>
        <v/>
      </c>
      <c r="L6768">
        <f>IF(B6768,INDEX(Dow,1,WEEKDAY(E6768,2)),"")</f>
        <v/>
      </c>
      <c r="M6768">
        <f>IF(B6768,(1+Trend)^D6768,"")</f>
        <v/>
      </c>
      <c r="N6768">
        <f>IF(B6768,EXP(SUMPRODUCT(LN(1+(EvEff-1)*INDEX(Affected,0,C6768)*EXP(-((E6768-EvCenter)^2)/(2*EvSigma^2))))),"")</f>
        <v/>
      </c>
      <c r="O6768">
        <f>IF(B6768,ROUND(MAX(0,J6768*K6768*L6768*M6768*N6768),2),"")</f>
        <v/>
      </c>
    </row>
    <row r="6769">
      <c r="A6769" t="n">
        <v>6768</v>
      </c>
      <c r="B6769">
        <f>A6769&lt;=MineCount*Days</f>
        <v/>
      </c>
      <c r="C6769">
        <f>IF(B6769,INT((A6769-1)/Days)+1,"")</f>
        <v/>
      </c>
      <c r="D6769">
        <f>IF(B6769,MOD(A6769-1,Days),"")</f>
        <v/>
      </c>
      <c r="E6769" s="16">
        <f>IF(B6769,StartDate+D6769,"")</f>
        <v/>
      </c>
      <c r="F6769">
        <f>IF(B6769,MAX(MOD(SIN(Seed*0.1373+C6769*12.9898+D6769*78.233)*43758.5453,1),1E-9),"")</f>
        <v/>
      </c>
      <c r="G6769">
        <f>IF(B6769,MOD(SIN(Seed*0.5917+C6769*39.3468+D6769*11.135)*24634.6345,1),"")</f>
        <v/>
      </c>
      <c r="H6769">
        <f>IF(B6769,SQRT(-2*LN(F6769))*COS(2*PI()*G6769),"")</f>
        <v/>
      </c>
      <c r="I6769">
        <f>IF(B6769,IF(D6769=0,H6769,Rho*I6768+SQRT(1-Rho^2)*H6769),"")</f>
        <v/>
      </c>
      <c r="J6769">
        <f>IF(B6769,IF(Dist="Normal",DistA+DistB*I6769,DistA+(DistB-DistA)*NORMSDIST(I6769)),"")</f>
        <v/>
      </c>
      <c r="K6769">
        <f>IF(B6769,INDEX(MineScale,C6769),"")</f>
        <v/>
      </c>
      <c r="L6769">
        <f>IF(B6769,INDEX(Dow,1,WEEKDAY(E6769,2)),"")</f>
        <v/>
      </c>
      <c r="M6769">
        <f>IF(B6769,(1+Trend)^D6769,"")</f>
        <v/>
      </c>
      <c r="N6769">
        <f>IF(B6769,EXP(SUMPRODUCT(LN(1+(EvEff-1)*INDEX(Affected,0,C6769)*EXP(-((E6769-EvCenter)^2)/(2*EvSigma^2))))),"")</f>
        <v/>
      </c>
      <c r="O6769">
        <f>IF(B6769,ROUND(MAX(0,J6769*K6769*L6769*M6769*N6769),2),"")</f>
        <v/>
      </c>
    </row>
    <row r="6770">
      <c r="A6770" t="n">
        <v>6769</v>
      </c>
      <c r="B6770">
        <f>A6770&lt;=MineCount*Days</f>
        <v/>
      </c>
      <c r="C6770">
        <f>IF(B6770,INT((A6770-1)/Days)+1,"")</f>
        <v/>
      </c>
      <c r="D6770">
        <f>IF(B6770,MOD(A6770-1,Days),"")</f>
        <v/>
      </c>
      <c r="E6770" s="16">
        <f>IF(B6770,StartDate+D6770,"")</f>
        <v/>
      </c>
      <c r="F6770">
        <f>IF(B6770,MAX(MOD(SIN(Seed*0.1373+C6770*12.9898+D6770*78.233)*43758.5453,1),1E-9),"")</f>
        <v/>
      </c>
      <c r="G6770">
        <f>IF(B6770,MOD(SIN(Seed*0.5917+C6770*39.3468+D6770*11.135)*24634.6345,1),"")</f>
        <v/>
      </c>
      <c r="H6770">
        <f>IF(B6770,SQRT(-2*LN(F6770))*COS(2*PI()*G6770),"")</f>
        <v/>
      </c>
      <c r="I6770">
        <f>IF(B6770,IF(D6770=0,H6770,Rho*I6769+SQRT(1-Rho^2)*H6770),"")</f>
        <v/>
      </c>
      <c r="J6770">
        <f>IF(B6770,IF(Dist="Normal",DistA+DistB*I6770,DistA+(DistB-DistA)*NORMSDIST(I6770)),"")</f>
        <v/>
      </c>
      <c r="K6770">
        <f>IF(B6770,INDEX(MineScale,C6770),"")</f>
        <v/>
      </c>
      <c r="L6770">
        <f>IF(B6770,INDEX(Dow,1,WEEKDAY(E6770,2)),"")</f>
        <v/>
      </c>
      <c r="M6770">
        <f>IF(B6770,(1+Trend)^D6770,"")</f>
        <v/>
      </c>
      <c r="N6770">
        <f>IF(B6770,EXP(SUMPRODUCT(LN(1+(EvEff-1)*INDEX(Affected,0,C6770)*EXP(-((E6770-EvCenter)^2)/(2*EvSigma^2))))),"")</f>
        <v/>
      </c>
      <c r="O6770">
        <f>IF(B6770,ROUND(MAX(0,J6770*K6770*L6770*M6770*N6770),2),"")</f>
        <v/>
      </c>
    </row>
    <row r="6771">
      <c r="A6771" t="n">
        <v>6770</v>
      </c>
      <c r="B6771">
        <f>A6771&lt;=MineCount*Days</f>
        <v/>
      </c>
      <c r="C6771">
        <f>IF(B6771,INT((A6771-1)/Days)+1,"")</f>
        <v/>
      </c>
      <c r="D6771">
        <f>IF(B6771,MOD(A6771-1,Days),"")</f>
        <v/>
      </c>
      <c r="E6771" s="16">
        <f>IF(B6771,StartDate+D6771,"")</f>
        <v/>
      </c>
      <c r="F6771">
        <f>IF(B6771,MAX(MOD(SIN(Seed*0.1373+C6771*12.9898+D6771*78.233)*43758.5453,1),1E-9),"")</f>
        <v/>
      </c>
      <c r="G6771">
        <f>IF(B6771,MOD(SIN(Seed*0.5917+C6771*39.3468+D6771*11.135)*24634.6345,1),"")</f>
        <v/>
      </c>
      <c r="H6771">
        <f>IF(B6771,SQRT(-2*LN(F6771))*COS(2*PI()*G6771),"")</f>
        <v/>
      </c>
      <c r="I6771">
        <f>IF(B6771,IF(D6771=0,H6771,Rho*I6770+SQRT(1-Rho^2)*H6771),"")</f>
        <v/>
      </c>
      <c r="J6771">
        <f>IF(B6771,IF(Dist="Normal",DistA+DistB*I6771,DistA+(DistB-DistA)*NORMSDIST(I6771)),"")</f>
        <v/>
      </c>
      <c r="K6771">
        <f>IF(B6771,INDEX(MineScale,C6771),"")</f>
        <v/>
      </c>
      <c r="L6771">
        <f>IF(B6771,INDEX(Dow,1,WEEKDAY(E6771,2)),"")</f>
        <v/>
      </c>
      <c r="M6771">
        <f>IF(B6771,(1+Trend)^D6771,"")</f>
        <v/>
      </c>
      <c r="N6771">
        <f>IF(B6771,EXP(SUMPRODUCT(LN(1+(EvEff-1)*INDEX(Affected,0,C6771)*EXP(-((E6771-EvCenter)^2)/(2*EvSigma^2))))),"")</f>
        <v/>
      </c>
      <c r="O6771">
        <f>IF(B6771,ROUND(MAX(0,J6771*K6771*L6771*M6771*N6771),2),"")</f>
        <v/>
      </c>
    </row>
    <row r="6772">
      <c r="A6772" t="n">
        <v>6771</v>
      </c>
      <c r="B6772">
        <f>A6772&lt;=MineCount*Days</f>
        <v/>
      </c>
      <c r="C6772">
        <f>IF(B6772,INT((A6772-1)/Days)+1,"")</f>
        <v/>
      </c>
      <c r="D6772">
        <f>IF(B6772,MOD(A6772-1,Days),"")</f>
        <v/>
      </c>
      <c r="E6772" s="16">
        <f>IF(B6772,StartDate+D6772,"")</f>
        <v/>
      </c>
      <c r="F6772">
        <f>IF(B6772,MAX(MOD(SIN(Seed*0.1373+C6772*12.9898+D6772*78.233)*43758.5453,1),1E-9),"")</f>
        <v/>
      </c>
      <c r="G6772">
        <f>IF(B6772,MOD(SIN(Seed*0.5917+C6772*39.3468+D6772*11.135)*24634.6345,1),"")</f>
        <v/>
      </c>
      <c r="H6772">
        <f>IF(B6772,SQRT(-2*LN(F6772))*COS(2*PI()*G6772),"")</f>
        <v/>
      </c>
      <c r="I6772">
        <f>IF(B6772,IF(D6772=0,H6772,Rho*I6771+SQRT(1-Rho^2)*H6772),"")</f>
        <v/>
      </c>
      <c r="J6772">
        <f>IF(B6772,IF(Dist="Normal",DistA+DistB*I6772,DistA+(DistB-DistA)*NORMSDIST(I6772)),"")</f>
        <v/>
      </c>
      <c r="K6772">
        <f>IF(B6772,INDEX(MineScale,C6772),"")</f>
        <v/>
      </c>
      <c r="L6772">
        <f>IF(B6772,INDEX(Dow,1,WEEKDAY(E6772,2)),"")</f>
        <v/>
      </c>
      <c r="M6772">
        <f>IF(B6772,(1+Trend)^D6772,"")</f>
        <v/>
      </c>
      <c r="N6772">
        <f>IF(B6772,EXP(SUMPRODUCT(LN(1+(EvEff-1)*INDEX(Affected,0,C6772)*EXP(-((E6772-EvCenter)^2)/(2*EvSigma^2))))),"")</f>
        <v/>
      </c>
      <c r="O6772">
        <f>IF(B6772,ROUND(MAX(0,J6772*K6772*L6772*M6772*N6772),2),"")</f>
        <v/>
      </c>
    </row>
    <row r="6773">
      <c r="A6773" t="n">
        <v>6772</v>
      </c>
      <c r="B6773">
        <f>A6773&lt;=MineCount*Days</f>
        <v/>
      </c>
      <c r="C6773">
        <f>IF(B6773,INT((A6773-1)/Days)+1,"")</f>
        <v/>
      </c>
      <c r="D6773">
        <f>IF(B6773,MOD(A6773-1,Days),"")</f>
        <v/>
      </c>
      <c r="E6773" s="16">
        <f>IF(B6773,StartDate+D6773,"")</f>
        <v/>
      </c>
      <c r="F6773">
        <f>IF(B6773,MAX(MOD(SIN(Seed*0.1373+C6773*12.9898+D6773*78.233)*43758.5453,1),1E-9),"")</f>
        <v/>
      </c>
      <c r="G6773">
        <f>IF(B6773,MOD(SIN(Seed*0.5917+C6773*39.3468+D6773*11.135)*24634.6345,1),"")</f>
        <v/>
      </c>
      <c r="H6773">
        <f>IF(B6773,SQRT(-2*LN(F6773))*COS(2*PI()*G6773),"")</f>
        <v/>
      </c>
      <c r="I6773">
        <f>IF(B6773,IF(D6773=0,H6773,Rho*I6772+SQRT(1-Rho^2)*H6773),"")</f>
        <v/>
      </c>
      <c r="J6773">
        <f>IF(B6773,IF(Dist="Normal",DistA+DistB*I6773,DistA+(DistB-DistA)*NORMSDIST(I6773)),"")</f>
        <v/>
      </c>
      <c r="K6773">
        <f>IF(B6773,INDEX(MineScale,C6773),"")</f>
        <v/>
      </c>
      <c r="L6773">
        <f>IF(B6773,INDEX(Dow,1,WEEKDAY(E6773,2)),"")</f>
        <v/>
      </c>
      <c r="M6773">
        <f>IF(B6773,(1+Trend)^D6773,"")</f>
        <v/>
      </c>
      <c r="N6773">
        <f>IF(B6773,EXP(SUMPRODUCT(LN(1+(EvEff-1)*INDEX(Affected,0,C6773)*EXP(-((E6773-EvCenter)^2)/(2*EvSigma^2))))),"")</f>
        <v/>
      </c>
      <c r="O6773">
        <f>IF(B6773,ROUND(MAX(0,J6773*K6773*L6773*M6773*N6773),2),"")</f>
        <v/>
      </c>
    </row>
    <row r="6774">
      <c r="A6774" t="n">
        <v>6773</v>
      </c>
      <c r="B6774">
        <f>A6774&lt;=MineCount*Days</f>
        <v/>
      </c>
      <c r="C6774">
        <f>IF(B6774,INT((A6774-1)/Days)+1,"")</f>
        <v/>
      </c>
      <c r="D6774">
        <f>IF(B6774,MOD(A6774-1,Days),"")</f>
        <v/>
      </c>
      <c r="E6774" s="16">
        <f>IF(B6774,StartDate+D6774,"")</f>
        <v/>
      </c>
      <c r="F6774">
        <f>IF(B6774,MAX(MOD(SIN(Seed*0.1373+C6774*12.9898+D6774*78.233)*43758.5453,1),1E-9),"")</f>
        <v/>
      </c>
      <c r="G6774">
        <f>IF(B6774,MOD(SIN(Seed*0.5917+C6774*39.3468+D6774*11.135)*24634.6345,1),"")</f>
        <v/>
      </c>
      <c r="H6774">
        <f>IF(B6774,SQRT(-2*LN(F6774))*COS(2*PI()*G6774),"")</f>
        <v/>
      </c>
      <c r="I6774">
        <f>IF(B6774,IF(D6774=0,H6774,Rho*I6773+SQRT(1-Rho^2)*H6774),"")</f>
        <v/>
      </c>
      <c r="J6774">
        <f>IF(B6774,IF(Dist="Normal",DistA+DistB*I6774,DistA+(DistB-DistA)*NORMSDIST(I6774)),"")</f>
        <v/>
      </c>
      <c r="K6774">
        <f>IF(B6774,INDEX(MineScale,C6774),"")</f>
        <v/>
      </c>
      <c r="L6774">
        <f>IF(B6774,INDEX(Dow,1,WEEKDAY(E6774,2)),"")</f>
        <v/>
      </c>
      <c r="M6774">
        <f>IF(B6774,(1+Trend)^D6774,"")</f>
        <v/>
      </c>
      <c r="N6774">
        <f>IF(B6774,EXP(SUMPRODUCT(LN(1+(EvEff-1)*INDEX(Affected,0,C6774)*EXP(-((E6774-EvCenter)^2)/(2*EvSigma^2))))),"")</f>
        <v/>
      </c>
      <c r="O6774">
        <f>IF(B6774,ROUND(MAX(0,J6774*K6774*L6774*M6774*N6774),2),"")</f>
        <v/>
      </c>
    </row>
    <row r="6775">
      <c r="A6775" t="n">
        <v>6774</v>
      </c>
      <c r="B6775">
        <f>A6775&lt;=MineCount*Days</f>
        <v/>
      </c>
      <c r="C6775">
        <f>IF(B6775,INT((A6775-1)/Days)+1,"")</f>
        <v/>
      </c>
      <c r="D6775">
        <f>IF(B6775,MOD(A6775-1,Days),"")</f>
        <v/>
      </c>
      <c r="E6775" s="16">
        <f>IF(B6775,StartDate+D6775,"")</f>
        <v/>
      </c>
      <c r="F6775">
        <f>IF(B6775,MAX(MOD(SIN(Seed*0.1373+C6775*12.9898+D6775*78.233)*43758.5453,1),1E-9),"")</f>
        <v/>
      </c>
      <c r="G6775">
        <f>IF(B6775,MOD(SIN(Seed*0.5917+C6775*39.3468+D6775*11.135)*24634.6345,1),"")</f>
        <v/>
      </c>
      <c r="H6775">
        <f>IF(B6775,SQRT(-2*LN(F6775))*COS(2*PI()*G6775),"")</f>
        <v/>
      </c>
      <c r="I6775">
        <f>IF(B6775,IF(D6775=0,H6775,Rho*I6774+SQRT(1-Rho^2)*H6775),"")</f>
        <v/>
      </c>
      <c r="J6775">
        <f>IF(B6775,IF(Dist="Normal",DistA+DistB*I6775,DistA+(DistB-DistA)*NORMSDIST(I6775)),"")</f>
        <v/>
      </c>
      <c r="K6775">
        <f>IF(B6775,INDEX(MineScale,C6775),"")</f>
        <v/>
      </c>
      <c r="L6775">
        <f>IF(B6775,INDEX(Dow,1,WEEKDAY(E6775,2)),"")</f>
        <v/>
      </c>
      <c r="M6775">
        <f>IF(B6775,(1+Trend)^D6775,"")</f>
        <v/>
      </c>
      <c r="N6775">
        <f>IF(B6775,EXP(SUMPRODUCT(LN(1+(EvEff-1)*INDEX(Affected,0,C6775)*EXP(-((E6775-EvCenter)^2)/(2*EvSigma^2))))),"")</f>
        <v/>
      </c>
      <c r="O6775">
        <f>IF(B6775,ROUND(MAX(0,J6775*K6775*L6775*M6775*N6775),2),"")</f>
        <v/>
      </c>
    </row>
    <row r="6776">
      <c r="A6776" t="n">
        <v>6775</v>
      </c>
      <c r="B6776">
        <f>A6776&lt;=MineCount*Days</f>
        <v/>
      </c>
      <c r="C6776">
        <f>IF(B6776,INT((A6776-1)/Days)+1,"")</f>
        <v/>
      </c>
      <c r="D6776">
        <f>IF(B6776,MOD(A6776-1,Days),"")</f>
        <v/>
      </c>
      <c r="E6776" s="16">
        <f>IF(B6776,StartDate+D6776,"")</f>
        <v/>
      </c>
      <c r="F6776">
        <f>IF(B6776,MAX(MOD(SIN(Seed*0.1373+C6776*12.9898+D6776*78.233)*43758.5453,1),1E-9),"")</f>
        <v/>
      </c>
      <c r="G6776">
        <f>IF(B6776,MOD(SIN(Seed*0.5917+C6776*39.3468+D6776*11.135)*24634.6345,1),"")</f>
        <v/>
      </c>
      <c r="H6776">
        <f>IF(B6776,SQRT(-2*LN(F6776))*COS(2*PI()*G6776),"")</f>
        <v/>
      </c>
      <c r="I6776">
        <f>IF(B6776,IF(D6776=0,H6776,Rho*I6775+SQRT(1-Rho^2)*H6776),"")</f>
        <v/>
      </c>
      <c r="J6776">
        <f>IF(B6776,IF(Dist="Normal",DistA+DistB*I6776,DistA+(DistB-DistA)*NORMSDIST(I6776)),"")</f>
        <v/>
      </c>
      <c r="K6776">
        <f>IF(B6776,INDEX(MineScale,C6776),"")</f>
        <v/>
      </c>
      <c r="L6776">
        <f>IF(B6776,INDEX(Dow,1,WEEKDAY(E6776,2)),"")</f>
        <v/>
      </c>
      <c r="M6776">
        <f>IF(B6776,(1+Trend)^D6776,"")</f>
        <v/>
      </c>
      <c r="N6776">
        <f>IF(B6776,EXP(SUMPRODUCT(LN(1+(EvEff-1)*INDEX(Affected,0,C6776)*EXP(-((E6776-EvCenter)^2)/(2*EvSigma^2))))),"")</f>
        <v/>
      </c>
      <c r="O6776">
        <f>IF(B6776,ROUND(MAX(0,J6776*K6776*L6776*M6776*N6776),2),"")</f>
        <v/>
      </c>
    </row>
    <row r="6777">
      <c r="A6777" t="n">
        <v>6776</v>
      </c>
      <c r="B6777">
        <f>A6777&lt;=MineCount*Days</f>
        <v/>
      </c>
      <c r="C6777">
        <f>IF(B6777,INT((A6777-1)/Days)+1,"")</f>
        <v/>
      </c>
      <c r="D6777">
        <f>IF(B6777,MOD(A6777-1,Days),"")</f>
        <v/>
      </c>
      <c r="E6777" s="16">
        <f>IF(B6777,StartDate+D6777,"")</f>
        <v/>
      </c>
      <c r="F6777">
        <f>IF(B6777,MAX(MOD(SIN(Seed*0.1373+C6777*12.9898+D6777*78.233)*43758.5453,1),1E-9),"")</f>
        <v/>
      </c>
      <c r="G6777">
        <f>IF(B6777,MOD(SIN(Seed*0.5917+C6777*39.3468+D6777*11.135)*24634.6345,1),"")</f>
        <v/>
      </c>
      <c r="H6777">
        <f>IF(B6777,SQRT(-2*LN(F6777))*COS(2*PI()*G6777),"")</f>
        <v/>
      </c>
      <c r="I6777">
        <f>IF(B6777,IF(D6777=0,H6777,Rho*I6776+SQRT(1-Rho^2)*H6777),"")</f>
        <v/>
      </c>
      <c r="J6777">
        <f>IF(B6777,IF(Dist="Normal",DistA+DistB*I6777,DistA+(DistB-DistA)*NORMSDIST(I6777)),"")</f>
        <v/>
      </c>
      <c r="K6777">
        <f>IF(B6777,INDEX(MineScale,C6777),"")</f>
        <v/>
      </c>
      <c r="L6777">
        <f>IF(B6777,INDEX(Dow,1,WEEKDAY(E6777,2)),"")</f>
        <v/>
      </c>
      <c r="M6777">
        <f>IF(B6777,(1+Trend)^D6777,"")</f>
        <v/>
      </c>
      <c r="N6777">
        <f>IF(B6777,EXP(SUMPRODUCT(LN(1+(EvEff-1)*INDEX(Affected,0,C6777)*EXP(-((E6777-EvCenter)^2)/(2*EvSigma^2))))),"")</f>
        <v/>
      </c>
      <c r="O6777">
        <f>IF(B6777,ROUND(MAX(0,J6777*K6777*L6777*M6777*N6777),2),"")</f>
        <v/>
      </c>
    </row>
    <row r="6778">
      <c r="A6778" t="n">
        <v>6777</v>
      </c>
      <c r="B6778">
        <f>A6778&lt;=MineCount*Days</f>
        <v/>
      </c>
      <c r="C6778">
        <f>IF(B6778,INT((A6778-1)/Days)+1,"")</f>
        <v/>
      </c>
      <c r="D6778">
        <f>IF(B6778,MOD(A6778-1,Days),"")</f>
        <v/>
      </c>
      <c r="E6778" s="16">
        <f>IF(B6778,StartDate+D6778,"")</f>
        <v/>
      </c>
      <c r="F6778">
        <f>IF(B6778,MAX(MOD(SIN(Seed*0.1373+C6778*12.9898+D6778*78.233)*43758.5453,1),1E-9),"")</f>
        <v/>
      </c>
      <c r="G6778">
        <f>IF(B6778,MOD(SIN(Seed*0.5917+C6778*39.3468+D6778*11.135)*24634.6345,1),"")</f>
        <v/>
      </c>
      <c r="H6778">
        <f>IF(B6778,SQRT(-2*LN(F6778))*COS(2*PI()*G6778),"")</f>
        <v/>
      </c>
      <c r="I6778">
        <f>IF(B6778,IF(D6778=0,H6778,Rho*I6777+SQRT(1-Rho^2)*H6778),"")</f>
        <v/>
      </c>
      <c r="J6778">
        <f>IF(B6778,IF(Dist="Normal",DistA+DistB*I6778,DistA+(DistB-DistA)*NORMSDIST(I6778)),"")</f>
        <v/>
      </c>
      <c r="K6778">
        <f>IF(B6778,INDEX(MineScale,C6778),"")</f>
        <v/>
      </c>
      <c r="L6778">
        <f>IF(B6778,INDEX(Dow,1,WEEKDAY(E6778,2)),"")</f>
        <v/>
      </c>
      <c r="M6778">
        <f>IF(B6778,(1+Trend)^D6778,"")</f>
        <v/>
      </c>
      <c r="N6778">
        <f>IF(B6778,EXP(SUMPRODUCT(LN(1+(EvEff-1)*INDEX(Affected,0,C6778)*EXP(-((E6778-EvCenter)^2)/(2*EvSigma^2))))),"")</f>
        <v/>
      </c>
      <c r="O6778">
        <f>IF(B6778,ROUND(MAX(0,J6778*K6778*L6778*M6778*N6778),2),"")</f>
        <v/>
      </c>
    </row>
    <row r="6779">
      <c r="A6779" t="n">
        <v>6778</v>
      </c>
      <c r="B6779">
        <f>A6779&lt;=MineCount*Days</f>
        <v/>
      </c>
      <c r="C6779">
        <f>IF(B6779,INT((A6779-1)/Days)+1,"")</f>
        <v/>
      </c>
      <c r="D6779">
        <f>IF(B6779,MOD(A6779-1,Days),"")</f>
        <v/>
      </c>
      <c r="E6779" s="16">
        <f>IF(B6779,StartDate+D6779,"")</f>
        <v/>
      </c>
      <c r="F6779">
        <f>IF(B6779,MAX(MOD(SIN(Seed*0.1373+C6779*12.9898+D6779*78.233)*43758.5453,1),1E-9),"")</f>
        <v/>
      </c>
      <c r="G6779">
        <f>IF(B6779,MOD(SIN(Seed*0.5917+C6779*39.3468+D6779*11.135)*24634.6345,1),"")</f>
        <v/>
      </c>
      <c r="H6779">
        <f>IF(B6779,SQRT(-2*LN(F6779))*COS(2*PI()*G6779),"")</f>
        <v/>
      </c>
      <c r="I6779">
        <f>IF(B6779,IF(D6779=0,H6779,Rho*I6778+SQRT(1-Rho^2)*H6779),"")</f>
        <v/>
      </c>
      <c r="J6779">
        <f>IF(B6779,IF(Dist="Normal",DistA+DistB*I6779,DistA+(DistB-DistA)*NORMSDIST(I6779)),"")</f>
        <v/>
      </c>
      <c r="K6779">
        <f>IF(B6779,INDEX(MineScale,C6779),"")</f>
        <v/>
      </c>
      <c r="L6779">
        <f>IF(B6779,INDEX(Dow,1,WEEKDAY(E6779,2)),"")</f>
        <v/>
      </c>
      <c r="M6779">
        <f>IF(B6779,(1+Trend)^D6779,"")</f>
        <v/>
      </c>
      <c r="N6779">
        <f>IF(B6779,EXP(SUMPRODUCT(LN(1+(EvEff-1)*INDEX(Affected,0,C6779)*EXP(-((E6779-EvCenter)^2)/(2*EvSigma^2))))),"")</f>
        <v/>
      </c>
      <c r="O6779">
        <f>IF(B6779,ROUND(MAX(0,J6779*K6779*L6779*M6779*N6779),2),"")</f>
        <v/>
      </c>
    </row>
    <row r="6780">
      <c r="A6780" t="n">
        <v>6779</v>
      </c>
      <c r="B6780">
        <f>A6780&lt;=MineCount*Days</f>
        <v/>
      </c>
      <c r="C6780">
        <f>IF(B6780,INT((A6780-1)/Days)+1,"")</f>
        <v/>
      </c>
      <c r="D6780">
        <f>IF(B6780,MOD(A6780-1,Days),"")</f>
        <v/>
      </c>
      <c r="E6780" s="16">
        <f>IF(B6780,StartDate+D6780,"")</f>
        <v/>
      </c>
      <c r="F6780">
        <f>IF(B6780,MAX(MOD(SIN(Seed*0.1373+C6780*12.9898+D6780*78.233)*43758.5453,1),1E-9),"")</f>
        <v/>
      </c>
      <c r="G6780">
        <f>IF(B6780,MOD(SIN(Seed*0.5917+C6780*39.3468+D6780*11.135)*24634.6345,1),"")</f>
        <v/>
      </c>
      <c r="H6780">
        <f>IF(B6780,SQRT(-2*LN(F6780))*COS(2*PI()*G6780),"")</f>
        <v/>
      </c>
      <c r="I6780">
        <f>IF(B6780,IF(D6780=0,H6780,Rho*I6779+SQRT(1-Rho^2)*H6780),"")</f>
        <v/>
      </c>
      <c r="J6780">
        <f>IF(B6780,IF(Dist="Normal",DistA+DistB*I6780,DistA+(DistB-DistA)*NORMSDIST(I6780)),"")</f>
        <v/>
      </c>
      <c r="K6780">
        <f>IF(B6780,INDEX(MineScale,C6780),"")</f>
        <v/>
      </c>
      <c r="L6780">
        <f>IF(B6780,INDEX(Dow,1,WEEKDAY(E6780,2)),"")</f>
        <v/>
      </c>
      <c r="M6780">
        <f>IF(B6780,(1+Trend)^D6780,"")</f>
        <v/>
      </c>
      <c r="N6780">
        <f>IF(B6780,EXP(SUMPRODUCT(LN(1+(EvEff-1)*INDEX(Affected,0,C6780)*EXP(-((E6780-EvCenter)^2)/(2*EvSigma^2))))),"")</f>
        <v/>
      </c>
      <c r="O6780">
        <f>IF(B6780,ROUND(MAX(0,J6780*K6780*L6780*M6780*N6780),2),"")</f>
        <v/>
      </c>
    </row>
    <row r="6781">
      <c r="A6781" t="n">
        <v>6780</v>
      </c>
      <c r="B6781">
        <f>A6781&lt;=MineCount*Days</f>
        <v/>
      </c>
      <c r="C6781">
        <f>IF(B6781,INT((A6781-1)/Days)+1,"")</f>
        <v/>
      </c>
      <c r="D6781">
        <f>IF(B6781,MOD(A6781-1,Days),"")</f>
        <v/>
      </c>
      <c r="E6781" s="16">
        <f>IF(B6781,StartDate+D6781,"")</f>
        <v/>
      </c>
      <c r="F6781">
        <f>IF(B6781,MAX(MOD(SIN(Seed*0.1373+C6781*12.9898+D6781*78.233)*43758.5453,1),1E-9),"")</f>
        <v/>
      </c>
      <c r="G6781">
        <f>IF(B6781,MOD(SIN(Seed*0.5917+C6781*39.3468+D6781*11.135)*24634.6345,1),"")</f>
        <v/>
      </c>
      <c r="H6781">
        <f>IF(B6781,SQRT(-2*LN(F6781))*COS(2*PI()*G6781),"")</f>
        <v/>
      </c>
      <c r="I6781">
        <f>IF(B6781,IF(D6781=0,H6781,Rho*I6780+SQRT(1-Rho^2)*H6781),"")</f>
        <v/>
      </c>
      <c r="J6781">
        <f>IF(B6781,IF(Dist="Normal",DistA+DistB*I6781,DistA+(DistB-DistA)*NORMSDIST(I6781)),"")</f>
        <v/>
      </c>
      <c r="K6781">
        <f>IF(B6781,INDEX(MineScale,C6781),"")</f>
        <v/>
      </c>
      <c r="L6781">
        <f>IF(B6781,INDEX(Dow,1,WEEKDAY(E6781,2)),"")</f>
        <v/>
      </c>
      <c r="M6781">
        <f>IF(B6781,(1+Trend)^D6781,"")</f>
        <v/>
      </c>
      <c r="N6781">
        <f>IF(B6781,EXP(SUMPRODUCT(LN(1+(EvEff-1)*INDEX(Affected,0,C6781)*EXP(-((E6781-EvCenter)^2)/(2*EvSigma^2))))),"")</f>
        <v/>
      </c>
      <c r="O6781">
        <f>IF(B6781,ROUND(MAX(0,J6781*K6781*L6781*M6781*N6781),2),"")</f>
        <v/>
      </c>
    </row>
    <row r="6782">
      <c r="A6782" t="n">
        <v>6781</v>
      </c>
      <c r="B6782">
        <f>A6782&lt;=MineCount*Days</f>
        <v/>
      </c>
      <c r="C6782">
        <f>IF(B6782,INT((A6782-1)/Days)+1,"")</f>
        <v/>
      </c>
      <c r="D6782">
        <f>IF(B6782,MOD(A6782-1,Days),"")</f>
        <v/>
      </c>
      <c r="E6782" s="16">
        <f>IF(B6782,StartDate+D6782,"")</f>
        <v/>
      </c>
      <c r="F6782">
        <f>IF(B6782,MAX(MOD(SIN(Seed*0.1373+C6782*12.9898+D6782*78.233)*43758.5453,1),1E-9),"")</f>
        <v/>
      </c>
      <c r="G6782">
        <f>IF(B6782,MOD(SIN(Seed*0.5917+C6782*39.3468+D6782*11.135)*24634.6345,1),"")</f>
        <v/>
      </c>
      <c r="H6782">
        <f>IF(B6782,SQRT(-2*LN(F6782))*COS(2*PI()*G6782),"")</f>
        <v/>
      </c>
      <c r="I6782">
        <f>IF(B6782,IF(D6782=0,H6782,Rho*I6781+SQRT(1-Rho^2)*H6782),"")</f>
        <v/>
      </c>
      <c r="J6782">
        <f>IF(B6782,IF(Dist="Normal",DistA+DistB*I6782,DistA+(DistB-DistA)*NORMSDIST(I6782)),"")</f>
        <v/>
      </c>
      <c r="K6782">
        <f>IF(B6782,INDEX(MineScale,C6782),"")</f>
        <v/>
      </c>
      <c r="L6782">
        <f>IF(B6782,INDEX(Dow,1,WEEKDAY(E6782,2)),"")</f>
        <v/>
      </c>
      <c r="M6782">
        <f>IF(B6782,(1+Trend)^D6782,"")</f>
        <v/>
      </c>
      <c r="N6782">
        <f>IF(B6782,EXP(SUMPRODUCT(LN(1+(EvEff-1)*INDEX(Affected,0,C6782)*EXP(-((E6782-EvCenter)^2)/(2*EvSigma^2))))),"")</f>
        <v/>
      </c>
      <c r="O6782">
        <f>IF(B6782,ROUND(MAX(0,J6782*K6782*L6782*M6782*N6782),2),"")</f>
        <v/>
      </c>
    </row>
    <row r="6783">
      <c r="A6783" t="n">
        <v>6782</v>
      </c>
      <c r="B6783">
        <f>A6783&lt;=MineCount*Days</f>
        <v/>
      </c>
      <c r="C6783">
        <f>IF(B6783,INT((A6783-1)/Days)+1,"")</f>
        <v/>
      </c>
      <c r="D6783">
        <f>IF(B6783,MOD(A6783-1,Days),"")</f>
        <v/>
      </c>
      <c r="E6783" s="16">
        <f>IF(B6783,StartDate+D6783,"")</f>
        <v/>
      </c>
      <c r="F6783">
        <f>IF(B6783,MAX(MOD(SIN(Seed*0.1373+C6783*12.9898+D6783*78.233)*43758.5453,1),1E-9),"")</f>
        <v/>
      </c>
      <c r="G6783">
        <f>IF(B6783,MOD(SIN(Seed*0.5917+C6783*39.3468+D6783*11.135)*24634.6345,1),"")</f>
        <v/>
      </c>
      <c r="H6783">
        <f>IF(B6783,SQRT(-2*LN(F6783))*COS(2*PI()*G6783),"")</f>
        <v/>
      </c>
      <c r="I6783">
        <f>IF(B6783,IF(D6783=0,H6783,Rho*I6782+SQRT(1-Rho^2)*H6783),"")</f>
        <v/>
      </c>
      <c r="J6783">
        <f>IF(B6783,IF(Dist="Normal",DistA+DistB*I6783,DistA+(DistB-DistA)*NORMSDIST(I6783)),"")</f>
        <v/>
      </c>
      <c r="K6783">
        <f>IF(B6783,INDEX(MineScale,C6783),"")</f>
        <v/>
      </c>
      <c r="L6783">
        <f>IF(B6783,INDEX(Dow,1,WEEKDAY(E6783,2)),"")</f>
        <v/>
      </c>
      <c r="M6783">
        <f>IF(B6783,(1+Trend)^D6783,"")</f>
        <v/>
      </c>
      <c r="N6783">
        <f>IF(B6783,EXP(SUMPRODUCT(LN(1+(EvEff-1)*INDEX(Affected,0,C6783)*EXP(-((E6783-EvCenter)^2)/(2*EvSigma^2))))),"")</f>
        <v/>
      </c>
      <c r="O6783">
        <f>IF(B6783,ROUND(MAX(0,J6783*K6783*L6783*M6783*N6783),2),"")</f>
        <v/>
      </c>
    </row>
    <row r="6784">
      <c r="A6784" t="n">
        <v>6783</v>
      </c>
      <c r="B6784">
        <f>A6784&lt;=MineCount*Days</f>
        <v/>
      </c>
      <c r="C6784">
        <f>IF(B6784,INT((A6784-1)/Days)+1,"")</f>
        <v/>
      </c>
      <c r="D6784">
        <f>IF(B6784,MOD(A6784-1,Days),"")</f>
        <v/>
      </c>
      <c r="E6784" s="16">
        <f>IF(B6784,StartDate+D6784,"")</f>
        <v/>
      </c>
      <c r="F6784">
        <f>IF(B6784,MAX(MOD(SIN(Seed*0.1373+C6784*12.9898+D6784*78.233)*43758.5453,1),1E-9),"")</f>
        <v/>
      </c>
      <c r="G6784">
        <f>IF(B6784,MOD(SIN(Seed*0.5917+C6784*39.3468+D6784*11.135)*24634.6345,1),"")</f>
        <v/>
      </c>
      <c r="H6784">
        <f>IF(B6784,SQRT(-2*LN(F6784))*COS(2*PI()*G6784),"")</f>
        <v/>
      </c>
      <c r="I6784">
        <f>IF(B6784,IF(D6784=0,H6784,Rho*I6783+SQRT(1-Rho^2)*H6784),"")</f>
        <v/>
      </c>
      <c r="J6784">
        <f>IF(B6784,IF(Dist="Normal",DistA+DistB*I6784,DistA+(DistB-DistA)*NORMSDIST(I6784)),"")</f>
        <v/>
      </c>
      <c r="K6784">
        <f>IF(B6784,INDEX(MineScale,C6784),"")</f>
        <v/>
      </c>
      <c r="L6784">
        <f>IF(B6784,INDEX(Dow,1,WEEKDAY(E6784,2)),"")</f>
        <v/>
      </c>
      <c r="M6784">
        <f>IF(B6784,(1+Trend)^D6784,"")</f>
        <v/>
      </c>
      <c r="N6784">
        <f>IF(B6784,EXP(SUMPRODUCT(LN(1+(EvEff-1)*INDEX(Affected,0,C6784)*EXP(-((E6784-EvCenter)^2)/(2*EvSigma^2))))),"")</f>
        <v/>
      </c>
      <c r="O6784">
        <f>IF(B6784,ROUND(MAX(0,J6784*K6784*L6784*M6784*N6784),2),"")</f>
        <v/>
      </c>
    </row>
    <row r="6785">
      <c r="A6785" t="n">
        <v>6784</v>
      </c>
      <c r="B6785">
        <f>A6785&lt;=MineCount*Days</f>
        <v/>
      </c>
      <c r="C6785">
        <f>IF(B6785,INT((A6785-1)/Days)+1,"")</f>
        <v/>
      </c>
      <c r="D6785">
        <f>IF(B6785,MOD(A6785-1,Days),"")</f>
        <v/>
      </c>
      <c r="E6785" s="16">
        <f>IF(B6785,StartDate+D6785,"")</f>
        <v/>
      </c>
      <c r="F6785">
        <f>IF(B6785,MAX(MOD(SIN(Seed*0.1373+C6785*12.9898+D6785*78.233)*43758.5453,1),1E-9),"")</f>
        <v/>
      </c>
      <c r="G6785">
        <f>IF(B6785,MOD(SIN(Seed*0.5917+C6785*39.3468+D6785*11.135)*24634.6345,1),"")</f>
        <v/>
      </c>
      <c r="H6785">
        <f>IF(B6785,SQRT(-2*LN(F6785))*COS(2*PI()*G6785),"")</f>
        <v/>
      </c>
      <c r="I6785">
        <f>IF(B6785,IF(D6785=0,H6785,Rho*I6784+SQRT(1-Rho^2)*H6785),"")</f>
        <v/>
      </c>
      <c r="J6785">
        <f>IF(B6785,IF(Dist="Normal",DistA+DistB*I6785,DistA+(DistB-DistA)*NORMSDIST(I6785)),"")</f>
        <v/>
      </c>
      <c r="K6785">
        <f>IF(B6785,INDEX(MineScale,C6785),"")</f>
        <v/>
      </c>
      <c r="L6785">
        <f>IF(B6785,INDEX(Dow,1,WEEKDAY(E6785,2)),"")</f>
        <v/>
      </c>
      <c r="M6785">
        <f>IF(B6785,(1+Trend)^D6785,"")</f>
        <v/>
      </c>
      <c r="N6785">
        <f>IF(B6785,EXP(SUMPRODUCT(LN(1+(EvEff-1)*INDEX(Affected,0,C6785)*EXP(-((E6785-EvCenter)^2)/(2*EvSigma^2))))),"")</f>
        <v/>
      </c>
      <c r="O6785">
        <f>IF(B6785,ROUND(MAX(0,J6785*K6785*L6785*M6785*N6785),2),"")</f>
        <v/>
      </c>
    </row>
    <row r="6786">
      <c r="A6786" t="n">
        <v>6785</v>
      </c>
      <c r="B6786">
        <f>A6786&lt;=MineCount*Days</f>
        <v/>
      </c>
      <c r="C6786">
        <f>IF(B6786,INT((A6786-1)/Days)+1,"")</f>
        <v/>
      </c>
      <c r="D6786">
        <f>IF(B6786,MOD(A6786-1,Days),"")</f>
        <v/>
      </c>
      <c r="E6786" s="16">
        <f>IF(B6786,StartDate+D6786,"")</f>
        <v/>
      </c>
      <c r="F6786">
        <f>IF(B6786,MAX(MOD(SIN(Seed*0.1373+C6786*12.9898+D6786*78.233)*43758.5453,1),1E-9),"")</f>
        <v/>
      </c>
      <c r="G6786">
        <f>IF(B6786,MOD(SIN(Seed*0.5917+C6786*39.3468+D6786*11.135)*24634.6345,1),"")</f>
        <v/>
      </c>
      <c r="H6786">
        <f>IF(B6786,SQRT(-2*LN(F6786))*COS(2*PI()*G6786),"")</f>
        <v/>
      </c>
      <c r="I6786">
        <f>IF(B6786,IF(D6786=0,H6786,Rho*I6785+SQRT(1-Rho^2)*H6786),"")</f>
        <v/>
      </c>
      <c r="J6786">
        <f>IF(B6786,IF(Dist="Normal",DistA+DistB*I6786,DistA+(DistB-DistA)*NORMSDIST(I6786)),"")</f>
        <v/>
      </c>
      <c r="K6786">
        <f>IF(B6786,INDEX(MineScale,C6786),"")</f>
        <v/>
      </c>
      <c r="L6786">
        <f>IF(B6786,INDEX(Dow,1,WEEKDAY(E6786,2)),"")</f>
        <v/>
      </c>
      <c r="M6786">
        <f>IF(B6786,(1+Trend)^D6786,"")</f>
        <v/>
      </c>
      <c r="N6786">
        <f>IF(B6786,EXP(SUMPRODUCT(LN(1+(EvEff-1)*INDEX(Affected,0,C6786)*EXP(-((E6786-EvCenter)^2)/(2*EvSigma^2))))),"")</f>
        <v/>
      </c>
      <c r="O6786">
        <f>IF(B6786,ROUND(MAX(0,J6786*K6786*L6786*M6786*N6786),2),"")</f>
        <v/>
      </c>
    </row>
    <row r="6787">
      <c r="A6787" t="n">
        <v>6786</v>
      </c>
      <c r="B6787">
        <f>A6787&lt;=MineCount*Days</f>
        <v/>
      </c>
      <c r="C6787">
        <f>IF(B6787,INT((A6787-1)/Days)+1,"")</f>
        <v/>
      </c>
      <c r="D6787">
        <f>IF(B6787,MOD(A6787-1,Days),"")</f>
        <v/>
      </c>
      <c r="E6787" s="16">
        <f>IF(B6787,StartDate+D6787,"")</f>
        <v/>
      </c>
      <c r="F6787">
        <f>IF(B6787,MAX(MOD(SIN(Seed*0.1373+C6787*12.9898+D6787*78.233)*43758.5453,1),1E-9),"")</f>
        <v/>
      </c>
      <c r="G6787">
        <f>IF(B6787,MOD(SIN(Seed*0.5917+C6787*39.3468+D6787*11.135)*24634.6345,1),"")</f>
        <v/>
      </c>
      <c r="H6787">
        <f>IF(B6787,SQRT(-2*LN(F6787))*COS(2*PI()*G6787),"")</f>
        <v/>
      </c>
      <c r="I6787">
        <f>IF(B6787,IF(D6787=0,H6787,Rho*I6786+SQRT(1-Rho^2)*H6787),"")</f>
        <v/>
      </c>
      <c r="J6787">
        <f>IF(B6787,IF(Dist="Normal",DistA+DistB*I6787,DistA+(DistB-DistA)*NORMSDIST(I6787)),"")</f>
        <v/>
      </c>
      <c r="K6787">
        <f>IF(B6787,INDEX(MineScale,C6787),"")</f>
        <v/>
      </c>
      <c r="L6787">
        <f>IF(B6787,INDEX(Dow,1,WEEKDAY(E6787,2)),"")</f>
        <v/>
      </c>
      <c r="M6787">
        <f>IF(B6787,(1+Trend)^D6787,"")</f>
        <v/>
      </c>
      <c r="N6787">
        <f>IF(B6787,EXP(SUMPRODUCT(LN(1+(EvEff-1)*INDEX(Affected,0,C6787)*EXP(-((E6787-EvCenter)^2)/(2*EvSigma^2))))),"")</f>
        <v/>
      </c>
      <c r="O6787">
        <f>IF(B6787,ROUND(MAX(0,J6787*K6787*L6787*M6787*N6787),2),"")</f>
        <v/>
      </c>
    </row>
    <row r="6788">
      <c r="A6788" t="n">
        <v>6787</v>
      </c>
      <c r="B6788">
        <f>A6788&lt;=MineCount*Days</f>
        <v/>
      </c>
      <c r="C6788">
        <f>IF(B6788,INT((A6788-1)/Days)+1,"")</f>
        <v/>
      </c>
      <c r="D6788">
        <f>IF(B6788,MOD(A6788-1,Days),"")</f>
        <v/>
      </c>
      <c r="E6788" s="16">
        <f>IF(B6788,StartDate+D6788,"")</f>
        <v/>
      </c>
      <c r="F6788">
        <f>IF(B6788,MAX(MOD(SIN(Seed*0.1373+C6788*12.9898+D6788*78.233)*43758.5453,1),1E-9),"")</f>
        <v/>
      </c>
      <c r="G6788">
        <f>IF(B6788,MOD(SIN(Seed*0.5917+C6788*39.3468+D6788*11.135)*24634.6345,1),"")</f>
        <v/>
      </c>
      <c r="H6788">
        <f>IF(B6788,SQRT(-2*LN(F6788))*COS(2*PI()*G6788),"")</f>
        <v/>
      </c>
      <c r="I6788">
        <f>IF(B6788,IF(D6788=0,H6788,Rho*I6787+SQRT(1-Rho^2)*H6788),"")</f>
        <v/>
      </c>
      <c r="J6788">
        <f>IF(B6788,IF(Dist="Normal",DistA+DistB*I6788,DistA+(DistB-DistA)*NORMSDIST(I6788)),"")</f>
        <v/>
      </c>
      <c r="K6788">
        <f>IF(B6788,INDEX(MineScale,C6788),"")</f>
        <v/>
      </c>
      <c r="L6788">
        <f>IF(B6788,INDEX(Dow,1,WEEKDAY(E6788,2)),"")</f>
        <v/>
      </c>
      <c r="M6788">
        <f>IF(B6788,(1+Trend)^D6788,"")</f>
        <v/>
      </c>
      <c r="N6788">
        <f>IF(B6788,EXP(SUMPRODUCT(LN(1+(EvEff-1)*INDEX(Affected,0,C6788)*EXP(-((E6788-EvCenter)^2)/(2*EvSigma^2))))),"")</f>
        <v/>
      </c>
      <c r="O6788">
        <f>IF(B6788,ROUND(MAX(0,J6788*K6788*L6788*M6788*N6788),2),"")</f>
        <v/>
      </c>
    </row>
    <row r="6789">
      <c r="A6789" t="n">
        <v>6788</v>
      </c>
      <c r="B6789">
        <f>A6789&lt;=MineCount*Days</f>
        <v/>
      </c>
      <c r="C6789">
        <f>IF(B6789,INT((A6789-1)/Days)+1,"")</f>
        <v/>
      </c>
      <c r="D6789">
        <f>IF(B6789,MOD(A6789-1,Days),"")</f>
        <v/>
      </c>
      <c r="E6789" s="16">
        <f>IF(B6789,StartDate+D6789,"")</f>
        <v/>
      </c>
      <c r="F6789">
        <f>IF(B6789,MAX(MOD(SIN(Seed*0.1373+C6789*12.9898+D6789*78.233)*43758.5453,1),1E-9),"")</f>
        <v/>
      </c>
      <c r="G6789">
        <f>IF(B6789,MOD(SIN(Seed*0.5917+C6789*39.3468+D6789*11.135)*24634.6345,1),"")</f>
        <v/>
      </c>
      <c r="H6789">
        <f>IF(B6789,SQRT(-2*LN(F6789))*COS(2*PI()*G6789),"")</f>
        <v/>
      </c>
      <c r="I6789">
        <f>IF(B6789,IF(D6789=0,H6789,Rho*I6788+SQRT(1-Rho^2)*H6789),"")</f>
        <v/>
      </c>
      <c r="J6789">
        <f>IF(B6789,IF(Dist="Normal",DistA+DistB*I6789,DistA+(DistB-DistA)*NORMSDIST(I6789)),"")</f>
        <v/>
      </c>
      <c r="K6789">
        <f>IF(B6789,INDEX(MineScale,C6789),"")</f>
        <v/>
      </c>
      <c r="L6789">
        <f>IF(B6789,INDEX(Dow,1,WEEKDAY(E6789,2)),"")</f>
        <v/>
      </c>
      <c r="M6789">
        <f>IF(B6789,(1+Trend)^D6789,"")</f>
        <v/>
      </c>
      <c r="N6789">
        <f>IF(B6789,EXP(SUMPRODUCT(LN(1+(EvEff-1)*INDEX(Affected,0,C6789)*EXP(-((E6789-EvCenter)^2)/(2*EvSigma^2))))),"")</f>
        <v/>
      </c>
      <c r="O6789">
        <f>IF(B6789,ROUND(MAX(0,J6789*K6789*L6789*M6789*N6789),2),"")</f>
        <v/>
      </c>
    </row>
    <row r="6790">
      <c r="A6790" t="n">
        <v>6789</v>
      </c>
      <c r="B6790">
        <f>A6790&lt;=MineCount*Days</f>
        <v/>
      </c>
      <c r="C6790">
        <f>IF(B6790,INT((A6790-1)/Days)+1,"")</f>
        <v/>
      </c>
      <c r="D6790">
        <f>IF(B6790,MOD(A6790-1,Days),"")</f>
        <v/>
      </c>
      <c r="E6790" s="16">
        <f>IF(B6790,StartDate+D6790,"")</f>
        <v/>
      </c>
      <c r="F6790">
        <f>IF(B6790,MAX(MOD(SIN(Seed*0.1373+C6790*12.9898+D6790*78.233)*43758.5453,1),1E-9),"")</f>
        <v/>
      </c>
      <c r="G6790">
        <f>IF(B6790,MOD(SIN(Seed*0.5917+C6790*39.3468+D6790*11.135)*24634.6345,1),"")</f>
        <v/>
      </c>
      <c r="H6790">
        <f>IF(B6790,SQRT(-2*LN(F6790))*COS(2*PI()*G6790),"")</f>
        <v/>
      </c>
      <c r="I6790">
        <f>IF(B6790,IF(D6790=0,H6790,Rho*I6789+SQRT(1-Rho^2)*H6790),"")</f>
        <v/>
      </c>
      <c r="J6790">
        <f>IF(B6790,IF(Dist="Normal",DistA+DistB*I6790,DistA+(DistB-DistA)*NORMSDIST(I6790)),"")</f>
        <v/>
      </c>
      <c r="K6790">
        <f>IF(B6790,INDEX(MineScale,C6790),"")</f>
        <v/>
      </c>
      <c r="L6790">
        <f>IF(B6790,INDEX(Dow,1,WEEKDAY(E6790,2)),"")</f>
        <v/>
      </c>
      <c r="M6790">
        <f>IF(B6790,(1+Trend)^D6790,"")</f>
        <v/>
      </c>
      <c r="N6790">
        <f>IF(B6790,EXP(SUMPRODUCT(LN(1+(EvEff-1)*INDEX(Affected,0,C6790)*EXP(-((E6790-EvCenter)^2)/(2*EvSigma^2))))),"")</f>
        <v/>
      </c>
      <c r="O6790">
        <f>IF(B6790,ROUND(MAX(0,J6790*K6790*L6790*M6790*N6790),2),"")</f>
        <v/>
      </c>
    </row>
    <row r="6791">
      <c r="A6791" t="n">
        <v>6790</v>
      </c>
      <c r="B6791">
        <f>A6791&lt;=MineCount*Days</f>
        <v/>
      </c>
      <c r="C6791">
        <f>IF(B6791,INT((A6791-1)/Days)+1,"")</f>
        <v/>
      </c>
      <c r="D6791">
        <f>IF(B6791,MOD(A6791-1,Days),"")</f>
        <v/>
      </c>
      <c r="E6791" s="16">
        <f>IF(B6791,StartDate+D6791,"")</f>
        <v/>
      </c>
      <c r="F6791">
        <f>IF(B6791,MAX(MOD(SIN(Seed*0.1373+C6791*12.9898+D6791*78.233)*43758.5453,1),1E-9),"")</f>
        <v/>
      </c>
      <c r="G6791">
        <f>IF(B6791,MOD(SIN(Seed*0.5917+C6791*39.3468+D6791*11.135)*24634.6345,1),"")</f>
        <v/>
      </c>
      <c r="H6791">
        <f>IF(B6791,SQRT(-2*LN(F6791))*COS(2*PI()*G6791),"")</f>
        <v/>
      </c>
      <c r="I6791">
        <f>IF(B6791,IF(D6791=0,H6791,Rho*I6790+SQRT(1-Rho^2)*H6791),"")</f>
        <v/>
      </c>
      <c r="J6791">
        <f>IF(B6791,IF(Dist="Normal",DistA+DistB*I6791,DistA+(DistB-DistA)*NORMSDIST(I6791)),"")</f>
        <v/>
      </c>
      <c r="K6791">
        <f>IF(B6791,INDEX(MineScale,C6791),"")</f>
        <v/>
      </c>
      <c r="L6791">
        <f>IF(B6791,INDEX(Dow,1,WEEKDAY(E6791,2)),"")</f>
        <v/>
      </c>
      <c r="M6791">
        <f>IF(B6791,(1+Trend)^D6791,"")</f>
        <v/>
      </c>
      <c r="N6791">
        <f>IF(B6791,EXP(SUMPRODUCT(LN(1+(EvEff-1)*INDEX(Affected,0,C6791)*EXP(-((E6791-EvCenter)^2)/(2*EvSigma^2))))),"")</f>
        <v/>
      </c>
      <c r="O6791">
        <f>IF(B6791,ROUND(MAX(0,J6791*K6791*L6791*M6791*N6791),2),"")</f>
        <v/>
      </c>
    </row>
    <row r="6792">
      <c r="A6792" t="n">
        <v>6791</v>
      </c>
      <c r="B6792">
        <f>A6792&lt;=MineCount*Days</f>
        <v/>
      </c>
      <c r="C6792">
        <f>IF(B6792,INT((A6792-1)/Days)+1,"")</f>
        <v/>
      </c>
      <c r="D6792">
        <f>IF(B6792,MOD(A6792-1,Days),"")</f>
        <v/>
      </c>
      <c r="E6792" s="16">
        <f>IF(B6792,StartDate+D6792,"")</f>
        <v/>
      </c>
      <c r="F6792">
        <f>IF(B6792,MAX(MOD(SIN(Seed*0.1373+C6792*12.9898+D6792*78.233)*43758.5453,1),1E-9),"")</f>
        <v/>
      </c>
      <c r="G6792">
        <f>IF(B6792,MOD(SIN(Seed*0.5917+C6792*39.3468+D6792*11.135)*24634.6345,1),"")</f>
        <v/>
      </c>
      <c r="H6792">
        <f>IF(B6792,SQRT(-2*LN(F6792))*COS(2*PI()*G6792),"")</f>
        <v/>
      </c>
      <c r="I6792">
        <f>IF(B6792,IF(D6792=0,H6792,Rho*I6791+SQRT(1-Rho^2)*H6792),"")</f>
        <v/>
      </c>
      <c r="J6792">
        <f>IF(B6792,IF(Dist="Normal",DistA+DistB*I6792,DistA+(DistB-DistA)*NORMSDIST(I6792)),"")</f>
        <v/>
      </c>
      <c r="K6792">
        <f>IF(B6792,INDEX(MineScale,C6792),"")</f>
        <v/>
      </c>
      <c r="L6792">
        <f>IF(B6792,INDEX(Dow,1,WEEKDAY(E6792,2)),"")</f>
        <v/>
      </c>
      <c r="M6792">
        <f>IF(B6792,(1+Trend)^D6792,"")</f>
        <v/>
      </c>
      <c r="N6792">
        <f>IF(B6792,EXP(SUMPRODUCT(LN(1+(EvEff-1)*INDEX(Affected,0,C6792)*EXP(-((E6792-EvCenter)^2)/(2*EvSigma^2))))),"")</f>
        <v/>
      </c>
      <c r="O6792">
        <f>IF(B6792,ROUND(MAX(0,J6792*K6792*L6792*M6792*N6792),2),"")</f>
        <v/>
      </c>
    </row>
    <row r="6793">
      <c r="A6793" t="n">
        <v>6792</v>
      </c>
      <c r="B6793">
        <f>A6793&lt;=MineCount*Days</f>
        <v/>
      </c>
      <c r="C6793">
        <f>IF(B6793,INT((A6793-1)/Days)+1,"")</f>
        <v/>
      </c>
      <c r="D6793">
        <f>IF(B6793,MOD(A6793-1,Days),"")</f>
        <v/>
      </c>
      <c r="E6793" s="16">
        <f>IF(B6793,StartDate+D6793,"")</f>
        <v/>
      </c>
      <c r="F6793">
        <f>IF(B6793,MAX(MOD(SIN(Seed*0.1373+C6793*12.9898+D6793*78.233)*43758.5453,1),1E-9),"")</f>
        <v/>
      </c>
      <c r="G6793">
        <f>IF(B6793,MOD(SIN(Seed*0.5917+C6793*39.3468+D6793*11.135)*24634.6345,1),"")</f>
        <v/>
      </c>
      <c r="H6793">
        <f>IF(B6793,SQRT(-2*LN(F6793))*COS(2*PI()*G6793),"")</f>
        <v/>
      </c>
      <c r="I6793">
        <f>IF(B6793,IF(D6793=0,H6793,Rho*I6792+SQRT(1-Rho^2)*H6793),"")</f>
        <v/>
      </c>
      <c r="J6793">
        <f>IF(B6793,IF(Dist="Normal",DistA+DistB*I6793,DistA+(DistB-DistA)*NORMSDIST(I6793)),"")</f>
        <v/>
      </c>
      <c r="K6793">
        <f>IF(B6793,INDEX(MineScale,C6793),"")</f>
        <v/>
      </c>
      <c r="L6793">
        <f>IF(B6793,INDEX(Dow,1,WEEKDAY(E6793,2)),"")</f>
        <v/>
      </c>
      <c r="M6793">
        <f>IF(B6793,(1+Trend)^D6793,"")</f>
        <v/>
      </c>
      <c r="N6793">
        <f>IF(B6793,EXP(SUMPRODUCT(LN(1+(EvEff-1)*INDEX(Affected,0,C6793)*EXP(-((E6793-EvCenter)^2)/(2*EvSigma^2))))),"")</f>
        <v/>
      </c>
      <c r="O6793">
        <f>IF(B6793,ROUND(MAX(0,J6793*K6793*L6793*M6793*N6793),2),"")</f>
        <v/>
      </c>
    </row>
    <row r="6794">
      <c r="A6794" t="n">
        <v>6793</v>
      </c>
      <c r="B6794">
        <f>A6794&lt;=MineCount*Days</f>
        <v/>
      </c>
      <c r="C6794">
        <f>IF(B6794,INT((A6794-1)/Days)+1,"")</f>
        <v/>
      </c>
      <c r="D6794">
        <f>IF(B6794,MOD(A6794-1,Days),"")</f>
        <v/>
      </c>
      <c r="E6794" s="16">
        <f>IF(B6794,StartDate+D6794,"")</f>
        <v/>
      </c>
      <c r="F6794">
        <f>IF(B6794,MAX(MOD(SIN(Seed*0.1373+C6794*12.9898+D6794*78.233)*43758.5453,1),1E-9),"")</f>
        <v/>
      </c>
      <c r="G6794">
        <f>IF(B6794,MOD(SIN(Seed*0.5917+C6794*39.3468+D6794*11.135)*24634.6345,1),"")</f>
        <v/>
      </c>
      <c r="H6794">
        <f>IF(B6794,SQRT(-2*LN(F6794))*COS(2*PI()*G6794),"")</f>
        <v/>
      </c>
      <c r="I6794">
        <f>IF(B6794,IF(D6794=0,H6794,Rho*I6793+SQRT(1-Rho^2)*H6794),"")</f>
        <v/>
      </c>
      <c r="J6794">
        <f>IF(B6794,IF(Dist="Normal",DistA+DistB*I6794,DistA+(DistB-DistA)*NORMSDIST(I6794)),"")</f>
        <v/>
      </c>
      <c r="K6794">
        <f>IF(B6794,INDEX(MineScale,C6794),"")</f>
        <v/>
      </c>
      <c r="L6794">
        <f>IF(B6794,INDEX(Dow,1,WEEKDAY(E6794,2)),"")</f>
        <v/>
      </c>
      <c r="M6794">
        <f>IF(B6794,(1+Trend)^D6794,"")</f>
        <v/>
      </c>
      <c r="N6794">
        <f>IF(B6794,EXP(SUMPRODUCT(LN(1+(EvEff-1)*INDEX(Affected,0,C6794)*EXP(-((E6794-EvCenter)^2)/(2*EvSigma^2))))),"")</f>
        <v/>
      </c>
      <c r="O6794">
        <f>IF(B6794,ROUND(MAX(0,J6794*K6794*L6794*M6794*N6794),2),"")</f>
        <v/>
      </c>
    </row>
    <row r="6795">
      <c r="A6795" t="n">
        <v>6794</v>
      </c>
      <c r="B6795">
        <f>A6795&lt;=MineCount*Days</f>
        <v/>
      </c>
      <c r="C6795">
        <f>IF(B6795,INT((A6795-1)/Days)+1,"")</f>
        <v/>
      </c>
      <c r="D6795">
        <f>IF(B6795,MOD(A6795-1,Days),"")</f>
        <v/>
      </c>
      <c r="E6795" s="16">
        <f>IF(B6795,StartDate+D6795,"")</f>
        <v/>
      </c>
      <c r="F6795">
        <f>IF(B6795,MAX(MOD(SIN(Seed*0.1373+C6795*12.9898+D6795*78.233)*43758.5453,1),1E-9),"")</f>
        <v/>
      </c>
      <c r="G6795">
        <f>IF(B6795,MOD(SIN(Seed*0.5917+C6795*39.3468+D6795*11.135)*24634.6345,1),"")</f>
        <v/>
      </c>
      <c r="H6795">
        <f>IF(B6795,SQRT(-2*LN(F6795))*COS(2*PI()*G6795),"")</f>
        <v/>
      </c>
      <c r="I6795">
        <f>IF(B6795,IF(D6795=0,H6795,Rho*I6794+SQRT(1-Rho^2)*H6795),"")</f>
        <v/>
      </c>
      <c r="J6795">
        <f>IF(B6795,IF(Dist="Normal",DistA+DistB*I6795,DistA+(DistB-DistA)*NORMSDIST(I6795)),"")</f>
        <v/>
      </c>
      <c r="K6795">
        <f>IF(B6795,INDEX(MineScale,C6795),"")</f>
        <v/>
      </c>
      <c r="L6795">
        <f>IF(B6795,INDEX(Dow,1,WEEKDAY(E6795,2)),"")</f>
        <v/>
      </c>
      <c r="M6795">
        <f>IF(B6795,(1+Trend)^D6795,"")</f>
        <v/>
      </c>
      <c r="N6795">
        <f>IF(B6795,EXP(SUMPRODUCT(LN(1+(EvEff-1)*INDEX(Affected,0,C6795)*EXP(-((E6795-EvCenter)^2)/(2*EvSigma^2))))),"")</f>
        <v/>
      </c>
      <c r="O6795">
        <f>IF(B6795,ROUND(MAX(0,J6795*K6795*L6795*M6795*N6795),2),"")</f>
        <v/>
      </c>
    </row>
    <row r="6796">
      <c r="A6796" t="n">
        <v>6795</v>
      </c>
      <c r="B6796">
        <f>A6796&lt;=MineCount*Days</f>
        <v/>
      </c>
      <c r="C6796">
        <f>IF(B6796,INT((A6796-1)/Days)+1,"")</f>
        <v/>
      </c>
      <c r="D6796">
        <f>IF(B6796,MOD(A6796-1,Days),"")</f>
        <v/>
      </c>
      <c r="E6796" s="16">
        <f>IF(B6796,StartDate+D6796,"")</f>
        <v/>
      </c>
      <c r="F6796">
        <f>IF(B6796,MAX(MOD(SIN(Seed*0.1373+C6796*12.9898+D6796*78.233)*43758.5453,1),1E-9),"")</f>
        <v/>
      </c>
      <c r="G6796">
        <f>IF(B6796,MOD(SIN(Seed*0.5917+C6796*39.3468+D6796*11.135)*24634.6345,1),"")</f>
        <v/>
      </c>
      <c r="H6796">
        <f>IF(B6796,SQRT(-2*LN(F6796))*COS(2*PI()*G6796),"")</f>
        <v/>
      </c>
      <c r="I6796">
        <f>IF(B6796,IF(D6796=0,H6796,Rho*I6795+SQRT(1-Rho^2)*H6796),"")</f>
        <v/>
      </c>
      <c r="J6796">
        <f>IF(B6796,IF(Dist="Normal",DistA+DistB*I6796,DistA+(DistB-DistA)*NORMSDIST(I6796)),"")</f>
        <v/>
      </c>
      <c r="K6796">
        <f>IF(B6796,INDEX(MineScale,C6796),"")</f>
        <v/>
      </c>
      <c r="L6796">
        <f>IF(B6796,INDEX(Dow,1,WEEKDAY(E6796,2)),"")</f>
        <v/>
      </c>
      <c r="M6796">
        <f>IF(B6796,(1+Trend)^D6796,"")</f>
        <v/>
      </c>
      <c r="N6796">
        <f>IF(B6796,EXP(SUMPRODUCT(LN(1+(EvEff-1)*INDEX(Affected,0,C6796)*EXP(-((E6796-EvCenter)^2)/(2*EvSigma^2))))),"")</f>
        <v/>
      </c>
      <c r="O6796">
        <f>IF(B6796,ROUND(MAX(0,J6796*K6796*L6796*M6796*N6796),2),"")</f>
        <v/>
      </c>
    </row>
    <row r="6797">
      <c r="A6797" t="n">
        <v>6796</v>
      </c>
      <c r="B6797">
        <f>A6797&lt;=MineCount*Days</f>
        <v/>
      </c>
      <c r="C6797">
        <f>IF(B6797,INT((A6797-1)/Days)+1,"")</f>
        <v/>
      </c>
      <c r="D6797">
        <f>IF(B6797,MOD(A6797-1,Days),"")</f>
        <v/>
      </c>
      <c r="E6797" s="16">
        <f>IF(B6797,StartDate+D6797,"")</f>
        <v/>
      </c>
      <c r="F6797">
        <f>IF(B6797,MAX(MOD(SIN(Seed*0.1373+C6797*12.9898+D6797*78.233)*43758.5453,1),1E-9),"")</f>
        <v/>
      </c>
      <c r="G6797">
        <f>IF(B6797,MOD(SIN(Seed*0.5917+C6797*39.3468+D6797*11.135)*24634.6345,1),"")</f>
        <v/>
      </c>
      <c r="H6797">
        <f>IF(B6797,SQRT(-2*LN(F6797))*COS(2*PI()*G6797),"")</f>
        <v/>
      </c>
      <c r="I6797">
        <f>IF(B6797,IF(D6797=0,H6797,Rho*I6796+SQRT(1-Rho^2)*H6797),"")</f>
        <v/>
      </c>
      <c r="J6797">
        <f>IF(B6797,IF(Dist="Normal",DistA+DistB*I6797,DistA+(DistB-DistA)*NORMSDIST(I6797)),"")</f>
        <v/>
      </c>
      <c r="K6797">
        <f>IF(B6797,INDEX(MineScale,C6797),"")</f>
        <v/>
      </c>
      <c r="L6797">
        <f>IF(B6797,INDEX(Dow,1,WEEKDAY(E6797,2)),"")</f>
        <v/>
      </c>
      <c r="M6797">
        <f>IF(B6797,(1+Trend)^D6797,"")</f>
        <v/>
      </c>
      <c r="N6797">
        <f>IF(B6797,EXP(SUMPRODUCT(LN(1+(EvEff-1)*INDEX(Affected,0,C6797)*EXP(-((E6797-EvCenter)^2)/(2*EvSigma^2))))),"")</f>
        <v/>
      </c>
      <c r="O6797">
        <f>IF(B6797,ROUND(MAX(0,J6797*K6797*L6797*M6797*N6797),2),"")</f>
        <v/>
      </c>
    </row>
    <row r="6798">
      <c r="A6798" t="n">
        <v>6797</v>
      </c>
      <c r="B6798">
        <f>A6798&lt;=MineCount*Days</f>
        <v/>
      </c>
      <c r="C6798">
        <f>IF(B6798,INT((A6798-1)/Days)+1,"")</f>
        <v/>
      </c>
      <c r="D6798">
        <f>IF(B6798,MOD(A6798-1,Days),"")</f>
        <v/>
      </c>
      <c r="E6798" s="16">
        <f>IF(B6798,StartDate+D6798,"")</f>
        <v/>
      </c>
      <c r="F6798">
        <f>IF(B6798,MAX(MOD(SIN(Seed*0.1373+C6798*12.9898+D6798*78.233)*43758.5453,1),1E-9),"")</f>
        <v/>
      </c>
      <c r="G6798">
        <f>IF(B6798,MOD(SIN(Seed*0.5917+C6798*39.3468+D6798*11.135)*24634.6345,1),"")</f>
        <v/>
      </c>
      <c r="H6798">
        <f>IF(B6798,SQRT(-2*LN(F6798))*COS(2*PI()*G6798),"")</f>
        <v/>
      </c>
      <c r="I6798">
        <f>IF(B6798,IF(D6798=0,H6798,Rho*I6797+SQRT(1-Rho^2)*H6798),"")</f>
        <v/>
      </c>
      <c r="J6798">
        <f>IF(B6798,IF(Dist="Normal",DistA+DistB*I6798,DistA+(DistB-DistA)*NORMSDIST(I6798)),"")</f>
        <v/>
      </c>
      <c r="K6798">
        <f>IF(B6798,INDEX(MineScale,C6798),"")</f>
        <v/>
      </c>
      <c r="L6798">
        <f>IF(B6798,INDEX(Dow,1,WEEKDAY(E6798,2)),"")</f>
        <v/>
      </c>
      <c r="M6798">
        <f>IF(B6798,(1+Trend)^D6798,"")</f>
        <v/>
      </c>
      <c r="N6798">
        <f>IF(B6798,EXP(SUMPRODUCT(LN(1+(EvEff-1)*INDEX(Affected,0,C6798)*EXP(-((E6798-EvCenter)^2)/(2*EvSigma^2))))),"")</f>
        <v/>
      </c>
      <c r="O6798">
        <f>IF(B6798,ROUND(MAX(0,J6798*K6798*L6798*M6798*N6798),2),"")</f>
        <v/>
      </c>
    </row>
    <row r="6799">
      <c r="A6799" t="n">
        <v>6798</v>
      </c>
      <c r="B6799">
        <f>A6799&lt;=MineCount*Days</f>
        <v/>
      </c>
      <c r="C6799">
        <f>IF(B6799,INT((A6799-1)/Days)+1,"")</f>
        <v/>
      </c>
      <c r="D6799">
        <f>IF(B6799,MOD(A6799-1,Days),"")</f>
        <v/>
      </c>
      <c r="E6799" s="16">
        <f>IF(B6799,StartDate+D6799,"")</f>
        <v/>
      </c>
      <c r="F6799">
        <f>IF(B6799,MAX(MOD(SIN(Seed*0.1373+C6799*12.9898+D6799*78.233)*43758.5453,1),1E-9),"")</f>
        <v/>
      </c>
      <c r="G6799">
        <f>IF(B6799,MOD(SIN(Seed*0.5917+C6799*39.3468+D6799*11.135)*24634.6345,1),"")</f>
        <v/>
      </c>
      <c r="H6799">
        <f>IF(B6799,SQRT(-2*LN(F6799))*COS(2*PI()*G6799),"")</f>
        <v/>
      </c>
      <c r="I6799">
        <f>IF(B6799,IF(D6799=0,H6799,Rho*I6798+SQRT(1-Rho^2)*H6799),"")</f>
        <v/>
      </c>
      <c r="J6799">
        <f>IF(B6799,IF(Dist="Normal",DistA+DistB*I6799,DistA+(DistB-DistA)*NORMSDIST(I6799)),"")</f>
        <v/>
      </c>
      <c r="K6799">
        <f>IF(B6799,INDEX(MineScale,C6799),"")</f>
        <v/>
      </c>
      <c r="L6799">
        <f>IF(B6799,INDEX(Dow,1,WEEKDAY(E6799,2)),"")</f>
        <v/>
      </c>
      <c r="M6799">
        <f>IF(B6799,(1+Trend)^D6799,"")</f>
        <v/>
      </c>
      <c r="N6799">
        <f>IF(B6799,EXP(SUMPRODUCT(LN(1+(EvEff-1)*INDEX(Affected,0,C6799)*EXP(-((E6799-EvCenter)^2)/(2*EvSigma^2))))),"")</f>
        <v/>
      </c>
      <c r="O6799">
        <f>IF(B6799,ROUND(MAX(0,J6799*K6799*L6799*M6799*N6799),2),"")</f>
        <v/>
      </c>
    </row>
    <row r="6800">
      <c r="A6800" t="n">
        <v>6799</v>
      </c>
      <c r="B6800">
        <f>A6800&lt;=MineCount*Days</f>
        <v/>
      </c>
      <c r="C6800">
        <f>IF(B6800,INT((A6800-1)/Days)+1,"")</f>
        <v/>
      </c>
      <c r="D6800">
        <f>IF(B6800,MOD(A6800-1,Days),"")</f>
        <v/>
      </c>
      <c r="E6800" s="16">
        <f>IF(B6800,StartDate+D6800,"")</f>
        <v/>
      </c>
      <c r="F6800">
        <f>IF(B6800,MAX(MOD(SIN(Seed*0.1373+C6800*12.9898+D6800*78.233)*43758.5453,1),1E-9),"")</f>
        <v/>
      </c>
      <c r="G6800">
        <f>IF(B6800,MOD(SIN(Seed*0.5917+C6800*39.3468+D6800*11.135)*24634.6345,1),"")</f>
        <v/>
      </c>
      <c r="H6800">
        <f>IF(B6800,SQRT(-2*LN(F6800))*COS(2*PI()*G6800),"")</f>
        <v/>
      </c>
      <c r="I6800">
        <f>IF(B6800,IF(D6800=0,H6800,Rho*I6799+SQRT(1-Rho^2)*H6800),"")</f>
        <v/>
      </c>
      <c r="J6800">
        <f>IF(B6800,IF(Dist="Normal",DistA+DistB*I6800,DistA+(DistB-DistA)*NORMSDIST(I6800)),"")</f>
        <v/>
      </c>
      <c r="K6800">
        <f>IF(B6800,INDEX(MineScale,C6800),"")</f>
        <v/>
      </c>
      <c r="L6800">
        <f>IF(B6800,INDEX(Dow,1,WEEKDAY(E6800,2)),"")</f>
        <v/>
      </c>
      <c r="M6800">
        <f>IF(B6800,(1+Trend)^D6800,"")</f>
        <v/>
      </c>
      <c r="N6800">
        <f>IF(B6800,EXP(SUMPRODUCT(LN(1+(EvEff-1)*INDEX(Affected,0,C6800)*EXP(-((E6800-EvCenter)^2)/(2*EvSigma^2))))),"")</f>
        <v/>
      </c>
      <c r="O6800">
        <f>IF(B6800,ROUND(MAX(0,J6800*K6800*L6800*M6800*N6800),2),"")</f>
        <v/>
      </c>
    </row>
    <row r="6801">
      <c r="A6801" t="n">
        <v>6800</v>
      </c>
      <c r="B6801">
        <f>A6801&lt;=MineCount*Days</f>
        <v/>
      </c>
      <c r="C6801">
        <f>IF(B6801,INT((A6801-1)/Days)+1,"")</f>
        <v/>
      </c>
      <c r="D6801">
        <f>IF(B6801,MOD(A6801-1,Days),"")</f>
        <v/>
      </c>
      <c r="E6801" s="16">
        <f>IF(B6801,StartDate+D6801,"")</f>
        <v/>
      </c>
      <c r="F6801">
        <f>IF(B6801,MAX(MOD(SIN(Seed*0.1373+C6801*12.9898+D6801*78.233)*43758.5453,1),1E-9),"")</f>
        <v/>
      </c>
      <c r="G6801">
        <f>IF(B6801,MOD(SIN(Seed*0.5917+C6801*39.3468+D6801*11.135)*24634.6345,1),"")</f>
        <v/>
      </c>
      <c r="H6801">
        <f>IF(B6801,SQRT(-2*LN(F6801))*COS(2*PI()*G6801),"")</f>
        <v/>
      </c>
      <c r="I6801">
        <f>IF(B6801,IF(D6801=0,H6801,Rho*I6800+SQRT(1-Rho^2)*H6801),"")</f>
        <v/>
      </c>
      <c r="J6801">
        <f>IF(B6801,IF(Dist="Normal",DistA+DistB*I6801,DistA+(DistB-DistA)*NORMSDIST(I6801)),"")</f>
        <v/>
      </c>
      <c r="K6801">
        <f>IF(B6801,INDEX(MineScale,C6801),"")</f>
        <v/>
      </c>
      <c r="L6801">
        <f>IF(B6801,INDEX(Dow,1,WEEKDAY(E6801,2)),"")</f>
        <v/>
      </c>
      <c r="M6801">
        <f>IF(B6801,(1+Trend)^D6801,"")</f>
        <v/>
      </c>
      <c r="N6801">
        <f>IF(B6801,EXP(SUMPRODUCT(LN(1+(EvEff-1)*INDEX(Affected,0,C6801)*EXP(-((E6801-EvCenter)^2)/(2*EvSigma^2))))),"")</f>
        <v/>
      </c>
      <c r="O6801">
        <f>IF(B6801,ROUND(MAX(0,J6801*K6801*L6801*M6801*N6801),2),"")</f>
        <v/>
      </c>
    </row>
    <row r="6802">
      <c r="A6802" t="n">
        <v>6801</v>
      </c>
      <c r="B6802">
        <f>A6802&lt;=MineCount*Days</f>
        <v/>
      </c>
      <c r="C6802">
        <f>IF(B6802,INT((A6802-1)/Days)+1,"")</f>
        <v/>
      </c>
      <c r="D6802">
        <f>IF(B6802,MOD(A6802-1,Days),"")</f>
        <v/>
      </c>
      <c r="E6802" s="16">
        <f>IF(B6802,StartDate+D6802,"")</f>
        <v/>
      </c>
      <c r="F6802">
        <f>IF(B6802,MAX(MOD(SIN(Seed*0.1373+C6802*12.9898+D6802*78.233)*43758.5453,1),1E-9),"")</f>
        <v/>
      </c>
      <c r="G6802">
        <f>IF(B6802,MOD(SIN(Seed*0.5917+C6802*39.3468+D6802*11.135)*24634.6345,1),"")</f>
        <v/>
      </c>
      <c r="H6802">
        <f>IF(B6802,SQRT(-2*LN(F6802))*COS(2*PI()*G6802),"")</f>
        <v/>
      </c>
      <c r="I6802">
        <f>IF(B6802,IF(D6802=0,H6802,Rho*I6801+SQRT(1-Rho^2)*H6802),"")</f>
        <v/>
      </c>
      <c r="J6802">
        <f>IF(B6802,IF(Dist="Normal",DistA+DistB*I6802,DistA+(DistB-DistA)*NORMSDIST(I6802)),"")</f>
        <v/>
      </c>
      <c r="K6802">
        <f>IF(B6802,INDEX(MineScale,C6802),"")</f>
        <v/>
      </c>
      <c r="L6802">
        <f>IF(B6802,INDEX(Dow,1,WEEKDAY(E6802,2)),"")</f>
        <v/>
      </c>
      <c r="M6802">
        <f>IF(B6802,(1+Trend)^D6802,"")</f>
        <v/>
      </c>
      <c r="N6802">
        <f>IF(B6802,EXP(SUMPRODUCT(LN(1+(EvEff-1)*INDEX(Affected,0,C6802)*EXP(-((E6802-EvCenter)^2)/(2*EvSigma^2))))),"")</f>
        <v/>
      </c>
      <c r="O6802">
        <f>IF(B6802,ROUND(MAX(0,J6802*K6802*L6802*M6802*N6802),2),"")</f>
        <v/>
      </c>
    </row>
    <row r="6803">
      <c r="A6803" t="n">
        <v>6802</v>
      </c>
      <c r="B6803">
        <f>A6803&lt;=MineCount*Days</f>
        <v/>
      </c>
      <c r="C6803">
        <f>IF(B6803,INT((A6803-1)/Days)+1,"")</f>
        <v/>
      </c>
      <c r="D6803">
        <f>IF(B6803,MOD(A6803-1,Days),"")</f>
        <v/>
      </c>
      <c r="E6803" s="16">
        <f>IF(B6803,StartDate+D6803,"")</f>
        <v/>
      </c>
      <c r="F6803">
        <f>IF(B6803,MAX(MOD(SIN(Seed*0.1373+C6803*12.9898+D6803*78.233)*43758.5453,1),1E-9),"")</f>
        <v/>
      </c>
      <c r="G6803">
        <f>IF(B6803,MOD(SIN(Seed*0.5917+C6803*39.3468+D6803*11.135)*24634.6345,1),"")</f>
        <v/>
      </c>
      <c r="H6803">
        <f>IF(B6803,SQRT(-2*LN(F6803))*COS(2*PI()*G6803),"")</f>
        <v/>
      </c>
      <c r="I6803">
        <f>IF(B6803,IF(D6803=0,H6803,Rho*I6802+SQRT(1-Rho^2)*H6803),"")</f>
        <v/>
      </c>
      <c r="J6803">
        <f>IF(B6803,IF(Dist="Normal",DistA+DistB*I6803,DistA+(DistB-DistA)*NORMSDIST(I6803)),"")</f>
        <v/>
      </c>
      <c r="K6803">
        <f>IF(B6803,INDEX(MineScale,C6803),"")</f>
        <v/>
      </c>
      <c r="L6803">
        <f>IF(B6803,INDEX(Dow,1,WEEKDAY(E6803,2)),"")</f>
        <v/>
      </c>
      <c r="M6803">
        <f>IF(B6803,(1+Trend)^D6803,"")</f>
        <v/>
      </c>
      <c r="N6803">
        <f>IF(B6803,EXP(SUMPRODUCT(LN(1+(EvEff-1)*INDEX(Affected,0,C6803)*EXP(-((E6803-EvCenter)^2)/(2*EvSigma^2))))),"")</f>
        <v/>
      </c>
      <c r="O6803">
        <f>IF(B6803,ROUND(MAX(0,J6803*K6803*L6803*M6803*N6803),2),"")</f>
        <v/>
      </c>
    </row>
    <row r="6804">
      <c r="A6804" t="n">
        <v>6803</v>
      </c>
      <c r="B6804">
        <f>A6804&lt;=MineCount*Days</f>
        <v/>
      </c>
      <c r="C6804">
        <f>IF(B6804,INT((A6804-1)/Days)+1,"")</f>
        <v/>
      </c>
      <c r="D6804">
        <f>IF(B6804,MOD(A6804-1,Days),"")</f>
        <v/>
      </c>
      <c r="E6804" s="16">
        <f>IF(B6804,StartDate+D6804,"")</f>
        <v/>
      </c>
      <c r="F6804">
        <f>IF(B6804,MAX(MOD(SIN(Seed*0.1373+C6804*12.9898+D6804*78.233)*43758.5453,1),1E-9),"")</f>
        <v/>
      </c>
      <c r="G6804">
        <f>IF(B6804,MOD(SIN(Seed*0.5917+C6804*39.3468+D6804*11.135)*24634.6345,1),"")</f>
        <v/>
      </c>
      <c r="H6804">
        <f>IF(B6804,SQRT(-2*LN(F6804))*COS(2*PI()*G6804),"")</f>
        <v/>
      </c>
      <c r="I6804">
        <f>IF(B6804,IF(D6804=0,H6804,Rho*I6803+SQRT(1-Rho^2)*H6804),"")</f>
        <v/>
      </c>
      <c r="J6804">
        <f>IF(B6804,IF(Dist="Normal",DistA+DistB*I6804,DistA+(DistB-DistA)*NORMSDIST(I6804)),"")</f>
        <v/>
      </c>
      <c r="K6804">
        <f>IF(B6804,INDEX(MineScale,C6804),"")</f>
        <v/>
      </c>
      <c r="L6804">
        <f>IF(B6804,INDEX(Dow,1,WEEKDAY(E6804,2)),"")</f>
        <v/>
      </c>
      <c r="M6804">
        <f>IF(B6804,(1+Trend)^D6804,"")</f>
        <v/>
      </c>
      <c r="N6804">
        <f>IF(B6804,EXP(SUMPRODUCT(LN(1+(EvEff-1)*INDEX(Affected,0,C6804)*EXP(-((E6804-EvCenter)^2)/(2*EvSigma^2))))),"")</f>
        <v/>
      </c>
      <c r="O6804">
        <f>IF(B6804,ROUND(MAX(0,J6804*K6804*L6804*M6804*N6804),2),"")</f>
        <v/>
      </c>
    </row>
    <row r="6805">
      <c r="A6805" t="n">
        <v>6804</v>
      </c>
      <c r="B6805">
        <f>A6805&lt;=MineCount*Days</f>
        <v/>
      </c>
      <c r="C6805">
        <f>IF(B6805,INT((A6805-1)/Days)+1,"")</f>
        <v/>
      </c>
      <c r="D6805">
        <f>IF(B6805,MOD(A6805-1,Days),"")</f>
        <v/>
      </c>
      <c r="E6805" s="16">
        <f>IF(B6805,StartDate+D6805,"")</f>
        <v/>
      </c>
      <c r="F6805">
        <f>IF(B6805,MAX(MOD(SIN(Seed*0.1373+C6805*12.9898+D6805*78.233)*43758.5453,1),1E-9),"")</f>
        <v/>
      </c>
      <c r="G6805">
        <f>IF(B6805,MOD(SIN(Seed*0.5917+C6805*39.3468+D6805*11.135)*24634.6345,1),"")</f>
        <v/>
      </c>
      <c r="H6805">
        <f>IF(B6805,SQRT(-2*LN(F6805))*COS(2*PI()*G6805),"")</f>
        <v/>
      </c>
      <c r="I6805">
        <f>IF(B6805,IF(D6805=0,H6805,Rho*I6804+SQRT(1-Rho^2)*H6805),"")</f>
        <v/>
      </c>
      <c r="J6805">
        <f>IF(B6805,IF(Dist="Normal",DistA+DistB*I6805,DistA+(DistB-DistA)*NORMSDIST(I6805)),"")</f>
        <v/>
      </c>
      <c r="K6805">
        <f>IF(B6805,INDEX(MineScale,C6805),"")</f>
        <v/>
      </c>
      <c r="L6805">
        <f>IF(B6805,INDEX(Dow,1,WEEKDAY(E6805,2)),"")</f>
        <v/>
      </c>
      <c r="M6805">
        <f>IF(B6805,(1+Trend)^D6805,"")</f>
        <v/>
      </c>
      <c r="N6805">
        <f>IF(B6805,EXP(SUMPRODUCT(LN(1+(EvEff-1)*INDEX(Affected,0,C6805)*EXP(-((E6805-EvCenter)^2)/(2*EvSigma^2))))),"")</f>
        <v/>
      </c>
      <c r="O6805">
        <f>IF(B6805,ROUND(MAX(0,J6805*K6805*L6805*M6805*N6805),2),"")</f>
        <v/>
      </c>
    </row>
    <row r="6806">
      <c r="A6806" t="n">
        <v>6805</v>
      </c>
      <c r="B6806">
        <f>A6806&lt;=MineCount*Days</f>
        <v/>
      </c>
      <c r="C6806">
        <f>IF(B6806,INT((A6806-1)/Days)+1,"")</f>
        <v/>
      </c>
      <c r="D6806">
        <f>IF(B6806,MOD(A6806-1,Days),"")</f>
        <v/>
      </c>
      <c r="E6806" s="16">
        <f>IF(B6806,StartDate+D6806,"")</f>
        <v/>
      </c>
      <c r="F6806">
        <f>IF(B6806,MAX(MOD(SIN(Seed*0.1373+C6806*12.9898+D6806*78.233)*43758.5453,1),1E-9),"")</f>
        <v/>
      </c>
      <c r="G6806">
        <f>IF(B6806,MOD(SIN(Seed*0.5917+C6806*39.3468+D6806*11.135)*24634.6345,1),"")</f>
        <v/>
      </c>
      <c r="H6806">
        <f>IF(B6806,SQRT(-2*LN(F6806))*COS(2*PI()*G6806),"")</f>
        <v/>
      </c>
      <c r="I6806">
        <f>IF(B6806,IF(D6806=0,H6806,Rho*I6805+SQRT(1-Rho^2)*H6806),"")</f>
        <v/>
      </c>
      <c r="J6806">
        <f>IF(B6806,IF(Dist="Normal",DistA+DistB*I6806,DistA+(DistB-DistA)*NORMSDIST(I6806)),"")</f>
        <v/>
      </c>
      <c r="K6806">
        <f>IF(B6806,INDEX(MineScale,C6806),"")</f>
        <v/>
      </c>
      <c r="L6806">
        <f>IF(B6806,INDEX(Dow,1,WEEKDAY(E6806,2)),"")</f>
        <v/>
      </c>
      <c r="M6806">
        <f>IF(B6806,(1+Trend)^D6806,"")</f>
        <v/>
      </c>
      <c r="N6806">
        <f>IF(B6806,EXP(SUMPRODUCT(LN(1+(EvEff-1)*INDEX(Affected,0,C6806)*EXP(-((E6806-EvCenter)^2)/(2*EvSigma^2))))),"")</f>
        <v/>
      </c>
      <c r="O6806">
        <f>IF(B6806,ROUND(MAX(0,J6806*K6806*L6806*M6806*N6806),2),"")</f>
        <v/>
      </c>
    </row>
    <row r="6807">
      <c r="A6807" t="n">
        <v>6806</v>
      </c>
      <c r="B6807">
        <f>A6807&lt;=MineCount*Days</f>
        <v/>
      </c>
      <c r="C6807">
        <f>IF(B6807,INT((A6807-1)/Days)+1,"")</f>
        <v/>
      </c>
      <c r="D6807">
        <f>IF(B6807,MOD(A6807-1,Days),"")</f>
        <v/>
      </c>
      <c r="E6807" s="16">
        <f>IF(B6807,StartDate+D6807,"")</f>
        <v/>
      </c>
      <c r="F6807">
        <f>IF(B6807,MAX(MOD(SIN(Seed*0.1373+C6807*12.9898+D6807*78.233)*43758.5453,1),1E-9),"")</f>
        <v/>
      </c>
      <c r="G6807">
        <f>IF(B6807,MOD(SIN(Seed*0.5917+C6807*39.3468+D6807*11.135)*24634.6345,1),"")</f>
        <v/>
      </c>
      <c r="H6807">
        <f>IF(B6807,SQRT(-2*LN(F6807))*COS(2*PI()*G6807),"")</f>
        <v/>
      </c>
      <c r="I6807">
        <f>IF(B6807,IF(D6807=0,H6807,Rho*I6806+SQRT(1-Rho^2)*H6807),"")</f>
        <v/>
      </c>
      <c r="J6807">
        <f>IF(B6807,IF(Dist="Normal",DistA+DistB*I6807,DistA+(DistB-DistA)*NORMSDIST(I6807)),"")</f>
        <v/>
      </c>
      <c r="K6807">
        <f>IF(B6807,INDEX(MineScale,C6807),"")</f>
        <v/>
      </c>
      <c r="L6807">
        <f>IF(B6807,INDEX(Dow,1,WEEKDAY(E6807,2)),"")</f>
        <v/>
      </c>
      <c r="M6807">
        <f>IF(B6807,(1+Trend)^D6807,"")</f>
        <v/>
      </c>
      <c r="N6807">
        <f>IF(B6807,EXP(SUMPRODUCT(LN(1+(EvEff-1)*INDEX(Affected,0,C6807)*EXP(-((E6807-EvCenter)^2)/(2*EvSigma^2))))),"")</f>
        <v/>
      </c>
      <c r="O6807">
        <f>IF(B6807,ROUND(MAX(0,J6807*K6807*L6807*M6807*N6807),2),"")</f>
        <v/>
      </c>
    </row>
    <row r="6808">
      <c r="A6808" t="n">
        <v>6807</v>
      </c>
      <c r="B6808">
        <f>A6808&lt;=MineCount*Days</f>
        <v/>
      </c>
      <c r="C6808">
        <f>IF(B6808,INT((A6808-1)/Days)+1,"")</f>
        <v/>
      </c>
      <c r="D6808">
        <f>IF(B6808,MOD(A6808-1,Days),"")</f>
        <v/>
      </c>
      <c r="E6808" s="16">
        <f>IF(B6808,StartDate+D6808,"")</f>
        <v/>
      </c>
      <c r="F6808">
        <f>IF(B6808,MAX(MOD(SIN(Seed*0.1373+C6808*12.9898+D6808*78.233)*43758.5453,1),1E-9),"")</f>
        <v/>
      </c>
      <c r="G6808">
        <f>IF(B6808,MOD(SIN(Seed*0.5917+C6808*39.3468+D6808*11.135)*24634.6345,1),"")</f>
        <v/>
      </c>
      <c r="H6808">
        <f>IF(B6808,SQRT(-2*LN(F6808))*COS(2*PI()*G6808),"")</f>
        <v/>
      </c>
      <c r="I6808">
        <f>IF(B6808,IF(D6808=0,H6808,Rho*I6807+SQRT(1-Rho^2)*H6808),"")</f>
        <v/>
      </c>
      <c r="J6808">
        <f>IF(B6808,IF(Dist="Normal",DistA+DistB*I6808,DistA+(DistB-DistA)*NORMSDIST(I6808)),"")</f>
        <v/>
      </c>
      <c r="K6808">
        <f>IF(B6808,INDEX(MineScale,C6808),"")</f>
        <v/>
      </c>
      <c r="L6808">
        <f>IF(B6808,INDEX(Dow,1,WEEKDAY(E6808,2)),"")</f>
        <v/>
      </c>
      <c r="M6808">
        <f>IF(B6808,(1+Trend)^D6808,"")</f>
        <v/>
      </c>
      <c r="N6808">
        <f>IF(B6808,EXP(SUMPRODUCT(LN(1+(EvEff-1)*INDEX(Affected,0,C6808)*EXP(-((E6808-EvCenter)^2)/(2*EvSigma^2))))),"")</f>
        <v/>
      </c>
      <c r="O6808">
        <f>IF(B6808,ROUND(MAX(0,J6808*K6808*L6808*M6808*N6808),2),"")</f>
        <v/>
      </c>
    </row>
    <row r="6809">
      <c r="A6809" t="n">
        <v>6808</v>
      </c>
      <c r="B6809">
        <f>A6809&lt;=MineCount*Days</f>
        <v/>
      </c>
      <c r="C6809">
        <f>IF(B6809,INT((A6809-1)/Days)+1,"")</f>
        <v/>
      </c>
      <c r="D6809">
        <f>IF(B6809,MOD(A6809-1,Days),"")</f>
        <v/>
      </c>
      <c r="E6809" s="16">
        <f>IF(B6809,StartDate+D6809,"")</f>
        <v/>
      </c>
      <c r="F6809">
        <f>IF(B6809,MAX(MOD(SIN(Seed*0.1373+C6809*12.9898+D6809*78.233)*43758.5453,1),1E-9),"")</f>
        <v/>
      </c>
      <c r="G6809">
        <f>IF(B6809,MOD(SIN(Seed*0.5917+C6809*39.3468+D6809*11.135)*24634.6345,1),"")</f>
        <v/>
      </c>
      <c r="H6809">
        <f>IF(B6809,SQRT(-2*LN(F6809))*COS(2*PI()*G6809),"")</f>
        <v/>
      </c>
      <c r="I6809">
        <f>IF(B6809,IF(D6809=0,H6809,Rho*I6808+SQRT(1-Rho^2)*H6809),"")</f>
        <v/>
      </c>
      <c r="J6809">
        <f>IF(B6809,IF(Dist="Normal",DistA+DistB*I6809,DistA+(DistB-DistA)*NORMSDIST(I6809)),"")</f>
        <v/>
      </c>
      <c r="K6809">
        <f>IF(B6809,INDEX(MineScale,C6809),"")</f>
        <v/>
      </c>
      <c r="L6809">
        <f>IF(B6809,INDEX(Dow,1,WEEKDAY(E6809,2)),"")</f>
        <v/>
      </c>
      <c r="M6809">
        <f>IF(B6809,(1+Trend)^D6809,"")</f>
        <v/>
      </c>
      <c r="N6809">
        <f>IF(B6809,EXP(SUMPRODUCT(LN(1+(EvEff-1)*INDEX(Affected,0,C6809)*EXP(-((E6809-EvCenter)^2)/(2*EvSigma^2))))),"")</f>
        <v/>
      </c>
      <c r="O6809">
        <f>IF(B6809,ROUND(MAX(0,J6809*K6809*L6809*M6809*N6809),2),"")</f>
        <v/>
      </c>
    </row>
    <row r="6810">
      <c r="A6810" t="n">
        <v>6809</v>
      </c>
      <c r="B6810">
        <f>A6810&lt;=MineCount*Days</f>
        <v/>
      </c>
      <c r="C6810">
        <f>IF(B6810,INT((A6810-1)/Days)+1,"")</f>
        <v/>
      </c>
      <c r="D6810">
        <f>IF(B6810,MOD(A6810-1,Days),"")</f>
        <v/>
      </c>
      <c r="E6810" s="16">
        <f>IF(B6810,StartDate+D6810,"")</f>
        <v/>
      </c>
      <c r="F6810">
        <f>IF(B6810,MAX(MOD(SIN(Seed*0.1373+C6810*12.9898+D6810*78.233)*43758.5453,1),1E-9),"")</f>
        <v/>
      </c>
      <c r="G6810">
        <f>IF(B6810,MOD(SIN(Seed*0.5917+C6810*39.3468+D6810*11.135)*24634.6345,1),"")</f>
        <v/>
      </c>
      <c r="H6810">
        <f>IF(B6810,SQRT(-2*LN(F6810))*COS(2*PI()*G6810),"")</f>
        <v/>
      </c>
      <c r="I6810">
        <f>IF(B6810,IF(D6810=0,H6810,Rho*I6809+SQRT(1-Rho^2)*H6810),"")</f>
        <v/>
      </c>
      <c r="J6810">
        <f>IF(B6810,IF(Dist="Normal",DistA+DistB*I6810,DistA+(DistB-DistA)*NORMSDIST(I6810)),"")</f>
        <v/>
      </c>
      <c r="K6810">
        <f>IF(B6810,INDEX(MineScale,C6810),"")</f>
        <v/>
      </c>
      <c r="L6810">
        <f>IF(B6810,INDEX(Dow,1,WEEKDAY(E6810,2)),"")</f>
        <v/>
      </c>
      <c r="M6810">
        <f>IF(B6810,(1+Trend)^D6810,"")</f>
        <v/>
      </c>
      <c r="N6810">
        <f>IF(B6810,EXP(SUMPRODUCT(LN(1+(EvEff-1)*INDEX(Affected,0,C6810)*EXP(-((E6810-EvCenter)^2)/(2*EvSigma^2))))),"")</f>
        <v/>
      </c>
      <c r="O6810">
        <f>IF(B6810,ROUND(MAX(0,J6810*K6810*L6810*M6810*N6810),2),"")</f>
        <v/>
      </c>
    </row>
    <row r="6811">
      <c r="A6811" t="n">
        <v>6810</v>
      </c>
      <c r="B6811">
        <f>A6811&lt;=MineCount*Days</f>
        <v/>
      </c>
      <c r="C6811">
        <f>IF(B6811,INT((A6811-1)/Days)+1,"")</f>
        <v/>
      </c>
      <c r="D6811">
        <f>IF(B6811,MOD(A6811-1,Days),"")</f>
        <v/>
      </c>
      <c r="E6811" s="16">
        <f>IF(B6811,StartDate+D6811,"")</f>
        <v/>
      </c>
      <c r="F6811">
        <f>IF(B6811,MAX(MOD(SIN(Seed*0.1373+C6811*12.9898+D6811*78.233)*43758.5453,1),1E-9),"")</f>
        <v/>
      </c>
      <c r="G6811">
        <f>IF(B6811,MOD(SIN(Seed*0.5917+C6811*39.3468+D6811*11.135)*24634.6345,1),"")</f>
        <v/>
      </c>
      <c r="H6811">
        <f>IF(B6811,SQRT(-2*LN(F6811))*COS(2*PI()*G6811),"")</f>
        <v/>
      </c>
      <c r="I6811">
        <f>IF(B6811,IF(D6811=0,H6811,Rho*I6810+SQRT(1-Rho^2)*H6811),"")</f>
        <v/>
      </c>
      <c r="J6811">
        <f>IF(B6811,IF(Dist="Normal",DistA+DistB*I6811,DistA+(DistB-DistA)*NORMSDIST(I6811)),"")</f>
        <v/>
      </c>
      <c r="K6811">
        <f>IF(B6811,INDEX(MineScale,C6811),"")</f>
        <v/>
      </c>
      <c r="L6811">
        <f>IF(B6811,INDEX(Dow,1,WEEKDAY(E6811,2)),"")</f>
        <v/>
      </c>
      <c r="M6811">
        <f>IF(B6811,(1+Trend)^D6811,"")</f>
        <v/>
      </c>
      <c r="N6811">
        <f>IF(B6811,EXP(SUMPRODUCT(LN(1+(EvEff-1)*INDEX(Affected,0,C6811)*EXP(-((E6811-EvCenter)^2)/(2*EvSigma^2))))),"")</f>
        <v/>
      </c>
      <c r="O6811">
        <f>IF(B6811,ROUND(MAX(0,J6811*K6811*L6811*M6811*N6811),2),"")</f>
        <v/>
      </c>
    </row>
    <row r="6812">
      <c r="A6812" t="n">
        <v>6811</v>
      </c>
      <c r="B6812">
        <f>A6812&lt;=MineCount*Days</f>
        <v/>
      </c>
      <c r="C6812">
        <f>IF(B6812,INT((A6812-1)/Days)+1,"")</f>
        <v/>
      </c>
      <c r="D6812">
        <f>IF(B6812,MOD(A6812-1,Days),"")</f>
        <v/>
      </c>
      <c r="E6812" s="16">
        <f>IF(B6812,StartDate+D6812,"")</f>
        <v/>
      </c>
      <c r="F6812">
        <f>IF(B6812,MAX(MOD(SIN(Seed*0.1373+C6812*12.9898+D6812*78.233)*43758.5453,1),1E-9),"")</f>
        <v/>
      </c>
      <c r="G6812">
        <f>IF(B6812,MOD(SIN(Seed*0.5917+C6812*39.3468+D6812*11.135)*24634.6345,1),"")</f>
        <v/>
      </c>
      <c r="H6812">
        <f>IF(B6812,SQRT(-2*LN(F6812))*COS(2*PI()*G6812),"")</f>
        <v/>
      </c>
      <c r="I6812">
        <f>IF(B6812,IF(D6812=0,H6812,Rho*I6811+SQRT(1-Rho^2)*H6812),"")</f>
        <v/>
      </c>
      <c r="J6812">
        <f>IF(B6812,IF(Dist="Normal",DistA+DistB*I6812,DistA+(DistB-DistA)*NORMSDIST(I6812)),"")</f>
        <v/>
      </c>
      <c r="K6812">
        <f>IF(B6812,INDEX(MineScale,C6812),"")</f>
        <v/>
      </c>
      <c r="L6812">
        <f>IF(B6812,INDEX(Dow,1,WEEKDAY(E6812,2)),"")</f>
        <v/>
      </c>
      <c r="M6812">
        <f>IF(B6812,(1+Trend)^D6812,"")</f>
        <v/>
      </c>
      <c r="N6812">
        <f>IF(B6812,EXP(SUMPRODUCT(LN(1+(EvEff-1)*INDEX(Affected,0,C6812)*EXP(-((E6812-EvCenter)^2)/(2*EvSigma^2))))),"")</f>
        <v/>
      </c>
      <c r="O6812">
        <f>IF(B6812,ROUND(MAX(0,J6812*K6812*L6812*M6812*N6812),2),"")</f>
        <v/>
      </c>
    </row>
    <row r="6813">
      <c r="A6813" t="n">
        <v>6812</v>
      </c>
      <c r="B6813">
        <f>A6813&lt;=MineCount*Days</f>
        <v/>
      </c>
      <c r="C6813">
        <f>IF(B6813,INT((A6813-1)/Days)+1,"")</f>
        <v/>
      </c>
      <c r="D6813">
        <f>IF(B6813,MOD(A6813-1,Days),"")</f>
        <v/>
      </c>
      <c r="E6813" s="16">
        <f>IF(B6813,StartDate+D6813,"")</f>
        <v/>
      </c>
      <c r="F6813">
        <f>IF(B6813,MAX(MOD(SIN(Seed*0.1373+C6813*12.9898+D6813*78.233)*43758.5453,1),1E-9),"")</f>
        <v/>
      </c>
      <c r="G6813">
        <f>IF(B6813,MOD(SIN(Seed*0.5917+C6813*39.3468+D6813*11.135)*24634.6345,1),"")</f>
        <v/>
      </c>
      <c r="H6813">
        <f>IF(B6813,SQRT(-2*LN(F6813))*COS(2*PI()*G6813),"")</f>
        <v/>
      </c>
      <c r="I6813">
        <f>IF(B6813,IF(D6813=0,H6813,Rho*I6812+SQRT(1-Rho^2)*H6813),"")</f>
        <v/>
      </c>
      <c r="J6813">
        <f>IF(B6813,IF(Dist="Normal",DistA+DistB*I6813,DistA+(DistB-DistA)*NORMSDIST(I6813)),"")</f>
        <v/>
      </c>
      <c r="K6813">
        <f>IF(B6813,INDEX(MineScale,C6813),"")</f>
        <v/>
      </c>
      <c r="L6813">
        <f>IF(B6813,INDEX(Dow,1,WEEKDAY(E6813,2)),"")</f>
        <v/>
      </c>
      <c r="M6813">
        <f>IF(B6813,(1+Trend)^D6813,"")</f>
        <v/>
      </c>
      <c r="N6813">
        <f>IF(B6813,EXP(SUMPRODUCT(LN(1+(EvEff-1)*INDEX(Affected,0,C6813)*EXP(-((E6813-EvCenter)^2)/(2*EvSigma^2))))),"")</f>
        <v/>
      </c>
      <c r="O6813">
        <f>IF(B6813,ROUND(MAX(0,J6813*K6813*L6813*M6813*N6813),2),"")</f>
        <v/>
      </c>
    </row>
    <row r="6814">
      <c r="A6814" t="n">
        <v>6813</v>
      </c>
      <c r="B6814">
        <f>A6814&lt;=MineCount*Days</f>
        <v/>
      </c>
      <c r="C6814">
        <f>IF(B6814,INT((A6814-1)/Days)+1,"")</f>
        <v/>
      </c>
      <c r="D6814">
        <f>IF(B6814,MOD(A6814-1,Days),"")</f>
        <v/>
      </c>
      <c r="E6814" s="16">
        <f>IF(B6814,StartDate+D6814,"")</f>
        <v/>
      </c>
      <c r="F6814">
        <f>IF(B6814,MAX(MOD(SIN(Seed*0.1373+C6814*12.9898+D6814*78.233)*43758.5453,1),1E-9),"")</f>
        <v/>
      </c>
      <c r="G6814">
        <f>IF(B6814,MOD(SIN(Seed*0.5917+C6814*39.3468+D6814*11.135)*24634.6345,1),"")</f>
        <v/>
      </c>
      <c r="H6814">
        <f>IF(B6814,SQRT(-2*LN(F6814))*COS(2*PI()*G6814),"")</f>
        <v/>
      </c>
      <c r="I6814">
        <f>IF(B6814,IF(D6814=0,H6814,Rho*I6813+SQRT(1-Rho^2)*H6814),"")</f>
        <v/>
      </c>
      <c r="J6814">
        <f>IF(B6814,IF(Dist="Normal",DistA+DistB*I6814,DistA+(DistB-DistA)*NORMSDIST(I6814)),"")</f>
        <v/>
      </c>
      <c r="K6814">
        <f>IF(B6814,INDEX(MineScale,C6814),"")</f>
        <v/>
      </c>
      <c r="L6814">
        <f>IF(B6814,INDEX(Dow,1,WEEKDAY(E6814,2)),"")</f>
        <v/>
      </c>
      <c r="M6814">
        <f>IF(B6814,(1+Trend)^D6814,"")</f>
        <v/>
      </c>
      <c r="N6814">
        <f>IF(B6814,EXP(SUMPRODUCT(LN(1+(EvEff-1)*INDEX(Affected,0,C6814)*EXP(-((E6814-EvCenter)^2)/(2*EvSigma^2))))),"")</f>
        <v/>
      </c>
      <c r="O6814">
        <f>IF(B6814,ROUND(MAX(0,J6814*K6814*L6814*M6814*N6814),2),"")</f>
        <v/>
      </c>
    </row>
    <row r="6815">
      <c r="A6815" t="n">
        <v>6814</v>
      </c>
      <c r="B6815">
        <f>A6815&lt;=MineCount*Days</f>
        <v/>
      </c>
      <c r="C6815">
        <f>IF(B6815,INT((A6815-1)/Days)+1,"")</f>
        <v/>
      </c>
      <c r="D6815">
        <f>IF(B6815,MOD(A6815-1,Days),"")</f>
        <v/>
      </c>
      <c r="E6815" s="16">
        <f>IF(B6815,StartDate+D6815,"")</f>
        <v/>
      </c>
      <c r="F6815">
        <f>IF(B6815,MAX(MOD(SIN(Seed*0.1373+C6815*12.9898+D6815*78.233)*43758.5453,1),1E-9),"")</f>
        <v/>
      </c>
      <c r="G6815">
        <f>IF(B6815,MOD(SIN(Seed*0.5917+C6815*39.3468+D6815*11.135)*24634.6345,1),"")</f>
        <v/>
      </c>
      <c r="H6815">
        <f>IF(B6815,SQRT(-2*LN(F6815))*COS(2*PI()*G6815),"")</f>
        <v/>
      </c>
      <c r="I6815">
        <f>IF(B6815,IF(D6815=0,H6815,Rho*I6814+SQRT(1-Rho^2)*H6815),"")</f>
        <v/>
      </c>
      <c r="J6815">
        <f>IF(B6815,IF(Dist="Normal",DistA+DistB*I6815,DistA+(DistB-DistA)*NORMSDIST(I6815)),"")</f>
        <v/>
      </c>
      <c r="K6815">
        <f>IF(B6815,INDEX(MineScale,C6815),"")</f>
        <v/>
      </c>
      <c r="L6815">
        <f>IF(B6815,INDEX(Dow,1,WEEKDAY(E6815,2)),"")</f>
        <v/>
      </c>
      <c r="M6815">
        <f>IF(B6815,(1+Trend)^D6815,"")</f>
        <v/>
      </c>
      <c r="N6815">
        <f>IF(B6815,EXP(SUMPRODUCT(LN(1+(EvEff-1)*INDEX(Affected,0,C6815)*EXP(-((E6815-EvCenter)^2)/(2*EvSigma^2))))),"")</f>
        <v/>
      </c>
      <c r="O6815">
        <f>IF(B6815,ROUND(MAX(0,J6815*K6815*L6815*M6815*N6815),2),"")</f>
        <v/>
      </c>
    </row>
    <row r="6816">
      <c r="A6816" t="n">
        <v>6815</v>
      </c>
      <c r="B6816">
        <f>A6816&lt;=MineCount*Days</f>
        <v/>
      </c>
      <c r="C6816">
        <f>IF(B6816,INT((A6816-1)/Days)+1,"")</f>
        <v/>
      </c>
      <c r="D6816">
        <f>IF(B6816,MOD(A6816-1,Days),"")</f>
        <v/>
      </c>
      <c r="E6816" s="16">
        <f>IF(B6816,StartDate+D6816,"")</f>
        <v/>
      </c>
      <c r="F6816">
        <f>IF(B6816,MAX(MOD(SIN(Seed*0.1373+C6816*12.9898+D6816*78.233)*43758.5453,1),1E-9),"")</f>
        <v/>
      </c>
      <c r="G6816">
        <f>IF(B6816,MOD(SIN(Seed*0.5917+C6816*39.3468+D6816*11.135)*24634.6345,1),"")</f>
        <v/>
      </c>
      <c r="H6816">
        <f>IF(B6816,SQRT(-2*LN(F6816))*COS(2*PI()*G6816),"")</f>
        <v/>
      </c>
      <c r="I6816">
        <f>IF(B6816,IF(D6816=0,H6816,Rho*I6815+SQRT(1-Rho^2)*H6816),"")</f>
        <v/>
      </c>
      <c r="J6816">
        <f>IF(B6816,IF(Dist="Normal",DistA+DistB*I6816,DistA+(DistB-DistA)*NORMSDIST(I6816)),"")</f>
        <v/>
      </c>
      <c r="K6816">
        <f>IF(B6816,INDEX(MineScale,C6816),"")</f>
        <v/>
      </c>
      <c r="L6816">
        <f>IF(B6816,INDEX(Dow,1,WEEKDAY(E6816,2)),"")</f>
        <v/>
      </c>
      <c r="M6816">
        <f>IF(B6816,(1+Trend)^D6816,"")</f>
        <v/>
      </c>
      <c r="N6816">
        <f>IF(B6816,EXP(SUMPRODUCT(LN(1+(EvEff-1)*INDEX(Affected,0,C6816)*EXP(-((E6816-EvCenter)^2)/(2*EvSigma^2))))),"")</f>
        <v/>
      </c>
      <c r="O6816">
        <f>IF(B6816,ROUND(MAX(0,J6816*K6816*L6816*M6816*N6816),2),"")</f>
        <v/>
      </c>
    </row>
    <row r="6817">
      <c r="A6817" t="n">
        <v>6816</v>
      </c>
      <c r="B6817">
        <f>A6817&lt;=MineCount*Days</f>
        <v/>
      </c>
      <c r="C6817">
        <f>IF(B6817,INT((A6817-1)/Days)+1,"")</f>
        <v/>
      </c>
      <c r="D6817">
        <f>IF(B6817,MOD(A6817-1,Days),"")</f>
        <v/>
      </c>
      <c r="E6817" s="16">
        <f>IF(B6817,StartDate+D6817,"")</f>
        <v/>
      </c>
      <c r="F6817">
        <f>IF(B6817,MAX(MOD(SIN(Seed*0.1373+C6817*12.9898+D6817*78.233)*43758.5453,1),1E-9),"")</f>
        <v/>
      </c>
      <c r="G6817">
        <f>IF(B6817,MOD(SIN(Seed*0.5917+C6817*39.3468+D6817*11.135)*24634.6345,1),"")</f>
        <v/>
      </c>
      <c r="H6817">
        <f>IF(B6817,SQRT(-2*LN(F6817))*COS(2*PI()*G6817),"")</f>
        <v/>
      </c>
      <c r="I6817">
        <f>IF(B6817,IF(D6817=0,H6817,Rho*I6816+SQRT(1-Rho^2)*H6817),"")</f>
        <v/>
      </c>
      <c r="J6817">
        <f>IF(B6817,IF(Dist="Normal",DistA+DistB*I6817,DistA+(DistB-DistA)*NORMSDIST(I6817)),"")</f>
        <v/>
      </c>
      <c r="K6817">
        <f>IF(B6817,INDEX(MineScale,C6817),"")</f>
        <v/>
      </c>
      <c r="L6817">
        <f>IF(B6817,INDEX(Dow,1,WEEKDAY(E6817,2)),"")</f>
        <v/>
      </c>
      <c r="M6817">
        <f>IF(B6817,(1+Trend)^D6817,"")</f>
        <v/>
      </c>
      <c r="N6817">
        <f>IF(B6817,EXP(SUMPRODUCT(LN(1+(EvEff-1)*INDEX(Affected,0,C6817)*EXP(-((E6817-EvCenter)^2)/(2*EvSigma^2))))),"")</f>
        <v/>
      </c>
      <c r="O6817">
        <f>IF(B6817,ROUND(MAX(0,J6817*K6817*L6817*M6817*N6817),2),"")</f>
        <v/>
      </c>
    </row>
    <row r="6818">
      <c r="A6818" t="n">
        <v>6817</v>
      </c>
      <c r="B6818">
        <f>A6818&lt;=MineCount*Days</f>
        <v/>
      </c>
      <c r="C6818">
        <f>IF(B6818,INT((A6818-1)/Days)+1,"")</f>
        <v/>
      </c>
      <c r="D6818">
        <f>IF(B6818,MOD(A6818-1,Days),"")</f>
        <v/>
      </c>
      <c r="E6818" s="16">
        <f>IF(B6818,StartDate+D6818,"")</f>
        <v/>
      </c>
      <c r="F6818">
        <f>IF(B6818,MAX(MOD(SIN(Seed*0.1373+C6818*12.9898+D6818*78.233)*43758.5453,1),1E-9),"")</f>
        <v/>
      </c>
      <c r="G6818">
        <f>IF(B6818,MOD(SIN(Seed*0.5917+C6818*39.3468+D6818*11.135)*24634.6345,1),"")</f>
        <v/>
      </c>
      <c r="H6818">
        <f>IF(B6818,SQRT(-2*LN(F6818))*COS(2*PI()*G6818),"")</f>
        <v/>
      </c>
      <c r="I6818">
        <f>IF(B6818,IF(D6818=0,H6818,Rho*I6817+SQRT(1-Rho^2)*H6818),"")</f>
        <v/>
      </c>
      <c r="J6818">
        <f>IF(B6818,IF(Dist="Normal",DistA+DistB*I6818,DistA+(DistB-DistA)*NORMSDIST(I6818)),"")</f>
        <v/>
      </c>
      <c r="K6818">
        <f>IF(B6818,INDEX(MineScale,C6818),"")</f>
        <v/>
      </c>
      <c r="L6818">
        <f>IF(B6818,INDEX(Dow,1,WEEKDAY(E6818,2)),"")</f>
        <v/>
      </c>
      <c r="M6818">
        <f>IF(B6818,(1+Trend)^D6818,"")</f>
        <v/>
      </c>
      <c r="N6818">
        <f>IF(B6818,EXP(SUMPRODUCT(LN(1+(EvEff-1)*INDEX(Affected,0,C6818)*EXP(-((E6818-EvCenter)^2)/(2*EvSigma^2))))),"")</f>
        <v/>
      </c>
      <c r="O6818">
        <f>IF(B6818,ROUND(MAX(0,J6818*K6818*L6818*M6818*N6818),2),"")</f>
        <v/>
      </c>
    </row>
    <row r="6819">
      <c r="A6819" t="n">
        <v>6818</v>
      </c>
      <c r="B6819">
        <f>A6819&lt;=MineCount*Days</f>
        <v/>
      </c>
      <c r="C6819">
        <f>IF(B6819,INT((A6819-1)/Days)+1,"")</f>
        <v/>
      </c>
      <c r="D6819">
        <f>IF(B6819,MOD(A6819-1,Days),"")</f>
        <v/>
      </c>
      <c r="E6819" s="16">
        <f>IF(B6819,StartDate+D6819,"")</f>
        <v/>
      </c>
      <c r="F6819">
        <f>IF(B6819,MAX(MOD(SIN(Seed*0.1373+C6819*12.9898+D6819*78.233)*43758.5453,1),1E-9),"")</f>
        <v/>
      </c>
      <c r="G6819">
        <f>IF(B6819,MOD(SIN(Seed*0.5917+C6819*39.3468+D6819*11.135)*24634.6345,1),"")</f>
        <v/>
      </c>
      <c r="H6819">
        <f>IF(B6819,SQRT(-2*LN(F6819))*COS(2*PI()*G6819),"")</f>
        <v/>
      </c>
      <c r="I6819">
        <f>IF(B6819,IF(D6819=0,H6819,Rho*I6818+SQRT(1-Rho^2)*H6819),"")</f>
        <v/>
      </c>
      <c r="J6819">
        <f>IF(B6819,IF(Dist="Normal",DistA+DistB*I6819,DistA+(DistB-DistA)*NORMSDIST(I6819)),"")</f>
        <v/>
      </c>
      <c r="K6819">
        <f>IF(B6819,INDEX(MineScale,C6819),"")</f>
        <v/>
      </c>
      <c r="L6819">
        <f>IF(B6819,INDEX(Dow,1,WEEKDAY(E6819,2)),"")</f>
        <v/>
      </c>
      <c r="M6819">
        <f>IF(B6819,(1+Trend)^D6819,"")</f>
        <v/>
      </c>
      <c r="N6819">
        <f>IF(B6819,EXP(SUMPRODUCT(LN(1+(EvEff-1)*INDEX(Affected,0,C6819)*EXP(-((E6819-EvCenter)^2)/(2*EvSigma^2))))),"")</f>
        <v/>
      </c>
      <c r="O6819">
        <f>IF(B6819,ROUND(MAX(0,J6819*K6819*L6819*M6819*N6819),2),"")</f>
        <v/>
      </c>
    </row>
    <row r="6820">
      <c r="A6820" t="n">
        <v>6819</v>
      </c>
      <c r="B6820">
        <f>A6820&lt;=MineCount*Days</f>
        <v/>
      </c>
      <c r="C6820">
        <f>IF(B6820,INT((A6820-1)/Days)+1,"")</f>
        <v/>
      </c>
      <c r="D6820">
        <f>IF(B6820,MOD(A6820-1,Days),"")</f>
        <v/>
      </c>
      <c r="E6820" s="16">
        <f>IF(B6820,StartDate+D6820,"")</f>
        <v/>
      </c>
      <c r="F6820">
        <f>IF(B6820,MAX(MOD(SIN(Seed*0.1373+C6820*12.9898+D6820*78.233)*43758.5453,1),1E-9),"")</f>
        <v/>
      </c>
      <c r="G6820">
        <f>IF(B6820,MOD(SIN(Seed*0.5917+C6820*39.3468+D6820*11.135)*24634.6345,1),"")</f>
        <v/>
      </c>
      <c r="H6820">
        <f>IF(B6820,SQRT(-2*LN(F6820))*COS(2*PI()*G6820),"")</f>
        <v/>
      </c>
      <c r="I6820">
        <f>IF(B6820,IF(D6820=0,H6820,Rho*I6819+SQRT(1-Rho^2)*H6820),"")</f>
        <v/>
      </c>
      <c r="J6820">
        <f>IF(B6820,IF(Dist="Normal",DistA+DistB*I6820,DistA+(DistB-DistA)*NORMSDIST(I6820)),"")</f>
        <v/>
      </c>
      <c r="K6820">
        <f>IF(B6820,INDEX(MineScale,C6820),"")</f>
        <v/>
      </c>
      <c r="L6820">
        <f>IF(B6820,INDEX(Dow,1,WEEKDAY(E6820,2)),"")</f>
        <v/>
      </c>
      <c r="M6820">
        <f>IF(B6820,(1+Trend)^D6820,"")</f>
        <v/>
      </c>
      <c r="N6820">
        <f>IF(B6820,EXP(SUMPRODUCT(LN(1+(EvEff-1)*INDEX(Affected,0,C6820)*EXP(-((E6820-EvCenter)^2)/(2*EvSigma^2))))),"")</f>
        <v/>
      </c>
      <c r="O6820">
        <f>IF(B6820,ROUND(MAX(0,J6820*K6820*L6820*M6820*N6820),2),"")</f>
        <v/>
      </c>
    </row>
    <row r="6821">
      <c r="A6821" t="n">
        <v>6820</v>
      </c>
      <c r="B6821">
        <f>A6821&lt;=MineCount*Days</f>
        <v/>
      </c>
      <c r="C6821">
        <f>IF(B6821,INT((A6821-1)/Days)+1,"")</f>
        <v/>
      </c>
      <c r="D6821">
        <f>IF(B6821,MOD(A6821-1,Days),"")</f>
        <v/>
      </c>
      <c r="E6821" s="16">
        <f>IF(B6821,StartDate+D6821,"")</f>
        <v/>
      </c>
      <c r="F6821">
        <f>IF(B6821,MAX(MOD(SIN(Seed*0.1373+C6821*12.9898+D6821*78.233)*43758.5453,1),1E-9),"")</f>
        <v/>
      </c>
      <c r="G6821">
        <f>IF(B6821,MOD(SIN(Seed*0.5917+C6821*39.3468+D6821*11.135)*24634.6345,1),"")</f>
        <v/>
      </c>
      <c r="H6821">
        <f>IF(B6821,SQRT(-2*LN(F6821))*COS(2*PI()*G6821),"")</f>
        <v/>
      </c>
      <c r="I6821">
        <f>IF(B6821,IF(D6821=0,H6821,Rho*I6820+SQRT(1-Rho^2)*H6821),"")</f>
        <v/>
      </c>
      <c r="J6821">
        <f>IF(B6821,IF(Dist="Normal",DistA+DistB*I6821,DistA+(DistB-DistA)*NORMSDIST(I6821)),"")</f>
        <v/>
      </c>
      <c r="K6821">
        <f>IF(B6821,INDEX(MineScale,C6821),"")</f>
        <v/>
      </c>
      <c r="L6821">
        <f>IF(B6821,INDEX(Dow,1,WEEKDAY(E6821,2)),"")</f>
        <v/>
      </c>
      <c r="M6821">
        <f>IF(B6821,(1+Trend)^D6821,"")</f>
        <v/>
      </c>
      <c r="N6821">
        <f>IF(B6821,EXP(SUMPRODUCT(LN(1+(EvEff-1)*INDEX(Affected,0,C6821)*EXP(-((E6821-EvCenter)^2)/(2*EvSigma^2))))),"")</f>
        <v/>
      </c>
      <c r="O6821">
        <f>IF(B6821,ROUND(MAX(0,J6821*K6821*L6821*M6821*N6821),2),"")</f>
        <v/>
      </c>
    </row>
    <row r="6822">
      <c r="A6822" t="n">
        <v>6821</v>
      </c>
      <c r="B6822">
        <f>A6822&lt;=MineCount*Days</f>
        <v/>
      </c>
      <c r="C6822">
        <f>IF(B6822,INT((A6822-1)/Days)+1,"")</f>
        <v/>
      </c>
      <c r="D6822">
        <f>IF(B6822,MOD(A6822-1,Days),"")</f>
        <v/>
      </c>
      <c r="E6822" s="16">
        <f>IF(B6822,StartDate+D6822,"")</f>
        <v/>
      </c>
      <c r="F6822">
        <f>IF(B6822,MAX(MOD(SIN(Seed*0.1373+C6822*12.9898+D6822*78.233)*43758.5453,1),1E-9),"")</f>
        <v/>
      </c>
      <c r="G6822">
        <f>IF(B6822,MOD(SIN(Seed*0.5917+C6822*39.3468+D6822*11.135)*24634.6345,1),"")</f>
        <v/>
      </c>
      <c r="H6822">
        <f>IF(B6822,SQRT(-2*LN(F6822))*COS(2*PI()*G6822),"")</f>
        <v/>
      </c>
      <c r="I6822">
        <f>IF(B6822,IF(D6822=0,H6822,Rho*I6821+SQRT(1-Rho^2)*H6822),"")</f>
        <v/>
      </c>
      <c r="J6822">
        <f>IF(B6822,IF(Dist="Normal",DistA+DistB*I6822,DistA+(DistB-DistA)*NORMSDIST(I6822)),"")</f>
        <v/>
      </c>
      <c r="K6822">
        <f>IF(B6822,INDEX(MineScale,C6822),"")</f>
        <v/>
      </c>
      <c r="L6822">
        <f>IF(B6822,INDEX(Dow,1,WEEKDAY(E6822,2)),"")</f>
        <v/>
      </c>
      <c r="M6822">
        <f>IF(B6822,(1+Trend)^D6822,"")</f>
        <v/>
      </c>
      <c r="N6822">
        <f>IF(B6822,EXP(SUMPRODUCT(LN(1+(EvEff-1)*INDEX(Affected,0,C6822)*EXP(-((E6822-EvCenter)^2)/(2*EvSigma^2))))),"")</f>
        <v/>
      </c>
      <c r="O6822">
        <f>IF(B6822,ROUND(MAX(0,J6822*K6822*L6822*M6822*N6822),2),"")</f>
        <v/>
      </c>
    </row>
    <row r="6823">
      <c r="A6823" t="n">
        <v>6822</v>
      </c>
      <c r="B6823">
        <f>A6823&lt;=MineCount*Days</f>
        <v/>
      </c>
      <c r="C6823">
        <f>IF(B6823,INT((A6823-1)/Days)+1,"")</f>
        <v/>
      </c>
      <c r="D6823">
        <f>IF(B6823,MOD(A6823-1,Days),"")</f>
        <v/>
      </c>
      <c r="E6823" s="16">
        <f>IF(B6823,StartDate+D6823,"")</f>
        <v/>
      </c>
      <c r="F6823">
        <f>IF(B6823,MAX(MOD(SIN(Seed*0.1373+C6823*12.9898+D6823*78.233)*43758.5453,1),1E-9),"")</f>
        <v/>
      </c>
      <c r="G6823">
        <f>IF(B6823,MOD(SIN(Seed*0.5917+C6823*39.3468+D6823*11.135)*24634.6345,1),"")</f>
        <v/>
      </c>
      <c r="H6823">
        <f>IF(B6823,SQRT(-2*LN(F6823))*COS(2*PI()*G6823),"")</f>
        <v/>
      </c>
      <c r="I6823">
        <f>IF(B6823,IF(D6823=0,H6823,Rho*I6822+SQRT(1-Rho^2)*H6823),"")</f>
        <v/>
      </c>
      <c r="J6823">
        <f>IF(B6823,IF(Dist="Normal",DistA+DistB*I6823,DistA+(DistB-DistA)*NORMSDIST(I6823)),"")</f>
        <v/>
      </c>
      <c r="K6823">
        <f>IF(B6823,INDEX(MineScale,C6823),"")</f>
        <v/>
      </c>
      <c r="L6823">
        <f>IF(B6823,INDEX(Dow,1,WEEKDAY(E6823,2)),"")</f>
        <v/>
      </c>
      <c r="M6823">
        <f>IF(B6823,(1+Trend)^D6823,"")</f>
        <v/>
      </c>
      <c r="N6823">
        <f>IF(B6823,EXP(SUMPRODUCT(LN(1+(EvEff-1)*INDEX(Affected,0,C6823)*EXP(-((E6823-EvCenter)^2)/(2*EvSigma^2))))),"")</f>
        <v/>
      </c>
      <c r="O6823">
        <f>IF(B6823,ROUND(MAX(0,J6823*K6823*L6823*M6823*N6823),2),"")</f>
        <v/>
      </c>
    </row>
    <row r="6824">
      <c r="A6824" t="n">
        <v>6823</v>
      </c>
      <c r="B6824">
        <f>A6824&lt;=MineCount*Days</f>
        <v/>
      </c>
      <c r="C6824">
        <f>IF(B6824,INT((A6824-1)/Days)+1,"")</f>
        <v/>
      </c>
      <c r="D6824">
        <f>IF(B6824,MOD(A6824-1,Days),"")</f>
        <v/>
      </c>
      <c r="E6824" s="16">
        <f>IF(B6824,StartDate+D6824,"")</f>
        <v/>
      </c>
      <c r="F6824">
        <f>IF(B6824,MAX(MOD(SIN(Seed*0.1373+C6824*12.9898+D6824*78.233)*43758.5453,1),1E-9),"")</f>
        <v/>
      </c>
      <c r="G6824">
        <f>IF(B6824,MOD(SIN(Seed*0.5917+C6824*39.3468+D6824*11.135)*24634.6345,1),"")</f>
        <v/>
      </c>
      <c r="H6824">
        <f>IF(B6824,SQRT(-2*LN(F6824))*COS(2*PI()*G6824),"")</f>
        <v/>
      </c>
      <c r="I6824">
        <f>IF(B6824,IF(D6824=0,H6824,Rho*I6823+SQRT(1-Rho^2)*H6824),"")</f>
        <v/>
      </c>
      <c r="J6824">
        <f>IF(B6824,IF(Dist="Normal",DistA+DistB*I6824,DistA+(DistB-DistA)*NORMSDIST(I6824)),"")</f>
        <v/>
      </c>
      <c r="K6824">
        <f>IF(B6824,INDEX(MineScale,C6824),"")</f>
        <v/>
      </c>
      <c r="L6824">
        <f>IF(B6824,INDEX(Dow,1,WEEKDAY(E6824,2)),"")</f>
        <v/>
      </c>
      <c r="M6824">
        <f>IF(B6824,(1+Trend)^D6824,"")</f>
        <v/>
      </c>
      <c r="N6824">
        <f>IF(B6824,EXP(SUMPRODUCT(LN(1+(EvEff-1)*INDEX(Affected,0,C6824)*EXP(-((E6824-EvCenter)^2)/(2*EvSigma^2))))),"")</f>
        <v/>
      </c>
      <c r="O6824">
        <f>IF(B6824,ROUND(MAX(0,J6824*K6824*L6824*M6824*N6824),2),"")</f>
        <v/>
      </c>
    </row>
    <row r="6825">
      <c r="A6825" t="n">
        <v>6824</v>
      </c>
      <c r="B6825">
        <f>A6825&lt;=MineCount*Days</f>
        <v/>
      </c>
      <c r="C6825">
        <f>IF(B6825,INT((A6825-1)/Days)+1,"")</f>
        <v/>
      </c>
      <c r="D6825">
        <f>IF(B6825,MOD(A6825-1,Days),"")</f>
        <v/>
      </c>
      <c r="E6825" s="16">
        <f>IF(B6825,StartDate+D6825,"")</f>
        <v/>
      </c>
      <c r="F6825">
        <f>IF(B6825,MAX(MOD(SIN(Seed*0.1373+C6825*12.9898+D6825*78.233)*43758.5453,1),1E-9),"")</f>
        <v/>
      </c>
      <c r="G6825">
        <f>IF(B6825,MOD(SIN(Seed*0.5917+C6825*39.3468+D6825*11.135)*24634.6345,1),"")</f>
        <v/>
      </c>
      <c r="H6825">
        <f>IF(B6825,SQRT(-2*LN(F6825))*COS(2*PI()*G6825),"")</f>
        <v/>
      </c>
      <c r="I6825">
        <f>IF(B6825,IF(D6825=0,H6825,Rho*I6824+SQRT(1-Rho^2)*H6825),"")</f>
        <v/>
      </c>
      <c r="J6825">
        <f>IF(B6825,IF(Dist="Normal",DistA+DistB*I6825,DistA+(DistB-DistA)*NORMSDIST(I6825)),"")</f>
        <v/>
      </c>
      <c r="K6825">
        <f>IF(B6825,INDEX(MineScale,C6825),"")</f>
        <v/>
      </c>
      <c r="L6825">
        <f>IF(B6825,INDEX(Dow,1,WEEKDAY(E6825,2)),"")</f>
        <v/>
      </c>
      <c r="M6825">
        <f>IF(B6825,(1+Trend)^D6825,"")</f>
        <v/>
      </c>
      <c r="N6825">
        <f>IF(B6825,EXP(SUMPRODUCT(LN(1+(EvEff-1)*INDEX(Affected,0,C6825)*EXP(-((E6825-EvCenter)^2)/(2*EvSigma^2))))),"")</f>
        <v/>
      </c>
      <c r="O6825">
        <f>IF(B6825,ROUND(MAX(0,J6825*K6825*L6825*M6825*N6825),2),"")</f>
        <v/>
      </c>
    </row>
    <row r="6826">
      <c r="A6826" t="n">
        <v>6825</v>
      </c>
      <c r="B6826">
        <f>A6826&lt;=MineCount*Days</f>
        <v/>
      </c>
      <c r="C6826">
        <f>IF(B6826,INT((A6826-1)/Days)+1,"")</f>
        <v/>
      </c>
      <c r="D6826">
        <f>IF(B6826,MOD(A6826-1,Days),"")</f>
        <v/>
      </c>
      <c r="E6826" s="16">
        <f>IF(B6826,StartDate+D6826,"")</f>
        <v/>
      </c>
      <c r="F6826">
        <f>IF(B6826,MAX(MOD(SIN(Seed*0.1373+C6826*12.9898+D6826*78.233)*43758.5453,1),1E-9),"")</f>
        <v/>
      </c>
      <c r="G6826">
        <f>IF(B6826,MOD(SIN(Seed*0.5917+C6826*39.3468+D6826*11.135)*24634.6345,1),"")</f>
        <v/>
      </c>
      <c r="H6826">
        <f>IF(B6826,SQRT(-2*LN(F6826))*COS(2*PI()*G6826),"")</f>
        <v/>
      </c>
      <c r="I6826">
        <f>IF(B6826,IF(D6826=0,H6826,Rho*I6825+SQRT(1-Rho^2)*H6826),"")</f>
        <v/>
      </c>
      <c r="J6826">
        <f>IF(B6826,IF(Dist="Normal",DistA+DistB*I6826,DistA+(DistB-DistA)*NORMSDIST(I6826)),"")</f>
        <v/>
      </c>
      <c r="K6826">
        <f>IF(B6826,INDEX(MineScale,C6826),"")</f>
        <v/>
      </c>
      <c r="L6826">
        <f>IF(B6826,INDEX(Dow,1,WEEKDAY(E6826,2)),"")</f>
        <v/>
      </c>
      <c r="M6826">
        <f>IF(B6826,(1+Trend)^D6826,"")</f>
        <v/>
      </c>
      <c r="N6826">
        <f>IF(B6826,EXP(SUMPRODUCT(LN(1+(EvEff-1)*INDEX(Affected,0,C6826)*EXP(-((E6826-EvCenter)^2)/(2*EvSigma^2))))),"")</f>
        <v/>
      </c>
      <c r="O6826">
        <f>IF(B6826,ROUND(MAX(0,J6826*K6826*L6826*M6826*N6826),2),"")</f>
        <v/>
      </c>
    </row>
    <row r="6827">
      <c r="A6827" t="n">
        <v>6826</v>
      </c>
      <c r="B6827">
        <f>A6827&lt;=MineCount*Days</f>
        <v/>
      </c>
      <c r="C6827">
        <f>IF(B6827,INT((A6827-1)/Days)+1,"")</f>
        <v/>
      </c>
      <c r="D6827">
        <f>IF(B6827,MOD(A6827-1,Days),"")</f>
        <v/>
      </c>
      <c r="E6827" s="16">
        <f>IF(B6827,StartDate+D6827,"")</f>
        <v/>
      </c>
      <c r="F6827">
        <f>IF(B6827,MAX(MOD(SIN(Seed*0.1373+C6827*12.9898+D6827*78.233)*43758.5453,1),1E-9),"")</f>
        <v/>
      </c>
      <c r="G6827">
        <f>IF(B6827,MOD(SIN(Seed*0.5917+C6827*39.3468+D6827*11.135)*24634.6345,1),"")</f>
        <v/>
      </c>
      <c r="H6827">
        <f>IF(B6827,SQRT(-2*LN(F6827))*COS(2*PI()*G6827),"")</f>
        <v/>
      </c>
      <c r="I6827">
        <f>IF(B6827,IF(D6827=0,H6827,Rho*I6826+SQRT(1-Rho^2)*H6827),"")</f>
        <v/>
      </c>
      <c r="J6827">
        <f>IF(B6827,IF(Dist="Normal",DistA+DistB*I6827,DistA+(DistB-DistA)*NORMSDIST(I6827)),"")</f>
        <v/>
      </c>
      <c r="K6827">
        <f>IF(B6827,INDEX(MineScale,C6827),"")</f>
        <v/>
      </c>
      <c r="L6827">
        <f>IF(B6827,INDEX(Dow,1,WEEKDAY(E6827,2)),"")</f>
        <v/>
      </c>
      <c r="M6827">
        <f>IF(B6827,(1+Trend)^D6827,"")</f>
        <v/>
      </c>
      <c r="N6827">
        <f>IF(B6827,EXP(SUMPRODUCT(LN(1+(EvEff-1)*INDEX(Affected,0,C6827)*EXP(-((E6827-EvCenter)^2)/(2*EvSigma^2))))),"")</f>
        <v/>
      </c>
      <c r="O6827">
        <f>IF(B6827,ROUND(MAX(0,J6827*K6827*L6827*M6827*N6827),2),"")</f>
        <v/>
      </c>
    </row>
    <row r="6828">
      <c r="A6828" t="n">
        <v>6827</v>
      </c>
      <c r="B6828">
        <f>A6828&lt;=MineCount*Days</f>
        <v/>
      </c>
      <c r="C6828">
        <f>IF(B6828,INT((A6828-1)/Days)+1,"")</f>
        <v/>
      </c>
      <c r="D6828">
        <f>IF(B6828,MOD(A6828-1,Days),"")</f>
        <v/>
      </c>
      <c r="E6828" s="16">
        <f>IF(B6828,StartDate+D6828,"")</f>
        <v/>
      </c>
      <c r="F6828">
        <f>IF(B6828,MAX(MOD(SIN(Seed*0.1373+C6828*12.9898+D6828*78.233)*43758.5453,1),1E-9),"")</f>
        <v/>
      </c>
      <c r="G6828">
        <f>IF(B6828,MOD(SIN(Seed*0.5917+C6828*39.3468+D6828*11.135)*24634.6345,1),"")</f>
        <v/>
      </c>
      <c r="H6828">
        <f>IF(B6828,SQRT(-2*LN(F6828))*COS(2*PI()*G6828),"")</f>
        <v/>
      </c>
      <c r="I6828">
        <f>IF(B6828,IF(D6828=0,H6828,Rho*I6827+SQRT(1-Rho^2)*H6828),"")</f>
        <v/>
      </c>
      <c r="J6828">
        <f>IF(B6828,IF(Dist="Normal",DistA+DistB*I6828,DistA+(DistB-DistA)*NORMSDIST(I6828)),"")</f>
        <v/>
      </c>
      <c r="K6828">
        <f>IF(B6828,INDEX(MineScale,C6828),"")</f>
        <v/>
      </c>
      <c r="L6828">
        <f>IF(B6828,INDEX(Dow,1,WEEKDAY(E6828,2)),"")</f>
        <v/>
      </c>
      <c r="M6828">
        <f>IF(B6828,(1+Trend)^D6828,"")</f>
        <v/>
      </c>
      <c r="N6828">
        <f>IF(B6828,EXP(SUMPRODUCT(LN(1+(EvEff-1)*INDEX(Affected,0,C6828)*EXP(-((E6828-EvCenter)^2)/(2*EvSigma^2))))),"")</f>
        <v/>
      </c>
      <c r="O6828">
        <f>IF(B6828,ROUND(MAX(0,J6828*K6828*L6828*M6828*N6828),2),"")</f>
        <v/>
      </c>
    </row>
    <row r="6829">
      <c r="A6829" t="n">
        <v>6828</v>
      </c>
      <c r="B6829">
        <f>A6829&lt;=MineCount*Days</f>
        <v/>
      </c>
      <c r="C6829">
        <f>IF(B6829,INT((A6829-1)/Days)+1,"")</f>
        <v/>
      </c>
      <c r="D6829">
        <f>IF(B6829,MOD(A6829-1,Days),"")</f>
        <v/>
      </c>
      <c r="E6829" s="16">
        <f>IF(B6829,StartDate+D6829,"")</f>
        <v/>
      </c>
      <c r="F6829">
        <f>IF(B6829,MAX(MOD(SIN(Seed*0.1373+C6829*12.9898+D6829*78.233)*43758.5453,1),1E-9),"")</f>
        <v/>
      </c>
      <c r="G6829">
        <f>IF(B6829,MOD(SIN(Seed*0.5917+C6829*39.3468+D6829*11.135)*24634.6345,1),"")</f>
        <v/>
      </c>
      <c r="H6829">
        <f>IF(B6829,SQRT(-2*LN(F6829))*COS(2*PI()*G6829),"")</f>
        <v/>
      </c>
      <c r="I6829">
        <f>IF(B6829,IF(D6829=0,H6829,Rho*I6828+SQRT(1-Rho^2)*H6829),"")</f>
        <v/>
      </c>
      <c r="J6829">
        <f>IF(B6829,IF(Dist="Normal",DistA+DistB*I6829,DistA+(DistB-DistA)*NORMSDIST(I6829)),"")</f>
        <v/>
      </c>
      <c r="K6829">
        <f>IF(B6829,INDEX(MineScale,C6829),"")</f>
        <v/>
      </c>
      <c r="L6829">
        <f>IF(B6829,INDEX(Dow,1,WEEKDAY(E6829,2)),"")</f>
        <v/>
      </c>
      <c r="M6829">
        <f>IF(B6829,(1+Trend)^D6829,"")</f>
        <v/>
      </c>
      <c r="N6829">
        <f>IF(B6829,EXP(SUMPRODUCT(LN(1+(EvEff-1)*INDEX(Affected,0,C6829)*EXP(-((E6829-EvCenter)^2)/(2*EvSigma^2))))),"")</f>
        <v/>
      </c>
      <c r="O6829">
        <f>IF(B6829,ROUND(MAX(0,J6829*K6829*L6829*M6829*N6829),2),"")</f>
        <v/>
      </c>
    </row>
    <row r="6830">
      <c r="A6830" t="n">
        <v>6829</v>
      </c>
      <c r="B6830">
        <f>A6830&lt;=MineCount*Days</f>
        <v/>
      </c>
      <c r="C6830">
        <f>IF(B6830,INT((A6830-1)/Days)+1,"")</f>
        <v/>
      </c>
      <c r="D6830">
        <f>IF(B6830,MOD(A6830-1,Days),"")</f>
        <v/>
      </c>
      <c r="E6830" s="16">
        <f>IF(B6830,StartDate+D6830,"")</f>
        <v/>
      </c>
      <c r="F6830">
        <f>IF(B6830,MAX(MOD(SIN(Seed*0.1373+C6830*12.9898+D6830*78.233)*43758.5453,1),1E-9),"")</f>
        <v/>
      </c>
      <c r="G6830">
        <f>IF(B6830,MOD(SIN(Seed*0.5917+C6830*39.3468+D6830*11.135)*24634.6345,1),"")</f>
        <v/>
      </c>
      <c r="H6830">
        <f>IF(B6830,SQRT(-2*LN(F6830))*COS(2*PI()*G6830),"")</f>
        <v/>
      </c>
      <c r="I6830">
        <f>IF(B6830,IF(D6830=0,H6830,Rho*I6829+SQRT(1-Rho^2)*H6830),"")</f>
        <v/>
      </c>
      <c r="J6830">
        <f>IF(B6830,IF(Dist="Normal",DistA+DistB*I6830,DistA+(DistB-DistA)*NORMSDIST(I6830)),"")</f>
        <v/>
      </c>
      <c r="K6830">
        <f>IF(B6830,INDEX(MineScale,C6830),"")</f>
        <v/>
      </c>
      <c r="L6830">
        <f>IF(B6830,INDEX(Dow,1,WEEKDAY(E6830,2)),"")</f>
        <v/>
      </c>
      <c r="M6830">
        <f>IF(B6830,(1+Trend)^D6830,"")</f>
        <v/>
      </c>
      <c r="N6830">
        <f>IF(B6830,EXP(SUMPRODUCT(LN(1+(EvEff-1)*INDEX(Affected,0,C6830)*EXP(-((E6830-EvCenter)^2)/(2*EvSigma^2))))),"")</f>
        <v/>
      </c>
      <c r="O6830">
        <f>IF(B6830,ROUND(MAX(0,J6830*K6830*L6830*M6830*N6830),2),"")</f>
        <v/>
      </c>
    </row>
    <row r="6831">
      <c r="A6831" t="n">
        <v>6830</v>
      </c>
      <c r="B6831">
        <f>A6831&lt;=MineCount*Days</f>
        <v/>
      </c>
      <c r="C6831">
        <f>IF(B6831,INT((A6831-1)/Days)+1,"")</f>
        <v/>
      </c>
      <c r="D6831">
        <f>IF(B6831,MOD(A6831-1,Days),"")</f>
        <v/>
      </c>
      <c r="E6831" s="16">
        <f>IF(B6831,StartDate+D6831,"")</f>
        <v/>
      </c>
      <c r="F6831">
        <f>IF(B6831,MAX(MOD(SIN(Seed*0.1373+C6831*12.9898+D6831*78.233)*43758.5453,1),1E-9),"")</f>
        <v/>
      </c>
      <c r="G6831">
        <f>IF(B6831,MOD(SIN(Seed*0.5917+C6831*39.3468+D6831*11.135)*24634.6345,1),"")</f>
        <v/>
      </c>
      <c r="H6831">
        <f>IF(B6831,SQRT(-2*LN(F6831))*COS(2*PI()*G6831),"")</f>
        <v/>
      </c>
      <c r="I6831">
        <f>IF(B6831,IF(D6831=0,H6831,Rho*I6830+SQRT(1-Rho^2)*H6831),"")</f>
        <v/>
      </c>
      <c r="J6831">
        <f>IF(B6831,IF(Dist="Normal",DistA+DistB*I6831,DistA+(DistB-DistA)*NORMSDIST(I6831)),"")</f>
        <v/>
      </c>
      <c r="K6831">
        <f>IF(B6831,INDEX(MineScale,C6831),"")</f>
        <v/>
      </c>
      <c r="L6831">
        <f>IF(B6831,INDEX(Dow,1,WEEKDAY(E6831,2)),"")</f>
        <v/>
      </c>
      <c r="M6831">
        <f>IF(B6831,(1+Trend)^D6831,"")</f>
        <v/>
      </c>
      <c r="N6831">
        <f>IF(B6831,EXP(SUMPRODUCT(LN(1+(EvEff-1)*INDEX(Affected,0,C6831)*EXP(-((E6831-EvCenter)^2)/(2*EvSigma^2))))),"")</f>
        <v/>
      </c>
      <c r="O6831">
        <f>IF(B6831,ROUND(MAX(0,J6831*K6831*L6831*M6831*N6831),2),"")</f>
        <v/>
      </c>
    </row>
    <row r="6832">
      <c r="A6832" t="n">
        <v>6831</v>
      </c>
      <c r="B6832">
        <f>A6832&lt;=MineCount*Days</f>
        <v/>
      </c>
      <c r="C6832">
        <f>IF(B6832,INT((A6832-1)/Days)+1,"")</f>
        <v/>
      </c>
      <c r="D6832">
        <f>IF(B6832,MOD(A6832-1,Days),"")</f>
        <v/>
      </c>
      <c r="E6832" s="16">
        <f>IF(B6832,StartDate+D6832,"")</f>
        <v/>
      </c>
      <c r="F6832">
        <f>IF(B6832,MAX(MOD(SIN(Seed*0.1373+C6832*12.9898+D6832*78.233)*43758.5453,1),1E-9),"")</f>
        <v/>
      </c>
      <c r="G6832">
        <f>IF(B6832,MOD(SIN(Seed*0.5917+C6832*39.3468+D6832*11.135)*24634.6345,1),"")</f>
        <v/>
      </c>
      <c r="H6832">
        <f>IF(B6832,SQRT(-2*LN(F6832))*COS(2*PI()*G6832),"")</f>
        <v/>
      </c>
      <c r="I6832">
        <f>IF(B6832,IF(D6832=0,H6832,Rho*I6831+SQRT(1-Rho^2)*H6832),"")</f>
        <v/>
      </c>
      <c r="J6832">
        <f>IF(B6832,IF(Dist="Normal",DistA+DistB*I6832,DistA+(DistB-DistA)*NORMSDIST(I6832)),"")</f>
        <v/>
      </c>
      <c r="K6832">
        <f>IF(B6832,INDEX(MineScale,C6832),"")</f>
        <v/>
      </c>
      <c r="L6832">
        <f>IF(B6832,INDEX(Dow,1,WEEKDAY(E6832,2)),"")</f>
        <v/>
      </c>
      <c r="M6832">
        <f>IF(B6832,(1+Trend)^D6832,"")</f>
        <v/>
      </c>
      <c r="N6832">
        <f>IF(B6832,EXP(SUMPRODUCT(LN(1+(EvEff-1)*INDEX(Affected,0,C6832)*EXP(-((E6832-EvCenter)^2)/(2*EvSigma^2))))),"")</f>
        <v/>
      </c>
      <c r="O6832">
        <f>IF(B6832,ROUND(MAX(0,J6832*K6832*L6832*M6832*N6832),2),"")</f>
        <v/>
      </c>
    </row>
    <row r="6833">
      <c r="A6833" t="n">
        <v>6832</v>
      </c>
      <c r="B6833">
        <f>A6833&lt;=MineCount*Days</f>
        <v/>
      </c>
      <c r="C6833">
        <f>IF(B6833,INT((A6833-1)/Days)+1,"")</f>
        <v/>
      </c>
      <c r="D6833">
        <f>IF(B6833,MOD(A6833-1,Days),"")</f>
        <v/>
      </c>
      <c r="E6833" s="16">
        <f>IF(B6833,StartDate+D6833,"")</f>
        <v/>
      </c>
      <c r="F6833">
        <f>IF(B6833,MAX(MOD(SIN(Seed*0.1373+C6833*12.9898+D6833*78.233)*43758.5453,1),1E-9),"")</f>
        <v/>
      </c>
      <c r="G6833">
        <f>IF(B6833,MOD(SIN(Seed*0.5917+C6833*39.3468+D6833*11.135)*24634.6345,1),"")</f>
        <v/>
      </c>
      <c r="H6833">
        <f>IF(B6833,SQRT(-2*LN(F6833))*COS(2*PI()*G6833),"")</f>
        <v/>
      </c>
      <c r="I6833">
        <f>IF(B6833,IF(D6833=0,H6833,Rho*I6832+SQRT(1-Rho^2)*H6833),"")</f>
        <v/>
      </c>
      <c r="J6833">
        <f>IF(B6833,IF(Dist="Normal",DistA+DistB*I6833,DistA+(DistB-DistA)*NORMSDIST(I6833)),"")</f>
        <v/>
      </c>
      <c r="K6833">
        <f>IF(B6833,INDEX(MineScale,C6833),"")</f>
        <v/>
      </c>
      <c r="L6833">
        <f>IF(B6833,INDEX(Dow,1,WEEKDAY(E6833,2)),"")</f>
        <v/>
      </c>
      <c r="M6833">
        <f>IF(B6833,(1+Trend)^D6833,"")</f>
        <v/>
      </c>
      <c r="N6833">
        <f>IF(B6833,EXP(SUMPRODUCT(LN(1+(EvEff-1)*INDEX(Affected,0,C6833)*EXP(-((E6833-EvCenter)^2)/(2*EvSigma^2))))),"")</f>
        <v/>
      </c>
      <c r="O6833">
        <f>IF(B6833,ROUND(MAX(0,J6833*K6833*L6833*M6833*N6833),2),"")</f>
        <v/>
      </c>
    </row>
    <row r="6834">
      <c r="A6834" t="n">
        <v>6833</v>
      </c>
      <c r="B6834">
        <f>A6834&lt;=MineCount*Days</f>
        <v/>
      </c>
      <c r="C6834">
        <f>IF(B6834,INT((A6834-1)/Days)+1,"")</f>
        <v/>
      </c>
      <c r="D6834">
        <f>IF(B6834,MOD(A6834-1,Days),"")</f>
        <v/>
      </c>
      <c r="E6834" s="16">
        <f>IF(B6834,StartDate+D6834,"")</f>
        <v/>
      </c>
      <c r="F6834">
        <f>IF(B6834,MAX(MOD(SIN(Seed*0.1373+C6834*12.9898+D6834*78.233)*43758.5453,1),1E-9),"")</f>
        <v/>
      </c>
      <c r="G6834">
        <f>IF(B6834,MOD(SIN(Seed*0.5917+C6834*39.3468+D6834*11.135)*24634.6345,1),"")</f>
        <v/>
      </c>
      <c r="H6834">
        <f>IF(B6834,SQRT(-2*LN(F6834))*COS(2*PI()*G6834),"")</f>
        <v/>
      </c>
      <c r="I6834">
        <f>IF(B6834,IF(D6834=0,H6834,Rho*I6833+SQRT(1-Rho^2)*H6834),"")</f>
        <v/>
      </c>
      <c r="J6834">
        <f>IF(B6834,IF(Dist="Normal",DistA+DistB*I6834,DistA+(DistB-DistA)*NORMSDIST(I6834)),"")</f>
        <v/>
      </c>
      <c r="K6834">
        <f>IF(B6834,INDEX(MineScale,C6834),"")</f>
        <v/>
      </c>
      <c r="L6834">
        <f>IF(B6834,INDEX(Dow,1,WEEKDAY(E6834,2)),"")</f>
        <v/>
      </c>
      <c r="M6834">
        <f>IF(B6834,(1+Trend)^D6834,"")</f>
        <v/>
      </c>
      <c r="N6834">
        <f>IF(B6834,EXP(SUMPRODUCT(LN(1+(EvEff-1)*INDEX(Affected,0,C6834)*EXP(-((E6834-EvCenter)^2)/(2*EvSigma^2))))),"")</f>
        <v/>
      </c>
      <c r="O6834">
        <f>IF(B6834,ROUND(MAX(0,J6834*K6834*L6834*M6834*N6834),2),"")</f>
        <v/>
      </c>
    </row>
    <row r="6835">
      <c r="A6835" t="n">
        <v>6834</v>
      </c>
      <c r="B6835">
        <f>A6835&lt;=MineCount*Days</f>
        <v/>
      </c>
      <c r="C6835">
        <f>IF(B6835,INT((A6835-1)/Days)+1,"")</f>
        <v/>
      </c>
      <c r="D6835">
        <f>IF(B6835,MOD(A6835-1,Days),"")</f>
        <v/>
      </c>
      <c r="E6835" s="16">
        <f>IF(B6835,StartDate+D6835,"")</f>
        <v/>
      </c>
      <c r="F6835">
        <f>IF(B6835,MAX(MOD(SIN(Seed*0.1373+C6835*12.9898+D6835*78.233)*43758.5453,1),1E-9),"")</f>
        <v/>
      </c>
      <c r="G6835">
        <f>IF(B6835,MOD(SIN(Seed*0.5917+C6835*39.3468+D6835*11.135)*24634.6345,1),"")</f>
        <v/>
      </c>
      <c r="H6835">
        <f>IF(B6835,SQRT(-2*LN(F6835))*COS(2*PI()*G6835),"")</f>
        <v/>
      </c>
      <c r="I6835">
        <f>IF(B6835,IF(D6835=0,H6835,Rho*I6834+SQRT(1-Rho^2)*H6835),"")</f>
        <v/>
      </c>
      <c r="J6835">
        <f>IF(B6835,IF(Dist="Normal",DistA+DistB*I6835,DistA+(DistB-DistA)*NORMSDIST(I6835)),"")</f>
        <v/>
      </c>
      <c r="K6835">
        <f>IF(B6835,INDEX(MineScale,C6835),"")</f>
        <v/>
      </c>
      <c r="L6835">
        <f>IF(B6835,INDEX(Dow,1,WEEKDAY(E6835,2)),"")</f>
        <v/>
      </c>
      <c r="M6835">
        <f>IF(B6835,(1+Trend)^D6835,"")</f>
        <v/>
      </c>
      <c r="N6835">
        <f>IF(B6835,EXP(SUMPRODUCT(LN(1+(EvEff-1)*INDEX(Affected,0,C6835)*EXP(-((E6835-EvCenter)^2)/(2*EvSigma^2))))),"")</f>
        <v/>
      </c>
      <c r="O6835">
        <f>IF(B6835,ROUND(MAX(0,J6835*K6835*L6835*M6835*N6835),2),"")</f>
        <v/>
      </c>
    </row>
    <row r="6836">
      <c r="A6836" t="n">
        <v>6835</v>
      </c>
      <c r="B6836">
        <f>A6836&lt;=MineCount*Days</f>
        <v/>
      </c>
      <c r="C6836">
        <f>IF(B6836,INT((A6836-1)/Days)+1,"")</f>
        <v/>
      </c>
      <c r="D6836">
        <f>IF(B6836,MOD(A6836-1,Days),"")</f>
        <v/>
      </c>
      <c r="E6836" s="16">
        <f>IF(B6836,StartDate+D6836,"")</f>
        <v/>
      </c>
      <c r="F6836">
        <f>IF(B6836,MAX(MOD(SIN(Seed*0.1373+C6836*12.9898+D6836*78.233)*43758.5453,1),1E-9),"")</f>
        <v/>
      </c>
      <c r="G6836">
        <f>IF(B6836,MOD(SIN(Seed*0.5917+C6836*39.3468+D6836*11.135)*24634.6345,1),"")</f>
        <v/>
      </c>
      <c r="H6836">
        <f>IF(B6836,SQRT(-2*LN(F6836))*COS(2*PI()*G6836),"")</f>
        <v/>
      </c>
      <c r="I6836">
        <f>IF(B6836,IF(D6836=0,H6836,Rho*I6835+SQRT(1-Rho^2)*H6836),"")</f>
        <v/>
      </c>
      <c r="J6836">
        <f>IF(B6836,IF(Dist="Normal",DistA+DistB*I6836,DistA+(DistB-DistA)*NORMSDIST(I6836)),"")</f>
        <v/>
      </c>
      <c r="K6836">
        <f>IF(B6836,INDEX(MineScale,C6836),"")</f>
        <v/>
      </c>
      <c r="L6836">
        <f>IF(B6836,INDEX(Dow,1,WEEKDAY(E6836,2)),"")</f>
        <v/>
      </c>
      <c r="M6836">
        <f>IF(B6836,(1+Trend)^D6836,"")</f>
        <v/>
      </c>
      <c r="N6836">
        <f>IF(B6836,EXP(SUMPRODUCT(LN(1+(EvEff-1)*INDEX(Affected,0,C6836)*EXP(-((E6836-EvCenter)^2)/(2*EvSigma^2))))),"")</f>
        <v/>
      </c>
      <c r="O6836">
        <f>IF(B6836,ROUND(MAX(0,J6836*K6836*L6836*M6836*N6836),2),"")</f>
        <v/>
      </c>
    </row>
    <row r="6837">
      <c r="A6837" t="n">
        <v>6836</v>
      </c>
      <c r="B6837">
        <f>A6837&lt;=MineCount*Days</f>
        <v/>
      </c>
      <c r="C6837">
        <f>IF(B6837,INT((A6837-1)/Days)+1,"")</f>
        <v/>
      </c>
      <c r="D6837">
        <f>IF(B6837,MOD(A6837-1,Days),"")</f>
        <v/>
      </c>
      <c r="E6837" s="16">
        <f>IF(B6837,StartDate+D6837,"")</f>
        <v/>
      </c>
      <c r="F6837">
        <f>IF(B6837,MAX(MOD(SIN(Seed*0.1373+C6837*12.9898+D6837*78.233)*43758.5453,1),1E-9),"")</f>
        <v/>
      </c>
      <c r="G6837">
        <f>IF(B6837,MOD(SIN(Seed*0.5917+C6837*39.3468+D6837*11.135)*24634.6345,1),"")</f>
        <v/>
      </c>
      <c r="H6837">
        <f>IF(B6837,SQRT(-2*LN(F6837))*COS(2*PI()*G6837),"")</f>
        <v/>
      </c>
      <c r="I6837">
        <f>IF(B6837,IF(D6837=0,H6837,Rho*I6836+SQRT(1-Rho^2)*H6837),"")</f>
        <v/>
      </c>
      <c r="J6837">
        <f>IF(B6837,IF(Dist="Normal",DistA+DistB*I6837,DistA+(DistB-DistA)*NORMSDIST(I6837)),"")</f>
        <v/>
      </c>
      <c r="K6837">
        <f>IF(B6837,INDEX(MineScale,C6837),"")</f>
        <v/>
      </c>
      <c r="L6837">
        <f>IF(B6837,INDEX(Dow,1,WEEKDAY(E6837,2)),"")</f>
        <v/>
      </c>
      <c r="M6837">
        <f>IF(B6837,(1+Trend)^D6837,"")</f>
        <v/>
      </c>
      <c r="N6837">
        <f>IF(B6837,EXP(SUMPRODUCT(LN(1+(EvEff-1)*INDEX(Affected,0,C6837)*EXP(-((E6837-EvCenter)^2)/(2*EvSigma^2))))),"")</f>
        <v/>
      </c>
      <c r="O6837">
        <f>IF(B6837,ROUND(MAX(0,J6837*K6837*L6837*M6837*N6837),2),"")</f>
        <v/>
      </c>
    </row>
    <row r="6838">
      <c r="A6838" t="n">
        <v>6837</v>
      </c>
      <c r="B6838">
        <f>A6838&lt;=MineCount*Days</f>
        <v/>
      </c>
      <c r="C6838">
        <f>IF(B6838,INT((A6838-1)/Days)+1,"")</f>
        <v/>
      </c>
      <c r="D6838">
        <f>IF(B6838,MOD(A6838-1,Days),"")</f>
        <v/>
      </c>
      <c r="E6838" s="16">
        <f>IF(B6838,StartDate+D6838,"")</f>
        <v/>
      </c>
      <c r="F6838">
        <f>IF(B6838,MAX(MOD(SIN(Seed*0.1373+C6838*12.9898+D6838*78.233)*43758.5453,1),1E-9),"")</f>
        <v/>
      </c>
      <c r="G6838">
        <f>IF(B6838,MOD(SIN(Seed*0.5917+C6838*39.3468+D6838*11.135)*24634.6345,1),"")</f>
        <v/>
      </c>
      <c r="H6838">
        <f>IF(B6838,SQRT(-2*LN(F6838))*COS(2*PI()*G6838),"")</f>
        <v/>
      </c>
      <c r="I6838">
        <f>IF(B6838,IF(D6838=0,H6838,Rho*I6837+SQRT(1-Rho^2)*H6838),"")</f>
        <v/>
      </c>
      <c r="J6838">
        <f>IF(B6838,IF(Dist="Normal",DistA+DistB*I6838,DistA+(DistB-DistA)*NORMSDIST(I6838)),"")</f>
        <v/>
      </c>
      <c r="K6838">
        <f>IF(B6838,INDEX(MineScale,C6838),"")</f>
        <v/>
      </c>
      <c r="L6838">
        <f>IF(B6838,INDEX(Dow,1,WEEKDAY(E6838,2)),"")</f>
        <v/>
      </c>
      <c r="M6838">
        <f>IF(B6838,(1+Trend)^D6838,"")</f>
        <v/>
      </c>
      <c r="N6838">
        <f>IF(B6838,EXP(SUMPRODUCT(LN(1+(EvEff-1)*INDEX(Affected,0,C6838)*EXP(-((E6838-EvCenter)^2)/(2*EvSigma^2))))),"")</f>
        <v/>
      </c>
      <c r="O6838">
        <f>IF(B6838,ROUND(MAX(0,J6838*K6838*L6838*M6838*N6838),2),"")</f>
        <v/>
      </c>
    </row>
    <row r="6839">
      <c r="A6839" t="n">
        <v>6838</v>
      </c>
      <c r="B6839">
        <f>A6839&lt;=MineCount*Days</f>
        <v/>
      </c>
      <c r="C6839">
        <f>IF(B6839,INT((A6839-1)/Days)+1,"")</f>
        <v/>
      </c>
      <c r="D6839">
        <f>IF(B6839,MOD(A6839-1,Days),"")</f>
        <v/>
      </c>
      <c r="E6839" s="16">
        <f>IF(B6839,StartDate+D6839,"")</f>
        <v/>
      </c>
      <c r="F6839">
        <f>IF(B6839,MAX(MOD(SIN(Seed*0.1373+C6839*12.9898+D6839*78.233)*43758.5453,1),1E-9),"")</f>
        <v/>
      </c>
      <c r="G6839">
        <f>IF(B6839,MOD(SIN(Seed*0.5917+C6839*39.3468+D6839*11.135)*24634.6345,1),"")</f>
        <v/>
      </c>
      <c r="H6839">
        <f>IF(B6839,SQRT(-2*LN(F6839))*COS(2*PI()*G6839),"")</f>
        <v/>
      </c>
      <c r="I6839">
        <f>IF(B6839,IF(D6839=0,H6839,Rho*I6838+SQRT(1-Rho^2)*H6839),"")</f>
        <v/>
      </c>
      <c r="J6839">
        <f>IF(B6839,IF(Dist="Normal",DistA+DistB*I6839,DistA+(DistB-DistA)*NORMSDIST(I6839)),"")</f>
        <v/>
      </c>
      <c r="K6839">
        <f>IF(B6839,INDEX(MineScale,C6839),"")</f>
        <v/>
      </c>
      <c r="L6839">
        <f>IF(B6839,INDEX(Dow,1,WEEKDAY(E6839,2)),"")</f>
        <v/>
      </c>
      <c r="M6839">
        <f>IF(B6839,(1+Trend)^D6839,"")</f>
        <v/>
      </c>
      <c r="N6839">
        <f>IF(B6839,EXP(SUMPRODUCT(LN(1+(EvEff-1)*INDEX(Affected,0,C6839)*EXP(-((E6839-EvCenter)^2)/(2*EvSigma^2))))),"")</f>
        <v/>
      </c>
      <c r="O6839">
        <f>IF(B6839,ROUND(MAX(0,J6839*K6839*L6839*M6839*N6839),2),"")</f>
        <v/>
      </c>
    </row>
    <row r="6840">
      <c r="A6840" t="n">
        <v>6839</v>
      </c>
      <c r="B6840">
        <f>A6840&lt;=MineCount*Days</f>
        <v/>
      </c>
      <c r="C6840">
        <f>IF(B6840,INT((A6840-1)/Days)+1,"")</f>
        <v/>
      </c>
      <c r="D6840">
        <f>IF(B6840,MOD(A6840-1,Days),"")</f>
        <v/>
      </c>
      <c r="E6840" s="16">
        <f>IF(B6840,StartDate+D6840,"")</f>
        <v/>
      </c>
      <c r="F6840">
        <f>IF(B6840,MAX(MOD(SIN(Seed*0.1373+C6840*12.9898+D6840*78.233)*43758.5453,1),1E-9),"")</f>
        <v/>
      </c>
      <c r="G6840">
        <f>IF(B6840,MOD(SIN(Seed*0.5917+C6840*39.3468+D6840*11.135)*24634.6345,1),"")</f>
        <v/>
      </c>
      <c r="H6840">
        <f>IF(B6840,SQRT(-2*LN(F6840))*COS(2*PI()*G6840),"")</f>
        <v/>
      </c>
      <c r="I6840">
        <f>IF(B6840,IF(D6840=0,H6840,Rho*I6839+SQRT(1-Rho^2)*H6840),"")</f>
        <v/>
      </c>
      <c r="J6840">
        <f>IF(B6840,IF(Dist="Normal",DistA+DistB*I6840,DistA+(DistB-DistA)*NORMSDIST(I6840)),"")</f>
        <v/>
      </c>
      <c r="K6840">
        <f>IF(B6840,INDEX(MineScale,C6840),"")</f>
        <v/>
      </c>
      <c r="L6840">
        <f>IF(B6840,INDEX(Dow,1,WEEKDAY(E6840,2)),"")</f>
        <v/>
      </c>
      <c r="M6840">
        <f>IF(B6840,(1+Trend)^D6840,"")</f>
        <v/>
      </c>
      <c r="N6840">
        <f>IF(B6840,EXP(SUMPRODUCT(LN(1+(EvEff-1)*INDEX(Affected,0,C6840)*EXP(-((E6840-EvCenter)^2)/(2*EvSigma^2))))),"")</f>
        <v/>
      </c>
      <c r="O6840">
        <f>IF(B6840,ROUND(MAX(0,J6840*K6840*L6840*M6840*N6840),2),"")</f>
        <v/>
      </c>
    </row>
    <row r="6841">
      <c r="A6841" t="n">
        <v>6840</v>
      </c>
      <c r="B6841">
        <f>A6841&lt;=MineCount*Days</f>
        <v/>
      </c>
      <c r="C6841">
        <f>IF(B6841,INT((A6841-1)/Days)+1,"")</f>
        <v/>
      </c>
      <c r="D6841">
        <f>IF(B6841,MOD(A6841-1,Days),"")</f>
        <v/>
      </c>
      <c r="E6841" s="16">
        <f>IF(B6841,StartDate+D6841,"")</f>
        <v/>
      </c>
      <c r="F6841">
        <f>IF(B6841,MAX(MOD(SIN(Seed*0.1373+C6841*12.9898+D6841*78.233)*43758.5453,1),1E-9),"")</f>
        <v/>
      </c>
      <c r="G6841">
        <f>IF(B6841,MOD(SIN(Seed*0.5917+C6841*39.3468+D6841*11.135)*24634.6345,1),"")</f>
        <v/>
      </c>
      <c r="H6841">
        <f>IF(B6841,SQRT(-2*LN(F6841))*COS(2*PI()*G6841),"")</f>
        <v/>
      </c>
      <c r="I6841">
        <f>IF(B6841,IF(D6841=0,H6841,Rho*I6840+SQRT(1-Rho^2)*H6841),"")</f>
        <v/>
      </c>
      <c r="J6841">
        <f>IF(B6841,IF(Dist="Normal",DistA+DistB*I6841,DistA+(DistB-DistA)*NORMSDIST(I6841)),"")</f>
        <v/>
      </c>
      <c r="K6841">
        <f>IF(B6841,INDEX(MineScale,C6841),"")</f>
        <v/>
      </c>
      <c r="L6841">
        <f>IF(B6841,INDEX(Dow,1,WEEKDAY(E6841,2)),"")</f>
        <v/>
      </c>
      <c r="M6841">
        <f>IF(B6841,(1+Trend)^D6841,"")</f>
        <v/>
      </c>
      <c r="N6841">
        <f>IF(B6841,EXP(SUMPRODUCT(LN(1+(EvEff-1)*INDEX(Affected,0,C6841)*EXP(-((E6841-EvCenter)^2)/(2*EvSigma^2))))),"")</f>
        <v/>
      </c>
      <c r="O6841">
        <f>IF(B6841,ROUND(MAX(0,J6841*K6841*L6841*M6841*N6841),2),"")</f>
        <v/>
      </c>
    </row>
    <row r="6842">
      <c r="A6842" t="n">
        <v>6841</v>
      </c>
      <c r="B6842">
        <f>A6842&lt;=MineCount*Days</f>
        <v/>
      </c>
      <c r="C6842">
        <f>IF(B6842,INT((A6842-1)/Days)+1,"")</f>
        <v/>
      </c>
      <c r="D6842">
        <f>IF(B6842,MOD(A6842-1,Days),"")</f>
        <v/>
      </c>
      <c r="E6842" s="16">
        <f>IF(B6842,StartDate+D6842,"")</f>
        <v/>
      </c>
      <c r="F6842">
        <f>IF(B6842,MAX(MOD(SIN(Seed*0.1373+C6842*12.9898+D6842*78.233)*43758.5453,1),1E-9),"")</f>
        <v/>
      </c>
      <c r="G6842">
        <f>IF(B6842,MOD(SIN(Seed*0.5917+C6842*39.3468+D6842*11.135)*24634.6345,1),"")</f>
        <v/>
      </c>
      <c r="H6842">
        <f>IF(B6842,SQRT(-2*LN(F6842))*COS(2*PI()*G6842),"")</f>
        <v/>
      </c>
      <c r="I6842">
        <f>IF(B6842,IF(D6842=0,H6842,Rho*I6841+SQRT(1-Rho^2)*H6842),"")</f>
        <v/>
      </c>
      <c r="J6842">
        <f>IF(B6842,IF(Dist="Normal",DistA+DistB*I6842,DistA+(DistB-DistA)*NORMSDIST(I6842)),"")</f>
        <v/>
      </c>
      <c r="K6842">
        <f>IF(B6842,INDEX(MineScale,C6842),"")</f>
        <v/>
      </c>
      <c r="L6842">
        <f>IF(B6842,INDEX(Dow,1,WEEKDAY(E6842,2)),"")</f>
        <v/>
      </c>
      <c r="M6842">
        <f>IF(B6842,(1+Trend)^D6842,"")</f>
        <v/>
      </c>
      <c r="N6842">
        <f>IF(B6842,EXP(SUMPRODUCT(LN(1+(EvEff-1)*INDEX(Affected,0,C6842)*EXP(-((E6842-EvCenter)^2)/(2*EvSigma^2))))),"")</f>
        <v/>
      </c>
      <c r="O6842">
        <f>IF(B6842,ROUND(MAX(0,J6842*K6842*L6842*M6842*N6842),2),"")</f>
        <v/>
      </c>
    </row>
    <row r="6843">
      <c r="A6843" t="n">
        <v>6842</v>
      </c>
      <c r="B6843">
        <f>A6843&lt;=MineCount*Days</f>
        <v/>
      </c>
      <c r="C6843">
        <f>IF(B6843,INT((A6843-1)/Days)+1,"")</f>
        <v/>
      </c>
      <c r="D6843">
        <f>IF(B6843,MOD(A6843-1,Days),"")</f>
        <v/>
      </c>
      <c r="E6843" s="16">
        <f>IF(B6843,StartDate+D6843,"")</f>
        <v/>
      </c>
      <c r="F6843">
        <f>IF(B6843,MAX(MOD(SIN(Seed*0.1373+C6843*12.9898+D6843*78.233)*43758.5453,1),1E-9),"")</f>
        <v/>
      </c>
      <c r="G6843">
        <f>IF(B6843,MOD(SIN(Seed*0.5917+C6843*39.3468+D6843*11.135)*24634.6345,1),"")</f>
        <v/>
      </c>
      <c r="H6843">
        <f>IF(B6843,SQRT(-2*LN(F6843))*COS(2*PI()*G6843),"")</f>
        <v/>
      </c>
      <c r="I6843">
        <f>IF(B6843,IF(D6843=0,H6843,Rho*I6842+SQRT(1-Rho^2)*H6843),"")</f>
        <v/>
      </c>
      <c r="J6843">
        <f>IF(B6843,IF(Dist="Normal",DistA+DistB*I6843,DistA+(DistB-DistA)*NORMSDIST(I6843)),"")</f>
        <v/>
      </c>
      <c r="K6843">
        <f>IF(B6843,INDEX(MineScale,C6843),"")</f>
        <v/>
      </c>
      <c r="L6843">
        <f>IF(B6843,INDEX(Dow,1,WEEKDAY(E6843,2)),"")</f>
        <v/>
      </c>
      <c r="M6843">
        <f>IF(B6843,(1+Trend)^D6843,"")</f>
        <v/>
      </c>
      <c r="N6843">
        <f>IF(B6843,EXP(SUMPRODUCT(LN(1+(EvEff-1)*INDEX(Affected,0,C6843)*EXP(-((E6843-EvCenter)^2)/(2*EvSigma^2))))),"")</f>
        <v/>
      </c>
      <c r="O6843">
        <f>IF(B6843,ROUND(MAX(0,J6843*K6843*L6843*M6843*N6843),2),"")</f>
        <v/>
      </c>
    </row>
    <row r="6844">
      <c r="A6844" t="n">
        <v>6843</v>
      </c>
      <c r="B6844">
        <f>A6844&lt;=MineCount*Days</f>
        <v/>
      </c>
      <c r="C6844">
        <f>IF(B6844,INT((A6844-1)/Days)+1,"")</f>
        <v/>
      </c>
      <c r="D6844">
        <f>IF(B6844,MOD(A6844-1,Days),"")</f>
        <v/>
      </c>
      <c r="E6844" s="16">
        <f>IF(B6844,StartDate+D6844,"")</f>
        <v/>
      </c>
      <c r="F6844">
        <f>IF(B6844,MAX(MOD(SIN(Seed*0.1373+C6844*12.9898+D6844*78.233)*43758.5453,1),1E-9),"")</f>
        <v/>
      </c>
      <c r="G6844">
        <f>IF(B6844,MOD(SIN(Seed*0.5917+C6844*39.3468+D6844*11.135)*24634.6345,1),"")</f>
        <v/>
      </c>
      <c r="H6844">
        <f>IF(B6844,SQRT(-2*LN(F6844))*COS(2*PI()*G6844),"")</f>
        <v/>
      </c>
      <c r="I6844">
        <f>IF(B6844,IF(D6844=0,H6844,Rho*I6843+SQRT(1-Rho^2)*H6844),"")</f>
        <v/>
      </c>
      <c r="J6844">
        <f>IF(B6844,IF(Dist="Normal",DistA+DistB*I6844,DistA+(DistB-DistA)*NORMSDIST(I6844)),"")</f>
        <v/>
      </c>
      <c r="K6844">
        <f>IF(B6844,INDEX(MineScale,C6844),"")</f>
        <v/>
      </c>
      <c r="L6844">
        <f>IF(B6844,INDEX(Dow,1,WEEKDAY(E6844,2)),"")</f>
        <v/>
      </c>
      <c r="M6844">
        <f>IF(B6844,(1+Trend)^D6844,"")</f>
        <v/>
      </c>
      <c r="N6844">
        <f>IF(B6844,EXP(SUMPRODUCT(LN(1+(EvEff-1)*INDEX(Affected,0,C6844)*EXP(-((E6844-EvCenter)^2)/(2*EvSigma^2))))),"")</f>
        <v/>
      </c>
      <c r="O6844">
        <f>IF(B6844,ROUND(MAX(0,J6844*K6844*L6844*M6844*N6844),2),"")</f>
        <v/>
      </c>
    </row>
    <row r="6845">
      <c r="A6845" t="n">
        <v>6844</v>
      </c>
      <c r="B6845">
        <f>A6845&lt;=MineCount*Days</f>
        <v/>
      </c>
      <c r="C6845">
        <f>IF(B6845,INT((A6845-1)/Days)+1,"")</f>
        <v/>
      </c>
      <c r="D6845">
        <f>IF(B6845,MOD(A6845-1,Days),"")</f>
        <v/>
      </c>
      <c r="E6845" s="16">
        <f>IF(B6845,StartDate+D6845,"")</f>
        <v/>
      </c>
      <c r="F6845">
        <f>IF(B6845,MAX(MOD(SIN(Seed*0.1373+C6845*12.9898+D6845*78.233)*43758.5453,1),1E-9),"")</f>
        <v/>
      </c>
      <c r="G6845">
        <f>IF(B6845,MOD(SIN(Seed*0.5917+C6845*39.3468+D6845*11.135)*24634.6345,1),"")</f>
        <v/>
      </c>
      <c r="H6845">
        <f>IF(B6845,SQRT(-2*LN(F6845))*COS(2*PI()*G6845),"")</f>
        <v/>
      </c>
      <c r="I6845">
        <f>IF(B6845,IF(D6845=0,H6845,Rho*I6844+SQRT(1-Rho^2)*H6845),"")</f>
        <v/>
      </c>
      <c r="J6845">
        <f>IF(B6845,IF(Dist="Normal",DistA+DistB*I6845,DistA+(DistB-DistA)*NORMSDIST(I6845)),"")</f>
        <v/>
      </c>
      <c r="K6845">
        <f>IF(B6845,INDEX(MineScale,C6845),"")</f>
        <v/>
      </c>
      <c r="L6845">
        <f>IF(B6845,INDEX(Dow,1,WEEKDAY(E6845,2)),"")</f>
        <v/>
      </c>
      <c r="M6845">
        <f>IF(B6845,(1+Trend)^D6845,"")</f>
        <v/>
      </c>
      <c r="N6845">
        <f>IF(B6845,EXP(SUMPRODUCT(LN(1+(EvEff-1)*INDEX(Affected,0,C6845)*EXP(-((E6845-EvCenter)^2)/(2*EvSigma^2))))),"")</f>
        <v/>
      </c>
      <c r="O6845">
        <f>IF(B6845,ROUND(MAX(0,J6845*K6845*L6845*M6845*N6845),2),"")</f>
        <v/>
      </c>
    </row>
    <row r="6846">
      <c r="A6846" t="n">
        <v>6845</v>
      </c>
      <c r="B6846">
        <f>A6846&lt;=MineCount*Days</f>
        <v/>
      </c>
      <c r="C6846">
        <f>IF(B6846,INT((A6846-1)/Days)+1,"")</f>
        <v/>
      </c>
      <c r="D6846">
        <f>IF(B6846,MOD(A6846-1,Days),"")</f>
        <v/>
      </c>
      <c r="E6846" s="16">
        <f>IF(B6846,StartDate+D6846,"")</f>
        <v/>
      </c>
      <c r="F6846">
        <f>IF(B6846,MAX(MOD(SIN(Seed*0.1373+C6846*12.9898+D6846*78.233)*43758.5453,1),1E-9),"")</f>
        <v/>
      </c>
      <c r="G6846">
        <f>IF(B6846,MOD(SIN(Seed*0.5917+C6846*39.3468+D6846*11.135)*24634.6345,1),"")</f>
        <v/>
      </c>
      <c r="H6846">
        <f>IF(B6846,SQRT(-2*LN(F6846))*COS(2*PI()*G6846),"")</f>
        <v/>
      </c>
      <c r="I6846">
        <f>IF(B6846,IF(D6846=0,H6846,Rho*I6845+SQRT(1-Rho^2)*H6846),"")</f>
        <v/>
      </c>
      <c r="J6846">
        <f>IF(B6846,IF(Dist="Normal",DistA+DistB*I6846,DistA+(DistB-DistA)*NORMSDIST(I6846)),"")</f>
        <v/>
      </c>
      <c r="K6846">
        <f>IF(B6846,INDEX(MineScale,C6846),"")</f>
        <v/>
      </c>
      <c r="L6846">
        <f>IF(B6846,INDEX(Dow,1,WEEKDAY(E6846,2)),"")</f>
        <v/>
      </c>
      <c r="M6846">
        <f>IF(B6846,(1+Trend)^D6846,"")</f>
        <v/>
      </c>
      <c r="N6846">
        <f>IF(B6846,EXP(SUMPRODUCT(LN(1+(EvEff-1)*INDEX(Affected,0,C6846)*EXP(-((E6846-EvCenter)^2)/(2*EvSigma^2))))),"")</f>
        <v/>
      </c>
      <c r="O6846">
        <f>IF(B6846,ROUND(MAX(0,J6846*K6846*L6846*M6846*N6846),2),"")</f>
        <v/>
      </c>
    </row>
    <row r="6847">
      <c r="A6847" t="n">
        <v>6846</v>
      </c>
      <c r="B6847">
        <f>A6847&lt;=MineCount*Days</f>
        <v/>
      </c>
      <c r="C6847">
        <f>IF(B6847,INT((A6847-1)/Days)+1,"")</f>
        <v/>
      </c>
      <c r="D6847">
        <f>IF(B6847,MOD(A6847-1,Days),"")</f>
        <v/>
      </c>
      <c r="E6847" s="16">
        <f>IF(B6847,StartDate+D6847,"")</f>
        <v/>
      </c>
      <c r="F6847">
        <f>IF(B6847,MAX(MOD(SIN(Seed*0.1373+C6847*12.9898+D6847*78.233)*43758.5453,1),1E-9),"")</f>
        <v/>
      </c>
      <c r="G6847">
        <f>IF(B6847,MOD(SIN(Seed*0.5917+C6847*39.3468+D6847*11.135)*24634.6345,1),"")</f>
        <v/>
      </c>
      <c r="H6847">
        <f>IF(B6847,SQRT(-2*LN(F6847))*COS(2*PI()*G6847),"")</f>
        <v/>
      </c>
      <c r="I6847">
        <f>IF(B6847,IF(D6847=0,H6847,Rho*I6846+SQRT(1-Rho^2)*H6847),"")</f>
        <v/>
      </c>
      <c r="J6847">
        <f>IF(B6847,IF(Dist="Normal",DistA+DistB*I6847,DistA+(DistB-DistA)*NORMSDIST(I6847)),"")</f>
        <v/>
      </c>
      <c r="K6847">
        <f>IF(B6847,INDEX(MineScale,C6847),"")</f>
        <v/>
      </c>
      <c r="L6847">
        <f>IF(B6847,INDEX(Dow,1,WEEKDAY(E6847,2)),"")</f>
        <v/>
      </c>
      <c r="M6847">
        <f>IF(B6847,(1+Trend)^D6847,"")</f>
        <v/>
      </c>
      <c r="N6847">
        <f>IF(B6847,EXP(SUMPRODUCT(LN(1+(EvEff-1)*INDEX(Affected,0,C6847)*EXP(-((E6847-EvCenter)^2)/(2*EvSigma^2))))),"")</f>
        <v/>
      </c>
      <c r="O6847">
        <f>IF(B6847,ROUND(MAX(0,J6847*K6847*L6847*M6847*N6847),2),"")</f>
        <v/>
      </c>
    </row>
    <row r="6848">
      <c r="A6848" t="n">
        <v>6847</v>
      </c>
      <c r="B6848">
        <f>A6848&lt;=MineCount*Days</f>
        <v/>
      </c>
      <c r="C6848">
        <f>IF(B6848,INT((A6848-1)/Days)+1,"")</f>
        <v/>
      </c>
      <c r="D6848">
        <f>IF(B6848,MOD(A6848-1,Days),"")</f>
        <v/>
      </c>
      <c r="E6848" s="16">
        <f>IF(B6848,StartDate+D6848,"")</f>
        <v/>
      </c>
      <c r="F6848">
        <f>IF(B6848,MAX(MOD(SIN(Seed*0.1373+C6848*12.9898+D6848*78.233)*43758.5453,1),1E-9),"")</f>
        <v/>
      </c>
      <c r="G6848">
        <f>IF(B6848,MOD(SIN(Seed*0.5917+C6848*39.3468+D6848*11.135)*24634.6345,1),"")</f>
        <v/>
      </c>
      <c r="H6848">
        <f>IF(B6848,SQRT(-2*LN(F6848))*COS(2*PI()*G6848),"")</f>
        <v/>
      </c>
      <c r="I6848">
        <f>IF(B6848,IF(D6848=0,H6848,Rho*I6847+SQRT(1-Rho^2)*H6848),"")</f>
        <v/>
      </c>
      <c r="J6848">
        <f>IF(B6848,IF(Dist="Normal",DistA+DistB*I6848,DistA+(DistB-DistA)*NORMSDIST(I6848)),"")</f>
        <v/>
      </c>
      <c r="K6848">
        <f>IF(B6848,INDEX(MineScale,C6848),"")</f>
        <v/>
      </c>
      <c r="L6848">
        <f>IF(B6848,INDEX(Dow,1,WEEKDAY(E6848,2)),"")</f>
        <v/>
      </c>
      <c r="M6848">
        <f>IF(B6848,(1+Trend)^D6848,"")</f>
        <v/>
      </c>
      <c r="N6848">
        <f>IF(B6848,EXP(SUMPRODUCT(LN(1+(EvEff-1)*INDEX(Affected,0,C6848)*EXP(-((E6848-EvCenter)^2)/(2*EvSigma^2))))),"")</f>
        <v/>
      </c>
      <c r="O6848">
        <f>IF(B6848,ROUND(MAX(0,J6848*K6848*L6848*M6848*N6848),2),"")</f>
        <v/>
      </c>
    </row>
    <row r="6849">
      <c r="A6849" t="n">
        <v>6848</v>
      </c>
      <c r="B6849">
        <f>A6849&lt;=MineCount*Days</f>
        <v/>
      </c>
      <c r="C6849">
        <f>IF(B6849,INT((A6849-1)/Days)+1,"")</f>
        <v/>
      </c>
      <c r="D6849">
        <f>IF(B6849,MOD(A6849-1,Days),"")</f>
        <v/>
      </c>
      <c r="E6849" s="16">
        <f>IF(B6849,StartDate+D6849,"")</f>
        <v/>
      </c>
      <c r="F6849">
        <f>IF(B6849,MAX(MOD(SIN(Seed*0.1373+C6849*12.9898+D6849*78.233)*43758.5453,1),1E-9),"")</f>
        <v/>
      </c>
      <c r="G6849">
        <f>IF(B6849,MOD(SIN(Seed*0.5917+C6849*39.3468+D6849*11.135)*24634.6345,1),"")</f>
        <v/>
      </c>
      <c r="H6849">
        <f>IF(B6849,SQRT(-2*LN(F6849))*COS(2*PI()*G6849),"")</f>
        <v/>
      </c>
      <c r="I6849">
        <f>IF(B6849,IF(D6849=0,H6849,Rho*I6848+SQRT(1-Rho^2)*H6849),"")</f>
        <v/>
      </c>
      <c r="J6849">
        <f>IF(B6849,IF(Dist="Normal",DistA+DistB*I6849,DistA+(DistB-DistA)*NORMSDIST(I6849)),"")</f>
        <v/>
      </c>
      <c r="K6849">
        <f>IF(B6849,INDEX(MineScale,C6849),"")</f>
        <v/>
      </c>
      <c r="L6849">
        <f>IF(B6849,INDEX(Dow,1,WEEKDAY(E6849,2)),"")</f>
        <v/>
      </c>
      <c r="M6849">
        <f>IF(B6849,(1+Trend)^D6849,"")</f>
        <v/>
      </c>
      <c r="N6849">
        <f>IF(B6849,EXP(SUMPRODUCT(LN(1+(EvEff-1)*INDEX(Affected,0,C6849)*EXP(-((E6849-EvCenter)^2)/(2*EvSigma^2))))),"")</f>
        <v/>
      </c>
      <c r="O6849">
        <f>IF(B6849,ROUND(MAX(0,J6849*K6849*L6849*M6849*N6849),2),"")</f>
        <v/>
      </c>
    </row>
    <row r="6850">
      <c r="A6850" t="n">
        <v>6849</v>
      </c>
      <c r="B6850">
        <f>A6850&lt;=MineCount*Days</f>
        <v/>
      </c>
      <c r="C6850">
        <f>IF(B6850,INT((A6850-1)/Days)+1,"")</f>
        <v/>
      </c>
      <c r="D6850">
        <f>IF(B6850,MOD(A6850-1,Days),"")</f>
        <v/>
      </c>
      <c r="E6850" s="16">
        <f>IF(B6850,StartDate+D6850,"")</f>
        <v/>
      </c>
      <c r="F6850">
        <f>IF(B6850,MAX(MOD(SIN(Seed*0.1373+C6850*12.9898+D6850*78.233)*43758.5453,1),1E-9),"")</f>
        <v/>
      </c>
      <c r="G6850">
        <f>IF(B6850,MOD(SIN(Seed*0.5917+C6850*39.3468+D6850*11.135)*24634.6345,1),"")</f>
        <v/>
      </c>
      <c r="H6850">
        <f>IF(B6850,SQRT(-2*LN(F6850))*COS(2*PI()*G6850),"")</f>
        <v/>
      </c>
      <c r="I6850">
        <f>IF(B6850,IF(D6850=0,H6850,Rho*I6849+SQRT(1-Rho^2)*H6850),"")</f>
        <v/>
      </c>
      <c r="J6850">
        <f>IF(B6850,IF(Dist="Normal",DistA+DistB*I6850,DistA+(DistB-DistA)*NORMSDIST(I6850)),"")</f>
        <v/>
      </c>
      <c r="K6850">
        <f>IF(B6850,INDEX(MineScale,C6850),"")</f>
        <v/>
      </c>
      <c r="L6850">
        <f>IF(B6850,INDEX(Dow,1,WEEKDAY(E6850,2)),"")</f>
        <v/>
      </c>
      <c r="M6850">
        <f>IF(B6850,(1+Trend)^D6850,"")</f>
        <v/>
      </c>
      <c r="N6850">
        <f>IF(B6850,EXP(SUMPRODUCT(LN(1+(EvEff-1)*INDEX(Affected,0,C6850)*EXP(-((E6850-EvCenter)^2)/(2*EvSigma^2))))),"")</f>
        <v/>
      </c>
      <c r="O6850">
        <f>IF(B6850,ROUND(MAX(0,J6850*K6850*L6850*M6850*N6850),2),"")</f>
        <v/>
      </c>
    </row>
    <row r="6851">
      <c r="A6851" t="n">
        <v>6850</v>
      </c>
      <c r="B6851">
        <f>A6851&lt;=MineCount*Days</f>
        <v/>
      </c>
      <c r="C6851">
        <f>IF(B6851,INT((A6851-1)/Days)+1,"")</f>
        <v/>
      </c>
      <c r="D6851">
        <f>IF(B6851,MOD(A6851-1,Days),"")</f>
        <v/>
      </c>
      <c r="E6851" s="16">
        <f>IF(B6851,StartDate+D6851,"")</f>
        <v/>
      </c>
      <c r="F6851">
        <f>IF(B6851,MAX(MOD(SIN(Seed*0.1373+C6851*12.9898+D6851*78.233)*43758.5453,1),1E-9),"")</f>
        <v/>
      </c>
      <c r="G6851">
        <f>IF(B6851,MOD(SIN(Seed*0.5917+C6851*39.3468+D6851*11.135)*24634.6345,1),"")</f>
        <v/>
      </c>
      <c r="H6851">
        <f>IF(B6851,SQRT(-2*LN(F6851))*COS(2*PI()*G6851),"")</f>
        <v/>
      </c>
      <c r="I6851">
        <f>IF(B6851,IF(D6851=0,H6851,Rho*I6850+SQRT(1-Rho^2)*H6851),"")</f>
        <v/>
      </c>
      <c r="J6851">
        <f>IF(B6851,IF(Dist="Normal",DistA+DistB*I6851,DistA+(DistB-DistA)*NORMSDIST(I6851)),"")</f>
        <v/>
      </c>
      <c r="K6851">
        <f>IF(B6851,INDEX(MineScale,C6851),"")</f>
        <v/>
      </c>
      <c r="L6851">
        <f>IF(B6851,INDEX(Dow,1,WEEKDAY(E6851,2)),"")</f>
        <v/>
      </c>
      <c r="M6851">
        <f>IF(B6851,(1+Trend)^D6851,"")</f>
        <v/>
      </c>
      <c r="N6851">
        <f>IF(B6851,EXP(SUMPRODUCT(LN(1+(EvEff-1)*INDEX(Affected,0,C6851)*EXP(-((E6851-EvCenter)^2)/(2*EvSigma^2))))),"")</f>
        <v/>
      </c>
      <c r="O6851">
        <f>IF(B6851,ROUND(MAX(0,J6851*K6851*L6851*M6851*N6851),2),"")</f>
        <v/>
      </c>
    </row>
    <row r="6852">
      <c r="A6852" t="n">
        <v>6851</v>
      </c>
      <c r="B6852">
        <f>A6852&lt;=MineCount*Days</f>
        <v/>
      </c>
      <c r="C6852">
        <f>IF(B6852,INT((A6852-1)/Days)+1,"")</f>
        <v/>
      </c>
      <c r="D6852">
        <f>IF(B6852,MOD(A6852-1,Days),"")</f>
        <v/>
      </c>
      <c r="E6852" s="16">
        <f>IF(B6852,StartDate+D6852,"")</f>
        <v/>
      </c>
      <c r="F6852">
        <f>IF(B6852,MAX(MOD(SIN(Seed*0.1373+C6852*12.9898+D6852*78.233)*43758.5453,1),1E-9),"")</f>
        <v/>
      </c>
      <c r="G6852">
        <f>IF(B6852,MOD(SIN(Seed*0.5917+C6852*39.3468+D6852*11.135)*24634.6345,1),"")</f>
        <v/>
      </c>
      <c r="H6852">
        <f>IF(B6852,SQRT(-2*LN(F6852))*COS(2*PI()*G6852),"")</f>
        <v/>
      </c>
      <c r="I6852">
        <f>IF(B6852,IF(D6852=0,H6852,Rho*I6851+SQRT(1-Rho^2)*H6852),"")</f>
        <v/>
      </c>
      <c r="J6852">
        <f>IF(B6852,IF(Dist="Normal",DistA+DistB*I6852,DistA+(DistB-DistA)*NORMSDIST(I6852)),"")</f>
        <v/>
      </c>
      <c r="K6852">
        <f>IF(B6852,INDEX(MineScale,C6852),"")</f>
        <v/>
      </c>
      <c r="L6852">
        <f>IF(B6852,INDEX(Dow,1,WEEKDAY(E6852,2)),"")</f>
        <v/>
      </c>
      <c r="M6852">
        <f>IF(B6852,(1+Trend)^D6852,"")</f>
        <v/>
      </c>
      <c r="N6852">
        <f>IF(B6852,EXP(SUMPRODUCT(LN(1+(EvEff-1)*INDEX(Affected,0,C6852)*EXP(-((E6852-EvCenter)^2)/(2*EvSigma^2))))),"")</f>
        <v/>
      </c>
      <c r="O6852">
        <f>IF(B6852,ROUND(MAX(0,J6852*K6852*L6852*M6852*N6852),2),"")</f>
        <v/>
      </c>
    </row>
    <row r="6853">
      <c r="A6853" t="n">
        <v>6852</v>
      </c>
      <c r="B6853">
        <f>A6853&lt;=MineCount*Days</f>
        <v/>
      </c>
      <c r="C6853">
        <f>IF(B6853,INT((A6853-1)/Days)+1,"")</f>
        <v/>
      </c>
      <c r="D6853">
        <f>IF(B6853,MOD(A6853-1,Days),"")</f>
        <v/>
      </c>
      <c r="E6853" s="16">
        <f>IF(B6853,StartDate+D6853,"")</f>
        <v/>
      </c>
      <c r="F6853">
        <f>IF(B6853,MAX(MOD(SIN(Seed*0.1373+C6853*12.9898+D6853*78.233)*43758.5453,1),1E-9),"")</f>
        <v/>
      </c>
      <c r="G6853">
        <f>IF(B6853,MOD(SIN(Seed*0.5917+C6853*39.3468+D6853*11.135)*24634.6345,1),"")</f>
        <v/>
      </c>
      <c r="H6853">
        <f>IF(B6853,SQRT(-2*LN(F6853))*COS(2*PI()*G6853),"")</f>
        <v/>
      </c>
      <c r="I6853">
        <f>IF(B6853,IF(D6853=0,H6853,Rho*I6852+SQRT(1-Rho^2)*H6853),"")</f>
        <v/>
      </c>
      <c r="J6853">
        <f>IF(B6853,IF(Dist="Normal",DistA+DistB*I6853,DistA+(DistB-DistA)*NORMSDIST(I6853)),"")</f>
        <v/>
      </c>
      <c r="K6853">
        <f>IF(B6853,INDEX(MineScale,C6853),"")</f>
        <v/>
      </c>
      <c r="L6853">
        <f>IF(B6853,INDEX(Dow,1,WEEKDAY(E6853,2)),"")</f>
        <v/>
      </c>
      <c r="M6853">
        <f>IF(B6853,(1+Trend)^D6853,"")</f>
        <v/>
      </c>
      <c r="N6853">
        <f>IF(B6853,EXP(SUMPRODUCT(LN(1+(EvEff-1)*INDEX(Affected,0,C6853)*EXP(-((E6853-EvCenter)^2)/(2*EvSigma^2))))),"")</f>
        <v/>
      </c>
      <c r="O6853">
        <f>IF(B6853,ROUND(MAX(0,J6853*K6853*L6853*M6853*N6853),2),"")</f>
        <v/>
      </c>
    </row>
    <row r="6854">
      <c r="A6854" t="n">
        <v>6853</v>
      </c>
      <c r="B6854">
        <f>A6854&lt;=MineCount*Days</f>
        <v/>
      </c>
      <c r="C6854">
        <f>IF(B6854,INT((A6854-1)/Days)+1,"")</f>
        <v/>
      </c>
      <c r="D6854">
        <f>IF(B6854,MOD(A6854-1,Days),"")</f>
        <v/>
      </c>
      <c r="E6854" s="16">
        <f>IF(B6854,StartDate+D6854,"")</f>
        <v/>
      </c>
      <c r="F6854">
        <f>IF(B6854,MAX(MOD(SIN(Seed*0.1373+C6854*12.9898+D6854*78.233)*43758.5453,1),1E-9),"")</f>
        <v/>
      </c>
      <c r="G6854">
        <f>IF(B6854,MOD(SIN(Seed*0.5917+C6854*39.3468+D6854*11.135)*24634.6345,1),"")</f>
        <v/>
      </c>
      <c r="H6854">
        <f>IF(B6854,SQRT(-2*LN(F6854))*COS(2*PI()*G6854),"")</f>
        <v/>
      </c>
      <c r="I6854">
        <f>IF(B6854,IF(D6854=0,H6854,Rho*I6853+SQRT(1-Rho^2)*H6854),"")</f>
        <v/>
      </c>
      <c r="J6854">
        <f>IF(B6854,IF(Dist="Normal",DistA+DistB*I6854,DistA+(DistB-DistA)*NORMSDIST(I6854)),"")</f>
        <v/>
      </c>
      <c r="K6854">
        <f>IF(B6854,INDEX(MineScale,C6854),"")</f>
        <v/>
      </c>
      <c r="L6854">
        <f>IF(B6854,INDEX(Dow,1,WEEKDAY(E6854,2)),"")</f>
        <v/>
      </c>
      <c r="M6854">
        <f>IF(B6854,(1+Trend)^D6854,"")</f>
        <v/>
      </c>
      <c r="N6854">
        <f>IF(B6854,EXP(SUMPRODUCT(LN(1+(EvEff-1)*INDEX(Affected,0,C6854)*EXP(-((E6854-EvCenter)^2)/(2*EvSigma^2))))),"")</f>
        <v/>
      </c>
      <c r="O6854">
        <f>IF(B6854,ROUND(MAX(0,J6854*K6854*L6854*M6854*N6854),2),"")</f>
        <v/>
      </c>
    </row>
    <row r="6855">
      <c r="A6855" t="n">
        <v>6854</v>
      </c>
      <c r="B6855">
        <f>A6855&lt;=MineCount*Days</f>
        <v/>
      </c>
      <c r="C6855">
        <f>IF(B6855,INT((A6855-1)/Days)+1,"")</f>
        <v/>
      </c>
      <c r="D6855">
        <f>IF(B6855,MOD(A6855-1,Days),"")</f>
        <v/>
      </c>
      <c r="E6855" s="16">
        <f>IF(B6855,StartDate+D6855,"")</f>
        <v/>
      </c>
      <c r="F6855">
        <f>IF(B6855,MAX(MOD(SIN(Seed*0.1373+C6855*12.9898+D6855*78.233)*43758.5453,1),1E-9),"")</f>
        <v/>
      </c>
      <c r="G6855">
        <f>IF(B6855,MOD(SIN(Seed*0.5917+C6855*39.3468+D6855*11.135)*24634.6345,1),"")</f>
        <v/>
      </c>
      <c r="H6855">
        <f>IF(B6855,SQRT(-2*LN(F6855))*COS(2*PI()*G6855),"")</f>
        <v/>
      </c>
      <c r="I6855">
        <f>IF(B6855,IF(D6855=0,H6855,Rho*I6854+SQRT(1-Rho^2)*H6855),"")</f>
        <v/>
      </c>
      <c r="J6855">
        <f>IF(B6855,IF(Dist="Normal",DistA+DistB*I6855,DistA+(DistB-DistA)*NORMSDIST(I6855)),"")</f>
        <v/>
      </c>
      <c r="K6855">
        <f>IF(B6855,INDEX(MineScale,C6855),"")</f>
        <v/>
      </c>
      <c r="L6855">
        <f>IF(B6855,INDEX(Dow,1,WEEKDAY(E6855,2)),"")</f>
        <v/>
      </c>
      <c r="M6855">
        <f>IF(B6855,(1+Trend)^D6855,"")</f>
        <v/>
      </c>
      <c r="N6855">
        <f>IF(B6855,EXP(SUMPRODUCT(LN(1+(EvEff-1)*INDEX(Affected,0,C6855)*EXP(-((E6855-EvCenter)^2)/(2*EvSigma^2))))),"")</f>
        <v/>
      </c>
      <c r="O6855">
        <f>IF(B6855,ROUND(MAX(0,J6855*K6855*L6855*M6855*N6855),2),"")</f>
        <v/>
      </c>
    </row>
    <row r="6856">
      <c r="A6856" t="n">
        <v>6855</v>
      </c>
      <c r="B6856">
        <f>A6856&lt;=MineCount*Days</f>
        <v/>
      </c>
      <c r="C6856">
        <f>IF(B6856,INT((A6856-1)/Days)+1,"")</f>
        <v/>
      </c>
      <c r="D6856">
        <f>IF(B6856,MOD(A6856-1,Days),"")</f>
        <v/>
      </c>
      <c r="E6856" s="16">
        <f>IF(B6856,StartDate+D6856,"")</f>
        <v/>
      </c>
      <c r="F6856">
        <f>IF(B6856,MAX(MOD(SIN(Seed*0.1373+C6856*12.9898+D6856*78.233)*43758.5453,1),1E-9),"")</f>
        <v/>
      </c>
      <c r="G6856">
        <f>IF(B6856,MOD(SIN(Seed*0.5917+C6856*39.3468+D6856*11.135)*24634.6345,1),"")</f>
        <v/>
      </c>
      <c r="H6856">
        <f>IF(B6856,SQRT(-2*LN(F6856))*COS(2*PI()*G6856),"")</f>
        <v/>
      </c>
      <c r="I6856">
        <f>IF(B6856,IF(D6856=0,H6856,Rho*I6855+SQRT(1-Rho^2)*H6856),"")</f>
        <v/>
      </c>
      <c r="J6856">
        <f>IF(B6856,IF(Dist="Normal",DistA+DistB*I6856,DistA+(DistB-DistA)*NORMSDIST(I6856)),"")</f>
        <v/>
      </c>
      <c r="K6856">
        <f>IF(B6856,INDEX(MineScale,C6856),"")</f>
        <v/>
      </c>
      <c r="L6856">
        <f>IF(B6856,INDEX(Dow,1,WEEKDAY(E6856,2)),"")</f>
        <v/>
      </c>
      <c r="M6856">
        <f>IF(B6856,(1+Trend)^D6856,"")</f>
        <v/>
      </c>
      <c r="N6856">
        <f>IF(B6856,EXP(SUMPRODUCT(LN(1+(EvEff-1)*INDEX(Affected,0,C6856)*EXP(-((E6856-EvCenter)^2)/(2*EvSigma^2))))),"")</f>
        <v/>
      </c>
      <c r="O6856">
        <f>IF(B6856,ROUND(MAX(0,J6856*K6856*L6856*M6856*N6856),2),"")</f>
        <v/>
      </c>
    </row>
    <row r="6857">
      <c r="A6857" t="n">
        <v>6856</v>
      </c>
      <c r="B6857">
        <f>A6857&lt;=MineCount*Days</f>
        <v/>
      </c>
      <c r="C6857">
        <f>IF(B6857,INT((A6857-1)/Days)+1,"")</f>
        <v/>
      </c>
      <c r="D6857">
        <f>IF(B6857,MOD(A6857-1,Days),"")</f>
        <v/>
      </c>
      <c r="E6857" s="16">
        <f>IF(B6857,StartDate+D6857,"")</f>
        <v/>
      </c>
      <c r="F6857">
        <f>IF(B6857,MAX(MOD(SIN(Seed*0.1373+C6857*12.9898+D6857*78.233)*43758.5453,1),1E-9),"")</f>
        <v/>
      </c>
      <c r="G6857">
        <f>IF(B6857,MOD(SIN(Seed*0.5917+C6857*39.3468+D6857*11.135)*24634.6345,1),"")</f>
        <v/>
      </c>
      <c r="H6857">
        <f>IF(B6857,SQRT(-2*LN(F6857))*COS(2*PI()*G6857),"")</f>
        <v/>
      </c>
      <c r="I6857">
        <f>IF(B6857,IF(D6857=0,H6857,Rho*I6856+SQRT(1-Rho^2)*H6857),"")</f>
        <v/>
      </c>
      <c r="J6857">
        <f>IF(B6857,IF(Dist="Normal",DistA+DistB*I6857,DistA+(DistB-DistA)*NORMSDIST(I6857)),"")</f>
        <v/>
      </c>
      <c r="K6857">
        <f>IF(B6857,INDEX(MineScale,C6857),"")</f>
        <v/>
      </c>
      <c r="L6857">
        <f>IF(B6857,INDEX(Dow,1,WEEKDAY(E6857,2)),"")</f>
        <v/>
      </c>
      <c r="M6857">
        <f>IF(B6857,(1+Trend)^D6857,"")</f>
        <v/>
      </c>
      <c r="N6857">
        <f>IF(B6857,EXP(SUMPRODUCT(LN(1+(EvEff-1)*INDEX(Affected,0,C6857)*EXP(-((E6857-EvCenter)^2)/(2*EvSigma^2))))),"")</f>
        <v/>
      </c>
      <c r="O6857">
        <f>IF(B6857,ROUND(MAX(0,J6857*K6857*L6857*M6857*N6857),2),"")</f>
        <v/>
      </c>
    </row>
    <row r="6858">
      <c r="A6858" t="n">
        <v>6857</v>
      </c>
      <c r="B6858">
        <f>A6858&lt;=MineCount*Days</f>
        <v/>
      </c>
      <c r="C6858">
        <f>IF(B6858,INT((A6858-1)/Days)+1,"")</f>
        <v/>
      </c>
      <c r="D6858">
        <f>IF(B6858,MOD(A6858-1,Days),"")</f>
        <v/>
      </c>
      <c r="E6858" s="16">
        <f>IF(B6858,StartDate+D6858,"")</f>
        <v/>
      </c>
      <c r="F6858">
        <f>IF(B6858,MAX(MOD(SIN(Seed*0.1373+C6858*12.9898+D6858*78.233)*43758.5453,1),1E-9),"")</f>
        <v/>
      </c>
      <c r="G6858">
        <f>IF(B6858,MOD(SIN(Seed*0.5917+C6858*39.3468+D6858*11.135)*24634.6345,1),"")</f>
        <v/>
      </c>
      <c r="H6858">
        <f>IF(B6858,SQRT(-2*LN(F6858))*COS(2*PI()*G6858),"")</f>
        <v/>
      </c>
      <c r="I6858">
        <f>IF(B6858,IF(D6858=0,H6858,Rho*I6857+SQRT(1-Rho^2)*H6858),"")</f>
        <v/>
      </c>
      <c r="J6858">
        <f>IF(B6858,IF(Dist="Normal",DistA+DistB*I6858,DistA+(DistB-DistA)*NORMSDIST(I6858)),"")</f>
        <v/>
      </c>
      <c r="K6858">
        <f>IF(B6858,INDEX(MineScale,C6858),"")</f>
        <v/>
      </c>
      <c r="L6858">
        <f>IF(B6858,INDEX(Dow,1,WEEKDAY(E6858,2)),"")</f>
        <v/>
      </c>
      <c r="M6858">
        <f>IF(B6858,(1+Trend)^D6858,"")</f>
        <v/>
      </c>
      <c r="N6858">
        <f>IF(B6858,EXP(SUMPRODUCT(LN(1+(EvEff-1)*INDEX(Affected,0,C6858)*EXP(-((E6858-EvCenter)^2)/(2*EvSigma^2))))),"")</f>
        <v/>
      </c>
      <c r="O6858">
        <f>IF(B6858,ROUND(MAX(0,J6858*K6858*L6858*M6858*N6858),2),"")</f>
        <v/>
      </c>
    </row>
    <row r="6859">
      <c r="A6859" t="n">
        <v>6858</v>
      </c>
      <c r="B6859">
        <f>A6859&lt;=MineCount*Days</f>
        <v/>
      </c>
      <c r="C6859">
        <f>IF(B6859,INT((A6859-1)/Days)+1,"")</f>
        <v/>
      </c>
      <c r="D6859">
        <f>IF(B6859,MOD(A6859-1,Days),"")</f>
        <v/>
      </c>
      <c r="E6859" s="16">
        <f>IF(B6859,StartDate+D6859,"")</f>
        <v/>
      </c>
      <c r="F6859">
        <f>IF(B6859,MAX(MOD(SIN(Seed*0.1373+C6859*12.9898+D6859*78.233)*43758.5453,1),1E-9),"")</f>
        <v/>
      </c>
      <c r="G6859">
        <f>IF(B6859,MOD(SIN(Seed*0.5917+C6859*39.3468+D6859*11.135)*24634.6345,1),"")</f>
        <v/>
      </c>
      <c r="H6859">
        <f>IF(B6859,SQRT(-2*LN(F6859))*COS(2*PI()*G6859),"")</f>
        <v/>
      </c>
      <c r="I6859">
        <f>IF(B6859,IF(D6859=0,H6859,Rho*I6858+SQRT(1-Rho^2)*H6859),"")</f>
        <v/>
      </c>
      <c r="J6859">
        <f>IF(B6859,IF(Dist="Normal",DistA+DistB*I6859,DistA+(DistB-DistA)*NORMSDIST(I6859)),"")</f>
        <v/>
      </c>
      <c r="K6859">
        <f>IF(B6859,INDEX(MineScale,C6859),"")</f>
        <v/>
      </c>
      <c r="L6859">
        <f>IF(B6859,INDEX(Dow,1,WEEKDAY(E6859,2)),"")</f>
        <v/>
      </c>
      <c r="M6859">
        <f>IF(B6859,(1+Trend)^D6859,"")</f>
        <v/>
      </c>
      <c r="N6859">
        <f>IF(B6859,EXP(SUMPRODUCT(LN(1+(EvEff-1)*INDEX(Affected,0,C6859)*EXP(-((E6859-EvCenter)^2)/(2*EvSigma^2))))),"")</f>
        <v/>
      </c>
      <c r="O6859">
        <f>IF(B6859,ROUND(MAX(0,J6859*K6859*L6859*M6859*N6859),2),"")</f>
        <v/>
      </c>
    </row>
    <row r="6860">
      <c r="A6860" t="n">
        <v>6859</v>
      </c>
      <c r="B6860">
        <f>A6860&lt;=MineCount*Days</f>
        <v/>
      </c>
      <c r="C6860">
        <f>IF(B6860,INT((A6860-1)/Days)+1,"")</f>
        <v/>
      </c>
      <c r="D6860">
        <f>IF(B6860,MOD(A6860-1,Days),"")</f>
        <v/>
      </c>
      <c r="E6860" s="16">
        <f>IF(B6860,StartDate+D6860,"")</f>
        <v/>
      </c>
      <c r="F6860">
        <f>IF(B6860,MAX(MOD(SIN(Seed*0.1373+C6860*12.9898+D6860*78.233)*43758.5453,1),1E-9),"")</f>
        <v/>
      </c>
      <c r="G6860">
        <f>IF(B6860,MOD(SIN(Seed*0.5917+C6860*39.3468+D6860*11.135)*24634.6345,1),"")</f>
        <v/>
      </c>
      <c r="H6860">
        <f>IF(B6860,SQRT(-2*LN(F6860))*COS(2*PI()*G6860),"")</f>
        <v/>
      </c>
      <c r="I6860">
        <f>IF(B6860,IF(D6860=0,H6860,Rho*I6859+SQRT(1-Rho^2)*H6860),"")</f>
        <v/>
      </c>
      <c r="J6860">
        <f>IF(B6860,IF(Dist="Normal",DistA+DistB*I6860,DistA+(DistB-DistA)*NORMSDIST(I6860)),"")</f>
        <v/>
      </c>
      <c r="K6860">
        <f>IF(B6860,INDEX(MineScale,C6860),"")</f>
        <v/>
      </c>
      <c r="L6860">
        <f>IF(B6860,INDEX(Dow,1,WEEKDAY(E6860,2)),"")</f>
        <v/>
      </c>
      <c r="M6860">
        <f>IF(B6860,(1+Trend)^D6860,"")</f>
        <v/>
      </c>
      <c r="N6860">
        <f>IF(B6860,EXP(SUMPRODUCT(LN(1+(EvEff-1)*INDEX(Affected,0,C6860)*EXP(-((E6860-EvCenter)^2)/(2*EvSigma^2))))),"")</f>
        <v/>
      </c>
      <c r="O6860">
        <f>IF(B6860,ROUND(MAX(0,J6860*K6860*L6860*M6860*N6860),2),"")</f>
        <v/>
      </c>
    </row>
    <row r="6861">
      <c r="A6861" t="n">
        <v>6860</v>
      </c>
      <c r="B6861">
        <f>A6861&lt;=MineCount*Days</f>
        <v/>
      </c>
      <c r="C6861">
        <f>IF(B6861,INT((A6861-1)/Days)+1,"")</f>
        <v/>
      </c>
      <c r="D6861">
        <f>IF(B6861,MOD(A6861-1,Days),"")</f>
        <v/>
      </c>
      <c r="E6861" s="16">
        <f>IF(B6861,StartDate+D6861,"")</f>
        <v/>
      </c>
      <c r="F6861">
        <f>IF(B6861,MAX(MOD(SIN(Seed*0.1373+C6861*12.9898+D6861*78.233)*43758.5453,1),1E-9),"")</f>
        <v/>
      </c>
      <c r="G6861">
        <f>IF(B6861,MOD(SIN(Seed*0.5917+C6861*39.3468+D6861*11.135)*24634.6345,1),"")</f>
        <v/>
      </c>
      <c r="H6861">
        <f>IF(B6861,SQRT(-2*LN(F6861))*COS(2*PI()*G6861),"")</f>
        <v/>
      </c>
      <c r="I6861">
        <f>IF(B6861,IF(D6861=0,H6861,Rho*I6860+SQRT(1-Rho^2)*H6861),"")</f>
        <v/>
      </c>
      <c r="J6861">
        <f>IF(B6861,IF(Dist="Normal",DistA+DistB*I6861,DistA+(DistB-DistA)*NORMSDIST(I6861)),"")</f>
        <v/>
      </c>
      <c r="K6861">
        <f>IF(B6861,INDEX(MineScale,C6861),"")</f>
        <v/>
      </c>
      <c r="L6861">
        <f>IF(B6861,INDEX(Dow,1,WEEKDAY(E6861,2)),"")</f>
        <v/>
      </c>
      <c r="M6861">
        <f>IF(B6861,(1+Trend)^D6861,"")</f>
        <v/>
      </c>
      <c r="N6861">
        <f>IF(B6861,EXP(SUMPRODUCT(LN(1+(EvEff-1)*INDEX(Affected,0,C6861)*EXP(-((E6861-EvCenter)^2)/(2*EvSigma^2))))),"")</f>
        <v/>
      </c>
      <c r="O6861">
        <f>IF(B6861,ROUND(MAX(0,J6861*K6861*L6861*M6861*N6861),2),"")</f>
        <v/>
      </c>
    </row>
    <row r="6862">
      <c r="A6862" t="n">
        <v>6861</v>
      </c>
      <c r="B6862">
        <f>A6862&lt;=MineCount*Days</f>
        <v/>
      </c>
      <c r="C6862">
        <f>IF(B6862,INT((A6862-1)/Days)+1,"")</f>
        <v/>
      </c>
      <c r="D6862">
        <f>IF(B6862,MOD(A6862-1,Days),"")</f>
        <v/>
      </c>
      <c r="E6862" s="16">
        <f>IF(B6862,StartDate+D6862,"")</f>
        <v/>
      </c>
      <c r="F6862">
        <f>IF(B6862,MAX(MOD(SIN(Seed*0.1373+C6862*12.9898+D6862*78.233)*43758.5453,1),1E-9),"")</f>
        <v/>
      </c>
      <c r="G6862">
        <f>IF(B6862,MOD(SIN(Seed*0.5917+C6862*39.3468+D6862*11.135)*24634.6345,1),"")</f>
        <v/>
      </c>
      <c r="H6862">
        <f>IF(B6862,SQRT(-2*LN(F6862))*COS(2*PI()*G6862),"")</f>
        <v/>
      </c>
      <c r="I6862">
        <f>IF(B6862,IF(D6862=0,H6862,Rho*I6861+SQRT(1-Rho^2)*H6862),"")</f>
        <v/>
      </c>
      <c r="J6862">
        <f>IF(B6862,IF(Dist="Normal",DistA+DistB*I6862,DistA+(DistB-DistA)*NORMSDIST(I6862)),"")</f>
        <v/>
      </c>
      <c r="K6862">
        <f>IF(B6862,INDEX(MineScale,C6862),"")</f>
        <v/>
      </c>
      <c r="L6862">
        <f>IF(B6862,INDEX(Dow,1,WEEKDAY(E6862,2)),"")</f>
        <v/>
      </c>
      <c r="M6862">
        <f>IF(B6862,(1+Trend)^D6862,"")</f>
        <v/>
      </c>
      <c r="N6862">
        <f>IF(B6862,EXP(SUMPRODUCT(LN(1+(EvEff-1)*INDEX(Affected,0,C6862)*EXP(-((E6862-EvCenter)^2)/(2*EvSigma^2))))),"")</f>
        <v/>
      </c>
      <c r="O6862">
        <f>IF(B6862,ROUND(MAX(0,J6862*K6862*L6862*M6862*N6862),2),"")</f>
        <v/>
      </c>
    </row>
    <row r="6863">
      <c r="A6863" t="n">
        <v>6862</v>
      </c>
      <c r="B6863">
        <f>A6863&lt;=MineCount*Days</f>
        <v/>
      </c>
      <c r="C6863">
        <f>IF(B6863,INT((A6863-1)/Days)+1,"")</f>
        <v/>
      </c>
      <c r="D6863">
        <f>IF(B6863,MOD(A6863-1,Days),"")</f>
        <v/>
      </c>
      <c r="E6863" s="16">
        <f>IF(B6863,StartDate+D6863,"")</f>
        <v/>
      </c>
      <c r="F6863">
        <f>IF(B6863,MAX(MOD(SIN(Seed*0.1373+C6863*12.9898+D6863*78.233)*43758.5453,1),1E-9),"")</f>
        <v/>
      </c>
      <c r="G6863">
        <f>IF(B6863,MOD(SIN(Seed*0.5917+C6863*39.3468+D6863*11.135)*24634.6345,1),"")</f>
        <v/>
      </c>
      <c r="H6863">
        <f>IF(B6863,SQRT(-2*LN(F6863))*COS(2*PI()*G6863),"")</f>
        <v/>
      </c>
      <c r="I6863">
        <f>IF(B6863,IF(D6863=0,H6863,Rho*I6862+SQRT(1-Rho^2)*H6863),"")</f>
        <v/>
      </c>
      <c r="J6863">
        <f>IF(B6863,IF(Dist="Normal",DistA+DistB*I6863,DistA+(DistB-DistA)*NORMSDIST(I6863)),"")</f>
        <v/>
      </c>
      <c r="K6863">
        <f>IF(B6863,INDEX(MineScale,C6863),"")</f>
        <v/>
      </c>
      <c r="L6863">
        <f>IF(B6863,INDEX(Dow,1,WEEKDAY(E6863,2)),"")</f>
        <v/>
      </c>
      <c r="M6863">
        <f>IF(B6863,(1+Trend)^D6863,"")</f>
        <v/>
      </c>
      <c r="N6863">
        <f>IF(B6863,EXP(SUMPRODUCT(LN(1+(EvEff-1)*INDEX(Affected,0,C6863)*EXP(-((E6863-EvCenter)^2)/(2*EvSigma^2))))),"")</f>
        <v/>
      </c>
      <c r="O6863">
        <f>IF(B6863,ROUND(MAX(0,J6863*K6863*L6863*M6863*N6863),2),"")</f>
        <v/>
      </c>
    </row>
    <row r="6864">
      <c r="A6864" t="n">
        <v>6863</v>
      </c>
      <c r="B6864">
        <f>A6864&lt;=MineCount*Days</f>
        <v/>
      </c>
      <c r="C6864">
        <f>IF(B6864,INT((A6864-1)/Days)+1,"")</f>
        <v/>
      </c>
      <c r="D6864">
        <f>IF(B6864,MOD(A6864-1,Days),"")</f>
        <v/>
      </c>
      <c r="E6864" s="16">
        <f>IF(B6864,StartDate+D6864,"")</f>
        <v/>
      </c>
      <c r="F6864">
        <f>IF(B6864,MAX(MOD(SIN(Seed*0.1373+C6864*12.9898+D6864*78.233)*43758.5453,1),1E-9),"")</f>
        <v/>
      </c>
      <c r="G6864">
        <f>IF(B6864,MOD(SIN(Seed*0.5917+C6864*39.3468+D6864*11.135)*24634.6345,1),"")</f>
        <v/>
      </c>
      <c r="H6864">
        <f>IF(B6864,SQRT(-2*LN(F6864))*COS(2*PI()*G6864),"")</f>
        <v/>
      </c>
      <c r="I6864">
        <f>IF(B6864,IF(D6864=0,H6864,Rho*I6863+SQRT(1-Rho^2)*H6864),"")</f>
        <v/>
      </c>
      <c r="J6864">
        <f>IF(B6864,IF(Dist="Normal",DistA+DistB*I6864,DistA+(DistB-DistA)*NORMSDIST(I6864)),"")</f>
        <v/>
      </c>
      <c r="K6864">
        <f>IF(B6864,INDEX(MineScale,C6864),"")</f>
        <v/>
      </c>
      <c r="L6864">
        <f>IF(B6864,INDEX(Dow,1,WEEKDAY(E6864,2)),"")</f>
        <v/>
      </c>
      <c r="M6864">
        <f>IF(B6864,(1+Trend)^D6864,"")</f>
        <v/>
      </c>
      <c r="N6864">
        <f>IF(B6864,EXP(SUMPRODUCT(LN(1+(EvEff-1)*INDEX(Affected,0,C6864)*EXP(-((E6864-EvCenter)^2)/(2*EvSigma^2))))),"")</f>
        <v/>
      </c>
      <c r="O6864">
        <f>IF(B6864,ROUND(MAX(0,J6864*K6864*L6864*M6864*N6864),2),"")</f>
        <v/>
      </c>
    </row>
    <row r="6865">
      <c r="A6865" t="n">
        <v>6864</v>
      </c>
      <c r="B6865">
        <f>A6865&lt;=MineCount*Days</f>
        <v/>
      </c>
      <c r="C6865">
        <f>IF(B6865,INT((A6865-1)/Days)+1,"")</f>
        <v/>
      </c>
      <c r="D6865">
        <f>IF(B6865,MOD(A6865-1,Days),"")</f>
        <v/>
      </c>
      <c r="E6865" s="16">
        <f>IF(B6865,StartDate+D6865,"")</f>
        <v/>
      </c>
      <c r="F6865">
        <f>IF(B6865,MAX(MOD(SIN(Seed*0.1373+C6865*12.9898+D6865*78.233)*43758.5453,1),1E-9),"")</f>
        <v/>
      </c>
      <c r="G6865">
        <f>IF(B6865,MOD(SIN(Seed*0.5917+C6865*39.3468+D6865*11.135)*24634.6345,1),"")</f>
        <v/>
      </c>
      <c r="H6865">
        <f>IF(B6865,SQRT(-2*LN(F6865))*COS(2*PI()*G6865),"")</f>
        <v/>
      </c>
      <c r="I6865">
        <f>IF(B6865,IF(D6865=0,H6865,Rho*I6864+SQRT(1-Rho^2)*H6865),"")</f>
        <v/>
      </c>
      <c r="J6865">
        <f>IF(B6865,IF(Dist="Normal",DistA+DistB*I6865,DistA+(DistB-DistA)*NORMSDIST(I6865)),"")</f>
        <v/>
      </c>
      <c r="K6865">
        <f>IF(B6865,INDEX(MineScale,C6865),"")</f>
        <v/>
      </c>
      <c r="L6865">
        <f>IF(B6865,INDEX(Dow,1,WEEKDAY(E6865,2)),"")</f>
        <v/>
      </c>
      <c r="M6865">
        <f>IF(B6865,(1+Trend)^D6865,"")</f>
        <v/>
      </c>
      <c r="N6865">
        <f>IF(B6865,EXP(SUMPRODUCT(LN(1+(EvEff-1)*INDEX(Affected,0,C6865)*EXP(-((E6865-EvCenter)^2)/(2*EvSigma^2))))),"")</f>
        <v/>
      </c>
      <c r="O6865">
        <f>IF(B6865,ROUND(MAX(0,J6865*K6865*L6865*M6865*N6865),2),"")</f>
        <v/>
      </c>
    </row>
    <row r="6866">
      <c r="A6866" t="n">
        <v>6865</v>
      </c>
      <c r="B6866">
        <f>A6866&lt;=MineCount*Days</f>
        <v/>
      </c>
      <c r="C6866">
        <f>IF(B6866,INT((A6866-1)/Days)+1,"")</f>
        <v/>
      </c>
      <c r="D6866">
        <f>IF(B6866,MOD(A6866-1,Days),"")</f>
        <v/>
      </c>
      <c r="E6866" s="16">
        <f>IF(B6866,StartDate+D6866,"")</f>
        <v/>
      </c>
      <c r="F6866">
        <f>IF(B6866,MAX(MOD(SIN(Seed*0.1373+C6866*12.9898+D6866*78.233)*43758.5453,1),1E-9),"")</f>
        <v/>
      </c>
      <c r="G6866">
        <f>IF(B6866,MOD(SIN(Seed*0.5917+C6866*39.3468+D6866*11.135)*24634.6345,1),"")</f>
        <v/>
      </c>
      <c r="H6866">
        <f>IF(B6866,SQRT(-2*LN(F6866))*COS(2*PI()*G6866),"")</f>
        <v/>
      </c>
      <c r="I6866">
        <f>IF(B6866,IF(D6866=0,H6866,Rho*I6865+SQRT(1-Rho^2)*H6866),"")</f>
        <v/>
      </c>
      <c r="J6866">
        <f>IF(B6866,IF(Dist="Normal",DistA+DistB*I6866,DistA+(DistB-DistA)*NORMSDIST(I6866)),"")</f>
        <v/>
      </c>
      <c r="K6866">
        <f>IF(B6866,INDEX(MineScale,C6866),"")</f>
        <v/>
      </c>
      <c r="L6866">
        <f>IF(B6866,INDEX(Dow,1,WEEKDAY(E6866,2)),"")</f>
        <v/>
      </c>
      <c r="M6866">
        <f>IF(B6866,(1+Trend)^D6866,"")</f>
        <v/>
      </c>
      <c r="N6866">
        <f>IF(B6866,EXP(SUMPRODUCT(LN(1+(EvEff-1)*INDEX(Affected,0,C6866)*EXP(-((E6866-EvCenter)^2)/(2*EvSigma^2))))),"")</f>
        <v/>
      </c>
      <c r="O6866">
        <f>IF(B6866,ROUND(MAX(0,J6866*K6866*L6866*M6866*N6866),2),"")</f>
        <v/>
      </c>
    </row>
    <row r="6867">
      <c r="A6867" t="n">
        <v>6866</v>
      </c>
      <c r="B6867">
        <f>A6867&lt;=MineCount*Days</f>
        <v/>
      </c>
      <c r="C6867">
        <f>IF(B6867,INT((A6867-1)/Days)+1,"")</f>
        <v/>
      </c>
      <c r="D6867">
        <f>IF(B6867,MOD(A6867-1,Days),"")</f>
        <v/>
      </c>
      <c r="E6867" s="16">
        <f>IF(B6867,StartDate+D6867,"")</f>
        <v/>
      </c>
      <c r="F6867">
        <f>IF(B6867,MAX(MOD(SIN(Seed*0.1373+C6867*12.9898+D6867*78.233)*43758.5453,1),1E-9),"")</f>
        <v/>
      </c>
      <c r="G6867">
        <f>IF(B6867,MOD(SIN(Seed*0.5917+C6867*39.3468+D6867*11.135)*24634.6345,1),"")</f>
        <v/>
      </c>
      <c r="H6867">
        <f>IF(B6867,SQRT(-2*LN(F6867))*COS(2*PI()*G6867),"")</f>
        <v/>
      </c>
      <c r="I6867">
        <f>IF(B6867,IF(D6867=0,H6867,Rho*I6866+SQRT(1-Rho^2)*H6867),"")</f>
        <v/>
      </c>
      <c r="J6867">
        <f>IF(B6867,IF(Dist="Normal",DistA+DistB*I6867,DistA+(DistB-DistA)*NORMSDIST(I6867)),"")</f>
        <v/>
      </c>
      <c r="K6867">
        <f>IF(B6867,INDEX(MineScale,C6867),"")</f>
        <v/>
      </c>
      <c r="L6867">
        <f>IF(B6867,INDEX(Dow,1,WEEKDAY(E6867,2)),"")</f>
        <v/>
      </c>
      <c r="M6867">
        <f>IF(B6867,(1+Trend)^D6867,"")</f>
        <v/>
      </c>
      <c r="N6867">
        <f>IF(B6867,EXP(SUMPRODUCT(LN(1+(EvEff-1)*INDEX(Affected,0,C6867)*EXP(-((E6867-EvCenter)^2)/(2*EvSigma^2))))),"")</f>
        <v/>
      </c>
      <c r="O6867">
        <f>IF(B6867,ROUND(MAX(0,J6867*K6867*L6867*M6867*N6867),2),"")</f>
        <v/>
      </c>
    </row>
    <row r="6868">
      <c r="A6868" t="n">
        <v>6867</v>
      </c>
      <c r="B6868">
        <f>A6868&lt;=MineCount*Days</f>
        <v/>
      </c>
      <c r="C6868">
        <f>IF(B6868,INT((A6868-1)/Days)+1,"")</f>
        <v/>
      </c>
      <c r="D6868">
        <f>IF(B6868,MOD(A6868-1,Days),"")</f>
        <v/>
      </c>
      <c r="E6868" s="16">
        <f>IF(B6868,StartDate+D6868,"")</f>
        <v/>
      </c>
      <c r="F6868">
        <f>IF(B6868,MAX(MOD(SIN(Seed*0.1373+C6868*12.9898+D6868*78.233)*43758.5453,1),1E-9),"")</f>
        <v/>
      </c>
      <c r="G6868">
        <f>IF(B6868,MOD(SIN(Seed*0.5917+C6868*39.3468+D6868*11.135)*24634.6345,1),"")</f>
        <v/>
      </c>
      <c r="H6868">
        <f>IF(B6868,SQRT(-2*LN(F6868))*COS(2*PI()*G6868),"")</f>
        <v/>
      </c>
      <c r="I6868">
        <f>IF(B6868,IF(D6868=0,H6868,Rho*I6867+SQRT(1-Rho^2)*H6868),"")</f>
        <v/>
      </c>
      <c r="J6868">
        <f>IF(B6868,IF(Dist="Normal",DistA+DistB*I6868,DistA+(DistB-DistA)*NORMSDIST(I6868)),"")</f>
        <v/>
      </c>
      <c r="K6868">
        <f>IF(B6868,INDEX(MineScale,C6868),"")</f>
        <v/>
      </c>
      <c r="L6868">
        <f>IF(B6868,INDEX(Dow,1,WEEKDAY(E6868,2)),"")</f>
        <v/>
      </c>
      <c r="M6868">
        <f>IF(B6868,(1+Trend)^D6868,"")</f>
        <v/>
      </c>
      <c r="N6868">
        <f>IF(B6868,EXP(SUMPRODUCT(LN(1+(EvEff-1)*INDEX(Affected,0,C6868)*EXP(-((E6868-EvCenter)^2)/(2*EvSigma^2))))),"")</f>
        <v/>
      </c>
      <c r="O6868">
        <f>IF(B6868,ROUND(MAX(0,J6868*K6868*L6868*M6868*N6868),2),"")</f>
        <v/>
      </c>
    </row>
    <row r="6869">
      <c r="A6869" t="n">
        <v>6868</v>
      </c>
      <c r="B6869">
        <f>A6869&lt;=MineCount*Days</f>
        <v/>
      </c>
      <c r="C6869">
        <f>IF(B6869,INT((A6869-1)/Days)+1,"")</f>
        <v/>
      </c>
      <c r="D6869">
        <f>IF(B6869,MOD(A6869-1,Days),"")</f>
        <v/>
      </c>
      <c r="E6869" s="16">
        <f>IF(B6869,StartDate+D6869,"")</f>
        <v/>
      </c>
      <c r="F6869">
        <f>IF(B6869,MAX(MOD(SIN(Seed*0.1373+C6869*12.9898+D6869*78.233)*43758.5453,1),1E-9),"")</f>
        <v/>
      </c>
      <c r="G6869">
        <f>IF(B6869,MOD(SIN(Seed*0.5917+C6869*39.3468+D6869*11.135)*24634.6345,1),"")</f>
        <v/>
      </c>
      <c r="H6869">
        <f>IF(B6869,SQRT(-2*LN(F6869))*COS(2*PI()*G6869),"")</f>
        <v/>
      </c>
      <c r="I6869">
        <f>IF(B6869,IF(D6869=0,H6869,Rho*I6868+SQRT(1-Rho^2)*H6869),"")</f>
        <v/>
      </c>
      <c r="J6869">
        <f>IF(B6869,IF(Dist="Normal",DistA+DistB*I6869,DistA+(DistB-DistA)*NORMSDIST(I6869)),"")</f>
        <v/>
      </c>
      <c r="K6869">
        <f>IF(B6869,INDEX(MineScale,C6869),"")</f>
        <v/>
      </c>
      <c r="L6869">
        <f>IF(B6869,INDEX(Dow,1,WEEKDAY(E6869,2)),"")</f>
        <v/>
      </c>
      <c r="M6869">
        <f>IF(B6869,(1+Trend)^D6869,"")</f>
        <v/>
      </c>
      <c r="N6869">
        <f>IF(B6869,EXP(SUMPRODUCT(LN(1+(EvEff-1)*INDEX(Affected,0,C6869)*EXP(-((E6869-EvCenter)^2)/(2*EvSigma^2))))),"")</f>
        <v/>
      </c>
      <c r="O6869">
        <f>IF(B6869,ROUND(MAX(0,J6869*K6869*L6869*M6869*N6869),2),"")</f>
        <v/>
      </c>
    </row>
    <row r="6870">
      <c r="A6870" t="n">
        <v>6869</v>
      </c>
      <c r="B6870">
        <f>A6870&lt;=MineCount*Days</f>
        <v/>
      </c>
      <c r="C6870">
        <f>IF(B6870,INT((A6870-1)/Days)+1,"")</f>
        <v/>
      </c>
      <c r="D6870">
        <f>IF(B6870,MOD(A6870-1,Days),"")</f>
        <v/>
      </c>
      <c r="E6870" s="16">
        <f>IF(B6870,StartDate+D6870,"")</f>
        <v/>
      </c>
      <c r="F6870">
        <f>IF(B6870,MAX(MOD(SIN(Seed*0.1373+C6870*12.9898+D6870*78.233)*43758.5453,1),1E-9),"")</f>
        <v/>
      </c>
      <c r="G6870">
        <f>IF(B6870,MOD(SIN(Seed*0.5917+C6870*39.3468+D6870*11.135)*24634.6345,1),"")</f>
        <v/>
      </c>
      <c r="H6870">
        <f>IF(B6870,SQRT(-2*LN(F6870))*COS(2*PI()*G6870),"")</f>
        <v/>
      </c>
      <c r="I6870">
        <f>IF(B6870,IF(D6870=0,H6870,Rho*I6869+SQRT(1-Rho^2)*H6870),"")</f>
        <v/>
      </c>
      <c r="J6870">
        <f>IF(B6870,IF(Dist="Normal",DistA+DistB*I6870,DistA+(DistB-DistA)*NORMSDIST(I6870)),"")</f>
        <v/>
      </c>
      <c r="K6870">
        <f>IF(B6870,INDEX(MineScale,C6870),"")</f>
        <v/>
      </c>
      <c r="L6870">
        <f>IF(B6870,INDEX(Dow,1,WEEKDAY(E6870,2)),"")</f>
        <v/>
      </c>
      <c r="M6870">
        <f>IF(B6870,(1+Trend)^D6870,"")</f>
        <v/>
      </c>
      <c r="N6870">
        <f>IF(B6870,EXP(SUMPRODUCT(LN(1+(EvEff-1)*INDEX(Affected,0,C6870)*EXP(-((E6870-EvCenter)^2)/(2*EvSigma^2))))),"")</f>
        <v/>
      </c>
      <c r="O6870">
        <f>IF(B6870,ROUND(MAX(0,J6870*K6870*L6870*M6870*N6870),2),"")</f>
        <v/>
      </c>
    </row>
    <row r="6871">
      <c r="A6871" t="n">
        <v>6870</v>
      </c>
      <c r="B6871">
        <f>A6871&lt;=MineCount*Days</f>
        <v/>
      </c>
      <c r="C6871">
        <f>IF(B6871,INT((A6871-1)/Days)+1,"")</f>
        <v/>
      </c>
      <c r="D6871">
        <f>IF(B6871,MOD(A6871-1,Days),"")</f>
        <v/>
      </c>
      <c r="E6871" s="16">
        <f>IF(B6871,StartDate+D6871,"")</f>
        <v/>
      </c>
      <c r="F6871">
        <f>IF(B6871,MAX(MOD(SIN(Seed*0.1373+C6871*12.9898+D6871*78.233)*43758.5453,1),1E-9),"")</f>
        <v/>
      </c>
      <c r="G6871">
        <f>IF(B6871,MOD(SIN(Seed*0.5917+C6871*39.3468+D6871*11.135)*24634.6345,1),"")</f>
        <v/>
      </c>
      <c r="H6871">
        <f>IF(B6871,SQRT(-2*LN(F6871))*COS(2*PI()*G6871),"")</f>
        <v/>
      </c>
      <c r="I6871">
        <f>IF(B6871,IF(D6871=0,H6871,Rho*I6870+SQRT(1-Rho^2)*H6871),"")</f>
        <v/>
      </c>
      <c r="J6871">
        <f>IF(B6871,IF(Dist="Normal",DistA+DistB*I6871,DistA+(DistB-DistA)*NORMSDIST(I6871)),"")</f>
        <v/>
      </c>
      <c r="K6871">
        <f>IF(B6871,INDEX(MineScale,C6871),"")</f>
        <v/>
      </c>
      <c r="L6871">
        <f>IF(B6871,INDEX(Dow,1,WEEKDAY(E6871,2)),"")</f>
        <v/>
      </c>
      <c r="M6871">
        <f>IF(B6871,(1+Trend)^D6871,"")</f>
        <v/>
      </c>
      <c r="N6871">
        <f>IF(B6871,EXP(SUMPRODUCT(LN(1+(EvEff-1)*INDEX(Affected,0,C6871)*EXP(-((E6871-EvCenter)^2)/(2*EvSigma^2))))),"")</f>
        <v/>
      </c>
      <c r="O6871">
        <f>IF(B6871,ROUND(MAX(0,J6871*K6871*L6871*M6871*N6871),2),"")</f>
        <v/>
      </c>
    </row>
    <row r="6872">
      <c r="A6872" t="n">
        <v>6871</v>
      </c>
      <c r="B6872">
        <f>A6872&lt;=MineCount*Days</f>
        <v/>
      </c>
      <c r="C6872">
        <f>IF(B6872,INT((A6872-1)/Days)+1,"")</f>
        <v/>
      </c>
      <c r="D6872">
        <f>IF(B6872,MOD(A6872-1,Days),"")</f>
        <v/>
      </c>
      <c r="E6872" s="16">
        <f>IF(B6872,StartDate+D6872,"")</f>
        <v/>
      </c>
      <c r="F6872">
        <f>IF(B6872,MAX(MOD(SIN(Seed*0.1373+C6872*12.9898+D6872*78.233)*43758.5453,1),1E-9),"")</f>
        <v/>
      </c>
      <c r="G6872">
        <f>IF(B6872,MOD(SIN(Seed*0.5917+C6872*39.3468+D6872*11.135)*24634.6345,1),"")</f>
        <v/>
      </c>
      <c r="H6872">
        <f>IF(B6872,SQRT(-2*LN(F6872))*COS(2*PI()*G6872),"")</f>
        <v/>
      </c>
      <c r="I6872">
        <f>IF(B6872,IF(D6872=0,H6872,Rho*I6871+SQRT(1-Rho^2)*H6872),"")</f>
        <v/>
      </c>
      <c r="J6872">
        <f>IF(B6872,IF(Dist="Normal",DistA+DistB*I6872,DistA+(DistB-DistA)*NORMSDIST(I6872)),"")</f>
        <v/>
      </c>
      <c r="K6872">
        <f>IF(B6872,INDEX(MineScale,C6872),"")</f>
        <v/>
      </c>
      <c r="L6872">
        <f>IF(B6872,INDEX(Dow,1,WEEKDAY(E6872,2)),"")</f>
        <v/>
      </c>
      <c r="M6872">
        <f>IF(B6872,(1+Trend)^D6872,"")</f>
        <v/>
      </c>
      <c r="N6872">
        <f>IF(B6872,EXP(SUMPRODUCT(LN(1+(EvEff-1)*INDEX(Affected,0,C6872)*EXP(-((E6872-EvCenter)^2)/(2*EvSigma^2))))),"")</f>
        <v/>
      </c>
      <c r="O6872">
        <f>IF(B6872,ROUND(MAX(0,J6872*K6872*L6872*M6872*N6872),2),"")</f>
        <v/>
      </c>
    </row>
    <row r="6873">
      <c r="A6873" t="n">
        <v>6872</v>
      </c>
      <c r="B6873">
        <f>A6873&lt;=MineCount*Days</f>
        <v/>
      </c>
      <c r="C6873">
        <f>IF(B6873,INT((A6873-1)/Days)+1,"")</f>
        <v/>
      </c>
      <c r="D6873">
        <f>IF(B6873,MOD(A6873-1,Days),"")</f>
        <v/>
      </c>
      <c r="E6873" s="16">
        <f>IF(B6873,StartDate+D6873,"")</f>
        <v/>
      </c>
      <c r="F6873">
        <f>IF(B6873,MAX(MOD(SIN(Seed*0.1373+C6873*12.9898+D6873*78.233)*43758.5453,1),1E-9),"")</f>
        <v/>
      </c>
      <c r="G6873">
        <f>IF(B6873,MOD(SIN(Seed*0.5917+C6873*39.3468+D6873*11.135)*24634.6345,1),"")</f>
        <v/>
      </c>
      <c r="H6873">
        <f>IF(B6873,SQRT(-2*LN(F6873))*COS(2*PI()*G6873),"")</f>
        <v/>
      </c>
      <c r="I6873">
        <f>IF(B6873,IF(D6873=0,H6873,Rho*I6872+SQRT(1-Rho^2)*H6873),"")</f>
        <v/>
      </c>
      <c r="J6873">
        <f>IF(B6873,IF(Dist="Normal",DistA+DistB*I6873,DistA+(DistB-DistA)*NORMSDIST(I6873)),"")</f>
        <v/>
      </c>
      <c r="K6873">
        <f>IF(B6873,INDEX(MineScale,C6873),"")</f>
        <v/>
      </c>
      <c r="L6873">
        <f>IF(B6873,INDEX(Dow,1,WEEKDAY(E6873,2)),"")</f>
        <v/>
      </c>
      <c r="M6873">
        <f>IF(B6873,(1+Trend)^D6873,"")</f>
        <v/>
      </c>
      <c r="N6873">
        <f>IF(B6873,EXP(SUMPRODUCT(LN(1+(EvEff-1)*INDEX(Affected,0,C6873)*EXP(-((E6873-EvCenter)^2)/(2*EvSigma^2))))),"")</f>
        <v/>
      </c>
      <c r="O6873">
        <f>IF(B6873,ROUND(MAX(0,J6873*K6873*L6873*M6873*N6873),2),"")</f>
        <v/>
      </c>
    </row>
    <row r="6874">
      <c r="A6874" t="n">
        <v>6873</v>
      </c>
      <c r="B6874">
        <f>A6874&lt;=MineCount*Days</f>
        <v/>
      </c>
      <c r="C6874">
        <f>IF(B6874,INT((A6874-1)/Days)+1,"")</f>
        <v/>
      </c>
      <c r="D6874">
        <f>IF(B6874,MOD(A6874-1,Days),"")</f>
        <v/>
      </c>
      <c r="E6874" s="16">
        <f>IF(B6874,StartDate+D6874,"")</f>
        <v/>
      </c>
      <c r="F6874">
        <f>IF(B6874,MAX(MOD(SIN(Seed*0.1373+C6874*12.9898+D6874*78.233)*43758.5453,1),1E-9),"")</f>
        <v/>
      </c>
      <c r="G6874">
        <f>IF(B6874,MOD(SIN(Seed*0.5917+C6874*39.3468+D6874*11.135)*24634.6345,1),"")</f>
        <v/>
      </c>
      <c r="H6874">
        <f>IF(B6874,SQRT(-2*LN(F6874))*COS(2*PI()*G6874),"")</f>
        <v/>
      </c>
      <c r="I6874">
        <f>IF(B6874,IF(D6874=0,H6874,Rho*I6873+SQRT(1-Rho^2)*H6874),"")</f>
        <v/>
      </c>
      <c r="J6874">
        <f>IF(B6874,IF(Dist="Normal",DistA+DistB*I6874,DistA+(DistB-DistA)*NORMSDIST(I6874)),"")</f>
        <v/>
      </c>
      <c r="K6874">
        <f>IF(B6874,INDEX(MineScale,C6874),"")</f>
        <v/>
      </c>
      <c r="L6874">
        <f>IF(B6874,INDEX(Dow,1,WEEKDAY(E6874,2)),"")</f>
        <v/>
      </c>
      <c r="M6874">
        <f>IF(B6874,(1+Trend)^D6874,"")</f>
        <v/>
      </c>
      <c r="N6874">
        <f>IF(B6874,EXP(SUMPRODUCT(LN(1+(EvEff-1)*INDEX(Affected,0,C6874)*EXP(-((E6874-EvCenter)^2)/(2*EvSigma^2))))),"")</f>
        <v/>
      </c>
      <c r="O6874">
        <f>IF(B6874,ROUND(MAX(0,J6874*K6874*L6874*M6874*N6874),2),"")</f>
        <v/>
      </c>
    </row>
    <row r="6875">
      <c r="A6875" t="n">
        <v>6874</v>
      </c>
      <c r="B6875">
        <f>A6875&lt;=MineCount*Days</f>
        <v/>
      </c>
      <c r="C6875">
        <f>IF(B6875,INT((A6875-1)/Days)+1,"")</f>
        <v/>
      </c>
      <c r="D6875">
        <f>IF(B6875,MOD(A6875-1,Days),"")</f>
        <v/>
      </c>
      <c r="E6875" s="16">
        <f>IF(B6875,StartDate+D6875,"")</f>
        <v/>
      </c>
      <c r="F6875">
        <f>IF(B6875,MAX(MOD(SIN(Seed*0.1373+C6875*12.9898+D6875*78.233)*43758.5453,1),1E-9),"")</f>
        <v/>
      </c>
      <c r="G6875">
        <f>IF(B6875,MOD(SIN(Seed*0.5917+C6875*39.3468+D6875*11.135)*24634.6345,1),"")</f>
        <v/>
      </c>
      <c r="H6875">
        <f>IF(B6875,SQRT(-2*LN(F6875))*COS(2*PI()*G6875),"")</f>
        <v/>
      </c>
      <c r="I6875">
        <f>IF(B6875,IF(D6875=0,H6875,Rho*I6874+SQRT(1-Rho^2)*H6875),"")</f>
        <v/>
      </c>
      <c r="J6875">
        <f>IF(B6875,IF(Dist="Normal",DistA+DistB*I6875,DistA+(DistB-DistA)*NORMSDIST(I6875)),"")</f>
        <v/>
      </c>
      <c r="K6875">
        <f>IF(B6875,INDEX(MineScale,C6875),"")</f>
        <v/>
      </c>
      <c r="L6875">
        <f>IF(B6875,INDEX(Dow,1,WEEKDAY(E6875,2)),"")</f>
        <v/>
      </c>
      <c r="M6875">
        <f>IF(B6875,(1+Trend)^D6875,"")</f>
        <v/>
      </c>
      <c r="N6875">
        <f>IF(B6875,EXP(SUMPRODUCT(LN(1+(EvEff-1)*INDEX(Affected,0,C6875)*EXP(-((E6875-EvCenter)^2)/(2*EvSigma^2))))),"")</f>
        <v/>
      </c>
      <c r="O6875">
        <f>IF(B6875,ROUND(MAX(0,J6875*K6875*L6875*M6875*N6875),2),"")</f>
        <v/>
      </c>
    </row>
    <row r="6876">
      <c r="A6876" t="n">
        <v>6875</v>
      </c>
      <c r="B6876">
        <f>A6876&lt;=MineCount*Days</f>
        <v/>
      </c>
      <c r="C6876">
        <f>IF(B6876,INT((A6876-1)/Days)+1,"")</f>
        <v/>
      </c>
      <c r="D6876">
        <f>IF(B6876,MOD(A6876-1,Days),"")</f>
        <v/>
      </c>
      <c r="E6876" s="16">
        <f>IF(B6876,StartDate+D6876,"")</f>
        <v/>
      </c>
      <c r="F6876">
        <f>IF(B6876,MAX(MOD(SIN(Seed*0.1373+C6876*12.9898+D6876*78.233)*43758.5453,1),1E-9),"")</f>
        <v/>
      </c>
      <c r="G6876">
        <f>IF(B6876,MOD(SIN(Seed*0.5917+C6876*39.3468+D6876*11.135)*24634.6345,1),"")</f>
        <v/>
      </c>
      <c r="H6876">
        <f>IF(B6876,SQRT(-2*LN(F6876))*COS(2*PI()*G6876),"")</f>
        <v/>
      </c>
      <c r="I6876">
        <f>IF(B6876,IF(D6876=0,H6876,Rho*I6875+SQRT(1-Rho^2)*H6876),"")</f>
        <v/>
      </c>
      <c r="J6876">
        <f>IF(B6876,IF(Dist="Normal",DistA+DistB*I6876,DistA+(DistB-DistA)*NORMSDIST(I6876)),"")</f>
        <v/>
      </c>
      <c r="K6876">
        <f>IF(B6876,INDEX(MineScale,C6876),"")</f>
        <v/>
      </c>
      <c r="L6876">
        <f>IF(B6876,INDEX(Dow,1,WEEKDAY(E6876,2)),"")</f>
        <v/>
      </c>
      <c r="M6876">
        <f>IF(B6876,(1+Trend)^D6876,"")</f>
        <v/>
      </c>
      <c r="N6876">
        <f>IF(B6876,EXP(SUMPRODUCT(LN(1+(EvEff-1)*INDEX(Affected,0,C6876)*EXP(-((E6876-EvCenter)^2)/(2*EvSigma^2))))),"")</f>
        <v/>
      </c>
      <c r="O6876">
        <f>IF(B6876,ROUND(MAX(0,J6876*K6876*L6876*M6876*N6876),2),"")</f>
        <v/>
      </c>
    </row>
    <row r="6877">
      <c r="A6877" t="n">
        <v>6876</v>
      </c>
      <c r="B6877">
        <f>A6877&lt;=MineCount*Days</f>
        <v/>
      </c>
      <c r="C6877">
        <f>IF(B6877,INT((A6877-1)/Days)+1,"")</f>
        <v/>
      </c>
      <c r="D6877">
        <f>IF(B6877,MOD(A6877-1,Days),"")</f>
        <v/>
      </c>
      <c r="E6877" s="16">
        <f>IF(B6877,StartDate+D6877,"")</f>
        <v/>
      </c>
      <c r="F6877">
        <f>IF(B6877,MAX(MOD(SIN(Seed*0.1373+C6877*12.9898+D6877*78.233)*43758.5453,1),1E-9),"")</f>
        <v/>
      </c>
      <c r="G6877">
        <f>IF(B6877,MOD(SIN(Seed*0.5917+C6877*39.3468+D6877*11.135)*24634.6345,1),"")</f>
        <v/>
      </c>
      <c r="H6877">
        <f>IF(B6877,SQRT(-2*LN(F6877))*COS(2*PI()*G6877),"")</f>
        <v/>
      </c>
      <c r="I6877">
        <f>IF(B6877,IF(D6877=0,H6877,Rho*I6876+SQRT(1-Rho^2)*H6877),"")</f>
        <v/>
      </c>
      <c r="J6877">
        <f>IF(B6877,IF(Dist="Normal",DistA+DistB*I6877,DistA+(DistB-DistA)*NORMSDIST(I6877)),"")</f>
        <v/>
      </c>
      <c r="K6877">
        <f>IF(B6877,INDEX(MineScale,C6877),"")</f>
        <v/>
      </c>
      <c r="L6877">
        <f>IF(B6877,INDEX(Dow,1,WEEKDAY(E6877,2)),"")</f>
        <v/>
      </c>
      <c r="M6877">
        <f>IF(B6877,(1+Trend)^D6877,"")</f>
        <v/>
      </c>
      <c r="N6877">
        <f>IF(B6877,EXP(SUMPRODUCT(LN(1+(EvEff-1)*INDEX(Affected,0,C6877)*EXP(-((E6877-EvCenter)^2)/(2*EvSigma^2))))),"")</f>
        <v/>
      </c>
      <c r="O6877">
        <f>IF(B6877,ROUND(MAX(0,J6877*K6877*L6877*M6877*N6877),2),"")</f>
        <v/>
      </c>
    </row>
    <row r="6878">
      <c r="A6878" t="n">
        <v>6877</v>
      </c>
      <c r="B6878">
        <f>A6878&lt;=MineCount*Days</f>
        <v/>
      </c>
      <c r="C6878">
        <f>IF(B6878,INT((A6878-1)/Days)+1,"")</f>
        <v/>
      </c>
      <c r="D6878">
        <f>IF(B6878,MOD(A6878-1,Days),"")</f>
        <v/>
      </c>
      <c r="E6878" s="16">
        <f>IF(B6878,StartDate+D6878,"")</f>
        <v/>
      </c>
      <c r="F6878">
        <f>IF(B6878,MAX(MOD(SIN(Seed*0.1373+C6878*12.9898+D6878*78.233)*43758.5453,1),1E-9),"")</f>
        <v/>
      </c>
      <c r="G6878">
        <f>IF(B6878,MOD(SIN(Seed*0.5917+C6878*39.3468+D6878*11.135)*24634.6345,1),"")</f>
        <v/>
      </c>
      <c r="H6878">
        <f>IF(B6878,SQRT(-2*LN(F6878))*COS(2*PI()*G6878),"")</f>
        <v/>
      </c>
      <c r="I6878">
        <f>IF(B6878,IF(D6878=0,H6878,Rho*I6877+SQRT(1-Rho^2)*H6878),"")</f>
        <v/>
      </c>
      <c r="J6878">
        <f>IF(B6878,IF(Dist="Normal",DistA+DistB*I6878,DistA+(DistB-DistA)*NORMSDIST(I6878)),"")</f>
        <v/>
      </c>
      <c r="K6878">
        <f>IF(B6878,INDEX(MineScale,C6878),"")</f>
        <v/>
      </c>
      <c r="L6878">
        <f>IF(B6878,INDEX(Dow,1,WEEKDAY(E6878,2)),"")</f>
        <v/>
      </c>
      <c r="M6878">
        <f>IF(B6878,(1+Trend)^D6878,"")</f>
        <v/>
      </c>
      <c r="N6878">
        <f>IF(B6878,EXP(SUMPRODUCT(LN(1+(EvEff-1)*INDEX(Affected,0,C6878)*EXP(-((E6878-EvCenter)^2)/(2*EvSigma^2))))),"")</f>
        <v/>
      </c>
      <c r="O6878">
        <f>IF(B6878,ROUND(MAX(0,J6878*K6878*L6878*M6878*N6878),2),"")</f>
        <v/>
      </c>
    </row>
    <row r="6879">
      <c r="A6879" t="n">
        <v>6878</v>
      </c>
      <c r="B6879">
        <f>A6879&lt;=MineCount*Days</f>
        <v/>
      </c>
      <c r="C6879">
        <f>IF(B6879,INT((A6879-1)/Days)+1,"")</f>
        <v/>
      </c>
      <c r="D6879">
        <f>IF(B6879,MOD(A6879-1,Days),"")</f>
        <v/>
      </c>
      <c r="E6879" s="16">
        <f>IF(B6879,StartDate+D6879,"")</f>
        <v/>
      </c>
      <c r="F6879">
        <f>IF(B6879,MAX(MOD(SIN(Seed*0.1373+C6879*12.9898+D6879*78.233)*43758.5453,1),1E-9),"")</f>
        <v/>
      </c>
      <c r="G6879">
        <f>IF(B6879,MOD(SIN(Seed*0.5917+C6879*39.3468+D6879*11.135)*24634.6345,1),"")</f>
        <v/>
      </c>
      <c r="H6879">
        <f>IF(B6879,SQRT(-2*LN(F6879))*COS(2*PI()*G6879),"")</f>
        <v/>
      </c>
      <c r="I6879">
        <f>IF(B6879,IF(D6879=0,H6879,Rho*I6878+SQRT(1-Rho^2)*H6879),"")</f>
        <v/>
      </c>
      <c r="J6879">
        <f>IF(B6879,IF(Dist="Normal",DistA+DistB*I6879,DistA+(DistB-DistA)*NORMSDIST(I6879)),"")</f>
        <v/>
      </c>
      <c r="K6879">
        <f>IF(B6879,INDEX(MineScale,C6879),"")</f>
        <v/>
      </c>
      <c r="L6879">
        <f>IF(B6879,INDEX(Dow,1,WEEKDAY(E6879,2)),"")</f>
        <v/>
      </c>
      <c r="M6879">
        <f>IF(B6879,(1+Trend)^D6879,"")</f>
        <v/>
      </c>
      <c r="N6879">
        <f>IF(B6879,EXP(SUMPRODUCT(LN(1+(EvEff-1)*INDEX(Affected,0,C6879)*EXP(-((E6879-EvCenter)^2)/(2*EvSigma^2))))),"")</f>
        <v/>
      </c>
      <c r="O6879">
        <f>IF(B6879,ROUND(MAX(0,J6879*K6879*L6879*M6879*N6879),2),"")</f>
        <v/>
      </c>
    </row>
    <row r="6880">
      <c r="A6880" t="n">
        <v>6879</v>
      </c>
      <c r="B6880">
        <f>A6880&lt;=MineCount*Days</f>
        <v/>
      </c>
      <c r="C6880">
        <f>IF(B6880,INT((A6880-1)/Days)+1,"")</f>
        <v/>
      </c>
      <c r="D6880">
        <f>IF(B6880,MOD(A6880-1,Days),"")</f>
        <v/>
      </c>
      <c r="E6880" s="16">
        <f>IF(B6880,StartDate+D6880,"")</f>
        <v/>
      </c>
      <c r="F6880">
        <f>IF(B6880,MAX(MOD(SIN(Seed*0.1373+C6880*12.9898+D6880*78.233)*43758.5453,1),1E-9),"")</f>
        <v/>
      </c>
      <c r="G6880">
        <f>IF(B6880,MOD(SIN(Seed*0.5917+C6880*39.3468+D6880*11.135)*24634.6345,1),"")</f>
        <v/>
      </c>
      <c r="H6880">
        <f>IF(B6880,SQRT(-2*LN(F6880))*COS(2*PI()*G6880),"")</f>
        <v/>
      </c>
      <c r="I6880">
        <f>IF(B6880,IF(D6880=0,H6880,Rho*I6879+SQRT(1-Rho^2)*H6880),"")</f>
        <v/>
      </c>
      <c r="J6880">
        <f>IF(B6880,IF(Dist="Normal",DistA+DistB*I6880,DistA+(DistB-DistA)*NORMSDIST(I6880)),"")</f>
        <v/>
      </c>
      <c r="K6880">
        <f>IF(B6880,INDEX(MineScale,C6880),"")</f>
        <v/>
      </c>
      <c r="L6880">
        <f>IF(B6880,INDEX(Dow,1,WEEKDAY(E6880,2)),"")</f>
        <v/>
      </c>
      <c r="M6880">
        <f>IF(B6880,(1+Trend)^D6880,"")</f>
        <v/>
      </c>
      <c r="N6880">
        <f>IF(B6880,EXP(SUMPRODUCT(LN(1+(EvEff-1)*INDEX(Affected,0,C6880)*EXP(-((E6880-EvCenter)^2)/(2*EvSigma^2))))),"")</f>
        <v/>
      </c>
      <c r="O6880">
        <f>IF(B6880,ROUND(MAX(0,J6880*K6880*L6880*M6880*N6880),2),"")</f>
        <v/>
      </c>
    </row>
    <row r="6881">
      <c r="A6881" t="n">
        <v>6880</v>
      </c>
      <c r="B6881">
        <f>A6881&lt;=MineCount*Days</f>
        <v/>
      </c>
      <c r="C6881">
        <f>IF(B6881,INT((A6881-1)/Days)+1,"")</f>
        <v/>
      </c>
      <c r="D6881">
        <f>IF(B6881,MOD(A6881-1,Days),"")</f>
        <v/>
      </c>
      <c r="E6881" s="16">
        <f>IF(B6881,StartDate+D6881,"")</f>
        <v/>
      </c>
      <c r="F6881">
        <f>IF(B6881,MAX(MOD(SIN(Seed*0.1373+C6881*12.9898+D6881*78.233)*43758.5453,1),1E-9),"")</f>
        <v/>
      </c>
      <c r="G6881">
        <f>IF(B6881,MOD(SIN(Seed*0.5917+C6881*39.3468+D6881*11.135)*24634.6345,1),"")</f>
        <v/>
      </c>
      <c r="H6881">
        <f>IF(B6881,SQRT(-2*LN(F6881))*COS(2*PI()*G6881),"")</f>
        <v/>
      </c>
      <c r="I6881">
        <f>IF(B6881,IF(D6881=0,H6881,Rho*I6880+SQRT(1-Rho^2)*H6881),"")</f>
        <v/>
      </c>
      <c r="J6881">
        <f>IF(B6881,IF(Dist="Normal",DistA+DistB*I6881,DistA+(DistB-DistA)*NORMSDIST(I6881)),"")</f>
        <v/>
      </c>
      <c r="K6881">
        <f>IF(B6881,INDEX(MineScale,C6881),"")</f>
        <v/>
      </c>
      <c r="L6881">
        <f>IF(B6881,INDEX(Dow,1,WEEKDAY(E6881,2)),"")</f>
        <v/>
      </c>
      <c r="M6881">
        <f>IF(B6881,(1+Trend)^D6881,"")</f>
        <v/>
      </c>
      <c r="N6881">
        <f>IF(B6881,EXP(SUMPRODUCT(LN(1+(EvEff-1)*INDEX(Affected,0,C6881)*EXP(-((E6881-EvCenter)^2)/(2*EvSigma^2))))),"")</f>
        <v/>
      </c>
      <c r="O6881">
        <f>IF(B6881,ROUND(MAX(0,J6881*K6881*L6881*M6881*N6881),2),"")</f>
        <v/>
      </c>
    </row>
    <row r="6882">
      <c r="A6882" t="n">
        <v>6881</v>
      </c>
      <c r="B6882">
        <f>A6882&lt;=MineCount*Days</f>
        <v/>
      </c>
      <c r="C6882">
        <f>IF(B6882,INT((A6882-1)/Days)+1,"")</f>
        <v/>
      </c>
      <c r="D6882">
        <f>IF(B6882,MOD(A6882-1,Days),"")</f>
        <v/>
      </c>
      <c r="E6882" s="16">
        <f>IF(B6882,StartDate+D6882,"")</f>
        <v/>
      </c>
      <c r="F6882">
        <f>IF(B6882,MAX(MOD(SIN(Seed*0.1373+C6882*12.9898+D6882*78.233)*43758.5453,1),1E-9),"")</f>
        <v/>
      </c>
      <c r="G6882">
        <f>IF(B6882,MOD(SIN(Seed*0.5917+C6882*39.3468+D6882*11.135)*24634.6345,1),"")</f>
        <v/>
      </c>
      <c r="H6882">
        <f>IF(B6882,SQRT(-2*LN(F6882))*COS(2*PI()*G6882),"")</f>
        <v/>
      </c>
      <c r="I6882">
        <f>IF(B6882,IF(D6882=0,H6882,Rho*I6881+SQRT(1-Rho^2)*H6882),"")</f>
        <v/>
      </c>
      <c r="J6882">
        <f>IF(B6882,IF(Dist="Normal",DistA+DistB*I6882,DistA+(DistB-DistA)*NORMSDIST(I6882)),"")</f>
        <v/>
      </c>
      <c r="K6882">
        <f>IF(B6882,INDEX(MineScale,C6882),"")</f>
        <v/>
      </c>
      <c r="L6882">
        <f>IF(B6882,INDEX(Dow,1,WEEKDAY(E6882,2)),"")</f>
        <v/>
      </c>
      <c r="M6882">
        <f>IF(B6882,(1+Trend)^D6882,"")</f>
        <v/>
      </c>
      <c r="N6882">
        <f>IF(B6882,EXP(SUMPRODUCT(LN(1+(EvEff-1)*INDEX(Affected,0,C6882)*EXP(-((E6882-EvCenter)^2)/(2*EvSigma^2))))),"")</f>
        <v/>
      </c>
      <c r="O6882">
        <f>IF(B6882,ROUND(MAX(0,J6882*K6882*L6882*M6882*N6882),2),"")</f>
        <v/>
      </c>
    </row>
    <row r="6883">
      <c r="A6883" t="n">
        <v>6882</v>
      </c>
      <c r="B6883">
        <f>A6883&lt;=MineCount*Days</f>
        <v/>
      </c>
      <c r="C6883">
        <f>IF(B6883,INT((A6883-1)/Days)+1,"")</f>
        <v/>
      </c>
      <c r="D6883">
        <f>IF(B6883,MOD(A6883-1,Days),"")</f>
        <v/>
      </c>
      <c r="E6883" s="16">
        <f>IF(B6883,StartDate+D6883,"")</f>
        <v/>
      </c>
      <c r="F6883">
        <f>IF(B6883,MAX(MOD(SIN(Seed*0.1373+C6883*12.9898+D6883*78.233)*43758.5453,1),1E-9),"")</f>
        <v/>
      </c>
      <c r="G6883">
        <f>IF(B6883,MOD(SIN(Seed*0.5917+C6883*39.3468+D6883*11.135)*24634.6345,1),"")</f>
        <v/>
      </c>
      <c r="H6883">
        <f>IF(B6883,SQRT(-2*LN(F6883))*COS(2*PI()*G6883),"")</f>
        <v/>
      </c>
      <c r="I6883">
        <f>IF(B6883,IF(D6883=0,H6883,Rho*I6882+SQRT(1-Rho^2)*H6883),"")</f>
        <v/>
      </c>
      <c r="J6883">
        <f>IF(B6883,IF(Dist="Normal",DistA+DistB*I6883,DistA+(DistB-DistA)*NORMSDIST(I6883)),"")</f>
        <v/>
      </c>
      <c r="K6883">
        <f>IF(B6883,INDEX(MineScale,C6883),"")</f>
        <v/>
      </c>
      <c r="L6883">
        <f>IF(B6883,INDEX(Dow,1,WEEKDAY(E6883,2)),"")</f>
        <v/>
      </c>
      <c r="M6883">
        <f>IF(B6883,(1+Trend)^D6883,"")</f>
        <v/>
      </c>
      <c r="N6883">
        <f>IF(B6883,EXP(SUMPRODUCT(LN(1+(EvEff-1)*INDEX(Affected,0,C6883)*EXP(-((E6883-EvCenter)^2)/(2*EvSigma^2))))),"")</f>
        <v/>
      </c>
      <c r="O6883">
        <f>IF(B6883,ROUND(MAX(0,J6883*K6883*L6883*M6883*N6883),2),"")</f>
        <v/>
      </c>
    </row>
    <row r="6884">
      <c r="A6884" t="n">
        <v>6883</v>
      </c>
      <c r="B6884">
        <f>A6884&lt;=MineCount*Days</f>
        <v/>
      </c>
      <c r="C6884">
        <f>IF(B6884,INT((A6884-1)/Days)+1,"")</f>
        <v/>
      </c>
      <c r="D6884">
        <f>IF(B6884,MOD(A6884-1,Days),"")</f>
        <v/>
      </c>
      <c r="E6884" s="16">
        <f>IF(B6884,StartDate+D6884,"")</f>
        <v/>
      </c>
      <c r="F6884">
        <f>IF(B6884,MAX(MOD(SIN(Seed*0.1373+C6884*12.9898+D6884*78.233)*43758.5453,1),1E-9),"")</f>
        <v/>
      </c>
      <c r="G6884">
        <f>IF(B6884,MOD(SIN(Seed*0.5917+C6884*39.3468+D6884*11.135)*24634.6345,1),"")</f>
        <v/>
      </c>
      <c r="H6884">
        <f>IF(B6884,SQRT(-2*LN(F6884))*COS(2*PI()*G6884),"")</f>
        <v/>
      </c>
      <c r="I6884">
        <f>IF(B6884,IF(D6884=0,H6884,Rho*I6883+SQRT(1-Rho^2)*H6884),"")</f>
        <v/>
      </c>
      <c r="J6884">
        <f>IF(B6884,IF(Dist="Normal",DistA+DistB*I6884,DistA+(DistB-DistA)*NORMSDIST(I6884)),"")</f>
        <v/>
      </c>
      <c r="K6884">
        <f>IF(B6884,INDEX(MineScale,C6884),"")</f>
        <v/>
      </c>
      <c r="L6884">
        <f>IF(B6884,INDEX(Dow,1,WEEKDAY(E6884,2)),"")</f>
        <v/>
      </c>
      <c r="M6884">
        <f>IF(B6884,(1+Trend)^D6884,"")</f>
        <v/>
      </c>
      <c r="N6884">
        <f>IF(B6884,EXP(SUMPRODUCT(LN(1+(EvEff-1)*INDEX(Affected,0,C6884)*EXP(-((E6884-EvCenter)^2)/(2*EvSigma^2))))),"")</f>
        <v/>
      </c>
      <c r="O6884">
        <f>IF(B6884,ROUND(MAX(0,J6884*K6884*L6884*M6884*N6884),2),"")</f>
        <v/>
      </c>
    </row>
    <row r="6885">
      <c r="A6885" t="n">
        <v>6884</v>
      </c>
      <c r="B6885">
        <f>A6885&lt;=MineCount*Days</f>
        <v/>
      </c>
      <c r="C6885">
        <f>IF(B6885,INT((A6885-1)/Days)+1,"")</f>
        <v/>
      </c>
      <c r="D6885">
        <f>IF(B6885,MOD(A6885-1,Days),"")</f>
        <v/>
      </c>
      <c r="E6885" s="16">
        <f>IF(B6885,StartDate+D6885,"")</f>
        <v/>
      </c>
      <c r="F6885">
        <f>IF(B6885,MAX(MOD(SIN(Seed*0.1373+C6885*12.9898+D6885*78.233)*43758.5453,1),1E-9),"")</f>
        <v/>
      </c>
      <c r="G6885">
        <f>IF(B6885,MOD(SIN(Seed*0.5917+C6885*39.3468+D6885*11.135)*24634.6345,1),"")</f>
        <v/>
      </c>
      <c r="H6885">
        <f>IF(B6885,SQRT(-2*LN(F6885))*COS(2*PI()*G6885),"")</f>
        <v/>
      </c>
      <c r="I6885">
        <f>IF(B6885,IF(D6885=0,H6885,Rho*I6884+SQRT(1-Rho^2)*H6885),"")</f>
        <v/>
      </c>
      <c r="J6885">
        <f>IF(B6885,IF(Dist="Normal",DistA+DistB*I6885,DistA+(DistB-DistA)*NORMSDIST(I6885)),"")</f>
        <v/>
      </c>
      <c r="K6885">
        <f>IF(B6885,INDEX(MineScale,C6885),"")</f>
        <v/>
      </c>
      <c r="L6885">
        <f>IF(B6885,INDEX(Dow,1,WEEKDAY(E6885,2)),"")</f>
        <v/>
      </c>
      <c r="M6885">
        <f>IF(B6885,(1+Trend)^D6885,"")</f>
        <v/>
      </c>
      <c r="N6885">
        <f>IF(B6885,EXP(SUMPRODUCT(LN(1+(EvEff-1)*INDEX(Affected,0,C6885)*EXP(-((E6885-EvCenter)^2)/(2*EvSigma^2))))),"")</f>
        <v/>
      </c>
      <c r="O6885">
        <f>IF(B6885,ROUND(MAX(0,J6885*K6885*L6885*M6885*N6885),2),"")</f>
        <v/>
      </c>
    </row>
    <row r="6886">
      <c r="A6886" t="n">
        <v>6885</v>
      </c>
      <c r="B6886">
        <f>A6886&lt;=MineCount*Days</f>
        <v/>
      </c>
      <c r="C6886">
        <f>IF(B6886,INT((A6886-1)/Days)+1,"")</f>
        <v/>
      </c>
      <c r="D6886">
        <f>IF(B6886,MOD(A6886-1,Days),"")</f>
        <v/>
      </c>
      <c r="E6886" s="16">
        <f>IF(B6886,StartDate+D6886,"")</f>
        <v/>
      </c>
      <c r="F6886">
        <f>IF(B6886,MAX(MOD(SIN(Seed*0.1373+C6886*12.9898+D6886*78.233)*43758.5453,1),1E-9),"")</f>
        <v/>
      </c>
      <c r="G6886">
        <f>IF(B6886,MOD(SIN(Seed*0.5917+C6886*39.3468+D6886*11.135)*24634.6345,1),"")</f>
        <v/>
      </c>
      <c r="H6886">
        <f>IF(B6886,SQRT(-2*LN(F6886))*COS(2*PI()*G6886),"")</f>
        <v/>
      </c>
      <c r="I6886">
        <f>IF(B6886,IF(D6886=0,H6886,Rho*I6885+SQRT(1-Rho^2)*H6886),"")</f>
        <v/>
      </c>
      <c r="J6886">
        <f>IF(B6886,IF(Dist="Normal",DistA+DistB*I6886,DistA+(DistB-DistA)*NORMSDIST(I6886)),"")</f>
        <v/>
      </c>
      <c r="K6886">
        <f>IF(B6886,INDEX(MineScale,C6886),"")</f>
        <v/>
      </c>
      <c r="L6886">
        <f>IF(B6886,INDEX(Dow,1,WEEKDAY(E6886,2)),"")</f>
        <v/>
      </c>
      <c r="M6886">
        <f>IF(B6886,(1+Trend)^D6886,"")</f>
        <v/>
      </c>
      <c r="N6886">
        <f>IF(B6886,EXP(SUMPRODUCT(LN(1+(EvEff-1)*INDEX(Affected,0,C6886)*EXP(-((E6886-EvCenter)^2)/(2*EvSigma^2))))),"")</f>
        <v/>
      </c>
      <c r="O6886">
        <f>IF(B6886,ROUND(MAX(0,J6886*K6886*L6886*M6886*N6886),2),"")</f>
        <v/>
      </c>
    </row>
    <row r="6887">
      <c r="A6887" t="n">
        <v>6886</v>
      </c>
      <c r="B6887">
        <f>A6887&lt;=MineCount*Days</f>
        <v/>
      </c>
      <c r="C6887">
        <f>IF(B6887,INT((A6887-1)/Days)+1,"")</f>
        <v/>
      </c>
      <c r="D6887">
        <f>IF(B6887,MOD(A6887-1,Days),"")</f>
        <v/>
      </c>
      <c r="E6887" s="16">
        <f>IF(B6887,StartDate+D6887,"")</f>
        <v/>
      </c>
      <c r="F6887">
        <f>IF(B6887,MAX(MOD(SIN(Seed*0.1373+C6887*12.9898+D6887*78.233)*43758.5453,1),1E-9),"")</f>
        <v/>
      </c>
      <c r="G6887">
        <f>IF(B6887,MOD(SIN(Seed*0.5917+C6887*39.3468+D6887*11.135)*24634.6345,1),"")</f>
        <v/>
      </c>
      <c r="H6887">
        <f>IF(B6887,SQRT(-2*LN(F6887))*COS(2*PI()*G6887),"")</f>
        <v/>
      </c>
      <c r="I6887">
        <f>IF(B6887,IF(D6887=0,H6887,Rho*I6886+SQRT(1-Rho^2)*H6887),"")</f>
        <v/>
      </c>
      <c r="J6887">
        <f>IF(B6887,IF(Dist="Normal",DistA+DistB*I6887,DistA+(DistB-DistA)*NORMSDIST(I6887)),"")</f>
        <v/>
      </c>
      <c r="K6887">
        <f>IF(B6887,INDEX(MineScale,C6887),"")</f>
        <v/>
      </c>
      <c r="L6887">
        <f>IF(B6887,INDEX(Dow,1,WEEKDAY(E6887,2)),"")</f>
        <v/>
      </c>
      <c r="M6887">
        <f>IF(B6887,(1+Trend)^D6887,"")</f>
        <v/>
      </c>
      <c r="N6887">
        <f>IF(B6887,EXP(SUMPRODUCT(LN(1+(EvEff-1)*INDEX(Affected,0,C6887)*EXP(-((E6887-EvCenter)^2)/(2*EvSigma^2))))),"")</f>
        <v/>
      </c>
      <c r="O6887">
        <f>IF(B6887,ROUND(MAX(0,J6887*K6887*L6887*M6887*N6887),2),"")</f>
        <v/>
      </c>
    </row>
    <row r="6888">
      <c r="A6888" t="n">
        <v>6887</v>
      </c>
      <c r="B6888">
        <f>A6888&lt;=MineCount*Days</f>
        <v/>
      </c>
      <c r="C6888">
        <f>IF(B6888,INT((A6888-1)/Days)+1,"")</f>
        <v/>
      </c>
      <c r="D6888">
        <f>IF(B6888,MOD(A6888-1,Days),"")</f>
        <v/>
      </c>
      <c r="E6888" s="16">
        <f>IF(B6888,StartDate+D6888,"")</f>
        <v/>
      </c>
      <c r="F6888">
        <f>IF(B6888,MAX(MOD(SIN(Seed*0.1373+C6888*12.9898+D6888*78.233)*43758.5453,1),1E-9),"")</f>
        <v/>
      </c>
      <c r="G6888">
        <f>IF(B6888,MOD(SIN(Seed*0.5917+C6888*39.3468+D6888*11.135)*24634.6345,1),"")</f>
        <v/>
      </c>
      <c r="H6888">
        <f>IF(B6888,SQRT(-2*LN(F6888))*COS(2*PI()*G6888),"")</f>
        <v/>
      </c>
      <c r="I6888">
        <f>IF(B6888,IF(D6888=0,H6888,Rho*I6887+SQRT(1-Rho^2)*H6888),"")</f>
        <v/>
      </c>
      <c r="J6888">
        <f>IF(B6888,IF(Dist="Normal",DistA+DistB*I6888,DistA+(DistB-DistA)*NORMSDIST(I6888)),"")</f>
        <v/>
      </c>
      <c r="K6888">
        <f>IF(B6888,INDEX(MineScale,C6888),"")</f>
        <v/>
      </c>
      <c r="L6888">
        <f>IF(B6888,INDEX(Dow,1,WEEKDAY(E6888,2)),"")</f>
        <v/>
      </c>
      <c r="M6888">
        <f>IF(B6888,(1+Trend)^D6888,"")</f>
        <v/>
      </c>
      <c r="N6888">
        <f>IF(B6888,EXP(SUMPRODUCT(LN(1+(EvEff-1)*INDEX(Affected,0,C6888)*EXP(-((E6888-EvCenter)^2)/(2*EvSigma^2))))),"")</f>
        <v/>
      </c>
      <c r="O6888">
        <f>IF(B6888,ROUND(MAX(0,J6888*K6888*L6888*M6888*N6888),2),"")</f>
        <v/>
      </c>
    </row>
    <row r="6889">
      <c r="A6889" t="n">
        <v>6888</v>
      </c>
      <c r="B6889">
        <f>A6889&lt;=MineCount*Days</f>
        <v/>
      </c>
      <c r="C6889">
        <f>IF(B6889,INT((A6889-1)/Days)+1,"")</f>
        <v/>
      </c>
      <c r="D6889">
        <f>IF(B6889,MOD(A6889-1,Days),"")</f>
        <v/>
      </c>
      <c r="E6889" s="16">
        <f>IF(B6889,StartDate+D6889,"")</f>
        <v/>
      </c>
      <c r="F6889">
        <f>IF(B6889,MAX(MOD(SIN(Seed*0.1373+C6889*12.9898+D6889*78.233)*43758.5453,1),1E-9),"")</f>
        <v/>
      </c>
      <c r="G6889">
        <f>IF(B6889,MOD(SIN(Seed*0.5917+C6889*39.3468+D6889*11.135)*24634.6345,1),"")</f>
        <v/>
      </c>
      <c r="H6889">
        <f>IF(B6889,SQRT(-2*LN(F6889))*COS(2*PI()*G6889),"")</f>
        <v/>
      </c>
      <c r="I6889">
        <f>IF(B6889,IF(D6889=0,H6889,Rho*I6888+SQRT(1-Rho^2)*H6889),"")</f>
        <v/>
      </c>
      <c r="J6889">
        <f>IF(B6889,IF(Dist="Normal",DistA+DistB*I6889,DistA+(DistB-DistA)*NORMSDIST(I6889)),"")</f>
        <v/>
      </c>
      <c r="K6889">
        <f>IF(B6889,INDEX(MineScale,C6889),"")</f>
        <v/>
      </c>
      <c r="L6889">
        <f>IF(B6889,INDEX(Dow,1,WEEKDAY(E6889,2)),"")</f>
        <v/>
      </c>
      <c r="M6889">
        <f>IF(B6889,(1+Trend)^D6889,"")</f>
        <v/>
      </c>
      <c r="N6889">
        <f>IF(B6889,EXP(SUMPRODUCT(LN(1+(EvEff-1)*INDEX(Affected,0,C6889)*EXP(-((E6889-EvCenter)^2)/(2*EvSigma^2))))),"")</f>
        <v/>
      </c>
      <c r="O6889">
        <f>IF(B6889,ROUND(MAX(0,J6889*K6889*L6889*M6889*N6889),2),"")</f>
        <v/>
      </c>
    </row>
    <row r="6890">
      <c r="A6890" t="n">
        <v>6889</v>
      </c>
      <c r="B6890">
        <f>A6890&lt;=MineCount*Days</f>
        <v/>
      </c>
      <c r="C6890">
        <f>IF(B6890,INT((A6890-1)/Days)+1,"")</f>
        <v/>
      </c>
      <c r="D6890">
        <f>IF(B6890,MOD(A6890-1,Days),"")</f>
        <v/>
      </c>
      <c r="E6890" s="16">
        <f>IF(B6890,StartDate+D6890,"")</f>
        <v/>
      </c>
      <c r="F6890">
        <f>IF(B6890,MAX(MOD(SIN(Seed*0.1373+C6890*12.9898+D6890*78.233)*43758.5453,1),1E-9),"")</f>
        <v/>
      </c>
      <c r="G6890">
        <f>IF(B6890,MOD(SIN(Seed*0.5917+C6890*39.3468+D6890*11.135)*24634.6345,1),"")</f>
        <v/>
      </c>
      <c r="H6890">
        <f>IF(B6890,SQRT(-2*LN(F6890))*COS(2*PI()*G6890),"")</f>
        <v/>
      </c>
      <c r="I6890">
        <f>IF(B6890,IF(D6890=0,H6890,Rho*I6889+SQRT(1-Rho^2)*H6890),"")</f>
        <v/>
      </c>
      <c r="J6890">
        <f>IF(B6890,IF(Dist="Normal",DistA+DistB*I6890,DistA+(DistB-DistA)*NORMSDIST(I6890)),"")</f>
        <v/>
      </c>
      <c r="K6890">
        <f>IF(B6890,INDEX(MineScale,C6890),"")</f>
        <v/>
      </c>
      <c r="L6890">
        <f>IF(B6890,INDEX(Dow,1,WEEKDAY(E6890,2)),"")</f>
        <v/>
      </c>
      <c r="M6890">
        <f>IF(B6890,(1+Trend)^D6890,"")</f>
        <v/>
      </c>
      <c r="N6890">
        <f>IF(B6890,EXP(SUMPRODUCT(LN(1+(EvEff-1)*INDEX(Affected,0,C6890)*EXP(-((E6890-EvCenter)^2)/(2*EvSigma^2))))),"")</f>
        <v/>
      </c>
      <c r="O6890">
        <f>IF(B6890,ROUND(MAX(0,J6890*K6890*L6890*M6890*N6890),2),"")</f>
        <v/>
      </c>
    </row>
    <row r="6891">
      <c r="A6891" t="n">
        <v>6890</v>
      </c>
      <c r="B6891">
        <f>A6891&lt;=MineCount*Days</f>
        <v/>
      </c>
      <c r="C6891">
        <f>IF(B6891,INT((A6891-1)/Days)+1,"")</f>
        <v/>
      </c>
      <c r="D6891">
        <f>IF(B6891,MOD(A6891-1,Days),"")</f>
        <v/>
      </c>
      <c r="E6891" s="16">
        <f>IF(B6891,StartDate+D6891,"")</f>
        <v/>
      </c>
      <c r="F6891">
        <f>IF(B6891,MAX(MOD(SIN(Seed*0.1373+C6891*12.9898+D6891*78.233)*43758.5453,1),1E-9),"")</f>
        <v/>
      </c>
      <c r="G6891">
        <f>IF(B6891,MOD(SIN(Seed*0.5917+C6891*39.3468+D6891*11.135)*24634.6345,1),"")</f>
        <v/>
      </c>
      <c r="H6891">
        <f>IF(B6891,SQRT(-2*LN(F6891))*COS(2*PI()*G6891),"")</f>
        <v/>
      </c>
      <c r="I6891">
        <f>IF(B6891,IF(D6891=0,H6891,Rho*I6890+SQRT(1-Rho^2)*H6891),"")</f>
        <v/>
      </c>
      <c r="J6891">
        <f>IF(B6891,IF(Dist="Normal",DistA+DistB*I6891,DistA+(DistB-DistA)*NORMSDIST(I6891)),"")</f>
        <v/>
      </c>
      <c r="K6891">
        <f>IF(B6891,INDEX(MineScale,C6891),"")</f>
        <v/>
      </c>
      <c r="L6891">
        <f>IF(B6891,INDEX(Dow,1,WEEKDAY(E6891,2)),"")</f>
        <v/>
      </c>
      <c r="M6891">
        <f>IF(B6891,(1+Trend)^D6891,"")</f>
        <v/>
      </c>
      <c r="N6891">
        <f>IF(B6891,EXP(SUMPRODUCT(LN(1+(EvEff-1)*INDEX(Affected,0,C6891)*EXP(-((E6891-EvCenter)^2)/(2*EvSigma^2))))),"")</f>
        <v/>
      </c>
      <c r="O6891">
        <f>IF(B6891,ROUND(MAX(0,J6891*K6891*L6891*M6891*N6891),2),"")</f>
        <v/>
      </c>
    </row>
    <row r="6892">
      <c r="A6892" t="n">
        <v>6891</v>
      </c>
      <c r="B6892">
        <f>A6892&lt;=MineCount*Days</f>
        <v/>
      </c>
      <c r="C6892">
        <f>IF(B6892,INT((A6892-1)/Days)+1,"")</f>
        <v/>
      </c>
      <c r="D6892">
        <f>IF(B6892,MOD(A6892-1,Days),"")</f>
        <v/>
      </c>
      <c r="E6892" s="16">
        <f>IF(B6892,StartDate+D6892,"")</f>
        <v/>
      </c>
      <c r="F6892">
        <f>IF(B6892,MAX(MOD(SIN(Seed*0.1373+C6892*12.9898+D6892*78.233)*43758.5453,1),1E-9),"")</f>
        <v/>
      </c>
      <c r="G6892">
        <f>IF(B6892,MOD(SIN(Seed*0.5917+C6892*39.3468+D6892*11.135)*24634.6345,1),"")</f>
        <v/>
      </c>
      <c r="H6892">
        <f>IF(B6892,SQRT(-2*LN(F6892))*COS(2*PI()*G6892),"")</f>
        <v/>
      </c>
      <c r="I6892">
        <f>IF(B6892,IF(D6892=0,H6892,Rho*I6891+SQRT(1-Rho^2)*H6892),"")</f>
        <v/>
      </c>
      <c r="J6892">
        <f>IF(B6892,IF(Dist="Normal",DistA+DistB*I6892,DistA+(DistB-DistA)*NORMSDIST(I6892)),"")</f>
        <v/>
      </c>
      <c r="K6892">
        <f>IF(B6892,INDEX(MineScale,C6892),"")</f>
        <v/>
      </c>
      <c r="L6892">
        <f>IF(B6892,INDEX(Dow,1,WEEKDAY(E6892,2)),"")</f>
        <v/>
      </c>
      <c r="M6892">
        <f>IF(B6892,(1+Trend)^D6892,"")</f>
        <v/>
      </c>
      <c r="N6892">
        <f>IF(B6892,EXP(SUMPRODUCT(LN(1+(EvEff-1)*INDEX(Affected,0,C6892)*EXP(-((E6892-EvCenter)^2)/(2*EvSigma^2))))),"")</f>
        <v/>
      </c>
      <c r="O6892">
        <f>IF(B6892,ROUND(MAX(0,J6892*K6892*L6892*M6892*N6892),2),"")</f>
        <v/>
      </c>
    </row>
    <row r="6893">
      <c r="A6893" t="n">
        <v>6892</v>
      </c>
      <c r="B6893">
        <f>A6893&lt;=MineCount*Days</f>
        <v/>
      </c>
      <c r="C6893">
        <f>IF(B6893,INT((A6893-1)/Days)+1,"")</f>
        <v/>
      </c>
      <c r="D6893">
        <f>IF(B6893,MOD(A6893-1,Days),"")</f>
        <v/>
      </c>
      <c r="E6893" s="16">
        <f>IF(B6893,StartDate+D6893,"")</f>
        <v/>
      </c>
      <c r="F6893">
        <f>IF(B6893,MAX(MOD(SIN(Seed*0.1373+C6893*12.9898+D6893*78.233)*43758.5453,1),1E-9),"")</f>
        <v/>
      </c>
      <c r="G6893">
        <f>IF(B6893,MOD(SIN(Seed*0.5917+C6893*39.3468+D6893*11.135)*24634.6345,1),"")</f>
        <v/>
      </c>
      <c r="H6893">
        <f>IF(B6893,SQRT(-2*LN(F6893))*COS(2*PI()*G6893),"")</f>
        <v/>
      </c>
      <c r="I6893">
        <f>IF(B6893,IF(D6893=0,H6893,Rho*I6892+SQRT(1-Rho^2)*H6893),"")</f>
        <v/>
      </c>
      <c r="J6893">
        <f>IF(B6893,IF(Dist="Normal",DistA+DistB*I6893,DistA+(DistB-DistA)*NORMSDIST(I6893)),"")</f>
        <v/>
      </c>
      <c r="K6893">
        <f>IF(B6893,INDEX(MineScale,C6893),"")</f>
        <v/>
      </c>
      <c r="L6893">
        <f>IF(B6893,INDEX(Dow,1,WEEKDAY(E6893,2)),"")</f>
        <v/>
      </c>
      <c r="M6893">
        <f>IF(B6893,(1+Trend)^D6893,"")</f>
        <v/>
      </c>
      <c r="N6893">
        <f>IF(B6893,EXP(SUMPRODUCT(LN(1+(EvEff-1)*INDEX(Affected,0,C6893)*EXP(-((E6893-EvCenter)^2)/(2*EvSigma^2))))),"")</f>
        <v/>
      </c>
      <c r="O6893">
        <f>IF(B6893,ROUND(MAX(0,J6893*K6893*L6893*M6893*N6893),2),"")</f>
        <v/>
      </c>
    </row>
    <row r="6894">
      <c r="A6894" t="n">
        <v>6893</v>
      </c>
      <c r="B6894">
        <f>A6894&lt;=MineCount*Days</f>
        <v/>
      </c>
      <c r="C6894">
        <f>IF(B6894,INT((A6894-1)/Days)+1,"")</f>
        <v/>
      </c>
      <c r="D6894">
        <f>IF(B6894,MOD(A6894-1,Days),"")</f>
        <v/>
      </c>
      <c r="E6894" s="16">
        <f>IF(B6894,StartDate+D6894,"")</f>
        <v/>
      </c>
      <c r="F6894">
        <f>IF(B6894,MAX(MOD(SIN(Seed*0.1373+C6894*12.9898+D6894*78.233)*43758.5453,1),1E-9),"")</f>
        <v/>
      </c>
      <c r="G6894">
        <f>IF(B6894,MOD(SIN(Seed*0.5917+C6894*39.3468+D6894*11.135)*24634.6345,1),"")</f>
        <v/>
      </c>
      <c r="H6894">
        <f>IF(B6894,SQRT(-2*LN(F6894))*COS(2*PI()*G6894),"")</f>
        <v/>
      </c>
      <c r="I6894">
        <f>IF(B6894,IF(D6894=0,H6894,Rho*I6893+SQRT(1-Rho^2)*H6894),"")</f>
        <v/>
      </c>
      <c r="J6894">
        <f>IF(B6894,IF(Dist="Normal",DistA+DistB*I6894,DistA+(DistB-DistA)*NORMSDIST(I6894)),"")</f>
        <v/>
      </c>
      <c r="K6894">
        <f>IF(B6894,INDEX(MineScale,C6894),"")</f>
        <v/>
      </c>
      <c r="L6894">
        <f>IF(B6894,INDEX(Dow,1,WEEKDAY(E6894,2)),"")</f>
        <v/>
      </c>
      <c r="M6894">
        <f>IF(B6894,(1+Trend)^D6894,"")</f>
        <v/>
      </c>
      <c r="N6894">
        <f>IF(B6894,EXP(SUMPRODUCT(LN(1+(EvEff-1)*INDEX(Affected,0,C6894)*EXP(-((E6894-EvCenter)^2)/(2*EvSigma^2))))),"")</f>
        <v/>
      </c>
      <c r="O6894">
        <f>IF(B6894,ROUND(MAX(0,J6894*K6894*L6894*M6894*N6894),2),"")</f>
        <v/>
      </c>
    </row>
    <row r="6895">
      <c r="A6895" t="n">
        <v>6894</v>
      </c>
      <c r="B6895">
        <f>A6895&lt;=MineCount*Days</f>
        <v/>
      </c>
      <c r="C6895">
        <f>IF(B6895,INT((A6895-1)/Days)+1,"")</f>
        <v/>
      </c>
      <c r="D6895">
        <f>IF(B6895,MOD(A6895-1,Days),"")</f>
        <v/>
      </c>
      <c r="E6895" s="16">
        <f>IF(B6895,StartDate+D6895,"")</f>
        <v/>
      </c>
      <c r="F6895">
        <f>IF(B6895,MAX(MOD(SIN(Seed*0.1373+C6895*12.9898+D6895*78.233)*43758.5453,1),1E-9),"")</f>
        <v/>
      </c>
      <c r="G6895">
        <f>IF(B6895,MOD(SIN(Seed*0.5917+C6895*39.3468+D6895*11.135)*24634.6345,1),"")</f>
        <v/>
      </c>
      <c r="H6895">
        <f>IF(B6895,SQRT(-2*LN(F6895))*COS(2*PI()*G6895),"")</f>
        <v/>
      </c>
      <c r="I6895">
        <f>IF(B6895,IF(D6895=0,H6895,Rho*I6894+SQRT(1-Rho^2)*H6895),"")</f>
        <v/>
      </c>
      <c r="J6895">
        <f>IF(B6895,IF(Dist="Normal",DistA+DistB*I6895,DistA+(DistB-DistA)*NORMSDIST(I6895)),"")</f>
        <v/>
      </c>
      <c r="K6895">
        <f>IF(B6895,INDEX(MineScale,C6895),"")</f>
        <v/>
      </c>
      <c r="L6895">
        <f>IF(B6895,INDEX(Dow,1,WEEKDAY(E6895,2)),"")</f>
        <v/>
      </c>
      <c r="M6895">
        <f>IF(B6895,(1+Trend)^D6895,"")</f>
        <v/>
      </c>
      <c r="N6895">
        <f>IF(B6895,EXP(SUMPRODUCT(LN(1+(EvEff-1)*INDEX(Affected,0,C6895)*EXP(-((E6895-EvCenter)^2)/(2*EvSigma^2))))),"")</f>
        <v/>
      </c>
      <c r="O6895">
        <f>IF(B6895,ROUND(MAX(0,J6895*K6895*L6895*M6895*N6895),2),"")</f>
        <v/>
      </c>
    </row>
    <row r="6896">
      <c r="A6896" t="n">
        <v>6895</v>
      </c>
      <c r="B6896">
        <f>A6896&lt;=MineCount*Days</f>
        <v/>
      </c>
      <c r="C6896">
        <f>IF(B6896,INT((A6896-1)/Days)+1,"")</f>
        <v/>
      </c>
      <c r="D6896">
        <f>IF(B6896,MOD(A6896-1,Days),"")</f>
        <v/>
      </c>
      <c r="E6896" s="16">
        <f>IF(B6896,StartDate+D6896,"")</f>
        <v/>
      </c>
      <c r="F6896">
        <f>IF(B6896,MAX(MOD(SIN(Seed*0.1373+C6896*12.9898+D6896*78.233)*43758.5453,1),1E-9),"")</f>
        <v/>
      </c>
      <c r="G6896">
        <f>IF(B6896,MOD(SIN(Seed*0.5917+C6896*39.3468+D6896*11.135)*24634.6345,1),"")</f>
        <v/>
      </c>
      <c r="H6896">
        <f>IF(B6896,SQRT(-2*LN(F6896))*COS(2*PI()*G6896),"")</f>
        <v/>
      </c>
      <c r="I6896">
        <f>IF(B6896,IF(D6896=0,H6896,Rho*I6895+SQRT(1-Rho^2)*H6896),"")</f>
        <v/>
      </c>
      <c r="J6896">
        <f>IF(B6896,IF(Dist="Normal",DistA+DistB*I6896,DistA+(DistB-DistA)*NORMSDIST(I6896)),"")</f>
        <v/>
      </c>
      <c r="K6896">
        <f>IF(B6896,INDEX(MineScale,C6896),"")</f>
        <v/>
      </c>
      <c r="L6896">
        <f>IF(B6896,INDEX(Dow,1,WEEKDAY(E6896,2)),"")</f>
        <v/>
      </c>
      <c r="M6896">
        <f>IF(B6896,(1+Trend)^D6896,"")</f>
        <v/>
      </c>
      <c r="N6896">
        <f>IF(B6896,EXP(SUMPRODUCT(LN(1+(EvEff-1)*INDEX(Affected,0,C6896)*EXP(-((E6896-EvCenter)^2)/(2*EvSigma^2))))),"")</f>
        <v/>
      </c>
      <c r="O6896">
        <f>IF(B6896,ROUND(MAX(0,J6896*K6896*L6896*M6896*N6896),2),"")</f>
        <v/>
      </c>
    </row>
    <row r="6897">
      <c r="A6897" t="n">
        <v>6896</v>
      </c>
      <c r="B6897">
        <f>A6897&lt;=MineCount*Days</f>
        <v/>
      </c>
      <c r="C6897">
        <f>IF(B6897,INT((A6897-1)/Days)+1,"")</f>
        <v/>
      </c>
      <c r="D6897">
        <f>IF(B6897,MOD(A6897-1,Days),"")</f>
        <v/>
      </c>
      <c r="E6897" s="16">
        <f>IF(B6897,StartDate+D6897,"")</f>
        <v/>
      </c>
      <c r="F6897">
        <f>IF(B6897,MAX(MOD(SIN(Seed*0.1373+C6897*12.9898+D6897*78.233)*43758.5453,1),1E-9),"")</f>
        <v/>
      </c>
      <c r="G6897">
        <f>IF(B6897,MOD(SIN(Seed*0.5917+C6897*39.3468+D6897*11.135)*24634.6345,1),"")</f>
        <v/>
      </c>
      <c r="H6897">
        <f>IF(B6897,SQRT(-2*LN(F6897))*COS(2*PI()*G6897),"")</f>
        <v/>
      </c>
      <c r="I6897">
        <f>IF(B6897,IF(D6897=0,H6897,Rho*I6896+SQRT(1-Rho^2)*H6897),"")</f>
        <v/>
      </c>
      <c r="J6897">
        <f>IF(B6897,IF(Dist="Normal",DistA+DistB*I6897,DistA+(DistB-DistA)*NORMSDIST(I6897)),"")</f>
        <v/>
      </c>
      <c r="K6897">
        <f>IF(B6897,INDEX(MineScale,C6897),"")</f>
        <v/>
      </c>
      <c r="L6897">
        <f>IF(B6897,INDEX(Dow,1,WEEKDAY(E6897,2)),"")</f>
        <v/>
      </c>
      <c r="M6897">
        <f>IF(B6897,(1+Trend)^D6897,"")</f>
        <v/>
      </c>
      <c r="N6897">
        <f>IF(B6897,EXP(SUMPRODUCT(LN(1+(EvEff-1)*INDEX(Affected,0,C6897)*EXP(-((E6897-EvCenter)^2)/(2*EvSigma^2))))),"")</f>
        <v/>
      </c>
      <c r="O6897">
        <f>IF(B6897,ROUND(MAX(0,J6897*K6897*L6897*M6897*N6897),2),"")</f>
        <v/>
      </c>
    </row>
    <row r="6898">
      <c r="A6898" t="n">
        <v>6897</v>
      </c>
      <c r="B6898">
        <f>A6898&lt;=MineCount*Days</f>
        <v/>
      </c>
      <c r="C6898">
        <f>IF(B6898,INT((A6898-1)/Days)+1,"")</f>
        <v/>
      </c>
      <c r="D6898">
        <f>IF(B6898,MOD(A6898-1,Days),"")</f>
        <v/>
      </c>
      <c r="E6898" s="16">
        <f>IF(B6898,StartDate+D6898,"")</f>
        <v/>
      </c>
      <c r="F6898">
        <f>IF(B6898,MAX(MOD(SIN(Seed*0.1373+C6898*12.9898+D6898*78.233)*43758.5453,1),1E-9),"")</f>
        <v/>
      </c>
      <c r="G6898">
        <f>IF(B6898,MOD(SIN(Seed*0.5917+C6898*39.3468+D6898*11.135)*24634.6345,1),"")</f>
        <v/>
      </c>
      <c r="H6898">
        <f>IF(B6898,SQRT(-2*LN(F6898))*COS(2*PI()*G6898),"")</f>
        <v/>
      </c>
      <c r="I6898">
        <f>IF(B6898,IF(D6898=0,H6898,Rho*I6897+SQRT(1-Rho^2)*H6898),"")</f>
        <v/>
      </c>
      <c r="J6898">
        <f>IF(B6898,IF(Dist="Normal",DistA+DistB*I6898,DistA+(DistB-DistA)*NORMSDIST(I6898)),"")</f>
        <v/>
      </c>
      <c r="K6898">
        <f>IF(B6898,INDEX(MineScale,C6898),"")</f>
        <v/>
      </c>
      <c r="L6898">
        <f>IF(B6898,INDEX(Dow,1,WEEKDAY(E6898,2)),"")</f>
        <v/>
      </c>
      <c r="M6898">
        <f>IF(B6898,(1+Trend)^D6898,"")</f>
        <v/>
      </c>
      <c r="N6898">
        <f>IF(B6898,EXP(SUMPRODUCT(LN(1+(EvEff-1)*INDEX(Affected,0,C6898)*EXP(-((E6898-EvCenter)^2)/(2*EvSigma^2))))),"")</f>
        <v/>
      </c>
      <c r="O6898">
        <f>IF(B6898,ROUND(MAX(0,J6898*K6898*L6898*M6898*N6898),2),"")</f>
        <v/>
      </c>
    </row>
    <row r="6899">
      <c r="A6899" t="n">
        <v>6898</v>
      </c>
      <c r="B6899">
        <f>A6899&lt;=MineCount*Days</f>
        <v/>
      </c>
      <c r="C6899">
        <f>IF(B6899,INT((A6899-1)/Days)+1,"")</f>
        <v/>
      </c>
      <c r="D6899">
        <f>IF(B6899,MOD(A6899-1,Days),"")</f>
        <v/>
      </c>
      <c r="E6899" s="16">
        <f>IF(B6899,StartDate+D6899,"")</f>
        <v/>
      </c>
      <c r="F6899">
        <f>IF(B6899,MAX(MOD(SIN(Seed*0.1373+C6899*12.9898+D6899*78.233)*43758.5453,1),1E-9),"")</f>
        <v/>
      </c>
      <c r="G6899">
        <f>IF(B6899,MOD(SIN(Seed*0.5917+C6899*39.3468+D6899*11.135)*24634.6345,1),"")</f>
        <v/>
      </c>
      <c r="H6899">
        <f>IF(B6899,SQRT(-2*LN(F6899))*COS(2*PI()*G6899),"")</f>
        <v/>
      </c>
      <c r="I6899">
        <f>IF(B6899,IF(D6899=0,H6899,Rho*I6898+SQRT(1-Rho^2)*H6899),"")</f>
        <v/>
      </c>
      <c r="J6899">
        <f>IF(B6899,IF(Dist="Normal",DistA+DistB*I6899,DistA+(DistB-DistA)*NORMSDIST(I6899)),"")</f>
        <v/>
      </c>
      <c r="K6899">
        <f>IF(B6899,INDEX(MineScale,C6899),"")</f>
        <v/>
      </c>
      <c r="L6899">
        <f>IF(B6899,INDEX(Dow,1,WEEKDAY(E6899,2)),"")</f>
        <v/>
      </c>
      <c r="M6899">
        <f>IF(B6899,(1+Trend)^D6899,"")</f>
        <v/>
      </c>
      <c r="N6899">
        <f>IF(B6899,EXP(SUMPRODUCT(LN(1+(EvEff-1)*INDEX(Affected,0,C6899)*EXP(-((E6899-EvCenter)^2)/(2*EvSigma^2))))),"")</f>
        <v/>
      </c>
      <c r="O6899">
        <f>IF(B6899,ROUND(MAX(0,J6899*K6899*L6899*M6899*N6899),2),"")</f>
        <v/>
      </c>
    </row>
    <row r="6900">
      <c r="A6900" t="n">
        <v>6899</v>
      </c>
      <c r="B6900">
        <f>A6900&lt;=MineCount*Days</f>
        <v/>
      </c>
      <c r="C6900">
        <f>IF(B6900,INT((A6900-1)/Days)+1,"")</f>
        <v/>
      </c>
      <c r="D6900">
        <f>IF(B6900,MOD(A6900-1,Days),"")</f>
        <v/>
      </c>
      <c r="E6900" s="16">
        <f>IF(B6900,StartDate+D6900,"")</f>
        <v/>
      </c>
      <c r="F6900">
        <f>IF(B6900,MAX(MOD(SIN(Seed*0.1373+C6900*12.9898+D6900*78.233)*43758.5453,1),1E-9),"")</f>
        <v/>
      </c>
      <c r="G6900">
        <f>IF(B6900,MOD(SIN(Seed*0.5917+C6900*39.3468+D6900*11.135)*24634.6345,1),"")</f>
        <v/>
      </c>
      <c r="H6900">
        <f>IF(B6900,SQRT(-2*LN(F6900))*COS(2*PI()*G6900),"")</f>
        <v/>
      </c>
      <c r="I6900">
        <f>IF(B6900,IF(D6900=0,H6900,Rho*I6899+SQRT(1-Rho^2)*H6900),"")</f>
        <v/>
      </c>
      <c r="J6900">
        <f>IF(B6900,IF(Dist="Normal",DistA+DistB*I6900,DistA+(DistB-DistA)*NORMSDIST(I6900)),"")</f>
        <v/>
      </c>
      <c r="K6900">
        <f>IF(B6900,INDEX(MineScale,C6900),"")</f>
        <v/>
      </c>
      <c r="L6900">
        <f>IF(B6900,INDEX(Dow,1,WEEKDAY(E6900,2)),"")</f>
        <v/>
      </c>
      <c r="M6900">
        <f>IF(B6900,(1+Trend)^D6900,"")</f>
        <v/>
      </c>
      <c r="N6900">
        <f>IF(B6900,EXP(SUMPRODUCT(LN(1+(EvEff-1)*INDEX(Affected,0,C6900)*EXP(-((E6900-EvCenter)^2)/(2*EvSigma^2))))),"")</f>
        <v/>
      </c>
      <c r="O6900">
        <f>IF(B6900,ROUND(MAX(0,J6900*K6900*L6900*M6900*N6900),2),"")</f>
        <v/>
      </c>
    </row>
    <row r="6901">
      <c r="A6901" t="n">
        <v>6900</v>
      </c>
      <c r="B6901">
        <f>A6901&lt;=MineCount*Days</f>
        <v/>
      </c>
      <c r="C6901">
        <f>IF(B6901,INT((A6901-1)/Days)+1,"")</f>
        <v/>
      </c>
      <c r="D6901">
        <f>IF(B6901,MOD(A6901-1,Days),"")</f>
        <v/>
      </c>
      <c r="E6901" s="16">
        <f>IF(B6901,StartDate+D6901,"")</f>
        <v/>
      </c>
      <c r="F6901">
        <f>IF(B6901,MAX(MOD(SIN(Seed*0.1373+C6901*12.9898+D6901*78.233)*43758.5453,1),1E-9),"")</f>
        <v/>
      </c>
      <c r="G6901">
        <f>IF(B6901,MOD(SIN(Seed*0.5917+C6901*39.3468+D6901*11.135)*24634.6345,1),"")</f>
        <v/>
      </c>
      <c r="H6901">
        <f>IF(B6901,SQRT(-2*LN(F6901))*COS(2*PI()*G6901),"")</f>
        <v/>
      </c>
      <c r="I6901">
        <f>IF(B6901,IF(D6901=0,H6901,Rho*I6900+SQRT(1-Rho^2)*H6901),"")</f>
        <v/>
      </c>
      <c r="J6901">
        <f>IF(B6901,IF(Dist="Normal",DistA+DistB*I6901,DistA+(DistB-DistA)*NORMSDIST(I6901)),"")</f>
        <v/>
      </c>
      <c r="K6901">
        <f>IF(B6901,INDEX(MineScale,C6901),"")</f>
        <v/>
      </c>
      <c r="L6901">
        <f>IF(B6901,INDEX(Dow,1,WEEKDAY(E6901,2)),"")</f>
        <v/>
      </c>
      <c r="M6901">
        <f>IF(B6901,(1+Trend)^D6901,"")</f>
        <v/>
      </c>
      <c r="N6901">
        <f>IF(B6901,EXP(SUMPRODUCT(LN(1+(EvEff-1)*INDEX(Affected,0,C6901)*EXP(-((E6901-EvCenter)^2)/(2*EvSigma^2))))),"")</f>
        <v/>
      </c>
      <c r="O6901">
        <f>IF(B6901,ROUND(MAX(0,J6901*K6901*L6901*M6901*N6901),2),"")</f>
        <v/>
      </c>
    </row>
    <row r="6902">
      <c r="A6902" t="n">
        <v>6901</v>
      </c>
      <c r="B6902">
        <f>A6902&lt;=MineCount*Days</f>
        <v/>
      </c>
      <c r="C6902">
        <f>IF(B6902,INT((A6902-1)/Days)+1,"")</f>
        <v/>
      </c>
      <c r="D6902">
        <f>IF(B6902,MOD(A6902-1,Days),"")</f>
        <v/>
      </c>
      <c r="E6902" s="16">
        <f>IF(B6902,StartDate+D6902,"")</f>
        <v/>
      </c>
      <c r="F6902">
        <f>IF(B6902,MAX(MOD(SIN(Seed*0.1373+C6902*12.9898+D6902*78.233)*43758.5453,1),1E-9),"")</f>
        <v/>
      </c>
      <c r="G6902">
        <f>IF(B6902,MOD(SIN(Seed*0.5917+C6902*39.3468+D6902*11.135)*24634.6345,1),"")</f>
        <v/>
      </c>
      <c r="H6902">
        <f>IF(B6902,SQRT(-2*LN(F6902))*COS(2*PI()*G6902),"")</f>
        <v/>
      </c>
      <c r="I6902">
        <f>IF(B6902,IF(D6902=0,H6902,Rho*I6901+SQRT(1-Rho^2)*H6902),"")</f>
        <v/>
      </c>
      <c r="J6902">
        <f>IF(B6902,IF(Dist="Normal",DistA+DistB*I6902,DistA+(DistB-DistA)*NORMSDIST(I6902)),"")</f>
        <v/>
      </c>
      <c r="K6902">
        <f>IF(B6902,INDEX(MineScale,C6902),"")</f>
        <v/>
      </c>
      <c r="L6902">
        <f>IF(B6902,INDEX(Dow,1,WEEKDAY(E6902,2)),"")</f>
        <v/>
      </c>
      <c r="M6902">
        <f>IF(B6902,(1+Trend)^D6902,"")</f>
        <v/>
      </c>
      <c r="N6902">
        <f>IF(B6902,EXP(SUMPRODUCT(LN(1+(EvEff-1)*INDEX(Affected,0,C6902)*EXP(-((E6902-EvCenter)^2)/(2*EvSigma^2))))),"")</f>
        <v/>
      </c>
      <c r="O6902">
        <f>IF(B6902,ROUND(MAX(0,J6902*K6902*L6902*M6902*N6902),2),"")</f>
        <v/>
      </c>
    </row>
    <row r="6903">
      <c r="A6903" t="n">
        <v>6902</v>
      </c>
      <c r="B6903">
        <f>A6903&lt;=MineCount*Days</f>
        <v/>
      </c>
      <c r="C6903">
        <f>IF(B6903,INT((A6903-1)/Days)+1,"")</f>
        <v/>
      </c>
      <c r="D6903">
        <f>IF(B6903,MOD(A6903-1,Days),"")</f>
        <v/>
      </c>
      <c r="E6903" s="16">
        <f>IF(B6903,StartDate+D6903,"")</f>
        <v/>
      </c>
      <c r="F6903">
        <f>IF(B6903,MAX(MOD(SIN(Seed*0.1373+C6903*12.9898+D6903*78.233)*43758.5453,1),1E-9),"")</f>
        <v/>
      </c>
      <c r="G6903">
        <f>IF(B6903,MOD(SIN(Seed*0.5917+C6903*39.3468+D6903*11.135)*24634.6345,1),"")</f>
        <v/>
      </c>
      <c r="H6903">
        <f>IF(B6903,SQRT(-2*LN(F6903))*COS(2*PI()*G6903),"")</f>
        <v/>
      </c>
      <c r="I6903">
        <f>IF(B6903,IF(D6903=0,H6903,Rho*I6902+SQRT(1-Rho^2)*H6903),"")</f>
        <v/>
      </c>
      <c r="J6903">
        <f>IF(B6903,IF(Dist="Normal",DistA+DistB*I6903,DistA+(DistB-DistA)*NORMSDIST(I6903)),"")</f>
        <v/>
      </c>
      <c r="K6903">
        <f>IF(B6903,INDEX(MineScale,C6903),"")</f>
        <v/>
      </c>
      <c r="L6903">
        <f>IF(B6903,INDEX(Dow,1,WEEKDAY(E6903,2)),"")</f>
        <v/>
      </c>
      <c r="M6903">
        <f>IF(B6903,(1+Trend)^D6903,"")</f>
        <v/>
      </c>
      <c r="N6903">
        <f>IF(B6903,EXP(SUMPRODUCT(LN(1+(EvEff-1)*INDEX(Affected,0,C6903)*EXP(-((E6903-EvCenter)^2)/(2*EvSigma^2))))),"")</f>
        <v/>
      </c>
      <c r="O6903">
        <f>IF(B6903,ROUND(MAX(0,J6903*K6903*L6903*M6903*N6903),2),"")</f>
        <v/>
      </c>
    </row>
    <row r="6904">
      <c r="A6904" t="n">
        <v>6903</v>
      </c>
      <c r="B6904">
        <f>A6904&lt;=MineCount*Days</f>
        <v/>
      </c>
      <c r="C6904">
        <f>IF(B6904,INT((A6904-1)/Days)+1,"")</f>
        <v/>
      </c>
      <c r="D6904">
        <f>IF(B6904,MOD(A6904-1,Days),"")</f>
        <v/>
      </c>
      <c r="E6904" s="16">
        <f>IF(B6904,StartDate+D6904,"")</f>
        <v/>
      </c>
      <c r="F6904">
        <f>IF(B6904,MAX(MOD(SIN(Seed*0.1373+C6904*12.9898+D6904*78.233)*43758.5453,1),1E-9),"")</f>
        <v/>
      </c>
      <c r="G6904">
        <f>IF(B6904,MOD(SIN(Seed*0.5917+C6904*39.3468+D6904*11.135)*24634.6345,1),"")</f>
        <v/>
      </c>
      <c r="H6904">
        <f>IF(B6904,SQRT(-2*LN(F6904))*COS(2*PI()*G6904),"")</f>
        <v/>
      </c>
      <c r="I6904">
        <f>IF(B6904,IF(D6904=0,H6904,Rho*I6903+SQRT(1-Rho^2)*H6904),"")</f>
        <v/>
      </c>
      <c r="J6904">
        <f>IF(B6904,IF(Dist="Normal",DistA+DistB*I6904,DistA+(DistB-DistA)*NORMSDIST(I6904)),"")</f>
        <v/>
      </c>
      <c r="K6904">
        <f>IF(B6904,INDEX(MineScale,C6904),"")</f>
        <v/>
      </c>
      <c r="L6904">
        <f>IF(B6904,INDEX(Dow,1,WEEKDAY(E6904,2)),"")</f>
        <v/>
      </c>
      <c r="M6904">
        <f>IF(B6904,(1+Trend)^D6904,"")</f>
        <v/>
      </c>
      <c r="N6904">
        <f>IF(B6904,EXP(SUMPRODUCT(LN(1+(EvEff-1)*INDEX(Affected,0,C6904)*EXP(-((E6904-EvCenter)^2)/(2*EvSigma^2))))),"")</f>
        <v/>
      </c>
      <c r="O6904">
        <f>IF(B6904,ROUND(MAX(0,J6904*K6904*L6904*M6904*N6904),2),"")</f>
        <v/>
      </c>
    </row>
    <row r="6905">
      <c r="A6905" t="n">
        <v>6904</v>
      </c>
      <c r="B6905">
        <f>A6905&lt;=MineCount*Days</f>
        <v/>
      </c>
      <c r="C6905">
        <f>IF(B6905,INT((A6905-1)/Days)+1,"")</f>
        <v/>
      </c>
      <c r="D6905">
        <f>IF(B6905,MOD(A6905-1,Days),"")</f>
        <v/>
      </c>
      <c r="E6905" s="16">
        <f>IF(B6905,StartDate+D6905,"")</f>
        <v/>
      </c>
      <c r="F6905">
        <f>IF(B6905,MAX(MOD(SIN(Seed*0.1373+C6905*12.9898+D6905*78.233)*43758.5453,1),1E-9),"")</f>
        <v/>
      </c>
      <c r="G6905">
        <f>IF(B6905,MOD(SIN(Seed*0.5917+C6905*39.3468+D6905*11.135)*24634.6345,1),"")</f>
        <v/>
      </c>
      <c r="H6905">
        <f>IF(B6905,SQRT(-2*LN(F6905))*COS(2*PI()*G6905),"")</f>
        <v/>
      </c>
      <c r="I6905">
        <f>IF(B6905,IF(D6905=0,H6905,Rho*I6904+SQRT(1-Rho^2)*H6905),"")</f>
        <v/>
      </c>
      <c r="J6905">
        <f>IF(B6905,IF(Dist="Normal",DistA+DistB*I6905,DistA+(DistB-DistA)*NORMSDIST(I6905)),"")</f>
        <v/>
      </c>
      <c r="K6905">
        <f>IF(B6905,INDEX(MineScale,C6905),"")</f>
        <v/>
      </c>
      <c r="L6905">
        <f>IF(B6905,INDEX(Dow,1,WEEKDAY(E6905,2)),"")</f>
        <v/>
      </c>
      <c r="M6905">
        <f>IF(B6905,(1+Trend)^D6905,"")</f>
        <v/>
      </c>
      <c r="N6905">
        <f>IF(B6905,EXP(SUMPRODUCT(LN(1+(EvEff-1)*INDEX(Affected,0,C6905)*EXP(-((E6905-EvCenter)^2)/(2*EvSigma^2))))),"")</f>
        <v/>
      </c>
      <c r="O6905">
        <f>IF(B6905,ROUND(MAX(0,J6905*K6905*L6905*M6905*N6905),2),"")</f>
        <v/>
      </c>
    </row>
    <row r="6906">
      <c r="A6906" t="n">
        <v>6905</v>
      </c>
      <c r="B6906">
        <f>A6906&lt;=MineCount*Days</f>
        <v/>
      </c>
      <c r="C6906">
        <f>IF(B6906,INT((A6906-1)/Days)+1,"")</f>
        <v/>
      </c>
      <c r="D6906">
        <f>IF(B6906,MOD(A6906-1,Days),"")</f>
        <v/>
      </c>
      <c r="E6906" s="16">
        <f>IF(B6906,StartDate+D6906,"")</f>
        <v/>
      </c>
      <c r="F6906">
        <f>IF(B6906,MAX(MOD(SIN(Seed*0.1373+C6906*12.9898+D6906*78.233)*43758.5453,1),1E-9),"")</f>
        <v/>
      </c>
      <c r="G6906">
        <f>IF(B6906,MOD(SIN(Seed*0.5917+C6906*39.3468+D6906*11.135)*24634.6345,1),"")</f>
        <v/>
      </c>
      <c r="H6906">
        <f>IF(B6906,SQRT(-2*LN(F6906))*COS(2*PI()*G6906),"")</f>
        <v/>
      </c>
      <c r="I6906">
        <f>IF(B6906,IF(D6906=0,H6906,Rho*I6905+SQRT(1-Rho^2)*H6906),"")</f>
        <v/>
      </c>
      <c r="J6906">
        <f>IF(B6906,IF(Dist="Normal",DistA+DistB*I6906,DistA+(DistB-DistA)*NORMSDIST(I6906)),"")</f>
        <v/>
      </c>
      <c r="K6906">
        <f>IF(B6906,INDEX(MineScale,C6906),"")</f>
        <v/>
      </c>
      <c r="L6906">
        <f>IF(B6906,INDEX(Dow,1,WEEKDAY(E6906,2)),"")</f>
        <v/>
      </c>
      <c r="M6906">
        <f>IF(B6906,(1+Trend)^D6906,"")</f>
        <v/>
      </c>
      <c r="N6906">
        <f>IF(B6906,EXP(SUMPRODUCT(LN(1+(EvEff-1)*INDEX(Affected,0,C6906)*EXP(-((E6906-EvCenter)^2)/(2*EvSigma^2))))),"")</f>
        <v/>
      </c>
      <c r="O6906">
        <f>IF(B6906,ROUND(MAX(0,J6906*K6906*L6906*M6906*N6906),2),"")</f>
        <v/>
      </c>
    </row>
    <row r="6907">
      <c r="A6907" t="n">
        <v>6906</v>
      </c>
      <c r="B6907">
        <f>A6907&lt;=MineCount*Days</f>
        <v/>
      </c>
      <c r="C6907">
        <f>IF(B6907,INT((A6907-1)/Days)+1,"")</f>
        <v/>
      </c>
      <c r="D6907">
        <f>IF(B6907,MOD(A6907-1,Days),"")</f>
        <v/>
      </c>
      <c r="E6907" s="16">
        <f>IF(B6907,StartDate+D6907,"")</f>
        <v/>
      </c>
      <c r="F6907">
        <f>IF(B6907,MAX(MOD(SIN(Seed*0.1373+C6907*12.9898+D6907*78.233)*43758.5453,1),1E-9),"")</f>
        <v/>
      </c>
      <c r="G6907">
        <f>IF(B6907,MOD(SIN(Seed*0.5917+C6907*39.3468+D6907*11.135)*24634.6345,1),"")</f>
        <v/>
      </c>
      <c r="H6907">
        <f>IF(B6907,SQRT(-2*LN(F6907))*COS(2*PI()*G6907),"")</f>
        <v/>
      </c>
      <c r="I6907">
        <f>IF(B6907,IF(D6907=0,H6907,Rho*I6906+SQRT(1-Rho^2)*H6907),"")</f>
        <v/>
      </c>
      <c r="J6907">
        <f>IF(B6907,IF(Dist="Normal",DistA+DistB*I6907,DistA+(DistB-DistA)*NORMSDIST(I6907)),"")</f>
        <v/>
      </c>
      <c r="K6907">
        <f>IF(B6907,INDEX(MineScale,C6907),"")</f>
        <v/>
      </c>
      <c r="L6907">
        <f>IF(B6907,INDEX(Dow,1,WEEKDAY(E6907,2)),"")</f>
        <v/>
      </c>
      <c r="M6907">
        <f>IF(B6907,(1+Trend)^D6907,"")</f>
        <v/>
      </c>
      <c r="N6907">
        <f>IF(B6907,EXP(SUMPRODUCT(LN(1+(EvEff-1)*INDEX(Affected,0,C6907)*EXP(-((E6907-EvCenter)^2)/(2*EvSigma^2))))),"")</f>
        <v/>
      </c>
      <c r="O6907">
        <f>IF(B6907,ROUND(MAX(0,J6907*K6907*L6907*M6907*N6907),2),"")</f>
        <v/>
      </c>
    </row>
    <row r="6908">
      <c r="A6908" t="n">
        <v>6907</v>
      </c>
      <c r="B6908">
        <f>A6908&lt;=MineCount*Days</f>
        <v/>
      </c>
      <c r="C6908">
        <f>IF(B6908,INT((A6908-1)/Days)+1,"")</f>
        <v/>
      </c>
      <c r="D6908">
        <f>IF(B6908,MOD(A6908-1,Days),"")</f>
        <v/>
      </c>
      <c r="E6908" s="16">
        <f>IF(B6908,StartDate+D6908,"")</f>
        <v/>
      </c>
      <c r="F6908">
        <f>IF(B6908,MAX(MOD(SIN(Seed*0.1373+C6908*12.9898+D6908*78.233)*43758.5453,1),1E-9),"")</f>
        <v/>
      </c>
      <c r="G6908">
        <f>IF(B6908,MOD(SIN(Seed*0.5917+C6908*39.3468+D6908*11.135)*24634.6345,1),"")</f>
        <v/>
      </c>
      <c r="H6908">
        <f>IF(B6908,SQRT(-2*LN(F6908))*COS(2*PI()*G6908),"")</f>
        <v/>
      </c>
      <c r="I6908">
        <f>IF(B6908,IF(D6908=0,H6908,Rho*I6907+SQRT(1-Rho^2)*H6908),"")</f>
        <v/>
      </c>
      <c r="J6908">
        <f>IF(B6908,IF(Dist="Normal",DistA+DistB*I6908,DistA+(DistB-DistA)*NORMSDIST(I6908)),"")</f>
        <v/>
      </c>
      <c r="K6908">
        <f>IF(B6908,INDEX(MineScale,C6908),"")</f>
        <v/>
      </c>
      <c r="L6908">
        <f>IF(B6908,INDEX(Dow,1,WEEKDAY(E6908,2)),"")</f>
        <v/>
      </c>
      <c r="M6908">
        <f>IF(B6908,(1+Trend)^D6908,"")</f>
        <v/>
      </c>
      <c r="N6908">
        <f>IF(B6908,EXP(SUMPRODUCT(LN(1+(EvEff-1)*INDEX(Affected,0,C6908)*EXP(-((E6908-EvCenter)^2)/(2*EvSigma^2))))),"")</f>
        <v/>
      </c>
      <c r="O6908">
        <f>IF(B6908,ROUND(MAX(0,J6908*K6908*L6908*M6908*N6908),2),"")</f>
        <v/>
      </c>
    </row>
    <row r="6909">
      <c r="A6909" t="n">
        <v>6908</v>
      </c>
      <c r="B6909">
        <f>A6909&lt;=MineCount*Days</f>
        <v/>
      </c>
      <c r="C6909">
        <f>IF(B6909,INT((A6909-1)/Days)+1,"")</f>
        <v/>
      </c>
      <c r="D6909">
        <f>IF(B6909,MOD(A6909-1,Days),"")</f>
        <v/>
      </c>
      <c r="E6909" s="16">
        <f>IF(B6909,StartDate+D6909,"")</f>
        <v/>
      </c>
      <c r="F6909">
        <f>IF(B6909,MAX(MOD(SIN(Seed*0.1373+C6909*12.9898+D6909*78.233)*43758.5453,1),1E-9),"")</f>
        <v/>
      </c>
      <c r="G6909">
        <f>IF(B6909,MOD(SIN(Seed*0.5917+C6909*39.3468+D6909*11.135)*24634.6345,1),"")</f>
        <v/>
      </c>
      <c r="H6909">
        <f>IF(B6909,SQRT(-2*LN(F6909))*COS(2*PI()*G6909),"")</f>
        <v/>
      </c>
      <c r="I6909">
        <f>IF(B6909,IF(D6909=0,H6909,Rho*I6908+SQRT(1-Rho^2)*H6909),"")</f>
        <v/>
      </c>
      <c r="J6909">
        <f>IF(B6909,IF(Dist="Normal",DistA+DistB*I6909,DistA+(DistB-DistA)*NORMSDIST(I6909)),"")</f>
        <v/>
      </c>
      <c r="K6909">
        <f>IF(B6909,INDEX(MineScale,C6909),"")</f>
        <v/>
      </c>
      <c r="L6909">
        <f>IF(B6909,INDEX(Dow,1,WEEKDAY(E6909,2)),"")</f>
        <v/>
      </c>
      <c r="M6909">
        <f>IF(B6909,(1+Trend)^D6909,"")</f>
        <v/>
      </c>
      <c r="N6909">
        <f>IF(B6909,EXP(SUMPRODUCT(LN(1+(EvEff-1)*INDEX(Affected,0,C6909)*EXP(-((E6909-EvCenter)^2)/(2*EvSigma^2))))),"")</f>
        <v/>
      </c>
      <c r="O6909">
        <f>IF(B6909,ROUND(MAX(0,J6909*K6909*L6909*M6909*N6909),2),"")</f>
        <v/>
      </c>
    </row>
    <row r="6910">
      <c r="A6910" t="n">
        <v>6909</v>
      </c>
      <c r="B6910">
        <f>A6910&lt;=MineCount*Days</f>
        <v/>
      </c>
      <c r="C6910">
        <f>IF(B6910,INT((A6910-1)/Days)+1,"")</f>
        <v/>
      </c>
      <c r="D6910">
        <f>IF(B6910,MOD(A6910-1,Days),"")</f>
        <v/>
      </c>
      <c r="E6910" s="16">
        <f>IF(B6910,StartDate+D6910,"")</f>
        <v/>
      </c>
      <c r="F6910">
        <f>IF(B6910,MAX(MOD(SIN(Seed*0.1373+C6910*12.9898+D6910*78.233)*43758.5453,1),1E-9),"")</f>
        <v/>
      </c>
      <c r="G6910">
        <f>IF(B6910,MOD(SIN(Seed*0.5917+C6910*39.3468+D6910*11.135)*24634.6345,1),"")</f>
        <v/>
      </c>
      <c r="H6910">
        <f>IF(B6910,SQRT(-2*LN(F6910))*COS(2*PI()*G6910),"")</f>
        <v/>
      </c>
      <c r="I6910">
        <f>IF(B6910,IF(D6910=0,H6910,Rho*I6909+SQRT(1-Rho^2)*H6910),"")</f>
        <v/>
      </c>
      <c r="J6910">
        <f>IF(B6910,IF(Dist="Normal",DistA+DistB*I6910,DistA+(DistB-DistA)*NORMSDIST(I6910)),"")</f>
        <v/>
      </c>
      <c r="K6910">
        <f>IF(B6910,INDEX(MineScale,C6910),"")</f>
        <v/>
      </c>
      <c r="L6910">
        <f>IF(B6910,INDEX(Dow,1,WEEKDAY(E6910,2)),"")</f>
        <v/>
      </c>
      <c r="M6910">
        <f>IF(B6910,(1+Trend)^D6910,"")</f>
        <v/>
      </c>
      <c r="N6910">
        <f>IF(B6910,EXP(SUMPRODUCT(LN(1+(EvEff-1)*INDEX(Affected,0,C6910)*EXP(-((E6910-EvCenter)^2)/(2*EvSigma^2))))),"")</f>
        <v/>
      </c>
      <c r="O6910">
        <f>IF(B6910,ROUND(MAX(0,J6910*K6910*L6910*M6910*N6910),2),"")</f>
        <v/>
      </c>
    </row>
    <row r="6911">
      <c r="A6911" t="n">
        <v>6910</v>
      </c>
      <c r="B6911">
        <f>A6911&lt;=MineCount*Days</f>
        <v/>
      </c>
      <c r="C6911">
        <f>IF(B6911,INT((A6911-1)/Days)+1,"")</f>
        <v/>
      </c>
      <c r="D6911">
        <f>IF(B6911,MOD(A6911-1,Days),"")</f>
        <v/>
      </c>
      <c r="E6911" s="16">
        <f>IF(B6911,StartDate+D6911,"")</f>
        <v/>
      </c>
      <c r="F6911">
        <f>IF(B6911,MAX(MOD(SIN(Seed*0.1373+C6911*12.9898+D6911*78.233)*43758.5453,1),1E-9),"")</f>
        <v/>
      </c>
      <c r="G6911">
        <f>IF(B6911,MOD(SIN(Seed*0.5917+C6911*39.3468+D6911*11.135)*24634.6345,1),"")</f>
        <v/>
      </c>
      <c r="H6911">
        <f>IF(B6911,SQRT(-2*LN(F6911))*COS(2*PI()*G6911),"")</f>
        <v/>
      </c>
      <c r="I6911">
        <f>IF(B6911,IF(D6911=0,H6911,Rho*I6910+SQRT(1-Rho^2)*H6911),"")</f>
        <v/>
      </c>
      <c r="J6911">
        <f>IF(B6911,IF(Dist="Normal",DistA+DistB*I6911,DistA+(DistB-DistA)*NORMSDIST(I6911)),"")</f>
        <v/>
      </c>
      <c r="K6911">
        <f>IF(B6911,INDEX(MineScale,C6911),"")</f>
        <v/>
      </c>
      <c r="L6911">
        <f>IF(B6911,INDEX(Dow,1,WEEKDAY(E6911,2)),"")</f>
        <v/>
      </c>
      <c r="M6911">
        <f>IF(B6911,(1+Trend)^D6911,"")</f>
        <v/>
      </c>
      <c r="N6911">
        <f>IF(B6911,EXP(SUMPRODUCT(LN(1+(EvEff-1)*INDEX(Affected,0,C6911)*EXP(-((E6911-EvCenter)^2)/(2*EvSigma^2))))),"")</f>
        <v/>
      </c>
      <c r="O6911">
        <f>IF(B6911,ROUND(MAX(0,J6911*K6911*L6911*M6911*N6911),2),"")</f>
        <v/>
      </c>
    </row>
    <row r="6912">
      <c r="A6912" t="n">
        <v>6911</v>
      </c>
      <c r="B6912">
        <f>A6912&lt;=MineCount*Days</f>
        <v/>
      </c>
      <c r="C6912">
        <f>IF(B6912,INT((A6912-1)/Days)+1,"")</f>
        <v/>
      </c>
      <c r="D6912">
        <f>IF(B6912,MOD(A6912-1,Days),"")</f>
        <v/>
      </c>
      <c r="E6912" s="16">
        <f>IF(B6912,StartDate+D6912,"")</f>
        <v/>
      </c>
      <c r="F6912">
        <f>IF(B6912,MAX(MOD(SIN(Seed*0.1373+C6912*12.9898+D6912*78.233)*43758.5453,1),1E-9),"")</f>
        <v/>
      </c>
      <c r="G6912">
        <f>IF(B6912,MOD(SIN(Seed*0.5917+C6912*39.3468+D6912*11.135)*24634.6345,1),"")</f>
        <v/>
      </c>
      <c r="H6912">
        <f>IF(B6912,SQRT(-2*LN(F6912))*COS(2*PI()*G6912),"")</f>
        <v/>
      </c>
      <c r="I6912">
        <f>IF(B6912,IF(D6912=0,H6912,Rho*I6911+SQRT(1-Rho^2)*H6912),"")</f>
        <v/>
      </c>
      <c r="J6912">
        <f>IF(B6912,IF(Dist="Normal",DistA+DistB*I6912,DistA+(DistB-DistA)*NORMSDIST(I6912)),"")</f>
        <v/>
      </c>
      <c r="K6912">
        <f>IF(B6912,INDEX(MineScale,C6912),"")</f>
        <v/>
      </c>
      <c r="L6912">
        <f>IF(B6912,INDEX(Dow,1,WEEKDAY(E6912,2)),"")</f>
        <v/>
      </c>
      <c r="M6912">
        <f>IF(B6912,(1+Trend)^D6912,"")</f>
        <v/>
      </c>
      <c r="N6912">
        <f>IF(B6912,EXP(SUMPRODUCT(LN(1+(EvEff-1)*INDEX(Affected,0,C6912)*EXP(-((E6912-EvCenter)^2)/(2*EvSigma^2))))),"")</f>
        <v/>
      </c>
      <c r="O6912">
        <f>IF(B6912,ROUND(MAX(0,J6912*K6912*L6912*M6912*N6912),2),"")</f>
        <v/>
      </c>
    </row>
    <row r="6913">
      <c r="A6913" t="n">
        <v>6912</v>
      </c>
      <c r="B6913">
        <f>A6913&lt;=MineCount*Days</f>
        <v/>
      </c>
      <c r="C6913">
        <f>IF(B6913,INT((A6913-1)/Days)+1,"")</f>
        <v/>
      </c>
      <c r="D6913">
        <f>IF(B6913,MOD(A6913-1,Days),"")</f>
        <v/>
      </c>
      <c r="E6913" s="16">
        <f>IF(B6913,StartDate+D6913,"")</f>
        <v/>
      </c>
      <c r="F6913">
        <f>IF(B6913,MAX(MOD(SIN(Seed*0.1373+C6913*12.9898+D6913*78.233)*43758.5453,1),1E-9),"")</f>
        <v/>
      </c>
      <c r="G6913">
        <f>IF(B6913,MOD(SIN(Seed*0.5917+C6913*39.3468+D6913*11.135)*24634.6345,1),"")</f>
        <v/>
      </c>
      <c r="H6913">
        <f>IF(B6913,SQRT(-2*LN(F6913))*COS(2*PI()*G6913),"")</f>
        <v/>
      </c>
      <c r="I6913">
        <f>IF(B6913,IF(D6913=0,H6913,Rho*I6912+SQRT(1-Rho^2)*H6913),"")</f>
        <v/>
      </c>
      <c r="J6913">
        <f>IF(B6913,IF(Dist="Normal",DistA+DistB*I6913,DistA+(DistB-DistA)*NORMSDIST(I6913)),"")</f>
        <v/>
      </c>
      <c r="K6913">
        <f>IF(B6913,INDEX(MineScale,C6913),"")</f>
        <v/>
      </c>
      <c r="L6913">
        <f>IF(B6913,INDEX(Dow,1,WEEKDAY(E6913,2)),"")</f>
        <v/>
      </c>
      <c r="M6913">
        <f>IF(B6913,(1+Trend)^D6913,"")</f>
        <v/>
      </c>
      <c r="N6913">
        <f>IF(B6913,EXP(SUMPRODUCT(LN(1+(EvEff-1)*INDEX(Affected,0,C6913)*EXP(-((E6913-EvCenter)^2)/(2*EvSigma^2))))),"")</f>
        <v/>
      </c>
      <c r="O6913">
        <f>IF(B6913,ROUND(MAX(0,J6913*K6913*L6913*M6913*N6913),2),"")</f>
        <v/>
      </c>
    </row>
    <row r="6914">
      <c r="A6914" t="n">
        <v>6913</v>
      </c>
      <c r="B6914">
        <f>A6914&lt;=MineCount*Days</f>
        <v/>
      </c>
      <c r="C6914">
        <f>IF(B6914,INT((A6914-1)/Days)+1,"")</f>
        <v/>
      </c>
      <c r="D6914">
        <f>IF(B6914,MOD(A6914-1,Days),"")</f>
        <v/>
      </c>
      <c r="E6914" s="16">
        <f>IF(B6914,StartDate+D6914,"")</f>
        <v/>
      </c>
      <c r="F6914">
        <f>IF(B6914,MAX(MOD(SIN(Seed*0.1373+C6914*12.9898+D6914*78.233)*43758.5453,1),1E-9),"")</f>
        <v/>
      </c>
      <c r="G6914">
        <f>IF(B6914,MOD(SIN(Seed*0.5917+C6914*39.3468+D6914*11.135)*24634.6345,1),"")</f>
        <v/>
      </c>
      <c r="H6914">
        <f>IF(B6914,SQRT(-2*LN(F6914))*COS(2*PI()*G6914),"")</f>
        <v/>
      </c>
      <c r="I6914">
        <f>IF(B6914,IF(D6914=0,H6914,Rho*I6913+SQRT(1-Rho^2)*H6914),"")</f>
        <v/>
      </c>
      <c r="J6914">
        <f>IF(B6914,IF(Dist="Normal",DistA+DistB*I6914,DistA+(DistB-DistA)*NORMSDIST(I6914)),"")</f>
        <v/>
      </c>
      <c r="K6914">
        <f>IF(B6914,INDEX(MineScale,C6914),"")</f>
        <v/>
      </c>
      <c r="L6914">
        <f>IF(B6914,INDEX(Dow,1,WEEKDAY(E6914,2)),"")</f>
        <v/>
      </c>
      <c r="M6914">
        <f>IF(B6914,(1+Trend)^D6914,"")</f>
        <v/>
      </c>
      <c r="N6914">
        <f>IF(B6914,EXP(SUMPRODUCT(LN(1+(EvEff-1)*INDEX(Affected,0,C6914)*EXP(-((E6914-EvCenter)^2)/(2*EvSigma^2))))),"")</f>
        <v/>
      </c>
      <c r="O6914">
        <f>IF(B6914,ROUND(MAX(0,J6914*K6914*L6914*M6914*N6914),2),"")</f>
        <v/>
      </c>
    </row>
    <row r="6915">
      <c r="A6915" t="n">
        <v>6914</v>
      </c>
      <c r="B6915">
        <f>A6915&lt;=MineCount*Days</f>
        <v/>
      </c>
      <c r="C6915">
        <f>IF(B6915,INT((A6915-1)/Days)+1,"")</f>
        <v/>
      </c>
      <c r="D6915">
        <f>IF(B6915,MOD(A6915-1,Days),"")</f>
        <v/>
      </c>
      <c r="E6915" s="16">
        <f>IF(B6915,StartDate+D6915,"")</f>
        <v/>
      </c>
      <c r="F6915">
        <f>IF(B6915,MAX(MOD(SIN(Seed*0.1373+C6915*12.9898+D6915*78.233)*43758.5453,1),1E-9),"")</f>
        <v/>
      </c>
      <c r="G6915">
        <f>IF(B6915,MOD(SIN(Seed*0.5917+C6915*39.3468+D6915*11.135)*24634.6345,1),"")</f>
        <v/>
      </c>
      <c r="H6915">
        <f>IF(B6915,SQRT(-2*LN(F6915))*COS(2*PI()*G6915),"")</f>
        <v/>
      </c>
      <c r="I6915">
        <f>IF(B6915,IF(D6915=0,H6915,Rho*I6914+SQRT(1-Rho^2)*H6915),"")</f>
        <v/>
      </c>
      <c r="J6915">
        <f>IF(B6915,IF(Dist="Normal",DistA+DistB*I6915,DistA+(DistB-DistA)*NORMSDIST(I6915)),"")</f>
        <v/>
      </c>
      <c r="K6915">
        <f>IF(B6915,INDEX(MineScale,C6915),"")</f>
        <v/>
      </c>
      <c r="L6915">
        <f>IF(B6915,INDEX(Dow,1,WEEKDAY(E6915,2)),"")</f>
        <v/>
      </c>
      <c r="M6915">
        <f>IF(B6915,(1+Trend)^D6915,"")</f>
        <v/>
      </c>
      <c r="N6915">
        <f>IF(B6915,EXP(SUMPRODUCT(LN(1+(EvEff-1)*INDEX(Affected,0,C6915)*EXP(-((E6915-EvCenter)^2)/(2*EvSigma^2))))),"")</f>
        <v/>
      </c>
      <c r="O6915">
        <f>IF(B6915,ROUND(MAX(0,J6915*K6915*L6915*M6915*N6915),2),"")</f>
        <v/>
      </c>
    </row>
    <row r="6916">
      <c r="A6916" t="n">
        <v>6915</v>
      </c>
      <c r="B6916">
        <f>A6916&lt;=MineCount*Days</f>
        <v/>
      </c>
      <c r="C6916">
        <f>IF(B6916,INT((A6916-1)/Days)+1,"")</f>
        <v/>
      </c>
      <c r="D6916">
        <f>IF(B6916,MOD(A6916-1,Days),"")</f>
        <v/>
      </c>
      <c r="E6916" s="16">
        <f>IF(B6916,StartDate+D6916,"")</f>
        <v/>
      </c>
      <c r="F6916">
        <f>IF(B6916,MAX(MOD(SIN(Seed*0.1373+C6916*12.9898+D6916*78.233)*43758.5453,1),1E-9),"")</f>
        <v/>
      </c>
      <c r="G6916">
        <f>IF(B6916,MOD(SIN(Seed*0.5917+C6916*39.3468+D6916*11.135)*24634.6345,1),"")</f>
        <v/>
      </c>
      <c r="H6916">
        <f>IF(B6916,SQRT(-2*LN(F6916))*COS(2*PI()*G6916),"")</f>
        <v/>
      </c>
      <c r="I6916">
        <f>IF(B6916,IF(D6916=0,H6916,Rho*I6915+SQRT(1-Rho^2)*H6916),"")</f>
        <v/>
      </c>
      <c r="J6916">
        <f>IF(B6916,IF(Dist="Normal",DistA+DistB*I6916,DistA+(DistB-DistA)*NORMSDIST(I6916)),"")</f>
        <v/>
      </c>
      <c r="K6916">
        <f>IF(B6916,INDEX(MineScale,C6916),"")</f>
        <v/>
      </c>
      <c r="L6916">
        <f>IF(B6916,INDEX(Dow,1,WEEKDAY(E6916,2)),"")</f>
        <v/>
      </c>
      <c r="M6916">
        <f>IF(B6916,(1+Trend)^D6916,"")</f>
        <v/>
      </c>
      <c r="N6916">
        <f>IF(B6916,EXP(SUMPRODUCT(LN(1+(EvEff-1)*INDEX(Affected,0,C6916)*EXP(-((E6916-EvCenter)^2)/(2*EvSigma^2))))),"")</f>
        <v/>
      </c>
      <c r="O6916">
        <f>IF(B6916,ROUND(MAX(0,J6916*K6916*L6916*M6916*N6916),2),"")</f>
        <v/>
      </c>
    </row>
    <row r="6917">
      <c r="A6917" t="n">
        <v>6916</v>
      </c>
      <c r="B6917">
        <f>A6917&lt;=MineCount*Days</f>
        <v/>
      </c>
      <c r="C6917">
        <f>IF(B6917,INT((A6917-1)/Days)+1,"")</f>
        <v/>
      </c>
      <c r="D6917">
        <f>IF(B6917,MOD(A6917-1,Days),"")</f>
        <v/>
      </c>
      <c r="E6917" s="16">
        <f>IF(B6917,StartDate+D6917,"")</f>
        <v/>
      </c>
      <c r="F6917">
        <f>IF(B6917,MAX(MOD(SIN(Seed*0.1373+C6917*12.9898+D6917*78.233)*43758.5453,1),1E-9),"")</f>
        <v/>
      </c>
      <c r="G6917">
        <f>IF(B6917,MOD(SIN(Seed*0.5917+C6917*39.3468+D6917*11.135)*24634.6345,1),"")</f>
        <v/>
      </c>
      <c r="H6917">
        <f>IF(B6917,SQRT(-2*LN(F6917))*COS(2*PI()*G6917),"")</f>
        <v/>
      </c>
      <c r="I6917">
        <f>IF(B6917,IF(D6917=0,H6917,Rho*I6916+SQRT(1-Rho^2)*H6917),"")</f>
        <v/>
      </c>
      <c r="J6917">
        <f>IF(B6917,IF(Dist="Normal",DistA+DistB*I6917,DistA+(DistB-DistA)*NORMSDIST(I6917)),"")</f>
        <v/>
      </c>
      <c r="K6917">
        <f>IF(B6917,INDEX(MineScale,C6917),"")</f>
        <v/>
      </c>
      <c r="L6917">
        <f>IF(B6917,INDEX(Dow,1,WEEKDAY(E6917,2)),"")</f>
        <v/>
      </c>
      <c r="M6917">
        <f>IF(B6917,(1+Trend)^D6917,"")</f>
        <v/>
      </c>
      <c r="N6917">
        <f>IF(B6917,EXP(SUMPRODUCT(LN(1+(EvEff-1)*INDEX(Affected,0,C6917)*EXP(-((E6917-EvCenter)^2)/(2*EvSigma^2))))),"")</f>
        <v/>
      </c>
      <c r="O6917">
        <f>IF(B6917,ROUND(MAX(0,J6917*K6917*L6917*M6917*N6917),2),"")</f>
        <v/>
      </c>
    </row>
    <row r="6918">
      <c r="A6918" t="n">
        <v>6917</v>
      </c>
      <c r="B6918">
        <f>A6918&lt;=MineCount*Days</f>
        <v/>
      </c>
      <c r="C6918">
        <f>IF(B6918,INT((A6918-1)/Days)+1,"")</f>
        <v/>
      </c>
      <c r="D6918">
        <f>IF(B6918,MOD(A6918-1,Days),"")</f>
        <v/>
      </c>
      <c r="E6918" s="16">
        <f>IF(B6918,StartDate+D6918,"")</f>
        <v/>
      </c>
      <c r="F6918">
        <f>IF(B6918,MAX(MOD(SIN(Seed*0.1373+C6918*12.9898+D6918*78.233)*43758.5453,1),1E-9),"")</f>
        <v/>
      </c>
      <c r="G6918">
        <f>IF(B6918,MOD(SIN(Seed*0.5917+C6918*39.3468+D6918*11.135)*24634.6345,1),"")</f>
        <v/>
      </c>
      <c r="H6918">
        <f>IF(B6918,SQRT(-2*LN(F6918))*COS(2*PI()*G6918),"")</f>
        <v/>
      </c>
      <c r="I6918">
        <f>IF(B6918,IF(D6918=0,H6918,Rho*I6917+SQRT(1-Rho^2)*H6918),"")</f>
        <v/>
      </c>
      <c r="J6918">
        <f>IF(B6918,IF(Dist="Normal",DistA+DistB*I6918,DistA+(DistB-DistA)*NORMSDIST(I6918)),"")</f>
        <v/>
      </c>
      <c r="K6918">
        <f>IF(B6918,INDEX(MineScale,C6918),"")</f>
        <v/>
      </c>
      <c r="L6918">
        <f>IF(B6918,INDEX(Dow,1,WEEKDAY(E6918,2)),"")</f>
        <v/>
      </c>
      <c r="M6918">
        <f>IF(B6918,(1+Trend)^D6918,"")</f>
        <v/>
      </c>
      <c r="N6918">
        <f>IF(B6918,EXP(SUMPRODUCT(LN(1+(EvEff-1)*INDEX(Affected,0,C6918)*EXP(-((E6918-EvCenter)^2)/(2*EvSigma^2))))),"")</f>
        <v/>
      </c>
      <c r="O6918">
        <f>IF(B6918,ROUND(MAX(0,J6918*K6918*L6918*M6918*N6918),2),"")</f>
        <v/>
      </c>
    </row>
    <row r="6919">
      <c r="A6919" t="n">
        <v>6918</v>
      </c>
      <c r="B6919">
        <f>A6919&lt;=MineCount*Days</f>
        <v/>
      </c>
      <c r="C6919">
        <f>IF(B6919,INT((A6919-1)/Days)+1,"")</f>
        <v/>
      </c>
      <c r="D6919">
        <f>IF(B6919,MOD(A6919-1,Days),"")</f>
        <v/>
      </c>
      <c r="E6919" s="16">
        <f>IF(B6919,StartDate+D6919,"")</f>
        <v/>
      </c>
      <c r="F6919">
        <f>IF(B6919,MAX(MOD(SIN(Seed*0.1373+C6919*12.9898+D6919*78.233)*43758.5453,1),1E-9),"")</f>
        <v/>
      </c>
      <c r="G6919">
        <f>IF(B6919,MOD(SIN(Seed*0.5917+C6919*39.3468+D6919*11.135)*24634.6345,1),"")</f>
        <v/>
      </c>
      <c r="H6919">
        <f>IF(B6919,SQRT(-2*LN(F6919))*COS(2*PI()*G6919),"")</f>
        <v/>
      </c>
      <c r="I6919">
        <f>IF(B6919,IF(D6919=0,H6919,Rho*I6918+SQRT(1-Rho^2)*H6919),"")</f>
        <v/>
      </c>
      <c r="J6919">
        <f>IF(B6919,IF(Dist="Normal",DistA+DistB*I6919,DistA+(DistB-DistA)*NORMSDIST(I6919)),"")</f>
        <v/>
      </c>
      <c r="K6919">
        <f>IF(B6919,INDEX(MineScale,C6919),"")</f>
        <v/>
      </c>
      <c r="L6919">
        <f>IF(B6919,INDEX(Dow,1,WEEKDAY(E6919,2)),"")</f>
        <v/>
      </c>
      <c r="M6919">
        <f>IF(B6919,(1+Trend)^D6919,"")</f>
        <v/>
      </c>
      <c r="N6919">
        <f>IF(B6919,EXP(SUMPRODUCT(LN(1+(EvEff-1)*INDEX(Affected,0,C6919)*EXP(-((E6919-EvCenter)^2)/(2*EvSigma^2))))),"")</f>
        <v/>
      </c>
      <c r="O6919">
        <f>IF(B6919,ROUND(MAX(0,J6919*K6919*L6919*M6919*N6919),2),"")</f>
        <v/>
      </c>
    </row>
    <row r="6920">
      <c r="A6920" t="n">
        <v>6919</v>
      </c>
      <c r="B6920">
        <f>A6920&lt;=MineCount*Days</f>
        <v/>
      </c>
      <c r="C6920">
        <f>IF(B6920,INT((A6920-1)/Days)+1,"")</f>
        <v/>
      </c>
      <c r="D6920">
        <f>IF(B6920,MOD(A6920-1,Days),"")</f>
        <v/>
      </c>
      <c r="E6920" s="16">
        <f>IF(B6920,StartDate+D6920,"")</f>
        <v/>
      </c>
      <c r="F6920">
        <f>IF(B6920,MAX(MOD(SIN(Seed*0.1373+C6920*12.9898+D6920*78.233)*43758.5453,1),1E-9),"")</f>
        <v/>
      </c>
      <c r="G6920">
        <f>IF(B6920,MOD(SIN(Seed*0.5917+C6920*39.3468+D6920*11.135)*24634.6345,1),"")</f>
        <v/>
      </c>
      <c r="H6920">
        <f>IF(B6920,SQRT(-2*LN(F6920))*COS(2*PI()*G6920),"")</f>
        <v/>
      </c>
      <c r="I6920">
        <f>IF(B6920,IF(D6920=0,H6920,Rho*I6919+SQRT(1-Rho^2)*H6920),"")</f>
        <v/>
      </c>
      <c r="J6920">
        <f>IF(B6920,IF(Dist="Normal",DistA+DistB*I6920,DistA+(DistB-DistA)*NORMSDIST(I6920)),"")</f>
        <v/>
      </c>
      <c r="K6920">
        <f>IF(B6920,INDEX(MineScale,C6920),"")</f>
        <v/>
      </c>
      <c r="L6920">
        <f>IF(B6920,INDEX(Dow,1,WEEKDAY(E6920,2)),"")</f>
        <v/>
      </c>
      <c r="M6920">
        <f>IF(B6920,(1+Trend)^D6920,"")</f>
        <v/>
      </c>
      <c r="N6920">
        <f>IF(B6920,EXP(SUMPRODUCT(LN(1+(EvEff-1)*INDEX(Affected,0,C6920)*EXP(-((E6920-EvCenter)^2)/(2*EvSigma^2))))),"")</f>
        <v/>
      </c>
      <c r="O6920">
        <f>IF(B6920,ROUND(MAX(0,J6920*K6920*L6920*M6920*N6920),2),"")</f>
        <v/>
      </c>
    </row>
    <row r="6921">
      <c r="A6921" t="n">
        <v>6920</v>
      </c>
      <c r="B6921">
        <f>A6921&lt;=MineCount*Days</f>
        <v/>
      </c>
      <c r="C6921">
        <f>IF(B6921,INT((A6921-1)/Days)+1,"")</f>
        <v/>
      </c>
      <c r="D6921">
        <f>IF(B6921,MOD(A6921-1,Days),"")</f>
        <v/>
      </c>
      <c r="E6921" s="16">
        <f>IF(B6921,StartDate+D6921,"")</f>
        <v/>
      </c>
      <c r="F6921">
        <f>IF(B6921,MAX(MOD(SIN(Seed*0.1373+C6921*12.9898+D6921*78.233)*43758.5453,1),1E-9),"")</f>
        <v/>
      </c>
      <c r="G6921">
        <f>IF(B6921,MOD(SIN(Seed*0.5917+C6921*39.3468+D6921*11.135)*24634.6345,1),"")</f>
        <v/>
      </c>
      <c r="H6921">
        <f>IF(B6921,SQRT(-2*LN(F6921))*COS(2*PI()*G6921),"")</f>
        <v/>
      </c>
      <c r="I6921">
        <f>IF(B6921,IF(D6921=0,H6921,Rho*I6920+SQRT(1-Rho^2)*H6921),"")</f>
        <v/>
      </c>
      <c r="J6921">
        <f>IF(B6921,IF(Dist="Normal",DistA+DistB*I6921,DistA+(DistB-DistA)*NORMSDIST(I6921)),"")</f>
        <v/>
      </c>
      <c r="K6921">
        <f>IF(B6921,INDEX(MineScale,C6921),"")</f>
        <v/>
      </c>
      <c r="L6921">
        <f>IF(B6921,INDEX(Dow,1,WEEKDAY(E6921,2)),"")</f>
        <v/>
      </c>
      <c r="M6921">
        <f>IF(B6921,(1+Trend)^D6921,"")</f>
        <v/>
      </c>
      <c r="N6921">
        <f>IF(B6921,EXP(SUMPRODUCT(LN(1+(EvEff-1)*INDEX(Affected,0,C6921)*EXP(-((E6921-EvCenter)^2)/(2*EvSigma^2))))),"")</f>
        <v/>
      </c>
      <c r="O6921">
        <f>IF(B6921,ROUND(MAX(0,J6921*K6921*L6921*M6921*N6921),2),"")</f>
        <v/>
      </c>
    </row>
    <row r="6922">
      <c r="A6922" t="n">
        <v>6921</v>
      </c>
      <c r="B6922">
        <f>A6922&lt;=MineCount*Days</f>
        <v/>
      </c>
      <c r="C6922">
        <f>IF(B6922,INT((A6922-1)/Days)+1,"")</f>
        <v/>
      </c>
      <c r="D6922">
        <f>IF(B6922,MOD(A6922-1,Days),"")</f>
        <v/>
      </c>
      <c r="E6922" s="16">
        <f>IF(B6922,StartDate+D6922,"")</f>
        <v/>
      </c>
      <c r="F6922">
        <f>IF(B6922,MAX(MOD(SIN(Seed*0.1373+C6922*12.9898+D6922*78.233)*43758.5453,1),1E-9),"")</f>
        <v/>
      </c>
      <c r="G6922">
        <f>IF(B6922,MOD(SIN(Seed*0.5917+C6922*39.3468+D6922*11.135)*24634.6345,1),"")</f>
        <v/>
      </c>
      <c r="H6922">
        <f>IF(B6922,SQRT(-2*LN(F6922))*COS(2*PI()*G6922),"")</f>
        <v/>
      </c>
      <c r="I6922">
        <f>IF(B6922,IF(D6922=0,H6922,Rho*I6921+SQRT(1-Rho^2)*H6922),"")</f>
        <v/>
      </c>
      <c r="J6922">
        <f>IF(B6922,IF(Dist="Normal",DistA+DistB*I6922,DistA+(DistB-DistA)*NORMSDIST(I6922)),"")</f>
        <v/>
      </c>
      <c r="K6922">
        <f>IF(B6922,INDEX(MineScale,C6922),"")</f>
        <v/>
      </c>
      <c r="L6922">
        <f>IF(B6922,INDEX(Dow,1,WEEKDAY(E6922,2)),"")</f>
        <v/>
      </c>
      <c r="M6922">
        <f>IF(B6922,(1+Trend)^D6922,"")</f>
        <v/>
      </c>
      <c r="N6922">
        <f>IF(B6922,EXP(SUMPRODUCT(LN(1+(EvEff-1)*INDEX(Affected,0,C6922)*EXP(-((E6922-EvCenter)^2)/(2*EvSigma^2))))),"")</f>
        <v/>
      </c>
      <c r="O6922">
        <f>IF(B6922,ROUND(MAX(0,J6922*K6922*L6922*M6922*N6922),2),"")</f>
        <v/>
      </c>
    </row>
    <row r="6923">
      <c r="A6923" t="n">
        <v>6922</v>
      </c>
      <c r="B6923">
        <f>A6923&lt;=MineCount*Days</f>
        <v/>
      </c>
      <c r="C6923">
        <f>IF(B6923,INT((A6923-1)/Days)+1,"")</f>
        <v/>
      </c>
      <c r="D6923">
        <f>IF(B6923,MOD(A6923-1,Days),"")</f>
        <v/>
      </c>
      <c r="E6923" s="16">
        <f>IF(B6923,StartDate+D6923,"")</f>
        <v/>
      </c>
      <c r="F6923">
        <f>IF(B6923,MAX(MOD(SIN(Seed*0.1373+C6923*12.9898+D6923*78.233)*43758.5453,1),1E-9),"")</f>
        <v/>
      </c>
      <c r="G6923">
        <f>IF(B6923,MOD(SIN(Seed*0.5917+C6923*39.3468+D6923*11.135)*24634.6345,1),"")</f>
        <v/>
      </c>
      <c r="H6923">
        <f>IF(B6923,SQRT(-2*LN(F6923))*COS(2*PI()*G6923),"")</f>
        <v/>
      </c>
      <c r="I6923">
        <f>IF(B6923,IF(D6923=0,H6923,Rho*I6922+SQRT(1-Rho^2)*H6923),"")</f>
        <v/>
      </c>
      <c r="J6923">
        <f>IF(B6923,IF(Dist="Normal",DistA+DistB*I6923,DistA+(DistB-DistA)*NORMSDIST(I6923)),"")</f>
        <v/>
      </c>
      <c r="K6923">
        <f>IF(B6923,INDEX(MineScale,C6923),"")</f>
        <v/>
      </c>
      <c r="L6923">
        <f>IF(B6923,INDEX(Dow,1,WEEKDAY(E6923,2)),"")</f>
        <v/>
      </c>
      <c r="M6923">
        <f>IF(B6923,(1+Trend)^D6923,"")</f>
        <v/>
      </c>
      <c r="N6923">
        <f>IF(B6923,EXP(SUMPRODUCT(LN(1+(EvEff-1)*INDEX(Affected,0,C6923)*EXP(-((E6923-EvCenter)^2)/(2*EvSigma^2))))),"")</f>
        <v/>
      </c>
      <c r="O6923">
        <f>IF(B6923,ROUND(MAX(0,J6923*K6923*L6923*M6923*N6923),2),"")</f>
        <v/>
      </c>
    </row>
    <row r="6924">
      <c r="A6924" t="n">
        <v>6923</v>
      </c>
      <c r="B6924">
        <f>A6924&lt;=MineCount*Days</f>
        <v/>
      </c>
      <c r="C6924">
        <f>IF(B6924,INT((A6924-1)/Days)+1,"")</f>
        <v/>
      </c>
      <c r="D6924">
        <f>IF(B6924,MOD(A6924-1,Days),"")</f>
        <v/>
      </c>
      <c r="E6924" s="16">
        <f>IF(B6924,StartDate+D6924,"")</f>
        <v/>
      </c>
      <c r="F6924">
        <f>IF(B6924,MAX(MOD(SIN(Seed*0.1373+C6924*12.9898+D6924*78.233)*43758.5453,1),1E-9),"")</f>
        <v/>
      </c>
      <c r="G6924">
        <f>IF(B6924,MOD(SIN(Seed*0.5917+C6924*39.3468+D6924*11.135)*24634.6345,1),"")</f>
        <v/>
      </c>
      <c r="H6924">
        <f>IF(B6924,SQRT(-2*LN(F6924))*COS(2*PI()*G6924),"")</f>
        <v/>
      </c>
      <c r="I6924">
        <f>IF(B6924,IF(D6924=0,H6924,Rho*I6923+SQRT(1-Rho^2)*H6924),"")</f>
        <v/>
      </c>
      <c r="J6924">
        <f>IF(B6924,IF(Dist="Normal",DistA+DistB*I6924,DistA+(DistB-DistA)*NORMSDIST(I6924)),"")</f>
        <v/>
      </c>
      <c r="K6924">
        <f>IF(B6924,INDEX(MineScale,C6924),"")</f>
        <v/>
      </c>
      <c r="L6924">
        <f>IF(B6924,INDEX(Dow,1,WEEKDAY(E6924,2)),"")</f>
        <v/>
      </c>
      <c r="M6924">
        <f>IF(B6924,(1+Trend)^D6924,"")</f>
        <v/>
      </c>
      <c r="N6924">
        <f>IF(B6924,EXP(SUMPRODUCT(LN(1+(EvEff-1)*INDEX(Affected,0,C6924)*EXP(-((E6924-EvCenter)^2)/(2*EvSigma^2))))),"")</f>
        <v/>
      </c>
      <c r="O6924">
        <f>IF(B6924,ROUND(MAX(0,J6924*K6924*L6924*M6924*N6924),2),"")</f>
        <v/>
      </c>
    </row>
    <row r="6925">
      <c r="A6925" t="n">
        <v>6924</v>
      </c>
      <c r="B6925">
        <f>A6925&lt;=MineCount*Days</f>
        <v/>
      </c>
      <c r="C6925">
        <f>IF(B6925,INT((A6925-1)/Days)+1,"")</f>
        <v/>
      </c>
      <c r="D6925">
        <f>IF(B6925,MOD(A6925-1,Days),"")</f>
        <v/>
      </c>
      <c r="E6925" s="16">
        <f>IF(B6925,StartDate+D6925,"")</f>
        <v/>
      </c>
      <c r="F6925">
        <f>IF(B6925,MAX(MOD(SIN(Seed*0.1373+C6925*12.9898+D6925*78.233)*43758.5453,1),1E-9),"")</f>
        <v/>
      </c>
      <c r="G6925">
        <f>IF(B6925,MOD(SIN(Seed*0.5917+C6925*39.3468+D6925*11.135)*24634.6345,1),"")</f>
        <v/>
      </c>
      <c r="H6925">
        <f>IF(B6925,SQRT(-2*LN(F6925))*COS(2*PI()*G6925),"")</f>
        <v/>
      </c>
      <c r="I6925">
        <f>IF(B6925,IF(D6925=0,H6925,Rho*I6924+SQRT(1-Rho^2)*H6925),"")</f>
        <v/>
      </c>
      <c r="J6925">
        <f>IF(B6925,IF(Dist="Normal",DistA+DistB*I6925,DistA+(DistB-DistA)*NORMSDIST(I6925)),"")</f>
        <v/>
      </c>
      <c r="K6925">
        <f>IF(B6925,INDEX(MineScale,C6925),"")</f>
        <v/>
      </c>
      <c r="L6925">
        <f>IF(B6925,INDEX(Dow,1,WEEKDAY(E6925,2)),"")</f>
        <v/>
      </c>
      <c r="M6925">
        <f>IF(B6925,(1+Trend)^D6925,"")</f>
        <v/>
      </c>
      <c r="N6925">
        <f>IF(B6925,EXP(SUMPRODUCT(LN(1+(EvEff-1)*INDEX(Affected,0,C6925)*EXP(-((E6925-EvCenter)^2)/(2*EvSigma^2))))),"")</f>
        <v/>
      </c>
      <c r="O6925">
        <f>IF(B6925,ROUND(MAX(0,J6925*K6925*L6925*M6925*N6925),2),"")</f>
        <v/>
      </c>
    </row>
    <row r="6926">
      <c r="A6926" t="n">
        <v>6925</v>
      </c>
      <c r="B6926">
        <f>A6926&lt;=MineCount*Days</f>
        <v/>
      </c>
      <c r="C6926">
        <f>IF(B6926,INT((A6926-1)/Days)+1,"")</f>
        <v/>
      </c>
      <c r="D6926">
        <f>IF(B6926,MOD(A6926-1,Days),"")</f>
        <v/>
      </c>
      <c r="E6926" s="16">
        <f>IF(B6926,StartDate+D6926,"")</f>
        <v/>
      </c>
      <c r="F6926">
        <f>IF(B6926,MAX(MOD(SIN(Seed*0.1373+C6926*12.9898+D6926*78.233)*43758.5453,1),1E-9),"")</f>
        <v/>
      </c>
      <c r="G6926">
        <f>IF(B6926,MOD(SIN(Seed*0.5917+C6926*39.3468+D6926*11.135)*24634.6345,1),"")</f>
        <v/>
      </c>
      <c r="H6926">
        <f>IF(B6926,SQRT(-2*LN(F6926))*COS(2*PI()*G6926),"")</f>
        <v/>
      </c>
      <c r="I6926">
        <f>IF(B6926,IF(D6926=0,H6926,Rho*I6925+SQRT(1-Rho^2)*H6926),"")</f>
        <v/>
      </c>
      <c r="J6926">
        <f>IF(B6926,IF(Dist="Normal",DistA+DistB*I6926,DistA+(DistB-DistA)*NORMSDIST(I6926)),"")</f>
        <v/>
      </c>
      <c r="K6926">
        <f>IF(B6926,INDEX(MineScale,C6926),"")</f>
        <v/>
      </c>
      <c r="L6926">
        <f>IF(B6926,INDEX(Dow,1,WEEKDAY(E6926,2)),"")</f>
        <v/>
      </c>
      <c r="M6926">
        <f>IF(B6926,(1+Trend)^D6926,"")</f>
        <v/>
      </c>
      <c r="N6926">
        <f>IF(B6926,EXP(SUMPRODUCT(LN(1+(EvEff-1)*INDEX(Affected,0,C6926)*EXP(-((E6926-EvCenter)^2)/(2*EvSigma^2))))),"")</f>
        <v/>
      </c>
      <c r="O6926">
        <f>IF(B6926,ROUND(MAX(0,J6926*K6926*L6926*M6926*N6926),2),"")</f>
        <v/>
      </c>
    </row>
    <row r="6927">
      <c r="A6927" t="n">
        <v>6926</v>
      </c>
      <c r="B6927">
        <f>A6927&lt;=MineCount*Days</f>
        <v/>
      </c>
      <c r="C6927">
        <f>IF(B6927,INT((A6927-1)/Days)+1,"")</f>
        <v/>
      </c>
      <c r="D6927">
        <f>IF(B6927,MOD(A6927-1,Days),"")</f>
        <v/>
      </c>
      <c r="E6927" s="16">
        <f>IF(B6927,StartDate+D6927,"")</f>
        <v/>
      </c>
      <c r="F6927">
        <f>IF(B6927,MAX(MOD(SIN(Seed*0.1373+C6927*12.9898+D6927*78.233)*43758.5453,1),1E-9),"")</f>
        <v/>
      </c>
      <c r="G6927">
        <f>IF(B6927,MOD(SIN(Seed*0.5917+C6927*39.3468+D6927*11.135)*24634.6345,1),"")</f>
        <v/>
      </c>
      <c r="H6927">
        <f>IF(B6927,SQRT(-2*LN(F6927))*COS(2*PI()*G6927),"")</f>
        <v/>
      </c>
      <c r="I6927">
        <f>IF(B6927,IF(D6927=0,H6927,Rho*I6926+SQRT(1-Rho^2)*H6927),"")</f>
        <v/>
      </c>
      <c r="J6927">
        <f>IF(B6927,IF(Dist="Normal",DistA+DistB*I6927,DistA+(DistB-DistA)*NORMSDIST(I6927)),"")</f>
        <v/>
      </c>
      <c r="K6927">
        <f>IF(B6927,INDEX(MineScale,C6927),"")</f>
        <v/>
      </c>
      <c r="L6927">
        <f>IF(B6927,INDEX(Dow,1,WEEKDAY(E6927,2)),"")</f>
        <v/>
      </c>
      <c r="M6927">
        <f>IF(B6927,(1+Trend)^D6927,"")</f>
        <v/>
      </c>
      <c r="N6927">
        <f>IF(B6927,EXP(SUMPRODUCT(LN(1+(EvEff-1)*INDEX(Affected,0,C6927)*EXP(-((E6927-EvCenter)^2)/(2*EvSigma^2))))),"")</f>
        <v/>
      </c>
      <c r="O6927">
        <f>IF(B6927,ROUND(MAX(0,J6927*K6927*L6927*M6927*N6927),2),"")</f>
        <v/>
      </c>
    </row>
    <row r="6928">
      <c r="A6928" t="n">
        <v>6927</v>
      </c>
      <c r="B6928">
        <f>A6928&lt;=MineCount*Days</f>
        <v/>
      </c>
      <c r="C6928">
        <f>IF(B6928,INT((A6928-1)/Days)+1,"")</f>
        <v/>
      </c>
      <c r="D6928">
        <f>IF(B6928,MOD(A6928-1,Days),"")</f>
        <v/>
      </c>
      <c r="E6928" s="16">
        <f>IF(B6928,StartDate+D6928,"")</f>
        <v/>
      </c>
      <c r="F6928">
        <f>IF(B6928,MAX(MOD(SIN(Seed*0.1373+C6928*12.9898+D6928*78.233)*43758.5453,1),1E-9),"")</f>
        <v/>
      </c>
      <c r="G6928">
        <f>IF(B6928,MOD(SIN(Seed*0.5917+C6928*39.3468+D6928*11.135)*24634.6345,1),"")</f>
        <v/>
      </c>
      <c r="H6928">
        <f>IF(B6928,SQRT(-2*LN(F6928))*COS(2*PI()*G6928),"")</f>
        <v/>
      </c>
      <c r="I6928">
        <f>IF(B6928,IF(D6928=0,H6928,Rho*I6927+SQRT(1-Rho^2)*H6928),"")</f>
        <v/>
      </c>
      <c r="J6928">
        <f>IF(B6928,IF(Dist="Normal",DistA+DistB*I6928,DistA+(DistB-DistA)*NORMSDIST(I6928)),"")</f>
        <v/>
      </c>
      <c r="K6928">
        <f>IF(B6928,INDEX(MineScale,C6928),"")</f>
        <v/>
      </c>
      <c r="L6928">
        <f>IF(B6928,INDEX(Dow,1,WEEKDAY(E6928,2)),"")</f>
        <v/>
      </c>
      <c r="M6928">
        <f>IF(B6928,(1+Trend)^D6928,"")</f>
        <v/>
      </c>
      <c r="N6928">
        <f>IF(B6928,EXP(SUMPRODUCT(LN(1+(EvEff-1)*INDEX(Affected,0,C6928)*EXP(-((E6928-EvCenter)^2)/(2*EvSigma^2))))),"")</f>
        <v/>
      </c>
      <c r="O6928">
        <f>IF(B6928,ROUND(MAX(0,J6928*K6928*L6928*M6928*N6928),2),"")</f>
        <v/>
      </c>
    </row>
    <row r="6929">
      <c r="A6929" t="n">
        <v>6928</v>
      </c>
      <c r="B6929">
        <f>A6929&lt;=MineCount*Days</f>
        <v/>
      </c>
      <c r="C6929">
        <f>IF(B6929,INT((A6929-1)/Days)+1,"")</f>
        <v/>
      </c>
      <c r="D6929">
        <f>IF(B6929,MOD(A6929-1,Days),"")</f>
        <v/>
      </c>
      <c r="E6929" s="16">
        <f>IF(B6929,StartDate+D6929,"")</f>
        <v/>
      </c>
      <c r="F6929">
        <f>IF(B6929,MAX(MOD(SIN(Seed*0.1373+C6929*12.9898+D6929*78.233)*43758.5453,1),1E-9),"")</f>
        <v/>
      </c>
      <c r="G6929">
        <f>IF(B6929,MOD(SIN(Seed*0.5917+C6929*39.3468+D6929*11.135)*24634.6345,1),"")</f>
        <v/>
      </c>
      <c r="H6929">
        <f>IF(B6929,SQRT(-2*LN(F6929))*COS(2*PI()*G6929),"")</f>
        <v/>
      </c>
      <c r="I6929">
        <f>IF(B6929,IF(D6929=0,H6929,Rho*I6928+SQRT(1-Rho^2)*H6929),"")</f>
        <v/>
      </c>
      <c r="J6929">
        <f>IF(B6929,IF(Dist="Normal",DistA+DistB*I6929,DistA+(DistB-DistA)*NORMSDIST(I6929)),"")</f>
        <v/>
      </c>
      <c r="K6929">
        <f>IF(B6929,INDEX(MineScale,C6929),"")</f>
        <v/>
      </c>
      <c r="L6929">
        <f>IF(B6929,INDEX(Dow,1,WEEKDAY(E6929,2)),"")</f>
        <v/>
      </c>
      <c r="M6929">
        <f>IF(B6929,(1+Trend)^D6929,"")</f>
        <v/>
      </c>
      <c r="N6929">
        <f>IF(B6929,EXP(SUMPRODUCT(LN(1+(EvEff-1)*INDEX(Affected,0,C6929)*EXP(-((E6929-EvCenter)^2)/(2*EvSigma^2))))),"")</f>
        <v/>
      </c>
      <c r="O6929">
        <f>IF(B6929,ROUND(MAX(0,J6929*K6929*L6929*M6929*N6929),2),"")</f>
        <v/>
      </c>
    </row>
    <row r="6930">
      <c r="A6930" t="n">
        <v>6929</v>
      </c>
      <c r="B6930">
        <f>A6930&lt;=MineCount*Days</f>
        <v/>
      </c>
      <c r="C6930">
        <f>IF(B6930,INT((A6930-1)/Days)+1,"")</f>
        <v/>
      </c>
      <c r="D6930">
        <f>IF(B6930,MOD(A6930-1,Days),"")</f>
        <v/>
      </c>
      <c r="E6930" s="16">
        <f>IF(B6930,StartDate+D6930,"")</f>
        <v/>
      </c>
      <c r="F6930">
        <f>IF(B6930,MAX(MOD(SIN(Seed*0.1373+C6930*12.9898+D6930*78.233)*43758.5453,1),1E-9),"")</f>
        <v/>
      </c>
      <c r="G6930">
        <f>IF(B6930,MOD(SIN(Seed*0.5917+C6930*39.3468+D6930*11.135)*24634.6345,1),"")</f>
        <v/>
      </c>
      <c r="H6930">
        <f>IF(B6930,SQRT(-2*LN(F6930))*COS(2*PI()*G6930),"")</f>
        <v/>
      </c>
      <c r="I6930">
        <f>IF(B6930,IF(D6930=0,H6930,Rho*I6929+SQRT(1-Rho^2)*H6930),"")</f>
        <v/>
      </c>
      <c r="J6930">
        <f>IF(B6930,IF(Dist="Normal",DistA+DistB*I6930,DistA+(DistB-DistA)*NORMSDIST(I6930)),"")</f>
        <v/>
      </c>
      <c r="K6930">
        <f>IF(B6930,INDEX(MineScale,C6930),"")</f>
        <v/>
      </c>
      <c r="L6930">
        <f>IF(B6930,INDEX(Dow,1,WEEKDAY(E6930,2)),"")</f>
        <v/>
      </c>
      <c r="M6930">
        <f>IF(B6930,(1+Trend)^D6930,"")</f>
        <v/>
      </c>
      <c r="N6930">
        <f>IF(B6930,EXP(SUMPRODUCT(LN(1+(EvEff-1)*INDEX(Affected,0,C6930)*EXP(-((E6930-EvCenter)^2)/(2*EvSigma^2))))),"")</f>
        <v/>
      </c>
      <c r="O6930">
        <f>IF(B6930,ROUND(MAX(0,J6930*K6930*L6930*M6930*N6930),2),"")</f>
        <v/>
      </c>
    </row>
    <row r="6931">
      <c r="A6931" t="n">
        <v>6930</v>
      </c>
      <c r="B6931">
        <f>A6931&lt;=MineCount*Days</f>
        <v/>
      </c>
      <c r="C6931">
        <f>IF(B6931,INT((A6931-1)/Days)+1,"")</f>
        <v/>
      </c>
      <c r="D6931">
        <f>IF(B6931,MOD(A6931-1,Days),"")</f>
        <v/>
      </c>
      <c r="E6931" s="16">
        <f>IF(B6931,StartDate+D6931,"")</f>
        <v/>
      </c>
      <c r="F6931">
        <f>IF(B6931,MAX(MOD(SIN(Seed*0.1373+C6931*12.9898+D6931*78.233)*43758.5453,1),1E-9),"")</f>
        <v/>
      </c>
      <c r="G6931">
        <f>IF(B6931,MOD(SIN(Seed*0.5917+C6931*39.3468+D6931*11.135)*24634.6345,1),"")</f>
        <v/>
      </c>
      <c r="H6931">
        <f>IF(B6931,SQRT(-2*LN(F6931))*COS(2*PI()*G6931),"")</f>
        <v/>
      </c>
      <c r="I6931">
        <f>IF(B6931,IF(D6931=0,H6931,Rho*I6930+SQRT(1-Rho^2)*H6931),"")</f>
        <v/>
      </c>
      <c r="J6931">
        <f>IF(B6931,IF(Dist="Normal",DistA+DistB*I6931,DistA+(DistB-DistA)*NORMSDIST(I6931)),"")</f>
        <v/>
      </c>
      <c r="K6931">
        <f>IF(B6931,INDEX(MineScale,C6931),"")</f>
        <v/>
      </c>
      <c r="L6931">
        <f>IF(B6931,INDEX(Dow,1,WEEKDAY(E6931,2)),"")</f>
        <v/>
      </c>
      <c r="M6931">
        <f>IF(B6931,(1+Trend)^D6931,"")</f>
        <v/>
      </c>
      <c r="N6931">
        <f>IF(B6931,EXP(SUMPRODUCT(LN(1+(EvEff-1)*INDEX(Affected,0,C6931)*EXP(-((E6931-EvCenter)^2)/(2*EvSigma^2))))),"")</f>
        <v/>
      </c>
      <c r="O6931">
        <f>IF(B6931,ROUND(MAX(0,J6931*K6931*L6931*M6931*N6931),2),"")</f>
        <v/>
      </c>
    </row>
    <row r="6932">
      <c r="A6932" t="n">
        <v>6931</v>
      </c>
      <c r="B6932">
        <f>A6932&lt;=MineCount*Days</f>
        <v/>
      </c>
      <c r="C6932">
        <f>IF(B6932,INT((A6932-1)/Days)+1,"")</f>
        <v/>
      </c>
      <c r="D6932">
        <f>IF(B6932,MOD(A6932-1,Days),"")</f>
        <v/>
      </c>
      <c r="E6932" s="16">
        <f>IF(B6932,StartDate+D6932,"")</f>
        <v/>
      </c>
      <c r="F6932">
        <f>IF(B6932,MAX(MOD(SIN(Seed*0.1373+C6932*12.9898+D6932*78.233)*43758.5453,1),1E-9),"")</f>
        <v/>
      </c>
      <c r="G6932">
        <f>IF(B6932,MOD(SIN(Seed*0.5917+C6932*39.3468+D6932*11.135)*24634.6345,1),"")</f>
        <v/>
      </c>
      <c r="H6932">
        <f>IF(B6932,SQRT(-2*LN(F6932))*COS(2*PI()*G6932),"")</f>
        <v/>
      </c>
      <c r="I6932">
        <f>IF(B6932,IF(D6932=0,H6932,Rho*I6931+SQRT(1-Rho^2)*H6932),"")</f>
        <v/>
      </c>
      <c r="J6932">
        <f>IF(B6932,IF(Dist="Normal",DistA+DistB*I6932,DistA+(DistB-DistA)*NORMSDIST(I6932)),"")</f>
        <v/>
      </c>
      <c r="K6932">
        <f>IF(B6932,INDEX(MineScale,C6932),"")</f>
        <v/>
      </c>
      <c r="L6932">
        <f>IF(B6932,INDEX(Dow,1,WEEKDAY(E6932,2)),"")</f>
        <v/>
      </c>
      <c r="M6932">
        <f>IF(B6932,(1+Trend)^D6932,"")</f>
        <v/>
      </c>
      <c r="N6932">
        <f>IF(B6932,EXP(SUMPRODUCT(LN(1+(EvEff-1)*INDEX(Affected,0,C6932)*EXP(-((E6932-EvCenter)^2)/(2*EvSigma^2))))),"")</f>
        <v/>
      </c>
      <c r="O6932">
        <f>IF(B6932,ROUND(MAX(0,J6932*K6932*L6932*M6932*N6932),2),"")</f>
        <v/>
      </c>
    </row>
    <row r="6933">
      <c r="A6933" t="n">
        <v>6932</v>
      </c>
      <c r="B6933">
        <f>A6933&lt;=MineCount*Days</f>
        <v/>
      </c>
      <c r="C6933">
        <f>IF(B6933,INT((A6933-1)/Days)+1,"")</f>
        <v/>
      </c>
      <c r="D6933">
        <f>IF(B6933,MOD(A6933-1,Days),"")</f>
        <v/>
      </c>
      <c r="E6933" s="16">
        <f>IF(B6933,StartDate+D6933,"")</f>
        <v/>
      </c>
      <c r="F6933">
        <f>IF(B6933,MAX(MOD(SIN(Seed*0.1373+C6933*12.9898+D6933*78.233)*43758.5453,1),1E-9),"")</f>
        <v/>
      </c>
      <c r="G6933">
        <f>IF(B6933,MOD(SIN(Seed*0.5917+C6933*39.3468+D6933*11.135)*24634.6345,1),"")</f>
        <v/>
      </c>
      <c r="H6933">
        <f>IF(B6933,SQRT(-2*LN(F6933))*COS(2*PI()*G6933),"")</f>
        <v/>
      </c>
      <c r="I6933">
        <f>IF(B6933,IF(D6933=0,H6933,Rho*I6932+SQRT(1-Rho^2)*H6933),"")</f>
        <v/>
      </c>
      <c r="J6933">
        <f>IF(B6933,IF(Dist="Normal",DistA+DistB*I6933,DistA+(DistB-DistA)*NORMSDIST(I6933)),"")</f>
        <v/>
      </c>
      <c r="K6933">
        <f>IF(B6933,INDEX(MineScale,C6933),"")</f>
        <v/>
      </c>
      <c r="L6933">
        <f>IF(B6933,INDEX(Dow,1,WEEKDAY(E6933,2)),"")</f>
        <v/>
      </c>
      <c r="M6933">
        <f>IF(B6933,(1+Trend)^D6933,"")</f>
        <v/>
      </c>
      <c r="N6933">
        <f>IF(B6933,EXP(SUMPRODUCT(LN(1+(EvEff-1)*INDEX(Affected,0,C6933)*EXP(-((E6933-EvCenter)^2)/(2*EvSigma^2))))),"")</f>
        <v/>
      </c>
      <c r="O6933">
        <f>IF(B6933,ROUND(MAX(0,J6933*K6933*L6933*M6933*N6933),2),"")</f>
        <v/>
      </c>
    </row>
    <row r="6934">
      <c r="A6934" t="n">
        <v>6933</v>
      </c>
      <c r="B6934">
        <f>A6934&lt;=MineCount*Days</f>
        <v/>
      </c>
      <c r="C6934">
        <f>IF(B6934,INT((A6934-1)/Days)+1,"")</f>
        <v/>
      </c>
      <c r="D6934">
        <f>IF(B6934,MOD(A6934-1,Days),"")</f>
        <v/>
      </c>
      <c r="E6934" s="16">
        <f>IF(B6934,StartDate+D6934,"")</f>
        <v/>
      </c>
      <c r="F6934">
        <f>IF(B6934,MAX(MOD(SIN(Seed*0.1373+C6934*12.9898+D6934*78.233)*43758.5453,1),1E-9),"")</f>
        <v/>
      </c>
      <c r="G6934">
        <f>IF(B6934,MOD(SIN(Seed*0.5917+C6934*39.3468+D6934*11.135)*24634.6345,1),"")</f>
        <v/>
      </c>
      <c r="H6934">
        <f>IF(B6934,SQRT(-2*LN(F6934))*COS(2*PI()*G6934),"")</f>
        <v/>
      </c>
      <c r="I6934">
        <f>IF(B6934,IF(D6934=0,H6934,Rho*I6933+SQRT(1-Rho^2)*H6934),"")</f>
        <v/>
      </c>
      <c r="J6934">
        <f>IF(B6934,IF(Dist="Normal",DistA+DistB*I6934,DistA+(DistB-DistA)*NORMSDIST(I6934)),"")</f>
        <v/>
      </c>
      <c r="K6934">
        <f>IF(B6934,INDEX(MineScale,C6934),"")</f>
        <v/>
      </c>
      <c r="L6934">
        <f>IF(B6934,INDEX(Dow,1,WEEKDAY(E6934,2)),"")</f>
        <v/>
      </c>
      <c r="M6934">
        <f>IF(B6934,(1+Trend)^D6934,"")</f>
        <v/>
      </c>
      <c r="N6934">
        <f>IF(B6934,EXP(SUMPRODUCT(LN(1+(EvEff-1)*INDEX(Affected,0,C6934)*EXP(-((E6934-EvCenter)^2)/(2*EvSigma^2))))),"")</f>
        <v/>
      </c>
      <c r="O6934">
        <f>IF(B6934,ROUND(MAX(0,J6934*K6934*L6934*M6934*N6934),2),"")</f>
        <v/>
      </c>
    </row>
    <row r="6935">
      <c r="A6935" t="n">
        <v>6934</v>
      </c>
      <c r="B6935">
        <f>A6935&lt;=MineCount*Days</f>
        <v/>
      </c>
      <c r="C6935">
        <f>IF(B6935,INT((A6935-1)/Days)+1,"")</f>
        <v/>
      </c>
      <c r="D6935">
        <f>IF(B6935,MOD(A6935-1,Days),"")</f>
        <v/>
      </c>
      <c r="E6935" s="16">
        <f>IF(B6935,StartDate+D6935,"")</f>
        <v/>
      </c>
      <c r="F6935">
        <f>IF(B6935,MAX(MOD(SIN(Seed*0.1373+C6935*12.9898+D6935*78.233)*43758.5453,1),1E-9),"")</f>
        <v/>
      </c>
      <c r="G6935">
        <f>IF(B6935,MOD(SIN(Seed*0.5917+C6935*39.3468+D6935*11.135)*24634.6345,1),"")</f>
        <v/>
      </c>
      <c r="H6935">
        <f>IF(B6935,SQRT(-2*LN(F6935))*COS(2*PI()*G6935),"")</f>
        <v/>
      </c>
      <c r="I6935">
        <f>IF(B6935,IF(D6935=0,H6935,Rho*I6934+SQRT(1-Rho^2)*H6935),"")</f>
        <v/>
      </c>
      <c r="J6935">
        <f>IF(B6935,IF(Dist="Normal",DistA+DistB*I6935,DistA+(DistB-DistA)*NORMSDIST(I6935)),"")</f>
        <v/>
      </c>
      <c r="K6935">
        <f>IF(B6935,INDEX(MineScale,C6935),"")</f>
        <v/>
      </c>
      <c r="L6935">
        <f>IF(B6935,INDEX(Dow,1,WEEKDAY(E6935,2)),"")</f>
        <v/>
      </c>
      <c r="M6935">
        <f>IF(B6935,(1+Trend)^D6935,"")</f>
        <v/>
      </c>
      <c r="N6935">
        <f>IF(B6935,EXP(SUMPRODUCT(LN(1+(EvEff-1)*INDEX(Affected,0,C6935)*EXP(-((E6935-EvCenter)^2)/(2*EvSigma^2))))),"")</f>
        <v/>
      </c>
      <c r="O6935">
        <f>IF(B6935,ROUND(MAX(0,J6935*K6935*L6935*M6935*N6935),2),"")</f>
        <v/>
      </c>
    </row>
    <row r="6936">
      <c r="A6936" t="n">
        <v>6935</v>
      </c>
      <c r="B6936">
        <f>A6936&lt;=MineCount*Days</f>
        <v/>
      </c>
      <c r="C6936">
        <f>IF(B6936,INT((A6936-1)/Days)+1,"")</f>
        <v/>
      </c>
      <c r="D6936">
        <f>IF(B6936,MOD(A6936-1,Days),"")</f>
        <v/>
      </c>
      <c r="E6936" s="16">
        <f>IF(B6936,StartDate+D6936,"")</f>
        <v/>
      </c>
      <c r="F6936">
        <f>IF(B6936,MAX(MOD(SIN(Seed*0.1373+C6936*12.9898+D6936*78.233)*43758.5453,1),1E-9),"")</f>
        <v/>
      </c>
      <c r="G6936">
        <f>IF(B6936,MOD(SIN(Seed*0.5917+C6936*39.3468+D6936*11.135)*24634.6345,1),"")</f>
        <v/>
      </c>
      <c r="H6936">
        <f>IF(B6936,SQRT(-2*LN(F6936))*COS(2*PI()*G6936),"")</f>
        <v/>
      </c>
      <c r="I6936">
        <f>IF(B6936,IF(D6936=0,H6936,Rho*I6935+SQRT(1-Rho^2)*H6936),"")</f>
        <v/>
      </c>
      <c r="J6936">
        <f>IF(B6936,IF(Dist="Normal",DistA+DistB*I6936,DistA+(DistB-DistA)*NORMSDIST(I6936)),"")</f>
        <v/>
      </c>
      <c r="K6936">
        <f>IF(B6936,INDEX(MineScale,C6936),"")</f>
        <v/>
      </c>
      <c r="L6936">
        <f>IF(B6936,INDEX(Dow,1,WEEKDAY(E6936,2)),"")</f>
        <v/>
      </c>
      <c r="M6936">
        <f>IF(B6936,(1+Trend)^D6936,"")</f>
        <v/>
      </c>
      <c r="N6936">
        <f>IF(B6936,EXP(SUMPRODUCT(LN(1+(EvEff-1)*INDEX(Affected,0,C6936)*EXP(-((E6936-EvCenter)^2)/(2*EvSigma^2))))),"")</f>
        <v/>
      </c>
      <c r="O6936">
        <f>IF(B6936,ROUND(MAX(0,J6936*K6936*L6936*M6936*N6936),2),"")</f>
        <v/>
      </c>
    </row>
    <row r="6937">
      <c r="A6937" t="n">
        <v>6936</v>
      </c>
      <c r="B6937">
        <f>A6937&lt;=MineCount*Days</f>
        <v/>
      </c>
      <c r="C6937">
        <f>IF(B6937,INT((A6937-1)/Days)+1,"")</f>
        <v/>
      </c>
      <c r="D6937">
        <f>IF(B6937,MOD(A6937-1,Days),"")</f>
        <v/>
      </c>
      <c r="E6937" s="16">
        <f>IF(B6937,StartDate+D6937,"")</f>
        <v/>
      </c>
      <c r="F6937">
        <f>IF(B6937,MAX(MOD(SIN(Seed*0.1373+C6937*12.9898+D6937*78.233)*43758.5453,1),1E-9),"")</f>
        <v/>
      </c>
      <c r="G6937">
        <f>IF(B6937,MOD(SIN(Seed*0.5917+C6937*39.3468+D6937*11.135)*24634.6345,1),"")</f>
        <v/>
      </c>
      <c r="H6937">
        <f>IF(B6937,SQRT(-2*LN(F6937))*COS(2*PI()*G6937),"")</f>
        <v/>
      </c>
      <c r="I6937">
        <f>IF(B6937,IF(D6937=0,H6937,Rho*I6936+SQRT(1-Rho^2)*H6937),"")</f>
        <v/>
      </c>
      <c r="J6937">
        <f>IF(B6937,IF(Dist="Normal",DistA+DistB*I6937,DistA+(DistB-DistA)*NORMSDIST(I6937)),"")</f>
        <v/>
      </c>
      <c r="K6937">
        <f>IF(B6937,INDEX(MineScale,C6937),"")</f>
        <v/>
      </c>
      <c r="L6937">
        <f>IF(B6937,INDEX(Dow,1,WEEKDAY(E6937,2)),"")</f>
        <v/>
      </c>
      <c r="M6937">
        <f>IF(B6937,(1+Trend)^D6937,"")</f>
        <v/>
      </c>
      <c r="N6937">
        <f>IF(B6937,EXP(SUMPRODUCT(LN(1+(EvEff-1)*INDEX(Affected,0,C6937)*EXP(-((E6937-EvCenter)^2)/(2*EvSigma^2))))),"")</f>
        <v/>
      </c>
      <c r="O6937">
        <f>IF(B6937,ROUND(MAX(0,J6937*K6937*L6937*M6937*N6937),2),"")</f>
        <v/>
      </c>
    </row>
    <row r="6938">
      <c r="A6938" t="n">
        <v>6937</v>
      </c>
      <c r="B6938">
        <f>A6938&lt;=MineCount*Days</f>
        <v/>
      </c>
      <c r="C6938">
        <f>IF(B6938,INT((A6938-1)/Days)+1,"")</f>
        <v/>
      </c>
      <c r="D6938">
        <f>IF(B6938,MOD(A6938-1,Days),"")</f>
        <v/>
      </c>
      <c r="E6938" s="16">
        <f>IF(B6938,StartDate+D6938,"")</f>
        <v/>
      </c>
      <c r="F6938">
        <f>IF(B6938,MAX(MOD(SIN(Seed*0.1373+C6938*12.9898+D6938*78.233)*43758.5453,1),1E-9),"")</f>
        <v/>
      </c>
      <c r="G6938">
        <f>IF(B6938,MOD(SIN(Seed*0.5917+C6938*39.3468+D6938*11.135)*24634.6345,1),"")</f>
        <v/>
      </c>
      <c r="H6938">
        <f>IF(B6938,SQRT(-2*LN(F6938))*COS(2*PI()*G6938),"")</f>
        <v/>
      </c>
      <c r="I6938">
        <f>IF(B6938,IF(D6938=0,H6938,Rho*I6937+SQRT(1-Rho^2)*H6938),"")</f>
        <v/>
      </c>
      <c r="J6938">
        <f>IF(B6938,IF(Dist="Normal",DistA+DistB*I6938,DistA+(DistB-DistA)*NORMSDIST(I6938)),"")</f>
        <v/>
      </c>
      <c r="K6938">
        <f>IF(B6938,INDEX(MineScale,C6938),"")</f>
        <v/>
      </c>
      <c r="L6938">
        <f>IF(B6938,INDEX(Dow,1,WEEKDAY(E6938,2)),"")</f>
        <v/>
      </c>
      <c r="M6938">
        <f>IF(B6938,(1+Trend)^D6938,"")</f>
        <v/>
      </c>
      <c r="N6938">
        <f>IF(B6938,EXP(SUMPRODUCT(LN(1+(EvEff-1)*INDEX(Affected,0,C6938)*EXP(-((E6938-EvCenter)^2)/(2*EvSigma^2))))),"")</f>
        <v/>
      </c>
      <c r="O6938">
        <f>IF(B6938,ROUND(MAX(0,J6938*K6938*L6938*M6938*N6938),2),"")</f>
        <v/>
      </c>
    </row>
    <row r="6939">
      <c r="A6939" t="n">
        <v>6938</v>
      </c>
      <c r="B6939">
        <f>A6939&lt;=MineCount*Days</f>
        <v/>
      </c>
      <c r="C6939">
        <f>IF(B6939,INT((A6939-1)/Days)+1,"")</f>
        <v/>
      </c>
      <c r="D6939">
        <f>IF(B6939,MOD(A6939-1,Days),"")</f>
        <v/>
      </c>
      <c r="E6939" s="16">
        <f>IF(B6939,StartDate+D6939,"")</f>
        <v/>
      </c>
      <c r="F6939">
        <f>IF(B6939,MAX(MOD(SIN(Seed*0.1373+C6939*12.9898+D6939*78.233)*43758.5453,1),1E-9),"")</f>
        <v/>
      </c>
      <c r="G6939">
        <f>IF(B6939,MOD(SIN(Seed*0.5917+C6939*39.3468+D6939*11.135)*24634.6345,1),"")</f>
        <v/>
      </c>
      <c r="H6939">
        <f>IF(B6939,SQRT(-2*LN(F6939))*COS(2*PI()*G6939),"")</f>
        <v/>
      </c>
      <c r="I6939">
        <f>IF(B6939,IF(D6939=0,H6939,Rho*I6938+SQRT(1-Rho^2)*H6939),"")</f>
        <v/>
      </c>
      <c r="J6939">
        <f>IF(B6939,IF(Dist="Normal",DistA+DistB*I6939,DistA+(DistB-DistA)*NORMSDIST(I6939)),"")</f>
        <v/>
      </c>
      <c r="K6939">
        <f>IF(B6939,INDEX(MineScale,C6939),"")</f>
        <v/>
      </c>
      <c r="L6939">
        <f>IF(B6939,INDEX(Dow,1,WEEKDAY(E6939,2)),"")</f>
        <v/>
      </c>
      <c r="M6939">
        <f>IF(B6939,(1+Trend)^D6939,"")</f>
        <v/>
      </c>
      <c r="N6939">
        <f>IF(B6939,EXP(SUMPRODUCT(LN(1+(EvEff-1)*INDEX(Affected,0,C6939)*EXP(-((E6939-EvCenter)^2)/(2*EvSigma^2))))),"")</f>
        <v/>
      </c>
      <c r="O6939">
        <f>IF(B6939,ROUND(MAX(0,J6939*K6939*L6939*M6939*N6939),2),"")</f>
        <v/>
      </c>
    </row>
    <row r="6940">
      <c r="A6940" t="n">
        <v>6939</v>
      </c>
      <c r="B6940">
        <f>A6940&lt;=MineCount*Days</f>
        <v/>
      </c>
      <c r="C6940">
        <f>IF(B6940,INT((A6940-1)/Days)+1,"")</f>
        <v/>
      </c>
      <c r="D6940">
        <f>IF(B6940,MOD(A6940-1,Days),"")</f>
        <v/>
      </c>
      <c r="E6940" s="16">
        <f>IF(B6940,StartDate+D6940,"")</f>
        <v/>
      </c>
      <c r="F6940">
        <f>IF(B6940,MAX(MOD(SIN(Seed*0.1373+C6940*12.9898+D6940*78.233)*43758.5453,1),1E-9),"")</f>
        <v/>
      </c>
      <c r="G6940">
        <f>IF(B6940,MOD(SIN(Seed*0.5917+C6940*39.3468+D6940*11.135)*24634.6345,1),"")</f>
        <v/>
      </c>
      <c r="H6940">
        <f>IF(B6940,SQRT(-2*LN(F6940))*COS(2*PI()*G6940),"")</f>
        <v/>
      </c>
      <c r="I6940">
        <f>IF(B6940,IF(D6940=0,H6940,Rho*I6939+SQRT(1-Rho^2)*H6940),"")</f>
        <v/>
      </c>
      <c r="J6940">
        <f>IF(B6940,IF(Dist="Normal",DistA+DistB*I6940,DistA+(DistB-DistA)*NORMSDIST(I6940)),"")</f>
        <v/>
      </c>
      <c r="K6940">
        <f>IF(B6940,INDEX(MineScale,C6940),"")</f>
        <v/>
      </c>
      <c r="L6940">
        <f>IF(B6940,INDEX(Dow,1,WEEKDAY(E6940,2)),"")</f>
        <v/>
      </c>
      <c r="M6940">
        <f>IF(B6940,(1+Trend)^D6940,"")</f>
        <v/>
      </c>
      <c r="N6940">
        <f>IF(B6940,EXP(SUMPRODUCT(LN(1+(EvEff-1)*INDEX(Affected,0,C6940)*EXP(-((E6940-EvCenter)^2)/(2*EvSigma^2))))),"")</f>
        <v/>
      </c>
      <c r="O6940">
        <f>IF(B6940,ROUND(MAX(0,J6940*K6940*L6940*M6940*N6940),2),"")</f>
        <v/>
      </c>
    </row>
    <row r="6941">
      <c r="A6941" t="n">
        <v>6940</v>
      </c>
      <c r="B6941">
        <f>A6941&lt;=MineCount*Days</f>
        <v/>
      </c>
      <c r="C6941">
        <f>IF(B6941,INT((A6941-1)/Days)+1,"")</f>
        <v/>
      </c>
      <c r="D6941">
        <f>IF(B6941,MOD(A6941-1,Days),"")</f>
        <v/>
      </c>
      <c r="E6941" s="16">
        <f>IF(B6941,StartDate+D6941,"")</f>
        <v/>
      </c>
      <c r="F6941">
        <f>IF(B6941,MAX(MOD(SIN(Seed*0.1373+C6941*12.9898+D6941*78.233)*43758.5453,1),1E-9),"")</f>
        <v/>
      </c>
      <c r="G6941">
        <f>IF(B6941,MOD(SIN(Seed*0.5917+C6941*39.3468+D6941*11.135)*24634.6345,1),"")</f>
        <v/>
      </c>
      <c r="H6941">
        <f>IF(B6941,SQRT(-2*LN(F6941))*COS(2*PI()*G6941),"")</f>
        <v/>
      </c>
      <c r="I6941">
        <f>IF(B6941,IF(D6941=0,H6941,Rho*I6940+SQRT(1-Rho^2)*H6941),"")</f>
        <v/>
      </c>
      <c r="J6941">
        <f>IF(B6941,IF(Dist="Normal",DistA+DistB*I6941,DistA+(DistB-DistA)*NORMSDIST(I6941)),"")</f>
        <v/>
      </c>
      <c r="K6941">
        <f>IF(B6941,INDEX(MineScale,C6941),"")</f>
        <v/>
      </c>
      <c r="L6941">
        <f>IF(B6941,INDEX(Dow,1,WEEKDAY(E6941,2)),"")</f>
        <v/>
      </c>
      <c r="M6941">
        <f>IF(B6941,(1+Trend)^D6941,"")</f>
        <v/>
      </c>
      <c r="N6941">
        <f>IF(B6941,EXP(SUMPRODUCT(LN(1+(EvEff-1)*INDEX(Affected,0,C6941)*EXP(-((E6941-EvCenter)^2)/(2*EvSigma^2))))),"")</f>
        <v/>
      </c>
      <c r="O6941">
        <f>IF(B6941,ROUND(MAX(0,J6941*K6941*L6941*M6941*N6941),2),"")</f>
        <v/>
      </c>
    </row>
    <row r="6942">
      <c r="A6942" t="n">
        <v>6941</v>
      </c>
      <c r="B6942">
        <f>A6942&lt;=MineCount*Days</f>
        <v/>
      </c>
      <c r="C6942">
        <f>IF(B6942,INT((A6942-1)/Days)+1,"")</f>
        <v/>
      </c>
      <c r="D6942">
        <f>IF(B6942,MOD(A6942-1,Days),"")</f>
        <v/>
      </c>
      <c r="E6942" s="16">
        <f>IF(B6942,StartDate+D6942,"")</f>
        <v/>
      </c>
      <c r="F6942">
        <f>IF(B6942,MAX(MOD(SIN(Seed*0.1373+C6942*12.9898+D6942*78.233)*43758.5453,1),1E-9),"")</f>
        <v/>
      </c>
      <c r="G6942">
        <f>IF(B6942,MOD(SIN(Seed*0.5917+C6942*39.3468+D6942*11.135)*24634.6345,1),"")</f>
        <v/>
      </c>
      <c r="H6942">
        <f>IF(B6942,SQRT(-2*LN(F6942))*COS(2*PI()*G6942),"")</f>
        <v/>
      </c>
      <c r="I6942">
        <f>IF(B6942,IF(D6942=0,H6942,Rho*I6941+SQRT(1-Rho^2)*H6942),"")</f>
        <v/>
      </c>
      <c r="J6942">
        <f>IF(B6942,IF(Dist="Normal",DistA+DistB*I6942,DistA+(DistB-DistA)*NORMSDIST(I6942)),"")</f>
        <v/>
      </c>
      <c r="K6942">
        <f>IF(B6942,INDEX(MineScale,C6942),"")</f>
        <v/>
      </c>
      <c r="L6942">
        <f>IF(B6942,INDEX(Dow,1,WEEKDAY(E6942,2)),"")</f>
        <v/>
      </c>
      <c r="M6942">
        <f>IF(B6942,(1+Trend)^D6942,"")</f>
        <v/>
      </c>
      <c r="N6942">
        <f>IF(B6942,EXP(SUMPRODUCT(LN(1+(EvEff-1)*INDEX(Affected,0,C6942)*EXP(-((E6942-EvCenter)^2)/(2*EvSigma^2))))),"")</f>
        <v/>
      </c>
      <c r="O6942">
        <f>IF(B6942,ROUND(MAX(0,J6942*K6942*L6942*M6942*N6942),2),"")</f>
        <v/>
      </c>
    </row>
    <row r="6943">
      <c r="A6943" t="n">
        <v>6942</v>
      </c>
      <c r="B6943">
        <f>A6943&lt;=MineCount*Days</f>
        <v/>
      </c>
      <c r="C6943">
        <f>IF(B6943,INT((A6943-1)/Days)+1,"")</f>
        <v/>
      </c>
      <c r="D6943">
        <f>IF(B6943,MOD(A6943-1,Days),"")</f>
        <v/>
      </c>
      <c r="E6943" s="16">
        <f>IF(B6943,StartDate+D6943,"")</f>
        <v/>
      </c>
      <c r="F6943">
        <f>IF(B6943,MAX(MOD(SIN(Seed*0.1373+C6943*12.9898+D6943*78.233)*43758.5453,1),1E-9),"")</f>
        <v/>
      </c>
      <c r="G6943">
        <f>IF(B6943,MOD(SIN(Seed*0.5917+C6943*39.3468+D6943*11.135)*24634.6345,1),"")</f>
        <v/>
      </c>
      <c r="H6943">
        <f>IF(B6943,SQRT(-2*LN(F6943))*COS(2*PI()*G6943),"")</f>
        <v/>
      </c>
      <c r="I6943">
        <f>IF(B6943,IF(D6943=0,H6943,Rho*I6942+SQRT(1-Rho^2)*H6943),"")</f>
        <v/>
      </c>
      <c r="J6943">
        <f>IF(B6943,IF(Dist="Normal",DistA+DistB*I6943,DistA+(DistB-DistA)*NORMSDIST(I6943)),"")</f>
        <v/>
      </c>
      <c r="K6943">
        <f>IF(B6943,INDEX(MineScale,C6943),"")</f>
        <v/>
      </c>
      <c r="L6943">
        <f>IF(B6943,INDEX(Dow,1,WEEKDAY(E6943,2)),"")</f>
        <v/>
      </c>
      <c r="M6943">
        <f>IF(B6943,(1+Trend)^D6943,"")</f>
        <v/>
      </c>
      <c r="N6943">
        <f>IF(B6943,EXP(SUMPRODUCT(LN(1+(EvEff-1)*INDEX(Affected,0,C6943)*EXP(-((E6943-EvCenter)^2)/(2*EvSigma^2))))),"")</f>
        <v/>
      </c>
      <c r="O6943">
        <f>IF(B6943,ROUND(MAX(0,J6943*K6943*L6943*M6943*N6943),2),"")</f>
        <v/>
      </c>
    </row>
    <row r="6944">
      <c r="A6944" t="n">
        <v>6943</v>
      </c>
      <c r="B6944">
        <f>A6944&lt;=MineCount*Days</f>
        <v/>
      </c>
      <c r="C6944">
        <f>IF(B6944,INT((A6944-1)/Days)+1,"")</f>
        <v/>
      </c>
      <c r="D6944">
        <f>IF(B6944,MOD(A6944-1,Days),"")</f>
        <v/>
      </c>
      <c r="E6944" s="16">
        <f>IF(B6944,StartDate+D6944,"")</f>
        <v/>
      </c>
      <c r="F6944">
        <f>IF(B6944,MAX(MOD(SIN(Seed*0.1373+C6944*12.9898+D6944*78.233)*43758.5453,1),1E-9),"")</f>
        <v/>
      </c>
      <c r="G6944">
        <f>IF(B6944,MOD(SIN(Seed*0.5917+C6944*39.3468+D6944*11.135)*24634.6345,1),"")</f>
        <v/>
      </c>
      <c r="H6944">
        <f>IF(B6944,SQRT(-2*LN(F6944))*COS(2*PI()*G6944),"")</f>
        <v/>
      </c>
      <c r="I6944">
        <f>IF(B6944,IF(D6944=0,H6944,Rho*I6943+SQRT(1-Rho^2)*H6944),"")</f>
        <v/>
      </c>
      <c r="J6944">
        <f>IF(B6944,IF(Dist="Normal",DistA+DistB*I6944,DistA+(DistB-DistA)*NORMSDIST(I6944)),"")</f>
        <v/>
      </c>
      <c r="K6944">
        <f>IF(B6944,INDEX(MineScale,C6944),"")</f>
        <v/>
      </c>
      <c r="L6944">
        <f>IF(B6944,INDEX(Dow,1,WEEKDAY(E6944,2)),"")</f>
        <v/>
      </c>
      <c r="M6944">
        <f>IF(B6944,(1+Trend)^D6944,"")</f>
        <v/>
      </c>
      <c r="N6944">
        <f>IF(B6944,EXP(SUMPRODUCT(LN(1+(EvEff-1)*INDEX(Affected,0,C6944)*EXP(-((E6944-EvCenter)^2)/(2*EvSigma^2))))),"")</f>
        <v/>
      </c>
      <c r="O6944">
        <f>IF(B6944,ROUND(MAX(0,J6944*K6944*L6944*M6944*N6944),2),"")</f>
        <v/>
      </c>
    </row>
    <row r="6945">
      <c r="A6945" t="n">
        <v>6944</v>
      </c>
      <c r="B6945">
        <f>A6945&lt;=MineCount*Days</f>
        <v/>
      </c>
      <c r="C6945">
        <f>IF(B6945,INT((A6945-1)/Days)+1,"")</f>
        <v/>
      </c>
      <c r="D6945">
        <f>IF(B6945,MOD(A6945-1,Days),"")</f>
        <v/>
      </c>
      <c r="E6945" s="16">
        <f>IF(B6945,StartDate+D6945,"")</f>
        <v/>
      </c>
      <c r="F6945">
        <f>IF(B6945,MAX(MOD(SIN(Seed*0.1373+C6945*12.9898+D6945*78.233)*43758.5453,1),1E-9),"")</f>
        <v/>
      </c>
      <c r="G6945">
        <f>IF(B6945,MOD(SIN(Seed*0.5917+C6945*39.3468+D6945*11.135)*24634.6345,1),"")</f>
        <v/>
      </c>
      <c r="H6945">
        <f>IF(B6945,SQRT(-2*LN(F6945))*COS(2*PI()*G6945),"")</f>
        <v/>
      </c>
      <c r="I6945">
        <f>IF(B6945,IF(D6945=0,H6945,Rho*I6944+SQRT(1-Rho^2)*H6945),"")</f>
        <v/>
      </c>
      <c r="J6945">
        <f>IF(B6945,IF(Dist="Normal",DistA+DistB*I6945,DistA+(DistB-DistA)*NORMSDIST(I6945)),"")</f>
        <v/>
      </c>
      <c r="K6945">
        <f>IF(B6945,INDEX(MineScale,C6945),"")</f>
        <v/>
      </c>
      <c r="L6945">
        <f>IF(B6945,INDEX(Dow,1,WEEKDAY(E6945,2)),"")</f>
        <v/>
      </c>
      <c r="M6945">
        <f>IF(B6945,(1+Trend)^D6945,"")</f>
        <v/>
      </c>
      <c r="N6945">
        <f>IF(B6945,EXP(SUMPRODUCT(LN(1+(EvEff-1)*INDEX(Affected,0,C6945)*EXP(-((E6945-EvCenter)^2)/(2*EvSigma^2))))),"")</f>
        <v/>
      </c>
      <c r="O6945">
        <f>IF(B6945,ROUND(MAX(0,J6945*K6945*L6945*M6945*N6945),2),"")</f>
        <v/>
      </c>
    </row>
    <row r="6946">
      <c r="A6946" t="n">
        <v>6945</v>
      </c>
      <c r="B6946">
        <f>A6946&lt;=MineCount*Days</f>
        <v/>
      </c>
      <c r="C6946">
        <f>IF(B6946,INT((A6946-1)/Days)+1,"")</f>
        <v/>
      </c>
      <c r="D6946">
        <f>IF(B6946,MOD(A6946-1,Days),"")</f>
        <v/>
      </c>
      <c r="E6946" s="16">
        <f>IF(B6946,StartDate+D6946,"")</f>
        <v/>
      </c>
      <c r="F6946">
        <f>IF(B6946,MAX(MOD(SIN(Seed*0.1373+C6946*12.9898+D6946*78.233)*43758.5453,1),1E-9),"")</f>
        <v/>
      </c>
      <c r="G6946">
        <f>IF(B6946,MOD(SIN(Seed*0.5917+C6946*39.3468+D6946*11.135)*24634.6345,1),"")</f>
        <v/>
      </c>
      <c r="H6946">
        <f>IF(B6946,SQRT(-2*LN(F6946))*COS(2*PI()*G6946),"")</f>
        <v/>
      </c>
      <c r="I6946">
        <f>IF(B6946,IF(D6946=0,H6946,Rho*I6945+SQRT(1-Rho^2)*H6946),"")</f>
        <v/>
      </c>
      <c r="J6946">
        <f>IF(B6946,IF(Dist="Normal",DistA+DistB*I6946,DistA+(DistB-DistA)*NORMSDIST(I6946)),"")</f>
        <v/>
      </c>
      <c r="K6946">
        <f>IF(B6946,INDEX(MineScale,C6946),"")</f>
        <v/>
      </c>
      <c r="L6946">
        <f>IF(B6946,INDEX(Dow,1,WEEKDAY(E6946,2)),"")</f>
        <v/>
      </c>
      <c r="M6946">
        <f>IF(B6946,(1+Trend)^D6946,"")</f>
        <v/>
      </c>
      <c r="N6946">
        <f>IF(B6946,EXP(SUMPRODUCT(LN(1+(EvEff-1)*INDEX(Affected,0,C6946)*EXP(-((E6946-EvCenter)^2)/(2*EvSigma^2))))),"")</f>
        <v/>
      </c>
      <c r="O6946">
        <f>IF(B6946,ROUND(MAX(0,J6946*K6946*L6946*M6946*N6946),2),"")</f>
        <v/>
      </c>
    </row>
    <row r="6947">
      <c r="A6947" t="n">
        <v>6946</v>
      </c>
      <c r="B6947">
        <f>A6947&lt;=MineCount*Days</f>
        <v/>
      </c>
      <c r="C6947">
        <f>IF(B6947,INT((A6947-1)/Days)+1,"")</f>
        <v/>
      </c>
      <c r="D6947">
        <f>IF(B6947,MOD(A6947-1,Days),"")</f>
        <v/>
      </c>
      <c r="E6947" s="16">
        <f>IF(B6947,StartDate+D6947,"")</f>
        <v/>
      </c>
      <c r="F6947">
        <f>IF(B6947,MAX(MOD(SIN(Seed*0.1373+C6947*12.9898+D6947*78.233)*43758.5453,1),1E-9),"")</f>
        <v/>
      </c>
      <c r="G6947">
        <f>IF(B6947,MOD(SIN(Seed*0.5917+C6947*39.3468+D6947*11.135)*24634.6345,1),"")</f>
        <v/>
      </c>
      <c r="H6947">
        <f>IF(B6947,SQRT(-2*LN(F6947))*COS(2*PI()*G6947),"")</f>
        <v/>
      </c>
      <c r="I6947">
        <f>IF(B6947,IF(D6947=0,H6947,Rho*I6946+SQRT(1-Rho^2)*H6947),"")</f>
        <v/>
      </c>
      <c r="J6947">
        <f>IF(B6947,IF(Dist="Normal",DistA+DistB*I6947,DistA+(DistB-DistA)*NORMSDIST(I6947)),"")</f>
        <v/>
      </c>
      <c r="K6947">
        <f>IF(B6947,INDEX(MineScale,C6947),"")</f>
        <v/>
      </c>
      <c r="L6947">
        <f>IF(B6947,INDEX(Dow,1,WEEKDAY(E6947,2)),"")</f>
        <v/>
      </c>
      <c r="M6947">
        <f>IF(B6947,(1+Trend)^D6947,"")</f>
        <v/>
      </c>
      <c r="N6947">
        <f>IF(B6947,EXP(SUMPRODUCT(LN(1+(EvEff-1)*INDEX(Affected,0,C6947)*EXP(-((E6947-EvCenter)^2)/(2*EvSigma^2))))),"")</f>
        <v/>
      </c>
      <c r="O6947">
        <f>IF(B6947,ROUND(MAX(0,J6947*K6947*L6947*M6947*N6947),2),"")</f>
        <v/>
      </c>
    </row>
    <row r="6948">
      <c r="A6948" t="n">
        <v>6947</v>
      </c>
      <c r="B6948">
        <f>A6948&lt;=MineCount*Days</f>
        <v/>
      </c>
      <c r="C6948">
        <f>IF(B6948,INT((A6948-1)/Days)+1,"")</f>
        <v/>
      </c>
      <c r="D6948">
        <f>IF(B6948,MOD(A6948-1,Days),"")</f>
        <v/>
      </c>
      <c r="E6948" s="16">
        <f>IF(B6948,StartDate+D6948,"")</f>
        <v/>
      </c>
      <c r="F6948">
        <f>IF(B6948,MAX(MOD(SIN(Seed*0.1373+C6948*12.9898+D6948*78.233)*43758.5453,1),1E-9),"")</f>
        <v/>
      </c>
      <c r="G6948">
        <f>IF(B6948,MOD(SIN(Seed*0.5917+C6948*39.3468+D6948*11.135)*24634.6345,1),"")</f>
        <v/>
      </c>
      <c r="H6948">
        <f>IF(B6948,SQRT(-2*LN(F6948))*COS(2*PI()*G6948),"")</f>
        <v/>
      </c>
      <c r="I6948">
        <f>IF(B6948,IF(D6948=0,H6948,Rho*I6947+SQRT(1-Rho^2)*H6948),"")</f>
        <v/>
      </c>
      <c r="J6948">
        <f>IF(B6948,IF(Dist="Normal",DistA+DistB*I6948,DistA+(DistB-DistA)*NORMSDIST(I6948)),"")</f>
        <v/>
      </c>
      <c r="K6948">
        <f>IF(B6948,INDEX(MineScale,C6948),"")</f>
        <v/>
      </c>
      <c r="L6948">
        <f>IF(B6948,INDEX(Dow,1,WEEKDAY(E6948,2)),"")</f>
        <v/>
      </c>
      <c r="M6948">
        <f>IF(B6948,(1+Trend)^D6948,"")</f>
        <v/>
      </c>
      <c r="N6948">
        <f>IF(B6948,EXP(SUMPRODUCT(LN(1+(EvEff-1)*INDEX(Affected,0,C6948)*EXP(-((E6948-EvCenter)^2)/(2*EvSigma^2))))),"")</f>
        <v/>
      </c>
      <c r="O6948">
        <f>IF(B6948,ROUND(MAX(0,J6948*K6948*L6948*M6948*N6948),2),"")</f>
        <v/>
      </c>
    </row>
    <row r="6949">
      <c r="A6949" t="n">
        <v>6948</v>
      </c>
      <c r="B6949">
        <f>A6949&lt;=MineCount*Days</f>
        <v/>
      </c>
      <c r="C6949">
        <f>IF(B6949,INT((A6949-1)/Days)+1,"")</f>
        <v/>
      </c>
      <c r="D6949">
        <f>IF(B6949,MOD(A6949-1,Days),"")</f>
        <v/>
      </c>
      <c r="E6949" s="16">
        <f>IF(B6949,StartDate+D6949,"")</f>
        <v/>
      </c>
      <c r="F6949">
        <f>IF(B6949,MAX(MOD(SIN(Seed*0.1373+C6949*12.9898+D6949*78.233)*43758.5453,1),1E-9),"")</f>
        <v/>
      </c>
      <c r="G6949">
        <f>IF(B6949,MOD(SIN(Seed*0.5917+C6949*39.3468+D6949*11.135)*24634.6345,1),"")</f>
        <v/>
      </c>
      <c r="H6949">
        <f>IF(B6949,SQRT(-2*LN(F6949))*COS(2*PI()*G6949),"")</f>
        <v/>
      </c>
      <c r="I6949">
        <f>IF(B6949,IF(D6949=0,H6949,Rho*I6948+SQRT(1-Rho^2)*H6949),"")</f>
        <v/>
      </c>
      <c r="J6949">
        <f>IF(B6949,IF(Dist="Normal",DistA+DistB*I6949,DistA+(DistB-DistA)*NORMSDIST(I6949)),"")</f>
        <v/>
      </c>
      <c r="K6949">
        <f>IF(B6949,INDEX(MineScale,C6949),"")</f>
        <v/>
      </c>
      <c r="L6949">
        <f>IF(B6949,INDEX(Dow,1,WEEKDAY(E6949,2)),"")</f>
        <v/>
      </c>
      <c r="M6949">
        <f>IF(B6949,(1+Trend)^D6949,"")</f>
        <v/>
      </c>
      <c r="N6949">
        <f>IF(B6949,EXP(SUMPRODUCT(LN(1+(EvEff-1)*INDEX(Affected,0,C6949)*EXP(-((E6949-EvCenter)^2)/(2*EvSigma^2))))),"")</f>
        <v/>
      </c>
      <c r="O6949">
        <f>IF(B6949,ROUND(MAX(0,J6949*K6949*L6949*M6949*N6949),2),"")</f>
        <v/>
      </c>
    </row>
    <row r="6950">
      <c r="A6950" t="n">
        <v>6949</v>
      </c>
      <c r="B6950">
        <f>A6950&lt;=MineCount*Days</f>
        <v/>
      </c>
      <c r="C6950">
        <f>IF(B6950,INT((A6950-1)/Days)+1,"")</f>
        <v/>
      </c>
      <c r="D6950">
        <f>IF(B6950,MOD(A6950-1,Days),"")</f>
        <v/>
      </c>
      <c r="E6950" s="16">
        <f>IF(B6950,StartDate+D6950,"")</f>
        <v/>
      </c>
      <c r="F6950">
        <f>IF(B6950,MAX(MOD(SIN(Seed*0.1373+C6950*12.9898+D6950*78.233)*43758.5453,1),1E-9),"")</f>
        <v/>
      </c>
      <c r="G6950">
        <f>IF(B6950,MOD(SIN(Seed*0.5917+C6950*39.3468+D6950*11.135)*24634.6345,1),"")</f>
        <v/>
      </c>
      <c r="H6950">
        <f>IF(B6950,SQRT(-2*LN(F6950))*COS(2*PI()*G6950),"")</f>
        <v/>
      </c>
      <c r="I6950">
        <f>IF(B6950,IF(D6950=0,H6950,Rho*I6949+SQRT(1-Rho^2)*H6950),"")</f>
        <v/>
      </c>
      <c r="J6950">
        <f>IF(B6950,IF(Dist="Normal",DistA+DistB*I6950,DistA+(DistB-DistA)*NORMSDIST(I6950)),"")</f>
        <v/>
      </c>
      <c r="K6950">
        <f>IF(B6950,INDEX(MineScale,C6950),"")</f>
        <v/>
      </c>
      <c r="L6950">
        <f>IF(B6950,INDEX(Dow,1,WEEKDAY(E6950,2)),"")</f>
        <v/>
      </c>
      <c r="M6950">
        <f>IF(B6950,(1+Trend)^D6950,"")</f>
        <v/>
      </c>
      <c r="N6950">
        <f>IF(B6950,EXP(SUMPRODUCT(LN(1+(EvEff-1)*INDEX(Affected,0,C6950)*EXP(-((E6950-EvCenter)^2)/(2*EvSigma^2))))),"")</f>
        <v/>
      </c>
      <c r="O6950">
        <f>IF(B6950,ROUND(MAX(0,J6950*K6950*L6950*M6950*N6950),2),"")</f>
        <v/>
      </c>
    </row>
    <row r="6951">
      <c r="A6951" t="n">
        <v>6950</v>
      </c>
      <c r="B6951">
        <f>A6951&lt;=MineCount*Days</f>
        <v/>
      </c>
      <c r="C6951">
        <f>IF(B6951,INT((A6951-1)/Days)+1,"")</f>
        <v/>
      </c>
      <c r="D6951">
        <f>IF(B6951,MOD(A6951-1,Days),"")</f>
        <v/>
      </c>
      <c r="E6951" s="16">
        <f>IF(B6951,StartDate+D6951,"")</f>
        <v/>
      </c>
      <c r="F6951">
        <f>IF(B6951,MAX(MOD(SIN(Seed*0.1373+C6951*12.9898+D6951*78.233)*43758.5453,1),1E-9),"")</f>
        <v/>
      </c>
      <c r="G6951">
        <f>IF(B6951,MOD(SIN(Seed*0.5917+C6951*39.3468+D6951*11.135)*24634.6345,1),"")</f>
        <v/>
      </c>
      <c r="H6951">
        <f>IF(B6951,SQRT(-2*LN(F6951))*COS(2*PI()*G6951),"")</f>
        <v/>
      </c>
      <c r="I6951">
        <f>IF(B6951,IF(D6951=0,H6951,Rho*I6950+SQRT(1-Rho^2)*H6951),"")</f>
        <v/>
      </c>
      <c r="J6951">
        <f>IF(B6951,IF(Dist="Normal",DistA+DistB*I6951,DistA+(DistB-DistA)*NORMSDIST(I6951)),"")</f>
        <v/>
      </c>
      <c r="K6951">
        <f>IF(B6951,INDEX(MineScale,C6951),"")</f>
        <v/>
      </c>
      <c r="L6951">
        <f>IF(B6951,INDEX(Dow,1,WEEKDAY(E6951,2)),"")</f>
        <v/>
      </c>
      <c r="M6951">
        <f>IF(B6951,(1+Trend)^D6951,"")</f>
        <v/>
      </c>
      <c r="N6951">
        <f>IF(B6951,EXP(SUMPRODUCT(LN(1+(EvEff-1)*INDEX(Affected,0,C6951)*EXP(-((E6951-EvCenter)^2)/(2*EvSigma^2))))),"")</f>
        <v/>
      </c>
      <c r="O6951">
        <f>IF(B6951,ROUND(MAX(0,J6951*K6951*L6951*M6951*N6951),2),"")</f>
        <v/>
      </c>
    </row>
    <row r="6952">
      <c r="A6952" t="n">
        <v>6951</v>
      </c>
      <c r="B6952">
        <f>A6952&lt;=MineCount*Days</f>
        <v/>
      </c>
      <c r="C6952">
        <f>IF(B6952,INT((A6952-1)/Days)+1,"")</f>
        <v/>
      </c>
      <c r="D6952">
        <f>IF(B6952,MOD(A6952-1,Days),"")</f>
        <v/>
      </c>
      <c r="E6952" s="16">
        <f>IF(B6952,StartDate+D6952,"")</f>
        <v/>
      </c>
      <c r="F6952">
        <f>IF(B6952,MAX(MOD(SIN(Seed*0.1373+C6952*12.9898+D6952*78.233)*43758.5453,1),1E-9),"")</f>
        <v/>
      </c>
      <c r="G6952">
        <f>IF(B6952,MOD(SIN(Seed*0.5917+C6952*39.3468+D6952*11.135)*24634.6345,1),"")</f>
        <v/>
      </c>
      <c r="H6952">
        <f>IF(B6952,SQRT(-2*LN(F6952))*COS(2*PI()*G6952),"")</f>
        <v/>
      </c>
      <c r="I6952">
        <f>IF(B6952,IF(D6952=0,H6952,Rho*I6951+SQRT(1-Rho^2)*H6952),"")</f>
        <v/>
      </c>
      <c r="J6952">
        <f>IF(B6952,IF(Dist="Normal",DistA+DistB*I6952,DistA+(DistB-DistA)*NORMSDIST(I6952)),"")</f>
        <v/>
      </c>
      <c r="K6952">
        <f>IF(B6952,INDEX(MineScale,C6952),"")</f>
        <v/>
      </c>
      <c r="L6952">
        <f>IF(B6952,INDEX(Dow,1,WEEKDAY(E6952,2)),"")</f>
        <v/>
      </c>
      <c r="M6952">
        <f>IF(B6952,(1+Trend)^D6952,"")</f>
        <v/>
      </c>
      <c r="N6952">
        <f>IF(B6952,EXP(SUMPRODUCT(LN(1+(EvEff-1)*INDEX(Affected,0,C6952)*EXP(-((E6952-EvCenter)^2)/(2*EvSigma^2))))),"")</f>
        <v/>
      </c>
      <c r="O6952">
        <f>IF(B6952,ROUND(MAX(0,J6952*K6952*L6952*M6952*N6952),2),"")</f>
        <v/>
      </c>
    </row>
    <row r="6953">
      <c r="A6953" t="n">
        <v>6952</v>
      </c>
      <c r="B6953">
        <f>A6953&lt;=MineCount*Days</f>
        <v/>
      </c>
      <c r="C6953">
        <f>IF(B6953,INT((A6953-1)/Days)+1,"")</f>
        <v/>
      </c>
      <c r="D6953">
        <f>IF(B6953,MOD(A6953-1,Days),"")</f>
        <v/>
      </c>
      <c r="E6953" s="16">
        <f>IF(B6953,StartDate+D6953,"")</f>
        <v/>
      </c>
      <c r="F6953">
        <f>IF(B6953,MAX(MOD(SIN(Seed*0.1373+C6953*12.9898+D6953*78.233)*43758.5453,1),1E-9),"")</f>
        <v/>
      </c>
      <c r="G6953">
        <f>IF(B6953,MOD(SIN(Seed*0.5917+C6953*39.3468+D6953*11.135)*24634.6345,1),"")</f>
        <v/>
      </c>
      <c r="H6953">
        <f>IF(B6953,SQRT(-2*LN(F6953))*COS(2*PI()*G6953),"")</f>
        <v/>
      </c>
      <c r="I6953">
        <f>IF(B6953,IF(D6953=0,H6953,Rho*I6952+SQRT(1-Rho^2)*H6953),"")</f>
        <v/>
      </c>
      <c r="J6953">
        <f>IF(B6953,IF(Dist="Normal",DistA+DistB*I6953,DistA+(DistB-DistA)*NORMSDIST(I6953)),"")</f>
        <v/>
      </c>
      <c r="K6953">
        <f>IF(B6953,INDEX(MineScale,C6953),"")</f>
        <v/>
      </c>
      <c r="L6953">
        <f>IF(B6953,INDEX(Dow,1,WEEKDAY(E6953,2)),"")</f>
        <v/>
      </c>
      <c r="M6953">
        <f>IF(B6953,(1+Trend)^D6953,"")</f>
        <v/>
      </c>
      <c r="N6953">
        <f>IF(B6953,EXP(SUMPRODUCT(LN(1+(EvEff-1)*INDEX(Affected,0,C6953)*EXP(-((E6953-EvCenter)^2)/(2*EvSigma^2))))),"")</f>
        <v/>
      </c>
      <c r="O6953">
        <f>IF(B6953,ROUND(MAX(0,J6953*K6953*L6953*M6953*N6953),2),"")</f>
        <v/>
      </c>
    </row>
    <row r="6954">
      <c r="A6954" t="n">
        <v>6953</v>
      </c>
      <c r="B6954">
        <f>A6954&lt;=MineCount*Days</f>
        <v/>
      </c>
      <c r="C6954">
        <f>IF(B6954,INT((A6954-1)/Days)+1,"")</f>
        <v/>
      </c>
      <c r="D6954">
        <f>IF(B6954,MOD(A6954-1,Days),"")</f>
        <v/>
      </c>
      <c r="E6954" s="16">
        <f>IF(B6954,StartDate+D6954,"")</f>
        <v/>
      </c>
      <c r="F6954">
        <f>IF(B6954,MAX(MOD(SIN(Seed*0.1373+C6954*12.9898+D6954*78.233)*43758.5453,1),1E-9),"")</f>
        <v/>
      </c>
      <c r="G6954">
        <f>IF(B6954,MOD(SIN(Seed*0.5917+C6954*39.3468+D6954*11.135)*24634.6345,1),"")</f>
        <v/>
      </c>
      <c r="H6954">
        <f>IF(B6954,SQRT(-2*LN(F6954))*COS(2*PI()*G6954),"")</f>
        <v/>
      </c>
      <c r="I6954">
        <f>IF(B6954,IF(D6954=0,H6954,Rho*I6953+SQRT(1-Rho^2)*H6954),"")</f>
        <v/>
      </c>
      <c r="J6954">
        <f>IF(B6954,IF(Dist="Normal",DistA+DistB*I6954,DistA+(DistB-DistA)*NORMSDIST(I6954)),"")</f>
        <v/>
      </c>
      <c r="K6954">
        <f>IF(B6954,INDEX(MineScale,C6954),"")</f>
        <v/>
      </c>
      <c r="L6954">
        <f>IF(B6954,INDEX(Dow,1,WEEKDAY(E6954,2)),"")</f>
        <v/>
      </c>
      <c r="M6954">
        <f>IF(B6954,(1+Trend)^D6954,"")</f>
        <v/>
      </c>
      <c r="N6954">
        <f>IF(B6954,EXP(SUMPRODUCT(LN(1+(EvEff-1)*INDEX(Affected,0,C6954)*EXP(-((E6954-EvCenter)^2)/(2*EvSigma^2))))),"")</f>
        <v/>
      </c>
      <c r="O6954">
        <f>IF(B6954,ROUND(MAX(0,J6954*K6954*L6954*M6954*N6954),2),"")</f>
        <v/>
      </c>
    </row>
    <row r="6955">
      <c r="A6955" t="n">
        <v>6954</v>
      </c>
      <c r="B6955">
        <f>A6955&lt;=MineCount*Days</f>
        <v/>
      </c>
      <c r="C6955">
        <f>IF(B6955,INT((A6955-1)/Days)+1,"")</f>
        <v/>
      </c>
      <c r="D6955">
        <f>IF(B6955,MOD(A6955-1,Days),"")</f>
        <v/>
      </c>
      <c r="E6955" s="16">
        <f>IF(B6955,StartDate+D6955,"")</f>
        <v/>
      </c>
      <c r="F6955">
        <f>IF(B6955,MAX(MOD(SIN(Seed*0.1373+C6955*12.9898+D6955*78.233)*43758.5453,1),1E-9),"")</f>
        <v/>
      </c>
      <c r="G6955">
        <f>IF(B6955,MOD(SIN(Seed*0.5917+C6955*39.3468+D6955*11.135)*24634.6345,1),"")</f>
        <v/>
      </c>
      <c r="H6955">
        <f>IF(B6955,SQRT(-2*LN(F6955))*COS(2*PI()*G6955),"")</f>
        <v/>
      </c>
      <c r="I6955">
        <f>IF(B6955,IF(D6955=0,H6955,Rho*I6954+SQRT(1-Rho^2)*H6955),"")</f>
        <v/>
      </c>
      <c r="J6955">
        <f>IF(B6955,IF(Dist="Normal",DistA+DistB*I6955,DistA+(DistB-DistA)*NORMSDIST(I6955)),"")</f>
        <v/>
      </c>
      <c r="K6955">
        <f>IF(B6955,INDEX(MineScale,C6955),"")</f>
        <v/>
      </c>
      <c r="L6955">
        <f>IF(B6955,INDEX(Dow,1,WEEKDAY(E6955,2)),"")</f>
        <v/>
      </c>
      <c r="M6955">
        <f>IF(B6955,(1+Trend)^D6955,"")</f>
        <v/>
      </c>
      <c r="N6955">
        <f>IF(B6955,EXP(SUMPRODUCT(LN(1+(EvEff-1)*INDEX(Affected,0,C6955)*EXP(-((E6955-EvCenter)^2)/(2*EvSigma^2))))),"")</f>
        <v/>
      </c>
      <c r="O6955">
        <f>IF(B6955,ROUND(MAX(0,J6955*K6955*L6955*M6955*N6955),2),"")</f>
        <v/>
      </c>
    </row>
    <row r="6956">
      <c r="A6956" t="n">
        <v>6955</v>
      </c>
      <c r="B6956">
        <f>A6956&lt;=MineCount*Days</f>
        <v/>
      </c>
      <c r="C6956">
        <f>IF(B6956,INT((A6956-1)/Days)+1,"")</f>
        <v/>
      </c>
      <c r="D6956">
        <f>IF(B6956,MOD(A6956-1,Days),"")</f>
        <v/>
      </c>
      <c r="E6956" s="16">
        <f>IF(B6956,StartDate+D6956,"")</f>
        <v/>
      </c>
      <c r="F6956">
        <f>IF(B6956,MAX(MOD(SIN(Seed*0.1373+C6956*12.9898+D6956*78.233)*43758.5453,1),1E-9),"")</f>
        <v/>
      </c>
      <c r="G6956">
        <f>IF(B6956,MOD(SIN(Seed*0.5917+C6956*39.3468+D6956*11.135)*24634.6345,1),"")</f>
        <v/>
      </c>
      <c r="H6956">
        <f>IF(B6956,SQRT(-2*LN(F6956))*COS(2*PI()*G6956),"")</f>
        <v/>
      </c>
      <c r="I6956">
        <f>IF(B6956,IF(D6956=0,H6956,Rho*I6955+SQRT(1-Rho^2)*H6956),"")</f>
        <v/>
      </c>
      <c r="J6956">
        <f>IF(B6956,IF(Dist="Normal",DistA+DistB*I6956,DistA+(DistB-DistA)*NORMSDIST(I6956)),"")</f>
        <v/>
      </c>
      <c r="K6956">
        <f>IF(B6956,INDEX(MineScale,C6956),"")</f>
        <v/>
      </c>
      <c r="L6956">
        <f>IF(B6956,INDEX(Dow,1,WEEKDAY(E6956,2)),"")</f>
        <v/>
      </c>
      <c r="M6956">
        <f>IF(B6956,(1+Trend)^D6956,"")</f>
        <v/>
      </c>
      <c r="N6956">
        <f>IF(B6956,EXP(SUMPRODUCT(LN(1+(EvEff-1)*INDEX(Affected,0,C6956)*EXP(-((E6956-EvCenter)^2)/(2*EvSigma^2))))),"")</f>
        <v/>
      </c>
      <c r="O6956">
        <f>IF(B6956,ROUND(MAX(0,J6956*K6956*L6956*M6956*N6956),2),"")</f>
        <v/>
      </c>
    </row>
    <row r="6957">
      <c r="A6957" t="n">
        <v>6956</v>
      </c>
      <c r="B6957">
        <f>A6957&lt;=MineCount*Days</f>
        <v/>
      </c>
      <c r="C6957">
        <f>IF(B6957,INT((A6957-1)/Days)+1,"")</f>
        <v/>
      </c>
      <c r="D6957">
        <f>IF(B6957,MOD(A6957-1,Days),"")</f>
        <v/>
      </c>
      <c r="E6957" s="16">
        <f>IF(B6957,StartDate+D6957,"")</f>
        <v/>
      </c>
      <c r="F6957">
        <f>IF(B6957,MAX(MOD(SIN(Seed*0.1373+C6957*12.9898+D6957*78.233)*43758.5453,1),1E-9),"")</f>
        <v/>
      </c>
      <c r="G6957">
        <f>IF(B6957,MOD(SIN(Seed*0.5917+C6957*39.3468+D6957*11.135)*24634.6345,1),"")</f>
        <v/>
      </c>
      <c r="H6957">
        <f>IF(B6957,SQRT(-2*LN(F6957))*COS(2*PI()*G6957),"")</f>
        <v/>
      </c>
      <c r="I6957">
        <f>IF(B6957,IF(D6957=0,H6957,Rho*I6956+SQRT(1-Rho^2)*H6957),"")</f>
        <v/>
      </c>
      <c r="J6957">
        <f>IF(B6957,IF(Dist="Normal",DistA+DistB*I6957,DistA+(DistB-DistA)*NORMSDIST(I6957)),"")</f>
        <v/>
      </c>
      <c r="K6957">
        <f>IF(B6957,INDEX(MineScale,C6957),"")</f>
        <v/>
      </c>
      <c r="L6957">
        <f>IF(B6957,INDEX(Dow,1,WEEKDAY(E6957,2)),"")</f>
        <v/>
      </c>
      <c r="M6957">
        <f>IF(B6957,(1+Trend)^D6957,"")</f>
        <v/>
      </c>
      <c r="N6957">
        <f>IF(B6957,EXP(SUMPRODUCT(LN(1+(EvEff-1)*INDEX(Affected,0,C6957)*EXP(-((E6957-EvCenter)^2)/(2*EvSigma^2))))),"")</f>
        <v/>
      </c>
      <c r="O6957">
        <f>IF(B6957,ROUND(MAX(0,J6957*K6957*L6957*M6957*N6957),2),"")</f>
        <v/>
      </c>
    </row>
    <row r="6958">
      <c r="A6958" t="n">
        <v>6957</v>
      </c>
      <c r="B6958">
        <f>A6958&lt;=MineCount*Days</f>
        <v/>
      </c>
      <c r="C6958">
        <f>IF(B6958,INT((A6958-1)/Days)+1,"")</f>
        <v/>
      </c>
      <c r="D6958">
        <f>IF(B6958,MOD(A6958-1,Days),"")</f>
        <v/>
      </c>
      <c r="E6958" s="16">
        <f>IF(B6958,StartDate+D6958,"")</f>
        <v/>
      </c>
      <c r="F6958">
        <f>IF(B6958,MAX(MOD(SIN(Seed*0.1373+C6958*12.9898+D6958*78.233)*43758.5453,1),1E-9),"")</f>
        <v/>
      </c>
      <c r="G6958">
        <f>IF(B6958,MOD(SIN(Seed*0.5917+C6958*39.3468+D6958*11.135)*24634.6345,1),"")</f>
        <v/>
      </c>
      <c r="H6958">
        <f>IF(B6958,SQRT(-2*LN(F6958))*COS(2*PI()*G6958),"")</f>
        <v/>
      </c>
      <c r="I6958">
        <f>IF(B6958,IF(D6958=0,H6958,Rho*I6957+SQRT(1-Rho^2)*H6958),"")</f>
        <v/>
      </c>
      <c r="J6958">
        <f>IF(B6958,IF(Dist="Normal",DistA+DistB*I6958,DistA+(DistB-DistA)*NORMSDIST(I6958)),"")</f>
        <v/>
      </c>
      <c r="K6958">
        <f>IF(B6958,INDEX(MineScale,C6958),"")</f>
        <v/>
      </c>
      <c r="L6958">
        <f>IF(B6958,INDEX(Dow,1,WEEKDAY(E6958,2)),"")</f>
        <v/>
      </c>
      <c r="M6958">
        <f>IF(B6958,(1+Trend)^D6958,"")</f>
        <v/>
      </c>
      <c r="N6958">
        <f>IF(B6958,EXP(SUMPRODUCT(LN(1+(EvEff-1)*INDEX(Affected,0,C6958)*EXP(-((E6958-EvCenter)^2)/(2*EvSigma^2))))),"")</f>
        <v/>
      </c>
      <c r="O6958">
        <f>IF(B6958,ROUND(MAX(0,J6958*K6958*L6958*M6958*N6958),2),"")</f>
        <v/>
      </c>
    </row>
    <row r="6959">
      <c r="A6959" t="n">
        <v>6958</v>
      </c>
      <c r="B6959">
        <f>A6959&lt;=MineCount*Days</f>
        <v/>
      </c>
      <c r="C6959">
        <f>IF(B6959,INT((A6959-1)/Days)+1,"")</f>
        <v/>
      </c>
      <c r="D6959">
        <f>IF(B6959,MOD(A6959-1,Days),"")</f>
        <v/>
      </c>
      <c r="E6959" s="16">
        <f>IF(B6959,StartDate+D6959,"")</f>
        <v/>
      </c>
      <c r="F6959">
        <f>IF(B6959,MAX(MOD(SIN(Seed*0.1373+C6959*12.9898+D6959*78.233)*43758.5453,1),1E-9),"")</f>
        <v/>
      </c>
      <c r="G6959">
        <f>IF(B6959,MOD(SIN(Seed*0.5917+C6959*39.3468+D6959*11.135)*24634.6345,1),"")</f>
        <v/>
      </c>
      <c r="H6959">
        <f>IF(B6959,SQRT(-2*LN(F6959))*COS(2*PI()*G6959),"")</f>
        <v/>
      </c>
      <c r="I6959">
        <f>IF(B6959,IF(D6959=0,H6959,Rho*I6958+SQRT(1-Rho^2)*H6959),"")</f>
        <v/>
      </c>
      <c r="J6959">
        <f>IF(B6959,IF(Dist="Normal",DistA+DistB*I6959,DistA+(DistB-DistA)*NORMSDIST(I6959)),"")</f>
        <v/>
      </c>
      <c r="K6959">
        <f>IF(B6959,INDEX(MineScale,C6959),"")</f>
        <v/>
      </c>
      <c r="L6959">
        <f>IF(B6959,INDEX(Dow,1,WEEKDAY(E6959,2)),"")</f>
        <v/>
      </c>
      <c r="M6959">
        <f>IF(B6959,(1+Trend)^D6959,"")</f>
        <v/>
      </c>
      <c r="N6959">
        <f>IF(B6959,EXP(SUMPRODUCT(LN(1+(EvEff-1)*INDEX(Affected,0,C6959)*EXP(-((E6959-EvCenter)^2)/(2*EvSigma^2))))),"")</f>
        <v/>
      </c>
      <c r="O6959">
        <f>IF(B6959,ROUND(MAX(0,J6959*K6959*L6959*M6959*N6959),2),"")</f>
        <v/>
      </c>
    </row>
    <row r="6960">
      <c r="A6960" t="n">
        <v>6959</v>
      </c>
      <c r="B6960">
        <f>A6960&lt;=MineCount*Days</f>
        <v/>
      </c>
      <c r="C6960">
        <f>IF(B6960,INT((A6960-1)/Days)+1,"")</f>
        <v/>
      </c>
      <c r="D6960">
        <f>IF(B6960,MOD(A6960-1,Days),"")</f>
        <v/>
      </c>
      <c r="E6960" s="16">
        <f>IF(B6960,StartDate+D6960,"")</f>
        <v/>
      </c>
      <c r="F6960">
        <f>IF(B6960,MAX(MOD(SIN(Seed*0.1373+C6960*12.9898+D6960*78.233)*43758.5453,1),1E-9),"")</f>
        <v/>
      </c>
      <c r="G6960">
        <f>IF(B6960,MOD(SIN(Seed*0.5917+C6960*39.3468+D6960*11.135)*24634.6345,1),"")</f>
        <v/>
      </c>
      <c r="H6960">
        <f>IF(B6960,SQRT(-2*LN(F6960))*COS(2*PI()*G6960),"")</f>
        <v/>
      </c>
      <c r="I6960">
        <f>IF(B6960,IF(D6960=0,H6960,Rho*I6959+SQRT(1-Rho^2)*H6960),"")</f>
        <v/>
      </c>
      <c r="J6960">
        <f>IF(B6960,IF(Dist="Normal",DistA+DistB*I6960,DistA+(DistB-DistA)*NORMSDIST(I6960)),"")</f>
        <v/>
      </c>
      <c r="K6960">
        <f>IF(B6960,INDEX(MineScale,C6960),"")</f>
        <v/>
      </c>
      <c r="L6960">
        <f>IF(B6960,INDEX(Dow,1,WEEKDAY(E6960,2)),"")</f>
        <v/>
      </c>
      <c r="M6960">
        <f>IF(B6960,(1+Trend)^D6960,"")</f>
        <v/>
      </c>
      <c r="N6960">
        <f>IF(B6960,EXP(SUMPRODUCT(LN(1+(EvEff-1)*INDEX(Affected,0,C6960)*EXP(-((E6960-EvCenter)^2)/(2*EvSigma^2))))),"")</f>
        <v/>
      </c>
      <c r="O6960">
        <f>IF(B6960,ROUND(MAX(0,J6960*K6960*L6960*M6960*N6960),2),"")</f>
        <v/>
      </c>
    </row>
    <row r="6961">
      <c r="A6961" t="n">
        <v>6960</v>
      </c>
      <c r="B6961">
        <f>A6961&lt;=MineCount*Days</f>
        <v/>
      </c>
      <c r="C6961">
        <f>IF(B6961,INT((A6961-1)/Days)+1,"")</f>
        <v/>
      </c>
      <c r="D6961">
        <f>IF(B6961,MOD(A6961-1,Days),"")</f>
        <v/>
      </c>
      <c r="E6961" s="16">
        <f>IF(B6961,StartDate+D6961,"")</f>
        <v/>
      </c>
      <c r="F6961">
        <f>IF(B6961,MAX(MOD(SIN(Seed*0.1373+C6961*12.9898+D6961*78.233)*43758.5453,1),1E-9),"")</f>
        <v/>
      </c>
      <c r="G6961">
        <f>IF(B6961,MOD(SIN(Seed*0.5917+C6961*39.3468+D6961*11.135)*24634.6345,1),"")</f>
        <v/>
      </c>
      <c r="H6961">
        <f>IF(B6961,SQRT(-2*LN(F6961))*COS(2*PI()*G6961),"")</f>
        <v/>
      </c>
      <c r="I6961">
        <f>IF(B6961,IF(D6961=0,H6961,Rho*I6960+SQRT(1-Rho^2)*H6961),"")</f>
        <v/>
      </c>
      <c r="J6961">
        <f>IF(B6961,IF(Dist="Normal",DistA+DistB*I6961,DistA+(DistB-DistA)*NORMSDIST(I6961)),"")</f>
        <v/>
      </c>
      <c r="K6961">
        <f>IF(B6961,INDEX(MineScale,C6961),"")</f>
        <v/>
      </c>
      <c r="L6961">
        <f>IF(B6961,INDEX(Dow,1,WEEKDAY(E6961,2)),"")</f>
        <v/>
      </c>
      <c r="M6961">
        <f>IF(B6961,(1+Trend)^D6961,"")</f>
        <v/>
      </c>
      <c r="N6961">
        <f>IF(B6961,EXP(SUMPRODUCT(LN(1+(EvEff-1)*INDEX(Affected,0,C6961)*EXP(-((E6961-EvCenter)^2)/(2*EvSigma^2))))),"")</f>
        <v/>
      </c>
      <c r="O6961">
        <f>IF(B6961,ROUND(MAX(0,J6961*K6961*L6961*M6961*N6961),2),"")</f>
        <v/>
      </c>
    </row>
    <row r="6962">
      <c r="A6962" t="n">
        <v>6961</v>
      </c>
      <c r="B6962">
        <f>A6962&lt;=MineCount*Days</f>
        <v/>
      </c>
      <c r="C6962">
        <f>IF(B6962,INT((A6962-1)/Days)+1,"")</f>
        <v/>
      </c>
      <c r="D6962">
        <f>IF(B6962,MOD(A6962-1,Days),"")</f>
        <v/>
      </c>
      <c r="E6962" s="16">
        <f>IF(B6962,StartDate+D6962,"")</f>
        <v/>
      </c>
      <c r="F6962">
        <f>IF(B6962,MAX(MOD(SIN(Seed*0.1373+C6962*12.9898+D6962*78.233)*43758.5453,1),1E-9),"")</f>
        <v/>
      </c>
      <c r="G6962">
        <f>IF(B6962,MOD(SIN(Seed*0.5917+C6962*39.3468+D6962*11.135)*24634.6345,1),"")</f>
        <v/>
      </c>
      <c r="H6962">
        <f>IF(B6962,SQRT(-2*LN(F6962))*COS(2*PI()*G6962),"")</f>
        <v/>
      </c>
      <c r="I6962">
        <f>IF(B6962,IF(D6962=0,H6962,Rho*I6961+SQRT(1-Rho^2)*H6962),"")</f>
        <v/>
      </c>
      <c r="J6962">
        <f>IF(B6962,IF(Dist="Normal",DistA+DistB*I6962,DistA+(DistB-DistA)*NORMSDIST(I6962)),"")</f>
        <v/>
      </c>
      <c r="K6962">
        <f>IF(B6962,INDEX(MineScale,C6962),"")</f>
        <v/>
      </c>
      <c r="L6962">
        <f>IF(B6962,INDEX(Dow,1,WEEKDAY(E6962,2)),"")</f>
        <v/>
      </c>
      <c r="M6962">
        <f>IF(B6962,(1+Trend)^D6962,"")</f>
        <v/>
      </c>
      <c r="N6962">
        <f>IF(B6962,EXP(SUMPRODUCT(LN(1+(EvEff-1)*INDEX(Affected,0,C6962)*EXP(-((E6962-EvCenter)^2)/(2*EvSigma^2))))),"")</f>
        <v/>
      </c>
      <c r="O6962">
        <f>IF(B6962,ROUND(MAX(0,J6962*K6962*L6962*M6962*N6962),2),"")</f>
        <v/>
      </c>
    </row>
    <row r="6963">
      <c r="A6963" t="n">
        <v>6962</v>
      </c>
      <c r="B6963">
        <f>A6963&lt;=MineCount*Days</f>
        <v/>
      </c>
      <c r="C6963">
        <f>IF(B6963,INT((A6963-1)/Days)+1,"")</f>
        <v/>
      </c>
      <c r="D6963">
        <f>IF(B6963,MOD(A6963-1,Days),"")</f>
        <v/>
      </c>
      <c r="E6963" s="16">
        <f>IF(B6963,StartDate+D6963,"")</f>
        <v/>
      </c>
      <c r="F6963">
        <f>IF(B6963,MAX(MOD(SIN(Seed*0.1373+C6963*12.9898+D6963*78.233)*43758.5453,1),1E-9),"")</f>
        <v/>
      </c>
      <c r="G6963">
        <f>IF(B6963,MOD(SIN(Seed*0.5917+C6963*39.3468+D6963*11.135)*24634.6345,1),"")</f>
        <v/>
      </c>
      <c r="H6963">
        <f>IF(B6963,SQRT(-2*LN(F6963))*COS(2*PI()*G6963),"")</f>
        <v/>
      </c>
      <c r="I6963">
        <f>IF(B6963,IF(D6963=0,H6963,Rho*I6962+SQRT(1-Rho^2)*H6963),"")</f>
        <v/>
      </c>
      <c r="J6963">
        <f>IF(B6963,IF(Dist="Normal",DistA+DistB*I6963,DistA+(DistB-DistA)*NORMSDIST(I6963)),"")</f>
        <v/>
      </c>
      <c r="K6963">
        <f>IF(B6963,INDEX(MineScale,C6963),"")</f>
        <v/>
      </c>
      <c r="L6963">
        <f>IF(B6963,INDEX(Dow,1,WEEKDAY(E6963,2)),"")</f>
        <v/>
      </c>
      <c r="M6963">
        <f>IF(B6963,(1+Trend)^D6963,"")</f>
        <v/>
      </c>
      <c r="N6963">
        <f>IF(B6963,EXP(SUMPRODUCT(LN(1+(EvEff-1)*INDEX(Affected,0,C6963)*EXP(-((E6963-EvCenter)^2)/(2*EvSigma^2))))),"")</f>
        <v/>
      </c>
      <c r="O6963">
        <f>IF(B6963,ROUND(MAX(0,J6963*K6963*L6963*M6963*N6963),2),"")</f>
        <v/>
      </c>
    </row>
    <row r="6964">
      <c r="A6964" t="n">
        <v>6963</v>
      </c>
      <c r="B6964">
        <f>A6964&lt;=MineCount*Days</f>
        <v/>
      </c>
      <c r="C6964">
        <f>IF(B6964,INT((A6964-1)/Days)+1,"")</f>
        <v/>
      </c>
      <c r="D6964">
        <f>IF(B6964,MOD(A6964-1,Days),"")</f>
        <v/>
      </c>
      <c r="E6964" s="16">
        <f>IF(B6964,StartDate+D6964,"")</f>
        <v/>
      </c>
      <c r="F6964">
        <f>IF(B6964,MAX(MOD(SIN(Seed*0.1373+C6964*12.9898+D6964*78.233)*43758.5453,1),1E-9),"")</f>
        <v/>
      </c>
      <c r="G6964">
        <f>IF(B6964,MOD(SIN(Seed*0.5917+C6964*39.3468+D6964*11.135)*24634.6345,1),"")</f>
        <v/>
      </c>
      <c r="H6964">
        <f>IF(B6964,SQRT(-2*LN(F6964))*COS(2*PI()*G6964),"")</f>
        <v/>
      </c>
      <c r="I6964">
        <f>IF(B6964,IF(D6964=0,H6964,Rho*I6963+SQRT(1-Rho^2)*H6964),"")</f>
        <v/>
      </c>
      <c r="J6964">
        <f>IF(B6964,IF(Dist="Normal",DistA+DistB*I6964,DistA+(DistB-DistA)*NORMSDIST(I6964)),"")</f>
        <v/>
      </c>
      <c r="K6964">
        <f>IF(B6964,INDEX(MineScale,C6964),"")</f>
        <v/>
      </c>
      <c r="L6964">
        <f>IF(B6964,INDEX(Dow,1,WEEKDAY(E6964,2)),"")</f>
        <v/>
      </c>
      <c r="M6964">
        <f>IF(B6964,(1+Trend)^D6964,"")</f>
        <v/>
      </c>
      <c r="N6964">
        <f>IF(B6964,EXP(SUMPRODUCT(LN(1+(EvEff-1)*INDEX(Affected,0,C6964)*EXP(-((E6964-EvCenter)^2)/(2*EvSigma^2))))),"")</f>
        <v/>
      </c>
      <c r="O6964">
        <f>IF(B6964,ROUND(MAX(0,J6964*K6964*L6964*M6964*N6964),2),"")</f>
        <v/>
      </c>
    </row>
    <row r="6965">
      <c r="A6965" t="n">
        <v>6964</v>
      </c>
      <c r="B6965">
        <f>A6965&lt;=MineCount*Days</f>
        <v/>
      </c>
      <c r="C6965">
        <f>IF(B6965,INT((A6965-1)/Days)+1,"")</f>
        <v/>
      </c>
      <c r="D6965">
        <f>IF(B6965,MOD(A6965-1,Days),"")</f>
        <v/>
      </c>
      <c r="E6965" s="16">
        <f>IF(B6965,StartDate+D6965,"")</f>
        <v/>
      </c>
      <c r="F6965">
        <f>IF(B6965,MAX(MOD(SIN(Seed*0.1373+C6965*12.9898+D6965*78.233)*43758.5453,1),1E-9),"")</f>
        <v/>
      </c>
      <c r="G6965">
        <f>IF(B6965,MOD(SIN(Seed*0.5917+C6965*39.3468+D6965*11.135)*24634.6345,1),"")</f>
        <v/>
      </c>
      <c r="H6965">
        <f>IF(B6965,SQRT(-2*LN(F6965))*COS(2*PI()*G6965),"")</f>
        <v/>
      </c>
      <c r="I6965">
        <f>IF(B6965,IF(D6965=0,H6965,Rho*I6964+SQRT(1-Rho^2)*H6965),"")</f>
        <v/>
      </c>
      <c r="J6965">
        <f>IF(B6965,IF(Dist="Normal",DistA+DistB*I6965,DistA+(DistB-DistA)*NORMSDIST(I6965)),"")</f>
        <v/>
      </c>
      <c r="K6965">
        <f>IF(B6965,INDEX(MineScale,C6965),"")</f>
        <v/>
      </c>
      <c r="L6965">
        <f>IF(B6965,INDEX(Dow,1,WEEKDAY(E6965,2)),"")</f>
        <v/>
      </c>
      <c r="M6965">
        <f>IF(B6965,(1+Trend)^D6965,"")</f>
        <v/>
      </c>
      <c r="N6965">
        <f>IF(B6965,EXP(SUMPRODUCT(LN(1+(EvEff-1)*INDEX(Affected,0,C6965)*EXP(-((E6965-EvCenter)^2)/(2*EvSigma^2))))),"")</f>
        <v/>
      </c>
      <c r="O6965">
        <f>IF(B6965,ROUND(MAX(0,J6965*K6965*L6965*M6965*N6965),2),"")</f>
        <v/>
      </c>
    </row>
    <row r="6966">
      <c r="A6966" t="n">
        <v>6965</v>
      </c>
      <c r="B6966">
        <f>A6966&lt;=MineCount*Days</f>
        <v/>
      </c>
      <c r="C6966">
        <f>IF(B6966,INT((A6966-1)/Days)+1,"")</f>
        <v/>
      </c>
      <c r="D6966">
        <f>IF(B6966,MOD(A6966-1,Days),"")</f>
        <v/>
      </c>
      <c r="E6966" s="16">
        <f>IF(B6966,StartDate+D6966,"")</f>
        <v/>
      </c>
      <c r="F6966">
        <f>IF(B6966,MAX(MOD(SIN(Seed*0.1373+C6966*12.9898+D6966*78.233)*43758.5453,1),1E-9),"")</f>
        <v/>
      </c>
      <c r="G6966">
        <f>IF(B6966,MOD(SIN(Seed*0.5917+C6966*39.3468+D6966*11.135)*24634.6345,1),"")</f>
        <v/>
      </c>
      <c r="H6966">
        <f>IF(B6966,SQRT(-2*LN(F6966))*COS(2*PI()*G6966),"")</f>
        <v/>
      </c>
      <c r="I6966">
        <f>IF(B6966,IF(D6966=0,H6966,Rho*I6965+SQRT(1-Rho^2)*H6966),"")</f>
        <v/>
      </c>
      <c r="J6966">
        <f>IF(B6966,IF(Dist="Normal",DistA+DistB*I6966,DistA+(DistB-DistA)*NORMSDIST(I6966)),"")</f>
        <v/>
      </c>
      <c r="K6966">
        <f>IF(B6966,INDEX(MineScale,C6966),"")</f>
        <v/>
      </c>
      <c r="L6966">
        <f>IF(B6966,INDEX(Dow,1,WEEKDAY(E6966,2)),"")</f>
        <v/>
      </c>
      <c r="M6966">
        <f>IF(B6966,(1+Trend)^D6966,"")</f>
        <v/>
      </c>
      <c r="N6966">
        <f>IF(B6966,EXP(SUMPRODUCT(LN(1+(EvEff-1)*INDEX(Affected,0,C6966)*EXP(-((E6966-EvCenter)^2)/(2*EvSigma^2))))),"")</f>
        <v/>
      </c>
      <c r="O6966">
        <f>IF(B6966,ROUND(MAX(0,J6966*K6966*L6966*M6966*N6966),2),"")</f>
        <v/>
      </c>
    </row>
    <row r="6967">
      <c r="A6967" t="n">
        <v>6966</v>
      </c>
      <c r="B6967">
        <f>A6967&lt;=MineCount*Days</f>
        <v/>
      </c>
      <c r="C6967">
        <f>IF(B6967,INT((A6967-1)/Days)+1,"")</f>
        <v/>
      </c>
      <c r="D6967">
        <f>IF(B6967,MOD(A6967-1,Days),"")</f>
        <v/>
      </c>
      <c r="E6967" s="16">
        <f>IF(B6967,StartDate+D6967,"")</f>
        <v/>
      </c>
      <c r="F6967">
        <f>IF(B6967,MAX(MOD(SIN(Seed*0.1373+C6967*12.9898+D6967*78.233)*43758.5453,1),1E-9),"")</f>
        <v/>
      </c>
      <c r="G6967">
        <f>IF(B6967,MOD(SIN(Seed*0.5917+C6967*39.3468+D6967*11.135)*24634.6345,1),"")</f>
        <v/>
      </c>
      <c r="H6967">
        <f>IF(B6967,SQRT(-2*LN(F6967))*COS(2*PI()*G6967),"")</f>
        <v/>
      </c>
      <c r="I6967">
        <f>IF(B6967,IF(D6967=0,H6967,Rho*I6966+SQRT(1-Rho^2)*H6967),"")</f>
        <v/>
      </c>
      <c r="J6967">
        <f>IF(B6967,IF(Dist="Normal",DistA+DistB*I6967,DistA+(DistB-DistA)*NORMSDIST(I6967)),"")</f>
        <v/>
      </c>
      <c r="K6967">
        <f>IF(B6967,INDEX(MineScale,C6967),"")</f>
        <v/>
      </c>
      <c r="L6967">
        <f>IF(B6967,INDEX(Dow,1,WEEKDAY(E6967,2)),"")</f>
        <v/>
      </c>
      <c r="M6967">
        <f>IF(B6967,(1+Trend)^D6967,"")</f>
        <v/>
      </c>
      <c r="N6967">
        <f>IF(B6967,EXP(SUMPRODUCT(LN(1+(EvEff-1)*INDEX(Affected,0,C6967)*EXP(-((E6967-EvCenter)^2)/(2*EvSigma^2))))),"")</f>
        <v/>
      </c>
      <c r="O6967">
        <f>IF(B6967,ROUND(MAX(0,J6967*K6967*L6967*M6967*N6967),2),"")</f>
        <v/>
      </c>
    </row>
    <row r="6968">
      <c r="A6968" t="n">
        <v>6967</v>
      </c>
      <c r="B6968">
        <f>A6968&lt;=MineCount*Days</f>
        <v/>
      </c>
      <c r="C6968">
        <f>IF(B6968,INT((A6968-1)/Days)+1,"")</f>
        <v/>
      </c>
      <c r="D6968">
        <f>IF(B6968,MOD(A6968-1,Days),"")</f>
        <v/>
      </c>
      <c r="E6968" s="16">
        <f>IF(B6968,StartDate+D6968,"")</f>
        <v/>
      </c>
      <c r="F6968">
        <f>IF(B6968,MAX(MOD(SIN(Seed*0.1373+C6968*12.9898+D6968*78.233)*43758.5453,1),1E-9),"")</f>
        <v/>
      </c>
      <c r="G6968">
        <f>IF(B6968,MOD(SIN(Seed*0.5917+C6968*39.3468+D6968*11.135)*24634.6345,1),"")</f>
        <v/>
      </c>
      <c r="H6968">
        <f>IF(B6968,SQRT(-2*LN(F6968))*COS(2*PI()*G6968),"")</f>
        <v/>
      </c>
      <c r="I6968">
        <f>IF(B6968,IF(D6968=0,H6968,Rho*I6967+SQRT(1-Rho^2)*H6968),"")</f>
        <v/>
      </c>
      <c r="J6968">
        <f>IF(B6968,IF(Dist="Normal",DistA+DistB*I6968,DistA+(DistB-DistA)*NORMSDIST(I6968)),"")</f>
        <v/>
      </c>
      <c r="K6968">
        <f>IF(B6968,INDEX(MineScale,C6968),"")</f>
        <v/>
      </c>
      <c r="L6968">
        <f>IF(B6968,INDEX(Dow,1,WEEKDAY(E6968,2)),"")</f>
        <v/>
      </c>
      <c r="M6968">
        <f>IF(B6968,(1+Trend)^D6968,"")</f>
        <v/>
      </c>
      <c r="N6968">
        <f>IF(B6968,EXP(SUMPRODUCT(LN(1+(EvEff-1)*INDEX(Affected,0,C6968)*EXP(-((E6968-EvCenter)^2)/(2*EvSigma^2))))),"")</f>
        <v/>
      </c>
      <c r="O6968">
        <f>IF(B6968,ROUND(MAX(0,J6968*K6968*L6968*M6968*N6968),2),"")</f>
        <v/>
      </c>
    </row>
    <row r="6969">
      <c r="A6969" t="n">
        <v>6968</v>
      </c>
      <c r="B6969">
        <f>A6969&lt;=MineCount*Days</f>
        <v/>
      </c>
      <c r="C6969">
        <f>IF(B6969,INT((A6969-1)/Days)+1,"")</f>
        <v/>
      </c>
      <c r="D6969">
        <f>IF(B6969,MOD(A6969-1,Days),"")</f>
        <v/>
      </c>
      <c r="E6969" s="16">
        <f>IF(B6969,StartDate+D6969,"")</f>
        <v/>
      </c>
      <c r="F6969">
        <f>IF(B6969,MAX(MOD(SIN(Seed*0.1373+C6969*12.9898+D6969*78.233)*43758.5453,1),1E-9),"")</f>
        <v/>
      </c>
      <c r="G6969">
        <f>IF(B6969,MOD(SIN(Seed*0.5917+C6969*39.3468+D6969*11.135)*24634.6345,1),"")</f>
        <v/>
      </c>
      <c r="H6969">
        <f>IF(B6969,SQRT(-2*LN(F6969))*COS(2*PI()*G6969),"")</f>
        <v/>
      </c>
      <c r="I6969">
        <f>IF(B6969,IF(D6969=0,H6969,Rho*I6968+SQRT(1-Rho^2)*H6969),"")</f>
        <v/>
      </c>
      <c r="J6969">
        <f>IF(B6969,IF(Dist="Normal",DistA+DistB*I6969,DistA+(DistB-DistA)*NORMSDIST(I6969)),"")</f>
        <v/>
      </c>
      <c r="K6969">
        <f>IF(B6969,INDEX(MineScale,C6969),"")</f>
        <v/>
      </c>
      <c r="L6969">
        <f>IF(B6969,INDEX(Dow,1,WEEKDAY(E6969,2)),"")</f>
        <v/>
      </c>
      <c r="M6969">
        <f>IF(B6969,(1+Trend)^D6969,"")</f>
        <v/>
      </c>
      <c r="N6969">
        <f>IF(B6969,EXP(SUMPRODUCT(LN(1+(EvEff-1)*INDEX(Affected,0,C6969)*EXP(-((E6969-EvCenter)^2)/(2*EvSigma^2))))),"")</f>
        <v/>
      </c>
      <c r="O6969">
        <f>IF(B6969,ROUND(MAX(0,J6969*K6969*L6969*M6969*N6969),2),"")</f>
        <v/>
      </c>
    </row>
    <row r="6970">
      <c r="A6970" t="n">
        <v>6969</v>
      </c>
      <c r="B6970">
        <f>A6970&lt;=MineCount*Days</f>
        <v/>
      </c>
      <c r="C6970">
        <f>IF(B6970,INT((A6970-1)/Days)+1,"")</f>
        <v/>
      </c>
      <c r="D6970">
        <f>IF(B6970,MOD(A6970-1,Days),"")</f>
        <v/>
      </c>
      <c r="E6970" s="16">
        <f>IF(B6970,StartDate+D6970,"")</f>
        <v/>
      </c>
      <c r="F6970">
        <f>IF(B6970,MAX(MOD(SIN(Seed*0.1373+C6970*12.9898+D6970*78.233)*43758.5453,1),1E-9),"")</f>
        <v/>
      </c>
      <c r="G6970">
        <f>IF(B6970,MOD(SIN(Seed*0.5917+C6970*39.3468+D6970*11.135)*24634.6345,1),"")</f>
        <v/>
      </c>
      <c r="H6970">
        <f>IF(B6970,SQRT(-2*LN(F6970))*COS(2*PI()*G6970),"")</f>
        <v/>
      </c>
      <c r="I6970">
        <f>IF(B6970,IF(D6970=0,H6970,Rho*I6969+SQRT(1-Rho^2)*H6970),"")</f>
        <v/>
      </c>
      <c r="J6970">
        <f>IF(B6970,IF(Dist="Normal",DistA+DistB*I6970,DistA+(DistB-DistA)*NORMSDIST(I6970)),"")</f>
        <v/>
      </c>
      <c r="K6970">
        <f>IF(B6970,INDEX(MineScale,C6970),"")</f>
        <v/>
      </c>
      <c r="L6970">
        <f>IF(B6970,INDEX(Dow,1,WEEKDAY(E6970,2)),"")</f>
        <v/>
      </c>
      <c r="M6970">
        <f>IF(B6970,(1+Trend)^D6970,"")</f>
        <v/>
      </c>
      <c r="N6970">
        <f>IF(B6970,EXP(SUMPRODUCT(LN(1+(EvEff-1)*INDEX(Affected,0,C6970)*EXP(-((E6970-EvCenter)^2)/(2*EvSigma^2))))),"")</f>
        <v/>
      </c>
      <c r="O6970">
        <f>IF(B6970,ROUND(MAX(0,J6970*K6970*L6970*M6970*N6970),2),"")</f>
        <v/>
      </c>
    </row>
    <row r="6971">
      <c r="A6971" t="n">
        <v>6970</v>
      </c>
      <c r="B6971">
        <f>A6971&lt;=MineCount*Days</f>
        <v/>
      </c>
      <c r="C6971">
        <f>IF(B6971,INT((A6971-1)/Days)+1,"")</f>
        <v/>
      </c>
      <c r="D6971">
        <f>IF(B6971,MOD(A6971-1,Days),"")</f>
        <v/>
      </c>
      <c r="E6971" s="16">
        <f>IF(B6971,StartDate+D6971,"")</f>
        <v/>
      </c>
      <c r="F6971">
        <f>IF(B6971,MAX(MOD(SIN(Seed*0.1373+C6971*12.9898+D6971*78.233)*43758.5453,1),1E-9),"")</f>
        <v/>
      </c>
      <c r="G6971">
        <f>IF(B6971,MOD(SIN(Seed*0.5917+C6971*39.3468+D6971*11.135)*24634.6345,1),"")</f>
        <v/>
      </c>
      <c r="H6971">
        <f>IF(B6971,SQRT(-2*LN(F6971))*COS(2*PI()*G6971),"")</f>
        <v/>
      </c>
      <c r="I6971">
        <f>IF(B6971,IF(D6971=0,H6971,Rho*I6970+SQRT(1-Rho^2)*H6971),"")</f>
        <v/>
      </c>
      <c r="J6971">
        <f>IF(B6971,IF(Dist="Normal",DistA+DistB*I6971,DistA+(DistB-DistA)*NORMSDIST(I6971)),"")</f>
        <v/>
      </c>
      <c r="K6971">
        <f>IF(B6971,INDEX(MineScale,C6971),"")</f>
        <v/>
      </c>
      <c r="L6971">
        <f>IF(B6971,INDEX(Dow,1,WEEKDAY(E6971,2)),"")</f>
        <v/>
      </c>
      <c r="M6971">
        <f>IF(B6971,(1+Trend)^D6971,"")</f>
        <v/>
      </c>
      <c r="N6971">
        <f>IF(B6971,EXP(SUMPRODUCT(LN(1+(EvEff-1)*INDEX(Affected,0,C6971)*EXP(-((E6971-EvCenter)^2)/(2*EvSigma^2))))),"")</f>
        <v/>
      </c>
      <c r="O6971">
        <f>IF(B6971,ROUND(MAX(0,J6971*K6971*L6971*M6971*N6971),2),"")</f>
        <v/>
      </c>
    </row>
    <row r="6972">
      <c r="A6972" t="n">
        <v>6971</v>
      </c>
      <c r="B6972">
        <f>A6972&lt;=MineCount*Days</f>
        <v/>
      </c>
      <c r="C6972">
        <f>IF(B6972,INT((A6972-1)/Days)+1,"")</f>
        <v/>
      </c>
      <c r="D6972">
        <f>IF(B6972,MOD(A6972-1,Days),"")</f>
        <v/>
      </c>
      <c r="E6972" s="16">
        <f>IF(B6972,StartDate+D6972,"")</f>
        <v/>
      </c>
      <c r="F6972">
        <f>IF(B6972,MAX(MOD(SIN(Seed*0.1373+C6972*12.9898+D6972*78.233)*43758.5453,1),1E-9),"")</f>
        <v/>
      </c>
      <c r="G6972">
        <f>IF(B6972,MOD(SIN(Seed*0.5917+C6972*39.3468+D6972*11.135)*24634.6345,1),"")</f>
        <v/>
      </c>
      <c r="H6972">
        <f>IF(B6972,SQRT(-2*LN(F6972))*COS(2*PI()*G6972),"")</f>
        <v/>
      </c>
      <c r="I6972">
        <f>IF(B6972,IF(D6972=0,H6972,Rho*I6971+SQRT(1-Rho^2)*H6972),"")</f>
        <v/>
      </c>
      <c r="J6972">
        <f>IF(B6972,IF(Dist="Normal",DistA+DistB*I6972,DistA+(DistB-DistA)*NORMSDIST(I6972)),"")</f>
        <v/>
      </c>
      <c r="K6972">
        <f>IF(B6972,INDEX(MineScale,C6972),"")</f>
        <v/>
      </c>
      <c r="L6972">
        <f>IF(B6972,INDEX(Dow,1,WEEKDAY(E6972,2)),"")</f>
        <v/>
      </c>
      <c r="M6972">
        <f>IF(B6972,(1+Trend)^D6972,"")</f>
        <v/>
      </c>
      <c r="N6972">
        <f>IF(B6972,EXP(SUMPRODUCT(LN(1+(EvEff-1)*INDEX(Affected,0,C6972)*EXP(-((E6972-EvCenter)^2)/(2*EvSigma^2))))),"")</f>
        <v/>
      </c>
      <c r="O6972">
        <f>IF(B6972,ROUND(MAX(0,J6972*K6972*L6972*M6972*N6972),2),"")</f>
        <v/>
      </c>
    </row>
    <row r="6973">
      <c r="A6973" t="n">
        <v>6972</v>
      </c>
      <c r="B6973">
        <f>A6973&lt;=MineCount*Days</f>
        <v/>
      </c>
      <c r="C6973">
        <f>IF(B6973,INT((A6973-1)/Days)+1,"")</f>
        <v/>
      </c>
      <c r="D6973">
        <f>IF(B6973,MOD(A6973-1,Days),"")</f>
        <v/>
      </c>
      <c r="E6973" s="16">
        <f>IF(B6973,StartDate+D6973,"")</f>
        <v/>
      </c>
      <c r="F6973">
        <f>IF(B6973,MAX(MOD(SIN(Seed*0.1373+C6973*12.9898+D6973*78.233)*43758.5453,1),1E-9),"")</f>
        <v/>
      </c>
      <c r="G6973">
        <f>IF(B6973,MOD(SIN(Seed*0.5917+C6973*39.3468+D6973*11.135)*24634.6345,1),"")</f>
        <v/>
      </c>
      <c r="H6973">
        <f>IF(B6973,SQRT(-2*LN(F6973))*COS(2*PI()*G6973),"")</f>
        <v/>
      </c>
      <c r="I6973">
        <f>IF(B6973,IF(D6973=0,H6973,Rho*I6972+SQRT(1-Rho^2)*H6973),"")</f>
        <v/>
      </c>
      <c r="J6973">
        <f>IF(B6973,IF(Dist="Normal",DistA+DistB*I6973,DistA+(DistB-DistA)*NORMSDIST(I6973)),"")</f>
        <v/>
      </c>
      <c r="K6973">
        <f>IF(B6973,INDEX(MineScale,C6973),"")</f>
        <v/>
      </c>
      <c r="L6973">
        <f>IF(B6973,INDEX(Dow,1,WEEKDAY(E6973,2)),"")</f>
        <v/>
      </c>
      <c r="M6973">
        <f>IF(B6973,(1+Trend)^D6973,"")</f>
        <v/>
      </c>
      <c r="N6973">
        <f>IF(B6973,EXP(SUMPRODUCT(LN(1+(EvEff-1)*INDEX(Affected,0,C6973)*EXP(-((E6973-EvCenter)^2)/(2*EvSigma^2))))),"")</f>
        <v/>
      </c>
      <c r="O6973">
        <f>IF(B6973,ROUND(MAX(0,J6973*K6973*L6973*M6973*N6973),2),"")</f>
        <v/>
      </c>
    </row>
    <row r="6974">
      <c r="A6974" t="n">
        <v>6973</v>
      </c>
      <c r="B6974">
        <f>A6974&lt;=MineCount*Days</f>
        <v/>
      </c>
      <c r="C6974">
        <f>IF(B6974,INT((A6974-1)/Days)+1,"")</f>
        <v/>
      </c>
      <c r="D6974">
        <f>IF(B6974,MOD(A6974-1,Days),"")</f>
        <v/>
      </c>
      <c r="E6974" s="16">
        <f>IF(B6974,StartDate+D6974,"")</f>
        <v/>
      </c>
      <c r="F6974">
        <f>IF(B6974,MAX(MOD(SIN(Seed*0.1373+C6974*12.9898+D6974*78.233)*43758.5453,1),1E-9),"")</f>
        <v/>
      </c>
      <c r="G6974">
        <f>IF(B6974,MOD(SIN(Seed*0.5917+C6974*39.3468+D6974*11.135)*24634.6345,1),"")</f>
        <v/>
      </c>
      <c r="H6974">
        <f>IF(B6974,SQRT(-2*LN(F6974))*COS(2*PI()*G6974),"")</f>
        <v/>
      </c>
      <c r="I6974">
        <f>IF(B6974,IF(D6974=0,H6974,Rho*I6973+SQRT(1-Rho^2)*H6974),"")</f>
        <v/>
      </c>
      <c r="J6974">
        <f>IF(B6974,IF(Dist="Normal",DistA+DistB*I6974,DistA+(DistB-DistA)*NORMSDIST(I6974)),"")</f>
        <v/>
      </c>
      <c r="K6974">
        <f>IF(B6974,INDEX(MineScale,C6974),"")</f>
        <v/>
      </c>
      <c r="L6974">
        <f>IF(B6974,INDEX(Dow,1,WEEKDAY(E6974,2)),"")</f>
        <v/>
      </c>
      <c r="M6974">
        <f>IF(B6974,(1+Trend)^D6974,"")</f>
        <v/>
      </c>
      <c r="N6974">
        <f>IF(B6974,EXP(SUMPRODUCT(LN(1+(EvEff-1)*INDEX(Affected,0,C6974)*EXP(-((E6974-EvCenter)^2)/(2*EvSigma^2))))),"")</f>
        <v/>
      </c>
      <c r="O6974">
        <f>IF(B6974,ROUND(MAX(0,J6974*K6974*L6974*M6974*N6974),2),"")</f>
        <v/>
      </c>
    </row>
    <row r="6975">
      <c r="A6975" t="n">
        <v>6974</v>
      </c>
      <c r="B6975">
        <f>A6975&lt;=MineCount*Days</f>
        <v/>
      </c>
      <c r="C6975">
        <f>IF(B6975,INT((A6975-1)/Days)+1,"")</f>
        <v/>
      </c>
      <c r="D6975">
        <f>IF(B6975,MOD(A6975-1,Days),"")</f>
        <v/>
      </c>
      <c r="E6975" s="16">
        <f>IF(B6975,StartDate+D6975,"")</f>
        <v/>
      </c>
      <c r="F6975">
        <f>IF(B6975,MAX(MOD(SIN(Seed*0.1373+C6975*12.9898+D6975*78.233)*43758.5453,1),1E-9),"")</f>
        <v/>
      </c>
      <c r="G6975">
        <f>IF(B6975,MOD(SIN(Seed*0.5917+C6975*39.3468+D6975*11.135)*24634.6345,1),"")</f>
        <v/>
      </c>
      <c r="H6975">
        <f>IF(B6975,SQRT(-2*LN(F6975))*COS(2*PI()*G6975),"")</f>
        <v/>
      </c>
      <c r="I6975">
        <f>IF(B6975,IF(D6975=0,H6975,Rho*I6974+SQRT(1-Rho^2)*H6975),"")</f>
        <v/>
      </c>
      <c r="J6975">
        <f>IF(B6975,IF(Dist="Normal",DistA+DistB*I6975,DistA+(DistB-DistA)*NORMSDIST(I6975)),"")</f>
        <v/>
      </c>
      <c r="K6975">
        <f>IF(B6975,INDEX(MineScale,C6975),"")</f>
        <v/>
      </c>
      <c r="L6975">
        <f>IF(B6975,INDEX(Dow,1,WEEKDAY(E6975,2)),"")</f>
        <v/>
      </c>
      <c r="M6975">
        <f>IF(B6975,(1+Trend)^D6975,"")</f>
        <v/>
      </c>
      <c r="N6975">
        <f>IF(B6975,EXP(SUMPRODUCT(LN(1+(EvEff-1)*INDEX(Affected,0,C6975)*EXP(-((E6975-EvCenter)^2)/(2*EvSigma^2))))),"")</f>
        <v/>
      </c>
      <c r="O6975">
        <f>IF(B6975,ROUND(MAX(0,J6975*K6975*L6975*M6975*N6975),2),"")</f>
        <v/>
      </c>
    </row>
    <row r="6976">
      <c r="A6976" t="n">
        <v>6975</v>
      </c>
      <c r="B6976">
        <f>A6976&lt;=MineCount*Days</f>
        <v/>
      </c>
      <c r="C6976">
        <f>IF(B6976,INT((A6976-1)/Days)+1,"")</f>
        <v/>
      </c>
      <c r="D6976">
        <f>IF(B6976,MOD(A6976-1,Days),"")</f>
        <v/>
      </c>
      <c r="E6976" s="16">
        <f>IF(B6976,StartDate+D6976,"")</f>
        <v/>
      </c>
      <c r="F6976">
        <f>IF(B6976,MAX(MOD(SIN(Seed*0.1373+C6976*12.9898+D6976*78.233)*43758.5453,1),1E-9),"")</f>
        <v/>
      </c>
      <c r="G6976">
        <f>IF(B6976,MOD(SIN(Seed*0.5917+C6976*39.3468+D6976*11.135)*24634.6345,1),"")</f>
        <v/>
      </c>
      <c r="H6976">
        <f>IF(B6976,SQRT(-2*LN(F6976))*COS(2*PI()*G6976),"")</f>
        <v/>
      </c>
      <c r="I6976">
        <f>IF(B6976,IF(D6976=0,H6976,Rho*I6975+SQRT(1-Rho^2)*H6976),"")</f>
        <v/>
      </c>
      <c r="J6976">
        <f>IF(B6976,IF(Dist="Normal",DistA+DistB*I6976,DistA+(DistB-DistA)*NORMSDIST(I6976)),"")</f>
        <v/>
      </c>
      <c r="K6976">
        <f>IF(B6976,INDEX(MineScale,C6976),"")</f>
        <v/>
      </c>
      <c r="L6976">
        <f>IF(B6976,INDEX(Dow,1,WEEKDAY(E6976,2)),"")</f>
        <v/>
      </c>
      <c r="M6976">
        <f>IF(B6976,(1+Trend)^D6976,"")</f>
        <v/>
      </c>
      <c r="N6976">
        <f>IF(B6976,EXP(SUMPRODUCT(LN(1+(EvEff-1)*INDEX(Affected,0,C6976)*EXP(-((E6976-EvCenter)^2)/(2*EvSigma^2))))),"")</f>
        <v/>
      </c>
      <c r="O6976">
        <f>IF(B6976,ROUND(MAX(0,J6976*K6976*L6976*M6976*N6976),2),"")</f>
        <v/>
      </c>
    </row>
    <row r="6977">
      <c r="A6977" t="n">
        <v>6976</v>
      </c>
      <c r="B6977">
        <f>A6977&lt;=MineCount*Days</f>
        <v/>
      </c>
      <c r="C6977">
        <f>IF(B6977,INT((A6977-1)/Days)+1,"")</f>
        <v/>
      </c>
      <c r="D6977">
        <f>IF(B6977,MOD(A6977-1,Days),"")</f>
        <v/>
      </c>
      <c r="E6977" s="16">
        <f>IF(B6977,StartDate+D6977,"")</f>
        <v/>
      </c>
      <c r="F6977">
        <f>IF(B6977,MAX(MOD(SIN(Seed*0.1373+C6977*12.9898+D6977*78.233)*43758.5453,1),1E-9),"")</f>
        <v/>
      </c>
      <c r="G6977">
        <f>IF(B6977,MOD(SIN(Seed*0.5917+C6977*39.3468+D6977*11.135)*24634.6345,1),"")</f>
        <v/>
      </c>
      <c r="H6977">
        <f>IF(B6977,SQRT(-2*LN(F6977))*COS(2*PI()*G6977),"")</f>
        <v/>
      </c>
      <c r="I6977">
        <f>IF(B6977,IF(D6977=0,H6977,Rho*I6976+SQRT(1-Rho^2)*H6977),"")</f>
        <v/>
      </c>
      <c r="J6977">
        <f>IF(B6977,IF(Dist="Normal",DistA+DistB*I6977,DistA+(DistB-DistA)*NORMSDIST(I6977)),"")</f>
        <v/>
      </c>
      <c r="K6977">
        <f>IF(B6977,INDEX(MineScale,C6977),"")</f>
        <v/>
      </c>
      <c r="L6977">
        <f>IF(B6977,INDEX(Dow,1,WEEKDAY(E6977,2)),"")</f>
        <v/>
      </c>
      <c r="M6977">
        <f>IF(B6977,(1+Trend)^D6977,"")</f>
        <v/>
      </c>
      <c r="N6977">
        <f>IF(B6977,EXP(SUMPRODUCT(LN(1+(EvEff-1)*INDEX(Affected,0,C6977)*EXP(-((E6977-EvCenter)^2)/(2*EvSigma^2))))),"")</f>
        <v/>
      </c>
      <c r="O6977">
        <f>IF(B6977,ROUND(MAX(0,J6977*K6977*L6977*M6977*N6977),2),"")</f>
        <v/>
      </c>
    </row>
    <row r="6978">
      <c r="A6978" t="n">
        <v>6977</v>
      </c>
      <c r="B6978">
        <f>A6978&lt;=MineCount*Days</f>
        <v/>
      </c>
      <c r="C6978">
        <f>IF(B6978,INT((A6978-1)/Days)+1,"")</f>
        <v/>
      </c>
      <c r="D6978">
        <f>IF(B6978,MOD(A6978-1,Days),"")</f>
        <v/>
      </c>
      <c r="E6978" s="16">
        <f>IF(B6978,StartDate+D6978,"")</f>
        <v/>
      </c>
      <c r="F6978">
        <f>IF(B6978,MAX(MOD(SIN(Seed*0.1373+C6978*12.9898+D6978*78.233)*43758.5453,1),1E-9),"")</f>
        <v/>
      </c>
      <c r="G6978">
        <f>IF(B6978,MOD(SIN(Seed*0.5917+C6978*39.3468+D6978*11.135)*24634.6345,1),"")</f>
        <v/>
      </c>
      <c r="H6978">
        <f>IF(B6978,SQRT(-2*LN(F6978))*COS(2*PI()*G6978),"")</f>
        <v/>
      </c>
      <c r="I6978">
        <f>IF(B6978,IF(D6978=0,H6978,Rho*I6977+SQRT(1-Rho^2)*H6978),"")</f>
        <v/>
      </c>
      <c r="J6978">
        <f>IF(B6978,IF(Dist="Normal",DistA+DistB*I6978,DistA+(DistB-DistA)*NORMSDIST(I6978)),"")</f>
        <v/>
      </c>
      <c r="K6978">
        <f>IF(B6978,INDEX(MineScale,C6978),"")</f>
        <v/>
      </c>
      <c r="L6978">
        <f>IF(B6978,INDEX(Dow,1,WEEKDAY(E6978,2)),"")</f>
        <v/>
      </c>
      <c r="M6978">
        <f>IF(B6978,(1+Trend)^D6978,"")</f>
        <v/>
      </c>
      <c r="N6978">
        <f>IF(B6978,EXP(SUMPRODUCT(LN(1+(EvEff-1)*INDEX(Affected,0,C6978)*EXP(-((E6978-EvCenter)^2)/(2*EvSigma^2))))),"")</f>
        <v/>
      </c>
      <c r="O6978">
        <f>IF(B6978,ROUND(MAX(0,J6978*K6978*L6978*M6978*N6978),2),"")</f>
        <v/>
      </c>
    </row>
    <row r="6979">
      <c r="A6979" t="n">
        <v>6978</v>
      </c>
      <c r="B6979">
        <f>A6979&lt;=MineCount*Days</f>
        <v/>
      </c>
      <c r="C6979">
        <f>IF(B6979,INT((A6979-1)/Days)+1,"")</f>
        <v/>
      </c>
      <c r="D6979">
        <f>IF(B6979,MOD(A6979-1,Days),"")</f>
        <v/>
      </c>
      <c r="E6979" s="16">
        <f>IF(B6979,StartDate+D6979,"")</f>
        <v/>
      </c>
      <c r="F6979">
        <f>IF(B6979,MAX(MOD(SIN(Seed*0.1373+C6979*12.9898+D6979*78.233)*43758.5453,1),1E-9),"")</f>
        <v/>
      </c>
      <c r="G6979">
        <f>IF(B6979,MOD(SIN(Seed*0.5917+C6979*39.3468+D6979*11.135)*24634.6345,1),"")</f>
        <v/>
      </c>
      <c r="H6979">
        <f>IF(B6979,SQRT(-2*LN(F6979))*COS(2*PI()*G6979),"")</f>
        <v/>
      </c>
      <c r="I6979">
        <f>IF(B6979,IF(D6979=0,H6979,Rho*I6978+SQRT(1-Rho^2)*H6979),"")</f>
        <v/>
      </c>
      <c r="J6979">
        <f>IF(B6979,IF(Dist="Normal",DistA+DistB*I6979,DistA+(DistB-DistA)*NORMSDIST(I6979)),"")</f>
        <v/>
      </c>
      <c r="K6979">
        <f>IF(B6979,INDEX(MineScale,C6979),"")</f>
        <v/>
      </c>
      <c r="L6979">
        <f>IF(B6979,INDEX(Dow,1,WEEKDAY(E6979,2)),"")</f>
        <v/>
      </c>
      <c r="M6979">
        <f>IF(B6979,(1+Trend)^D6979,"")</f>
        <v/>
      </c>
      <c r="N6979">
        <f>IF(B6979,EXP(SUMPRODUCT(LN(1+(EvEff-1)*INDEX(Affected,0,C6979)*EXP(-((E6979-EvCenter)^2)/(2*EvSigma^2))))),"")</f>
        <v/>
      </c>
      <c r="O6979">
        <f>IF(B6979,ROUND(MAX(0,J6979*K6979*L6979*M6979*N6979),2),"")</f>
        <v/>
      </c>
    </row>
    <row r="6980">
      <c r="A6980" t="n">
        <v>6979</v>
      </c>
      <c r="B6980">
        <f>A6980&lt;=MineCount*Days</f>
        <v/>
      </c>
      <c r="C6980">
        <f>IF(B6980,INT((A6980-1)/Days)+1,"")</f>
        <v/>
      </c>
      <c r="D6980">
        <f>IF(B6980,MOD(A6980-1,Days),"")</f>
        <v/>
      </c>
      <c r="E6980" s="16">
        <f>IF(B6980,StartDate+D6980,"")</f>
        <v/>
      </c>
      <c r="F6980">
        <f>IF(B6980,MAX(MOD(SIN(Seed*0.1373+C6980*12.9898+D6980*78.233)*43758.5453,1),1E-9),"")</f>
        <v/>
      </c>
      <c r="G6980">
        <f>IF(B6980,MOD(SIN(Seed*0.5917+C6980*39.3468+D6980*11.135)*24634.6345,1),"")</f>
        <v/>
      </c>
      <c r="H6980">
        <f>IF(B6980,SQRT(-2*LN(F6980))*COS(2*PI()*G6980),"")</f>
        <v/>
      </c>
      <c r="I6980">
        <f>IF(B6980,IF(D6980=0,H6980,Rho*I6979+SQRT(1-Rho^2)*H6980),"")</f>
        <v/>
      </c>
      <c r="J6980">
        <f>IF(B6980,IF(Dist="Normal",DistA+DistB*I6980,DistA+(DistB-DistA)*NORMSDIST(I6980)),"")</f>
        <v/>
      </c>
      <c r="K6980">
        <f>IF(B6980,INDEX(MineScale,C6980),"")</f>
        <v/>
      </c>
      <c r="L6980">
        <f>IF(B6980,INDEX(Dow,1,WEEKDAY(E6980,2)),"")</f>
        <v/>
      </c>
      <c r="M6980">
        <f>IF(B6980,(1+Trend)^D6980,"")</f>
        <v/>
      </c>
      <c r="N6980">
        <f>IF(B6980,EXP(SUMPRODUCT(LN(1+(EvEff-1)*INDEX(Affected,0,C6980)*EXP(-((E6980-EvCenter)^2)/(2*EvSigma^2))))),"")</f>
        <v/>
      </c>
      <c r="O6980">
        <f>IF(B6980,ROUND(MAX(0,J6980*K6980*L6980*M6980*N6980),2),"")</f>
        <v/>
      </c>
    </row>
    <row r="6981">
      <c r="A6981" t="n">
        <v>6980</v>
      </c>
      <c r="B6981">
        <f>A6981&lt;=MineCount*Days</f>
        <v/>
      </c>
      <c r="C6981">
        <f>IF(B6981,INT((A6981-1)/Days)+1,"")</f>
        <v/>
      </c>
      <c r="D6981">
        <f>IF(B6981,MOD(A6981-1,Days),"")</f>
        <v/>
      </c>
      <c r="E6981" s="16">
        <f>IF(B6981,StartDate+D6981,"")</f>
        <v/>
      </c>
      <c r="F6981">
        <f>IF(B6981,MAX(MOD(SIN(Seed*0.1373+C6981*12.9898+D6981*78.233)*43758.5453,1),1E-9),"")</f>
        <v/>
      </c>
      <c r="G6981">
        <f>IF(B6981,MOD(SIN(Seed*0.5917+C6981*39.3468+D6981*11.135)*24634.6345,1),"")</f>
        <v/>
      </c>
      <c r="H6981">
        <f>IF(B6981,SQRT(-2*LN(F6981))*COS(2*PI()*G6981),"")</f>
        <v/>
      </c>
      <c r="I6981">
        <f>IF(B6981,IF(D6981=0,H6981,Rho*I6980+SQRT(1-Rho^2)*H6981),"")</f>
        <v/>
      </c>
      <c r="J6981">
        <f>IF(B6981,IF(Dist="Normal",DistA+DistB*I6981,DistA+(DistB-DistA)*NORMSDIST(I6981)),"")</f>
        <v/>
      </c>
      <c r="K6981">
        <f>IF(B6981,INDEX(MineScale,C6981),"")</f>
        <v/>
      </c>
      <c r="L6981">
        <f>IF(B6981,INDEX(Dow,1,WEEKDAY(E6981,2)),"")</f>
        <v/>
      </c>
      <c r="M6981">
        <f>IF(B6981,(1+Trend)^D6981,"")</f>
        <v/>
      </c>
      <c r="N6981">
        <f>IF(B6981,EXP(SUMPRODUCT(LN(1+(EvEff-1)*INDEX(Affected,0,C6981)*EXP(-((E6981-EvCenter)^2)/(2*EvSigma^2))))),"")</f>
        <v/>
      </c>
      <c r="O6981">
        <f>IF(B6981,ROUND(MAX(0,J6981*K6981*L6981*M6981*N6981),2),"")</f>
        <v/>
      </c>
    </row>
    <row r="6982">
      <c r="A6982" t="n">
        <v>6981</v>
      </c>
      <c r="B6982">
        <f>A6982&lt;=MineCount*Days</f>
        <v/>
      </c>
      <c r="C6982">
        <f>IF(B6982,INT((A6982-1)/Days)+1,"")</f>
        <v/>
      </c>
      <c r="D6982">
        <f>IF(B6982,MOD(A6982-1,Days),"")</f>
        <v/>
      </c>
      <c r="E6982" s="16">
        <f>IF(B6982,StartDate+D6982,"")</f>
        <v/>
      </c>
      <c r="F6982">
        <f>IF(B6982,MAX(MOD(SIN(Seed*0.1373+C6982*12.9898+D6982*78.233)*43758.5453,1),1E-9),"")</f>
        <v/>
      </c>
      <c r="G6982">
        <f>IF(B6982,MOD(SIN(Seed*0.5917+C6982*39.3468+D6982*11.135)*24634.6345,1),"")</f>
        <v/>
      </c>
      <c r="H6982">
        <f>IF(B6982,SQRT(-2*LN(F6982))*COS(2*PI()*G6982),"")</f>
        <v/>
      </c>
      <c r="I6982">
        <f>IF(B6982,IF(D6982=0,H6982,Rho*I6981+SQRT(1-Rho^2)*H6982),"")</f>
        <v/>
      </c>
      <c r="J6982">
        <f>IF(B6982,IF(Dist="Normal",DistA+DistB*I6982,DistA+(DistB-DistA)*NORMSDIST(I6982)),"")</f>
        <v/>
      </c>
      <c r="K6982">
        <f>IF(B6982,INDEX(MineScale,C6982),"")</f>
        <v/>
      </c>
      <c r="L6982">
        <f>IF(B6982,INDEX(Dow,1,WEEKDAY(E6982,2)),"")</f>
        <v/>
      </c>
      <c r="M6982">
        <f>IF(B6982,(1+Trend)^D6982,"")</f>
        <v/>
      </c>
      <c r="N6982">
        <f>IF(B6982,EXP(SUMPRODUCT(LN(1+(EvEff-1)*INDEX(Affected,0,C6982)*EXP(-((E6982-EvCenter)^2)/(2*EvSigma^2))))),"")</f>
        <v/>
      </c>
      <c r="O6982">
        <f>IF(B6982,ROUND(MAX(0,J6982*K6982*L6982*M6982*N6982),2),"")</f>
        <v/>
      </c>
    </row>
    <row r="6983">
      <c r="A6983" t="n">
        <v>6982</v>
      </c>
      <c r="B6983">
        <f>A6983&lt;=MineCount*Days</f>
        <v/>
      </c>
      <c r="C6983">
        <f>IF(B6983,INT((A6983-1)/Days)+1,"")</f>
        <v/>
      </c>
      <c r="D6983">
        <f>IF(B6983,MOD(A6983-1,Days),"")</f>
        <v/>
      </c>
      <c r="E6983" s="16">
        <f>IF(B6983,StartDate+D6983,"")</f>
        <v/>
      </c>
      <c r="F6983">
        <f>IF(B6983,MAX(MOD(SIN(Seed*0.1373+C6983*12.9898+D6983*78.233)*43758.5453,1),1E-9),"")</f>
        <v/>
      </c>
      <c r="G6983">
        <f>IF(B6983,MOD(SIN(Seed*0.5917+C6983*39.3468+D6983*11.135)*24634.6345,1),"")</f>
        <v/>
      </c>
      <c r="H6983">
        <f>IF(B6983,SQRT(-2*LN(F6983))*COS(2*PI()*G6983),"")</f>
        <v/>
      </c>
      <c r="I6983">
        <f>IF(B6983,IF(D6983=0,H6983,Rho*I6982+SQRT(1-Rho^2)*H6983),"")</f>
        <v/>
      </c>
      <c r="J6983">
        <f>IF(B6983,IF(Dist="Normal",DistA+DistB*I6983,DistA+(DistB-DistA)*NORMSDIST(I6983)),"")</f>
        <v/>
      </c>
      <c r="K6983">
        <f>IF(B6983,INDEX(MineScale,C6983),"")</f>
        <v/>
      </c>
      <c r="L6983">
        <f>IF(B6983,INDEX(Dow,1,WEEKDAY(E6983,2)),"")</f>
        <v/>
      </c>
      <c r="M6983">
        <f>IF(B6983,(1+Trend)^D6983,"")</f>
        <v/>
      </c>
      <c r="N6983">
        <f>IF(B6983,EXP(SUMPRODUCT(LN(1+(EvEff-1)*INDEX(Affected,0,C6983)*EXP(-((E6983-EvCenter)^2)/(2*EvSigma^2))))),"")</f>
        <v/>
      </c>
      <c r="O6983">
        <f>IF(B6983,ROUND(MAX(0,J6983*K6983*L6983*M6983*N6983),2),"")</f>
        <v/>
      </c>
    </row>
    <row r="6984">
      <c r="A6984" t="n">
        <v>6983</v>
      </c>
      <c r="B6984">
        <f>A6984&lt;=MineCount*Days</f>
        <v/>
      </c>
      <c r="C6984">
        <f>IF(B6984,INT((A6984-1)/Days)+1,"")</f>
        <v/>
      </c>
      <c r="D6984">
        <f>IF(B6984,MOD(A6984-1,Days),"")</f>
        <v/>
      </c>
      <c r="E6984" s="16">
        <f>IF(B6984,StartDate+D6984,"")</f>
        <v/>
      </c>
      <c r="F6984">
        <f>IF(B6984,MAX(MOD(SIN(Seed*0.1373+C6984*12.9898+D6984*78.233)*43758.5453,1),1E-9),"")</f>
        <v/>
      </c>
      <c r="G6984">
        <f>IF(B6984,MOD(SIN(Seed*0.5917+C6984*39.3468+D6984*11.135)*24634.6345,1),"")</f>
        <v/>
      </c>
      <c r="H6984">
        <f>IF(B6984,SQRT(-2*LN(F6984))*COS(2*PI()*G6984),"")</f>
        <v/>
      </c>
      <c r="I6984">
        <f>IF(B6984,IF(D6984=0,H6984,Rho*I6983+SQRT(1-Rho^2)*H6984),"")</f>
        <v/>
      </c>
      <c r="J6984">
        <f>IF(B6984,IF(Dist="Normal",DistA+DistB*I6984,DistA+(DistB-DistA)*NORMSDIST(I6984)),"")</f>
        <v/>
      </c>
      <c r="K6984">
        <f>IF(B6984,INDEX(MineScale,C6984),"")</f>
        <v/>
      </c>
      <c r="L6984">
        <f>IF(B6984,INDEX(Dow,1,WEEKDAY(E6984,2)),"")</f>
        <v/>
      </c>
      <c r="M6984">
        <f>IF(B6984,(1+Trend)^D6984,"")</f>
        <v/>
      </c>
      <c r="N6984">
        <f>IF(B6984,EXP(SUMPRODUCT(LN(1+(EvEff-1)*INDEX(Affected,0,C6984)*EXP(-((E6984-EvCenter)^2)/(2*EvSigma^2))))),"")</f>
        <v/>
      </c>
      <c r="O6984">
        <f>IF(B6984,ROUND(MAX(0,J6984*K6984*L6984*M6984*N6984),2),"")</f>
        <v/>
      </c>
    </row>
    <row r="6985">
      <c r="A6985" t="n">
        <v>6984</v>
      </c>
      <c r="B6985">
        <f>A6985&lt;=MineCount*Days</f>
        <v/>
      </c>
      <c r="C6985">
        <f>IF(B6985,INT((A6985-1)/Days)+1,"")</f>
        <v/>
      </c>
      <c r="D6985">
        <f>IF(B6985,MOD(A6985-1,Days),"")</f>
        <v/>
      </c>
      <c r="E6985" s="16">
        <f>IF(B6985,StartDate+D6985,"")</f>
        <v/>
      </c>
      <c r="F6985">
        <f>IF(B6985,MAX(MOD(SIN(Seed*0.1373+C6985*12.9898+D6985*78.233)*43758.5453,1),1E-9),"")</f>
        <v/>
      </c>
      <c r="G6985">
        <f>IF(B6985,MOD(SIN(Seed*0.5917+C6985*39.3468+D6985*11.135)*24634.6345,1),"")</f>
        <v/>
      </c>
      <c r="H6985">
        <f>IF(B6985,SQRT(-2*LN(F6985))*COS(2*PI()*G6985),"")</f>
        <v/>
      </c>
      <c r="I6985">
        <f>IF(B6985,IF(D6985=0,H6985,Rho*I6984+SQRT(1-Rho^2)*H6985),"")</f>
        <v/>
      </c>
      <c r="J6985">
        <f>IF(B6985,IF(Dist="Normal",DistA+DistB*I6985,DistA+(DistB-DistA)*NORMSDIST(I6985)),"")</f>
        <v/>
      </c>
      <c r="K6985">
        <f>IF(B6985,INDEX(MineScale,C6985),"")</f>
        <v/>
      </c>
      <c r="L6985">
        <f>IF(B6985,INDEX(Dow,1,WEEKDAY(E6985,2)),"")</f>
        <v/>
      </c>
      <c r="M6985">
        <f>IF(B6985,(1+Trend)^D6985,"")</f>
        <v/>
      </c>
      <c r="N6985">
        <f>IF(B6985,EXP(SUMPRODUCT(LN(1+(EvEff-1)*INDEX(Affected,0,C6985)*EXP(-((E6985-EvCenter)^2)/(2*EvSigma^2))))),"")</f>
        <v/>
      </c>
      <c r="O6985">
        <f>IF(B6985,ROUND(MAX(0,J6985*K6985*L6985*M6985*N6985),2),"")</f>
        <v/>
      </c>
    </row>
    <row r="6986">
      <c r="A6986" t="n">
        <v>6985</v>
      </c>
      <c r="B6986">
        <f>A6986&lt;=MineCount*Days</f>
        <v/>
      </c>
      <c r="C6986">
        <f>IF(B6986,INT((A6986-1)/Days)+1,"")</f>
        <v/>
      </c>
      <c r="D6986">
        <f>IF(B6986,MOD(A6986-1,Days),"")</f>
        <v/>
      </c>
      <c r="E6986" s="16">
        <f>IF(B6986,StartDate+D6986,"")</f>
        <v/>
      </c>
      <c r="F6986">
        <f>IF(B6986,MAX(MOD(SIN(Seed*0.1373+C6986*12.9898+D6986*78.233)*43758.5453,1),1E-9),"")</f>
        <v/>
      </c>
      <c r="G6986">
        <f>IF(B6986,MOD(SIN(Seed*0.5917+C6986*39.3468+D6986*11.135)*24634.6345,1),"")</f>
        <v/>
      </c>
      <c r="H6986">
        <f>IF(B6986,SQRT(-2*LN(F6986))*COS(2*PI()*G6986),"")</f>
        <v/>
      </c>
      <c r="I6986">
        <f>IF(B6986,IF(D6986=0,H6986,Rho*I6985+SQRT(1-Rho^2)*H6986),"")</f>
        <v/>
      </c>
      <c r="J6986">
        <f>IF(B6986,IF(Dist="Normal",DistA+DistB*I6986,DistA+(DistB-DistA)*NORMSDIST(I6986)),"")</f>
        <v/>
      </c>
      <c r="K6986">
        <f>IF(B6986,INDEX(MineScale,C6986),"")</f>
        <v/>
      </c>
      <c r="L6986">
        <f>IF(B6986,INDEX(Dow,1,WEEKDAY(E6986,2)),"")</f>
        <v/>
      </c>
      <c r="M6986">
        <f>IF(B6986,(1+Trend)^D6986,"")</f>
        <v/>
      </c>
      <c r="N6986">
        <f>IF(B6986,EXP(SUMPRODUCT(LN(1+(EvEff-1)*INDEX(Affected,0,C6986)*EXP(-((E6986-EvCenter)^2)/(2*EvSigma^2))))),"")</f>
        <v/>
      </c>
      <c r="O6986">
        <f>IF(B6986,ROUND(MAX(0,J6986*K6986*L6986*M6986*N6986),2),"")</f>
        <v/>
      </c>
    </row>
    <row r="6987">
      <c r="A6987" t="n">
        <v>6986</v>
      </c>
      <c r="B6987">
        <f>A6987&lt;=MineCount*Days</f>
        <v/>
      </c>
      <c r="C6987">
        <f>IF(B6987,INT((A6987-1)/Days)+1,"")</f>
        <v/>
      </c>
      <c r="D6987">
        <f>IF(B6987,MOD(A6987-1,Days),"")</f>
        <v/>
      </c>
      <c r="E6987" s="16">
        <f>IF(B6987,StartDate+D6987,"")</f>
        <v/>
      </c>
      <c r="F6987">
        <f>IF(B6987,MAX(MOD(SIN(Seed*0.1373+C6987*12.9898+D6987*78.233)*43758.5453,1),1E-9),"")</f>
        <v/>
      </c>
      <c r="G6987">
        <f>IF(B6987,MOD(SIN(Seed*0.5917+C6987*39.3468+D6987*11.135)*24634.6345,1),"")</f>
        <v/>
      </c>
      <c r="H6987">
        <f>IF(B6987,SQRT(-2*LN(F6987))*COS(2*PI()*G6987),"")</f>
        <v/>
      </c>
      <c r="I6987">
        <f>IF(B6987,IF(D6987=0,H6987,Rho*I6986+SQRT(1-Rho^2)*H6987),"")</f>
        <v/>
      </c>
      <c r="J6987">
        <f>IF(B6987,IF(Dist="Normal",DistA+DistB*I6987,DistA+(DistB-DistA)*NORMSDIST(I6987)),"")</f>
        <v/>
      </c>
      <c r="K6987">
        <f>IF(B6987,INDEX(MineScale,C6987),"")</f>
        <v/>
      </c>
      <c r="L6987">
        <f>IF(B6987,INDEX(Dow,1,WEEKDAY(E6987,2)),"")</f>
        <v/>
      </c>
      <c r="M6987">
        <f>IF(B6987,(1+Trend)^D6987,"")</f>
        <v/>
      </c>
      <c r="N6987">
        <f>IF(B6987,EXP(SUMPRODUCT(LN(1+(EvEff-1)*INDEX(Affected,0,C6987)*EXP(-((E6987-EvCenter)^2)/(2*EvSigma^2))))),"")</f>
        <v/>
      </c>
      <c r="O6987">
        <f>IF(B6987,ROUND(MAX(0,J6987*K6987*L6987*M6987*N6987),2),"")</f>
        <v/>
      </c>
    </row>
    <row r="6988">
      <c r="A6988" t="n">
        <v>6987</v>
      </c>
      <c r="B6988">
        <f>A6988&lt;=MineCount*Days</f>
        <v/>
      </c>
      <c r="C6988">
        <f>IF(B6988,INT((A6988-1)/Days)+1,"")</f>
        <v/>
      </c>
      <c r="D6988">
        <f>IF(B6988,MOD(A6988-1,Days),"")</f>
        <v/>
      </c>
      <c r="E6988" s="16">
        <f>IF(B6988,StartDate+D6988,"")</f>
        <v/>
      </c>
      <c r="F6988">
        <f>IF(B6988,MAX(MOD(SIN(Seed*0.1373+C6988*12.9898+D6988*78.233)*43758.5453,1),1E-9),"")</f>
        <v/>
      </c>
      <c r="G6988">
        <f>IF(B6988,MOD(SIN(Seed*0.5917+C6988*39.3468+D6988*11.135)*24634.6345,1),"")</f>
        <v/>
      </c>
      <c r="H6988">
        <f>IF(B6988,SQRT(-2*LN(F6988))*COS(2*PI()*G6988),"")</f>
        <v/>
      </c>
      <c r="I6988">
        <f>IF(B6988,IF(D6988=0,H6988,Rho*I6987+SQRT(1-Rho^2)*H6988),"")</f>
        <v/>
      </c>
      <c r="J6988">
        <f>IF(B6988,IF(Dist="Normal",DistA+DistB*I6988,DistA+(DistB-DistA)*NORMSDIST(I6988)),"")</f>
        <v/>
      </c>
      <c r="K6988">
        <f>IF(B6988,INDEX(MineScale,C6988),"")</f>
        <v/>
      </c>
      <c r="L6988">
        <f>IF(B6988,INDEX(Dow,1,WEEKDAY(E6988,2)),"")</f>
        <v/>
      </c>
      <c r="M6988">
        <f>IF(B6988,(1+Trend)^D6988,"")</f>
        <v/>
      </c>
      <c r="N6988">
        <f>IF(B6988,EXP(SUMPRODUCT(LN(1+(EvEff-1)*INDEX(Affected,0,C6988)*EXP(-((E6988-EvCenter)^2)/(2*EvSigma^2))))),"")</f>
        <v/>
      </c>
      <c r="O6988">
        <f>IF(B6988,ROUND(MAX(0,J6988*K6988*L6988*M6988*N6988),2),"")</f>
        <v/>
      </c>
    </row>
    <row r="6989">
      <c r="A6989" t="n">
        <v>6988</v>
      </c>
      <c r="B6989">
        <f>A6989&lt;=MineCount*Days</f>
        <v/>
      </c>
      <c r="C6989">
        <f>IF(B6989,INT((A6989-1)/Days)+1,"")</f>
        <v/>
      </c>
      <c r="D6989">
        <f>IF(B6989,MOD(A6989-1,Days),"")</f>
        <v/>
      </c>
      <c r="E6989" s="16">
        <f>IF(B6989,StartDate+D6989,"")</f>
        <v/>
      </c>
      <c r="F6989">
        <f>IF(B6989,MAX(MOD(SIN(Seed*0.1373+C6989*12.9898+D6989*78.233)*43758.5453,1),1E-9),"")</f>
        <v/>
      </c>
      <c r="G6989">
        <f>IF(B6989,MOD(SIN(Seed*0.5917+C6989*39.3468+D6989*11.135)*24634.6345,1),"")</f>
        <v/>
      </c>
      <c r="H6989">
        <f>IF(B6989,SQRT(-2*LN(F6989))*COS(2*PI()*G6989),"")</f>
        <v/>
      </c>
      <c r="I6989">
        <f>IF(B6989,IF(D6989=0,H6989,Rho*I6988+SQRT(1-Rho^2)*H6989),"")</f>
        <v/>
      </c>
      <c r="J6989">
        <f>IF(B6989,IF(Dist="Normal",DistA+DistB*I6989,DistA+(DistB-DistA)*NORMSDIST(I6989)),"")</f>
        <v/>
      </c>
      <c r="K6989">
        <f>IF(B6989,INDEX(MineScale,C6989),"")</f>
        <v/>
      </c>
      <c r="L6989">
        <f>IF(B6989,INDEX(Dow,1,WEEKDAY(E6989,2)),"")</f>
        <v/>
      </c>
      <c r="M6989">
        <f>IF(B6989,(1+Trend)^D6989,"")</f>
        <v/>
      </c>
      <c r="N6989">
        <f>IF(B6989,EXP(SUMPRODUCT(LN(1+(EvEff-1)*INDEX(Affected,0,C6989)*EXP(-((E6989-EvCenter)^2)/(2*EvSigma^2))))),"")</f>
        <v/>
      </c>
      <c r="O6989">
        <f>IF(B6989,ROUND(MAX(0,J6989*K6989*L6989*M6989*N6989),2),"")</f>
        <v/>
      </c>
    </row>
    <row r="6990">
      <c r="A6990" t="n">
        <v>6989</v>
      </c>
      <c r="B6990">
        <f>A6990&lt;=MineCount*Days</f>
        <v/>
      </c>
      <c r="C6990">
        <f>IF(B6990,INT((A6990-1)/Days)+1,"")</f>
        <v/>
      </c>
      <c r="D6990">
        <f>IF(B6990,MOD(A6990-1,Days),"")</f>
        <v/>
      </c>
      <c r="E6990" s="16">
        <f>IF(B6990,StartDate+D6990,"")</f>
        <v/>
      </c>
      <c r="F6990">
        <f>IF(B6990,MAX(MOD(SIN(Seed*0.1373+C6990*12.9898+D6990*78.233)*43758.5453,1),1E-9),"")</f>
        <v/>
      </c>
      <c r="G6990">
        <f>IF(B6990,MOD(SIN(Seed*0.5917+C6990*39.3468+D6990*11.135)*24634.6345,1),"")</f>
        <v/>
      </c>
      <c r="H6990">
        <f>IF(B6990,SQRT(-2*LN(F6990))*COS(2*PI()*G6990),"")</f>
        <v/>
      </c>
      <c r="I6990">
        <f>IF(B6990,IF(D6990=0,H6990,Rho*I6989+SQRT(1-Rho^2)*H6990),"")</f>
        <v/>
      </c>
      <c r="J6990">
        <f>IF(B6990,IF(Dist="Normal",DistA+DistB*I6990,DistA+(DistB-DistA)*NORMSDIST(I6990)),"")</f>
        <v/>
      </c>
      <c r="K6990">
        <f>IF(B6990,INDEX(MineScale,C6990),"")</f>
        <v/>
      </c>
      <c r="L6990">
        <f>IF(B6990,INDEX(Dow,1,WEEKDAY(E6990,2)),"")</f>
        <v/>
      </c>
      <c r="M6990">
        <f>IF(B6990,(1+Trend)^D6990,"")</f>
        <v/>
      </c>
      <c r="N6990">
        <f>IF(B6990,EXP(SUMPRODUCT(LN(1+(EvEff-1)*INDEX(Affected,0,C6990)*EXP(-((E6990-EvCenter)^2)/(2*EvSigma^2))))),"")</f>
        <v/>
      </c>
      <c r="O6990">
        <f>IF(B6990,ROUND(MAX(0,J6990*K6990*L6990*M6990*N6990),2),"")</f>
        <v/>
      </c>
    </row>
    <row r="6991">
      <c r="A6991" t="n">
        <v>6990</v>
      </c>
      <c r="B6991">
        <f>A6991&lt;=MineCount*Days</f>
        <v/>
      </c>
      <c r="C6991">
        <f>IF(B6991,INT((A6991-1)/Days)+1,"")</f>
        <v/>
      </c>
      <c r="D6991">
        <f>IF(B6991,MOD(A6991-1,Days),"")</f>
        <v/>
      </c>
      <c r="E6991" s="16">
        <f>IF(B6991,StartDate+D6991,"")</f>
        <v/>
      </c>
      <c r="F6991">
        <f>IF(B6991,MAX(MOD(SIN(Seed*0.1373+C6991*12.9898+D6991*78.233)*43758.5453,1),1E-9),"")</f>
        <v/>
      </c>
      <c r="G6991">
        <f>IF(B6991,MOD(SIN(Seed*0.5917+C6991*39.3468+D6991*11.135)*24634.6345,1),"")</f>
        <v/>
      </c>
      <c r="H6991">
        <f>IF(B6991,SQRT(-2*LN(F6991))*COS(2*PI()*G6991),"")</f>
        <v/>
      </c>
      <c r="I6991">
        <f>IF(B6991,IF(D6991=0,H6991,Rho*I6990+SQRT(1-Rho^2)*H6991),"")</f>
        <v/>
      </c>
      <c r="J6991">
        <f>IF(B6991,IF(Dist="Normal",DistA+DistB*I6991,DistA+(DistB-DistA)*NORMSDIST(I6991)),"")</f>
        <v/>
      </c>
      <c r="K6991">
        <f>IF(B6991,INDEX(MineScale,C6991),"")</f>
        <v/>
      </c>
      <c r="L6991">
        <f>IF(B6991,INDEX(Dow,1,WEEKDAY(E6991,2)),"")</f>
        <v/>
      </c>
      <c r="M6991">
        <f>IF(B6991,(1+Trend)^D6991,"")</f>
        <v/>
      </c>
      <c r="N6991">
        <f>IF(B6991,EXP(SUMPRODUCT(LN(1+(EvEff-1)*INDEX(Affected,0,C6991)*EXP(-((E6991-EvCenter)^2)/(2*EvSigma^2))))),"")</f>
        <v/>
      </c>
      <c r="O6991">
        <f>IF(B6991,ROUND(MAX(0,J6991*K6991*L6991*M6991*N6991),2),"")</f>
        <v/>
      </c>
    </row>
    <row r="6992">
      <c r="A6992" t="n">
        <v>6991</v>
      </c>
      <c r="B6992">
        <f>A6992&lt;=MineCount*Days</f>
        <v/>
      </c>
      <c r="C6992">
        <f>IF(B6992,INT((A6992-1)/Days)+1,"")</f>
        <v/>
      </c>
      <c r="D6992">
        <f>IF(B6992,MOD(A6992-1,Days),"")</f>
        <v/>
      </c>
      <c r="E6992" s="16">
        <f>IF(B6992,StartDate+D6992,"")</f>
        <v/>
      </c>
      <c r="F6992">
        <f>IF(B6992,MAX(MOD(SIN(Seed*0.1373+C6992*12.9898+D6992*78.233)*43758.5453,1),1E-9),"")</f>
        <v/>
      </c>
      <c r="G6992">
        <f>IF(B6992,MOD(SIN(Seed*0.5917+C6992*39.3468+D6992*11.135)*24634.6345,1),"")</f>
        <v/>
      </c>
      <c r="H6992">
        <f>IF(B6992,SQRT(-2*LN(F6992))*COS(2*PI()*G6992),"")</f>
        <v/>
      </c>
      <c r="I6992">
        <f>IF(B6992,IF(D6992=0,H6992,Rho*I6991+SQRT(1-Rho^2)*H6992),"")</f>
        <v/>
      </c>
      <c r="J6992">
        <f>IF(B6992,IF(Dist="Normal",DistA+DistB*I6992,DistA+(DistB-DistA)*NORMSDIST(I6992)),"")</f>
        <v/>
      </c>
      <c r="K6992">
        <f>IF(B6992,INDEX(MineScale,C6992),"")</f>
        <v/>
      </c>
      <c r="L6992">
        <f>IF(B6992,INDEX(Dow,1,WEEKDAY(E6992,2)),"")</f>
        <v/>
      </c>
      <c r="M6992">
        <f>IF(B6992,(1+Trend)^D6992,"")</f>
        <v/>
      </c>
      <c r="N6992">
        <f>IF(B6992,EXP(SUMPRODUCT(LN(1+(EvEff-1)*INDEX(Affected,0,C6992)*EXP(-((E6992-EvCenter)^2)/(2*EvSigma^2))))),"")</f>
        <v/>
      </c>
      <c r="O6992">
        <f>IF(B6992,ROUND(MAX(0,J6992*K6992*L6992*M6992*N6992),2),"")</f>
        <v/>
      </c>
    </row>
    <row r="6993">
      <c r="A6993" t="n">
        <v>6992</v>
      </c>
      <c r="B6993">
        <f>A6993&lt;=MineCount*Days</f>
        <v/>
      </c>
      <c r="C6993">
        <f>IF(B6993,INT((A6993-1)/Days)+1,"")</f>
        <v/>
      </c>
      <c r="D6993">
        <f>IF(B6993,MOD(A6993-1,Days),"")</f>
        <v/>
      </c>
      <c r="E6993" s="16">
        <f>IF(B6993,StartDate+D6993,"")</f>
        <v/>
      </c>
      <c r="F6993">
        <f>IF(B6993,MAX(MOD(SIN(Seed*0.1373+C6993*12.9898+D6993*78.233)*43758.5453,1),1E-9),"")</f>
        <v/>
      </c>
      <c r="G6993">
        <f>IF(B6993,MOD(SIN(Seed*0.5917+C6993*39.3468+D6993*11.135)*24634.6345,1),"")</f>
        <v/>
      </c>
      <c r="H6993">
        <f>IF(B6993,SQRT(-2*LN(F6993))*COS(2*PI()*G6993),"")</f>
        <v/>
      </c>
      <c r="I6993">
        <f>IF(B6993,IF(D6993=0,H6993,Rho*I6992+SQRT(1-Rho^2)*H6993),"")</f>
        <v/>
      </c>
      <c r="J6993">
        <f>IF(B6993,IF(Dist="Normal",DistA+DistB*I6993,DistA+(DistB-DistA)*NORMSDIST(I6993)),"")</f>
        <v/>
      </c>
      <c r="K6993">
        <f>IF(B6993,INDEX(MineScale,C6993),"")</f>
        <v/>
      </c>
      <c r="L6993">
        <f>IF(B6993,INDEX(Dow,1,WEEKDAY(E6993,2)),"")</f>
        <v/>
      </c>
      <c r="M6993">
        <f>IF(B6993,(1+Trend)^D6993,"")</f>
        <v/>
      </c>
      <c r="N6993">
        <f>IF(B6993,EXP(SUMPRODUCT(LN(1+(EvEff-1)*INDEX(Affected,0,C6993)*EXP(-((E6993-EvCenter)^2)/(2*EvSigma^2))))),"")</f>
        <v/>
      </c>
      <c r="O6993">
        <f>IF(B6993,ROUND(MAX(0,J6993*K6993*L6993*M6993*N6993),2),"")</f>
        <v/>
      </c>
    </row>
    <row r="6994">
      <c r="A6994" t="n">
        <v>6993</v>
      </c>
      <c r="B6994">
        <f>A6994&lt;=MineCount*Days</f>
        <v/>
      </c>
      <c r="C6994">
        <f>IF(B6994,INT((A6994-1)/Days)+1,"")</f>
        <v/>
      </c>
      <c r="D6994">
        <f>IF(B6994,MOD(A6994-1,Days),"")</f>
        <v/>
      </c>
      <c r="E6994" s="16">
        <f>IF(B6994,StartDate+D6994,"")</f>
        <v/>
      </c>
      <c r="F6994">
        <f>IF(B6994,MAX(MOD(SIN(Seed*0.1373+C6994*12.9898+D6994*78.233)*43758.5453,1),1E-9),"")</f>
        <v/>
      </c>
      <c r="G6994">
        <f>IF(B6994,MOD(SIN(Seed*0.5917+C6994*39.3468+D6994*11.135)*24634.6345,1),"")</f>
        <v/>
      </c>
      <c r="H6994">
        <f>IF(B6994,SQRT(-2*LN(F6994))*COS(2*PI()*G6994),"")</f>
        <v/>
      </c>
      <c r="I6994">
        <f>IF(B6994,IF(D6994=0,H6994,Rho*I6993+SQRT(1-Rho^2)*H6994),"")</f>
        <v/>
      </c>
      <c r="J6994">
        <f>IF(B6994,IF(Dist="Normal",DistA+DistB*I6994,DistA+(DistB-DistA)*NORMSDIST(I6994)),"")</f>
        <v/>
      </c>
      <c r="K6994">
        <f>IF(B6994,INDEX(MineScale,C6994),"")</f>
        <v/>
      </c>
      <c r="L6994">
        <f>IF(B6994,INDEX(Dow,1,WEEKDAY(E6994,2)),"")</f>
        <v/>
      </c>
      <c r="M6994">
        <f>IF(B6994,(1+Trend)^D6994,"")</f>
        <v/>
      </c>
      <c r="N6994">
        <f>IF(B6994,EXP(SUMPRODUCT(LN(1+(EvEff-1)*INDEX(Affected,0,C6994)*EXP(-((E6994-EvCenter)^2)/(2*EvSigma^2))))),"")</f>
        <v/>
      </c>
      <c r="O6994">
        <f>IF(B6994,ROUND(MAX(0,J6994*K6994*L6994*M6994*N6994),2),"")</f>
        <v/>
      </c>
    </row>
    <row r="6995">
      <c r="A6995" t="n">
        <v>6994</v>
      </c>
      <c r="B6995">
        <f>A6995&lt;=MineCount*Days</f>
        <v/>
      </c>
      <c r="C6995">
        <f>IF(B6995,INT((A6995-1)/Days)+1,"")</f>
        <v/>
      </c>
      <c r="D6995">
        <f>IF(B6995,MOD(A6995-1,Days),"")</f>
        <v/>
      </c>
      <c r="E6995" s="16">
        <f>IF(B6995,StartDate+D6995,"")</f>
        <v/>
      </c>
      <c r="F6995">
        <f>IF(B6995,MAX(MOD(SIN(Seed*0.1373+C6995*12.9898+D6995*78.233)*43758.5453,1),1E-9),"")</f>
        <v/>
      </c>
      <c r="G6995">
        <f>IF(B6995,MOD(SIN(Seed*0.5917+C6995*39.3468+D6995*11.135)*24634.6345,1),"")</f>
        <v/>
      </c>
      <c r="H6995">
        <f>IF(B6995,SQRT(-2*LN(F6995))*COS(2*PI()*G6995),"")</f>
        <v/>
      </c>
      <c r="I6995">
        <f>IF(B6995,IF(D6995=0,H6995,Rho*I6994+SQRT(1-Rho^2)*H6995),"")</f>
        <v/>
      </c>
      <c r="J6995">
        <f>IF(B6995,IF(Dist="Normal",DistA+DistB*I6995,DistA+(DistB-DistA)*NORMSDIST(I6995)),"")</f>
        <v/>
      </c>
      <c r="K6995">
        <f>IF(B6995,INDEX(MineScale,C6995),"")</f>
        <v/>
      </c>
      <c r="L6995">
        <f>IF(B6995,INDEX(Dow,1,WEEKDAY(E6995,2)),"")</f>
        <v/>
      </c>
      <c r="M6995">
        <f>IF(B6995,(1+Trend)^D6995,"")</f>
        <v/>
      </c>
      <c r="N6995">
        <f>IF(B6995,EXP(SUMPRODUCT(LN(1+(EvEff-1)*INDEX(Affected,0,C6995)*EXP(-((E6995-EvCenter)^2)/(2*EvSigma^2))))),"")</f>
        <v/>
      </c>
      <c r="O6995">
        <f>IF(B6995,ROUND(MAX(0,J6995*K6995*L6995*M6995*N6995),2),"")</f>
        <v/>
      </c>
    </row>
    <row r="6996">
      <c r="A6996" t="n">
        <v>6995</v>
      </c>
      <c r="B6996">
        <f>A6996&lt;=MineCount*Days</f>
        <v/>
      </c>
      <c r="C6996">
        <f>IF(B6996,INT((A6996-1)/Days)+1,"")</f>
        <v/>
      </c>
      <c r="D6996">
        <f>IF(B6996,MOD(A6996-1,Days),"")</f>
        <v/>
      </c>
      <c r="E6996" s="16">
        <f>IF(B6996,StartDate+D6996,"")</f>
        <v/>
      </c>
      <c r="F6996">
        <f>IF(B6996,MAX(MOD(SIN(Seed*0.1373+C6996*12.9898+D6996*78.233)*43758.5453,1),1E-9),"")</f>
        <v/>
      </c>
      <c r="G6996">
        <f>IF(B6996,MOD(SIN(Seed*0.5917+C6996*39.3468+D6996*11.135)*24634.6345,1),"")</f>
        <v/>
      </c>
      <c r="H6996">
        <f>IF(B6996,SQRT(-2*LN(F6996))*COS(2*PI()*G6996),"")</f>
        <v/>
      </c>
      <c r="I6996">
        <f>IF(B6996,IF(D6996=0,H6996,Rho*I6995+SQRT(1-Rho^2)*H6996),"")</f>
        <v/>
      </c>
      <c r="J6996">
        <f>IF(B6996,IF(Dist="Normal",DistA+DistB*I6996,DistA+(DistB-DistA)*NORMSDIST(I6996)),"")</f>
        <v/>
      </c>
      <c r="K6996">
        <f>IF(B6996,INDEX(MineScale,C6996),"")</f>
        <v/>
      </c>
      <c r="L6996">
        <f>IF(B6996,INDEX(Dow,1,WEEKDAY(E6996,2)),"")</f>
        <v/>
      </c>
      <c r="M6996">
        <f>IF(B6996,(1+Trend)^D6996,"")</f>
        <v/>
      </c>
      <c r="N6996">
        <f>IF(B6996,EXP(SUMPRODUCT(LN(1+(EvEff-1)*INDEX(Affected,0,C6996)*EXP(-((E6996-EvCenter)^2)/(2*EvSigma^2))))),"")</f>
        <v/>
      </c>
      <c r="O6996">
        <f>IF(B6996,ROUND(MAX(0,J6996*K6996*L6996*M6996*N6996),2),"")</f>
        <v/>
      </c>
    </row>
    <row r="6997">
      <c r="A6997" t="n">
        <v>6996</v>
      </c>
      <c r="B6997">
        <f>A6997&lt;=MineCount*Days</f>
        <v/>
      </c>
      <c r="C6997">
        <f>IF(B6997,INT((A6997-1)/Days)+1,"")</f>
        <v/>
      </c>
      <c r="D6997">
        <f>IF(B6997,MOD(A6997-1,Days),"")</f>
        <v/>
      </c>
      <c r="E6997" s="16">
        <f>IF(B6997,StartDate+D6997,"")</f>
        <v/>
      </c>
      <c r="F6997">
        <f>IF(B6997,MAX(MOD(SIN(Seed*0.1373+C6997*12.9898+D6997*78.233)*43758.5453,1),1E-9),"")</f>
        <v/>
      </c>
      <c r="G6997">
        <f>IF(B6997,MOD(SIN(Seed*0.5917+C6997*39.3468+D6997*11.135)*24634.6345,1),"")</f>
        <v/>
      </c>
      <c r="H6997">
        <f>IF(B6997,SQRT(-2*LN(F6997))*COS(2*PI()*G6997),"")</f>
        <v/>
      </c>
      <c r="I6997">
        <f>IF(B6997,IF(D6997=0,H6997,Rho*I6996+SQRT(1-Rho^2)*H6997),"")</f>
        <v/>
      </c>
      <c r="J6997">
        <f>IF(B6997,IF(Dist="Normal",DistA+DistB*I6997,DistA+(DistB-DistA)*NORMSDIST(I6997)),"")</f>
        <v/>
      </c>
      <c r="K6997">
        <f>IF(B6997,INDEX(MineScale,C6997),"")</f>
        <v/>
      </c>
      <c r="L6997">
        <f>IF(B6997,INDEX(Dow,1,WEEKDAY(E6997,2)),"")</f>
        <v/>
      </c>
      <c r="M6997">
        <f>IF(B6997,(1+Trend)^D6997,"")</f>
        <v/>
      </c>
      <c r="N6997">
        <f>IF(B6997,EXP(SUMPRODUCT(LN(1+(EvEff-1)*INDEX(Affected,0,C6997)*EXP(-((E6997-EvCenter)^2)/(2*EvSigma^2))))),"")</f>
        <v/>
      </c>
      <c r="O6997">
        <f>IF(B6997,ROUND(MAX(0,J6997*K6997*L6997*M6997*N6997),2),"")</f>
        <v/>
      </c>
    </row>
    <row r="6998">
      <c r="A6998" t="n">
        <v>6997</v>
      </c>
      <c r="B6998">
        <f>A6998&lt;=MineCount*Days</f>
        <v/>
      </c>
      <c r="C6998">
        <f>IF(B6998,INT((A6998-1)/Days)+1,"")</f>
        <v/>
      </c>
      <c r="D6998">
        <f>IF(B6998,MOD(A6998-1,Days),"")</f>
        <v/>
      </c>
      <c r="E6998" s="16">
        <f>IF(B6998,StartDate+D6998,"")</f>
        <v/>
      </c>
      <c r="F6998">
        <f>IF(B6998,MAX(MOD(SIN(Seed*0.1373+C6998*12.9898+D6998*78.233)*43758.5453,1),1E-9),"")</f>
        <v/>
      </c>
      <c r="G6998">
        <f>IF(B6998,MOD(SIN(Seed*0.5917+C6998*39.3468+D6998*11.135)*24634.6345,1),"")</f>
        <v/>
      </c>
      <c r="H6998">
        <f>IF(B6998,SQRT(-2*LN(F6998))*COS(2*PI()*G6998),"")</f>
        <v/>
      </c>
      <c r="I6998">
        <f>IF(B6998,IF(D6998=0,H6998,Rho*I6997+SQRT(1-Rho^2)*H6998),"")</f>
        <v/>
      </c>
      <c r="J6998">
        <f>IF(B6998,IF(Dist="Normal",DistA+DistB*I6998,DistA+(DistB-DistA)*NORMSDIST(I6998)),"")</f>
        <v/>
      </c>
      <c r="K6998">
        <f>IF(B6998,INDEX(MineScale,C6998),"")</f>
        <v/>
      </c>
      <c r="L6998">
        <f>IF(B6998,INDEX(Dow,1,WEEKDAY(E6998,2)),"")</f>
        <v/>
      </c>
      <c r="M6998">
        <f>IF(B6998,(1+Trend)^D6998,"")</f>
        <v/>
      </c>
      <c r="N6998">
        <f>IF(B6998,EXP(SUMPRODUCT(LN(1+(EvEff-1)*INDEX(Affected,0,C6998)*EXP(-((E6998-EvCenter)^2)/(2*EvSigma^2))))),"")</f>
        <v/>
      </c>
      <c r="O6998">
        <f>IF(B6998,ROUND(MAX(0,J6998*K6998*L6998*M6998*N6998),2),"")</f>
        <v/>
      </c>
    </row>
    <row r="6999">
      <c r="A6999" t="n">
        <v>6998</v>
      </c>
      <c r="B6999">
        <f>A6999&lt;=MineCount*Days</f>
        <v/>
      </c>
      <c r="C6999">
        <f>IF(B6999,INT((A6999-1)/Days)+1,"")</f>
        <v/>
      </c>
      <c r="D6999">
        <f>IF(B6999,MOD(A6999-1,Days),"")</f>
        <v/>
      </c>
      <c r="E6999" s="16">
        <f>IF(B6999,StartDate+D6999,"")</f>
        <v/>
      </c>
      <c r="F6999">
        <f>IF(B6999,MAX(MOD(SIN(Seed*0.1373+C6999*12.9898+D6999*78.233)*43758.5453,1),1E-9),"")</f>
        <v/>
      </c>
      <c r="G6999">
        <f>IF(B6999,MOD(SIN(Seed*0.5917+C6999*39.3468+D6999*11.135)*24634.6345,1),"")</f>
        <v/>
      </c>
      <c r="H6999">
        <f>IF(B6999,SQRT(-2*LN(F6999))*COS(2*PI()*G6999),"")</f>
        <v/>
      </c>
      <c r="I6999">
        <f>IF(B6999,IF(D6999=0,H6999,Rho*I6998+SQRT(1-Rho^2)*H6999),"")</f>
        <v/>
      </c>
      <c r="J6999">
        <f>IF(B6999,IF(Dist="Normal",DistA+DistB*I6999,DistA+(DistB-DistA)*NORMSDIST(I6999)),"")</f>
        <v/>
      </c>
      <c r="K6999">
        <f>IF(B6999,INDEX(MineScale,C6999),"")</f>
        <v/>
      </c>
      <c r="L6999">
        <f>IF(B6999,INDEX(Dow,1,WEEKDAY(E6999,2)),"")</f>
        <v/>
      </c>
      <c r="M6999">
        <f>IF(B6999,(1+Trend)^D6999,"")</f>
        <v/>
      </c>
      <c r="N6999">
        <f>IF(B6999,EXP(SUMPRODUCT(LN(1+(EvEff-1)*INDEX(Affected,0,C6999)*EXP(-((E6999-EvCenter)^2)/(2*EvSigma^2))))),"")</f>
        <v/>
      </c>
      <c r="O6999">
        <f>IF(B6999,ROUND(MAX(0,J6999*K6999*L6999*M6999*N6999),2),"")</f>
        <v/>
      </c>
    </row>
    <row r="7000">
      <c r="A7000" t="n">
        <v>6999</v>
      </c>
      <c r="B7000">
        <f>A7000&lt;=MineCount*Days</f>
        <v/>
      </c>
      <c r="C7000">
        <f>IF(B7000,INT((A7000-1)/Days)+1,"")</f>
        <v/>
      </c>
      <c r="D7000">
        <f>IF(B7000,MOD(A7000-1,Days),"")</f>
        <v/>
      </c>
      <c r="E7000" s="16">
        <f>IF(B7000,StartDate+D7000,"")</f>
        <v/>
      </c>
      <c r="F7000">
        <f>IF(B7000,MAX(MOD(SIN(Seed*0.1373+C7000*12.9898+D7000*78.233)*43758.5453,1),1E-9),"")</f>
        <v/>
      </c>
      <c r="G7000">
        <f>IF(B7000,MOD(SIN(Seed*0.5917+C7000*39.3468+D7000*11.135)*24634.6345,1),"")</f>
        <v/>
      </c>
      <c r="H7000">
        <f>IF(B7000,SQRT(-2*LN(F7000))*COS(2*PI()*G7000),"")</f>
        <v/>
      </c>
      <c r="I7000">
        <f>IF(B7000,IF(D7000=0,H7000,Rho*I6999+SQRT(1-Rho^2)*H7000),"")</f>
        <v/>
      </c>
      <c r="J7000">
        <f>IF(B7000,IF(Dist="Normal",DistA+DistB*I7000,DistA+(DistB-DistA)*NORMSDIST(I7000)),"")</f>
        <v/>
      </c>
      <c r="K7000">
        <f>IF(B7000,INDEX(MineScale,C7000),"")</f>
        <v/>
      </c>
      <c r="L7000">
        <f>IF(B7000,INDEX(Dow,1,WEEKDAY(E7000,2)),"")</f>
        <v/>
      </c>
      <c r="M7000">
        <f>IF(B7000,(1+Trend)^D7000,"")</f>
        <v/>
      </c>
      <c r="N7000">
        <f>IF(B7000,EXP(SUMPRODUCT(LN(1+(EvEff-1)*INDEX(Affected,0,C7000)*EXP(-((E7000-EvCenter)^2)/(2*EvSigma^2))))),"")</f>
        <v/>
      </c>
      <c r="O7000">
        <f>IF(B7000,ROUND(MAX(0,J7000*K7000*L7000*M7000*N7000),2),"")</f>
        <v/>
      </c>
    </row>
    <row r="7001">
      <c r="A7001" t="n">
        <v>7000</v>
      </c>
      <c r="B7001">
        <f>A7001&lt;=MineCount*Days</f>
        <v/>
      </c>
      <c r="C7001">
        <f>IF(B7001,INT((A7001-1)/Days)+1,"")</f>
        <v/>
      </c>
      <c r="D7001">
        <f>IF(B7001,MOD(A7001-1,Days),"")</f>
        <v/>
      </c>
      <c r="E7001" s="16">
        <f>IF(B7001,StartDate+D7001,"")</f>
        <v/>
      </c>
      <c r="F7001">
        <f>IF(B7001,MAX(MOD(SIN(Seed*0.1373+C7001*12.9898+D7001*78.233)*43758.5453,1),1E-9),"")</f>
        <v/>
      </c>
      <c r="G7001">
        <f>IF(B7001,MOD(SIN(Seed*0.5917+C7001*39.3468+D7001*11.135)*24634.6345,1),"")</f>
        <v/>
      </c>
      <c r="H7001">
        <f>IF(B7001,SQRT(-2*LN(F7001))*COS(2*PI()*G7001),"")</f>
        <v/>
      </c>
      <c r="I7001">
        <f>IF(B7001,IF(D7001=0,H7001,Rho*I7000+SQRT(1-Rho^2)*H7001),"")</f>
        <v/>
      </c>
      <c r="J7001">
        <f>IF(B7001,IF(Dist="Normal",DistA+DistB*I7001,DistA+(DistB-DistA)*NORMSDIST(I7001)),"")</f>
        <v/>
      </c>
      <c r="K7001">
        <f>IF(B7001,INDEX(MineScale,C7001),"")</f>
        <v/>
      </c>
      <c r="L7001">
        <f>IF(B7001,INDEX(Dow,1,WEEKDAY(E7001,2)),"")</f>
        <v/>
      </c>
      <c r="M7001">
        <f>IF(B7001,(1+Trend)^D7001,"")</f>
        <v/>
      </c>
      <c r="N7001">
        <f>IF(B7001,EXP(SUMPRODUCT(LN(1+(EvEff-1)*INDEX(Affected,0,C7001)*EXP(-((E7001-EvCenter)^2)/(2*EvSigma^2))))),"")</f>
        <v/>
      </c>
      <c r="O7001">
        <f>IF(B7001,ROUND(MAX(0,J7001*K7001*L7001*M7001*N7001),2),"")</f>
        <v/>
      </c>
    </row>
    <row r="7002">
      <c r="A7002" t="n">
        <v>7001</v>
      </c>
      <c r="B7002">
        <f>A7002&lt;=MineCount*Days</f>
        <v/>
      </c>
      <c r="C7002">
        <f>IF(B7002,INT((A7002-1)/Days)+1,"")</f>
        <v/>
      </c>
      <c r="D7002">
        <f>IF(B7002,MOD(A7002-1,Days),"")</f>
        <v/>
      </c>
      <c r="E7002" s="16">
        <f>IF(B7002,StartDate+D7002,"")</f>
        <v/>
      </c>
      <c r="F7002">
        <f>IF(B7002,MAX(MOD(SIN(Seed*0.1373+C7002*12.9898+D7002*78.233)*43758.5453,1),1E-9),"")</f>
        <v/>
      </c>
      <c r="G7002">
        <f>IF(B7002,MOD(SIN(Seed*0.5917+C7002*39.3468+D7002*11.135)*24634.6345,1),"")</f>
        <v/>
      </c>
      <c r="H7002">
        <f>IF(B7002,SQRT(-2*LN(F7002))*COS(2*PI()*G7002),"")</f>
        <v/>
      </c>
      <c r="I7002">
        <f>IF(B7002,IF(D7002=0,H7002,Rho*I7001+SQRT(1-Rho^2)*H7002),"")</f>
        <v/>
      </c>
      <c r="J7002">
        <f>IF(B7002,IF(Dist="Normal",DistA+DistB*I7002,DistA+(DistB-DistA)*NORMSDIST(I7002)),"")</f>
        <v/>
      </c>
      <c r="K7002">
        <f>IF(B7002,INDEX(MineScale,C7002),"")</f>
        <v/>
      </c>
      <c r="L7002">
        <f>IF(B7002,INDEX(Dow,1,WEEKDAY(E7002,2)),"")</f>
        <v/>
      </c>
      <c r="M7002">
        <f>IF(B7002,(1+Trend)^D7002,"")</f>
        <v/>
      </c>
      <c r="N7002">
        <f>IF(B7002,EXP(SUMPRODUCT(LN(1+(EvEff-1)*INDEX(Affected,0,C7002)*EXP(-((E7002-EvCenter)^2)/(2*EvSigma^2))))),"")</f>
        <v/>
      </c>
      <c r="O7002">
        <f>IF(B7002,ROUND(MAX(0,J7002*K7002*L7002*M7002*N7002),2),"")</f>
        <v/>
      </c>
    </row>
    <row r="7003">
      <c r="A7003" t="n">
        <v>7002</v>
      </c>
      <c r="B7003">
        <f>A7003&lt;=MineCount*Days</f>
        <v/>
      </c>
      <c r="C7003">
        <f>IF(B7003,INT((A7003-1)/Days)+1,"")</f>
        <v/>
      </c>
      <c r="D7003">
        <f>IF(B7003,MOD(A7003-1,Days),"")</f>
        <v/>
      </c>
      <c r="E7003" s="16">
        <f>IF(B7003,StartDate+D7003,"")</f>
        <v/>
      </c>
      <c r="F7003">
        <f>IF(B7003,MAX(MOD(SIN(Seed*0.1373+C7003*12.9898+D7003*78.233)*43758.5453,1),1E-9),"")</f>
        <v/>
      </c>
      <c r="G7003">
        <f>IF(B7003,MOD(SIN(Seed*0.5917+C7003*39.3468+D7003*11.135)*24634.6345,1),"")</f>
        <v/>
      </c>
      <c r="H7003">
        <f>IF(B7003,SQRT(-2*LN(F7003))*COS(2*PI()*G7003),"")</f>
        <v/>
      </c>
      <c r="I7003">
        <f>IF(B7003,IF(D7003=0,H7003,Rho*I7002+SQRT(1-Rho^2)*H7003),"")</f>
        <v/>
      </c>
      <c r="J7003">
        <f>IF(B7003,IF(Dist="Normal",DistA+DistB*I7003,DistA+(DistB-DistA)*NORMSDIST(I7003)),"")</f>
        <v/>
      </c>
      <c r="K7003">
        <f>IF(B7003,INDEX(MineScale,C7003),"")</f>
        <v/>
      </c>
      <c r="L7003">
        <f>IF(B7003,INDEX(Dow,1,WEEKDAY(E7003,2)),"")</f>
        <v/>
      </c>
      <c r="M7003">
        <f>IF(B7003,(1+Trend)^D7003,"")</f>
        <v/>
      </c>
      <c r="N7003">
        <f>IF(B7003,EXP(SUMPRODUCT(LN(1+(EvEff-1)*INDEX(Affected,0,C7003)*EXP(-((E7003-EvCenter)^2)/(2*EvSigma^2))))),"")</f>
        <v/>
      </c>
      <c r="O7003">
        <f>IF(B7003,ROUND(MAX(0,J7003*K7003*L7003*M7003*N7003),2),"")</f>
        <v/>
      </c>
    </row>
    <row r="7004">
      <c r="A7004" t="n">
        <v>7003</v>
      </c>
      <c r="B7004">
        <f>A7004&lt;=MineCount*Days</f>
        <v/>
      </c>
      <c r="C7004">
        <f>IF(B7004,INT((A7004-1)/Days)+1,"")</f>
        <v/>
      </c>
      <c r="D7004">
        <f>IF(B7004,MOD(A7004-1,Days),"")</f>
        <v/>
      </c>
      <c r="E7004" s="16">
        <f>IF(B7004,StartDate+D7004,"")</f>
        <v/>
      </c>
      <c r="F7004">
        <f>IF(B7004,MAX(MOD(SIN(Seed*0.1373+C7004*12.9898+D7004*78.233)*43758.5453,1),1E-9),"")</f>
        <v/>
      </c>
      <c r="G7004">
        <f>IF(B7004,MOD(SIN(Seed*0.5917+C7004*39.3468+D7004*11.135)*24634.6345,1),"")</f>
        <v/>
      </c>
      <c r="H7004">
        <f>IF(B7004,SQRT(-2*LN(F7004))*COS(2*PI()*G7004),"")</f>
        <v/>
      </c>
      <c r="I7004">
        <f>IF(B7004,IF(D7004=0,H7004,Rho*I7003+SQRT(1-Rho^2)*H7004),"")</f>
        <v/>
      </c>
      <c r="J7004">
        <f>IF(B7004,IF(Dist="Normal",DistA+DistB*I7004,DistA+(DistB-DistA)*NORMSDIST(I7004)),"")</f>
        <v/>
      </c>
      <c r="K7004">
        <f>IF(B7004,INDEX(MineScale,C7004),"")</f>
        <v/>
      </c>
      <c r="L7004">
        <f>IF(B7004,INDEX(Dow,1,WEEKDAY(E7004,2)),"")</f>
        <v/>
      </c>
      <c r="M7004">
        <f>IF(B7004,(1+Trend)^D7004,"")</f>
        <v/>
      </c>
      <c r="N7004">
        <f>IF(B7004,EXP(SUMPRODUCT(LN(1+(EvEff-1)*INDEX(Affected,0,C7004)*EXP(-((E7004-EvCenter)^2)/(2*EvSigma^2))))),"")</f>
        <v/>
      </c>
      <c r="O7004">
        <f>IF(B7004,ROUND(MAX(0,J7004*K7004*L7004*M7004*N7004),2),"")</f>
        <v/>
      </c>
    </row>
    <row r="7005">
      <c r="A7005" t="n">
        <v>7004</v>
      </c>
      <c r="B7005">
        <f>A7005&lt;=MineCount*Days</f>
        <v/>
      </c>
      <c r="C7005">
        <f>IF(B7005,INT((A7005-1)/Days)+1,"")</f>
        <v/>
      </c>
      <c r="D7005">
        <f>IF(B7005,MOD(A7005-1,Days),"")</f>
        <v/>
      </c>
      <c r="E7005" s="16">
        <f>IF(B7005,StartDate+D7005,"")</f>
        <v/>
      </c>
      <c r="F7005">
        <f>IF(B7005,MAX(MOD(SIN(Seed*0.1373+C7005*12.9898+D7005*78.233)*43758.5453,1),1E-9),"")</f>
        <v/>
      </c>
      <c r="G7005">
        <f>IF(B7005,MOD(SIN(Seed*0.5917+C7005*39.3468+D7005*11.135)*24634.6345,1),"")</f>
        <v/>
      </c>
      <c r="H7005">
        <f>IF(B7005,SQRT(-2*LN(F7005))*COS(2*PI()*G7005),"")</f>
        <v/>
      </c>
      <c r="I7005">
        <f>IF(B7005,IF(D7005=0,H7005,Rho*I7004+SQRT(1-Rho^2)*H7005),"")</f>
        <v/>
      </c>
      <c r="J7005">
        <f>IF(B7005,IF(Dist="Normal",DistA+DistB*I7005,DistA+(DistB-DistA)*NORMSDIST(I7005)),"")</f>
        <v/>
      </c>
      <c r="K7005">
        <f>IF(B7005,INDEX(MineScale,C7005),"")</f>
        <v/>
      </c>
      <c r="L7005">
        <f>IF(B7005,INDEX(Dow,1,WEEKDAY(E7005,2)),"")</f>
        <v/>
      </c>
      <c r="M7005">
        <f>IF(B7005,(1+Trend)^D7005,"")</f>
        <v/>
      </c>
      <c r="N7005">
        <f>IF(B7005,EXP(SUMPRODUCT(LN(1+(EvEff-1)*INDEX(Affected,0,C7005)*EXP(-((E7005-EvCenter)^2)/(2*EvSigma^2))))),"")</f>
        <v/>
      </c>
      <c r="O7005">
        <f>IF(B7005,ROUND(MAX(0,J7005*K7005*L7005*M7005*N7005),2),"")</f>
        <v/>
      </c>
    </row>
    <row r="7006">
      <c r="A7006" t="n">
        <v>7005</v>
      </c>
      <c r="B7006">
        <f>A7006&lt;=MineCount*Days</f>
        <v/>
      </c>
      <c r="C7006">
        <f>IF(B7006,INT((A7006-1)/Days)+1,"")</f>
        <v/>
      </c>
      <c r="D7006">
        <f>IF(B7006,MOD(A7006-1,Days),"")</f>
        <v/>
      </c>
      <c r="E7006" s="16">
        <f>IF(B7006,StartDate+D7006,"")</f>
        <v/>
      </c>
      <c r="F7006">
        <f>IF(B7006,MAX(MOD(SIN(Seed*0.1373+C7006*12.9898+D7006*78.233)*43758.5453,1),1E-9),"")</f>
        <v/>
      </c>
      <c r="G7006">
        <f>IF(B7006,MOD(SIN(Seed*0.5917+C7006*39.3468+D7006*11.135)*24634.6345,1),"")</f>
        <v/>
      </c>
      <c r="H7006">
        <f>IF(B7006,SQRT(-2*LN(F7006))*COS(2*PI()*G7006),"")</f>
        <v/>
      </c>
      <c r="I7006">
        <f>IF(B7006,IF(D7006=0,H7006,Rho*I7005+SQRT(1-Rho^2)*H7006),"")</f>
        <v/>
      </c>
      <c r="J7006">
        <f>IF(B7006,IF(Dist="Normal",DistA+DistB*I7006,DistA+(DistB-DistA)*NORMSDIST(I7006)),"")</f>
        <v/>
      </c>
      <c r="K7006">
        <f>IF(B7006,INDEX(MineScale,C7006),"")</f>
        <v/>
      </c>
      <c r="L7006">
        <f>IF(B7006,INDEX(Dow,1,WEEKDAY(E7006,2)),"")</f>
        <v/>
      </c>
      <c r="M7006">
        <f>IF(B7006,(1+Trend)^D7006,"")</f>
        <v/>
      </c>
      <c r="N7006">
        <f>IF(B7006,EXP(SUMPRODUCT(LN(1+(EvEff-1)*INDEX(Affected,0,C7006)*EXP(-((E7006-EvCenter)^2)/(2*EvSigma^2))))),"")</f>
        <v/>
      </c>
      <c r="O7006">
        <f>IF(B7006,ROUND(MAX(0,J7006*K7006*L7006*M7006*N7006),2),"")</f>
        <v/>
      </c>
    </row>
    <row r="7007">
      <c r="A7007" t="n">
        <v>7006</v>
      </c>
      <c r="B7007">
        <f>A7007&lt;=MineCount*Days</f>
        <v/>
      </c>
      <c r="C7007">
        <f>IF(B7007,INT((A7007-1)/Days)+1,"")</f>
        <v/>
      </c>
      <c r="D7007">
        <f>IF(B7007,MOD(A7007-1,Days),"")</f>
        <v/>
      </c>
      <c r="E7007" s="16">
        <f>IF(B7007,StartDate+D7007,"")</f>
        <v/>
      </c>
      <c r="F7007">
        <f>IF(B7007,MAX(MOD(SIN(Seed*0.1373+C7007*12.9898+D7007*78.233)*43758.5453,1),1E-9),"")</f>
        <v/>
      </c>
      <c r="G7007">
        <f>IF(B7007,MOD(SIN(Seed*0.5917+C7007*39.3468+D7007*11.135)*24634.6345,1),"")</f>
        <v/>
      </c>
      <c r="H7007">
        <f>IF(B7007,SQRT(-2*LN(F7007))*COS(2*PI()*G7007),"")</f>
        <v/>
      </c>
      <c r="I7007">
        <f>IF(B7007,IF(D7007=0,H7007,Rho*I7006+SQRT(1-Rho^2)*H7007),"")</f>
        <v/>
      </c>
      <c r="J7007">
        <f>IF(B7007,IF(Dist="Normal",DistA+DistB*I7007,DistA+(DistB-DistA)*NORMSDIST(I7007)),"")</f>
        <v/>
      </c>
      <c r="K7007">
        <f>IF(B7007,INDEX(MineScale,C7007),"")</f>
        <v/>
      </c>
      <c r="L7007">
        <f>IF(B7007,INDEX(Dow,1,WEEKDAY(E7007,2)),"")</f>
        <v/>
      </c>
      <c r="M7007">
        <f>IF(B7007,(1+Trend)^D7007,"")</f>
        <v/>
      </c>
      <c r="N7007">
        <f>IF(B7007,EXP(SUMPRODUCT(LN(1+(EvEff-1)*INDEX(Affected,0,C7007)*EXP(-((E7007-EvCenter)^2)/(2*EvSigma^2))))),"")</f>
        <v/>
      </c>
      <c r="O7007">
        <f>IF(B7007,ROUND(MAX(0,J7007*K7007*L7007*M7007*N7007),2),"")</f>
        <v/>
      </c>
    </row>
    <row r="7008">
      <c r="A7008" t="n">
        <v>7007</v>
      </c>
      <c r="B7008">
        <f>A7008&lt;=MineCount*Days</f>
        <v/>
      </c>
      <c r="C7008">
        <f>IF(B7008,INT((A7008-1)/Days)+1,"")</f>
        <v/>
      </c>
      <c r="D7008">
        <f>IF(B7008,MOD(A7008-1,Days),"")</f>
        <v/>
      </c>
      <c r="E7008" s="16">
        <f>IF(B7008,StartDate+D7008,"")</f>
        <v/>
      </c>
      <c r="F7008">
        <f>IF(B7008,MAX(MOD(SIN(Seed*0.1373+C7008*12.9898+D7008*78.233)*43758.5453,1),1E-9),"")</f>
        <v/>
      </c>
      <c r="G7008">
        <f>IF(B7008,MOD(SIN(Seed*0.5917+C7008*39.3468+D7008*11.135)*24634.6345,1),"")</f>
        <v/>
      </c>
      <c r="H7008">
        <f>IF(B7008,SQRT(-2*LN(F7008))*COS(2*PI()*G7008),"")</f>
        <v/>
      </c>
      <c r="I7008">
        <f>IF(B7008,IF(D7008=0,H7008,Rho*I7007+SQRT(1-Rho^2)*H7008),"")</f>
        <v/>
      </c>
      <c r="J7008">
        <f>IF(B7008,IF(Dist="Normal",DistA+DistB*I7008,DistA+(DistB-DistA)*NORMSDIST(I7008)),"")</f>
        <v/>
      </c>
      <c r="K7008">
        <f>IF(B7008,INDEX(MineScale,C7008),"")</f>
        <v/>
      </c>
      <c r="L7008">
        <f>IF(B7008,INDEX(Dow,1,WEEKDAY(E7008,2)),"")</f>
        <v/>
      </c>
      <c r="M7008">
        <f>IF(B7008,(1+Trend)^D7008,"")</f>
        <v/>
      </c>
      <c r="N7008">
        <f>IF(B7008,EXP(SUMPRODUCT(LN(1+(EvEff-1)*INDEX(Affected,0,C7008)*EXP(-((E7008-EvCenter)^2)/(2*EvSigma^2))))),"")</f>
        <v/>
      </c>
      <c r="O7008">
        <f>IF(B7008,ROUND(MAX(0,J7008*K7008*L7008*M7008*N7008),2),"")</f>
        <v/>
      </c>
    </row>
    <row r="7009">
      <c r="A7009" t="n">
        <v>7008</v>
      </c>
      <c r="B7009">
        <f>A7009&lt;=MineCount*Days</f>
        <v/>
      </c>
      <c r="C7009">
        <f>IF(B7009,INT((A7009-1)/Days)+1,"")</f>
        <v/>
      </c>
      <c r="D7009">
        <f>IF(B7009,MOD(A7009-1,Days),"")</f>
        <v/>
      </c>
      <c r="E7009" s="16">
        <f>IF(B7009,StartDate+D7009,"")</f>
        <v/>
      </c>
      <c r="F7009">
        <f>IF(B7009,MAX(MOD(SIN(Seed*0.1373+C7009*12.9898+D7009*78.233)*43758.5453,1),1E-9),"")</f>
        <v/>
      </c>
      <c r="G7009">
        <f>IF(B7009,MOD(SIN(Seed*0.5917+C7009*39.3468+D7009*11.135)*24634.6345,1),"")</f>
        <v/>
      </c>
      <c r="H7009">
        <f>IF(B7009,SQRT(-2*LN(F7009))*COS(2*PI()*G7009),"")</f>
        <v/>
      </c>
      <c r="I7009">
        <f>IF(B7009,IF(D7009=0,H7009,Rho*I7008+SQRT(1-Rho^2)*H7009),"")</f>
        <v/>
      </c>
      <c r="J7009">
        <f>IF(B7009,IF(Dist="Normal",DistA+DistB*I7009,DistA+(DistB-DistA)*NORMSDIST(I7009)),"")</f>
        <v/>
      </c>
      <c r="K7009">
        <f>IF(B7009,INDEX(MineScale,C7009),"")</f>
        <v/>
      </c>
      <c r="L7009">
        <f>IF(B7009,INDEX(Dow,1,WEEKDAY(E7009,2)),"")</f>
        <v/>
      </c>
      <c r="M7009">
        <f>IF(B7009,(1+Trend)^D7009,"")</f>
        <v/>
      </c>
      <c r="N7009">
        <f>IF(B7009,EXP(SUMPRODUCT(LN(1+(EvEff-1)*INDEX(Affected,0,C7009)*EXP(-((E7009-EvCenter)^2)/(2*EvSigma^2))))),"")</f>
        <v/>
      </c>
      <c r="O7009">
        <f>IF(B7009,ROUND(MAX(0,J7009*K7009*L7009*M7009*N7009),2),"")</f>
        <v/>
      </c>
    </row>
    <row r="7010">
      <c r="A7010" t="n">
        <v>7009</v>
      </c>
      <c r="B7010">
        <f>A7010&lt;=MineCount*Days</f>
        <v/>
      </c>
      <c r="C7010">
        <f>IF(B7010,INT((A7010-1)/Days)+1,"")</f>
        <v/>
      </c>
      <c r="D7010">
        <f>IF(B7010,MOD(A7010-1,Days),"")</f>
        <v/>
      </c>
      <c r="E7010" s="16">
        <f>IF(B7010,StartDate+D7010,"")</f>
        <v/>
      </c>
      <c r="F7010">
        <f>IF(B7010,MAX(MOD(SIN(Seed*0.1373+C7010*12.9898+D7010*78.233)*43758.5453,1),1E-9),"")</f>
        <v/>
      </c>
      <c r="G7010">
        <f>IF(B7010,MOD(SIN(Seed*0.5917+C7010*39.3468+D7010*11.135)*24634.6345,1),"")</f>
        <v/>
      </c>
      <c r="H7010">
        <f>IF(B7010,SQRT(-2*LN(F7010))*COS(2*PI()*G7010),"")</f>
        <v/>
      </c>
      <c r="I7010">
        <f>IF(B7010,IF(D7010=0,H7010,Rho*I7009+SQRT(1-Rho^2)*H7010),"")</f>
        <v/>
      </c>
      <c r="J7010">
        <f>IF(B7010,IF(Dist="Normal",DistA+DistB*I7010,DistA+(DistB-DistA)*NORMSDIST(I7010)),"")</f>
        <v/>
      </c>
      <c r="K7010">
        <f>IF(B7010,INDEX(MineScale,C7010),"")</f>
        <v/>
      </c>
      <c r="L7010">
        <f>IF(B7010,INDEX(Dow,1,WEEKDAY(E7010,2)),"")</f>
        <v/>
      </c>
      <c r="M7010">
        <f>IF(B7010,(1+Trend)^D7010,"")</f>
        <v/>
      </c>
      <c r="N7010">
        <f>IF(B7010,EXP(SUMPRODUCT(LN(1+(EvEff-1)*INDEX(Affected,0,C7010)*EXP(-((E7010-EvCenter)^2)/(2*EvSigma^2))))),"")</f>
        <v/>
      </c>
      <c r="O7010">
        <f>IF(B7010,ROUND(MAX(0,J7010*K7010*L7010*M7010*N7010),2),"")</f>
        <v/>
      </c>
    </row>
    <row r="7011">
      <c r="A7011" t="n">
        <v>7010</v>
      </c>
      <c r="B7011">
        <f>A7011&lt;=MineCount*Days</f>
        <v/>
      </c>
      <c r="C7011">
        <f>IF(B7011,INT((A7011-1)/Days)+1,"")</f>
        <v/>
      </c>
      <c r="D7011">
        <f>IF(B7011,MOD(A7011-1,Days),"")</f>
        <v/>
      </c>
      <c r="E7011" s="16">
        <f>IF(B7011,StartDate+D7011,"")</f>
        <v/>
      </c>
      <c r="F7011">
        <f>IF(B7011,MAX(MOD(SIN(Seed*0.1373+C7011*12.9898+D7011*78.233)*43758.5453,1),1E-9),"")</f>
        <v/>
      </c>
      <c r="G7011">
        <f>IF(B7011,MOD(SIN(Seed*0.5917+C7011*39.3468+D7011*11.135)*24634.6345,1),"")</f>
        <v/>
      </c>
      <c r="H7011">
        <f>IF(B7011,SQRT(-2*LN(F7011))*COS(2*PI()*G7011),"")</f>
        <v/>
      </c>
      <c r="I7011">
        <f>IF(B7011,IF(D7011=0,H7011,Rho*I7010+SQRT(1-Rho^2)*H7011),"")</f>
        <v/>
      </c>
      <c r="J7011">
        <f>IF(B7011,IF(Dist="Normal",DistA+DistB*I7011,DistA+(DistB-DistA)*NORMSDIST(I7011)),"")</f>
        <v/>
      </c>
      <c r="K7011">
        <f>IF(B7011,INDEX(MineScale,C7011),"")</f>
        <v/>
      </c>
      <c r="L7011">
        <f>IF(B7011,INDEX(Dow,1,WEEKDAY(E7011,2)),"")</f>
        <v/>
      </c>
      <c r="M7011">
        <f>IF(B7011,(1+Trend)^D7011,"")</f>
        <v/>
      </c>
      <c r="N7011">
        <f>IF(B7011,EXP(SUMPRODUCT(LN(1+(EvEff-1)*INDEX(Affected,0,C7011)*EXP(-((E7011-EvCenter)^2)/(2*EvSigma^2))))),"")</f>
        <v/>
      </c>
      <c r="O7011">
        <f>IF(B7011,ROUND(MAX(0,J7011*K7011*L7011*M7011*N7011),2),"")</f>
        <v/>
      </c>
    </row>
    <row r="7012">
      <c r="A7012" t="n">
        <v>7011</v>
      </c>
      <c r="B7012">
        <f>A7012&lt;=MineCount*Days</f>
        <v/>
      </c>
      <c r="C7012">
        <f>IF(B7012,INT((A7012-1)/Days)+1,"")</f>
        <v/>
      </c>
      <c r="D7012">
        <f>IF(B7012,MOD(A7012-1,Days),"")</f>
        <v/>
      </c>
      <c r="E7012" s="16">
        <f>IF(B7012,StartDate+D7012,"")</f>
        <v/>
      </c>
      <c r="F7012">
        <f>IF(B7012,MAX(MOD(SIN(Seed*0.1373+C7012*12.9898+D7012*78.233)*43758.5453,1),1E-9),"")</f>
        <v/>
      </c>
      <c r="G7012">
        <f>IF(B7012,MOD(SIN(Seed*0.5917+C7012*39.3468+D7012*11.135)*24634.6345,1),"")</f>
        <v/>
      </c>
      <c r="H7012">
        <f>IF(B7012,SQRT(-2*LN(F7012))*COS(2*PI()*G7012),"")</f>
        <v/>
      </c>
      <c r="I7012">
        <f>IF(B7012,IF(D7012=0,H7012,Rho*I7011+SQRT(1-Rho^2)*H7012),"")</f>
        <v/>
      </c>
      <c r="J7012">
        <f>IF(B7012,IF(Dist="Normal",DistA+DistB*I7012,DistA+(DistB-DistA)*NORMSDIST(I7012)),"")</f>
        <v/>
      </c>
      <c r="K7012">
        <f>IF(B7012,INDEX(MineScale,C7012),"")</f>
        <v/>
      </c>
      <c r="L7012">
        <f>IF(B7012,INDEX(Dow,1,WEEKDAY(E7012,2)),"")</f>
        <v/>
      </c>
      <c r="M7012">
        <f>IF(B7012,(1+Trend)^D7012,"")</f>
        <v/>
      </c>
      <c r="N7012">
        <f>IF(B7012,EXP(SUMPRODUCT(LN(1+(EvEff-1)*INDEX(Affected,0,C7012)*EXP(-((E7012-EvCenter)^2)/(2*EvSigma^2))))),"")</f>
        <v/>
      </c>
      <c r="O7012">
        <f>IF(B7012,ROUND(MAX(0,J7012*K7012*L7012*M7012*N7012),2),"")</f>
        <v/>
      </c>
    </row>
    <row r="7013">
      <c r="A7013" t="n">
        <v>7012</v>
      </c>
      <c r="B7013">
        <f>A7013&lt;=MineCount*Days</f>
        <v/>
      </c>
      <c r="C7013">
        <f>IF(B7013,INT((A7013-1)/Days)+1,"")</f>
        <v/>
      </c>
      <c r="D7013">
        <f>IF(B7013,MOD(A7013-1,Days),"")</f>
        <v/>
      </c>
      <c r="E7013" s="16">
        <f>IF(B7013,StartDate+D7013,"")</f>
        <v/>
      </c>
      <c r="F7013">
        <f>IF(B7013,MAX(MOD(SIN(Seed*0.1373+C7013*12.9898+D7013*78.233)*43758.5453,1),1E-9),"")</f>
        <v/>
      </c>
      <c r="G7013">
        <f>IF(B7013,MOD(SIN(Seed*0.5917+C7013*39.3468+D7013*11.135)*24634.6345,1),"")</f>
        <v/>
      </c>
      <c r="H7013">
        <f>IF(B7013,SQRT(-2*LN(F7013))*COS(2*PI()*G7013),"")</f>
        <v/>
      </c>
      <c r="I7013">
        <f>IF(B7013,IF(D7013=0,H7013,Rho*I7012+SQRT(1-Rho^2)*H7013),"")</f>
        <v/>
      </c>
      <c r="J7013">
        <f>IF(B7013,IF(Dist="Normal",DistA+DistB*I7013,DistA+(DistB-DistA)*NORMSDIST(I7013)),"")</f>
        <v/>
      </c>
      <c r="K7013">
        <f>IF(B7013,INDEX(MineScale,C7013),"")</f>
        <v/>
      </c>
      <c r="L7013">
        <f>IF(B7013,INDEX(Dow,1,WEEKDAY(E7013,2)),"")</f>
        <v/>
      </c>
      <c r="M7013">
        <f>IF(B7013,(1+Trend)^D7013,"")</f>
        <v/>
      </c>
      <c r="N7013">
        <f>IF(B7013,EXP(SUMPRODUCT(LN(1+(EvEff-1)*INDEX(Affected,0,C7013)*EXP(-((E7013-EvCenter)^2)/(2*EvSigma^2))))),"")</f>
        <v/>
      </c>
      <c r="O7013">
        <f>IF(B7013,ROUND(MAX(0,J7013*K7013*L7013*M7013*N7013),2),"")</f>
        <v/>
      </c>
    </row>
    <row r="7014">
      <c r="A7014" t="n">
        <v>7013</v>
      </c>
      <c r="B7014">
        <f>A7014&lt;=MineCount*Days</f>
        <v/>
      </c>
      <c r="C7014">
        <f>IF(B7014,INT((A7014-1)/Days)+1,"")</f>
        <v/>
      </c>
      <c r="D7014">
        <f>IF(B7014,MOD(A7014-1,Days),"")</f>
        <v/>
      </c>
      <c r="E7014" s="16">
        <f>IF(B7014,StartDate+D7014,"")</f>
        <v/>
      </c>
      <c r="F7014">
        <f>IF(B7014,MAX(MOD(SIN(Seed*0.1373+C7014*12.9898+D7014*78.233)*43758.5453,1),1E-9),"")</f>
        <v/>
      </c>
      <c r="G7014">
        <f>IF(B7014,MOD(SIN(Seed*0.5917+C7014*39.3468+D7014*11.135)*24634.6345,1),"")</f>
        <v/>
      </c>
      <c r="H7014">
        <f>IF(B7014,SQRT(-2*LN(F7014))*COS(2*PI()*G7014),"")</f>
        <v/>
      </c>
      <c r="I7014">
        <f>IF(B7014,IF(D7014=0,H7014,Rho*I7013+SQRT(1-Rho^2)*H7014),"")</f>
        <v/>
      </c>
      <c r="J7014">
        <f>IF(B7014,IF(Dist="Normal",DistA+DistB*I7014,DistA+(DistB-DistA)*NORMSDIST(I7014)),"")</f>
        <v/>
      </c>
      <c r="K7014">
        <f>IF(B7014,INDEX(MineScale,C7014),"")</f>
        <v/>
      </c>
      <c r="L7014">
        <f>IF(B7014,INDEX(Dow,1,WEEKDAY(E7014,2)),"")</f>
        <v/>
      </c>
      <c r="M7014">
        <f>IF(B7014,(1+Trend)^D7014,"")</f>
        <v/>
      </c>
      <c r="N7014">
        <f>IF(B7014,EXP(SUMPRODUCT(LN(1+(EvEff-1)*INDEX(Affected,0,C7014)*EXP(-((E7014-EvCenter)^2)/(2*EvSigma^2))))),"")</f>
        <v/>
      </c>
      <c r="O7014">
        <f>IF(B7014,ROUND(MAX(0,J7014*K7014*L7014*M7014*N7014),2),"")</f>
        <v/>
      </c>
    </row>
    <row r="7015">
      <c r="A7015" t="n">
        <v>7014</v>
      </c>
      <c r="B7015">
        <f>A7015&lt;=MineCount*Days</f>
        <v/>
      </c>
      <c r="C7015">
        <f>IF(B7015,INT((A7015-1)/Days)+1,"")</f>
        <v/>
      </c>
      <c r="D7015">
        <f>IF(B7015,MOD(A7015-1,Days),"")</f>
        <v/>
      </c>
      <c r="E7015" s="16">
        <f>IF(B7015,StartDate+D7015,"")</f>
        <v/>
      </c>
      <c r="F7015">
        <f>IF(B7015,MAX(MOD(SIN(Seed*0.1373+C7015*12.9898+D7015*78.233)*43758.5453,1),1E-9),"")</f>
        <v/>
      </c>
      <c r="G7015">
        <f>IF(B7015,MOD(SIN(Seed*0.5917+C7015*39.3468+D7015*11.135)*24634.6345,1),"")</f>
        <v/>
      </c>
      <c r="H7015">
        <f>IF(B7015,SQRT(-2*LN(F7015))*COS(2*PI()*G7015),"")</f>
        <v/>
      </c>
      <c r="I7015">
        <f>IF(B7015,IF(D7015=0,H7015,Rho*I7014+SQRT(1-Rho^2)*H7015),"")</f>
        <v/>
      </c>
      <c r="J7015">
        <f>IF(B7015,IF(Dist="Normal",DistA+DistB*I7015,DistA+(DistB-DistA)*NORMSDIST(I7015)),"")</f>
        <v/>
      </c>
      <c r="K7015">
        <f>IF(B7015,INDEX(MineScale,C7015),"")</f>
        <v/>
      </c>
      <c r="L7015">
        <f>IF(B7015,INDEX(Dow,1,WEEKDAY(E7015,2)),"")</f>
        <v/>
      </c>
      <c r="M7015">
        <f>IF(B7015,(1+Trend)^D7015,"")</f>
        <v/>
      </c>
      <c r="N7015">
        <f>IF(B7015,EXP(SUMPRODUCT(LN(1+(EvEff-1)*INDEX(Affected,0,C7015)*EXP(-((E7015-EvCenter)^2)/(2*EvSigma^2))))),"")</f>
        <v/>
      </c>
      <c r="O7015">
        <f>IF(B7015,ROUND(MAX(0,J7015*K7015*L7015*M7015*N7015),2),"")</f>
        <v/>
      </c>
    </row>
    <row r="7016">
      <c r="A7016" t="n">
        <v>7015</v>
      </c>
      <c r="B7016">
        <f>A7016&lt;=MineCount*Days</f>
        <v/>
      </c>
      <c r="C7016">
        <f>IF(B7016,INT((A7016-1)/Days)+1,"")</f>
        <v/>
      </c>
      <c r="D7016">
        <f>IF(B7016,MOD(A7016-1,Days),"")</f>
        <v/>
      </c>
      <c r="E7016" s="16">
        <f>IF(B7016,StartDate+D7016,"")</f>
        <v/>
      </c>
      <c r="F7016">
        <f>IF(B7016,MAX(MOD(SIN(Seed*0.1373+C7016*12.9898+D7016*78.233)*43758.5453,1),1E-9),"")</f>
        <v/>
      </c>
      <c r="G7016">
        <f>IF(B7016,MOD(SIN(Seed*0.5917+C7016*39.3468+D7016*11.135)*24634.6345,1),"")</f>
        <v/>
      </c>
      <c r="H7016">
        <f>IF(B7016,SQRT(-2*LN(F7016))*COS(2*PI()*G7016),"")</f>
        <v/>
      </c>
      <c r="I7016">
        <f>IF(B7016,IF(D7016=0,H7016,Rho*I7015+SQRT(1-Rho^2)*H7016),"")</f>
        <v/>
      </c>
      <c r="J7016">
        <f>IF(B7016,IF(Dist="Normal",DistA+DistB*I7016,DistA+(DistB-DistA)*NORMSDIST(I7016)),"")</f>
        <v/>
      </c>
      <c r="K7016">
        <f>IF(B7016,INDEX(MineScale,C7016),"")</f>
        <v/>
      </c>
      <c r="L7016">
        <f>IF(B7016,INDEX(Dow,1,WEEKDAY(E7016,2)),"")</f>
        <v/>
      </c>
      <c r="M7016">
        <f>IF(B7016,(1+Trend)^D7016,"")</f>
        <v/>
      </c>
      <c r="N7016">
        <f>IF(B7016,EXP(SUMPRODUCT(LN(1+(EvEff-1)*INDEX(Affected,0,C7016)*EXP(-((E7016-EvCenter)^2)/(2*EvSigma^2))))),"")</f>
        <v/>
      </c>
      <c r="O7016">
        <f>IF(B7016,ROUND(MAX(0,J7016*K7016*L7016*M7016*N7016),2),"")</f>
        <v/>
      </c>
    </row>
    <row r="7017">
      <c r="A7017" t="n">
        <v>7016</v>
      </c>
      <c r="B7017">
        <f>A7017&lt;=MineCount*Days</f>
        <v/>
      </c>
      <c r="C7017">
        <f>IF(B7017,INT((A7017-1)/Days)+1,"")</f>
        <v/>
      </c>
      <c r="D7017">
        <f>IF(B7017,MOD(A7017-1,Days),"")</f>
        <v/>
      </c>
      <c r="E7017" s="16">
        <f>IF(B7017,StartDate+D7017,"")</f>
        <v/>
      </c>
      <c r="F7017">
        <f>IF(B7017,MAX(MOD(SIN(Seed*0.1373+C7017*12.9898+D7017*78.233)*43758.5453,1),1E-9),"")</f>
        <v/>
      </c>
      <c r="G7017">
        <f>IF(B7017,MOD(SIN(Seed*0.5917+C7017*39.3468+D7017*11.135)*24634.6345,1),"")</f>
        <v/>
      </c>
      <c r="H7017">
        <f>IF(B7017,SQRT(-2*LN(F7017))*COS(2*PI()*G7017),"")</f>
        <v/>
      </c>
      <c r="I7017">
        <f>IF(B7017,IF(D7017=0,H7017,Rho*I7016+SQRT(1-Rho^2)*H7017),"")</f>
        <v/>
      </c>
      <c r="J7017">
        <f>IF(B7017,IF(Dist="Normal",DistA+DistB*I7017,DistA+(DistB-DistA)*NORMSDIST(I7017)),"")</f>
        <v/>
      </c>
      <c r="K7017">
        <f>IF(B7017,INDEX(MineScale,C7017),"")</f>
        <v/>
      </c>
      <c r="L7017">
        <f>IF(B7017,INDEX(Dow,1,WEEKDAY(E7017,2)),"")</f>
        <v/>
      </c>
      <c r="M7017">
        <f>IF(B7017,(1+Trend)^D7017,"")</f>
        <v/>
      </c>
      <c r="N7017">
        <f>IF(B7017,EXP(SUMPRODUCT(LN(1+(EvEff-1)*INDEX(Affected,0,C7017)*EXP(-((E7017-EvCenter)^2)/(2*EvSigma^2))))),"")</f>
        <v/>
      </c>
      <c r="O7017">
        <f>IF(B7017,ROUND(MAX(0,J7017*K7017*L7017*M7017*N7017),2),"")</f>
        <v/>
      </c>
    </row>
    <row r="7018">
      <c r="A7018" t="n">
        <v>7017</v>
      </c>
      <c r="B7018">
        <f>A7018&lt;=MineCount*Days</f>
        <v/>
      </c>
      <c r="C7018">
        <f>IF(B7018,INT((A7018-1)/Days)+1,"")</f>
        <v/>
      </c>
      <c r="D7018">
        <f>IF(B7018,MOD(A7018-1,Days),"")</f>
        <v/>
      </c>
      <c r="E7018" s="16">
        <f>IF(B7018,StartDate+D7018,"")</f>
        <v/>
      </c>
      <c r="F7018">
        <f>IF(B7018,MAX(MOD(SIN(Seed*0.1373+C7018*12.9898+D7018*78.233)*43758.5453,1),1E-9),"")</f>
        <v/>
      </c>
      <c r="G7018">
        <f>IF(B7018,MOD(SIN(Seed*0.5917+C7018*39.3468+D7018*11.135)*24634.6345,1),"")</f>
        <v/>
      </c>
      <c r="H7018">
        <f>IF(B7018,SQRT(-2*LN(F7018))*COS(2*PI()*G7018),"")</f>
        <v/>
      </c>
      <c r="I7018">
        <f>IF(B7018,IF(D7018=0,H7018,Rho*I7017+SQRT(1-Rho^2)*H7018),"")</f>
        <v/>
      </c>
      <c r="J7018">
        <f>IF(B7018,IF(Dist="Normal",DistA+DistB*I7018,DistA+(DistB-DistA)*NORMSDIST(I7018)),"")</f>
        <v/>
      </c>
      <c r="K7018">
        <f>IF(B7018,INDEX(MineScale,C7018),"")</f>
        <v/>
      </c>
      <c r="L7018">
        <f>IF(B7018,INDEX(Dow,1,WEEKDAY(E7018,2)),"")</f>
        <v/>
      </c>
      <c r="M7018">
        <f>IF(B7018,(1+Trend)^D7018,"")</f>
        <v/>
      </c>
      <c r="N7018">
        <f>IF(B7018,EXP(SUMPRODUCT(LN(1+(EvEff-1)*INDEX(Affected,0,C7018)*EXP(-((E7018-EvCenter)^2)/(2*EvSigma^2))))),"")</f>
        <v/>
      </c>
      <c r="O7018">
        <f>IF(B7018,ROUND(MAX(0,J7018*K7018*L7018*M7018*N7018),2),"")</f>
        <v/>
      </c>
    </row>
    <row r="7019">
      <c r="A7019" t="n">
        <v>7018</v>
      </c>
      <c r="B7019">
        <f>A7019&lt;=MineCount*Days</f>
        <v/>
      </c>
      <c r="C7019">
        <f>IF(B7019,INT((A7019-1)/Days)+1,"")</f>
        <v/>
      </c>
      <c r="D7019">
        <f>IF(B7019,MOD(A7019-1,Days),"")</f>
        <v/>
      </c>
      <c r="E7019" s="16">
        <f>IF(B7019,StartDate+D7019,"")</f>
        <v/>
      </c>
      <c r="F7019">
        <f>IF(B7019,MAX(MOD(SIN(Seed*0.1373+C7019*12.9898+D7019*78.233)*43758.5453,1),1E-9),"")</f>
        <v/>
      </c>
      <c r="G7019">
        <f>IF(B7019,MOD(SIN(Seed*0.5917+C7019*39.3468+D7019*11.135)*24634.6345,1),"")</f>
        <v/>
      </c>
      <c r="H7019">
        <f>IF(B7019,SQRT(-2*LN(F7019))*COS(2*PI()*G7019),"")</f>
        <v/>
      </c>
      <c r="I7019">
        <f>IF(B7019,IF(D7019=0,H7019,Rho*I7018+SQRT(1-Rho^2)*H7019),"")</f>
        <v/>
      </c>
      <c r="J7019">
        <f>IF(B7019,IF(Dist="Normal",DistA+DistB*I7019,DistA+(DistB-DistA)*NORMSDIST(I7019)),"")</f>
        <v/>
      </c>
      <c r="K7019">
        <f>IF(B7019,INDEX(MineScale,C7019),"")</f>
        <v/>
      </c>
      <c r="L7019">
        <f>IF(B7019,INDEX(Dow,1,WEEKDAY(E7019,2)),"")</f>
        <v/>
      </c>
      <c r="M7019">
        <f>IF(B7019,(1+Trend)^D7019,"")</f>
        <v/>
      </c>
      <c r="N7019">
        <f>IF(B7019,EXP(SUMPRODUCT(LN(1+(EvEff-1)*INDEX(Affected,0,C7019)*EXP(-((E7019-EvCenter)^2)/(2*EvSigma^2))))),"")</f>
        <v/>
      </c>
      <c r="O7019">
        <f>IF(B7019,ROUND(MAX(0,J7019*K7019*L7019*M7019*N7019),2),"")</f>
        <v/>
      </c>
    </row>
    <row r="7020">
      <c r="A7020" t="n">
        <v>7019</v>
      </c>
      <c r="B7020">
        <f>A7020&lt;=MineCount*Days</f>
        <v/>
      </c>
      <c r="C7020">
        <f>IF(B7020,INT((A7020-1)/Days)+1,"")</f>
        <v/>
      </c>
      <c r="D7020">
        <f>IF(B7020,MOD(A7020-1,Days),"")</f>
        <v/>
      </c>
      <c r="E7020" s="16">
        <f>IF(B7020,StartDate+D7020,"")</f>
        <v/>
      </c>
      <c r="F7020">
        <f>IF(B7020,MAX(MOD(SIN(Seed*0.1373+C7020*12.9898+D7020*78.233)*43758.5453,1),1E-9),"")</f>
        <v/>
      </c>
      <c r="G7020">
        <f>IF(B7020,MOD(SIN(Seed*0.5917+C7020*39.3468+D7020*11.135)*24634.6345,1),"")</f>
        <v/>
      </c>
      <c r="H7020">
        <f>IF(B7020,SQRT(-2*LN(F7020))*COS(2*PI()*G7020),"")</f>
        <v/>
      </c>
      <c r="I7020">
        <f>IF(B7020,IF(D7020=0,H7020,Rho*I7019+SQRT(1-Rho^2)*H7020),"")</f>
        <v/>
      </c>
      <c r="J7020">
        <f>IF(B7020,IF(Dist="Normal",DistA+DistB*I7020,DistA+(DistB-DistA)*NORMSDIST(I7020)),"")</f>
        <v/>
      </c>
      <c r="K7020">
        <f>IF(B7020,INDEX(MineScale,C7020),"")</f>
        <v/>
      </c>
      <c r="L7020">
        <f>IF(B7020,INDEX(Dow,1,WEEKDAY(E7020,2)),"")</f>
        <v/>
      </c>
      <c r="M7020">
        <f>IF(B7020,(1+Trend)^D7020,"")</f>
        <v/>
      </c>
      <c r="N7020">
        <f>IF(B7020,EXP(SUMPRODUCT(LN(1+(EvEff-1)*INDEX(Affected,0,C7020)*EXP(-((E7020-EvCenter)^2)/(2*EvSigma^2))))),"")</f>
        <v/>
      </c>
      <c r="O7020">
        <f>IF(B7020,ROUND(MAX(0,J7020*K7020*L7020*M7020*N7020),2),"")</f>
        <v/>
      </c>
    </row>
    <row r="7021">
      <c r="A7021" t="n">
        <v>7020</v>
      </c>
      <c r="B7021">
        <f>A7021&lt;=MineCount*Days</f>
        <v/>
      </c>
      <c r="C7021">
        <f>IF(B7021,INT((A7021-1)/Days)+1,"")</f>
        <v/>
      </c>
      <c r="D7021">
        <f>IF(B7021,MOD(A7021-1,Days),"")</f>
        <v/>
      </c>
      <c r="E7021" s="16">
        <f>IF(B7021,StartDate+D7021,"")</f>
        <v/>
      </c>
      <c r="F7021">
        <f>IF(B7021,MAX(MOD(SIN(Seed*0.1373+C7021*12.9898+D7021*78.233)*43758.5453,1),1E-9),"")</f>
        <v/>
      </c>
      <c r="G7021">
        <f>IF(B7021,MOD(SIN(Seed*0.5917+C7021*39.3468+D7021*11.135)*24634.6345,1),"")</f>
        <v/>
      </c>
      <c r="H7021">
        <f>IF(B7021,SQRT(-2*LN(F7021))*COS(2*PI()*G7021),"")</f>
        <v/>
      </c>
      <c r="I7021">
        <f>IF(B7021,IF(D7021=0,H7021,Rho*I7020+SQRT(1-Rho^2)*H7021),"")</f>
        <v/>
      </c>
      <c r="J7021">
        <f>IF(B7021,IF(Dist="Normal",DistA+DistB*I7021,DistA+(DistB-DistA)*NORMSDIST(I7021)),"")</f>
        <v/>
      </c>
      <c r="K7021">
        <f>IF(B7021,INDEX(MineScale,C7021),"")</f>
        <v/>
      </c>
      <c r="L7021">
        <f>IF(B7021,INDEX(Dow,1,WEEKDAY(E7021,2)),"")</f>
        <v/>
      </c>
      <c r="M7021">
        <f>IF(B7021,(1+Trend)^D7021,"")</f>
        <v/>
      </c>
      <c r="N7021">
        <f>IF(B7021,EXP(SUMPRODUCT(LN(1+(EvEff-1)*INDEX(Affected,0,C7021)*EXP(-((E7021-EvCenter)^2)/(2*EvSigma^2))))),"")</f>
        <v/>
      </c>
      <c r="O7021">
        <f>IF(B7021,ROUND(MAX(0,J7021*K7021*L7021*M7021*N7021),2),"")</f>
        <v/>
      </c>
    </row>
    <row r="7022">
      <c r="A7022" t="n">
        <v>7021</v>
      </c>
      <c r="B7022">
        <f>A7022&lt;=MineCount*Days</f>
        <v/>
      </c>
      <c r="C7022">
        <f>IF(B7022,INT((A7022-1)/Days)+1,"")</f>
        <v/>
      </c>
      <c r="D7022">
        <f>IF(B7022,MOD(A7022-1,Days),"")</f>
        <v/>
      </c>
      <c r="E7022" s="16">
        <f>IF(B7022,StartDate+D7022,"")</f>
        <v/>
      </c>
      <c r="F7022">
        <f>IF(B7022,MAX(MOD(SIN(Seed*0.1373+C7022*12.9898+D7022*78.233)*43758.5453,1),1E-9),"")</f>
        <v/>
      </c>
      <c r="G7022">
        <f>IF(B7022,MOD(SIN(Seed*0.5917+C7022*39.3468+D7022*11.135)*24634.6345,1),"")</f>
        <v/>
      </c>
      <c r="H7022">
        <f>IF(B7022,SQRT(-2*LN(F7022))*COS(2*PI()*G7022),"")</f>
        <v/>
      </c>
      <c r="I7022">
        <f>IF(B7022,IF(D7022=0,H7022,Rho*I7021+SQRT(1-Rho^2)*H7022),"")</f>
        <v/>
      </c>
      <c r="J7022">
        <f>IF(B7022,IF(Dist="Normal",DistA+DistB*I7022,DistA+(DistB-DistA)*NORMSDIST(I7022)),"")</f>
        <v/>
      </c>
      <c r="K7022">
        <f>IF(B7022,INDEX(MineScale,C7022),"")</f>
        <v/>
      </c>
      <c r="L7022">
        <f>IF(B7022,INDEX(Dow,1,WEEKDAY(E7022,2)),"")</f>
        <v/>
      </c>
      <c r="M7022">
        <f>IF(B7022,(1+Trend)^D7022,"")</f>
        <v/>
      </c>
      <c r="N7022">
        <f>IF(B7022,EXP(SUMPRODUCT(LN(1+(EvEff-1)*INDEX(Affected,0,C7022)*EXP(-((E7022-EvCenter)^2)/(2*EvSigma^2))))),"")</f>
        <v/>
      </c>
      <c r="O7022">
        <f>IF(B7022,ROUND(MAX(0,J7022*K7022*L7022*M7022*N7022),2),"")</f>
        <v/>
      </c>
    </row>
    <row r="7023">
      <c r="A7023" t="n">
        <v>7022</v>
      </c>
      <c r="B7023">
        <f>A7023&lt;=MineCount*Days</f>
        <v/>
      </c>
      <c r="C7023">
        <f>IF(B7023,INT((A7023-1)/Days)+1,"")</f>
        <v/>
      </c>
      <c r="D7023">
        <f>IF(B7023,MOD(A7023-1,Days),"")</f>
        <v/>
      </c>
      <c r="E7023" s="16">
        <f>IF(B7023,StartDate+D7023,"")</f>
        <v/>
      </c>
      <c r="F7023">
        <f>IF(B7023,MAX(MOD(SIN(Seed*0.1373+C7023*12.9898+D7023*78.233)*43758.5453,1),1E-9),"")</f>
        <v/>
      </c>
      <c r="G7023">
        <f>IF(B7023,MOD(SIN(Seed*0.5917+C7023*39.3468+D7023*11.135)*24634.6345,1),"")</f>
        <v/>
      </c>
      <c r="H7023">
        <f>IF(B7023,SQRT(-2*LN(F7023))*COS(2*PI()*G7023),"")</f>
        <v/>
      </c>
      <c r="I7023">
        <f>IF(B7023,IF(D7023=0,H7023,Rho*I7022+SQRT(1-Rho^2)*H7023),"")</f>
        <v/>
      </c>
      <c r="J7023">
        <f>IF(B7023,IF(Dist="Normal",DistA+DistB*I7023,DistA+(DistB-DistA)*NORMSDIST(I7023)),"")</f>
        <v/>
      </c>
      <c r="K7023">
        <f>IF(B7023,INDEX(MineScale,C7023),"")</f>
        <v/>
      </c>
      <c r="L7023">
        <f>IF(B7023,INDEX(Dow,1,WEEKDAY(E7023,2)),"")</f>
        <v/>
      </c>
      <c r="M7023">
        <f>IF(B7023,(1+Trend)^D7023,"")</f>
        <v/>
      </c>
      <c r="N7023">
        <f>IF(B7023,EXP(SUMPRODUCT(LN(1+(EvEff-1)*INDEX(Affected,0,C7023)*EXP(-((E7023-EvCenter)^2)/(2*EvSigma^2))))),"")</f>
        <v/>
      </c>
      <c r="O7023">
        <f>IF(B7023,ROUND(MAX(0,J7023*K7023*L7023*M7023*N7023),2),"")</f>
        <v/>
      </c>
    </row>
    <row r="7024">
      <c r="A7024" t="n">
        <v>7023</v>
      </c>
      <c r="B7024">
        <f>A7024&lt;=MineCount*Days</f>
        <v/>
      </c>
      <c r="C7024">
        <f>IF(B7024,INT((A7024-1)/Days)+1,"")</f>
        <v/>
      </c>
      <c r="D7024">
        <f>IF(B7024,MOD(A7024-1,Days),"")</f>
        <v/>
      </c>
      <c r="E7024" s="16">
        <f>IF(B7024,StartDate+D7024,"")</f>
        <v/>
      </c>
      <c r="F7024">
        <f>IF(B7024,MAX(MOD(SIN(Seed*0.1373+C7024*12.9898+D7024*78.233)*43758.5453,1),1E-9),"")</f>
        <v/>
      </c>
      <c r="G7024">
        <f>IF(B7024,MOD(SIN(Seed*0.5917+C7024*39.3468+D7024*11.135)*24634.6345,1),"")</f>
        <v/>
      </c>
      <c r="H7024">
        <f>IF(B7024,SQRT(-2*LN(F7024))*COS(2*PI()*G7024),"")</f>
        <v/>
      </c>
      <c r="I7024">
        <f>IF(B7024,IF(D7024=0,H7024,Rho*I7023+SQRT(1-Rho^2)*H7024),"")</f>
        <v/>
      </c>
      <c r="J7024">
        <f>IF(B7024,IF(Dist="Normal",DistA+DistB*I7024,DistA+(DistB-DistA)*NORMSDIST(I7024)),"")</f>
        <v/>
      </c>
      <c r="K7024">
        <f>IF(B7024,INDEX(MineScale,C7024),"")</f>
        <v/>
      </c>
      <c r="L7024">
        <f>IF(B7024,INDEX(Dow,1,WEEKDAY(E7024,2)),"")</f>
        <v/>
      </c>
      <c r="M7024">
        <f>IF(B7024,(1+Trend)^D7024,"")</f>
        <v/>
      </c>
      <c r="N7024">
        <f>IF(B7024,EXP(SUMPRODUCT(LN(1+(EvEff-1)*INDEX(Affected,0,C7024)*EXP(-((E7024-EvCenter)^2)/(2*EvSigma^2))))),"")</f>
        <v/>
      </c>
      <c r="O7024">
        <f>IF(B7024,ROUND(MAX(0,J7024*K7024*L7024*M7024*N7024),2),"")</f>
        <v/>
      </c>
    </row>
    <row r="7025">
      <c r="A7025" t="n">
        <v>7024</v>
      </c>
      <c r="B7025">
        <f>A7025&lt;=MineCount*Days</f>
        <v/>
      </c>
      <c r="C7025">
        <f>IF(B7025,INT((A7025-1)/Days)+1,"")</f>
        <v/>
      </c>
      <c r="D7025">
        <f>IF(B7025,MOD(A7025-1,Days),"")</f>
        <v/>
      </c>
      <c r="E7025" s="16">
        <f>IF(B7025,StartDate+D7025,"")</f>
        <v/>
      </c>
      <c r="F7025">
        <f>IF(B7025,MAX(MOD(SIN(Seed*0.1373+C7025*12.9898+D7025*78.233)*43758.5453,1),1E-9),"")</f>
        <v/>
      </c>
      <c r="G7025">
        <f>IF(B7025,MOD(SIN(Seed*0.5917+C7025*39.3468+D7025*11.135)*24634.6345,1),"")</f>
        <v/>
      </c>
      <c r="H7025">
        <f>IF(B7025,SQRT(-2*LN(F7025))*COS(2*PI()*G7025),"")</f>
        <v/>
      </c>
      <c r="I7025">
        <f>IF(B7025,IF(D7025=0,H7025,Rho*I7024+SQRT(1-Rho^2)*H7025),"")</f>
        <v/>
      </c>
      <c r="J7025">
        <f>IF(B7025,IF(Dist="Normal",DistA+DistB*I7025,DistA+(DistB-DistA)*NORMSDIST(I7025)),"")</f>
        <v/>
      </c>
      <c r="K7025">
        <f>IF(B7025,INDEX(MineScale,C7025),"")</f>
        <v/>
      </c>
      <c r="L7025">
        <f>IF(B7025,INDEX(Dow,1,WEEKDAY(E7025,2)),"")</f>
        <v/>
      </c>
      <c r="M7025">
        <f>IF(B7025,(1+Trend)^D7025,"")</f>
        <v/>
      </c>
      <c r="N7025">
        <f>IF(B7025,EXP(SUMPRODUCT(LN(1+(EvEff-1)*INDEX(Affected,0,C7025)*EXP(-((E7025-EvCenter)^2)/(2*EvSigma^2))))),"")</f>
        <v/>
      </c>
      <c r="O7025">
        <f>IF(B7025,ROUND(MAX(0,J7025*K7025*L7025*M7025*N7025),2),"")</f>
        <v/>
      </c>
    </row>
    <row r="7026">
      <c r="A7026" t="n">
        <v>7025</v>
      </c>
      <c r="B7026">
        <f>A7026&lt;=MineCount*Days</f>
        <v/>
      </c>
      <c r="C7026">
        <f>IF(B7026,INT((A7026-1)/Days)+1,"")</f>
        <v/>
      </c>
      <c r="D7026">
        <f>IF(B7026,MOD(A7026-1,Days),"")</f>
        <v/>
      </c>
      <c r="E7026" s="16">
        <f>IF(B7026,StartDate+D7026,"")</f>
        <v/>
      </c>
      <c r="F7026">
        <f>IF(B7026,MAX(MOD(SIN(Seed*0.1373+C7026*12.9898+D7026*78.233)*43758.5453,1),1E-9),"")</f>
        <v/>
      </c>
      <c r="G7026">
        <f>IF(B7026,MOD(SIN(Seed*0.5917+C7026*39.3468+D7026*11.135)*24634.6345,1),"")</f>
        <v/>
      </c>
      <c r="H7026">
        <f>IF(B7026,SQRT(-2*LN(F7026))*COS(2*PI()*G7026),"")</f>
        <v/>
      </c>
      <c r="I7026">
        <f>IF(B7026,IF(D7026=0,H7026,Rho*I7025+SQRT(1-Rho^2)*H7026),"")</f>
        <v/>
      </c>
      <c r="J7026">
        <f>IF(B7026,IF(Dist="Normal",DistA+DistB*I7026,DistA+(DistB-DistA)*NORMSDIST(I7026)),"")</f>
        <v/>
      </c>
      <c r="K7026">
        <f>IF(B7026,INDEX(MineScale,C7026),"")</f>
        <v/>
      </c>
      <c r="L7026">
        <f>IF(B7026,INDEX(Dow,1,WEEKDAY(E7026,2)),"")</f>
        <v/>
      </c>
      <c r="M7026">
        <f>IF(B7026,(1+Trend)^D7026,"")</f>
        <v/>
      </c>
      <c r="N7026">
        <f>IF(B7026,EXP(SUMPRODUCT(LN(1+(EvEff-1)*INDEX(Affected,0,C7026)*EXP(-((E7026-EvCenter)^2)/(2*EvSigma^2))))),"")</f>
        <v/>
      </c>
      <c r="O7026">
        <f>IF(B7026,ROUND(MAX(0,J7026*K7026*L7026*M7026*N7026),2),"")</f>
        <v/>
      </c>
    </row>
    <row r="7027">
      <c r="A7027" t="n">
        <v>7026</v>
      </c>
      <c r="B7027">
        <f>A7027&lt;=MineCount*Days</f>
        <v/>
      </c>
      <c r="C7027">
        <f>IF(B7027,INT((A7027-1)/Days)+1,"")</f>
        <v/>
      </c>
      <c r="D7027">
        <f>IF(B7027,MOD(A7027-1,Days),"")</f>
        <v/>
      </c>
      <c r="E7027" s="16">
        <f>IF(B7027,StartDate+D7027,"")</f>
        <v/>
      </c>
      <c r="F7027">
        <f>IF(B7027,MAX(MOD(SIN(Seed*0.1373+C7027*12.9898+D7027*78.233)*43758.5453,1),1E-9),"")</f>
        <v/>
      </c>
      <c r="G7027">
        <f>IF(B7027,MOD(SIN(Seed*0.5917+C7027*39.3468+D7027*11.135)*24634.6345,1),"")</f>
        <v/>
      </c>
      <c r="H7027">
        <f>IF(B7027,SQRT(-2*LN(F7027))*COS(2*PI()*G7027),"")</f>
        <v/>
      </c>
      <c r="I7027">
        <f>IF(B7027,IF(D7027=0,H7027,Rho*I7026+SQRT(1-Rho^2)*H7027),"")</f>
        <v/>
      </c>
      <c r="J7027">
        <f>IF(B7027,IF(Dist="Normal",DistA+DistB*I7027,DistA+(DistB-DistA)*NORMSDIST(I7027)),"")</f>
        <v/>
      </c>
      <c r="K7027">
        <f>IF(B7027,INDEX(MineScale,C7027),"")</f>
        <v/>
      </c>
      <c r="L7027">
        <f>IF(B7027,INDEX(Dow,1,WEEKDAY(E7027,2)),"")</f>
        <v/>
      </c>
      <c r="M7027">
        <f>IF(B7027,(1+Trend)^D7027,"")</f>
        <v/>
      </c>
      <c r="N7027">
        <f>IF(B7027,EXP(SUMPRODUCT(LN(1+(EvEff-1)*INDEX(Affected,0,C7027)*EXP(-((E7027-EvCenter)^2)/(2*EvSigma^2))))),"")</f>
        <v/>
      </c>
      <c r="O7027">
        <f>IF(B7027,ROUND(MAX(0,J7027*K7027*L7027*M7027*N7027),2),"")</f>
        <v/>
      </c>
    </row>
    <row r="7028">
      <c r="A7028" t="n">
        <v>7027</v>
      </c>
      <c r="B7028">
        <f>A7028&lt;=MineCount*Days</f>
        <v/>
      </c>
      <c r="C7028">
        <f>IF(B7028,INT((A7028-1)/Days)+1,"")</f>
        <v/>
      </c>
      <c r="D7028">
        <f>IF(B7028,MOD(A7028-1,Days),"")</f>
        <v/>
      </c>
      <c r="E7028" s="16">
        <f>IF(B7028,StartDate+D7028,"")</f>
        <v/>
      </c>
      <c r="F7028">
        <f>IF(B7028,MAX(MOD(SIN(Seed*0.1373+C7028*12.9898+D7028*78.233)*43758.5453,1),1E-9),"")</f>
        <v/>
      </c>
      <c r="G7028">
        <f>IF(B7028,MOD(SIN(Seed*0.5917+C7028*39.3468+D7028*11.135)*24634.6345,1),"")</f>
        <v/>
      </c>
      <c r="H7028">
        <f>IF(B7028,SQRT(-2*LN(F7028))*COS(2*PI()*G7028),"")</f>
        <v/>
      </c>
      <c r="I7028">
        <f>IF(B7028,IF(D7028=0,H7028,Rho*I7027+SQRT(1-Rho^2)*H7028),"")</f>
        <v/>
      </c>
      <c r="J7028">
        <f>IF(B7028,IF(Dist="Normal",DistA+DistB*I7028,DistA+(DistB-DistA)*NORMSDIST(I7028)),"")</f>
        <v/>
      </c>
      <c r="K7028">
        <f>IF(B7028,INDEX(MineScale,C7028),"")</f>
        <v/>
      </c>
      <c r="L7028">
        <f>IF(B7028,INDEX(Dow,1,WEEKDAY(E7028,2)),"")</f>
        <v/>
      </c>
      <c r="M7028">
        <f>IF(B7028,(1+Trend)^D7028,"")</f>
        <v/>
      </c>
      <c r="N7028">
        <f>IF(B7028,EXP(SUMPRODUCT(LN(1+(EvEff-1)*INDEX(Affected,0,C7028)*EXP(-((E7028-EvCenter)^2)/(2*EvSigma^2))))),"")</f>
        <v/>
      </c>
      <c r="O7028">
        <f>IF(B7028,ROUND(MAX(0,J7028*K7028*L7028*M7028*N7028),2),"")</f>
        <v/>
      </c>
    </row>
    <row r="7029">
      <c r="A7029" t="n">
        <v>7028</v>
      </c>
      <c r="B7029">
        <f>A7029&lt;=MineCount*Days</f>
        <v/>
      </c>
      <c r="C7029">
        <f>IF(B7029,INT((A7029-1)/Days)+1,"")</f>
        <v/>
      </c>
      <c r="D7029">
        <f>IF(B7029,MOD(A7029-1,Days),"")</f>
        <v/>
      </c>
      <c r="E7029" s="16">
        <f>IF(B7029,StartDate+D7029,"")</f>
        <v/>
      </c>
      <c r="F7029">
        <f>IF(B7029,MAX(MOD(SIN(Seed*0.1373+C7029*12.9898+D7029*78.233)*43758.5453,1),1E-9),"")</f>
        <v/>
      </c>
      <c r="G7029">
        <f>IF(B7029,MOD(SIN(Seed*0.5917+C7029*39.3468+D7029*11.135)*24634.6345,1),"")</f>
        <v/>
      </c>
      <c r="H7029">
        <f>IF(B7029,SQRT(-2*LN(F7029))*COS(2*PI()*G7029),"")</f>
        <v/>
      </c>
      <c r="I7029">
        <f>IF(B7029,IF(D7029=0,H7029,Rho*I7028+SQRT(1-Rho^2)*H7029),"")</f>
        <v/>
      </c>
      <c r="J7029">
        <f>IF(B7029,IF(Dist="Normal",DistA+DistB*I7029,DistA+(DistB-DistA)*NORMSDIST(I7029)),"")</f>
        <v/>
      </c>
      <c r="K7029">
        <f>IF(B7029,INDEX(MineScale,C7029),"")</f>
        <v/>
      </c>
      <c r="L7029">
        <f>IF(B7029,INDEX(Dow,1,WEEKDAY(E7029,2)),"")</f>
        <v/>
      </c>
      <c r="M7029">
        <f>IF(B7029,(1+Trend)^D7029,"")</f>
        <v/>
      </c>
      <c r="N7029">
        <f>IF(B7029,EXP(SUMPRODUCT(LN(1+(EvEff-1)*INDEX(Affected,0,C7029)*EXP(-((E7029-EvCenter)^2)/(2*EvSigma^2))))),"")</f>
        <v/>
      </c>
      <c r="O7029">
        <f>IF(B7029,ROUND(MAX(0,J7029*K7029*L7029*M7029*N7029),2),"")</f>
        <v/>
      </c>
    </row>
    <row r="7030">
      <c r="A7030" t="n">
        <v>7029</v>
      </c>
      <c r="B7030">
        <f>A7030&lt;=MineCount*Days</f>
        <v/>
      </c>
      <c r="C7030">
        <f>IF(B7030,INT((A7030-1)/Days)+1,"")</f>
        <v/>
      </c>
      <c r="D7030">
        <f>IF(B7030,MOD(A7030-1,Days),"")</f>
        <v/>
      </c>
      <c r="E7030" s="16">
        <f>IF(B7030,StartDate+D7030,"")</f>
        <v/>
      </c>
      <c r="F7030">
        <f>IF(B7030,MAX(MOD(SIN(Seed*0.1373+C7030*12.9898+D7030*78.233)*43758.5453,1),1E-9),"")</f>
        <v/>
      </c>
      <c r="G7030">
        <f>IF(B7030,MOD(SIN(Seed*0.5917+C7030*39.3468+D7030*11.135)*24634.6345,1),"")</f>
        <v/>
      </c>
      <c r="H7030">
        <f>IF(B7030,SQRT(-2*LN(F7030))*COS(2*PI()*G7030),"")</f>
        <v/>
      </c>
      <c r="I7030">
        <f>IF(B7030,IF(D7030=0,H7030,Rho*I7029+SQRT(1-Rho^2)*H7030),"")</f>
        <v/>
      </c>
      <c r="J7030">
        <f>IF(B7030,IF(Dist="Normal",DistA+DistB*I7030,DistA+(DistB-DistA)*NORMSDIST(I7030)),"")</f>
        <v/>
      </c>
      <c r="K7030">
        <f>IF(B7030,INDEX(MineScale,C7030),"")</f>
        <v/>
      </c>
      <c r="L7030">
        <f>IF(B7030,INDEX(Dow,1,WEEKDAY(E7030,2)),"")</f>
        <v/>
      </c>
      <c r="M7030">
        <f>IF(B7030,(1+Trend)^D7030,"")</f>
        <v/>
      </c>
      <c r="N7030">
        <f>IF(B7030,EXP(SUMPRODUCT(LN(1+(EvEff-1)*INDEX(Affected,0,C7030)*EXP(-((E7030-EvCenter)^2)/(2*EvSigma^2))))),"")</f>
        <v/>
      </c>
      <c r="O7030">
        <f>IF(B7030,ROUND(MAX(0,J7030*K7030*L7030*M7030*N7030),2),"")</f>
        <v/>
      </c>
    </row>
    <row r="7031">
      <c r="A7031" t="n">
        <v>7030</v>
      </c>
      <c r="B7031">
        <f>A7031&lt;=MineCount*Days</f>
        <v/>
      </c>
      <c r="C7031">
        <f>IF(B7031,INT((A7031-1)/Days)+1,"")</f>
        <v/>
      </c>
      <c r="D7031">
        <f>IF(B7031,MOD(A7031-1,Days),"")</f>
        <v/>
      </c>
      <c r="E7031" s="16">
        <f>IF(B7031,StartDate+D7031,"")</f>
        <v/>
      </c>
      <c r="F7031">
        <f>IF(B7031,MAX(MOD(SIN(Seed*0.1373+C7031*12.9898+D7031*78.233)*43758.5453,1),1E-9),"")</f>
        <v/>
      </c>
      <c r="G7031">
        <f>IF(B7031,MOD(SIN(Seed*0.5917+C7031*39.3468+D7031*11.135)*24634.6345,1),"")</f>
        <v/>
      </c>
      <c r="H7031">
        <f>IF(B7031,SQRT(-2*LN(F7031))*COS(2*PI()*G7031),"")</f>
        <v/>
      </c>
      <c r="I7031">
        <f>IF(B7031,IF(D7031=0,H7031,Rho*I7030+SQRT(1-Rho^2)*H7031),"")</f>
        <v/>
      </c>
      <c r="J7031">
        <f>IF(B7031,IF(Dist="Normal",DistA+DistB*I7031,DistA+(DistB-DistA)*NORMSDIST(I7031)),"")</f>
        <v/>
      </c>
      <c r="K7031">
        <f>IF(B7031,INDEX(MineScale,C7031),"")</f>
        <v/>
      </c>
      <c r="L7031">
        <f>IF(B7031,INDEX(Dow,1,WEEKDAY(E7031,2)),"")</f>
        <v/>
      </c>
      <c r="M7031">
        <f>IF(B7031,(1+Trend)^D7031,"")</f>
        <v/>
      </c>
      <c r="N7031">
        <f>IF(B7031,EXP(SUMPRODUCT(LN(1+(EvEff-1)*INDEX(Affected,0,C7031)*EXP(-((E7031-EvCenter)^2)/(2*EvSigma^2))))),"")</f>
        <v/>
      </c>
      <c r="O7031">
        <f>IF(B7031,ROUND(MAX(0,J7031*K7031*L7031*M7031*N7031),2),"")</f>
        <v/>
      </c>
    </row>
    <row r="7032">
      <c r="A7032" t="n">
        <v>7031</v>
      </c>
      <c r="B7032">
        <f>A7032&lt;=MineCount*Days</f>
        <v/>
      </c>
      <c r="C7032">
        <f>IF(B7032,INT((A7032-1)/Days)+1,"")</f>
        <v/>
      </c>
      <c r="D7032">
        <f>IF(B7032,MOD(A7032-1,Days),"")</f>
        <v/>
      </c>
      <c r="E7032" s="16">
        <f>IF(B7032,StartDate+D7032,"")</f>
        <v/>
      </c>
      <c r="F7032">
        <f>IF(B7032,MAX(MOD(SIN(Seed*0.1373+C7032*12.9898+D7032*78.233)*43758.5453,1),1E-9),"")</f>
        <v/>
      </c>
      <c r="G7032">
        <f>IF(B7032,MOD(SIN(Seed*0.5917+C7032*39.3468+D7032*11.135)*24634.6345,1),"")</f>
        <v/>
      </c>
      <c r="H7032">
        <f>IF(B7032,SQRT(-2*LN(F7032))*COS(2*PI()*G7032),"")</f>
        <v/>
      </c>
      <c r="I7032">
        <f>IF(B7032,IF(D7032=0,H7032,Rho*I7031+SQRT(1-Rho^2)*H7032),"")</f>
        <v/>
      </c>
      <c r="J7032">
        <f>IF(B7032,IF(Dist="Normal",DistA+DistB*I7032,DistA+(DistB-DistA)*NORMSDIST(I7032)),"")</f>
        <v/>
      </c>
      <c r="K7032">
        <f>IF(B7032,INDEX(MineScale,C7032),"")</f>
        <v/>
      </c>
      <c r="L7032">
        <f>IF(B7032,INDEX(Dow,1,WEEKDAY(E7032,2)),"")</f>
        <v/>
      </c>
      <c r="M7032">
        <f>IF(B7032,(1+Trend)^D7032,"")</f>
        <v/>
      </c>
      <c r="N7032">
        <f>IF(B7032,EXP(SUMPRODUCT(LN(1+(EvEff-1)*INDEX(Affected,0,C7032)*EXP(-((E7032-EvCenter)^2)/(2*EvSigma^2))))),"")</f>
        <v/>
      </c>
      <c r="O7032">
        <f>IF(B7032,ROUND(MAX(0,J7032*K7032*L7032*M7032*N7032),2),"")</f>
        <v/>
      </c>
    </row>
    <row r="7033">
      <c r="A7033" t="n">
        <v>7032</v>
      </c>
      <c r="B7033">
        <f>A7033&lt;=MineCount*Days</f>
        <v/>
      </c>
      <c r="C7033">
        <f>IF(B7033,INT((A7033-1)/Days)+1,"")</f>
        <v/>
      </c>
      <c r="D7033">
        <f>IF(B7033,MOD(A7033-1,Days),"")</f>
        <v/>
      </c>
      <c r="E7033" s="16">
        <f>IF(B7033,StartDate+D7033,"")</f>
        <v/>
      </c>
      <c r="F7033">
        <f>IF(B7033,MAX(MOD(SIN(Seed*0.1373+C7033*12.9898+D7033*78.233)*43758.5453,1),1E-9),"")</f>
        <v/>
      </c>
      <c r="G7033">
        <f>IF(B7033,MOD(SIN(Seed*0.5917+C7033*39.3468+D7033*11.135)*24634.6345,1),"")</f>
        <v/>
      </c>
      <c r="H7033">
        <f>IF(B7033,SQRT(-2*LN(F7033))*COS(2*PI()*G7033),"")</f>
        <v/>
      </c>
      <c r="I7033">
        <f>IF(B7033,IF(D7033=0,H7033,Rho*I7032+SQRT(1-Rho^2)*H7033),"")</f>
        <v/>
      </c>
      <c r="J7033">
        <f>IF(B7033,IF(Dist="Normal",DistA+DistB*I7033,DistA+(DistB-DistA)*NORMSDIST(I7033)),"")</f>
        <v/>
      </c>
      <c r="K7033">
        <f>IF(B7033,INDEX(MineScale,C7033),"")</f>
        <v/>
      </c>
      <c r="L7033">
        <f>IF(B7033,INDEX(Dow,1,WEEKDAY(E7033,2)),"")</f>
        <v/>
      </c>
      <c r="M7033">
        <f>IF(B7033,(1+Trend)^D7033,"")</f>
        <v/>
      </c>
      <c r="N7033">
        <f>IF(B7033,EXP(SUMPRODUCT(LN(1+(EvEff-1)*INDEX(Affected,0,C7033)*EXP(-((E7033-EvCenter)^2)/(2*EvSigma^2))))),"")</f>
        <v/>
      </c>
      <c r="O7033">
        <f>IF(B7033,ROUND(MAX(0,J7033*K7033*L7033*M7033*N7033),2),"")</f>
        <v/>
      </c>
    </row>
    <row r="7034">
      <c r="A7034" t="n">
        <v>7033</v>
      </c>
      <c r="B7034">
        <f>A7034&lt;=MineCount*Days</f>
        <v/>
      </c>
      <c r="C7034">
        <f>IF(B7034,INT((A7034-1)/Days)+1,"")</f>
        <v/>
      </c>
      <c r="D7034">
        <f>IF(B7034,MOD(A7034-1,Days),"")</f>
        <v/>
      </c>
      <c r="E7034" s="16">
        <f>IF(B7034,StartDate+D7034,"")</f>
        <v/>
      </c>
      <c r="F7034">
        <f>IF(B7034,MAX(MOD(SIN(Seed*0.1373+C7034*12.9898+D7034*78.233)*43758.5453,1),1E-9),"")</f>
        <v/>
      </c>
      <c r="G7034">
        <f>IF(B7034,MOD(SIN(Seed*0.5917+C7034*39.3468+D7034*11.135)*24634.6345,1),"")</f>
        <v/>
      </c>
      <c r="H7034">
        <f>IF(B7034,SQRT(-2*LN(F7034))*COS(2*PI()*G7034),"")</f>
        <v/>
      </c>
      <c r="I7034">
        <f>IF(B7034,IF(D7034=0,H7034,Rho*I7033+SQRT(1-Rho^2)*H7034),"")</f>
        <v/>
      </c>
      <c r="J7034">
        <f>IF(B7034,IF(Dist="Normal",DistA+DistB*I7034,DistA+(DistB-DistA)*NORMSDIST(I7034)),"")</f>
        <v/>
      </c>
      <c r="K7034">
        <f>IF(B7034,INDEX(MineScale,C7034),"")</f>
        <v/>
      </c>
      <c r="L7034">
        <f>IF(B7034,INDEX(Dow,1,WEEKDAY(E7034,2)),"")</f>
        <v/>
      </c>
      <c r="M7034">
        <f>IF(B7034,(1+Trend)^D7034,"")</f>
        <v/>
      </c>
      <c r="N7034">
        <f>IF(B7034,EXP(SUMPRODUCT(LN(1+(EvEff-1)*INDEX(Affected,0,C7034)*EXP(-((E7034-EvCenter)^2)/(2*EvSigma^2))))),"")</f>
        <v/>
      </c>
      <c r="O7034">
        <f>IF(B7034,ROUND(MAX(0,J7034*K7034*L7034*M7034*N7034),2),"")</f>
        <v/>
      </c>
    </row>
    <row r="7035">
      <c r="A7035" t="n">
        <v>7034</v>
      </c>
      <c r="B7035">
        <f>A7035&lt;=MineCount*Days</f>
        <v/>
      </c>
      <c r="C7035">
        <f>IF(B7035,INT((A7035-1)/Days)+1,"")</f>
        <v/>
      </c>
      <c r="D7035">
        <f>IF(B7035,MOD(A7035-1,Days),"")</f>
        <v/>
      </c>
      <c r="E7035" s="16">
        <f>IF(B7035,StartDate+D7035,"")</f>
        <v/>
      </c>
      <c r="F7035">
        <f>IF(B7035,MAX(MOD(SIN(Seed*0.1373+C7035*12.9898+D7035*78.233)*43758.5453,1),1E-9),"")</f>
        <v/>
      </c>
      <c r="G7035">
        <f>IF(B7035,MOD(SIN(Seed*0.5917+C7035*39.3468+D7035*11.135)*24634.6345,1),"")</f>
        <v/>
      </c>
      <c r="H7035">
        <f>IF(B7035,SQRT(-2*LN(F7035))*COS(2*PI()*G7035),"")</f>
        <v/>
      </c>
      <c r="I7035">
        <f>IF(B7035,IF(D7035=0,H7035,Rho*I7034+SQRT(1-Rho^2)*H7035),"")</f>
        <v/>
      </c>
      <c r="J7035">
        <f>IF(B7035,IF(Dist="Normal",DistA+DistB*I7035,DistA+(DistB-DistA)*NORMSDIST(I7035)),"")</f>
        <v/>
      </c>
      <c r="K7035">
        <f>IF(B7035,INDEX(MineScale,C7035),"")</f>
        <v/>
      </c>
      <c r="L7035">
        <f>IF(B7035,INDEX(Dow,1,WEEKDAY(E7035,2)),"")</f>
        <v/>
      </c>
      <c r="M7035">
        <f>IF(B7035,(1+Trend)^D7035,"")</f>
        <v/>
      </c>
      <c r="N7035">
        <f>IF(B7035,EXP(SUMPRODUCT(LN(1+(EvEff-1)*INDEX(Affected,0,C7035)*EXP(-((E7035-EvCenter)^2)/(2*EvSigma^2))))),"")</f>
        <v/>
      </c>
      <c r="O7035">
        <f>IF(B7035,ROUND(MAX(0,J7035*K7035*L7035*M7035*N7035),2),"")</f>
        <v/>
      </c>
    </row>
    <row r="7036">
      <c r="A7036" t="n">
        <v>7035</v>
      </c>
      <c r="B7036">
        <f>A7036&lt;=MineCount*Days</f>
        <v/>
      </c>
      <c r="C7036">
        <f>IF(B7036,INT((A7036-1)/Days)+1,"")</f>
        <v/>
      </c>
      <c r="D7036">
        <f>IF(B7036,MOD(A7036-1,Days),"")</f>
        <v/>
      </c>
      <c r="E7036" s="16">
        <f>IF(B7036,StartDate+D7036,"")</f>
        <v/>
      </c>
      <c r="F7036">
        <f>IF(B7036,MAX(MOD(SIN(Seed*0.1373+C7036*12.9898+D7036*78.233)*43758.5453,1),1E-9),"")</f>
        <v/>
      </c>
      <c r="G7036">
        <f>IF(B7036,MOD(SIN(Seed*0.5917+C7036*39.3468+D7036*11.135)*24634.6345,1),"")</f>
        <v/>
      </c>
      <c r="H7036">
        <f>IF(B7036,SQRT(-2*LN(F7036))*COS(2*PI()*G7036),"")</f>
        <v/>
      </c>
      <c r="I7036">
        <f>IF(B7036,IF(D7036=0,H7036,Rho*I7035+SQRT(1-Rho^2)*H7036),"")</f>
        <v/>
      </c>
      <c r="J7036">
        <f>IF(B7036,IF(Dist="Normal",DistA+DistB*I7036,DistA+(DistB-DistA)*NORMSDIST(I7036)),"")</f>
        <v/>
      </c>
      <c r="K7036">
        <f>IF(B7036,INDEX(MineScale,C7036),"")</f>
        <v/>
      </c>
      <c r="L7036">
        <f>IF(B7036,INDEX(Dow,1,WEEKDAY(E7036,2)),"")</f>
        <v/>
      </c>
      <c r="M7036">
        <f>IF(B7036,(1+Trend)^D7036,"")</f>
        <v/>
      </c>
      <c r="N7036">
        <f>IF(B7036,EXP(SUMPRODUCT(LN(1+(EvEff-1)*INDEX(Affected,0,C7036)*EXP(-((E7036-EvCenter)^2)/(2*EvSigma^2))))),"")</f>
        <v/>
      </c>
      <c r="O7036">
        <f>IF(B7036,ROUND(MAX(0,J7036*K7036*L7036*M7036*N7036),2),"")</f>
        <v/>
      </c>
    </row>
    <row r="7037">
      <c r="A7037" t="n">
        <v>7036</v>
      </c>
      <c r="B7037">
        <f>A7037&lt;=MineCount*Days</f>
        <v/>
      </c>
      <c r="C7037">
        <f>IF(B7037,INT((A7037-1)/Days)+1,"")</f>
        <v/>
      </c>
      <c r="D7037">
        <f>IF(B7037,MOD(A7037-1,Days),"")</f>
        <v/>
      </c>
      <c r="E7037" s="16">
        <f>IF(B7037,StartDate+D7037,"")</f>
        <v/>
      </c>
      <c r="F7037">
        <f>IF(B7037,MAX(MOD(SIN(Seed*0.1373+C7037*12.9898+D7037*78.233)*43758.5453,1),1E-9),"")</f>
        <v/>
      </c>
      <c r="G7037">
        <f>IF(B7037,MOD(SIN(Seed*0.5917+C7037*39.3468+D7037*11.135)*24634.6345,1),"")</f>
        <v/>
      </c>
      <c r="H7037">
        <f>IF(B7037,SQRT(-2*LN(F7037))*COS(2*PI()*G7037),"")</f>
        <v/>
      </c>
      <c r="I7037">
        <f>IF(B7037,IF(D7037=0,H7037,Rho*I7036+SQRT(1-Rho^2)*H7037),"")</f>
        <v/>
      </c>
      <c r="J7037">
        <f>IF(B7037,IF(Dist="Normal",DistA+DistB*I7037,DistA+(DistB-DistA)*NORMSDIST(I7037)),"")</f>
        <v/>
      </c>
      <c r="K7037">
        <f>IF(B7037,INDEX(MineScale,C7037),"")</f>
        <v/>
      </c>
      <c r="L7037">
        <f>IF(B7037,INDEX(Dow,1,WEEKDAY(E7037,2)),"")</f>
        <v/>
      </c>
      <c r="M7037">
        <f>IF(B7037,(1+Trend)^D7037,"")</f>
        <v/>
      </c>
      <c r="N7037">
        <f>IF(B7037,EXP(SUMPRODUCT(LN(1+(EvEff-1)*INDEX(Affected,0,C7037)*EXP(-((E7037-EvCenter)^2)/(2*EvSigma^2))))),"")</f>
        <v/>
      </c>
      <c r="O7037">
        <f>IF(B7037,ROUND(MAX(0,J7037*K7037*L7037*M7037*N7037),2),"")</f>
        <v/>
      </c>
    </row>
    <row r="7038">
      <c r="A7038" t="n">
        <v>7037</v>
      </c>
      <c r="B7038">
        <f>A7038&lt;=MineCount*Days</f>
        <v/>
      </c>
      <c r="C7038">
        <f>IF(B7038,INT((A7038-1)/Days)+1,"")</f>
        <v/>
      </c>
      <c r="D7038">
        <f>IF(B7038,MOD(A7038-1,Days),"")</f>
        <v/>
      </c>
      <c r="E7038" s="16">
        <f>IF(B7038,StartDate+D7038,"")</f>
        <v/>
      </c>
      <c r="F7038">
        <f>IF(B7038,MAX(MOD(SIN(Seed*0.1373+C7038*12.9898+D7038*78.233)*43758.5453,1),1E-9),"")</f>
        <v/>
      </c>
      <c r="G7038">
        <f>IF(B7038,MOD(SIN(Seed*0.5917+C7038*39.3468+D7038*11.135)*24634.6345,1),"")</f>
        <v/>
      </c>
      <c r="H7038">
        <f>IF(B7038,SQRT(-2*LN(F7038))*COS(2*PI()*G7038),"")</f>
        <v/>
      </c>
      <c r="I7038">
        <f>IF(B7038,IF(D7038=0,H7038,Rho*I7037+SQRT(1-Rho^2)*H7038),"")</f>
        <v/>
      </c>
      <c r="J7038">
        <f>IF(B7038,IF(Dist="Normal",DistA+DistB*I7038,DistA+(DistB-DistA)*NORMSDIST(I7038)),"")</f>
        <v/>
      </c>
      <c r="K7038">
        <f>IF(B7038,INDEX(MineScale,C7038),"")</f>
        <v/>
      </c>
      <c r="L7038">
        <f>IF(B7038,INDEX(Dow,1,WEEKDAY(E7038,2)),"")</f>
        <v/>
      </c>
      <c r="M7038">
        <f>IF(B7038,(1+Trend)^D7038,"")</f>
        <v/>
      </c>
      <c r="N7038">
        <f>IF(B7038,EXP(SUMPRODUCT(LN(1+(EvEff-1)*INDEX(Affected,0,C7038)*EXP(-((E7038-EvCenter)^2)/(2*EvSigma^2))))),"")</f>
        <v/>
      </c>
      <c r="O7038">
        <f>IF(B7038,ROUND(MAX(0,J7038*K7038*L7038*M7038*N7038),2),"")</f>
        <v/>
      </c>
    </row>
    <row r="7039">
      <c r="A7039" t="n">
        <v>7038</v>
      </c>
      <c r="B7039">
        <f>A7039&lt;=MineCount*Days</f>
        <v/>
      </c>
      <c r="C7039">
        <f>IF(B7039,INT((A7039-1)/Days)+1,"")</f>
        <v/>
      </c>
      <c r="D7039">
        <f>IF(B7039,MOD(A7039-1,Days),"")</f>
        <v/>
      </c>
      <c r="E7039" s="16">
        <f>IF(B7039,StartDate+D7039,"")</f>
        <v/>
      </c>
      <c r="F7039">
        <f>IF(B7039,MAX(MOD(SIN(Seed*0.1373+C7039*12.9898+D7039*78.233)*43758.5453,1),1E-9),"")</f>
        <v/>
      </c>
      <c r="G7039">
        <f>IF(B7039,MOD(SIN(Seed*0.5917+C7039*39.3468+D7039*11.135)*24634.6345,1),"")</f>
        <v/>
      </c>
      <c r="H7039">
        <f>IF(B7039,SQRT(-2*LN(F7039))*COS(2*PI()*G7039),"")</f>
        <v/>
      </c>
      <c r="I7039">
        <f>IF(B7039,IF(D7039=0,H7039,Rho*I7038+SQRT(1-Rho^2)*H7039),"")</f>
        <v/>
      </c>
      <c r="J7039">
        <f>IF(B7039,IF(Dist="Normal",DistA+DistB*I7039,DistA+(DistB-DistA)*NORMSDIST(I7039)),"")</f>
        <v/>
      </c>
      <c r="K7039">
        <f>IF(B7039,INDEX(MineScale,C7039),"")</f>
        <v/>
      </c>
      <c r="L7039">
        <f>IF(B7039,INDEX(Dow,1,WEEKDAY(E7039,2)),"")</f>
        <v/>
      </c>
      <c r="M7039">
        <f>IF(B7039,(1+Trend)^D7039,"")</f>
        <v/>
      </c>
      <c r="N7039">
        <f>IF(B7039,EXP(SUMPRODUCT(LN(1+(EvEff-1)*INDEX(Affected,0,C7039)*EXP(-((E7039-EvCenter)^2)/(2*EvSigma^2))))),"")</f>
        <v/>
      </c>
      <c r="O7039">
        <f>IF(B7039,ROUND(MAX(0,J7039*K7039*L7039*M7039*N7039),2),"")</f>
        <v/>
      </c>
    </row>
    <row r="7040">
      <c r="A7040" t="n">
        <v>7039</v>
      </c>
      <c r="B7040">
        <f>A7040&lt;=MineCount*Days</f>
        <v/>
      </c>
      <c r="C7040">
        <f>IF(B7040,INT((A7040-1)/Days)+1,"")</f>
        <v/>
      </c>
      <c r="D7040">
        <f>IF(B7040,MOD(A7040-1,Days),"")</f>
        <v/>
      </c>
      <c r="E7040" s="16">
        <f>IF(B7040,StartDate+D7040,"")</f>
        <v/>
      </c>
      <c r="F7040">
        <f>IF(B7040,MAX(MOD(SIN(Seed*0.1373+C7040*12.9898+D7040*78.233)*43758.5453,1),1E-9),"")</f>
        <v/>
      </c>
      <c r="G7040">
        <f>IF(B7040,MOD(SIN(Seed*0.5917+C7040*39.3468+D7040*11.135)*24634.6345,1),"")</f>
        <v/>
      </c>
      <c r="H7040">
        <f>IF(B7040,SQRT(-2*LN(F7040))*COS(2*PI()*G7040),"")</f>
        <v/>
      </c>
      <c r="I7040">
        <f>IF(B7040,IF(D7040=0,H7040,Rho*I7039+SQRT(1-Rho^2)*H7040),"")</f>
        <v/>
      </c>
      <c r="J7040">
        <f>IF(B7040,IF(Dist="Normal",DistA+DistB*I7040,DistA+(DistB-DistA)*NORMSDIST(I7040)),"")</f>
        <v/>
      </c>
      <c r="K7040">
        <f>IF(B7040,INDEX(MineScale,C7040),"")</f>
        <v/>
      </c>
      <c r="L7040">
        <f>IF(B7040,INDEX(Dow,1,WEEKDAY(E7040,2)),"")</f>
        <v/>
      </c>
      <c r="M7040">
        <f>IF(B7040,(1+Trend)^D7040,"")</f>
        <v/>
      </c>
      <c r="N7040">
        <f>IF(B7040,EXP(SUMPRODUCT(LN(1+(EvEff-1)*INDEX(Affected,0,C7040)*EXP(-((E7040-EvCenter)^2)/(2*EvSigma^2))))),"")</f>
        <v/>
      </c>
      <c r="O7040">
        <f>IF(B7040,ROUND(MAX(0,J7040*K7040*L7040*M7040*N7040),2),"")</f>
        <v/>
      </c>
    </row>
    <row r="7041">
      <c r="A7041" t="n">
        <v>7040</v>
      </c>
      <c r="B7041">
        <f>A7041&lt;=MineCount*Days</f>
        <v/>
      </c>
      <c r="C7041">
        <f>IF(B7041,INT((A7041-1)/Days)+1,"")</f>
        <v/>
      </c>
      <c r="D7041">
        <f>IF(B7041,MOD(A7041-1,Days),"")</f>
        <v/>
      </c>
      <c r="E7041" s="16">
        <f>IF(B7041,StartDate+D7041,"")</f>
        <v/>
      </c>
      <c r="F7041">
        <f>IF(B7041,MAX(MOD(SIN(Seed*0.1373+C7041*12.9898+D7041*78.233)*43758.5453,1),1E-9),"")</f>
        <v/>
      </c>
      <c r="G7041">
        <f>IF(B7041,MOD(SIN(Seed*0.5917+C7041*39.3468+D7041*11.135)*24634.6345,1),"")</f>
        <v/>
      </c>
      <c r="H7041">
        <f>IF(B7041,SQRT(-2*LN(F7041))*COS(2*PI()*G7041),"")</f>
        <v/>
      </c>
      <c r="I7041">
        <f>IF(B7041,IF(D7041=0,H7041,Rho*I7040+SQRT(1-Rho^2)*H7041),"")</f>
        <v/>
      </c>
      <c r="J7041">
        <f>IF(B7041,IF(Dist="Normal",DistA+DistB*I7041,DistA+(DistB-DistA)*NORMSDIST(I7041)),"")</f>
        <v/>
      </c>
      <c r="K7041">
        <f>IF(B7041,INDEX(MineScale,C7041),"")</f>
        <v/>
      </c>
      <c r="L7041">
        <f>IF(B7041,INDEX(Dow,1,WEEKDAY(E7041,2)),"")</f>
        <v/>
      </c>
      <c r="M7041">
        <f>IF(B7041,(1+Trend)^D7041,"")</f>
        <v/>
      </c>
      <c r="N7041">
        <f>IF(B7041,EXP(SUMPRODUCT(LN(1+(EvEff-1)*INDEX(Affected,0,C7041)*EXP(-((E7041-EvCenter)^2)/(2*EvSigma^2))))),"")</f>
        <v/>
      </c>
      <c r="O7041">
        <f>IF(B7041,ROUND(MAX(0,J7041*K7041*L7041*M7041*N7041),2),"")</f>
        <v/>
      </c>
    </row>
    <row r="7042">
      <c r="A7042" t="n">
        <v>7041</v>
      </c>
      <c r="B7042">
        <f>A7042&lt;=MineCount*Days</f>
        <v/>
      </c>
      <c r="C7042">
        <f>IF(B7042,INT((A7042-1)/Days)+1,"")</f>
        <v/>
      </c>
      <c r="D7042">
        <f>IF(B7042,MOD(A7042-1,Days),"")</f>
        <v/>
      </c>
      <c r="E7042" s="16">
        <f>IF(B7042,StartDate+D7042,"")</f>
        <v/>
      </c>
      <c r="F7042">
        <f>IF(B7042,MAX(MOD(SIN(Seed*0.1373+C7042*12.9898+D7042*78.233)*43758.5453,1),1E-9),"")</f>
        <v/>
      </c>
      <c r="G7042">
        <f>IF(B7042,MOD(SIN(Seed*0.5917+C7042*39.3468+D7042*11.135)*24634.6345,1),"")</f>
        <v/>
      </c>
      <c r="H7042">
        <f>IF(B7042,SQRT(-2*LN(F7042))*COS(2*PI()*G7042),"")</f>
        <v/>
      </c>
      <c r="I7042">
        <f>IF(B7042,IF(D7042=0,H7042,Rho*I7041+SQRT(1-Rho^2)*H7042),"")</f>
        <v/>
      </c>
      <c r="J7042">
        <f>IF(B7042,IF(Dist="Normal",DistA+DistB*I7042,DistA+(DistB-DistA)*NORMSDIST(I7042)),"")</f>
        <v/>
      </c>
      <c r="K7042">
        <f>IF(B7042,INDEX(MineScale,C7042),"")</f>
        <v/>
      </c>
      <c r="L7042">
        <f>IF(B7042,INDEX(Dow,1,WEEKDAY(E7042,2)),"")</f>
        <v/>
      </c>
      <c r="M7042">
        <f>IF(B7042,(1+Trend)^D7042,"")</f>
        <v/>
      </c>
      <c r="N7042">
        <f>IF(B7042,EXP(SUMPRODUCT(LN(1+(EvEff-1)*INDEX(Affected,0,C7042)*EXP(-((E7042-EvCenter)^2)/(2*EvSigma^2))))),"")</f>
        <v/>
      </c>
      <c r="O7042">
        <f>IF(B7042,ROUND(MAX(0,J7042*K7042*L7042*M7042*N7042),2),"")</f>
        <v/>
      </c>
    </row>
    <row r="7043">
      <c r="A7043" t="n">
        <v>7042</v>
      </c>
      <c r="B7043">
        <f>A7043&lt;=MineCount*Days</f>
        <v/>
      </c>
      <c r="C7043">
        <f>IF(B7043,INT((A7043-1)/Days)+1,"")</f>
        <v/>
      </c>
      <c r="D7043">
        <f>IF(B7043,MOD(A7043-1,Days),"")</f>
        <v/>
      </c>
      <c r="E7043" s="16">
        <f>IF(B7043,StartDate+D7043,"")</f>
        <v/>
      </c>
      <c r="F7043">
        <f>IF(B7043,MAX(MOD(SIN(Seed*0.1373+C7043*12.9898+D7043*78.233)*43758.5453,1),1E-9),"")</f>
        <v/>
      </c>
      <c r="G7043">
        <f>IF(B7043,MOD(SIN(Seed*0.5917+C7043*39.3468+D7043*11.135)*24634.6345,1),"")</f>
        <v/>
      </c>
      <c r="H7043">
        <f>IF(B7043,SQRT(-2*LN(F7043))*COS(2*PI()*G7043),"")</f>
        <v/>
      </c>
      <c r="I7043">
        <f>IF(B7043,IF(D7043=0,H7043,Rho*I7042+SQRT(1-Rho^2)*H7043),"")</f>
        <v/>
      </c>
      <c r="J7043">
        <f>IF(B7043,IF(Dist="Normal",DistA+DistB*I7043,DistA+(DistB-DistA)*NORMSDIST(I7043)),"")</f>
        <v/>
      </c>
      <c r="K7043">
        <f>IF(B7043,INDEX(MineScale,C7043),"")</f>
        <v/>
      </c>
      <c r="L7043">
        <f>IF(B7043,INDEX(Dow,1,WEEKDAY(E7043,2)),"")</f>
        <v/>
      </c>
      <c r="M7043">
        <f>IF(B7043,(1+Trend)^D7043,"")</f>
        <v/>
      </c>
      <c r="N7043">
        <f>IF(B7043,EXP(SUMPRODUCT(LN(1+(EvEff-1)*INDEX(Affected,0,C7043)*EXP(-((E7043-EvCenter)^2)/(2*EvSigma^2))))),"")</f>
        <v/>
      </c>
      <c r="O7043">
        <f>IF(B7043,ROUND(MAX(0,J7043*K7043*L7043*M7043*N7043),2),"")</f>
        <v/>
      </c>
    </row>
    <row r="7044">
      <c r="A7044" t="n">
        <v>7043</v>
      </c>
      <c r="B7044">
        <f>A7044&lt;=MineCount*Days</f>
        <v/>
      </c>
      <c r="C7044">
        <f>IF(B7044,INT((A7044-1)/Days)+1,"")</f>
        <v/>
      </c>
      <c r="D7044">
        <f>IF(B7044,MOD(A7044-1,Days),"")</f>
        <v/>
      </c>
      <c r="E7044" s="16">
        <f>IF(B7044,StartDate+D7044,"")</f>
        <v/>
      </c>
      <c r="F7044">
        <f>IF(B7044,MAX(MOD(SIN(Seed*0.1373+C7044*12.9898+D7044*78.233)*43758.5453,1),1E-9),"")</f>
        <v/>
      </c>
      <c r="G7044">
        <f>IF(B7044,MOD(SIN(Seed*0.5917+C7044*39.3468+D7044*11.135)*24634.6345,1),"")</f>
        <v/>
      </c>
      <c r="H7044">
        <f>IF(B7044,SQRT(-2*LN(F7044))*COS(2*PI()*G7044),"")</f>
        <v/>
      </c>
      <c r="I7044">
        <f>IF(B7044,IF(D7044=0,H7044,Rho*I7043+SQRT(1-Rho^2)*H7044),"")</f>
        <v/>
      </c>
      <c r="J7044">
        <f>IF(B7044,IF(Dist="Normal",DistA+DistB*I7044,DistA+(DistB-DistA)*NORMSDIST(I7044)),"")</f>
        <v/>
      </c>
      <c r="K7044">
        <f>IF(B7044,INDEX(MineScale,C7044),"")</f>
        <v/>
      </c>
      <c r="L7044">
        <f>IF(B7044,INDEX(Dow,1,WEEKDAY(E7044,2)),"")</f>
        <v/>
      </c>
      <c r="M7044">
        <f>IF(B7044,(1+Trend)^D7044,"")</f>
        <v/>
      </c>
      <c r="N7044">
        <f>IF(B7044,EXP(SUMPRODUCT(LN(1+(EvEff-1)*INDEX(Affected,0,C7044)*EXP(-((E7044-EvCenter)^2)/(2*EvSigma^2))))),"")</f>
        <v/>
      </c>
      <c r="O7044">
        <f>IF(B7044,ROUND(MAX(0,J7044*K7044*L7044*M7044*N7044),2),"")</f>
        <v/>
      </c>
    </row>
    <row r="7045">
      <c r="A7045" t="n">
        <v>7044</v>
      </c>
      <c r="B7045">
        <f>A7045&lt;=MineCount*Days</f>
        <v/>
      </c>
      <c r="C7045">
        <f>IF(B7045,INT((A7045-1)/Days)+1,"")</f>
        <v/>
      </c>
      <c r="D7045">
        <f>IF(B7045,MOD(A7045-1,Days),"")</f>
        <v/>
      </c>
      <c r="E7045" s="16">
        <f>IF(B7045,StartDate+D7045,"")</f>
        <v/>
      </c>
      <c r="F7045">
        <f>IF(B7045,MAX(MOD(SIN(Seed*0.1373+C7045*12.9898+D7045*78.233)*43758.5453,1),1E-9),"")</f>
        <v/>
      </c>
      <c r="G7045">
        <f>IF(B7045,MOD(SIN(Seed*0.5917+C7045*39.3468+D7045*11.135)*24634.6345,1),"")</f>
        <v/>
      </c>
      <c r="H7045">
        <f>IF(B7045,SQRT(-2*LN(F7045))*COS(2*PI()*G7045),"")</f>
        <v/>
      </c>
      <c r="I7045">
        <f>IF(B7045,IF(D7045=0,H7045,Rho*I7044+SQRT(1-Rho^2)*H7045),"")</f>
        <v/>
      </c>
      <c r="J7045">
        <f>IF(B7045,IF(Dist="Normal",DistA+DistB*I7045,DistA+(DistB-DistA)*NORMSDIST(I7045)),"")</f>
        <v/>
      </c>
      <c r="K7045">
        <f>IF(B7045,INDEX(MineScale,C7045),"")</f>
        <v/>
      </c>
      <c r="L7045">
        <f>IF(B7045,INDEX(Dow,1,WEEKDAY(E7045,2)),"")</f>
        <v/>
      </c>
      <c r="M7045">
        <f>IF(B7045,(1+Trend)^D7045,"")</f>
        <v/>
      </c>
      <c r="N7045">
        <f>IF(B7045,EXP(SUMPRODUCT(LN(1+(EvEff-1)*INDEX(Affected,0,C7045)*EXP(-((E7045-EvCenter)^2)/(2*EvSigma^2))))),"")</f>
        <v/>
      </c>
      <c r="O7045">
        <f>IF(B7045,ROUND(MAX(0,J7045*K7045*L7045*M7045*N7045),2),"")</f>
        <v/>
      </c>
    </row>
    <row r="7046">
      <c r="A7046" t="n">
        <v>7045</v>
      </c>
      <c r="B7046">
        <f>A7046&lt;=MineCount*Days</f>
        <v/>
      </c>
      <c r="C7046">
        <f>IF(B7046,INT((A7046-1)/Days)+1,"")</f>
        <v/>
      </c>
      <c r="D7046">
        <f>IF(B7046,MOD(A7046-1,Days),"")</f>
        <v/>
      </c>
      <c r="E7046" s="16">
        <f>IF(B7046,StartDate+D7046,"")</f>
        <v/>
      </c>
      <c r="F7046">
        <f>IF(B7046,MAX(MOD(SIN(Seed*0.1373+C7046*12.9898+D7046*78.233)*43758.5453,1),1E-9),"")</f>
        <v/>
      </c>
      <c r="G7046">
        <f>IF(B7046,MOD(SIN(Seed*0.5917+C7046*39.3468+D7046*11.135)*24634.6345,1),"")</f>
        <v/>
      </c>
      <c r="H7046">
        <f>IF(B7046,SQRT(-2*LN(F7046))*COS(2*PI()*G7046),"")</f>
        <v/>
      </c>
      <c r="I7046">
        <f>IF(B7046,IF(D7046=0,H7046,Rho*I7045+SQRT(1-Rho^2)*H7046),"")</f>
        <v/>
      </c>
      <c r="J7046">
        <f>IF(B7046,IF(Dist="Normal",DistA+DistB*I7046,DistA+(DistB-DistA)*NORMSDIST(I7046)),"")</f>
        <v/>
      </c>
      <c r="K7046">
        <f>IF(B7046,INDEX(MineScale,C7046),"")</f>
        <v/>
      </c>
      <c r="L7046">
        <f>IF(B7046,INDEX(Dow,1,WEEKDAY(E7046,2)),"")</f>
        <v/>
      </c>
      <c r="M7046">
        <f>IF(B7046,(1+Trend)^D7046,"")</f>
        <v/>
      </c>
      <c r="N7046">
        <f>IF(B7046,EXP(SUMPRODUCT(LN(1+(EvEff-1)*INDEX(Affected,0,C7046)*EXP(-((E7046-EvCenter)^2)/(2*EvSigma^2))))),"")</f>
        <v/>
      </c>
      <c r="O7046">
        <f>IF(B7046,ROUND(MAX(0,J7046*K7046*L7046*M7046*N7046),2),"")</f>
        <v/>
      </c>
    </row>
    <row r="7047">
      <c r="A7047" t="n">
        <v>7046</v>
      </c>
      <c r="B7047">
        <f>A7047&lt;=MineCount*Days</f>
        <v/>
      </c>
      <c r="C7047">
        <f>IF(B7047,INT((A7047-1)/Days)+1,"")</f>
        <v/>
      </c>
      <c r="D7047">
        <f>IF(B7047,MOD(A7047-1,Days),"")</f>
        <v/>
      </c>
      <c r="E7047" s="16">
        <f>IF(B7047,StartDate+D7047,"")</f>
        <v/>
      </c>
      <c r="F7047">
        <f>IF(B7047,MAX(MOD(SIN(Seed*0.1373+C7047*12.9898+D7047*78.233)*43758.5453,1),1E-9),"")</f>
        <v/>
      </c>
      <c r="G7047">
        <f>IF(B7047,MOD(SIN(Seed*0.5917+C7047*39.3468+D7047*11.135)*24634.6345,1),"")</f>
        <v/>
      </c>
      <c r="H7047">
        <f>IF(B7047,SQRT(-2*LN(F7047))*COS(2*PI()*G7047),"")</f>
        <v/>
      </c>
      <c r="I7047">
        <f>IF(B7047,IF(D7047=0,H7047,Rho*I7046+SQRT(1-Rho^2)*H7047),"")</f>
        <v/>
      </c>
      <c r="J7047">
        <f>IF(B7047,IF(Dist="Normal",DistA+DistB*I7047,DistA+(DistB-DistA)*NORMSDIST(I7047)),"")</f>
        <v/>
      </c>
      <c r="K7047">
        <f>IF(B7047,INDEX(MineScale,C7047),"")</f>
        <v/>
      </c>
      <c r="L7047">
        <f>IF(B7047,INDEX(Dow,1,WEEKDAY(E7047,2)),"")</f>
        <v/>
      </c>
      <c r="M7047">
        <f>IF(B7047,(1+Trend)^D7047,"")</f>
        <v/>
      </c>
      <c r="N7047">
        <f>IF(B7047,EXP(SUMPRODUCT(LN(1+(EvEff-1)*INDEX(Affected,0,C7047)*EXP(-((E7047-EvCenter)^2)/(2*EvSigma^2))))),"")</f>
        <v/>
      </c>
      <c r="O7047">
        <f>IF(B7047,ROUND(MAX(0,J7047*K7047*L7047*M7047*N7047),2),"")</f>
        <v/>
      </c>
    </row>
    <row r="7048">
      <c r="A7048" t="n">
        <v>7047</v>
      </c>
      <c r="B7048">
        <f>A7048&lt;=MineCount*Days</f>
        <v/>
      </c>
      <c r="C7048">
        <f>IF(B7048,INT((A7048-1)/Days)+1,"")</f>
        <v/>
      </c>
      <c r="D7048">
        <f>IF(B7048,MOD(A7048-1,Days),"")</f>
        <v/>
      </c>
      <c r="E7048" s="16">
        <f>IF(B7048,StartDate+D7048,"")</f>
        <v/>
      </c>
      <c r="F7048">
        <f>IF(B7048,MAX(MOD(SIN(Seed*0.1373+C7048*12.9898+D7048*78.233)*43758.5453,1),1E-9),"")</f>
        <v/>
      </c>
      <c r="G7048">
        <f>IF(B7048,MOD(SIN(Seed*0.5917+C7048*39.3468+D7048*11.135)*24634.6345,1),"")</f>
        <v/>
      </c>
      <c r="H7048">
        <f>IF(B7048,SQRT(-2*LN(F7048))*COS(2*PI()*G7048),"")</f>
        <v/>
      </c>
      <c r="I7048">
        <f>IF(B7048,IF(D7048=0,H7048,Rho*I7047+SQRT(1-Rho^2)*H7048),"")</f>
        <v/>
      </c>
      <c r="J7048">
        <f>IF(B7048,IF(Dist="Normal",DistA+DistB*I7048,DistA+(DistB-DistA)*NORMSDIST(I7048)),"")</f>
        <v/>
      </c>
      <c r="K7048">
        <f>IF(B7048,INDEX(MineScale,C7048),"")</f>
        <v/>
      </c>
      <c r="L7048">
        <f>IF(B7048,INDEX(Dow,1,WEEKDAY(E7048,2)),"")</f>
        <v/>
      </c>
      <c r="M7048">
        <f>IF(B7048,(1+Trend)^D7048,"")</f>
        <v/>
      </c>
      <c r="N7048">
        <f>IF(B7048,EXP(SUMPRODUCT(LN(1+(EvEff-1)*INDEX(Affected,0,C7048)*EXP(-((E7048-EvCenter)^2)/(2*EvSigma^2))))),"")</f>
        <v/>
      </c>
      <c r="O7048">
        <f>IF(B7048,ROUND(MAX(0,J7048*K7048*L7048*M7048*N7048),2),"")</f>
        <v/>
      </c>
    </row>
    <row r="7049">
      <c r="A7049" t="n">
        <v>7048</v>
      </c>
      <c r="B7049">
        <f>A7049&lt;=MineCount*Days</f>
        <v/>
      </c>
      <c r="C7049">
        <f>IF(B7049,INT((A7049-1)/Days)+1,"")</f>
        <v/>
      </c>
      <c r="D7049">
        <f>IF(B7049,MOD(A7049-1,Days),"")</f>
        <v/>
      </c>
      <c r="E7049" s="16">
        <f>IF(B7049,StartDate+D7049,"")</f>
        <v/>
      </c>
      <c r="F7049">
        <f>IF(B7049,MAX(MOD(SIN(Seed*0.1373+C7049*12.9898+D7049*78.233)*43758.5453,1),1E-9),"")</f>
        <v/>
      </c>
      <c r="G7049">
        <f>IF(B7049,MOD(SIN(Seed*0.5917+C7049*39.3468+D7049*11.135)*24634.6345,1),"")</f>
        <v/>
      </c>
      <c r="H7049">
        <f>IF(B7049,SQRT(-2*LN(F7049))*COS(2*PI()*G7049),"")</f>
        <v/>
      </c>
      <c r="I7049">
        <f>IF(B7049,IF(D7049=0,H7049,Rho*I7048+SQRT(1-Rho^2)*H7049),"")</f>
        <v/>
      </c>
      <c r="J7049">
        <f>IF(B7049,IF(Dist="Normal",DistA+DistB*I7049,DistA+(DistB-DistA)*NORMSDIST(I7049)),"")</f>
        <v/>
      </c>
      <c r="K7049">
        <f>IF(B7049,INDEX(MineScale,C7049),"")</f>
        <v/>
      </c>
      <c r="L7049">
        <f>IF(B7049,INDEX(Dow,1,WEEKDAY(E7049,2)),"")</f>
        <v/>
      </c>
      <c r="M7049">
        <f>IF(B7049,(1+Trend)^D7049,"")</f>
        <v/>
      </c>
      <c r="N7049">
        <f>IF(B7049,EXP(SUMPRODUCT(LN(1+(EvEff-1)*INDEX(Affected,0,C7049)*EXP(-((E7049-EvCenter)^2)/(2*EvSigma^2))))),"")</f>
        <v/>
      </c>
      <c r="O7049">
        <f>IF(B7049,ROUND(MAX(0,J7049*K7049*L7049*M7049*N7049),2),"")</f>
        <v/>
      </c>
    </row>
    <row r="7050">
      <c r="A7050" t="n">
        <v>7049</v>
      </c>
      <c r="B7050">
        <f>A7050&lt;=MineCount*Days</f>
        <v/>
      </c>
      <c r="C7050">
        <f>IF(B7050,INT((A7050-1)/Days)+1,"")</f>
        <v/>
      </c>
      <c r="D7050">
        <f>IF(B7050,MOD(A7050-1,Days),"")</f>
        <v/>
      </c>
      <c r="E7050" s="16">
        <f>IF(B7050,StartDate+D7050,"")</f>
        <v/>
      </c>
      <c r="F7050">
        <f>IF(B7050,MAX(MOD(SIN(Seed*0.1373+C7050*12.9898+D7050*78.233)*43758.5453,1),1E-9),"")</f>
        <v/>
      </c>
      <c r="G7050">
        <f>IF(B7050,MOD(SIN(Seed*0.5917+C7050*39.3468+D7050*11.135)*24634.6345,1),"")</f>
        <v/>
      </c>
      <c r="H7050">
        <f>IF(B7050,SQRT(-2*LN(F7050))*COS(2*PI()*G7050),"")</f>
        <v/>
      </c>
      <c r="I7050">
        <f>IF(B7050,IF(D7050=0,H7050,Rho*I7049+SQRT(1-Rho^2)*H7050),"")</f>
        <v/>
      </c>
      <c r="J7050">
        <f>IF(B7050,IF(Dist="Normal",DistA+DistB*I7050,DistA+(DistB-DistA)*NORMSDIST(I7050)),"")</f>
        <v/>
      </c>
      <c r="K7050">
        <f>IF(B7050,INDEX(MineScale,C7050),"")</f>
        <v/>
      </c>
      <c r="L7050">
        <f>IF(B7050,INDEX(Dow,1,WEEKDAY(E7050,2)),"")</f>
        <v/>
      </c>
      <c r="M7050">
        <f>IF(B7050,(1+Trend)^D7050,"")</f>
        <v/>
      </c>
      <c r="N7050">
        <f>IF(B7050,EXP(SUMPRODUCT(LN(1+(EvEff-1)*INDEX(Affected,0,C7050)*EXP(-((E7050-EvCenter)^2)/(2*EvSigma^2))))),"")</f>
        <v/>
      </c>
      <c r="O7050">
        <f>IF(B7050,ROUND(MAX(0,J7050*K7050*L7050*M7050*N7050),2),"")</f>
        <v/>
      </c>
    </row>
    <row r="7051">
      <c r="A7051" t="n">
        <v>7050</v>
      </c>
      <c r="B7051">
        <f>A7051&lt;=MineCount*Days</f>
        <v/>
      </c>
      <c r="C7051">
        <f>IF(B7051,INT((A7051-1)/Days)+1,"")</f>
        <v/>
      </c>
      <c r="D7051">
        <f>IF(B7051,MOD(A7051-1,Days),"")</f>
        <v/>
      </c>
      <c r="E7051" s="16">
        <f>IF(B7051,StartDate+D7051,"")</f>
        <v/>
      </c>
      <c r="F7051">
        <f>IF(B7051,MAX(MOD(SIN(Seed*0.1373+C7051*12.9898+D7051*78.233)*43758.5453,1),1E-9),"")</f>
        <v/>
      </c>
      <c r="G7051">
        <f>IF(B7051,MOD(SIN(Seed*0.5917+C7051*39.3468+D7051*11.135)*24634.6345,1),"")</f>
        <v/>
      </c>
      <c r="H7051">
        <f>IF(B7051,SQRT(-2*LN(F7051))*COS(2*PI()*G7051),"")</f>
        <v/>
      </c>
      <c r="I7051">
        <f>IF(B7051,IF(D7051=0,H7051,Rho*I7050+SQRT(1-Rho^2)*H7051),"")</f>
        <v/>
      </c>
      <c r="J7051">
        <f>IF(B7051,IF(Dist="Normal",DistA+DistB*I7051,DistA+(DistB-DistA)*NORMSDIST(I7051)),"")</f>
        <v/>
      </c>
      <c r="K7051">
        <f>IF(B7051,INDEX(MineScale,C7051),"")</f>
        <v/>
      </c>
      <c r="L7051">
        <f>IF(B7051,INDEX(Dow,1,WEEKDAY(E7051,2)),"")</f>
        <v/>
      </c>
      <c r="M7051">
        <f>IF(B7051,(1+Trend)^D7051,"")</f>
        <v/>
      </c>
      <c r="N7051">
        <f>IF(B7051,EXP(SUMPRODUCT(LN(1+(EvEff-1)*INDEX(Affected,0,C7051)*EXP(-((E7051-EvCenter)^2)/(2*EvSigma^2))))),"")</f>
        <v/>
      </c>
      <c r="O7051">
        <f>IF(B7051,ROUND(MAX(0,J7051*K7051*L7051*M7051*N7051),2),"")</f>
        <v/>
      </c>
    </row>
    <row r="7052">
      <c r="A7052" t="n">
        <v>7051</v>
      </c>
      <c r="B7052">
        <f>A7052&lt;=MineCount*Days</f>
        <v/>
      </c>
      <c r="C7052">
        <f>IF(B7052,INT((A7052-1)/Days)+1,"")</f>
        <v/>
      </c>
      <c r="D7052">
        <f>IF(B7052,MOD(A7052-1,Days),"")</f>
        <v/>
      </c>
      <c r="E7052" s="16">
        <f>IF(B7052,StartDate+D7052,"")</f>
        <v/>
      </c>
      <c r="F7052">
        <f>IF(B7052,MAX(MOD(SIN(Seed*0.1373+C7052*12.9898+D7052*78.233)*43758.5453,1),1E-9),"")</f>
        <v/>
      </c>
      <c r="G7052">
        <f>IF(B7052,MOD(SIN(Seed*0.5917+C7052*39.3468+D7052*11.135)*24634.6345,1),"")</f>
        <v/>
      </c>
      <c r="H7052">
        <f>IF(B7052,SQRT(-2*LN(F7052))*COS(2*PI()*G7052),"")</f>
        <v/>
      </c>
      <c r="I7052">
        <f>IF(B7052,IF(D7052=0,H7052,Rho*I7051+SQRT(1-Rho^2)*H7052),"")</f>
        <v/>
      </c>
      <c r="J7052">
        <f>IF(B7052,IF(Dist="Normal",DistA+DistB*I7052,DistA+(DistB-DistA)*NORMSDIST(I7052)),"")</f>
        <v/>
      </c>
      <c r="K7052">
        <f>IF(B7052,INDEX(MineScale,C7052),"")</f>
        <v/>
      </c>
      <c r="L7052">
        <f>IF(B7052,INDEX(Dow,1,WEEKDAY(E7052,2)),"")</f>
        <v/>
      </c>
      <c r="M7052">
        <f>IF(B7052,(1+Trend)^D7052,"")</f>
        <v/>
      </c>
      <c r="N7052">
        <f>IF(B7052,EXP(SUMPRODUCT(LN(1+(EvEff-1)*INDEX(Affected,0,C7052)*EXP(-((E7052-EvCenter)^2)/(2*EvSigma^2))))),"")</f>
        <v/>
      </c>
      <c r="O7052">
        <f>IF(B7052,ROUND(MAX(0,J7052*K7052*L7052*M7052*N7052),2),"")</f>
        <v/>
      </c>
    </row>
    <row r="7053">
      <c r="A7053" t="n">
        <v>7052</v>
      </c>
      <c r="B7053">
        <f>A7053&lt;=MineCount*Days</f>
        <v/>
      </c>
      <c r="C7053">
        <f>IF(B7053,INT((A7053-1)/Days)+1,"")</f>
        <v/>
      </c>
      <c r="D7053">
        <f>IF(B7053,MOD(A7053-1,Days),"")</f>
        <v/>
      </c>
      <c r="E7053" s="16">
        <f>IF(B7053,StartDate+D7053,"")</f>
        <v/>
      </c>
      <c r="F7053">
        <f>IF(B7053,MAX(MOD(SIN(Seed*0.1373+C7053*12.9898+D7053*78.233)*43758.5453,1),1E-9),"")</f>
        <v/>
      </c>
      <c r="G7053">
        <f>IF(B7053,MOD(SIN(Seed*0.5917+C7053*39.3468+D7053*11.135)*24634.6345,1),"")</f>
        <v/>
      </c>
      <c r="H7053">
        <f>IF(B7053,SQRT(-2*LN(F7053))*COS(2*PI()*G7053),"")</f>
        <v/>
      </c>
      <c r="I7053">
        <f>IF(B7053,IF(D7053=0,H7053,Rho*I7052+SQRT(1-Rho^2)*H7053),"")</f>
        <v/>
      </c>
      <c r="J7053">
        <f>IF(B7053,IF(Dist="Normal",DistA+DistB*I7053,DistA+(DistB-DistA)*NORMSDIST(I7053)),"")</f>
        <v/>
      </c>
      <c r="K7053">
        <f>IF(B7053,INDEX(MineScale,C7053),"")</f>
        <v/>
      </c>
      <c r="L7053">
        <f>IF(B7053,INDEX(Dow,1,WEEKDAY(E7053,2)),"")</f>
        <v/>
      </c>
      <c r="M7053">
        <f>IF(B7053,(1+Trend)^D7053,"")</f>
        <v/>
      </c>
      <c r="N7053">
        <f>IF(B7053,EXP(SUMPRODUCT(LN(1+(EvEff-1)*INDEX(Affected,0,C7053)*EXP(-((E7053-EvCenter)^2)/(2*EvSigma^2))))),"")</f>
        <v/>
      </c>
      <c r="O7053">
        <f>IF(B7053,ROUND(MAX(0,J7053*K7053*L7053*M7053*N7053),2),"")</f>
        <v/>
      </c>
    </row>
    <row r="7054">
      <c r="A7054" t="n">
        <v>7053</v>
      </c>
      <c r="B7054">
        <f>A7054&lt;=MineCount*Days</f>
        <v/>
      </c>
      <c r="C7054">
        <f>IF(B7054,INT((A7054-1)/Days)+1,"")</f>
        <v/>
      </c>
      <c r="D7054">
        <f>IF(B7054,MOD(A7054-1,Days),"")</f>
        <v/>
      </c>
      <c r="E7054" s="16">
        <f>IF(B7054,StartDate+D7054,"")</f>
        <v/>
      </c>
      <c r="F7054">
        <f>IF(B7054,MAX(MOD(SIN(Seed*0.1373+C7054*12.9898+D7054*78.233)*43758.5453,1),1E-9),"")</f>
        <v/>
      </c>
      <c r="G7054">
        <f>IF(B7054,MOD(SIN(Seed*0.5917+C7054*39.3468+D7054*11.135)*24634.6345,1),"")</f>
        <v/>
      </c>
      <c r="H7054">
        <f>IF(B7054,SQRT(-2*LN(F7054))*COS(2*PI()*G7054),"")</f>
        <v/>
      </c>
      <c r="I7054">
        <f>IF(B7054,IF(D7054=0,H7054,Rho*I7053+SQRT(1-Rho^2)*H7054),"")</f>
        <v/>
      </c>
      <c r="J7054">
        <f>IF(B7054,IF(Dist="Normal",DistA+DistB*I7054,DistA+(DistB-DistA)*NORMSDIST(I7054)),"")</f>
        <v/>
      </c>
      <c r="K7054">
        <f>IF(B7054,INDEX(MineScale,C7054),"")</f>
        <v/>
      </c>
      <c r="L7054">
        <f>IF(B7054,INDEX(Dow,1,WEEKDAY(E7054,2)),"")</f>
        <v/>
      </c>
      <c r="M7054">
        <f>IF(B7054,(1+Trend)^D7054,"")</f>
        <v/>
      </c>
      <c r="N7054">
        <f>IF(B7054,EXP(SUMPRODUCT(LN(1+(EvEff-1)*INDEX(Affected,0,C7054)*EXP(-((E7054-EvCenter)^2)/(2*EvSigma^2))))),"")</f>
        <v/>
      </c>
      <c r="O7054">
        <f>IF(B7054,ROUND(MAX(0,J7054*K7054*L7054*M7054*N7054),2),"")</f>
        <v/>
      </c>
    </row>
    <row r="7055">
      <c r="A7055" t="n">
        <v>7054</v>
      </c>
      <c r="B7055">
        <f>A7055&lt;=MineCount*Days</f>
        <v/>
      </c>
      <c r="C7055">
        <f>IF(B7055,INT((A7055-1)/Days)+1,"")</f>
        <v/>
      </c>
      <c r="D7055">
        <f>IF(B7055,MOD(A7055-1,Days),"")</f>
        <v/>
      </c>
      <c r="E7055" s="16">
        <f>IF(B7055,StartDate+D7055,"")</f>
        <v/>
      </c>
      <c r="F7055">
        <f>IF(B7055,MAX(MOD(SIN(Seed*0.1373+C7055*12.9898+D7055*78.233)*43758.5453,1),1E-9),"")</f>
        <v/>
      </c>
      <c r="G7055">
        <f>IF(B7055,MOD(SIN(Seed*0.5917+C7055*39.3468+D7055*11.135)*24634.6345,1),"")</f>
        <v/>
      </c>
      <c r="H7055">
        <f>IF(B7055,SQRT(-2*LN(F7055))*COS(2*PI()*G7055),"")</f>
        <v/>
      </c>
      <c r="I7055">
        <f>IF(B7055,IF(D7055=0,H7055,Rho*I7054+SQRT(1-Rho^2)*H7055),"")</f>
        <v/>
      </c>
      <c r="J7055">
        <f>IF(B7055,IF(Dist="Normal",DistA+DistB*I7055,DistA+(DistB-DistA)*NORMSDIST(I7055)),"")</f>
        <v/>
      </c>
      <c r="K7055">
        <f>IF(B7055,INDEX(MineScale,C7055),"")</f>
        <v/>
      </c>
      <c r="L7055">
        <f>IF(B7055,INDEX(Dow,1,WEEKDAY(E7055,2)),"")</f>
        <v/>
      </c>
      <c r="M7055">
        <f>IF(B7055,(1+Trend)^D7055,"")</f>
        <v/>
      </c>
      <c r="N7055">
        <f>IF(B7055,EXP(SUMPRODUCT(LN(1+(EvEff-1)*INDEX(Affected,0,C7055)*EXP(-((E7055-EvCenter)^2)/(2*EvSigma^2))))),"")</f>
        <v/>
      </c>
      <c r="O7055">
        <f>IF(B7055,ROUND(MAX(0,J7055*K7055*L7055*M7055*N7055),2),"")</f>
        <v/>
      </c>
    </row>
    <row r="7056">
      <c r="A7056" t="n">
        <v>7055</v>
      </c>
      <c r="B7056">
        <f>A7056&lt;=MineCount*Days</f>
        <v/>
      </c>
      <c r="C7056">
        <f>IF(B7056,INT((A7056-1)/Days)+1,"")</f>
        <v/>
      </c>
      <c r="D7056">
        <f>IF(B7056,MOD(A7056-1,Days),"")</f>
        <v/>
      </c>
      <c r="E7056" s="16">
        <f>IF(B7056,StartDate+D7056,"")</f>
        <v/>
      </c>
      <c r="F7056">
        <f>IF(B7056,MAX(MOD(SIN(Seed*0.1373+C7056*12.9898+D7056*78.233)*43758.5453,1),1E-9),"")</f>
        <v/>
      </c>
      <c r="G7056">
        <f>IF(B7056,MOD(SIN(Seed*0.5917+C7056*39.3468+D7056*11.135)*24634.6345,1),"")</f>
        <v/>
      </c>
      <c r="H7056">
        <f>IF(B7056,SQRT(-2*LN(F7056))*COS(2*PI()*G7056),"")</f>
        <v/>
      </c>
      <c r="I7056">
        <f>IF(B7056,IF(D7056=0,H7056,Rho*I7055+SQRT(1-Rho^2)*H7056),"")</f>
        <v/>
      </c>
      <c r="J7056">
        <f>IF(B7056,IF(Dist="Normal",DistA+DistB*I7056,DistA+(DistB-DistA)*NORMSDIST(I7056)),"")</f>
        <v/>
      </c>
      <c r="K7056">
        <f>IF(B7056,INDEX(MineScale,C7056),"")</f>
        <v/>
      </c>
      <c r="L7056">
        <f>IF(B7056,INDEX(Dow,1,WEEKDAY(E7056,2)),"")</f>
        <v/>
      </c>
      <c r="M7056">
        <f>IF(B7056,(1+Trend)^D7056,"")</f>
        <v/>
      </c>
      <c r="N7056">
        <f>IF(B7056,EXP(SUMPRODUCT(LN(1+(EvEff-1)*INDEX(Affected,0,C7056)*EXP(-((E7056-EvCenter)^2)/(2*EvSigma^2))))),"")</f>
        <v/>
      </c>
      <c r="O7056">
        <f>IF(B7056,ROUND(MAX(0,J7056*K7056*L7056*M7056*N7056),2),"")</f>
        <v/>
      </c>
    </row>
    <row r="7057">
      <c r="A7057" t="n">
        <v>7056</v>
      </c>
      <c r="B7057">
        <f>A7057&lt;=MineCount*Days</f>
        <v/>
      </c>
      <c r="C7057">
        <f>IF(B7057,INT((A7057-1)/Days)+1,"")</f>
        <v/>
      </c>
      <c r="D7057">
        <f>IF(B7057,MOD(A7057-1,Days),"")</f>
        <v/>
      </c>
      <c r="E7057" s="16">
        <f>IF(B7057,StartDate+D7057,"")</f>
        <v/>
      </c>
      <c r="F7057">
        <f>IF(B7057,MAX(MOD(SIN(Seed*0.1373+C7057*12.9898+D7057*78.233)*43758.5453,1),1E-9),"")</f>
        <v/>
      </c>
      <c r="G7057">
        <f>IF(B7057,MOD(SIN(Seed*0.5917+C7057*39.3468+D7057*11.135)*24634.6345,1),"")</f>
        <v/>
      </c>
      <c r="H7057">
        <f>IF(B7057,SQRT(-2*LN(F7057))*COS(2*PI()*G7057),"")</f>
        <v/>
      </c>
      <c r="I7057">
        <f>IF(B7057,IF(D7057=0,H7057,Rho*I7056+SQRT(1-Rho^2)*H7057),"")</f>
        <v/>
      </c>
      <c r="J7057">
        <f>IF(B7057,IF(Dist="Normal",DistA+DistB*I7057,DistA+(DistB-DistA)*NORMSDIST(I7057)),"")</f>
        <v/>
      </c>
      <c r="K7057">
        <f>IF(B7057,INDEX(MineScale,C7057),"")</f>
        <v/>
      </c>
      <c r="L7057">
        <f>IF(B7057,INDEX(Dow,1,WEEKDAY(E7057,2)),"")</f>
        <v/>
      </c>
      <c r="M7057">
        <f>IF(B7057,(1+Trend)^D7057,"")</f>
        <v/>
      </c>
      <c r="N7057">
        <f>IF(B7057,EXP(SUMPRODUCT(LN(1+(EvEff-1)*INDEX(Affected,0,C7057)*EXP(-((E7057-EvCenter)^2)/(2*EvSigma^2))))),"")</f>
        <v/>
      </c>
      <c r="O7057">
        <f>IF(B7057,ROUND(MAX(0,J7057*K7057*L7057*M7057*N7057),2),"")</f>
        <v/>
      </c>
    </row>
    <row r="7058">
      <c r="A7058" t="n">
        <v>7057</v>
      </c>
      <c r="B7058">
        <f>A7058&lt;=MineCount*Days</f>
        <v/>
      </c>
      <c r="C7058">
        <f>IF(B7058,INT((A7058-1)/Days)+1,"")</f>
        <v/>
      </c>
      <c r="D7058">
        <f>IF(B7058,MOD(A7058-1,Days),"")</f>
        <v/>
      </c>
      <c r="E7058" s="16">
        <f>IF(B7058,StartDate+D7058,"")</f>
        <v/>
      </c>
      <c r="F7058">
        <f>IF(B7058,MAX(MOD(SIN(Seed*0.1373+C7058*12.9898+D7058*78.233)*43758.5453,1),1E-9),"")</f>
        <v/>
      </c>
      <c r="G7058">
        <f>IF(B7058,MOD(SIN(Seed*0.5917+C7058*39.3468+D7058*11.135)*24634.6345,1),"")</f>
        <v/>
      </c>
      <c r="H7058">
        <f>IF(B7058,SQRT(-2*LN(F7058))*COS(2*PI()*G7058),"")</f>
        <v/>
      </c>
      <c r="I7058">
        <f>IF(B7058,IF(D7058=0,H7058,Rho*I7057+SQRT(1-Rho^2)*H7058),"")</f>
        <v/>
      </c>
      <c r="J7058">
        <f>IF(B7058,IF(Dist="Normal",DistA+DistB*I7058,DistA+(DistB-DistA)*NORMSDIST(I7058)),"")</f>
        <v/>
      </c>
      <c r="K7058">
        <f>IF(B7058,INDEX(MineScale,C7058),"")</f>
        <v/>
      </c>
      <c r="L7058">
        <f>IF(B7058,INDEX(Dow,1,WEEKDAY(E7058,2)),"")</f>
        <v/>
      </c>
      <c r="M7058">
        <f>IF(B7058,(1+Trend)^D7058,"")</f>
        <v/>
      </c>
      <c r="N7058">
        <f>IF(B7058,EXP(SUMPRODUCT(LN(1+(EvEff-1)*INDEX(Affected,0,C7058)*EXP(-((E7058-EvCenter)^2)/(2*EvSigma^2))))),"")</f>
        <v/>
      </c>
      <c r="O7058">
        <f>IF(B7058,ROUND(MAX(0,J7058*K7058*L7058*M7058*N7058),2),"")</f>
        <v/>
      </c>
    </row>
    <row r="7059">
      <c r="A7059" t="n">
        <v>7058</v>
      </c>
      <c r="B7059">
        <f>A7059&lt;=MineCount*Days</f>
        <v/>
      </c>
      <c r="C7059">
        <f>IF(B7059,INT((A7059-1)/Days)+1,"")</f>
        <v/>
      </c>
      <c r="D7059">
        <f>IF(B7059,MOD(A7059-1,Days),"")</f>
        <v/>
      </c>
      <c r="E7059" s="16">
        <f>IF(B7059,StartDate+D7059,"")</f>
        <v/>
      </c>
      <c r="F7059">
        <f>IF(B7059,MAX(MOD(SIN(Seed*0.1373+C7059*12.9898+D7059*78.233)*43758.5453,1),1E-9),"")</f>
        <v/>
      </c>
      <c r="G7059">
        <f>IF(B7059,MOD(SIN(Seed*0.5917+C7059*39.3468+D7059*11.135)*24634.6345,1),"")</f>
        <v/>
      </c>
      <c r="H7059">
        <f>IF(B7059,SQRT(-2*LN(F7059))*COS(2*PI()*G7059),"")</f>
        <v/>
      </c>
      <c r="I7059">
        <f>IF(B7059,IF(D7059=0,H7059,Rho*I7058+SQRT(1-Rho^2)*H7059),"")</f>
        <v/>
      </c>
      <c r="J7059">
        <f>IF(B7059,IF(Dist="Normal",DistA+DistB*I7059,DistA+(DistB-DistA)*NORMSDIST(I7059)),"")</f>
        <v/>
      </c>
      <c r="K7059">
        <f>IF(B7059,INDEX(MineScale,C7059),"")</f>
        <v/>
      </c>
      <c r="L7059">
        <f>IF(B7059,INDEX(Dow,1,WEEKDAY(E7059,2)),"")</f>
        <v/>
      </c>
      <c r="M7059">
        <f>IF(B7059,(1+Trend)^D7059,"")</f>
        <v/>
      </c>
      <c r="N7059">
        <f>IF(B7059,EXP(SUMPRODUCT(LN(1+(EvEff-1)*INDEX(Affected,0,C7059)*EXP(-((E7059-EvCenter)^2)/(2*EvSigma^2))))),"")</f>
        <v/>
      </c>
      <c r="O7059">
        <f>IF(B7059,ROUND(MAX(0,J7059*K7059*L7059*M7059*N7059),2),"")</f>
        <v/>
      </c>
    </row>
    <row r="7060">
      <c r="A7060" t="n">
        <v>7059</v>
      </c>
      <c r="B7060">
        <f>A7060&lt;=MineCount*Days</f>
        <v/>
      </c>
      <c r="C7060">
        <f>IF(B7060,INT((A7060-1)/Days)+1,"")</f>
        <v/>
      </c>
      <c r="D7060">
        <f>IF(B7060,MOD(A7060-1,Days),"")</f>
        <v/>
      </c>
      <c r="E7060" s="16">
        <f>IF(B7060,StartDate+D7060,"")</f>
        <v/>
      </c>
      <c r="F7060">
        <f>IF(B7060,MAX(MOD(SIN(Seed*0.1373+C7060*12.9898+D7060*78.233)*43758.5453,1),1E-9),"")</f>
        <v/>
      </c>
      <c r="G7060">
        <f>IF(B7060,MOD(SIN(Seed*0.5917+C7060*39.3468+D7060*11.135)*24634.6345,1),"")</f>
        <v/>
      </c>
      <c r="H7060">
        <f>IF(B7060,SQRT(-2*LN(F7060))*COS(2*PI()*G7060),"")</f>
        <v/>
      </c>
      <c r="I7060">
        <f>IF(B7060,IF(D7060=0,H7060,Rho*I7059+SQRT(1-Rho^2)*H7060),"")</f>
        <v/>
      </c>
      <c r="J7060">
        <f>IF(B7060,IF(Dist="Normal",DistA+DistB*I7060,DistA+(DistB-DistA)*NORMSDIST(I7060)),"")</f>
        <v/>
      </c>
      <c r="K7060">
        <f>IF(B7060,INDEX(MineScale,C7060),"")</f>
        <v/>
      </c>
      <c r="L7060">
        <f>IF(B7060,INDEX(Dow,1,WEEKDAY(E7060,2)),"")</f>
        <v/>
      </c>
      <c r="M7060">
        <f>IF(B7060,(1+Trend)^D7060,"")</f>
        <v/>
      </c>
      <c r="N7060">
        <f>IF(B7060,EXP(SUMPRODUCT(LN(1+(EvEff-1)*INDEX(Affected,0,C7060)*EXP(-((E7060-EvCenter)^2)/(2*EvSigma^2))))),"")</f>
        <v/>
      </c>
      <c r="O7060">
        <f>IF(B7060,ROUND(MAX(0,J7060*K7060*L7060*M7060*N7060),2),"")</f>
        <v/>
      </c>
    </row>
    <row r="7061">
      <c r="A7061" t="n">
        <v>7060</v>
      </c>
      <c r="B7061">
        <f>A7061&lt;=MineCount*Days</f>
        <v/>
      </c>
      <c r="C7061">
        <f>IF(B7061,INT((A7061-1)/Days)+1,"")</f>
        <v/>
      </c>
      <c r="D7061">
        <f>IF(B7061,MOD(A7061-1,Days),"")</f>
        <v/>
      </c>
      <c r="E7061" s="16">
        <f>IF(B7061,StartDate+D7061,"")</f>
        <v/>
      </c>
      <c r="F7061">
        <f>IF(B7061,MAX(MOD(SIN(Seed*0.1373+C7061*12.9898+D7061*78.233)*43758.5453,1),1E-9),"")</f>
        <v/>
      </c>
      <c r="G7061">
        <f>IF(B7061,MOD(SIN(Seed*0.5917+C7061*39.3468+D7061*11.135)*24634.6345,1),"")</f>
        <v/>
      </c>
      <c r="H7061">
        <f>IF(B7061,SQRT(-2*LN(F7061))*COS(2*PI()*G7061),"")</f>
        <v/>
      </c>
      <c r="I7061">
        <f>IF(B7061,IF(D7061=0,H7061,Rho*I7060+SQRT(1-Rho^2)*H7061),"")</f>
        <v/>
      </c>
      <c r="J7061">
        <f>IF(B7061,IF(Dist="Normal",DistA+DistB*I7061,DistA+(DistB-DistA)*NORMSDIST(I7061)),"")</f>
        <v/>
      </c>
      <c r="K7061">
        <f>IF(B7061,INDEX(MineScale,C7061),"")</f>
        <v/>
      </c>
      <c r="L7061">
        <f>IF(B7061,INDEX(Dow,1,WEEKDAY(E7061,2)),"")</f>
        <v/>
      </c>
      <c r="M7061">
        <f>IF(B7061,(1+Trend)^D7061,"")</f>
        <v/>
      </c>
      <c r="N7061">
        <f>IF(B7061,EXP(SUMPRODUCT(LN(1+(EvEff-1)*INDEX(Affected,0,C7061)*EXP(-((E7061-EvCenter)^2)/(2*EvSigma^2))))),"")</f>
        <v/>
      </c>
      <c r="O7061">
        <f>IF(B7061,ROUND(MAX(0,J7061*K7061*L7061*M7061*N7061),2),"")</f>
        <v/>
      </c>
    </row>
    <row r="7062">
      <c r="A7062" t="n">
        <v>7061</v>
      </c>
      <c r="B7062">
        <f>A7062&lt;=MineCount*Days</f>
        <v/>
      </c>
      <c r="C7062">
        <f>IF(B7062,INT((A7062-1)/Days)+1,"")</f>
        <v/>
      </c>
      <c r="D7062">
        <f>IF(B7062,MOD(A7062-1,Days),"")</f>
        <v/>
      </c>
      <c r="E7062" s="16">
        <f>IF(B7062,StartDate+D7062,"")</f>
        <v/>
      </c>
      <c r="F7062">
        <f>IF(B7062,MAX(MOD(SIN(Seed*0.1373+C7062*12.9898+D7062*78.233)*43758.5453,1),1E-9),"")</f>
        <v/>
      </c>
      <c r="G7062">
        <f>IF(B7062,MOD(SIN(Seed*0.5917+C7062*39.3468+D7062*11.135)*24634.6345,1),"")</f>
        <v/>
      </c>
      <c r="H7062">
        <f>IF(B7062,SQRT(-2*LN(F7062))*COS(2*PI()*G7062),"")</f>
        <v/>
      </c>
      <c r="I7062">
        <f>IF(B7062,IF(D7062=0,H7062,Rho*I7061+SQRT(1-Rho^2)*H7062),"")</f>
        <v/>
      </c>
      <c r="J7062">
        <f>IF(B7062,IF(Dist="Normal",DistA+DistB*I7062,DistA+(DistB-DistA)*NORMSDIST(I7062)),"")</f>
        <v/>
      </c>
      <c r="K7062">
        <f>IF(B7062,INDEX(MineScale,C7062),"")</f>
        <v/>
      </c>
      <c r="L7062">
        <f>IF(B7062,INDEX(Dow,1,WEEKDAY(E7062,2)),"")</f>
        <v/>
      </c>
      <c r="M7062">
        <f>IF(B7062,(1+Trend)^D7062,"")</f>
        <v/>
      </c>
      <c r="N7062">
        <f>IF(B7062,EXP(SUMPRODUCT(LN(1+(EvEff-1)*INDEX(Affected,0,C7062)*EXP(-((E7062-EvCenter)^2)/(2*EvSigma^2))))),"")</f>
        <v/>
      </c>
      <c r="O7062">
        <f>IF(B7062,ROUND(MAX(0,J7062*K7062*L7062*M7062*N7062),2),"")</f>
        <v/>
      </c>
    </row>
    <row r="7063">
      <c r="A7063" t="n">
        <v>7062</v>
      </c>
      <c r="B7063">
        <f>A7063&lt;=MineCount*Days</f>
        <v/>
      </c>
      <c r="C7063">
        <f>IF(B7063,INT((A7063-1)/Days)+1,"")</f>
        <v/>
      </c>
      <c r="D7063">
        <f>IF(B7063,MOD(A7063-1,Days),"")</f>
        <v/>
      </c>
      <c r="E7063" s="16">
        <f>IF(B7063,StartDate+D7063,"")</f>
        <v/>
      </c>
      <c r="F7063">
        <f>IF(B7063,MAX(MOD(SIN(Seed*0.1373+C7063*12.9898+D7063*78.233)*43758.5453,1),1E-9),"")</f>
        <v/>
      </c>
      <c r="G7063">
        <f>IF(B7063,MOD(SIN(Seed*0.5917+C7063*39.3468+D7063*11.135)*24634.6345,1),"")</f>
        <v/>
      </c>
      <c r="H7063">
        <f>IF(B7063,SQRT(-2*LN(F7063))*COS(2*PI()*G7063),"")</f>
        <v/>
      </c>
      <c r="I7063">
        <f>IF(B7063,IF(D7063=0,H7063,Rho*I7062+SQRT(1-Rho^2)*H7063),"")</f>
        <v/>
      </c>
      <c r="J7063">
        <f>IF(B7063,IF(Dist="Normal",DistA+DistB*I7063,DistA+(DistB-DistA)*NORMSDIST(I7063)),"")</f>
        <v/>
      </c>
      <c r="K7063">
        <f>IF(B7063,INDEX(MineScale,C7063),"")</f>
        <v/>
      </c>
      <c r="L7063">
        <f>IF(B7063,INDEX(Dow,1,WEEKDAY(E7063,2)),"")</f>
        <v/>
      </c>
      <c r="M7063">
        <f>IF(B7063,(1+Trend)^D7063,"")</f>
        <v/>
      </c>
      <c r="N7063">
        <f>IF(B7063,EXP(SUMPRODUCT(LN(1+(EvEff-1)*INDEX(Affected,0,C7063)*EXP(-((E7063-EvCenter)^2)/(2*EvSigma^2))))),"")</f>
        <v/>
      </c>
      <c r="O7063">
        <f>IF(B7063,ROUND(MAX(0,J7063*K7063*L7063*M7063*N7063),2),"")</f>
        <v/>
      </c>
    </row>
    <row r="7064">
      <c r="A7064" t="n">
        <v>7063</v>
      </c>
      <c r="B7064">
        <f>A7064&lt;=MineCount*Days</f>
        <v/>
      </c>
      <c r="C7064">
        <f>IF(B7064,INT((A7064-1)/Days)+1,"")</f>
        <v/>
      </c>
      <c r="D7064">
        <f>IF(B7064,MOD(A7064-1,Days),"")</f>
        <v/>
      </c>
      <c r="E7064" s="16">
        <f>IF(B7064,StartDate+D7064,"")</f>
        <v/>
      </c>
      <c r="F7064">
        <f>IF(B7064,MAX(MOD(SIN(Seed*0.1373+C7064*12.9898+D7064*78.233)*43758.5453,1),1E-9),"")</f>
        <v/>
      </c>
      <c r="G7064">
        <f>IF(B7064,MOD(SIN(Seed*0.5917+C7064*39.3468+D7064*11.135)*24634.6345,1),"")</f>
        <v/>
      </c>
      <c r="H7064">
        <f>IF(B7064,SQRT(-2*LN(F7064))*COS(2*PI()*G7064),"")</f>
        <v/>
      </c>
      <c r="I7064">
        <f>IF(B7064,IF(D7064=0,H7064,Rho*I7063+SQRT(1-Rho^2)*H7064),"")</f>
        <v/>
      </c>
      <c r="J7064">
        <f>IF(B7064,IF(Dist="Normal",DistA+DistB*I7064,DistA+(DistB-DistA)*NORMSDIST(I7064)),"")</f>
        <v/>
      </c>
      <c r="K7064">
        <f>IF(B7064,INDEX(MineScale,C7064),"")</f>
        <v/>
      </c>
      <c r="L7064">
        <f>IF(B7064,INDEX(Dow,1,WEEKDAY(E7064,2)),"")</f>
        <v/>
      </c>
      <c r="M7064">
        <f>IF(B7064,(1+Trend)^D7064,"")</f>
        <v/>
      </c>
      <c r="N7064">
        <f>IF(B7064,EXP(SUMPRODUCT(LN(1+(EvEff-1)*INDEX(Affected,0,C7064)*EXP(-((E7064-EvCenter)^2)/(2*EvSigma^2))))),"")</f>
        <v/>
      </c>
      <c r="O7064">
        <f>IF(B7064,ROUND(MAX(0,J7064*K7064*L7064*M7064*N7064),2),"")</f>
        <v/>
      </c>
    </row>
    <row r="7065">
      <c r="A7065" t="n">
        <v>7064</v>
      </c>
      <c r="B7065">
        <f>A7065&lt;=MineCount*Days</f>
        <v/>
      </c>
      <c r="C7065">
        <f>IF(B7065,INT((A7065-1)/Days)+1,"")</f>
        <v/>
      </c>
      <c r="D7065">
        <f>IF(B7065,MOD(A7065-1,Days),"")</f>
        <v/>
      </c>
      <c r="E7065" s="16">
        <f>IF(B7065,StartDate+D7065,"")</f>
        <v/>
      </c>
      <c r="F7065">
        <f>IF(B7065,MAX(MOD(SIN(Seed*0.1373+C7065*12.9898+D7065*78.233)*43758.5453,1),1E-9),"")</f>
        <v/>
      </c>
      <c r="G7065">
        <f>IF(B7065,MOD(SIN(Seed*0.5917+C7065*39.3468+D7065*11.135)*24634.6345,1),"")</f>
        <v/>
      </c>
      <c r="H7065">
        <f>IF(B7065,SQRT(-2*LN(F7065))*COS(2*PI()*G7065),"")</f>
        <v/>
      </c>
      <c r="I7065">
        <f>IF(B7065,IF(D7065=0,H7065,Rho*I7064+SQRT(1-Rho^2)*H7065),"")</f>
        <v/>
      </c>
      <c r="J7065">
        <f>IF(B7065,IF(Dist="Normal",DistA+DistB*I7065,DistA+(DistB-DistA)*NORMSDIST(I7065)),"")</f>
        <v/>
      </c>
      <c r="K7065">
        <f>IF(B7065,INDEX(MineScale,C7065),"")</f>
        <v/>
      </c>
      <c r="L7065">
        <f>IF(B7065,INDEX(Dow,1,WEEKDAY(E7065,2)),"")</f>
        <v/>
      </c>
      <c r="M7065">
        <f>IF(B7065,(1+Trend)^D7065,"")</f>
        <v/>
      </c>
      <c r="N7065">
        <f>IF(B7065,EXP(SUMPRODUCT(LN(1+(EvEff-1)*INDEX(Affected,0,C7065)*EXP(-((E7065-EvCenter)^2)/(2*EvSigma^2))))),"")</f>
        <v/>
      </c>
      <c r="O7065">
        <f>IF(B7065,ROUND(MAX(0,J7065*K7065*L7065*M7065*N7065),2),"")</f>
        <v/>
      </c>
    </row>
    <row r="7066">
      <c r="A7066" t="n">
        <v>7065</v>
      </c>
      <c r="B7066">
        <f>A7066&lt;=MineCount*Days</f>
        <v/>
      </c>
      <c r="C7066">
        <f>IF(B7066,INT((A7066-1)/Days)+1,"")</f>
        <v/>
      </c>
      <c r="D7066">
        <f>IF(B7066,MOD(A7066-1,Days),"")</f>
        <v/>
      </c>
      <c r="E7066" s="16">
        <f>IF(B7066,StartDate+D7066,"")</f>
        <v/>
      </c>
      <c r="F7066">
        <f>IF(B7066,MAX(MOD(SIN(Seed*0.1373+C7066*12.9898+D7066*78.233)*43758.5453,1),1E-9),"")</f>
        <v/>
      </c>
      <c r="G7066">
        <f>IF(B7066,MOD(SIN(Seed*0.5917+C7066*39.3468+D7066*11.135)*24634.6345,1),"")</f>
        <v/>
      </c>
      <c r="H7066">
        <f>IF(B7066,SQRT(-2*LN(F7066))*COS(2*PI()*G7066),"")</f>
        <v/>
      </c>
      <c r="I7066">
        <f>IF(B7066,IF(D7066=0,H7066,Rho*I7065+SQRT(1-Rho^2)*H7066),"")</f>
        <v/>
      </c>
      <c r="J7066">
        <f>IF(B7066,IF(Dist="Normal",DistA+DistB*I7066,DistA+(DistB-DistA)*NORMSDIST(I7066)),"")</f>
        <v/>
      </c>
      <c r="K7066">
        <f>IF(B7066,INDEX(MineScale,C7066),"")</f>
        <v/>
      </c>
      <c r="L7066">
        <f>IF(B7066,INDEX(Dow,1,WEEKDAY(E7066,2)),"")</f>
        <v/>
      </c>
      <c r="M7066">
        <f>IF(B7066,(1+Trend)^D7066,"")</f>
        <v/>
      </c>
      <c r="N7066">
        <f>IF(B7066,EXP(SUMPRODUCT(LN(1+(EvEff-1)*INDEX(Affected,0,C7066)*EXP(-((E7066-EvCenter)^2)/(2*EvSigma^2))))),"")</f>
        <v/>
      </c>
      <c r="O7066">
        <f>IF(B7066,ROUND(MAX(0,J7066*K7066*L7066*M7066*N7066),2),"")</f>
        <v/>
      </c>
    </row>
    <row r="7067">
      <c r="A7067" t="n">
        <v>7066</v>
      </c>
      <c r="B7067">
        <f>A7067&lt;=MineCount*Days</f>
        <v/>
      </c>
      <c r="C7067">
        <f>IF(B7067,INT((A7067-1)/Days)+1,"")</f>
        <v/>
      </c>
      <c r="D7067">
        <f>IF(B7067,MOD(A7067-1,Days),"")</f>
        <v/>
      </c>
      <c r="E7067" s="16">
        <f>IF(B7067,StartDate+D7067,"")</f>
        <v/>
      </c>
      <c r="F7067">
        <f>IF(B7067,MAX(MOD(SIN(Seed*0.1373+C7067*12.9898+D7067*78.233)*43758.5453,1),1E-9),"")</f>
        <v/>
      </c>
      <c r="G7067">
        <f>IF(B7067,MOD(SIN(Seed*0.5917+C7067*39.3468+D7067*11.135)*24634.6345,1),"")</f>
        <v/>
      </c>
      <c r="H7067">
        <f>IF(B7067,SQRT(-2*LN(F7067))*COS(2*PI()*G7067),"")</f>
        <v/>
      </c>
      <c r="I7067">
        <f>IF(B7067,IF(D7067=0,H7067,Rho*I7066+SQRT(1-Rho^2)*H7067),"")</f>
        <v/>
      </c>
      <c r="J7067">
        <f>IF(B7067,IF(Dist="Normal",DistA+DistB*I7067,DistA+(DistB-DistA)*NORMSDIST(I7067)),"")</f>
        <v/>
      </c>
      <c r="K7067">
        <f>IF(B7067,INDEX(MineScale,C7067),"")</f>
        <v/>
      </c>
      <c r="L7067">
        <f>IF(B7067,INDEX(Dow,1,WEEKDAY(E7067,2)),"")</f>
        <v/>
      </c>
      <c r="M7067">
        <f>IF(B7067,(1+Trend)^D7067,"")</f>
        <v/>
      </c>
      <c r="N7067">
        <f>IF(B7067,EXP(SUMPRODUCT(LN(1+(EvEff-1)*INDEX(Affected,0,C7067)*EXP(-((E7067-EvCenter)^2)/(2*EvSigma^2))))),"")</f>
        <v/>
      </c>
      <c r="O7067">
        <f>IF(B7067,ROUND(MAX(0,J7067*K7067*L7067*M7067*N7067),2),"")</f>
        <v/>
      </c>
    </row>
    <row r="7068">
      <c r="A7068" t="n">
        <v>7067</v>
      </c>
      <c r="B7068">
        <f>A7068&lt;=MineCount*Days</f>
        <v/>
      </c>
      <c r="C7068">
        <f>IF(B7068,INT((A7068-1)/Days)+1,"")</f>
        <v/>
      </c>
      <c r="D7068">
        <f>IF(B7068,MOD(A7068-1,Days),"")</f>
        <v/>
      </c>
      <c r="E7068" s="16">
        <f>IF(B7068,StartDate+D7068,"")</f>
        <v/>
      </c>
      <c r="F7068">
        <f>IF(B7068,MAX(MOD(SIN(Seed*0.1373+C7068*12.9898+D7068*78.233)*43758.5453,1),1E-9),"")</f>
        <v/>
      </c>
      <c r="G7068">
        <f>IF(B7068,MOD(SIN(Seed*0.5917+C7068*39.3468+D7068*11.135)*24634.6345,1),"")</f>
        <v/>
      </c>
      <c r="H7068">
        <f>IF(B7068,SQRT(-2*LN(F7068))*COS(2*PI()*G7068),"")</f>
        <v/>
      </c>
      <c r="I7068">
        <f>IF(B7068,IF(D7068=0,H7068,Rho*I7067+SQRT(1-Rho^2)*H7068),"")</f>
        <v/>
      </c>
      <c r="J7068">
        <f>IF(B7068,IF(Dist="Normal",DistA+DistB*I7068,DistA+(DistB-DistA)*NORMSDIST(I7068)),"")</f>
        <v/>
      </c>
      <c r="K7068">
        <f>IF(B7068,INDEX(MineScale,C7068),"")</f>
        <v/>
      </c>
      <c r="L7068">
        <f>IF(B7068,INDEX(Dow,1,WEEKDAY(E7068,2)),"")</f>
        <v/>
      </c>
      <c r="M7068">
        <f>IF(B7068,(1+Trend)^D7068,"")</f>
        <v/>
      </c>
      <c r="N7068">
        <f>IF(B7068,EXP(SUMPRODUCT(LN(1+(EvEff-1)*INDEX(Affected,0,C7068)*EXP(-((E7068-EvCenter)^2)/(2*EvSigma^2))))),"")</f>
        <v/>
      </c>
      <c r="O7068">
        <f>IF(B7068,ROUND(MAX(0,J7068*K7068*L7068*M7068*N7068),2),"")</f>
        <v/>
      </c>
    </row>
    <row r="7069">
      <c r="A7069" t="n">
        <v>7068</v>
      </c>
      <c r="B7069">
        <f>A7069&lt;=MineCount*Days</f>
        <v/>
      </c>
      <c r="C7069">
        <f>IF(B7069,INT((A7069-1)/Days)+1,"")</f>
        <v/>
      </c>
      <c r="D7069">
        <f>IF(B7069,MOD(A7069-1,Days),"")</f>
        <v/>
      </c>
      <c r="E7069" s="16">
        <f>IF(B7069,StartDate+D7069,"")</f>
        <v/>
      </c>
      <c r="F7069">
        <f>IF(B7069,MAX(MOD(SIN(Seed*0.1373+C7069*12.9898+D7069*78.233)*43758.5453,1),1E-9),"")</f>
        <v/>
      </c>
      <c r="G7069">
        <f>IF(B7069,MOD(SIN(Seed*0.5917+C7069*39.3468+D7069*11.135)*24634.6345,1),"")</f>
        <v/>
      </c>
      <c r="H7069">
        <f>IF(B7069,SQRT(-2*LN(F7069))*COS(2*PI()*G7069),"")</f>
        <v/>
      </c>
      <c r="I7069">
        <f>IF(B7069,IF(D7069=0,H7069,Rho*I7068+SQRT(1-Rho^2)*H7069),"")</f>
        <v/>
      </c>
      <c r="J7069">
        <f>IF(B7069,IF(Dist="Normal",DistA+DistB*I7069,DistA+(DistB-DistA)*NORMSDIST(I7069)),"")</f>
        <v/>
      </c>
      <c r="K7069">
        <f>IF(B7069,INDEX(MineScale,C7069),"")</f>
        <v/>
      </c>
      <c r="L7069">
        <f>IF(B7069,INDEX(Dow,1,WEEKDAY(E7069,2)),"")</f>
        <v/>
      </c>
      <c r="M7069">
        <f>IF(B7069,(1+Trend)^D7069,"")</f>
        <v/>
      </c>
      <c r="N7069">
        <f>IF(B7069,EXP(SUMPRODUCT(LN(1+(EvEff-1)*INDEX(Affected,0,C7069)*EXP(-((E7069-EvCenter)^2)/(2*EvSigma^2))))),"")</f>
        <v/>
      </c>
      <c r="O7069">
        <f>IF(B7069,ROUND(MAX(0,J7069*K7069*L7069*M7069*N7069),2),"")</f>
        <v/>
      </c>
    </row>
    <row r="7070">
      <c r="A7070" t="n">
        <v>7069</v>
      </c>
      <c r="B7070">
        <f>A7070&lt;=MineCount*Days</f>
        <v/>
      </c>
      <c r="C7070">
        <f>IF(B7070,INT((A7070-1)/Days)+1,"")</f>
        <v/>
      </c>
      <c r="D7070">
        <f>IF(B7070,MOD(A7070-1,Days),"")</f>
        <v/>
      </c>
      <c r="E7070" s="16">
        <f>IF(B7070,StartDate+D7070,"")</f>
        <v/>
      </c>
      <c r="F7070">
        <f>IF(B7070,MAX(MOD(SIN(Seed*0.1373+C7070*12.9898+D7070*78.233)*43758.5453,1),1E-9),"")</f>
        <v/>
      </c>
      <c r="G7070">
        <f>IF(B7070,MOD(SIN(Seed*0.5917+C7070*39.3468+D7070*11.135)*24634.6345,1),"")</f>
        <v/>
      </c>
      <c r="H7070">
        <f>IF(B7070,SQRT(-2*LN(F7070))*COS(2*PI()*G7070),"")</f>
        <v/>
      </c>
      <c r="I7070">
        <f>IF(B7070,IF(D7070=0,H7070,Rho*I7069+SQRT(1-Rho^2)*H7070),"")</f>
        <v/>
      </c>
      <c r="J7070">
        <f>IF(B7070,IF(Dist="Normal",DistA+DistB*I7070,DistA+(DistB-DistA)*NORMSDIST(I7070)),"")</f>
        <v/>
      </c>
      <c r="K7070">
        <f>IF(B7070,INDEX(MineScale,C7070),"")</f>
        <v/>
      </c>
      <c r="L7070">
        <f>IF(B7070,INDEX(Dow,1,WEEKDAY(E7070,2)),"")</f>
        <v/>
      </c>
      <c r="M7070">
        <f>IF(B7070,(1+Trend)^D7070,"")</f>
        <v/>
      </c>
      <c r="N7070">
        <f>IF(B7070,EXP(SUMPRODUCT(LN(1+(EvEff-1)*INDEX(Affected,0,C7070)*EXP(-((E7070-EvCenter)^2)/(2*EvSigma^2))))),"")</f>
        <v/>
      </c>
      <c r="O7070">
        <f>IF(B7070,ROUND(MAX(0,J7070*K7070*L7070*M7070*N7070),2),"")</f>
        <v/>
      </c>
    </row>
    <row r="7071">
      <c r="A7071" t="n">
        <v>7070</v>
      </c>
      <c r="B7071">
        <f>A7071&lt;=MineCount*Days</f>
        <v/>
      </c>
      <c r="C7071">
        <f>IF(B7071,INT((A7071-1)/Days)+1,"")</f>
        <v/>
      </c>
      <c r="D7071">
        <f>IF(B7071,MOD(A7071-1,Days),"")</f>
        <v/>
      </c>
      <c r="E7071" s="16">
        <f>IF(B7071,StartDate+D7071,"")</f>
        <v/>
      </c>
      <c r="F7071">
        <f>IF(B7071,MAX(MOD(SIN(Seed*0.1373+C7071*12.9898+D7071*78.233)*43758.5453,1),1E-9),"")</f>
        <v/>
      </c>
      <c r="G7071">
        <f>IF(B7071,MOD(SIN(Seed*0.5917+C7071*39.3468+D7071*11.135)*24634.6345,1),"")</f>
        <v/>
      </c>
      <c r="H7071">
        <f>IF(B7071,SQRT(-2*LN(F7071))*COS(2*PI()*G7071),"")</f>
        <v/>
      </c>
      <c r="I7071">
        <f>IF(B7071,IF(D7071=0,H7071,Rho*I7070+SQRT(1-Rho^2)*H7071),"")</f>
        <v/>
      </c>
      <c r="J7071">
        <f>IF(B7071,IF(Dist="Normal",DistA+DistB*I7071,DistA+(DistB-DistA)*NORMSDIST(I7071)),"")</f>
        <v/>
      </c>
      <c r="K7071">
        <f>IF(B7071,INDEX(MineScale,C7071),"")</f>
        <v/>
      </c>
      <c r="L7071">
        <f>IF(B7071,INDEX(Dow,1,WEEKDAY(E7071,2)),"")</f>
        <v/>
      </c>
      <c r="M7071">
        <f>IF(B7071,(1+Trend)^D7071,"")</f>
        <v/>
      </c>
      <c r="N7071">
        <f>IF(B7071,EXP(SUMPRODUCT(LN(1+(EvEff-1)*INDEX(Affected,0,C7071)*EXP(-((E7071-EvCenter)^2)/(2*EvSigma^2))))),"")</f>
        <v/>
      </c>
      <c r="O7071">
        <f>IF(B7071,ROUND(MAX(0,J7071*K7071*L7071*M7071*N7071),2),"")</f>
        <v/>
      </c>
    </row>
    <row r="7072">
      <c r="A7072" t="n">
        <v>7071</v>
      </c>
      <c r="B7072">
        <f>A7072&lt;=MineCount*Days</f>
        <v/>
      </c>
      <c r="C7072">
        <f>IF(B7072,INT((A7072-1)/Days)+1,"")</f>
        <v/>
      </c>
      <c r="D7072">
        <f>IF(B7072,MOD(A7072-1,Days),"")</f>
        <v/>
      </c>
      <c r="E7072" s="16">
        <f>IF(B7072,StartDate+D7072,"")</f>
        <v/>
      </c>
      <c r="F7072">
        <f>IF(B7072,MAX(MOD(SIN(Seed*0.1373+C7072*12.9898+D7072*78.233)*43758.5453,1),1E-9),"")</f>
        <v/>
      </c>
      <c r="G7072">
        <f>IF(B7072,MOD(SIN(Seed*0.5917+C7072*39.3468+D7072*11.135)*24634.6345,1),"")</f>
        <v/>
      </c>
      <c r="H7072">
        <f>IF(B7072,SQRT(-2*LN(F7072))*COS(2*PI()*G7072),"")</f>
        <v/>
      </c>
      <c r="I7072">
        <f>IF(B7072,IF(D7072=0,H7072,Rho*I7071+SQRT(1-Rho^2)*H7072),"")</f>
        <v/>
      </c>
      <c r="J7072">
        <f>IF(B7072,IF(Dist="Normal",DistA+DistB*I7072,DistA+(DistB-DistA)*NORMSDIST(I7072)),"")</f>
        <v/>
      </c>
      <c r="K7072">
        <f>IF(B7072,INDEX(MineScale,C7072),"")</f>
        <v/>
      </c>
      <c r="L7072">
        <f>IF(B7072,INDEX(Dow,1,WEEKDAY(E7072,2)),"")</f>
        <v/>
      </c>
      <c r="M7072">
        <f>IF(B7072,(1+Trend)^D7072,"")</f>
        <v/>
      </c>
      <c r="N7072">
        <f>IF(B7072,EXP(SUMPRODUCT(LN(1+(EvEff-1)*INDEX(Affected,0,C7072)*EXP(-((E7072-EvCenter)^2)/(2*EvSigma^2))))),"")</f>
        <v/>
      </c>
      <c r="O7072">
        <f>IF(B7072,ROUND(MAX(0,J7072*K7072*L7072*M7072*N7072),2),"")</f>
        <v/>
      </c>
    </row>
    <row r="7073">
      <c r="A7073" t="n">
        <v>7072</v>
      </c>
      <c r="B7073">
        <f>A7073&lt;=MineCount*Days</f>
        <v/>
      </c>
      <c r="C7073">
        <f>IF(B7073,INT((A7073-1)/Days)+1,"")</f>
        <v/>
      </c>
      <c r="D7073">
        <f>IF(B7073,MOD(A7073-1,Days),"")</f>
        <v/>
      </c>
      <c r="E7073" s="16">
        <f>IF(B7073,StartDate+D7073,"")</f>
        <v/>
      </c>
      <c r="F7073">
        <f>IF(B7073,MAX(MOD(SIN(Seed*0.1373+C7073*12.9898+D7073*78.233)*43758.5453,1),1E-9),"")</f>
        <v/>
      </c>
      <c r="G7073">
        <f>IF(B7073,MOD(SIN(Seed*0.5917+C7073*39.3468+D7073*11.135)*24634.6345,1),"")</f>
        <v/>
      </c>
      <c r="H7073">
        <f>IF(B7073,SQRT(-2*LN(F7073))*COS(2*PI()*G7073),"")</f>
        <v/>
      </c>
      <c r="I7073">
        <f>IF(B7073,IF(D7073=0,H7073,Rho*I7072+SQRT(1-Rho^2)*H7073),"")</f>
        <v/>
      </c>
      <c r="J7073">
        <f>IF(B7073,IF(Dist="Normal",DistA+DistB*I7073,DistA+(DistB-DistA)*NORMSDIST(I7073)),"")</f>
        <v/>
      </c>
      <c r="K7073">
        <f>IF(B7073,INDEX(MineScale,C7073),"")</f>
        <v/>
      </c>
      <c r="L7073">
        <f>IF(B7073,INDEX(Dow,1,WEEKDAY(E7073,2)),"")</f>
        <v/>
      </c>
      <c r="M7073">
        <f>IF(B7073,(1+Trend)^D7073,"")</f>
        <v/>
      </c>
      <c r="N7073">
        <f>IF(B7073,EXP(SUMPRODUCT(LN(1+(EvEff-1)*INDEX(Affected,0,C7073)*EXP(-((E7073-EvCenter)^2)/(2*EvSigma^2))))),"")</f>
        <v/>
      </c>
      <c r="O7073">
        <f>IF(B7073,ROUND(MAX(0,J7073*K7073*L7073*M7073*N7073),2),"")</f>
        <v/>
      </c>
    </row>
    <row r="7074">
      <c r="A7074" t="n">
        <v>7073</v>
      </c>
      <c r="B7074">
        <f>A7074&lt;=MineCount*Days</f>
        <v/>
      </c>
      <c r="C7074">
        <f>IF(B7074,INT((A7074-1)/Days)+1,"")</f>
        <v/>
      </c>
      <c r="D7074">
        <f>IF(B7074,MOD(A7074-1,Days),"")</f>
        <v/>
      </c>
      <c r="E7074" s="16">
        <f>IF(B7074,StartDate+D7074,"")</f>
        <v/>
      </c>
      <c r="F7074">
        <f>IF(B7074,MAX(MOD(SIN(Seed*0.1373+C7074*12.9898+D7074*78.233)*43758.5453,1),1E-9),"")</f>
        <v/>
      </c>
      <c r="G7074">
        <f>IF(B7074,MOD(SIN(Seed*0.5917+C7074*39.3468+D7074*11.135)*24634.6345,1),"")</f>
        <v/>
      </c>
      <c r="H7074">
        <f>IF(B7074,SQRT(-2*LN(F7074))*COS(2*PI()*G7074),"")</f>
        <v/>
      </c>
      <c r="I7074">
        <f>IF(B7074,IF(D7074=0,H7074,Rho*I7073+SQRT(1-Rho^2)*H7074),"")</f>
        <v/>
      </c>
      <c r="J7074">
        <f>IF(B7074,IF(Dist="Normal",DistA+DistB*I7074,DistA+(DistB-DistA)*NORMSDIST(I7074)),"")</f>
        <v/>
      </c>
      <c r="K7074">
        <f>IF(B7074,INDEX(MineScale,C7074),"")</f>
        <v/>
      </c>
      <c r="L7074">
        <f>IF(B7074,INDEX(Dow,1,WEEKDAY(E7074,2)),"")</f>
        <v/>
      </c>
      <c r="M7074">
        <f>IF(B7074,(1+Trend)^D7074,"")</f>
        <v/>
      </c>
      <c r="N7074">
        <f>IF(B7074,EXP(SUMPRODUCT(LN(1+(EvEff-1)*INDEX(Affected,0,C7074)*EXP(-((E7074-EvCenter)^2)/(2*EvSigma^2))))),"")</f>
        <v/>
      </c>
      <c r="O7074">
        <f>IF(B7074,ROUND(MAX(0,J7074*K7074*L7074*M7074*N7074),2),"")</f>
        <v/>
      </c>
    </row>
    <row r="7075">
      <c r="A7075" t="n">
        <v>7074</v>
      </c>
      <c r="B7075">
        <f>A7075&lt;=MineCount*Days</f>
        <v/>
      </c>
      <c r="C7075">
        <f>IF(B7075,INT((A7075-1)/Days)+1,"")</f>
        <v/>
      </c>
      <c r="D7075">
        <f>IF(B7075,MOD(A7075-1,Days),"")</f>
        <v/>
      </c>
      <c r="E7075" s="16">
        <f>IF(B7075,StartDate+D7075,"")</f>
        <v/>
      </c>
      <c r="F7075">
        <f>IF(B7075,MAX(MOD(SIN(Seed*0.1373+C7075*12.9898+D7075*78.233)*43758.5453,1),1E-9),"")</f>
        <v/>
      </c>
      <c r="G7075">
        <f>IF(B7075,MOD(SIN(Seed*0.5917+C7075*39.3468+D7075*11.135)*24634.6345,1),"")</f>
        <v/>
      </c>
      <c r="H7075">
        <f>IF(B7075,SQRT(-2*LN(F7075))*COS(2*PI()*G7075),"")</f>
        <v/>
      </c>
      <c r="I7075">
        <f>IF(B7075,IF(D7075=0,H7075,Rho*I7074+SQRT(1-Rho^2)*H7075),"")</f>
        <v/>
      </c>
      <c r="J7075">
        <f>IF(B7075,IF(Dist="Normal",DistA+DistB*I7075,DistA+(DistB-DistA)*NORMSDIST(I7075)),"")</f>
        <v/>
      </c>
      <c r="K7075">
        <f>IF(B7075,INDEX(MineScale,C7075),"")</f>
        <v/>
      </c>
      <c r="L7075">
        <f>IF(B7075,INDEX(Dow,1,WEEKDAY(E7075,2)),"")</f>
        <v/>
      </c>
      <c r="M7075">
        <f>IF(B7075,(1+Trend)^D7075,"")</f>
        <v/>
      </c>
      <c r="N7075">
        <f>IF(B7075,EXP(SUMPRODUCT(LN(1+(EvEff-1)*INDEX(Affected,0,C7075)*EXP(-((E7075-EvCenter)^2)/(2*EvSigma^2))))),"")</f>
        <v/>
      </c>
      <c r="O7075">
        <f>IF(B7075,ROUND(MAX(0,J7075*K7075*L7075*M7075*N7075),2),"")</f>
        <v/>
      </c>
    </row>
    <row r="7076">
      <c r="A7076" t="n">
        <v>7075</v>
      </c>
      <c r="B7076">
        <f>A7076&lt;=MineCount*Days</f>
        <v/>
      </c>
      <c r="C7076">
        <f>IF(B7076,INT((A7076-1)/Days)+1,"")</f>
        <v/>
      </c>
      <c r="D7076">
        <f>IF(B7076,MOD(A7076-1,Days),"")</f>
        <v/>
      </c>
      <c r="E7076" s="16">
        <f>IF(B7076,StartDate+D7076,"")</f>
        <v/>
      </c>
      <c r="F7076">
        <f>IF(B7076,MAX(MOD(SIN(Seed*0.1373+C7076*12.9898+D7076*78.233)*43758.5453,1),1E-9),"")</f>
        <v/>
      </c>
      <c r="G7076">
        <f>IF(B7076,MOD(SIN(Seed*0.5917+C7076*39.3468+D7076*11.135)*24634.6345,1),"")</f>
        <v/>
      </c>
      <c r="H7076">
        <f>IF(B7076,SQRT(-2*LN(F7076))*COS(2*PI()*G7076),"")</f>
        <v/>
      </c>
      <c r="I7076">
        <f>IF(B7076,IF(D7076=0,H7076,Rho*I7075+SQRT(1-Rho^2)*H7076),"")</f>
        <v/>
      </c>
      <c r="J7076">
        <f>IF(B7076,IF(Dist="Normal",DistA+DistB*I7076,DistA+(DistB-DistA)*NORMSDIST(I7076)),"")</f>
        <v/>
      </c>
      <c r="K7076">
        <f>IF(B7076,INDEX(MineScale,C7076),"")</f>
        <v/>
      </c>
      <c r="L7076">
        <f>IF(B7076,INDEX(Dow,1,WEEKDAY(E7076,2)),"")</f>
        <v/>
      </c>
      <c r="M7076">
        <f>IF(B7076,(1+Trend)^D7076,"")</f>
        <v/>
      </c>
      <c r="N7076">
        <f>IF(B7076,EXP(SUMPRODUCT(LN(1+(EvEff-1)*INDEX(Affected,0,C7076)*EXP(-((E7076-EvCenter)^2)/(2*EvSigma^2))))),"")</f>
        <v/>
      </c>
      <c r="O7076">
        <f>IF(B7076,ROUND(MAX(0,J7076*K7076*L7076*M7076*N7076),2),"")</f>
        <v/>
      </c>
    </row>
    <row r="7077">
      <c r="A7077" t="n">
        <v>7076</v>
      </c>
      <c r="B7077">
        <f>A7077&lt;=MineCount*Days</f>
        <v/>
      </c>
      <c r="C7077">
        <f>IF(B7077,INT((A7077-1)/Days)+1,"")</f>
        <v/>
      </c>
      <c r="D7077">
        <f>IF(B7077,MOD(A7077-1,Days),"")</f>
        <v/>
      </c>
      <c r="E7077" s="16">
        <f>IF(B7077,StartDate+D7077,"")</f>
        <v/>
      </c>
      <c r="F7077">
        <f>IF(B7077,MAX(MOD(SIN(Seed*0.1373+C7077*12.9898+D7077*78.233)*43758.5453,1),1E-9),"")</f>
        <v/>
      </c>
      <c r="G7077">
        <f>IF(B7077,MOD(SIN(Seed*0.5917+C7077*39.3468+D7077*11.135)*24634.6345,1),"")</f>
        <v/>
      </c>
      <c r="H7077">
        <f>IF(B7077,SQRT(-2*LN(F7077))*COS(2*PI()*G7077),"")</f>
        <v/>
      </c>
      <c r="I7077">
        <f>IF(B7077,IF(D7077=0,H7077,Rho*I7076+SQRT(1-Rho^2)*H7077),"")</f>
        <v/>
      </c>
      <c r="J7077">
        <f>IF(B7077,IF(Dist="Normal",DistA+DistB*I7077,DistA+(DistB-DistA)*NORMSDIST(I7077)),"")</f>
        <v/>
      </c>
      <c r="K7077">
        <f>IF(B7077,INDEX(MineScale,C7077),"")</f>
        <v/>
      </c>
      <c r="L7077">
        <f>IF(B7077,INDEX(Dow,1,WEEKDAY(E7077,2)),"")</f>
        <v/>
      </c>
      <c r="M7077">
        <f>IF(B7077,(1+Trend)^D7077,"")</f>
        <v/>
      </c>
      <c r="N7077">
        <f>IF(B7077,EXP(SUMPRODUCT(LN(1+(EvEff-1)*INDEX(Affected,0,C7077)*EXP(-((E7077-EvCenter)^2)/(2*EvSigma^2))))),"")</f>
        <v/>
      </c>
      <c r="O7077">
        <f>IF(B7077,ROUND(MAX(0,J7077*K7077*L7077*M7077*N7077),2),"")</f>
        <v/>
      </c>
    </row>
    <row r="7078">
      <c r="A7078" t="n">
        <v>7077</v>
      </c>
      <c r="B7078">
        <f>A7078&lt;=MineCount*Days</f>
        <v/>
      </c>
      <c r="C7078">
        <f>IF(B7078,INT((A7078-1)/Days)+1,"")</f>
        <v/>
      </c>
      <c r="D7078">
        <f>IF(B7078,MOD(A7078-1,Days),"")</f>
        <v/>
      </c>
      <c r="E7078" s="16">
        <f>IF(B7078,StartDate+D7078,"")</f>
        <v/>
      </c>
      <c r="F7078">
        <f>IF(B7078,MAX(MOD(SIN(Seed*0.1373+C7078*12.9898+D7078*78.233)*43758.5453,1),1E-9),"")</f>
        <v/>
      </c>
      <c r="G7078">
        <f>IF(B7078,MOD(SIN(Seed*0.5917+C7078*39.3468+D7078*11.135)*24634.6345,1),"")</f>
        <v/>
      </c>
      <c r="H7078">
        <f>IF(B7078,SQRT(-2*LN(F7078))*COS(2*PI()*G7078),"")</f>
        <v/>
      </c>
      <c r="I7078">
        <f>IF(B7078,IF(D7078=0,H7078,Rho*I7077+SQRT(1-Rho^2)*H7078),"")</f>
        <v/>
      </c>
      <c r="J7078">
        <f>IF(B7078,IF(Dist="Normal",DistA+DistB*I7078,DistA+(DistB-DistA)*NORMSDIST(I7078)),"")</f>
        <v/>
      </c>
      <c r="K7078">
        <f>IF(B7078,INDEX(MineScale,C7078),"")</f>
        <v/>
      </c>
      <c r="L7078">
        <f>IF(B7078,INDEX(Dow,1,WEEKDAY(E7078,2)),"")</f>
        <v/>
      </c>
      <c r="M7078">
        <f>IF(B7078,(1+Trend)^D7078,"")</f>
        <v/>
      </c>
      <c r="N7078">
        <f>IF(B7078,EXP(SUMPRODUCT(LN(1+(EvEff-1)*INDEX(Affected,0,C7078)*EXP(-((E7078-EvCenter)^2)/(2*EvSigma^2))))),"")</f>
        <v/>
      </c>
      <c r="O7078">
        <f>IF(B7078,ROUND(MAX(0,J7078*K7078*L7078*M7078*N7078),2),"")</f>
        <v/>
      </c>
    </row>
    <row r="7079">
      <c r="A7079" t="n">
        <v>7078</v>
      </c>
      <c r="B7079">
        <f>A7079&lt;=MineCount*Days</f>
        <v/>
      </c>
      <c r="C7079">
        <f>IF(B7079,INT((A7079-1)/Days)+1,"")</f>
        <v/>
      </c>
      <c r="D7079">
        <f>IF(B7079,MOD(A7079-1,Days),"")</f>
        <v/>
      </c>
      <c r="E7079" s="16">
        <f>IF(B7079,StartDate+D7079,"")</f>
        <v/>
      </c>
      <c r="F7079">
        <f>IF(B7079,MAX(MOD(SIN(Seed*0.1373+C7079*12.9898+D7079*78.233)*43758.5453,1),1E-9),"")</f>
        <v/>
      </c>
      <c r="G7079">
        <f>IF(B7079,MOD(SIN(Seed*0.5917+C7079*39.3468+D7079*11.135)*24634.6345,1),"")</f>
        <v/>
      </c>
      <c r="H7079">
        <f>IF(B7079,SQRT(-2*LN(F7079))*COS(2*PI()*G7079),"")</f>
        <v/>
      </c>
      <c r="I7079">
        <f>IF(B7079,IF(D7079=0,H7079,Rho*I7078+SQRT(1-Rho^2)*H7079),"")</f>
        <v/>
      </c>
      <c r="J7079">
        <f>IF(B7079,IF(Dist="Normal",DistA+DistB*I7079,DistA+(DistB-DistA)*NORMSDIST(I7079)),"")</f>
        <v/>
      </c>
      <c r="K7079">
        <f>IF(B7079,INDEX(MineScale,C7079),"")</f>
        <v/>
      </c>
      <c r="L7079">
        <f>IF(B7079,INDEX(Dow,1,WEEKDAY(E7079,2)),"")</f>
        <v/>
      </c>
      <c r="M7079">
        <f>IF(B7079,(1+Trend)^D7079,"")</f>
        <v/>
      </c>
      <c r="N7079">
        <f>IF(B7079,EXP(SUMPRODUCT(LN(1+(EvEff-1)*INDEX(Affected,0,C7079)*EXP(-((E7079-EvCenter)^2)/(2*EvSigma^2))))),"")</f>
        <v/>
      </c>
      <c r="O7079">
        <f>IF(B7079,ROUND(MAX(0,J7079*K7079*L7079*M7079*N7079),2),"")</f>
        <v/>
      </c>
    </row>
    <row r="7080">
      <c r="A7080" t="n">
        <v>7079</v>
      </c>
      <c r="B7080">
        <f>A7080&lt;=MineCount*Days</f>
        <v/>
      </c>
      <c r="C7080">
        <f>IF(B7080,INT((A7080-1)/Days)+1,"")</f>
        <v/>
      </c>
      <c r="D7080">
        <f>IF(B7080,MOD(A7080-1,Days),"")</f>
        <v/>
      </c>
      <c r="E7080" s="16">
        <f>IF(B7080,StartDate+D7080,"")</f>
        <v/>
      </c>
      <c r="F7080">
        <f>IF(B7080,MAX(MOD(SIN(Seed*0.1373+C7080*12.9898+D7080*78.233)*43758.5453,1),1E-9),"")</f>
        <v/>
      </c>
      <c r="G7080">
        <f>IF(B7080,MOD(SIN(Seed*0.5917+C7080*39.3468+D7080*11.135)*24634.6345,1),"")</f>
        <v/>
      </c>
      <c r="H7080">
        <f>IF(B7080,SQRT(-2*LN(F7080))*COS(2*PI()*G7080),"")</f>
        <v/>
      </c>
      <c r="I7080">
        <f>IF(B7080,IF(D7080=0,H7080,Rho*I7079+SQRT(1-Rho^2)*H7080),"")</f>
        <v/>
      </c>
      <c r="J7080">
        <f>IF(B7080,IF(Dist="Normal",DistA+DistB*I7080,DistA+(DistB-DistA)*NORMSDIST(I7080)),"")</f>
        <v/>
      </c>
      <c r="K7080">
        <f>IF(B7080,INDEX(MineScale,C7080),"")</f>
        <v/>
      </c>
      <c r="L7080">
        <f>IF(B7080,INDEX(Dow,1,WEEKDAY(E7080,2)),"")</f>
        <v/>
      </c>
      <c r="M7080">
        <f>IF(B7080,(1+Trend)^D7080,"")</f>
        <v/>
      </c>
      <c r="N7080">
        <f>IF(B7080,EXP(SUMPRODUCT(LN(1+(EvEff-1)*INDEX(Affected,0,C7080)*EXP(-((E7080-EvCenter)^2)/(2*EvSigma^2))))),"")</f>
        <v/>
      </c>
      <c r="O7080">
        <f>IF(B7080,ROUND(MAX(0,J7080*K7080*L7080*M7080*N7080),2),"")</f>
        <v/>
      </c>
    </row>
    <row r="7081">
      <c r="A7081" t="n">
        <v>7080</v>
      </c>
      <c r="B7081">
        <f>A7081&lt;=MineCount*Days</f>
        <v/>
      </c>
      <c r="C7081">
        <f>IF(B7081,INT((A7081-1)/Days)+1,"")</f>
        <v/>
      </c>
      <c r="D7081">
        <f>IF(B7081,MOD(A7081-1,Days),"")</f>
        <v/>
      </c>
      <c r="E7081" s="16">
        <f>IF(B7081,StartDate+D7081,"")</f>
        <v/>
      </c>
      <c r="F7081">
        <f>IF(B7081,MAX(MOD(SIN(Seed*0.1373+C7081*12.9898+D7081*78.233)*43758.5453,1),1E-9),"")</f>
        <v/>
      </c>
      <c r="G7081">
        <f>IF(B7081,MOD(SIN(Seed*0.5917+C7081*39.3468+D7081*11.135)*24634.6345,1),"")</f>
        <v/>
      </c>
      <c r="H7081">
        <f>IF(B7081,SQRT(-2*LN(F7081))*COS(2*PI()*G7081),"")</f>
        <v/>
      </c>
      <c r="I7081">
        <f>IF(B7081,IF(D7081=0,H7081,Rho*I7080+SQRT(1-Rho^2)*H7081),"")</f>
        <v/>
      </c>
      <c r="J7081">
        <f>IF(B7081,IF(Dist="Normal",DistA+DistB*I7081,DistA+(DistB-DistA)*NORMSDIST(I7081)),"")</f>
        <v/>
      </c>
      <c r="K7081">
        <f>IF(B7081,INDEX(MineScale,C7081),"")</f>
        <v/>
      </c>
      <c r="L7081">
        <f>IF(B7081,INDEX(Dow,1,WEEKDAY(E7081,2)),"")</f>
        <v/>
      </c>
      <c r="M7081">
        <f>IF(B7081,(1+Trend)^D7081,"")</f>
        <v/>
      </c>
      <c r="N7081">
        <f>IF(B7081,EXP(SUMPRODUCT(LN(1+(EvEff-1)*INDEX(Affected,0,C7081)*EXP(-((E7081-EvCenter)^2)/(2*EvSigma^2))))),"")</f>
        <v/>
      </c>
      <c r="O7081">
        <f>IF(B7081,ROUND(MAX(0,J7081*K7081*L7081*M7081*N7081),2),"")</f>
        <v/>
      </c>
    </row>
    <row r="7082">
      <c r="A7082" t="n">
        <v>7081</v>
      </c>
      <c r="B7082">
        <f>A7082&lt;=MineCount*Days</f>
        <v/>
      </c>
      <c r="C7082">
        <f>IF(B7082,INT((A7082-1)/Days)+1,"")</f>
        <v/>
      </c>
      <c r="D7082">
        <f>IF(B7082,MOD(A7082-1,Days),"")</f>
        <v/>
      </c>
      <c r="E7082" s="16">
        <f>IF(B7082,StartDate+D7082,"")</f>
        <v/>
      </c>
      <c r="F7082">
        <f>IF(B7082,MAX(MOD(SIN(Seed*0.1373+C7082*12.9898+D7082*78.233)*43758.5453,1),1E-9),"")</f>
        <v/>
      </c>
      <c r="G7082">
        <f>IF(B7082,MOD(SIN(Seed*0.5917+C7082*39.3468+D7082*11.135)*24634.6345,1),"")</f>
        <v/>
      </c>
      <c r="H7082">
        <f>IF(B7082,SQRT(-2*LN(F7082))*COS(2*PI()*G7082),"")</f>
        <v/>
      </c>
      <c r="I7082">
        <f>IF(B7082,IF(D7082=0,H7082,Rho*I7081+SQRT(1-Rho^2)*H7082),"")</f>
        <v/>
      </c>
      <c r="J7082">
        <f>IF(B7082,IF(Dist="Normal",DistA+DistB*I7082,DistA+(DistB-DistA)*NORMSDIST(I7082)),"")</f>
        <v/>
      </c>
      <c r="K7082">
        <f>IF(B7082,INDEX(MineScale,C7082),"")</f>
        <v/>
      </c>
      <c r="L7082">
        <f>IF(B7082,INDEX(Dow,1,WEEKDAY(E7082,2)),"")</f>
        <v/>
      </c>
      <c r="M7082">
        <f>IF(B7082,(1+Trend)^D7082,"")</f>
        <v/>
      </c>
      <c r="N7082">
        <f>IF(B7082,EXP(SUMPRODUCT(LN(1+(EvEff-1)*INDEX(Affected,0,C7082)*EXP(-((E7082-EvCenter)^2)/(2*EvSigma^2))))),"")</f>
        <v/>
      </c>
      <c r="O7082">
        <f>IF(B7082,ROUND(MAX(0,J7082*K7082*L7082*M7082*N7082),2),"")</f>
        <v/>
      </c>
    </row>
    <row r="7083">
      <c r="A7083" t="n">
        <v>7082</v>
      </c>
      <c r="B7083">
        <f>A7083&lt;=MineCount*Days</f>
        <v/>
      </c>
      <c r="C7083">
        <f>IF(B7083,INT((A7083-1)/Days)+1,"")</f>
        <v/>
      </c>
      <c r="D7083">
        <f>IF(B7083,MOD(A7083-1,Days),"")</f>
        <v/>
      </c>
      <c r="E7083" s="16">
        <f>IF(B7083,StartDate+D7083,"")</f>
        <v/>
      </c>
      <c r="F7083">
        <f>IF(B7083,MAX(MOD(SIN(Seed*0.1373+C7083*12.9898+D7083*78.233)*43758.5453,1),1E-9),"")</f>
        <v/>
      </c>
      <c r="G7083">
        <f>IF(B7083,MOD(SIN(Seed*0.5917+C7083*39.3468+D7083*11.135)*24634.6345,1),"")</f>
        <v/>
      </c>
      <c r="H7083">
        <f>IF(B7083,SQRT(-2*LN(F7083))*COS(2*PI()*G7083),"")</f>
        <v/>
      </c>
      <c r="I7083">
        <f>IF(B7083,IF(D7083=0,H7083,Rho*I7082+SQRT(1-Rho^2)*H7083),"")</f>
        <v/>
      </c>
      <c r="J7083">
        <f>IF(B7083,IF(Dist="Normal",DistA+DistB*I7083,DistA+(DistB-DistA)*NORMSDIST(I7083)),"")</f>
        <v/>
      </c>
      <c r="K7083">
        <f>IF(B7083,INDEX(MineScale,C7083),"")</f>
        <v/>
      </c>
      <c r="L7083">
        <f>IF(B7083,INDEX(Dow,1,WEEKDAY(E7083,2)),"")</f>
        <v/>
      </c>
      <c r="M7083">
        <f>IF(B7083,(1+Trend)^D7083,"")</f>
        <v/>
      </c>
      <c r="N7083">
        <f>IF(B7083,EXP(SUMPRODUCT(LN(1+(EvEff-1)*INDEX(Affected,0,C7083)*EXP(-((E7083-EvCenter)^2)/(2*EvSigma^2))))),"")</f>
        <v/>
      </c>
      <c r="O7083">
        <f>IF(B7083,ROUND(MAX(0,J7083*K7083*L7083*M7083*N7083),2),"")</f>
        <v/>
      </c>
    </row>
    <row r="7084">
      <c r="A7084" t="n">
        <v>7083</v>
      </c>
      <c r="B7084">
        <f>A7084&lt;=MineCount*Days</f>
        <v/>
      </c>
      <c r="C7084">
        <f>IF(B7084,INT((A7084-1)/Days)+1,"")</f>
        <v/>
      </c>
      <c r="D7084">
        <f>IF(B7084,MOD(A7084-1,Days),"")</f>
        <v/>
      </c>
      <c r="E7084" s="16">
        <f>IF(B7084,StartDate+D7084,"")</f>
        <v/>
      </c>
      <c r="F7084">
        <f>IF(B7084,MAX(MOD(SIN(Seed*0.1373+C7084*12.9898+D7084*78.233)*43758.5453,1),1E-9),"")</f>
        <v/>
      </c>
      <c r="G7084">
        <f>IF(B7084,MOD(SIN(Seed*0.5917+C7084*39.3468+D7084*11.135)*24634.6345,1),"")</f>
        <v/>
      </c>
      <c r="H7084">
        <f>IF(B7084,SQRT(-2*LN(F7084))*COS(2*PI()*G7084),"")</f>
        <v/>
      </c>
      <c r="I7084">
        <f>IF(B7084,IF(D7084=0,H7084,Rho*I7083+SQRT(1-Rho^2)*H7084),"")</f>
        <v/>
      </c>
      <c r="J7084">
        <f>IF(B7084,IF(Dist="Normal",DistA+DistB*I7084,DistA+(DistB-DistA)*NORMSDIST(I7084)),"")</f>
        <v/>
      </c>
      <c r="K7084">
        <f>IF(B7084,INDEX(MineScale,C7084),"")</f>
        <v/>
      </c>
      <c r="L7084">
        <f>IF(B7084,INDEX(Dow,1,WEEKDAY(E7084,2)),"")</f>
        <v/>
      </c>
      <c r="M7084">
        <f>IF(B7084,(1+Trend)^D7084,"")</f>
        <v/>
      </c>
      <c r="N7084">
        <f>IF(B7084,EXP(SUMPRODUCT(LN(1+(EvEff-1)*INDEX(Affected,0,C7084)*EXP(-((E7084-EvCenter)^2)/(2*EvSigma^2))))),"")</f>
        <v/>
      </c>
      <c r="O7084">
        <f>IF(B7084,ROUND(MAX(0,J7084*K7084*L7084*M7084*N7084),2),"")</f>
        <v/>
      </c>
    </row>
    <row r="7085">
      <c r="A7085" t="n">
        <v>7084</v>
      </c>
      <c r="B7085">
        <f>A7085&lt;=MineCount*Days</f>
        <v/>
      </c>
      <c r="C7085">
        <f>IF(B7085,INT((A7085-1)/Days)+1,"")</f>
        <v/>
      </c>
      <c r="D7085">
        <f>IF(B7085,MOD(A7085-1,Days),"")</f>
        <v/>
      </c>
      <c r="E7085" s="16">
        <f>IF(B7085,StartDate+D7085,"")</f>
        <v/>
      </c>
      <c r="F7085">
        <f>IF(B7085,MAX(MOD(SIN(Seed*0.1373+C7085*12.9898+D7085*78.233)*43758.5453,1),1E-9),"")</f>
        <v/>
      </c>
      <c r="G7085">
        <f>IF(B7085,MOD(SIN(Seed*0.5917+C7085*39.3468+D7085*11.135)*24634.6345,1),"")</f>
        <v/>
      </c>
      <c r="H7085">
        <f>IF(B7085,SQRT(-2*LN(F7085))*COS(2*PI()*G7085),"")</f>
        <v/>
      </c>
      <c r="I7085">
        <f>IF(B7085,IF(D7085=0,H7085,Rho*I7084+SQRT(1-Rho^2)*H7085),"")</f>
        <v/>
      </c>
      <c r="J7085">
        <f>IF(B7085,IF(Dist="Normal",DistA+DistB*I7085,DistA+(DistB-DistA)*NORMSDIST(I7085)),"")</f>
        <v/>
      </c>
      <c r="K7085">
        <f>IF(B7085,INDEX(MineScale,C7085),"")</f>
        <v/>
      </c>
      <c r="L7085">
        <f>IF(B7085,INDEX(Dow,1,WEEKDAY(E7085,2)),"")</f>
        <v/>
      </c>
      <c r="M7085">
        <f>IF(B7085,(1+Trend)^D7085,"")</f>
        <v/>
      </c>
      <c r="N7085">
        <f>IF(B7085,EXP(SUMPRODUCT(LN(1+(EvEff-1)*INDEX(Affected,0,C7085)*EXP(-((E7085-EvCenter)^2)/(2*EvSigma^2))))),"")</f>
        <v/>
      </c>
      <c r="O7085">
        <f>IF(B7085,ROUND(MAX(0,J7085*K7085*L7085*M7085*N7085),2),"")</f>
        <v/>
      </c>
    </row>
    <row r="7086">
      <c r="A7086" t="n">
        <v>7085</v>
      </c>
      <c r="B7086">
        <f>A7086&lt;=MineCount*Days</f>
        <v/>
      </c>
      <c r="C7086">
        <f>IF(B7086,INT((A7086-1)/Days)+1,"")</f>
        <v/>
      </c>
      <c r="D7086">
        <f>IF(B7086,MOD(A7086-1,Days),"")</f>
        <v/>
      </c>
      <c r="E7086" s="16">
        <f>IF(B7086,StartDate+D7086,"")</f>
        <v/>
      </c>
      <c r="F7086">
        <f>IF(B7086,MAX(MOD(SIN(Seed*0.1373+C7086*12.9898+D7086*78.233)*43758.5453,1),1E-9),"")</f>
        <v/>
      </c>
      <c r="G7086">
        <f>IF(B7086,MOD(SIN(Seed*0.5917+C7086*39.3468+D7086*11.135)*24634.6345,1),"")</f>
        <v/>
      </c>
      <c r="H7086">
        <f>IF(B7086,SQRT(-2*LN(F7086))*COS(2*PI()*G7086),"")</f>
        <v/>
      </c>
      <c r="I7086">
        <f>IF(B7086,IF(D7086=0,H7086,Rho*I7085+SQRT(1-Rho^2)*H7086),"")</f>
        <v/>
      </c>
      <c r="J7086">
        <f>IF(B7086,IF(Dist="Normal",DistA+DistB*I7086,DistA+(DistB-DistA)*NORMSDIST(I7086)),"")</f>
        <v/>
      </c>
      <c r="K7086">
        <f>IF(B7086,INDEX(MineScale,C7086),"")</f>
        <v/>
      </c>
      <c r="L7086">
        <f>IF(B7086,INDEX(Dow,1,WEEKDAY(E7086,2)),"")</f>
        <v/>
      </c>
      <c r="M7086">
        <f>IF(B7086,(1+Trend)^D7086,"")</f>
        <v/>
      </c>
      <c r="N7086">
        <f>IF(B7086,EXP(SUMPRODUCT(LN(1+(EvEff-1)*INDEX(Affected,0,C7086)*EXP(-((E7086-EvCenter)^2)/(2*EvSigma^2))))),"")</f>
        <v/>
      </c>
      <c r="O7086">
        <f>IF(B7086,ROUND(MAX(0,J7086*K7086*L7086*M7086*N7086),2),"")</f>
        <v/>
      </c>
    </row>
    <row r="7087">
      <c r="A7087" t="n">
        <v>7086</v>
      </c>
      <c r="B7087">
        <f>A7087&lt;=MineCount*Days</f>
        <v/>
      </c>
      <c r="C7087">
        <f>IF(B7087,INT((A7087-1)/Days)+1,"")</f>
        <v/>
      </c>
      <c r="D7087">
        <f>IF(B7087,MOD(A7087-1,Days),"")</f>
        <v/>
      </c>
      <c r="E7087" s="16">
        <f>IF(B7087,StartDate+D7087,"")</f>
        <v/>
      </c>
      <c r="F7087">
        <f>IF(B7087,MAX(MOD(SIN(Seed*0.1373+C7087*12.9898+D7087*78.233)*43758.5453,1),1E-9),"")</f>
        <v/>
      </c>
      <c r="G7087">
        <f>IF(B7087,MOD(SIN(Seed*0.5917+C7087*39.3468+D7087*11.135)*24634.6345,1),"")</f>
        <v/>
      </c>
      <c r="H7087">
        <f>IF(B7087,SQRT(-2*LN(F7087))*COS(2*PI()*G7087),"")</f>
        <v/>
      </c>
      <c r="I7087">
        <f>IF(B7087,IF(D7087=0,H7087,Rho*I7086+SQRT(1-Rho^2)*H7087),"")</f>
        <v/>
      </c>
      <c r="J7087">
        <f>IF(B7087,IF(Dist="Normal",DistA+DistB*I7087,DistA+(DistB-DistA)*NORMSDIST(I7087)),"")</f>
        <v/>
      </c>
      <c r="K7087">
        <f>IF(B7087,INDEX(MineScale,C7087),"")</f>
        <v/>
      </c>
      <c r="L7087">
        <f>IF(B7087,INDEX(Dow,1,WEEKDAY(E7087,2)),"")</f>
        <v/>
      </c>
      <c r="M7087">
        <f>IF(B7087,(1+Trend)^D7087,"")</f>
        <v/>
      </c>
      <c r="N7087">
        <f>IF(B7087,EXP(SUMPRODUCT(LN(1+(EvEff-1)*INDEX(Affected,0,C7087)*EXP(-((E7087-EvCenter)^2)/(2*EvSigma^2))))),"")</f>
        <v/>
      </c>
      <c r="O7087">
        <f>IF(B7087,ROUND(MAX(0,J7087*K7087*L7087*M7087*N7087),2),"")</f>
        <v/>
      </c>
    </row>
    <row r="7088">
      <c r="A7088" t="n">
        <v>7087</v>
      </c>
      <c r="B7088">
        <f>A7088&lt;=MineCount*Days</f>
        <v/>
      </c>
      <c r="C7088">
        <f>IF(B7088,INT((A7088-1)/Days)+1,"")</f>
        <v/>
      </c>
      <c r="D7088">
        <f>IF(B7088,MOD(A7088-1,Days),"")</f>
        <v/>
      </c>
      <c r="E7088" s="16">
        <f>IF(B7088,StartDate+D7088,"")</f>
        <v/>
      </c>
      <c r="F7088">
        <f>IF(B7088,MAX(MOD(SIN(Seed*0.1373+C7088*12.9898+D7088*78.233)*43758.5453,1),1E-9),"")</f>
        <v/>
      </c>
      <c r="G7088">
        <f>IF(B7088,MOD(SIN(Seed*0.5917+C7088*39.3468+D7088*11.135)*24634.6345,1),"")</f>
        <v/>
      </c>
      <c r="H7088">
        <f>IF(B7088,SQRT(-2*LN(F7088))*COS(2*PI()*G7088),"")</f>
        <v/>
      </c>
      <c r="I7088">
        <f>IF(B7088,IF(D7088=0,H7088,Rho*I7087+SQRT(1-Rho^2)*H7088),"")</f>
        <v/>
      </c>
      <c r="J7088">
        <f>IF(B7088,IF(Dist="Normal",DistA+DistB*I7088,DistA+(DistB-DistA)*NORMSDIST(I7088)),"")</f>
        <v/>
      </c>
      <c r="K7088">
        <f>IF(B7088,INDEX(MineScale,C7088),"")</f>
        <v/>
      </c>
      <c r="L7088">
        <f>IF(B7088,INDEX(Dow,1,WEEKDAY(E7088,2)),"")</f>
        <v/>
      </c>
      <c r="M7088">
        <f>IF(B7088,(1+Trend)^D7088,"")</f>
        <v/>
      </c>
      <c r="N7088">
        <f>IF(B7088,EXP(SUMPRODUCT(LN(1+(EvEff-1)*INDEX(Affected,0,C7088)*EXP(-((E7088-EvCenter)^2)/(2*EvSigma^2))))),"")</f>
        <v/>
      </c>
      <c r="O7088">
        <f>IF(B7088,ROUND(MAX(0,J7088*K7088*L7088*M7088*N7088),2),"")</f>
        <v/>
      </c>
    </row>
    <row r="7089">
      <c r="A7089" t="n">
        <v>7088</v>
      </c>
      <c r="B7089">
        <f>A7089&lt;=MineCount*Days</f>
        <v/>
      </c>
      <c r="C7089">
        <f>IF(B7089,INT((A7089-1)/Days)+1,"")</f>
        <v/>
      </c>
      <c r="D7089">
        <f>IF(B7089,MOD(A7089-1,Days),"")</f>
        <v/>
      </c>
      <c r="E7089" s="16">
        <f>IF(B7089,StartDate+D7089,"")</f>
        <v/>
      </c>
      <c r="F7089">
        <f>IF(B7089,MAX(MOD(SIN(Seed*0.1373+C7089*12.9898+D7089*78.233)*43758.5453,1),1E-9),"")</f>
        <v/>
      </c>
      <c r="G7089">
        <f>IF(B7089,MOD(SIN(Seed*0.5917+C7089*39.3468+D7089*11.135)*24634.6345,1),"")</f>
        <v/>
      </c>
      <c r="H7089">
        <f>IF(B7089,SQRT(-2*LN(F7089))*COS(2*PI()*G7089),"")</f>
        <v/>
      </c>
      <c r="I7089">
        <f>IF(B7089,IF(D7089=0,H7089,Rho*I7088+SQRT(1-Rho^2)*H7089),"")</f>
        <v/>
      </c>
      <c r="J7089">
        <f>IF(B7089,IF(Dist="Normal",DistA+DistB*I7089,DistA+(DistB-DistA)*NORMSDIST(I7089)),"")</f>
        <v/>
      </c>
      <c r="K7089">
        <f>IF(B7089,INDEX(MineScale,C7089),"")</f>
        <v/>
      </c>
      <c r="L7089">
        <f>IF(B7089,INDEX(Dow,1,WEEKDAY(E7089,2)),"")</f>
        <v/>
      </c>
      <c r="M7089">
        <f>IF(B7089,(1+Trend)^D7089,"")</f>
        <v/>
      </c>
      <c r="N7089">
        <f>IF(B7089,EXP(SUMPRODUCT(LN(1+(EvEff-1)*INDEX(Affected,0,C7089)*EXP(-((E7089-EvCenter)^2)/(2*EvSigma^2))))),"")</f>
        <v/>
      </c>
      <c r="O7089">
        <f>IF(B7089,ROUND(MAX(0,J7089*K7089*L7089*M7089*N7089),2),"")</f>
        <v/>
      </c>
    </row>
    <row r="7090">
      <c r="A7090" t="n">
        <v>7089</v>
      </c>
      <c r="B7090">
        <f>A7090&lt;=MineCount*Days</f>
        <v/>
      </c>
      <c r="C7090">
        <f>IF(B7090,INT((A7090-1)/Days)+1,"")</f>
        <v/>
      </c>
      <c r="D7090">
        <f>IF(B7090,MOD(A7090-1,Days),"")</f>
        <v/>
      </c>
      <c r="E7090" s="16">
        <f>IF(B7090,StartDate+D7090,"")</f>
        <v/>
      </c>
      <c r="F7090">
        <f>IF(B7090,MAX(MOD(SIN(Seed*0.1373+C7090*12.9898+D7090*78.233)*43758.5453,1),1E-9),"")</f>
        <v/>
      </c>
      <c r="G7090">
        <f>IF(B7090,MOD(SIN(Seed*0.5917+C7090*39.3468+D7090*11.135)*24634.6345,1),"")</f>
        <v/>
      </c>
      <c r="H7090">
        <f>IF(B7090,SQRT(-2*LN(F7090))*COS(2*PI()*G7090),"")</f>
        <v/>
      </c>
      <c r="I7090">
        <f>IF(B7090,IF(D7090=0,H7090,Rho*I7089+SQRT(1-Rho^2)*H7090),"")</f>
        <v/>
      </c>
      <c r="J7090">
        <f>IF(B7090,IF(Dist="Normal",DistA+DistB*I7090,DistA+(DistB-DistA)*NORMSDIST(I7090)),"")</f>
        <v/>
      </c>
      <c r="K7090">
        <f>IF(B7090,INDEX(MineScale,C7090),"")</f>
        <v/>
      </c>
      <c r="L7090">
        <f>IF(B7090,INDEX(Dow,1,WEEKDAY(E7090,2)),"")</f>
        <v/>
      </c>
      <c r="M7090">
        <f>IF(B7090,(1+Trend)^D7090,"")</f>
        <v/>
      </c>
      <c r="N7090">
        <f>IF(B7090,EXP(SUMPRODUCT(LN(1+(EvEff-1)*INDEX(Affected,0,C7090)*EXP(-((E7090-EvCenter)^2)/(2*EvSigma^2))))),"")</f>
        <v/>
      </c>
      <c r="O7090">
        <f>IF(B7090,ROUND(MAX(0,J7090*K7090*L7090*M7090*N7090),2),"")</f>
        <v/>
      </c>
    </row>
    <row r="7091">
      <c r="A7091" t="n">
        <v>7090</v>
      </c>
      <c r="B7091">
        <f>A7091&lt;=MineCount*Days</f>
        <v/>
      </c>
      <c r="C7091">
        <f>IF(B7091,INT((A7091-1)/Days)+1,"")</f>
        <v/>
      </c>
      <c r="D7091">
        <f>IF(B7091,MOD(A7091-1,Days),"")</f>
        <v/>
      </c>
      <c r="E7091" s="16">
        <f>IF(B7091,StartDate+D7091,"")</f>
        <v/>
      </c>
      <c r="F7091">
        <f>IF(B7091,MAX(MOD(SIN(Seed*0.1373+C7091*12.9898+D7091*78.233)*43758.5453,1),1E-9),"")</f>
        <v/>
      </c>
      <c r="G7091">
        <f>IF(B7091,MOD(SIN(Seed*0.5917+C7091*39.3468+D7091*11.135)*24634.6345,1),"")</f>
        <v/>
      </c>
      <c r="H7091">
        <f>IF(B7091,SQRT(-2*LN(F7091))*COS(2*PI()*G7091),"")</f>
        <v/>
      </c>
      <c r="I7091">
        <f>IF(B7091,IF(D7091=0,H7091,Rho*I7090+SQRT(1-Rho^2)*H7091),"")</f>
        <v/>
      </c>
      <c r="J7091">
        <f>IF(B7091,IF(Dist="Normal",DistA+DistB*I7091,DistA+(DistB-DistA)*NORMSDIST(I7091)),"")</f>
        <v/>
      </c>
      <c r="K7091">
        <f>IF(B7091,INDEX(MineScale,C7091),"")</f>
        <v/>
      </c>
      <c r="L7091">
        <f>IF(B7091,INDEX(Dow,1,WEEKDAY(E7091,2)),"")</f>
        <v/>
      </c>
      <c r="M7091">
        <f>IF(B7091,(1+Trend)^D7091,"")</f>
        <v/>
      </c>
      <c r="N7091">
        <f>IF(B7091,EXP(SUMPRODUCT(LN(1+(EvEff-1)*INDEX(Affected,0,C7091)*EXP(-((E7091-EvCenter)^2)/(2*EvSigma^2))))),"")</f>
        <v/>
      </c>
      <c r="O7091">
        <f>IF(B7091,ROUND(MAX(0,J7091*K7091*L7091*M7091*N7091),2),"")</f>
        <v/>
      </c>
    </row>
    <row r="7092">
      <c r="A7092" t="n">
        <v>7091</v>
      </c>
      <c r="B7092">
        <f>A7092&lt;=MineCount*Days</f>
        <v/>
      </c>
      <c r="C7092">
        <f>IF(B7092,INT((A7092-1)/Days)+1,"")</f>
        <v/>
      </c>
      <c r="D7092">
        <f>IF(B7092,MOD(A7092-1,Days),"")</f>
        <v/>
      </c>
      <c r="E7092" s="16">
        <f>IF(B7092,StartDate+D7092,"")</f>
        <v/>
      </c>
      <c r="F7092">
        <f>IF(B7092,MAX(MOD(SIN(Seed*0.1373+C7092*12.9898+D7092*78.233)*43758.5453,1),1E-9),"")</f>
        <v/>
      </c>
      <c r="G7092">
        <f>IF(B7092,MOD(SIN(Seed*0.5917+C7092*39.3468+D7092*11.135)*24634.6345,1),"")</f>
        <v/>
      </c>
      <c r="H7092">
        <f>IF(B7092,SQRT(-2*LN(F7092))*COS(2*PI()*G7092),"")</f>
        <v/>
      </c>
      <c r="I7092">
        <f>IF(B7092,IF(D7092=0,H7092,Rho*I7091+SQRT(1-Rho^2)*H7092),"")</f>
        <v/>
      </c>
      <c r="J7092">
        <f>IF(B7092,IF(Dist="Normal",DistA+DistB*I7092,DistA+(DistB-DistA)*NORMSDIST(I7092)),"")</f>
        <v/>
      </c>
      <c r="K7092">
        <f>IF(B7092,INDEX(MineScale,C7092),"")</f>
        <v/>
      </c>
      <c r="L7092">
        <f>IF(B7092,INDEX(Dow,1,WEEKDAY(E7092,2)),"")</f>
        <v/>
      </c>
      <c r="M7092">
        <f>IF(B7092,(1+Trend)^D7092,"")</f>
        <v/>
      </c>
      <c r="N7092">
        <f>IF(B7092,EXP(SUMPRODUCT(LN(1+(EvEff-1)*INDEX(Affected,0,C7092)*EXP(-((E7092-EvCenter)^2)/(2*EvSigma^2))))),"")</f>
        <v/>
      </c>
      <c r="O7092">
        <f>IF(B7092,ROUND(MAX(0,J7092*K7092*L7092*M7092*N7092),2),"")</f>
        <v/>
      </c>
    </row>
    <row r="7093">
      <c r="A7093" t="n">
        <v>7092</v>
      </c>
      <c r="B7093">
        <f>A7093&lt;=MineCount*Days</f>
        <v/>
      </c>
      <c r="C7093">
        <f>IF(B7093,INT((A7093-1)/Days)+1,"")</f>
        <v/>
      </c>
      <c r="D7093">
        <f>IF(B7093,MOD(A7093-1,Days),"")</f>
        <v/>
      </c>
      <c r="E7093" s="16">
        <f>IF(B7093,StartDate+D7093,"")</f>
        <v/>
      </c>
      <c r="F7093">
        <f>IF(B7093,MAX(MOD(SIN(Seed*0.1373+C7093*12.9898+D7093*78.233)*43758.5453,1),1E-9),"")</f>
        <v/>
      </c>
      <c r="G7093">
        <f>IF(B7093,MOD(SIN(Seed*0.5917+C7093*39.3468+D7093*11.135)*24634.6345,1),"")</f>
        <v/>
      </c>
      <c r="H7093">
        <f>IF(B7093,SQRT(-2*LN(F7093))*COS(2*PI()*G7093),"")</f>
        <v/>
      </c>
      <c r="I7093">
        <f>IF(B7093,IF(D7093=0,H7093,Rho*I7092+SQRT(1-Rho^2)*H7093),"")</f>
        <v/>
      </c>
      <c r="J7093">
        <f>IF(B7093,IF(Dist="Normal",DistA+DistB*I7093,DistA+(DistB-DistA)*NORMSDIST(I7093)),"")</f>
        <v/>
      </c>
      <c r="K7093">
        <f>IF(B7093,INDEX(MineScale,C7093),"")</f>
        <v/>
      </c>
      <c r="L7093">
        <f>IF(B7093,INDEX(Dow,1,WEEKDAY(E7093,2)),"")</f>
        <v/>
      </c>
      <c r="M7093">
        <f>IF(B7093,(1+Trend)^D7093,"")</f>
        <v/>
      </c>
      <c r="N7093">
        <f>IF(B7093,EXP(SUMPRODUCT(LN(1+(EvEff-1)*INDEX(Affected,0,C7093)*EXP(-((E7093-EvCenter)^2)/(2*EvSigma^2))))),"")</f>
        <v/>
      </c>
      <c r="O7093">
        <f>IF(B7093,ROUND(MAX(0,J7093*K7093*L7093*M7093*N7093),2),"")</f>
        <v/>
      </c>
    </row>
    <row r="7094">
      <c r="A7094" t="n">
        <v>7093</v>
      </c>
      <c r="B7094">
        <f>A7094&lt;=MineCount*Days</f>
        <v/>
      </c>
      <c r="C7094">
        <f>IF(B7094,INT((A7094-1)/Days)+1,"")</f>
        <v/>
      </c>
      <c r="D7094">
        <f>IF(B7094,MOD(A7094-1,Days),"")</f>
        <v/>
      </c>
      <c r="E7094" s="16">
        <f>IF(B7094,StartDate+D7094,"")</f>
        <v/>
      </c>
      <c r="F7094">
        <f>IF(B7094,MAX(MOD(SIN(Seed*0.1373+C7094*12.9898+D7094*78.233)*43758.5453,1),1E-9),"")</f>
        <v/>
      </c>
      <c r="G7094">
        <f>IF(B7094,MOD(SIN(Seed*0.5917+C7094*39.3468+D7094*11.135)*24634.6345,1),"")</f>
        <v/>
      </c>
      <c r="H7094">
        <f>IF(B7094,SQRT(-2*LN(F7094))*COS(2*PI()*G7094),"")</f>
        <v/>
      </c>
      <c r="I7094">
        <f>IF(B7094,IF(D7094=0,H7094,Rho*I7093+SQRT(1-Rho^2)*H7094),"")</f>
        <v/>
      </c>
      <c r="J7094">
        <f>IF(B7094,IF(Dist="Normal",DistA+DistB*I7094,DistA+(DistB-DistA)*NORMSDIST(I7094)),"")</f>
        <v/>
      </c>
      <c r="K7094">
        <f>IF(B7094,INDEX(MineScale,C7094),"")</f>
        <v/>
      </c>
      <c r="L7094">
        <f>IF(B7094,INDEX(Dow,1,WEEKDAY(E7094,2)),"")</f>
        <v/>
      </c>
      <c r="M7094">
        <f>IF(B7094,(1+Trend)^D7094,"")</f>
        <v/>
      </c>
      <c r="N7094">
        <f>IF(B7094,EXP(SUMPRODUCT(LN(1+(EvEff-1)*INDEX(Affected,0,C7094)*EXP(-((E7094-EvCenter)^2)/(2*EvSigma^2))))),"")</f>
        <v/>
      </c>
      <c r="O7094">
        <f>IF(B7094,ROUND(MAX(0,J7094*K7094*L7094*M7094*N7094),2),"")</f>
        <v/>
      </c>
    </row>
    <row r="7095">
      <c r="A7095" t="n">
        <v>7094</v>
      </c>
      <c r="B7095">
        <f>A7095&lt;=MineCount*Days</f>
        <v/>
      </c>
      <c r="C7095">
        <f>IF(B7095,INT((A7095-1)/Days)+1,"")</f>
        <v/>
      </c>
      <c r="D7095">
        <f>IF(B7095,MOD(A7095-1,Days),"")</f>
        <v/>
      </c>
      <c r="E7095" s="16">
        <f>IF(B7095,StartDate+D7095,"")</f>
        <v/>
      </c>
      <c r="F7095">
        <f>IF(B7095,MAX(MOD(SIN(Seed*0.1373+C7095*12.9898+D7095*78.233)*43758.5453,1),1E-9),"")</f>
        <v/>
      </c>
      <c r="G7095">
        <f>IF(B7095,MOD(SIN(Seed*0.5917+C7095*39.3468+D7095*11.135)*24634.6345,1),"")</f>
        <v/>
      </c>
      <c r="H7095">
        <f>IF(B7095,SQRT(-2*LN(F7095))*COS(2*PI()*G7095),"")</f>
        <v/>
      </c>
      <c r="I7095">
        <f>IF(B7095,IF(D7095=0,H7095,Rho*I7094+SQRT(1-Rho^2)*H7095),"")</f>
        <v/>
      </c>
      <c r="J7095">
        <f>IF(B7095,IF(Dist="Normal",DistA+DistB*I7095,DistA+(DistB-DistA)*NORMSDIST(I7095)),"")</f>
        <v/>
      </c>
      <c r="K7095">
        <f>IF(B7095,INDEX(MineScale,C7095),"")</f>
        <v/>
      </c>
      <c r="L7095">
        <f>IF(B7095,INDEX(Dow,1,WEEKDAY(E7095,2)),"")</f>
        <v/>
      </c>
      <c r="M7095">
        <f>IF(B7095,(1+Trend)^D7095,"")</f>
        <v/>
      </c>
      <c r="N7095">
        <f>IF(B7095,EXP(SUMPRODUCT(LN(1+(EvEff-1)*INDEX(Affected,0,C7095)*EXP(-((E7095-EvCenter)^2)/(2*EvSigma^2))))),"")</f>
        <v/>
      </c>
      <c r="O7095">
        <f>IF(B7095,ROUND(MAX(0,J7095*K7095*L7095*M7095*N7095),2),"")</f>
        <v/>
      </c>
    </row>
    <row r="7096">
      <c r="A7096" t="n">
        <v>7095</v>
      </c>
      <c r="B7096">
        <f>A7096&lt;=MineCount*Days</f>
        <v/>
      </c>
      <c r="C7096">
        <f>IF(B7096,INT((A7096-1)/Days)+1,"")</f>
        <v/>
      </c>
      <c r="D7096">
        <f>IF(B7096,MOD(A7096-1,Days),"")</f>
        <v/>
      </c>
      <c r="E7096" s="16">
        <f>IF(B7096,StartDate+D7096,"")</f>
        <v/>
      </c>
      <c r="F7096">
        <f>IF(B7096,MAX(MOD(SIN(Seed*0.1373+C7096*12.9898+D7096*78.233)*43758.5453,1),1E-9),"")</f>
        <v/>
      </c>
      <c r="G7096">
        <f>IF(B7096,MOD(SIN(Seed*0.5917+C7096*39.3468+D7096*11.135)*24634.6345,1),"")</f>
        <v/>
      </c>
      <c r="H7096">
        <f>IF(B7096,SQRT(-2*LN(F7096))*COS(2*PI()*G7096),"")</f>
        <v/>
      </c>
      <c r="I7096">
        <f>IF(B7096,IF(D7096=0,H7096,Rho*I7095+SQRT(1-Rho^2)*H7096),"")</f>
        <v/>
      </c>
      <c r="J7096">
        <f>IF(B7096,IF(Dist="Normal",DistA+DistB*I7096,DistA+(DistB-DistA)*NORMSDIST(I7096)),"")</f>
        <v/>
      </c>
      <c r="K7096">
        <f>IF(B7096,INDEX(MineScale,C7096),"")</f>
        <v/>
      </c>
      <c r="L7096">
        <f>IF(B7096,INDEX(Dow,1,WEEKDAY(E7096,2)),"")</f>
        <v/>
      </c>
      <c r="M7096">
        <f>IF(B7096,(1+Trend)^D7096,"")</f>
        <v/>
      </c>
      <c r="N7096">
        <f>IF(B7096,EXP(SUMPRODUCT(LN(1+(EvEff-1)*INDEX(Affected,0,C7096)*EXP(-((E7096-EvCenter)^2)/(2*EvSigma^2))))),"")</f>
        <v/>
      </c>
      <c r="O7096">
        <f>IF(B7096,ROUND(MAX(0,J7096*K7096*L7096*M7096*N7096),2),"")</f>
        <v/>
      </c>
    </row>
    <row r="7097">
      <c r="A7097" t="n">
        <v>7096</v>
      </c>
      <c r="B7097">
        <f>A7097&lt;=MineCount*Days</f>
        <v/>
      </c>
      <c r="C7097">
        <f>IF(B7097,INT((A7097-1)/Days)+1,"")</f>
        <v/>
      </c>
      <c r="D7097">
        <f>IF(B7097,MOD(A7097-1,Days),"")</f>
        <v/>
      </c>
      <c r="E7097" s="16">
        <f>IF(B7097,StartDate+D7097,"")</f>
        <v/>
      </c>
      <c r="F7097">
        <f>IF(B7097,MAX(MOD(SIN(Seed*0.1373+C7097*12.9898+D7097*78.233)*43758.5453,1),1E-9),"")</f>
        <v/>
      </c>
      <c r="G7097">
        <f>IF(B7097,MOD(SIN(Seed*0.5917+C7097*39.3468+D7097*11.135)*24634.6345,1),"")</f>
        <v/>
      </c>
      <c r="H7097">
        <f>IF(B7097,SQRT(-2*LN(F7097))*COS(2*PI()*G7097),"")</f>
        <v/>
      </c>
      <c r="I7097">
        <f>IF(B7097,IF(D7097=0,H7097,Rho*I7096+SQRT(1-Rho^2)*H7097),"")</f>
        <v/>
      </c>
      <c r="J7097">
        <f>IF(B7097,IF(Dist="Normal",DistA+DistB*I7097,DistA+(DistB-DistA)*NORMSDIST(I7097)),"")</f>
        <v/>
      </c>
      <c r="K7097">
        <f>IF(B7097,INDEX(MineScale,C7097),"")</f>
        <v/>
      </c>
      <c r="L7097">
        <f>IF(B7097,INDEX(Dow,1,WEEKDAY(E7097,2)),"")</f>
        <v/>
      </c>
      <c r="M7097">
        <f>IF(B7097,(1+Trend)^D7097,"")</f>
        <v/>
      </c>
      <c r="N7097">
        <f>IF(B7097,EXP(SUMPRODUCT(LN(1+(EvEff-1)*INDEX(Affected,0,C7097)*EXP(-((E7097-EvCenter)^2)/(2*EvSigma^2))))),"")</f>
        <v/>
      </c>
      <c r="O7097">
        <f>IF(B7097,ROUND(MAX(0,J7097*K7097*L7097*M7097*N7097),2),"")</f>
        <v/>
      </c>
    </row>
    <row r="7098">
      <c r="A7098" t="n">
        <v>7097</v>
      </c>
      <c r="B7098">
        <f>A7098&lt;=MineCount*Days</f>
        <v/>
      </c>
      <c r="C7098">
        <f>IF(B7098,INT((A7098-1)/Days)+1,"")</f>
        <v/>
      </c>
      <c r="D7098">
        <f>IF(B7098,MOD(A7098-1,Days),"")</f>
        <v/>
      </c>
      <c r="E7098" s="16">
        <f>IF(B7098,StartDate+D7098,"")</f>
        <v/>
      </c>
      <c r="F7098">
        <f>IF(B7098,MAX(MOD(SIN(Seed*0.1373+C7098*12.9898+D7098*78.233)*43758.5453,1),1E-9),"")</f>
        <v/>
      </c>
      <c r="G7098">
        <f>IF(B7098,MOD(SIN(Seed*0.5917+C7098*39.3468+D7098*11.135)*24634.6345,1),"")</f>
        <v/>
      </c>
      <c r="H7098">
        <f>IF(B7098,SQRT(-2*LN(F7098))*COS(2*PI()*G7098),"")</f>
        <v/>
      </c>
      <c r="I7098">
        <f>IF(B7098,IF(D7098=0,H7098,Rho*I7097+SQRT(1-Rho^2)*H7098),"")</f>
        <v/>
      </c>
      <c r="J7098">
        <f>IF(B7098,IF(Dist="Normal",DistA+DistB*I7098,DistA+(DistB-DistA)*NORMSDIST(I7098)),"")</f>
        <v/>
      </c>
      <c r="K7098">
        <f>IF(B7098,INDEX(MineScale,C7098),"")</f>
        <v/>
      </c>
      <c r="L7098">
        <f>IF(B7098,INDEX(Dow,1,WEEKDAY(E7098,2)),"")</f>
        <v/>
      </c>
      <c r="M7098">
        <f>IF(B7098,(1+Trend)^D7098,"")</f>
        <v/>
      </c>
      <c r="N7098">
        <f>IF(B7098,EXP(SUMPRODUCT(LN(1+(EvEff-1)*INDEX(Affected,0,C7098)*EXP(-((E7098-EvCenter)^2)/(2*EvSigma^2))))),"")</f>
        <v/>
      </c>
      <c r="O7098">
        <f>IF(B7098,ROUND(MAX(0,J7098*K7098*L7098*M7098*N7098),2),"")</f>
        <v/>
      </c>
    </row>
    <row r="7099">
      <c r="A7099" t="n">
        <v>7098</v>
      </c>
      <c r="B7099">
        <f>A7099&lt;=MineCount*Days</f>
        <v/>
      </c>
      <c r="C7099">
        <f>IF(B7099,INT((A7099-1)/Days)+1,"")</f>
        <v/>
      </c>
      <c r="D7099">
        <f>IF(B7099,MOD(A7099-1,Days),"")</f>
        <v/>
      </c>
      <c r="E7099" s="16">
        <f>IF(B7099,StartDate+D7099,"")</f>
        <v/>
      </c>
      <c r="F7099">
        <f>IF(B7099,MAX(MOD(SIN(Seed*0.1373+C7099*12.9898+D7099*78.233)*43758.5453,1),1E-9),"")</f>
        <v/>
      </c>
      <c r="G7099">
        <f>IF(B7099,MOD(SIN(Seed*0.5917+C7099*39.3468+D7099*11.135)*24634.6345,1),"")</f>
        <v/>
      </c>
      <c r="H7099">
        <f>IF(B7099,SQRT(-2*LN(F7099))*COS(2*PI()*G7099),"")</f>
        <v/>
      </c>
      <c r="I7099">
        <f>IF(B7099,IF(D7099=0,H7099,Rho*I7098+SQRT(1-Rho^2)*H7099),"")</f>
        <v/>
      </c>
      <c r="J7099">
        <f>IF(B7099,IF(Dist="Normal",DistA+DistB*I7099,DistA+(DistB-DistA)*NORMSDIST(I7099)),"")</f>
        <v/>
      </c>
      <c r="K7099">
        <f>IF(B7099,INDEX(MineScale,C7099),"")</f>
        <v/>
      </c>
      <c r="L7099">
        <f>IF(B7099,INDEX(Dow,1,WEEKDAY(E7099,2)),"")</f>
        <v/>
      </c>
      <c r="M7099">
        <f>IF(B7099,(1+Trend)^D7099,"")</f>
        <v/>
      </c>
      <c r="N7099">
        <f>IF(B7099,EXP(SUMPRODUCT(LN(1+(EvEff-1)*INDEX(Affected,0,C7099)*EXP(-((E7099-EvCenter)^2)/(2*EvSigma^2))))),"")</f>
        <v/>
      </c>
      <c r="O7099">
        <f>IF(B7099,ROUND(MAX(0,J7099*K7099*L7099*M7099*N7099),2),"")</f>
        <v/>
      </c>
    </row>
    <row r="7100">
      <c r="A7100" t="n">
        <v>7099</v>
      </c>
      <c r="B7100">
        <f>A7100&lt;=MineCount*Days</f>
        <v/>
      </c>
      <c r="C7100">
        <f>IF(B7100,INT((A7100-1)/Days)+1,"")</f>
        <v/>
      </c>
      <c r="D7100">
        <f>IF(B7100,MOD(A7100-1,Days),"")</f>
        <v/>
      </c>
      <c r="E7100" s="16">
        <f>IF(B7100,StartDate+D7100,"")</f>
        <v/>
      </c>
      <c r="F7100">
        <f>IF(B7100,MAX(MOD(SIN(Seed*0.1373+C7100*12.9898+D7100*78.233)*43758.5453,1),1E-9),"")</f>
        <v/>
      </c>
      <c r="G7100">
        <f>IF(B7100,MOD(SIN(Seed*0.5917+C7100*39.3468+D7100*11.135)*24634.6345,1),"")</f>
        <v/>
      </c>
      <c r="H7100">
        <f>IF(B7100,SQRT(-2*LN(F7100))*COS(2*PI()*G7100),"")</f>
        <v/>
      </c>
      <c r="I7100">
        <f>IF(B7100,IF(D7100=0,H7100,Rho*I7099+SQRT(1-Rho^2)*H7100),"")</f>
        <v/>
      </c>
      <c r="J7100">
        <f>IF(B7100,IF(Dist="Normal",DistA+DistB*I7100,DistA+(DistB-DistA)*NORMSDIST(I7100)),"")</f>
        <v/>
      </c>
      <c r="K7100">
        <f>IF(B7100,INDEX(MineScale,C7100),"")</f>
        <v/>
      </c>
      <c r="L7100">
        <f>IF(B7100,INDEX(Dow,1,WEEKDAY(E7100,2)),"")</f>
        <v/>
      </c>
      <c r="M7100">
        <f>IF(B7100,(1+Trend)^D7100,"")</f>
        <v/>
      </c>
      <c r="N7100">
        <f>IF(B7100,EXP(SUMPRODUCT(LN(1+(EvEff-1)*INDEX(Affected,0,C7100)*EXP(-((E7100-EvCenter)^2)/(2*EvSigma^2))))),"")</f>
        <v/>
      </c>
      <c r="O7100">
        <f>IF(B7100,ROUND(MAX(0,J7100*K7100*L7100*M7100*N7100),2),"")</f>
        <v/>
      </c>
    </row>
    <row r="7101">
      <c r="A7101" t="n">
        <v>7100</v>
      </c>
      <c r="B7101">
        <f>A7101&lt;=MineCount*Days</f>
        <v/>
      </c>
      <c r="C7101">
        <f>IF(B7101,INT((A7101-1)/Days)+1,"")</f>
        <v/>
      </c>
      <c r="D7101">
        <f>IF(B7101,MOD(A7101-1,Days),"")</f>
        <v/>
      </c>
      <c r="E7101" s="16">
        <f>IF(B7101,StartDate+D7101,"")</f>
        <v/>
      </c>
      <c r="F7101">
        <f>IF(B7101,MAX(MOD(SIN(Seed*0.1373+C7101*12.9898+D7101*78.233)*43758.5453,1),1E-9),"")</f>
        <v/>
      </c>
      <c r="G7101">
        <f>IF(B7101,MOD(SIN(Seed*0.5917+C7101*39.3468+D7101*11.135)*24634.6345,1),"")</f>
        <v/>
      </c>
      <c r="H7101">
        <f>IF(B7101,SQRT(-2*LN(F7101))*COS(2*PI()*G7101),"")</f>
        <v/>
      </c>
      <c r="I7101">
        <f>IF(B7101,IF(D7101=0,H7101,Rho*I7100+SQRT(1-Rho^2)*H7101),"")</f>
        <v/>
      </c>
      <c r="J7101">
        <f>IF(B7101,IF(Dist="Normal",DistA+DistB*I7101,DistA+(DistB-DistA)*NORMSDIST(I7101)),"")</f>
        <v/>
      </c>
      <c r="K7101">
        <f>IF(B7101,INDEX(MineScale,C7101),"")</f>
        <v/>
      </c>
      <c r="L7101">
        <f>IF(B7101,INDEX(Dow,1,WEEKDAY(E7101,2)),"")</f>
        <v/>
      </c>
      <c r="M7101">
        <f>IF(B7101,(1+Trend)^D7101,"")</f>
        <v/>
      </c>
      <c r="N7101">
        <f>IF(B7101,EXP(SUMPRODUCT(LN(1+(EvEff-1)*INDEX(Affected,0,C7101)*EXP(-((E7101-EvCenter)^2)/(2*EvSigma^2))))),"")</f>
        <v/>
      </c>
      <c r="O7101">
        <f>IF(B7101,ROUND(MAX(0,J7101*K7101*L7101*M7101*N7101),2),"")</f>
        <v/>
      </c>
    </row>
    <row r="7102">
      <c r="A7102" t="n">
        <v>7101</v>
      </c>
      <c r="B7102">
        <f>A7102&lt;=MineCount*Days</f>
        <v/>
      </c>
      <c r="C7102">
        <f>IF(B7102,INT((A7102-1)/Days)+1,"")</f>
        <v/>
      </c>
      <c r="D7102">
        <f>IF(B7102,MOD(A7102-1,Days),"")</f>
        <v/>
      </c>
      <c r="E7102" s="16">
        <f>IF(B7102,StartDate+D7102,"")</f>
        <v/>
      </c>
      <c r="F7102">
        <f>IF(B7102,MAX(MOD(SIN(Seed*0.1373+C7102*12.9898+D7102*78.233)*43758.5453,1),1E-9),"")</f>
        <v/>
      </c>
      <c r="G7102">
        <f>IF(B7102,MOD(SIN(Seed*0.5917+C7102*39.3468+D7102*11.135)*24634.6345,1),"")</f>
        <v/>
      </c>
      <c r="H7102">
        <f>IF(B7102,SQRT(-2*LN(F7102))*COS(2*PI()*G7102),"")</f>
        <v/>
      </c>
      <c r="I7102">
        <f>IF(B7102,IF(D7102=0,H7102,Rho*I7101+SQRT(1-Rho^2)*H7102),"")</f>
        <v/>
      </c>
      <c r="J7102">
        <f>IF(B7102,IF(Dist="Normal",DistA+DistB*I7102,DistA+(DistB-DistA)*NORMSDIST(I7102)),"")</f>
        <v/>
      </c>
      <c r="K7102">
        <f>IF(B7102,INDEX(MineScale,C7102),"")</f>
        <v/>
      </c>
      <c r="L7102">
        <f>IF(B7102,INDEX(Dow,1,WEEKDAY(E7102,2)),"")</f>
        <v/>
      </c>
      <c r="M7102">
        <f>IF(B7102,(1+Trend)^D7102,"")</f>
        <v/>
      </c>
      <c r="N7102">
        <f>IF(B7102,EXP(SUMPRODUCT(LN(1+(EvEff-1)*INDEX(Affected,0,C7102)*EXP(-((E7102-EvCenter)^2)/(2*EvSigma^2))))),"")</f>
        <v/>
      </c>
      <c r="O7102">
        <f>IF(B7102,ROUND(MAX(0,J7102*K7102*L7102*M7102*N7102),2),"")</f>
        <v/>
      </c>
    </row>
    <row r="7103">
      <c r="A7103" t="n">
        <v>7102</v>
      </c>
      <c r="B7103">
        <f>A7103&lt;=MineCount*Days</f>
        <v/>
      </c>
      <c r="C7103">
        <f>IF(B7103,INT((A7103-1)/Days)+1,"")</f>
        <v/>
      </c>
      <c r="D7103">
        <f>IF(B7103,MOD(A7103-1,Days),"")</f>
        <v/>
      </c>
      <c r="E7103" s="16">
        <f>IF(B7103,StartDate+D7103,"")</f>
        <v/>
      </c>
      <c r="F7103">
        <f>IF(B7103,MAX(MOD(SIN(Seed*0.1373+C7103*12.9898+D7103*78.233)*43758.5453,1),1E-9),"")</f>
        <v/>
      </c>
      <c r="G7103">
        <f>IF(B7103,MOD(SIN(Seed*0.5917+C7103*39.3468+D7103*11.135)*24634.6345,1),"")</f>
        <v/>
      </c>
      <c r="H7103">
        <f>IF(B7103,SQRT(-2*LN(F7103))*COS(2*PI()*G7103),"")</f>
        <v/>
      </c>
      <c r="I7103">
        <f>IF(B7103,IF(D7103=0,H7103,Rho*I7102+SQRT(1-Rho^2)*H7103),"")</f>
        <v/>
      </c>
      <c r="J7103">
        <f>IF(B7103,IF(Dist="Normal",DistA+DistB*I7103,DistA+(DistB-DistA)*NORMSDIST(I7103)),"")</f>
        <v/>
      </c>
      <c r="K7103">
        <f>IF(B7103,INDEX(MineScale,C7103),"")</f>
        <v/>
      </c>
      <c r="L7103">
        <f>IF(B7103,INDEX(Dow,1,WEEKDAY(E7103,2)),"")</f>
        <v/>
      </c>
      <c r="M7103">
        <f>IF(B7103,(1+Trend)^D7103,"")</f>
        <v/>
      </c>
      <c r="N7103">
        <f>IF(B7103,EXP(SUMPRODUCT(LN(1+(EvEff-1)*INDEX(Affected,0,C7103)*EXP(-((E7103-EvCenter)^2)/(2*EvSigma^2))))),"")</f>
        <v/>
      </c>
      <c r="O7103">
        <f>IF(B7103,ROUND(MAX(0,J7103*K7103*L7103*M7103*N7103),2),"")</f>
        <v/>
      </c>
    </row>
    <row r="7104">
      <c r="A7104" t="n">
        <v>7103</v>
      </c>
      <c r="B7104">
        <f>A7104&lt;=MineCount*Days</f>
        <v/>
      </c>
      <c r="C7104">
        <f>IF(B7104,INT((A7104-1)/Days)+1,"")</f>
        <v/>
      </c>
      <c r="D7104">
        <f>IF(B7104,MOD(A7104-1,Days),"")</f>
        <v/>
      </c>
      <c r="E7104" s="16">
        <f>IF(B7104,StartDate+D7104,"")</f>
        <v/>
      </c>
      <c r="F7104">
        <f>IF(B7104,MAX(MOD(SIN(Seed*0.1373+C7104*12.9898+D7104*78.233)*43758.5453,1),1E-9),"")</f>
        <v/>
      </c>
      <c r="G7104">
        <f>IF(B7104,MOD(SIN(Seed*0.5917+C7104*39.3468+D7104*11.135)*24634.6345,1),"")</f>
        <v/>
      </c>
      <c r="H7104">
        <f>IF(B7104,SQRT(-2*LN(F7104))*COS(2*PI()*G7104),"")</f>
        <v/>
      </c>
      <c r="I7104">
        <f>IF(B7104,IF(D7104=0,H7104,Rho*I7103+SQRT(1-Rho^2)*H7104),"")</f>
        <v/>
      </c>
      <c r="J7104">
        <f>IF(B7104,IF(Dist="Normal",DistA+DistB*I7104,DistA+(DistB-DistA)*NORMSDIST(I7104)),"")</f>
        <v/>
      </c>
      <c r="K7104">
        <f>IF(B7104,INDEX(MineScale,C7104),"")</f>
        <v/>
      </c>
      <c r="L7104">
        <f>IF(B7104,INDEX(Dow,1,WEEKDAY(E7104,2)),"")</f>
        <v/>
      </c>
      <c r="M7104">
        <f>IF(B7104,(1+Trend)^D7104,"")</f>
        <v/>
      </c>
      <c r="N7104">
        <f>IF(B7104,EXP(SUMPRODUCT(LN(1+(EvEff-1)*INDEX(Affected,0,C7104)*EXP(-((E7104-EvCenter)^2)/(2*EvSigma^2))))),"")</f>
        <v/>
      </c>
      <c r="O7104">
        <f>IF(B7104,ROUND(MAX(0,J7104*K7104*L7104*M7104*N7104),2),"")</f>
        <v/>
      </c>
    </row>
    <row r="7105">
      <c r="A7105" t="n">
        <v>7104</v>
      </c>
      <c r="B7105">
        <f>A7105&lt;=MineCount*Days</f>
        <v/>
      </c>
      <c r="C7105">
        <f>IF(B7105,INT((A7105-1)/Days)+1,"")</f>
        <v/>
      </c>
      <c r="D7105">
        <f>IF(B7105,MOD(A7105-1,Days),"")</f>
        <v/>
      </c>
      <c r="E7105" s="16">
        <f>IF(B7105,StartDate+D7105,"")</f>
        <v/>
      </c>
      <c r="F7105">
        <f>IF(B7105,MAX(MOD(SIN(Seed*0.1373+C7105*12.9898+D7105*78.233)*43758.5453,1),1E-9),"")</f>
        <v/>
      </c>
      <c r="G7105">
        <f>IF(B7105,MOD(SIN(Seed*0.5917+C7105*39.3468+D7105*11.135)*24634.6345,1),"")</f>
        <v/>
      </c>
      <c r="H7105">
        <f>IF(B7105,SQRT(-2*LN(F7105))*COS(2*PI()*G7105),"")</f>
        <v/>
      </c>
      <c r="I7105">
        <f>IF(B7105,IF(D7105=0,H7105,Rho*I7104+SQRT(1-Rho^2)*H7105),"")</f>
        <v/>
      </c>
      <c r="J7105">
        <f>IF(B7105,IF(Dist="Normal",DistA+DistB*I7105,DistA+(DistB-DistA)*NORMSDIST(I7105)),"")</f>
        <v/>
      </c>
      <c r="K7105">
        <f>IF(B7105,INDEX(MineScale,C7105),"")</f>
        <v/>
      </c>
      <c r="L7105">
        <f>IF(B7105,INDEX(Dow,1,WEEKDAY(E7105,2)),"")</f>
        <v/>
      </c>
      <c r="M7105">
        <f>IF(B7105,(1+Trend)^D7105,"")</f>
        <v/>
      </c>
      <c r="N7105">
        <f>IF(B7105,EXP(SUMPRODUCT(LN(1+(EvEff-1)*INDEX(Affected,0,C7105)*EXP(-((E7105-EvCenter)^2)/(2*EvSigma^2))))),"")</f>
        <v/>
      </c>
      <c r="O7105">
        <f>IF(B7105,ROUND(MAX(0,J7105*K7105*L7105*M7105*N7105),2),"")</f>
        <v/>
      </c>
    </row>
    <row r="7106">
      <c r="A7106" t="n">
        <v>7105</v>
      </c>
      <c r="B7106">
        <f>A7106&lt;=MineCount*Days</f>
        <v/>
      </c>
      <c r="C7106">
        <f>IF(B7106,INT((A7106-1)/Days)+1,"")</f>
        <v/>
      </c>
      <c r="D7106">
        <f>IF(B7106,MOD(A7106-1,Days),"")</f>
        <v/>
      </c>
      <c r="E7106" s="16">
        <f>IF(B7106,StartDate+D7106,"")</f>
        <v/>
      </c>
      <c r="F7106">
        <f>IF(B7106,MAX(MOD(SIN(Seed*0.1373+C7106*12.9898+D7106*78.233)*43758.5453,1),1E-9),"")</f>
        <v/>
      </c>
      <c r="G7106">
        <f>IF(B7106,MOD(SIN(Seed*0.5917+C7106*39.3468+D7106*11.135)*24634.6345,1),"")</f>
        <v/>
      </c>
      <c r="H7106">
        <f>IF(B7106,SQRT(-2*LN(F7106))*COS(2*PI()*G7106),"")</f>
        <v/>
      </c>
      <c r="I7106">
        <f>IF(B7106,IF(D7106=0,H7106,Rho*I7105+SQRT(1-Rho^2)*H7106),"")</f>
        <v/>
      </c>
      <c r="J7106">
        <f>IF(B7106,IF(Dist="Normal",DistA+DistB*I7106,DistA+(DistB-DistA)*NORMSDIST(I7106)),"")</f>
        <v/>
      </c>
      <c r="K7106">
        <f>IF(B7106,INDEX(MineScale,C7106),"")</f>
        <v/>
      </c>
      <c r="L7106">
        <f>IF(B7106,INDEX(Dow,1,WEEKDAY(E7106,2)),"")</f>
        <v/>
      </c>
      <c r="M7106">
        <f>IF(B7106,(1+Trend)^D7106,"")</f>
        <v/>
      </c>
      <c r="N7106">
        <f>IF(B7106,EXP(SUMPRODUCT(LN(1+(EvEff-1)*INDEX(Affected,0,C7106)*EXP(-((E7106-EvCenter)^2)/(2*EvSigma^2))))),"")</f>
        <v/>
      </c>
      <c r="O7106">
        <f>IF(B7106,ROUND(MAX(0,J7106*K7106*L7106*M7106*N7106),2),"")</f>
        <v/>
      </c>
    </row>
    <row r="7107">
      <c r="A7107" t="n">
        <v>7106</v>
      </c>
      <c r="B7107">
        <f>A7107&lt;=MineCount*Days</f>
        <v/>
      </c>
      <c r="C7107">
        <f>IF(B7107,INT((A7107-1)/Days)+1,"")</f>
        <v/>
      </c>
      <c r="D7107">
        <f>IF(B7107,MOD(A7107-1,Days),"")</f>
        <v/>
      </c>
      <c r="E7107" s="16">
        <f>IF(B7107,StartDate+D7107,"")</f>
        <v/>
      </c>
      <c r="F7107">
        <f>IF(B7107,MAX(MOD(SIN(Seed*0.1373+C7107*12.9898+D7107*78.233)*43758.5453,1),1E-9),"")</f>
        <v/>
      </c>
      <c r="G7107">
        <f>IF(B7107,MOD(SIN(Seed*0.5917+C7107*39.3468+D7107*11.135)*24634.6345,1),"")</f>
        <v/>
      </c>
      <c r="H7107">
        <f>IF(B7107,SQRT(-2*LN(F7107))*COS(2*PI()*G7107),"")</f>
        <v/>
      </c>
      <c r="I7107">
        <f>IF(B7107,IF(D7107=0,H7107,Rho*I7106+SQRT(1-Rho^2)*H7107),"")</f>
        <v/>
      </c>
      <c r="J7107">
        <f>IF(B7107,IF(Dist="Normal",DistA+DistB*I7107,DistA+(DistB-DistA)*NORMSDIST(I7107)),"")</f>
        <v/>
      </c>
      <c r="K7107">
        <f>IF(B7107,INDEX(MineScale,C7107),"")</f>
        <v/>
      </c>
      <c r="L7107">
        <f>IF(B7107,INDEX(Dow,1,WEEKDAY(E7107,2)),"")</f>
        <v/>
      </c>
      <c r="M7107">
        <f>IF(B7107,(1+Trend)^D7107,"")</f>
        <v/>
      </c>
      <c r="N7107">
        <f>IF(B7107,EXP(SUMPRODUCT(LN(1+(EvEff-1)*INDEX(Affected,0,C7107)*EXP(-((E7107-EvCenter)^2)/(2*EvSigma^2))))),"")</f>
        <v/>
      </c>
      <c r="O7107">
        <f>IF(B7107,ROUND(MAX(0,J7107*K7107*L7107*M7107*N7107),2),"")</f>
        <v/>
      </c>
    </row>
    <row r="7108">
      <c r="A7108" t="n">
        <v>7107</v>
      </c>
      <c r="B7108">
        <f>A7108&lt;=MineCount*Days</f>
        <v/>
      </c>
      <c r="C7108">
        <f>IF(B7108,INT((A7108-1)/Days)+1,"")</f>
        <v/>
      </c>
      <c r="D7108">
        <f>IF(B7108,MOD(A7108-1,Days),"")</f>
        <v/>
      </c>
      <c r="E7108" s="16">
        <f>IF(B7108,StartDate+D7108,"")</f>
        <v/>
      </c>
      <c r="F7108">
        <f>IF(B7108,MAX(MOD(SIN(Seed*0.1373+C7108*12.9898+D7108*78.233)*43758.5453,1),1E-9),"")</f>
        <v/>
      </c>
      <c r="G7108">
        <f>IF(B7108,MOD(SIN(Seed*0.5917+C7108*39.3468+D7108*11.135)*24634.6345,1),"")</f>
        <v/>
      </c>
      <c r="H7108">
        <f>IF(B7108,SQRT(-2*LN(F7108))*COS(2*PI()*G7108),"")</f>
        <v/>
      </c>
      <c r="I7108">
        <f>IF(B7108,IF(D7108=0,H7108,Rho*I7107+SQRT(1-Rho^2)*H7108),"")</f>
        <v/>
      </c>
      <c r="J7108">
        <f>IF(B7108,IF(Dist="Normal",DistA+DistB*I7108,DistA+(DistB-DistA)*NORMSDIST(I7108)),"")</f>
        <v/>
      </c>
      <c r="K7108">
        <f>IF(B7108,INDEX(MineScale,C7108),"")</f>
        <v/>
      </c>
      <c r="L7108">
        <f>IF(B7108,INDEX(Dow,1,WEEKDAY(E7108,2)),"")</f>
        <v/>
      </c>
      <c r="M7108">
        <f>IF(B7108,(1+Trend)^D7108,"")</f>
        <v/>
      </c>
      <c r="N7108">
        <f>IF(B7108,EXP(SUMPRODUCT(LN(1+(EvEff-1)*INDEX(Affected,0,C7108)*EXP(-((E7108-EvCenter)^2)/(2*EvSigma^2))))),"")</f>
        <v/>
      </c>
      <c r="O7108">
        <f>IF(B7108,ROUND(MAX(0,J7108*K7108*L7108*M7108*N7108),2),"")</f>
        <v/>
      </c>
    </row>
    <row r="7109">
      <c r="A7109" t="n">
        <v>7108</v>
      </c>
      <c r="B7109">
        <f>A7109&lt;=MineCount*Days</f>
        <v/>
      </c>
      <c r="C7109">
        <f>IF(B7109,INT((A7109-1)/Days)+1,"")</f>
        <v/>
      </c>
      <c r="D7109">
        <f>IF(B7109,MOD(A7109-1,Days),"")</f>
        <v/>
      </c>
      <c r="E7109" s="16">
        <f>IF(B7109,StartDate+D7109,"")</f>
        <v/>
      </c>
      <c r="F7109">
        <f>IF(B7109,MAX(MOD(SIN(Seed*0.1373+C7109*12.9898+D7109*78.233)*43758.5453,1),1E-9),"")</f>
        <v/>
      </c>
      <c r="G7109">
        <f>IF(B7109,MOD(SIN(Seed*0.5917+C7109*39.3468+D7109*11.135)*24634.6345,1),"")</f>
        <v/>
      </c>
      <c r="H7109">
        <f>IF(B7109,SQRT(-2*LN(F7109))*COS(2*PI()*G7109),"")</f>
        <v/>
      </c>
      <c r="I7109">
        <f>IF(B7109,IF(D7109=0,H7109,Rho*I7108+SQRT(1-Rho^2)*H7109),"")</f>
        <v/>
      </c>
      <c r="J7109">
        <f>IF(B7109,IF(Dist="Normal",DistA+DistB*I7109,DistA+(DistB-DistA)*NORMSDIST(I7109)),"")</f>
        <v/>
      </c>
      <c r="K7109">
        <f>IF(B7109,INDEX(MineScale,C7109),"")</f>
        <v/>
      </c>
      <c r="L7109">
        <f>IF(B7109,INDEX(Dow,1,WEEKDAY(E7109,2)),"")</f>
        <v/>
      </c>
      <c r="M7109">
        <f>IF(B7109,(1+Trend)^D7109,"")</f>
        <v/>
      </c>
      <c r="N7109">
        <f>IF(B7109,EXP(SUMPRODUCT(LN(1+(EvEff-1)*INDEX(Affected,0,C7109)*EXP(-((E7109-EvCenter)^2)/(2*EvSigma^2))))),"")</f>
        <v/>
      </c>
      <c r="O7109">
        <f>IF(B7109,ROUND(MAX(0,J7109*K7109*L7109*M7109*N7109),2),"")</f>
        <v/>
      </c>
    </row>
    <row r="7110">
      <c r="A7110" t="n">
        <v>7109</v>
      </c>
      <c r="B7110">
        <f>A7110&lt;=MineCount*Days</f>
        <v/>
      </c>
      <c r="C7110">
        <f>IF(B7110,INT((A7110-1)/Days)+1,"")</f>
        <v/>
      </c>
      <c r="D7110">
        <f>IF(B7110,MOD(A7110-1,Days),"")</f>
        <v/>
      </c>
      <c r="E7110" s="16">
        <f>IF(B7110,StartDate+D7110,"")</f>
        <v/>
      </c>
      <c r="F7110">
        <f>IF(B7110,MAX(MOD(SIN(Seed*0.1373+C7110*12.9898+D7110*78.233)*43758.5453,1),1E-9),"")</f>
        <v/>
      </c>
      <c r="G7110">
        <f>IF(B7110,MOD(SIN(Seed*0.5917+C7110*39.3468+D7110*11.135)*24634.6345,1),"")</f>
        <v/>
      </c>
      <c r="H7110">
        <f>IF(B7110,SQRT(-2*LN(F7110))*COS(2*PI()*G7110),"")</f>
        <v/>
      </c>
      <c r="I7110">
        <f>IF(B7110,IF(D7110=0,H7110,Rho*I7109+SQRT(1-Rho^2)*H7110),"")</f>
        <v/>
      </c>
      <c r="J7110">
        <f>IF(B7110,IF(Dist="Normal",DistA+DistB*I7110,DistA+(DistB-DistA)*NORMSDIST(I7110)),"")</f>
        <v/>
      </c>
      <c r="K7110">
        <f>IF(B7110,INDEX(MineScale,C7110),"")</f>
        <v/>
      </c>
      <c r="L7110">
        <f>IF(B7110,INDEX(Dow,1,WEEKDAY(E7110,2)),"")</f>
        <v/>
      </c>
      <c r="M7110">
        <f>IF(B7110,(1+Trend)^D7110,"")</f>
        <v/>
      </c>
      <c r="N7110">
        <f>IF(B7110,EXP(SUMPRODUCT(LN(1+(EvEff-1)*INDEX(Affected,0,C7110)*EXP(-((E7110-EvCenter)^2)/(2*EvSigma^2))))),"")</f>
        <v/>
      </c>
      <c r="O7110">
        <f>IF(B7110,ROUND(MAX(0,J7110*K7110*L7110*M7110*N7110),2),"")</f>
        <v/>
      </c>
    </row>
    <row r="7111">
      <c r="A7111" t="n">
        <v>7110</v>
      </c>
      <c r="B7111">
        <f>A7111&lt;=MineCount*Days</f>
        <v/>
      </c>
      <c r="C7111">
        <f>IF(B7111,INT((A7111-1)/Days)+1,"")</f>
        <v/>
      </c>
      <c r="D7111">
        <f>IF(B7111,MOD(A7111-1,Days),"")</f>
        <v/>
      </c>
      <c r="E7111" s="16">
        <f>IF(B7111,StartDate+D7111,"")</f>
        <v/>
      </c>
      <c r="F7111">
        <f>IF(B7111,MAX(MOD(SIN(Seed*0.1373+C7111*12.9898+D7111*78.233)*43758.5453,1),1E-9),"")</f>
        <v/>
      </c>
      <c r="G7111">
        <f>IF(B7111,MOD(SIN(Seed*0.5917+C7111*39.3468+D7111*11.135)*24634.6345,1),"")</f>
        <v/>
      </c>
      <c r="H7111">
        <f>IF(B7111,SQRT(-2*LN(F7111))*COS(2*PI()*G7111),"")</f>
        <v/>
      </c>
      <c r="I7111">
        <f>IF(B7111,IF(D7111=0,H7111,Rho*I7110+SQRT(1-Rho^2)*H7111),"")</f>
        <v/>
      </c>
      <c r="J7111">
        <f>IF(B7111,IF(Dist="Normal",DistA+DistB*I7111,DistA+(DistB-DistA)*NORMSDIST(I7111)),"")</f>
        <v/>
      </c>
      <c r="K7111">
        <f>IF(B7111,INDEX(MineScale,C7111),"")</f>
        <v/>
      </c>
      <c r="L7111">
        <f>IF(B7111,INDEX(Dow,1,WEEKDAY(E7111,2)),"")</f>
        <v/>
      </c>
      <c r="M7111">
        <f>IF(B7111,(1+Trend)^D7111,"")</f>
        <v/>
      </c>
      <c r="N7111">
        <f>IF(B7111,EXP(SUMPRODUCT(LN(1+(EvEff-1)*INDEX(Affected,0,C7111)*EXP(-((E7111-EvCenter)^2)/(2*EvSigma^2))))),"")</f>
        <v/>
      </c>
      <c r="O7111">
        <f>IF(B7111,ROUND(MAX(0,J7111*K7111*L7111*M7111*N7111),2),"")</f>
        <v/>
      </c>
    </row>
    <row r="7112">
      <c r="A7112" t="n">
        <v>7111</v>
      </c>
      <c r="B7112">
        <f>A7112&lt;=MineCount*Days</f>
        <v/>
      </c>
      <c r="C7112">
        <f>IF(B7112,INT((A7112-1)/Days)+1,"")</f>
        <v/>
      </c>
      <c r="D7112">
        <f>IF(B7112,MOD(A7112-1,Days),"")</f>
        <v/>
      </c>
      <c r="E7112" s="16">
        <f>IF(B7112,StartDate+D7112,"")</f>
        <v/>
      </c>
      <c r="F7112">
        <f>IF(B7112,MAX(MOD(SIN(Seed*0.1373+C7112*12.9898+D7112*78.233)*43758.5453,1),1E-9),"")</f>
        <v/>
      </c>
      <c r="G7112">
        <f>IF(B7112,MOD(SIN(Seed*0.5917+C7112*39.3468+D7112*11.135)*24634.6345,1),"")</f>
        <v/>
      </c>
      <c r="H7112">
        <f>IF(B7112,SQRT(-2*LN(F7112))*COS(2*PI()*G7112),"")</f>
        <v/>
      </c>
      <c r="I7112">
        <f>IF(B7112,IF(D7112=0,H7112,Rho*I7111+SQRT(1-Rho^2)*H7112),"")</f>
        <v/>
      </c>
      <c r="J7112">
        <f>IF(B7112,IF(Dist="Normal",DistA+DistB*I7112,DistA+(DistB-DistA)*NORMSDIST(I7112)),"")</f>
        <v/>
      </c>
      <c r="K7112">
        <f>IF(B7112,INDEX(MineScale,C7112),"")</f>
        <v/>
      </c>
      <c r="L7112">
        <f>IF(B7112,INDEX(Dow,1,WEEKDAY(E7112,2)),"")</f>
        <v/>
      </c>
      <c r="M7112">
        <f>IF(B7112,(1+Trend)^D7112,"")</f>
        <v/>
      </c>
      <c r="N7112">
        <f>IF(B7112,EXP(SUMPRODUCT(LN(1+(EvEff-1)*INDEX(Affected,0,C7112)*EXP(-((E7112-EvCenter)^2)/(2*EvSigma^2))))),"")</f>
        <v/>
      </c>
      <c r="O7112">
        <f>IF(B7112,ROUND(MAX(0,J7112*K7112*L7112*M7112*N7112),2),"")</f>
        <v/>
      </c>
    </row>
    <row r="7113">
      <c r="A7113" t="n">
        <v>7112</v>
      </c>
      <c r="B7113">
        <f>A7113&lt;=MineCount*Days</f>
        <v/>
      </c>
      <c r="C7113">
        <f>IF(B7113,INT((A7113-1)/Days)+1,"")</f>
        <v/>
      </c>
      <c r="D7113">
        <f>IF(B7113,MOD(A7113-1,Days),"")</f>
        <v/>
      </c>
      <c r="E7113" s="16">
        <f>IF(B7113,StartDate+D7113,"")</f>
        <v/>
      </c>
      <c r="F7113">
        <f>IF(B7113,MAX(MOD(SIN(Seed*0.1373+C7113*12.9898+D7113*78.233)*43758.5453,1),1E-9),"")</f>
        <v/>
      </c>
      <c r="G7113">
        <f>IF(B7113,MOD(SIN(Seed*0.5917+C7113*39.3468+D7113*11.135)*24634.6345,1),"")</f>
        <v/>
      </c>
      <c r="H7113">
        <f>IF(B7113,SQRT(-2*LN(F7113))*COS(2*PI()*G7113),"")</f>
        <v/>
      </c>
      <c r="I7113">
        <f>IF(B7113,IF(D7113=0,H7113,Rho*I7112+SQRT(1-Rho^2)*H7113),"")</f>
        <v/>
      </c>
      <c r="J7113">
        <f>IF(B7113,IF(Dist="Normal",DistA+DistB*I7113,DistA+(DistB-DistA)*NORMSDIST(I7113)),"")</f>
        <v/>
      </c>
      <c r="K7113">
        <f>IF(B7113,INDEX(MineScale,C7113),"")</f>
        <v/>
      </c>
      <c r="L7113">
        <f>IF(B7113,INDEX(Dow,1,WEEKDAY(E7113,2)),"")</f>
        <v/>
      </c>
      <c r="M7113">
        <f>IF(B7113,(1+Trend)^D7113,"")</f>
        <v/>
      </c>
      <c r="N7113">
        <f>IF(B7113,EXP(SUMPRODUCT(LN(1+(EvEff-1)*INDEX(Affected,0,C7113)*EXP(-((E7113-EvCenter)^2)/(2*EvSigma^2))))),"")</f>
        <v/>
      </c>
      <c r="O7113">
        <f>IF(B7113,ROUND(MAX(0,J7113*K7113*L7113*M7113*N7113),2),"")</f>
        <v/>
      </c>
    </row>
    <row r="7114">
      <c r="A7114" t="n">
        <v>7113</v>
      </c>
      <c r="B7114">
        <f>A7114&lt;=MineCount*Days</f>
        <v/>
      </c>
      <c r="C7114">
        <f>IF(B7114,INT((A7114-1)/Days)+1,"")</f>
        <v/>
      </c>
      <c r="D7114">
        <f>IF(B7114,MOD(A7114-1,Days),"")</f>
        <v/>
      </c>
      <c r="E7114" s="16">
        <f>IF(B7114,StartDate+D7114,"")</f>
        <v/>
      </c>
      <c r="F7114">
        <f>IF(B7114,MAX(MOD(SIN(Seed*0.1373+C7114*12.9898+D7114*78.233)*43758.5453,1),1E-9),"")</f>
        <v/>
      </c>
      <c r="G7114">
        <f>IF(B7114,MOD(SIN(Seed*0.5917+C7114*39.3468+D7114*11.135)*24634.6345,1),"")</f>
        <v/>
      </c>
      <c r="H7114">
        <f>IF(B7114,SQRT(-2*LN(F7114))*COS(2*PI()*G7114),"")</f>
        <v/>
      </c>
      <c r="I7114">
        <f>IF(B7114,IF(D7114=0,H7114,Rho*I7113+SQRT(1-Rho^2)*H7114),"")</f>
        <v/>
      </c>
      <c r="J7114">
        <f>IF(B7114,IF(Dist="Normal",DistA+DistB*I7114,DistA+(DistB-DistA)*NORMSDIST(I7114)),"")</f>
        <v/>
      </c>
      <c r="K7114">
        <f>IF(B7114,INDEX(MineScale,C7114),"")</f>
        <v/>
      </c>
      <c r="L7114">
        <f>IF(B7114,INDEX(Dow,1,WEEKDAY(E7114,2)),"")</f>
        <v/>
      </c>
      <c r="M7114">
        <f>IF(B7114,(1+Trend)^D7114,"")</f>
        <v/>
      </c>
      <c r="N7114">
        <f>IF(B7114,EXP(SUMPRODUCT(LN(1+(EvEff-1)*INDEX(Affected,0,C7114)*EXP(-((E7114-EvCenter)^2)/(2*EvSigma^2))))),"")</f>
        <v/>
      </c>
      <c r="O7114">
        <f>IF(B7114,ROUND(MAX(0,J7114*K7114*L7114*M7114*N7114),2),"")</f>
        <v/>
      </c>
    </row>
    <row r="7115">
      <c r="A7115" t="n">
        <v>7114</v>
      </c>
      <c r="B7115">
        <f>A7115&lt;=MineCount*Days</f>
        <v/>
      </c>
      <c r="C7115">
        <f>IF(B7115,INT((A7115-1)/Days)+1,"")</f>
        <v/>
      </c>
      <c r="D7115">
        <f>IF(B7115,MOD(A7115-1,Days),"")</f>
        <v/>
      </c>
      <c r="E7115" s="16">
        <f>IF(B7115,StartDate+D7115,"")</f>
        <v/>
      </c>
      <c r="F7115">
        <f>IF(B7115,MAX(MOD(SIN(Seed*0.1373+C7115*12.9898+D7115*78.233)*43758.5453,1),1E-9),"")</f>
        <v/>
      </c>
      <c r="G7115">
        <f>IF(B7115,MOD(SIN(Seed*0.5917+C7115*39.3468+D7115*11.135)*24634.6345,1),"")</f>
        <v/>
      </c>
      <c r="H7115">
        <f>IF(B7115,SQRT(-2*LN(F7115))*COS(2*PI()*G7115),"")</f>
        <v/>
      </c>
      <c r="I7115">
        <f>IF(B7115,IF(D7115=0,H7115,Rho*I7114+SQRT(1-Rho^2)*H7115),"")</f>
        <v/>
      </c>
      <c r="J7115">
        <f>IF(B7115,IF(Dist="Normal",DistA+DistB*I7115,DistA+(DistB-DistA)*NORMSDIST(I7115)),"")</f>
        <v/>
      </c>
      <c r="K7115">
        <f>IF(B7115,INDEX(MineScale,C7115),"")</f>
        <v/>
      </c>
      <c r="L7115">
        <f>IF(B7115,INDEX(Dow,1,WEEKDAY(E7115,2)),"")</f>
        <v/>
      </c>
      <c r="M7115">
        <f>IF(B7115,(1+Trend)^D7115,"")</f>
        <v/>
      </c>
      <c r="N7115">
        <f>IF(B7115,EXP(SUMPRODUCT(LN(1+(EvEff-1)*INDEX(Affected,0,C7115)*EXP(-((E7115-EvCenter)^2)/(2*EvSigma^2))))),"")</f>
        <v/>
      </c>
      <c r="O7115">
        <f>IF(B7115,ROUND(MAX(0,J7115*K7115*L7115*M7115*N7115),2),"")</f>
        <v/>
      </c>
    </row>
    <row r="7116">
      <c r="A7116" t="n">
        <v>7115</v>
      </c>
      <c r="B7116">
        <f>A7116&lt;=MineCount*Days</f>
        <v/>
      </c>
      <c r="C7116">
        <f>IF(B7116,INT((A7116-1)/Days)+1,"")</f>
        <v/>
      </c>
      <c r="D7116">
        <f>IF(B7116,MOD(A7116-1,Days),"")</f>
        <v/>
      </c>
      <c r="E7116" s="16">
        <f>IF(B7116,StartDate+D7116,"")</f>
        <v/>
      </c>
      <c r="F7116">
        <f>IF(B7116,MAX(MOD(SIN(Seed*0.1373+C7116*12.9898+D7116*78.233)*43758.5453,1),1E-9),"")</f>
        <v/>
      </c>
      <c r="G7116">
        <f>IF(B7116,MOD(SIN(Seed*0.5917+C7116*39.3468+D7116*11.135)*24634.6345,1),"")</f>
        <v/>
      </c>
      <c r="H7116">
        <f>IF(B7116,SQRT(-2*LN(F7116))*COS(2*PI()*G7116),"")</f>
        <v/>
      </c>
      <c r="I7116">
        <f>IF(B7116,IF(D7116=0,H7116,Rho*I7115+SQRT(1-Rho^2)*H7116),"")</f>
        <v/>
      </c>
      <c r="J7116">
        <f>IF(B7116,IF(Dist="Normal",DistA+DistB*I7116,DistA+(DistB-DistA)*NORMSDIST(I7116)),"")</f>
        <v/>
      </c>
      <c r="K7116">
        <f>IF(B7116,INDEX(MineScale,C7116),"")</f>
        <v/>
      </c>
      <c r="L7116">
        <f>IF(B7116,INDEX(Dow,1,WEEKDAY(E7116,2)),"")</f>
        <v/>
      </c>
      <c r="M7116">
        <f>IF(B7116,(1+Trend)^D7116,"")</f>
        <v/>
      </c>
      <c r="N7116">
        <f>IF(B7116,EXP(SUMPRODUCT(LN(1+(EvEff-1)*INDEX(Affected,0,C7116)*EXP(-((E7116-EvCenter)^2)/(2*EvSigma^2))))),"")</f>
        <v/>
      </c>
      <c r="O7116">
        <f>IF(B7116,ROUND(MAX(0,J7116*K7116*L7116*M7116*N7116),2),"")</f>
        <v/>
      </c>
    </row>
    <row r="7117">
      <c r="A7117" t="n">
        <v>7116</v>
      </c>
      <c r="B7117">
        <f>A7117&lt;=MineCount*Days</f>
        <v/>
      </c>
      <c r="C7117">
        <f>IF(B7117,INT((A7117-1)/Days)+1,"")</f>
        <v/>
      </c>
      <c r="D7117">
        <f>IF(B7117,MOD(A7117-1,Days),"")</f>
        <v/>
      </c>
      <c r="E7117" s="16">
        <f>IF(B7117,StartDate+D7117,"")</f>
        <v/>
      </c>
      <c r="F7117">
        <f>IF(B7117,MAX(MOD(SIN(Seed*0.1373+C7117*12.9898+D7117*78.233)*43758.5453,1),1E-9),"")</f>
        <v/>
      </c>
      <c r="G7117">
        <f>IF(B7117,MOD(SIN(Seed*0.5917+C7117*39.3468+D7117*11.135)*24634.6345,1),"")</f>
        <v/>
      </c>
      <c r="H7117">
        <f>IF(B7117,SQRT(-2*LN(F7117))*COS(2*PI()*G7117),"")</f>
        <v/>
      </c>
      <c r="I7117">
        <f>IF(B7117,IF(D7117=0,H7117,Rho*I7116+SQRT(1-Rho^2)*H7117),"")</f>
        <v/>
      </c>
      <c r="J7117">
        <f>IF(B7117,IF(Dist="Normal",DistA+DistB*I7117,DistA+(DistB-DistA)*NORMSDIST(I7117)),"")</f>
        <v/>
      </c>
      <c r="K7117">
        <f>IF(B7117,INDEX(MineScale,C7117),"")</f>
        <v/>
      </c>
      <c r="L7117">
        <f>IF(B7117,INDEX(Dow,1,WEEKDAY(E7117,2)),"")</f>
        <v/>
      </c>
      <c r="M7117">
        <f>IF(B7117,(1+Trend)^D7117,"")</f>
        <v/>
      </c>
      <c r="N7117">
        <f>IF(B7117,EXP(SUMPRODUCT(LN(1+(EvEff-1)*INDEX(Affected,0,C7117)*EXP(-((E7117-EvCenter)^2)/(2*EvSigma^2))))),"")</f>
        <v/>
      </c>
      <c r="O7117">
        <f>IF(B7117,ROUND(MAX(0,J7117*K7117*L7117*M7117*N7117),2),"")</f>
        <v/>
      </c>
    </row>
    <row r="7118">
      <c r="A7118" t="n">
        <v>7117</v>
      </c>
      <c r="B7118">
        <f>A7118&lt;=MineCount*Days</f>
        <v/>
      </c>
      <c r="C7118">
        <f>IF(B7118,INT((A7118-1)/Days)+1,"")</f>
        <v/>
      </c>
      <c r="D7118">
        <f>IF(B7118,MOD(A7118-1,Days),"")</f>
        <v/>
      </c>
      <c r="E7118" s="16">
        <f>IF(B7118,StartDate+D7118,"")</f>
        <v/>
      </c>
      <c r="F7118">
        <f>IF(B7118,MAX(MOD(SIN(Seed*0.1373+C7118*12.9898+D7118*78.233)*43758.5453,1),1E-9),"")</f>
        <v/>
      </c>
      <c r="G7118">
        <f>IF(B7118,MOD(SIN(Seed*0.5917+C7118*39.3468+D7118*11.135)*24634.6345,1),"")</f>
        <v/>
      </c>
      <c r="H7118">
        <f>IF(B7118,SQRT(-2*LN(F7118))*COS(2*PI()*G7118),"")</f>
        <v/>
      </c>
      <c r="I7118">
        <f>IF(B7118,IF(D7118=0,H7118,Rho*I7117+SQRT(1-Rho^2)*H7118),"")</f>
        <v/>
      </c>
      <c r="J7118">
        <f>IF(B7118,IF(Dist="Normal",DistA+DistB*I7118,DistA+(DistB-DistA)*NORMSDIST(I7118)),"")</f>
        <v/>
      </c>
      <c r="K7118">
        <f>IF(B7118,INDEX(MineScale,C7118),"")</f>
        <v/>
      </c>
      <c r="L7118">
        <f>IF(B7118,INDEX(Dow,1,WEEKDAY(E7118,2)),"")</f>
        <v/>
      </c>
      <c r="M7118">
        <f>IF(B7118,(1+Trend)^D7118,"")</f>
        <v/>
      </c>
      <c r="N7118">
        <f>IF(B7118,EXP(SUMPRODUCT(LN(1+(EvEff-1)*INDEX(Affected,0,C7118)*EXP(-((E7118-EvCenter)^2)/(2*EvSigma^2))))),"")</f>
        <v/>
      </c>
      <c r="O7118">
        <f>IF(B7118,ROUND(MAX(0,J7118*K7118*L7118*M7118*N7118),2),"")</f>
        <v/>
      </c>
    </row>
    <row r="7119">
      <c r="A7119" t="n">
        <v>7118</v>
      </c>
      <c r="B7119">
        <f>A7119&lt;=MineCount*Days</f>
        <v/>
      </c>
      <c r="C7119">
        <f>IF(B7119,INT((A7119-1)/Days)+1,"")</f>
        <v/>
      </c>
      <c r="D7119">
        <f>IF(B7119,MOD(A7119-1,Days),"")</f>
        <v/>
      </c>
      <c r="E7119" s="16">
        <f>IF(B7119,StartDate+D7119,"")</f>
        <v/>
      </c>
      <c r="F7119">
        <f>IF(B7119,MAX(MOD(SIN(Seed*0.1373+C7119*12.9898+D7119*78.233)*43758.5453,1),1E-9),"")</f>
        <v/>
      </c>
      <c r="G7119">
        <f>IF(B7119,MOD(SIN(Seed*0.5917+C7119*39.3468+D7119*11.135)*24634.6345,1),"")</f>
        <v/>
      </c>
      <c r="H7119">
        <f>IF(B7119,SQRT(-2*LN(F7119))*COS(2*PI()*G7119),"")</f>
        <v/>
      </c>
      <c r="I7119">
        <f>IF(B7119,IF(D7119=0,H7119,Rho*I7118+SQRT(1-Rho^2)*H7119),"")</f>
        <v/>
      </c>
      <c r="J7119">
        <f>IF(B7119,IF(Dist="Normal",DistA+DistB*I7119,DistA+(DistB-DistA)*NORMSDIST(I7119)),"")</f>
        <v/>
      </c>
      <c r="K7119">
        <f>IF(B7119,INDEX(MineScale,C7119),"")</f>
        <v/>
      </c>
      <c r="L7119">
        <f>IF(B7119,INDEX(Dow,1,WEEKDAY(E7119,2)),"")</f>
        <v/>
      </c>
      <c r="M7119">
        <f>IF(B7119,(1+Trend)^D7119,"")</f>
        <v/>
      </c>
      <c r="N7119">
        <f>IF(B7119,EXP(SUMPRODUCT(LN(1+(EvEff-1)*INDEX(Affected,0,C7119)*EXP(-((E7119-EvCenter)^2)/(2*EvSigma^2))))),"")</f>
        <v/>
      </c>
      <c r="O7119">
        <f>IF(B7119,ROUND(MAX(0,J7119*K7119*L7119*M7119*N7119),2),"")</f>
        <v/>
      </c>
    </row>
    <row r="7120">
      <c r="A7120" t="n">
        <v>7119</v>
      </c>
      <c r="B7120">
        <f>A7120&lt;=MineCount*Days</f>
        <v/>
      </c>
      <c r="C7120">
        <f>IF(B7120,INT((A7120-1)/Days)+1,"")</f>
        <v/>
      </c>
      <c r="D7120">
        <f>IF(B7120,MOD(A7120-1,Days),"")</f>
        <v/>
      </c>
      <c r="E7120" s="16">
        <f>IF(B7120,StartDate+D7120,"")</f>
        <v/>
      </c>
      <c r="F7120">
        <f>IF(B7120,MAX(MOD(SIN(Seed*0.1373+C7120*12.9898+D7120*78.233)*43758.5453,1),1E-9),"")</f>
        <v/>
      </c>
      <c r="G7120">
        <f>IF(B7120,MOD(SIN(Seed*0.5917+C7120*39.3468+D7120*11.135)*24634.6345,1),"")</f>
        <v/>
      </c>
      <c r="H7120">
        <f>IF(B7120,SQRT(-2*LN(F7120))*COS(2*PI()*G7120),"")</f>
        <v/>
      </c>
      <c r="I7120">
        <f>IF(B7120,IF(D7120=0,H7120,Rho*I7119+SQRT(1-Rho^2)*H7120),"")</f>
        <v/>
      </c>
      <c r="J7120">
        <f>IF(B7120,IF(Dist="Normal",DistA+DistB*I7120,DistA+(DistB-DistA)*NORMSDIST(I7120)),"")</f>
        <v/>
      </c>
      <c r="K7120">
        <f>IF(B7120,INDEX(MineScale,C7120),"")</f>
        <v/>
      </c>
      <c r="L7120">
        <f>IF(B7120,INDEX(Dow,1,WEEKDAY(E7120,2)),"")</f>
        <v/>
      </c>
      <c r="M7120">
        <f>IF(B7120,(1+Trend)^D7120,"")</f>
        <v/>
      </c>
      <c r="N7120">
        <f>IF(B7120,EXP(SUMPRODUCT(LN(1+(EvEff-1)*INDEX(Affected,0,C7120)*EXP(-((E7120-EvCenter)^2)/(2*EvSigma^2))))),"")</f>
        <v/>
      </c>
      <c r="O7120">
        <f>IF(B7120,ROUND(MAX(0,J7120*K7120*L7120*M7120*N7120),2),"")</f>
        <v/>
      </c>
    </row>
    <row r="7121">
      <c r="A7121" t="n">
        <v>7120</v>
      </c>
      <c r="B7121">
        <f>A7121&lt;=MineCount*Days</f>
        <v/>
      </c>
      <c r="C7121">
        <f>IF(B7121,INT((A7121-1)/Days)+1,"")</f>
        <v/>
      </c>
      <c r="D7121">
        <f>IF(B7121,MOD(A7121-1,Days),"")</f>
        <v/>
      </c>
      <c r="E7121" s="16">
        <f>IF(B7121,StartDate+D7121,"")</f>
        <v/>
      </c>
      <c r="F7121">
        <f>IF(B7121,MAX(MOD(SIN(Seed*0.1373+C7121*12.9898+D7121*78.233)*43758.5453,1),1E-9),"")</f>
        <v/>
      </c>
      <c r="G7121">
        <f>IF(B7121,MOD(SIN(Seed*0.5917+C7121*39.3468+D7121*11.135)*24634.6345,1),"")</f>
        <v/>
      </c>
      <c r="H7121">
        <f>IF(B7121,SQRT(-2*LN(F7121))*COS(2*PI()*G7121),"")</f>
        <v/>
      </c>
      <c r="I7121">
        <f>IF(B7121,IF(D7121=0,H7121,Rho*I7120+SQRT(1-Rho^2)*H7121),"")</f>
        <v/>
      </c>
      <c r="J7121">
        <f>IF(B7121,IF(Dist="Normal",DistA+DistB*I7121,DistA+(DistB-DistA)*NORMSDIST(I7121)),"")</f>
        <v/>
      </c>
      <c r="K7121">
        <f>IF(B7121,INDEX(MineScale,C7121),"")</f>
        <v/>
      </c>
      <c r="L7121">
        <f>IF(B7121,INDEX(Dow,1,WEEKDAY(E7121,2)),"")</f>
        <v/>
      </c>
      <c r="M7121">
        <f>IF(B7121,(1+Trend)^D7121,"")</f>
        <v/>
      </c>
      <c r="N7121">
        <f>IF(B7121,EXP(SUMPRODUCT(LN(1+(EvEff-1)*INDEX(Affected,0,C7121)*EXP(-((E7121-EvCenter)^2)/(2*EvSigma^2))))),"")</f>
        <v/>
      </c>
      <c r="O7121">
        <f>IF(B7121,ROUND(MAX(0,J7121*K7121*L7121*M7121*N7121),2),"")</f>
        <v/>
      </c>
    </row>
    <row r="7122">
      <c r="A7122" t="n">
        <v>7121</v>
      </c>
      <c r="B7122">
        <f>A7122&lt;=MineCount*Days</f>
        <v/>
      </c>
      <c r="C7122">
        <f>IF(B7122,INT((A7122-1)/Days)+1,"")</f>
        <v/>
      </c>
      <c r="D7122">
        <f>IF(B7122,MOD(A7122-1,Days),"")</f>
        <v/>
      </c>
      <c r="E7122" s="16">
        <f>IF(B7122,StartDate+D7122,"")</f>
        <v/>
      </c>
      <c r="F7122">
        <f>IF(B7122,MAX(MOD(SIN(Seed*0.1373+C7122*12.9898+D7122*78.233)*43758.5453,1),1E-9),"")</f>
        <v/>
      </c>
      <c r="G7122">
        <f>IF(B7122,MOD(SIN(Seed*0.5917+C7122*39.3468+D7122*11.135)*24634.6345,1),"")</f>
        <v/>
      </c>
      <c r="H7122">
        <f>IF(B7122,SQRT(-2*LN(F7122))*COS(2*PI()*G7122),"")</f>
        <v/>
      </c>
      <c r="I7122">
        <f>IF(B7122,IF(D7122=0,H7122,Rho*I7121+SQRT(1-Rho^2)*H7122),"")</f>
        <v/>
      </c>
      <c r="J7122">
        <f>IF(B7122,IF(Dist="Normal",DistA+DistB*I7122,DistA+(DistB-DistA)*NORMSDIST(I7122)),"")</f>
        <v/>
      </c>
      <c r="K7122">
        <f>IF(B7122,INDEX(MineScale,C7122),"")</f>
        <v/>
      </c>
      <c r="L7122">
        <f>IF(B7122,INDEX(Dow,1,WEEKDAY(E7122,2)),"")</f>
        <v/>
      </c>
      <c r="M7122">
        <f>IF(B7122,(1+Trend)^D7122,"")</f>
        <v/>
      </c>
      <c r="N7122">
        <f>IF(B7122,EXP(SUMPRODUCT(LN(1+(EvEff-1)*INDEX(Affected,0,C7122)*EXP(-((E7122-EvCenter)^2)/(2*EvSigma^2))))),"")</f>
        <v/>
      </c>
      <c r="O7122">
        <f>IF(B7122,ROUND(MAX(0,J7122*K7122*L7122*M7122*N7122),2),"")</f>
        <v/>
      </c>
    </row>
    <row r="7123">
      <c r="A7123" t="n">
        <v>7122</v>
      </c>
      <c r="B7123">
        <f>A7123&lt;=MineCount*Days</f>
        <v/>
      </c>
      <c r="C7123">
        <f>IF(B7123,INT((A7123-1)/Days)+1,"")</f>
        <v/>
      </c>
      <c r="D7123">
        <f>IF(B7123,MOD(A7123-1,Days),"")</f>
        <v/>
      </c>
      <c r="E7123" s="16">
        <f>IF(B7123,StartDate+D7123,"")</f>
        <v/>
      </c>
      <c r="F7123">
        <f>IF(B7123,MAX(MOD(SIN(Seed*0.1373+C7123*12.9898+D7123*78.233)*43758.5453,1),1E-9),"")</f>
        <v/>
      </c>
      <c r="G7123">
        <f>IF(B7123,MOD(SIN(Seed*0.5917+C7123*39.3468+D7123*11.135)*24634.6345,1),"")</f>
        <v/>
      </c>
      <c r="H7123">
        <f>IF(B7123,SQRT(-2*LN(F7123))*COS(2*PI()*G7123),"")</f>
        <v/>
      </c>
      <c r="I7123">
        <f>IF(B7123,IF(D7123=0,H7123,Rho*I7122+SQRT(1-Rho^2)*H7123),"")</f>
        <v/>
      </c>
      <c r="J7123">
        <f>IF(B7123,IF(Dist="Normal",DistA+DistB*I7123,DistA+(DistB-DistA)*NORMSDIST(I7123)),"")</f>
        <v/>
      </c>
      <c r="K7123">
        <f>IF(B7123,INDEX(MineScale,C7123),"")</f>
        <v/>
      </c>
      <c r="L7123">
        <f>IF(B7123,INDEX(Dow,1,WEEKDAY(E7123,2)),"")</f>
        <v/>
      </c>
      <c r="M7123">
        <f>IF(B7123,(1+Trend)^D7123,"")</f>
        <v/>
      </c>
      <c r="N7123">
        <f>IF(B7123,EXP(SUMPRODUCT(LN(1+(EvEff-1)*INDEX(Affected,0,C7123)*EXP(-((E7123-EvCenter)^2)/(2*EvSigma^2))))),"")</f>
        <v/>
      </c>
      <c r="O7123">
        <f>IF(B7123,ROUND(MAX(0,J7123*K7123*L7123*M7123*N7123),2),"")</f>
        <v/>
      </c>
    </row>
    <row r="7124">
      <c r="A7124" t="n">
        <v>7123</v>
      </c>
      <c r="B7124">
        <f>A7124&lt;=MineCount*Days</f>
        <v/>
      </c>
      <c r="C7124">
        <f>IF(B7124,INT((A7124-1)/Days)+1,"")</f>
        <v/>
      </c>
      <c r="D7124">
        <f>IF(B7124,MOD(A7124-1,Days),"")</f>
        <v/>
      </c>
      <c r="E7124" s="16">
        <f>IF(B7124,StartDate+D7124,"")</f>
        <v/>
      </c>
      <c r="F7124">
        <f>IF(B7124,MAX(MOD(SIN(Seed*0.1373+C7124*12.9898+D7124*78.233)*43758.5453,1),1E-9),"")</f>
        <v/>
      </c>
      <c r="G7124">
        <f>IF(B7124,MOD(SIN(Seed*0.5917+C7124*39.3468+D7124*11.135)*24634.6345,1),"")</f>
        <v/>
      </c>
      <c r="H7124">
        <f>IF(B7124,SQRT(-2*LN(F7124))*COS(2*PI()*G7124),"")</f>
        <v/>
      </c>
      <c r="I7124">
        <f>IF(B7124,IF(D7124=0,H7124,Rho*I7123+SQRT(1-Rho^2)*H7124),"")</f>
        <v/>
      </c>
      <c r="J7124">
        <f>IF(B7124,IF(Dist="Normal",DistA+DistB*I7124,DistA+(DistB-DistA)*NORMSDIST(I7124)),"")</f>
        <v/>
      </c>
      <c r="K7124">
        <f>IF(B7124,INDEX(MineScale,C7124),"")</f>
        <v/>
      </c>
      <c r="L7124">
        <f>IF(B7124,INDEX(Dow,1,WEEKDAY(E7124,2)),"")</f>
        <v/>
      </c>
      <c r="M7124">
        <f>IF(B7124,(1+Trend)^D7124,"")</f>
        <v/>
      </c>
      <c r="N7124">
        <f>IF(B7124,EXP(SUMPRODUCT(LN(1+(EvEff-1)*INDEX(Affected,0,C7124)*EXP(-((E7124-EvCenter)^2)/(2*EvSigma^2))))),"")</f>
        <v/>
      </c>
      <c r="O7124">
        <f>IF(B7124,ROUND(MAX(0,J7124*K7124*L7124*M7124*N7124),2),"")</f>
        <v/>
      </c>
    </row>
    <row r="7125">
      <c r="A7125" t="n">
        <v>7124</v>
      </c>
      <c r="B7125">
        <f>A7125&lt;=MineCount*Days</f>
        <v/>
      </c>
      <c r="C7125">
        <f>IF(B7125,INT((A7125-1)/Days)+1,"")</f>
        <v/>
      </c>
      <c r="D7125">
        <f>IF(B7125,MOD(A7125-1,Days),"")</f>
        <v/>
      </c>
      <c r="E7125" s="16">
        <f>IF(B7125,StartDate+D7125,"")</f>
        <v/>
      </c>
      <c r="F7125">
        <f>IF(B7125,MAX(MOD(SIN(Seed*0.1373+C7125*12.9898+D7125*78.233)*43758.5453,1),1E-9),"")</f>
        <v/>
      </c>
      <c r="G7125">
        <f>IF(B7125,MOD(SIN(Seed*0.5917+C7125*39.3468+D7125*11.135)*24634.6345,1),"")</f>
        <v/>
      </c>
      <c r="H7125">
        <f>IF(B7125,SQRT(-2*LN(F7125))*COS(2*PI()*G7125),"")</f>
        <v/>
      </c>
      <c r="I7125">
        <f>IF(B7125,IF(D7125=0,H7125,Rho*I7124+SQRT(1-Rho^2)*H7125),"")</f>
        <v/>
      </c>
      <c r="J7125">
        <f>IF(B7125,IF(Dist="Normal",DistA+DistB*I7125,DistA+(DistB-DistA)*NORMSDIST(I7125)),"")</f>
        <v/>
      </c>
      <c r="K7125">
        <f>IF(B7125,INDEX(MineScale,C7125),"")</f>
        <v/>
      </c>
      <c r="L7125">
        <f>IF(B7125,INDEX(Dow,1,WEEKDAY(E7125,2)),"")</f>
        <v/>
      </c>
      <c r="M7125">
        <f>IF(B7125,(1+Trend)^D7125,"")</f>
        <v/>
      </c>
      <c r="N7125">
        <f>IF(B7125,EXP(SUMPRODUCT(LN(1+(EvEff-1)*INDEX(Affected,0,C7125)*EXP(-((E7125-EvCenter)^2)/(2*EvSigma^2))))),"")</f>
        <v/>
      </c>
      <c r="O7125">
        <f>IF(B7125,ROUND(MAX(0,J7125*K7125*L7125*M7125*N7125),2),"")</f>
        <v/>
      </c>
    </row>
    <row r="7126">
      <c r="A7126" t="n">
        <v>7125</v>
      </c>
      <c r="B7126">
        <f>A7126&lt;=MineCount*Days</f>
        <v/>
      </c>
      <c r="C7126">
        <f>IF(B7126,INT((A7126-1)/Days)+1,"")</f>
        <v/>
      </c>
      <c r="D7126">
        <f>IF(B7126,MOD(A7126-1,Days),"")</f>
        <v/>
      </c>
      <c r="E7126" s="16">
        <f>IF(B7126,StartDate+D7126,"")</f>
        <v/>
      </c>
      <c r="F7126">
        <f>IF(B7126,MAX(MOD(SIN(Seed*0.1373+C7126*12.9898+D7126*78.233)*43758.5453,1),1E-9),"")</f>
        <v/>
      </c>
      <c r="G7126">
        <f>IF(B7126,MOD(SIN(Seed*0.5917+C7126*39.3468+D7126*11.135)*24634.6345,1),"")</f>
        <v/>
      </c>
      <c r="H7126">
        <f>IF(B7126,SQRT(-2*LN(F7126))*COS(2*PI()*G7126),"")</f>
        <v/>
      </c>
      <c r="I7126">
        <f>IF(B7126,IF(D7126=0,H7126,Rho*I7125+SQRT(1-Rho^2)*H7126),"")</f>
        <v/>
      </c>
      <c r="J7126">
        <f>IF(B7126,IF(Dist="Normal",DistA+DistB*I7126,DistA+(DistB-DistA)*NORMSDIST(I7126)),"")</f>
        <v/>
      </c>
      <c r="K7126">
        <f>IF(B7126,INDEX(MineScale,C7126),"")</f>
        <v/>
      </c>
      <c r="L7126">
        <f>IF(B7126,INDEX(Dow,1,WEEKDAY(E7126,2)),"")</f>
        <v/>
      </c>
      <c r="M7126">
        <f>IF(B7126,(1+Trend)^D7126,"")</f>
        <v/>
      </c>
      <c r="N7126">
        <f>IF(B7126,EXP(SUMPRODUCT(LN(1+(EvEff-1)*INDEX(Affected,0,C7126)*EXP(-((E7126-EvCenter)^2)/(2*EvSigma^2))))),"")</f>
        <v/>
      </c>
      <c r="O7126">
        <f>IF(B7126,ROUND(MAX(0,J7126*K7126*L7126*M7126*N7126),2),"")</f>
        <v/>
      </c>
    </row>
    <row r="7127">
      <c r="A7127" t="n">
        <v>7126</v>
      </c>
      <c r="B7127">
        <f>A7127&lt;=MineCount*Days</f>
        <v/>
      </c>
      <c r="C7127">
        <f>IF(B7127,INT((A7127-1)/Days)+1,"")</f>
        <v/>
      </c>
      <c r="D7127">
        <f>IF(B7127,MOD(A7127-1,Days),"")</f>
        <v/>
      </c>
      <c r="E7127" s="16">
        <f>IF(B7127,StartDate+D7127,"")</f>
        <v/>
      </c>
      <c r="F7127">
        <f>IF(B7127,MAX(MOD(SIN(Seed*0.1373+C7127*12.9898+D7127*78.233)*43758.5453,1),1E-9),"")</f>
        <v/>
      </c>
      <c r="G7127">
        <f>IF(B7127,MOD(SIN(Seed*0.5917+C7127*39.3468+D7127*11.135)*24634.6345,1),"")</f>
        <v/>
      </c>
      <c r="H7127">
        <f>IF(B7127,SQRT(-2*LN(F7127))*COS(2*PI()*G7127),"")</f>
        <v/>
      </c>
      <c r="I7127">
        <f>IF(B7127,IF(D7127=0,H7127,Rho*I7126+SQRT(1-Rho^2)*H7127),"")</f>
        <v/>
      </c>
      <c r="J7127">
        <f>IF(B7127,IF(Dist="Normal",DistA+DistB*I7127,DistA+(DistB-DistA)*NORMSDIST(I7127)),"")</f>
        <v/>
      </c>
      <c r="K7127">
        <f>IF(B7127,INDEX(MineScale,C7127),"")</f>
        <v/>
      </c>
      <c r="L7127">
        <f>IF(B7127,INDEX(Dow,1,WEEKDAY(E7127,2)),"")</f>
        <v/>
      </c>
      <c r="M7127">
        <f>IF(B7127,(1+Trend)^D7127,"")</f>
        <v/>
      </c>
      <c r="N7127">
        <f>IF(B7127,EXP(SUMPRODUCT(LN(1+(EvEff-1)*INDEX(Affected,0,C7127)*EXP(-((E7127-EvCenter)^2)/(2*EvSigma^2))))),"")</f>
        <v/>
      </c>
      <c r="O7127">
        <f>IF(B7127,ROUND(MAX(0,J7127*K7127*L7127*M7127*N7127),2),"")</f>
        <v/>
      </c>
    </row>
    <row r="7128">
      <c r="A7128" t="n">
        <v>7127</v>
      </c>
      <c r="B7128">
        <f>A7128&lt;=MineCount*Days</f>
        <v/>
      </c>
      <c r="C7128">
        <f>IF(B7128,INT((A7128-1)/Days)+1,"")</f>
        <v/>
      </c>
      <c r="D7128">
        <f>IF(B7128,MOD(A7128-1,Days),"")</f>
        <v/>
      </c>
      <c r="E7128" s="16">
        <f>IF(B7128,StartDate+D7128,"")</f>
        <v/>
      </c>
      <c r="F7128">
        <f>IF(B7128,MAX(MOD(SIN(Seed*0.1373+C7128*12.9898+D7128*78.233)*43758.5453,1),1E-9),"")</f>
        <v/>
      </c>
      <c r="G7128">
        <f>IF(B7128,MOD(SIN(Seed*0.5917+C7128*39.3468+D7128*11.135)*24634.6345,1),"")</f>
        <v/>
      </c>
      <c r="H7128">
        <f>IF(B7128,SQRT(-2*LN(F7128))*COS(2*PI()*G7128),"")</f>
        <v/>
      </c>
      <c r="I7128">
        <f>IF(B7128,IF(D7128=0,H7128,Rho*I7127+SQRT(1-Rho^2)*H7128),"")</f>
        <v/>
      </c>
      <c r="J7128">
        <f>IF(B7128,IF(Dist="Normal",DistA+DistB*I7128,DistA+(DistB-DistA)*NORMSDIST(I7128)),"")</f>
        <v/>
      </c>
      <c r="K7128">
        <f>IF(B7128,INDEX(MineScale,C7128),"")</f>
        <v/>
      </c>
      <c r="L7128">
        <f>IF(B7128,INDEX(Dow,1,WEEKDAY(E7128,2)),"")</f>
        <v/>
      </c>
      <c r="M7128">
        <f>IF(B7128,(1+Trend)^D7128,"")</f>
        <v/>
      </c>
      <c r="N7128">
        <f>IF(B7128,EXP(SUMPRODUCT(LN(1+(EvEff-1)*INDEX(Affected,0,C7128)*EXP(-((E7128-EvCenter)^2)/(2*EvSigma^2))))),"")</f>
        <v/>
      </c>
      <c r="O7128">
        <f>IF(B7128,ROUND(MAX(0,J7128*K7128*L7128*M7128*N7128),2),"")</f>
        <v/>
      </c>
    </row>
    <row r="7129">
      <c r="A7129" t="n">
        <v>7128</v>
      </c>
      <c r="B7129">
        <f>A7129&lt;=MineCount*Days</f>
        <v/>
      </c>
      <c r="C7129">
        <f>IF(B7129,INT((A7129-1)/Days)+1,"")</f>
        <v/>
      </c>
      <c r="D7129">
        <f>IF(B7129,MOD(A7129-1,Days),"")</f>
        <v/>
      </c>
      <c r="E7129" s="16">
        <f>IF(B7129,StartDate+D7129,"")</f>
        <v/>
      </c>
      <c r="F7129">
        <f>IF(B7129,MAX(MOD(SIN(Seed*0.1373+C7129*12.9898+D7129*78.233)*43758.5453,1),1E-9),"")</f>
        <v/>
      </c>
      <c r="G7129">
        <f>IF(B7129,MOD(SIN(Seed*0.5917+C7129*39.3468+D7129*11.135)*24634.6345,1),"")</f>
        <v/>
      </c>
      <c r="H7129">
        <f>IF(B7129,SQRT(-2*LN(F7129))*COS(2*PI()*G7129),"")</f>
        <v/>
      </c>
      <c r="I7129">
        <f>IF(B7129,IF(D7129=0,H7129,Rho*I7128+SQRT(1-Rho^2)*H7129),"")</f>
        <v/>
      </c>
      <c r="J7129">
        <f>IF(B7129,IF(Dist="Normal",DistA+DistB*I7129,DistA+(DistB-DistA)*NORMSDIST(I7129)),"")</f>
        <v/>
      </c>
      <c r="K7129">
        <f>IF(B7129,INDEX(MineScale,C7129),"")</f>
        <v/>
      </c>
      <c r="L7129">
        <f>IF(B7129,INDEX(Dow,1,WEEKDAY(E7129,2)),"")</f>
        <v/>
      </c>
      <c r="M7129">
        <f>IF(B7129,(1+Trend)^D7129,"")</f>
        <v/>
      </c>
      <c r="N7129">
        <f>IF(B7129,EXP(SUMPRODUCT(LN(1+(EvEff-1)*INDEX(Affected,0,C7129)*EXP(-((E7129-EvCenter)^2)/(2*EvSigma^2))))),"")</f>
        <v/>
      </c>
      <c r="O7129">
        <f>IF(B7129,ROUND(MAX(0,J7129*K7129*L7129*M7129*N7129),2),"")</f>
        <v/>
      </c>
    </row>
    <row r="7130">
      <c r="A7130" t="n">
        <v>7129</v>
      </c>
      <c r="B7130">
        <f>A7130&lt;=MineCount*Days</f>
        <v/>
      </c>
      <c r="C7130">
        <f>IF(B7130,INT((A7130-1)/Days)+1,"")</f>
        <v/>
      </c>
      <c r="D7130">
        <f>IF(B7130,MOD(A7130-1,Days),"")</f>
        <v/>
      </c>
      <c r="E7130" s="16">
        <f>IF(B7130,StartDate+D7130,"")</f>
        <v/>
      </c>
      <c r="F7130">
        <f>IF(B7130,MAX(MOD(SIN(Seed*0.1373+C7130*12.9898+D7130*78.233)*43758.5453,1),1E-9),"")</f>
        <v/>
      </c>
      <c r="G7130">
        <f>IF(B7130,MOD(SIN(Seed*0.5917+C7130*39.3468+D7130*11.135)*24634.6345,1),"")</f>
        <v/>
      </c>
      <c r="H7130">
        <f>IF(B7130,SQRT(-2*LN(F7130))*COS(2*PI()*G7130),"")</f>
        <v/>
      </c>
      <c r="I7130">
        <f>IF(B7130,IF(D7130=0,H7130,Rho*I7129+SQRT(1-Rho^2)*H7130),"")</f>
        <v/>
      </c>
      <c r="J7130">
        <f>IF(B7130,IF(Dist="Normal",DistA+DistB*I7130,DistA+(DistB-DistA)*NORMSDIST(I7130)),"")</f>
        <v/>
      </c>
      <c r="K7130">
        <f>IF(B7130,INDEX(MineScale,C7130),"")</f>
        <v/>
      </c>
      <c r="L7130">
        <f>IF(B7130,INDEX(Dow,1,WEEKDAY(E7130,2)),"")</f>
        <v/>
      </c>
      <c r="M7130">
        <f>IF(B7130,(1+Trend)^D7130,"")</f>
        <v/>
      </c>
      <c r="N7130">
        <f>IF(B7130,EXP(SUMPRODUCT(LN(1+(EvEff-1)*INDEX(Affected,0,C7130)*EXP(-((E7130-EvCenter)^2)/(2*EvSigma^2))))),"")</f>
        <v/>
      </c>
      <c r="O7130">
        <f>IF(B7130,ROUND(MAX(0,J7130*K7130*L7130*M7130*N7130),2),"")</f>
        <v/>
      </c>
    </row>
    <row r="7131">
      <c r="A7131" t="n">
        <v>7130</v>
      </c>
      <c r="B7131">
        <f>A7131&lt;=MineCount*Days</f>
        <v/>
      </c>
      <c r="C7131">
        <f>IF(B7131,INT((A7131-1)/Days)+1,"")</f>
        <v/>
      </c>
      <c r="D7131">
        <f>IF(B7131,MOD(A7131-1,Days),"")</f>
        <v/>
      </c>
      <c r="E7131" s="16">
        <f>IF(B7131,StartDate+D7131,"")</f>
        <v/>
      </c>
      <c r="F7131">
        <f>IF(B7131,MAX(MOD(SIN(Seed*0.1373+C7131*12.9898+D7131*78.233)*43758.5453,1),1E-9),"")</f>
        <v/>
      </c>
      <c r="G7131">
        <f>IF(B7131,MOD(SIN(Seed*0.5917+C7131*39.3468+D7131*11.135)*24634.6345,1),"")</f>
        <v/>
      </c>
      <c r="H7131">
        <f>IF(B7131,SQRT(-2*LN(F7131))*COS(2*PI()*G7131),"")</f>
        <v/>
      </c>
      <c r="I7131">
        <f>IF(B7131,IF(D7131=0,H7131,Rho*I7130+SQRT(1-Rho^2)*H7131),"")</f>
        <v/>
      </c>
      <c r="J7131">
        <f>IF(B7131,IF(Dist="Normal",DistA+DistB*I7131,DistA+(DistB-DistA)*NORMSDIST(I7131)),"")</f>
        <v/>
      </c>
      <c r="K7131">
        <f>IF(B7131,INDEX(MineScale,C7131),"")</f>
        <v/>
      </c>
      <c r="L7131">
        <f>IF(B7131,INDEX(Dow,1,WEEKDAY(E7131,2)),"")</f>
        <v/>
      </c>
      <c r="M7131">
        <f>IF(B7131,(1+Trend)^D7131,"")</f>
        <v/>
      </c>
      <c r="N7131">
        <f>IF(B7131,EXP(SUMPRODUCT(LN(1+(EvEff-1)*INDEX(Affected,0,C7131)*EXP(-((E7131-EvCenter)^2)/(2*EvSigma^2))))),"")</f>
        <v/>
      </c>
      <c r="O7131">
        <f>IF(B7131,ROUND(MAX(0,J7131*K7131*L7131*M7131*N7131),2),"")</f>
        <v/>
      </c>
    </row>
    <row r="7132">
      <c r="A7132" t="n">
        <v>7131</v>
      </c>
      <c r="B7132">
        <f>A7132&lt;=MineCount*Days</f>
        <v/>
      </c>
      <c r="C7132">
        <f>IF(B7132,INT((A7132-1)/Days)+1,"")</f>
        <v/>
      </c>
      <c r="D7132">
        <f>IF(B7132,MOD(A7132-1,Days),"")</f>
        <v/>
      </c>
      <c r="E7132" s="16">
        <f>IF(B7132,StartDate+D7132,"")</f>
        <v/>
      </c>
      <c r="F7132">
        <f>IF(B7132,MAX(MOD(SIN(Seed*0.1373+C7132*12.9898+D7132*78.233)*43758.5453,1),1E-9),"")</f>
        <v/>
      </c>
      <c r="G7132">
        <f>IF(B7132,MOD(SIN(Seed*0.5917+C7132*39.3468+D7132*11.135)*24634.6345,1),"")</f>
        <v/>
      </c>
      <c r="H7132">
        <f>IF(B7132,SQRT(-2*LN(F7132))*COS(2*PI()*G7132),"")</f>
        <v/>
      </c>
      <c r="I7132">
        <f>IF(B7132,IF(D7132=0,H7132,Rho*I7131+SQRT(1-Rho^2)*H7132),"")</f>
        <v/>
      </c>
      <c r="J7132">
        <f>IF(B7132,IF(Dist="Normal",DistA+DistB*I7132,DistA+(DistB-DistA)*NORMSDIST(I7132)),"")</f>
        <v/>
      </c>
      <c r="K7132">
        <f>IF(B7132,INDEX(MineScale,C7132),"")</f>
        <v/>
      </c>
      <c r="L7132">
        <f>IF(B7132,INDEX(Dow,1,WEEKDAY(E7132,2)),"")</f>
        <v/>
      </c>
      <c r="M7132">
        <f>IF(B7132,(1+Trend)^D7132,"")</f>
        <v/>
      </c>
      <c r="N7132">
        <f>IF(B7132,EXP(SUMPRODUCT(LN(1+(EvEff-1)*INDEX(Affected,0,C7132)*EXP(-((E7132-EvCenter)^2)/(2*EvSigma^2))))),"")</f>
        <v/>
      </c>
      <c r="O7132">
        <f>IF(B7132,ROUND(MAX(0,J7132*K7132*L7132*M7132*N7132),2),"")</f>
        <v/>
      </c>
    </row>
    <row r="7133">
      <c r="A7133" t="n">
        <v>7132</v>
      </c>
      <c r="B7133">
        <f>A7133&lt;=MineCount*Days</f>
        <v/>
      </c>
      <c r="C7133">
        <f>IF(B7133,INT((A7133-1)/Days)+1,"")</f>
        <v/>
      </c>
      <c r="D7133">
        <f>IF(B7133,MOD(A7133-1,Days),"")</f>
        <v/>
      </c>
      <c r="E7133" s="16">
        <f>IF(B7133,StartDate+D7133,"")</f>
        <v/>
      </c>
      <c r="F7133">
        <f>IF(B7133,MAX(MOD(SIN(Seed*0.1373+C7133*12.9898+D7133*78.233)*43758.5453,1),1E-9),"")</f>
        <v/>
      </c>
      <c r="G7133">
        <f>IF(B7133,MOD(SIN(Seed*0.5917+C7133*39.3468+D7133*11.135)*24634.6345,1),"")</f>
        <v/>
      </c>
      <c r="H7133">
        <f>IF(B7133,SQRT(-2*LN(F7133))*COS(2*PI()*G7133),"")</f>
        <v/>
      </c>
      <c r="I7133">
        <f>IF(B7133,IF(D7133=0,H7133,Rho*I7132+SQRT(1-Rho^2)*H7133),"")</f>
        <v/>
      </c>
      <c r="J7133">
        <f>IF(B7133,IF(Dist="Normal",DistA+DistB*I7133,DistA+(DistB-DistA)*NORMSDIST(I7133)),"")</f>
        <v/>
      </c>
      <c r="K7133">
        <f>IF(B7133,INDEX(MineScale,C7133),"")</f>
        <v/>
      </c>
      <c r="L7133">
        <f>IF(B7133,INDEX(Dow,1,WEEKDAY(E7133,2)),"")</f>
        <v/>
      </c>
      <c r="M7133">
        <f>IF(B7133,(1+Trend)^D7133,"")</f>
        <v/>
      </c>
      <c r="N7133">
        <f>IF(B7133,EXP(SUMPRODUCT(LN(1+(EvEff-1)*INDEX(Affected,0,C7133)*EXP(-((E7133-EvCenter)^2)/(2*EvSigma^2))))),"")</f>
        <v/>
      </c>
      <c r="O7133">
        <f>IF(B7133,ROUND(MAX(0,J7133*K7133*L7133*M7133*N7133),2),"")</f>
        <v/>
      </c>
    </row>
    <row r="7134">
      <c r="A7134" t="n">
        <v>7133</v>
      </c>
      <c r="B7134">
        <f>A7134&lt;=MineCount*Days</f>
        <v/>
      </c>
      <c r="C7134">
        <f>IF(B7134,INT((A7134-1)/Days)+1,"")</f>
        <v/>
      </c>
      <c r="D7134">
        <f>IF(B7134,MOD(A7134-1,Days),"")</f>
        <v/>
      </c>
      <c r="E7134" s="16">
        <f>IF(B7134,StartDate+D7134,"")</f>
        <v/>
      </c>
      <c r="F7134">
        <f>IF(B7134,MAX(MOD(SIN(Seed*0.1373+C7134*12.9898+D7134*78.233)*43758.5453,1),1E-9),"")</f>
        <v/>
      </c>
      <c r="G7134">
        <f>IF(B7134,MOD(SIN(Seed*0.5917+C7134*39.3468+D7134*11.135)*24634.6345,1),"")</f>
        <v/>
      </c>
      <c r="H7134">
        <f>IF(B7134,SQRT(-2*LN(F7134))*COS(2*PI()*G7134),"")</f>
        <v/>
      </c>
      <c r="I7134">
        <f>IF(B7134,IF(D7134=0,H7134,Rho*I7133+SQRT(1-Rho^2)*H7134),"")</f>
        <v/>
      </c>
      <c r="J7134">
        <f>IF(B7134,IF(Dist="Normal",DistA+DistB*I7134,DistA+(DistB-DistA)*NORMSDIST(I7134)),"")</f>
        <v/>
      </c>
      <c r="K7134">
        <f>IF(B7134,INDEX(MineScale,C7134),"")</f>
        <v/>
      </c>
      <c r="L7134">
        <f>IF(B7134,INDEX(Dow,1,WEEKDAY(E7134,2)),"")</f>
        <v/>
      </c>
      <c r="M7134">
        <f>IF(B7134,(1+Trend)^D7134,"")</f>
        <v/>
      </c>
      <c r="N7134">
        <f>IF(B7134,EXP(SUMPRODUCT(LN(1+(EvEff-1)*INDEX(Affected,0,C7134)*EXP(-((E7134-EvCenter)^2)/(2*EvSigma^2))))),"")</f>
        <v/>
      </c>
      <c r="O7134">
        <f>IF(B7134,ROUND(MAX(0,J7134*K7134*L7134*M7134*N7134),2),"")</f>
        <v/>
      </c>
    </row>
    <row r="7135">
      <c r="A7135" t="n">
        <v>7134</v>
      </c>
      <c r="B7135">
        <f>A7135&lt;=MineCount*Days</f>
        <v/>
      </c>
      <c r="C7135">
        <f>IF(B7135,INT((A7135-1)/Days)+1,"")</f>
        <v/>
      </c>
      <c r="D7135">
        <f>IF(B7135,MOD(A7135-1,Days),"")</f>
        <v/>
      </c>
      <c r="E7135" s="16">
        <f>IF(B7135,StartDate+D7135,"")</f>
        <v/>
      </c>
      <c r="F7135">
        <f>IF(B7135,MAX(MOD(SIN(Seed*0.1373+C7135*12.9898+D7135*78.233)*43758.5453,1),1E-9),"")</f>
        <v/>
      </c>
      <c r="G7135">
        <f>IF(B7135,MOD(SIN(Seed*0.5917+C7135*39.3468+D7135*11.135)*24634.6345,1),"")</f>
        <v/>
      </c>
      <c r="H7135">
        <f>IF(B7135,SQRT(-2*LN(F7135))*COS(2*PI()*G7135),"")</f>
        <v/>
      </c>
      <c r="I7135">
        <f>IF(B7135,IF(D7135=0,H7135,Rho*I7134+SQRT(1-Rho^2)*H7135),"")</f>
        <v/>
      </c>
      <c r="J7135">
        <f>IF(B7135,IF(Dist="Normal",DistA+DistB*I7135,DistA+(DistB-DistA)*NORMSDIST(I7135)),"")</f>
        <v/>
      </c>
      <c r="K7135">
        <f>IF(B7135,INDEX(MineScale,C7135),"")</f>
        <v/>
      </c>
      <c r="L7135">
        <f>IF(B7135,INDEX(Dow,1,WEEKDAY(E7135,2)),"")</f>
        <v/>
      </c>
      <c r="M7135">
        <f>IF(B7135,(1+Trend)^D7135,"")</f>
        <v/>
      </c>
      <c r="N7135">
        <f>IF(B7135,EXP(SUMPRODUCT(LN(1+(EvEff-1)*INDEX(Affected,0,C7135)*EXP(-((E7135-EvCenter)^2)/(2*EvSigma^2))))),"")</f>
        <v/>
      </c>
      <c r="O7135">
        <f>IF(B7135,ROUND(MAX(0,J7135*K7135*L7135*M7135*N7135),2),"")</f>
        <v/>
      </c>
    </row>
    <row r="7136">
      <c r="A7136" t="n">
        <v>7135</v>
      </c>
      <c r="B7136">
        <f>A7136&lt;=MineCount*Days</f>
        <v/>
      </c>
      <c r="C7136">
        <f>IF(B7136,INT((A7136-1)/Days)+1,"")</f>
        <v/>
      </c>
      <c r="D7136">
        <f>IF(B7136,MOD(A7136-1,Days),"")</f>
        <v/>
      </c>
      <c r="E7136" s="16">
        <f>IF(B7136,StartDate+D7136,"")</f>
        <v/>
      </c>
      <c r="F7136">
        <f>IF(B7136,MAX(MOD(SIN(Seed*0.1373+C7136*12.9898+D7136*78.233)*43758.5453,1),1E-9),"")</f>
        <v/>
      </c>
      <c r="G7136">
        <f>IF(B7136,MOD(SIN(Seed*0.5917+C7136*39.3468+D7136*11.135)*24634.6345,1),"")</f>
        <v/>
      </c>
      <c r="H7136">
        <f>IF(B7136,SQRT(-2*LN(F7136))*COS(2*PI()*G7136),"")</f>
        <v/>
      </c>
      <c r="I7136">
        <f>IF(B7136,IF(D7136=0,H7136,Rho*I7135+SQRT(1-Rho^2)*H7136),"")</f>
        <v/>
      </c>
      <c r="J7136">
        <f>IF(B7136,IF(Dist="Normal",DistA+DistB*I7136,DistA+(DistB-DistA)*NORMSDIST(I7136)),"")</f>
        <v/>
      </c>
      <c r="K7136">
        <f>IF(B7136,INDEX(MineScale,C7136),"")</f>
        <v/>
      </c>
      <c r="L7136">
        <f>IF(B7136,INDEX(Dow,1,WEEKDAY(E7136,2)),"")</f>
        <v/>
      </c>
      <c r="M7136">
        <f>IF(B7136,(1+Trend)^D7136,"")</f>
        <v/>
      </c>
      <c r="N7136">
        <f>IF(B7136,EXP(SUMPRODUCT(LN(1+(EvEff-1)*INDEX(Affected,0,C7136)*EXP(-((E7136-EvCenter)^2)/(2*EvSigma^2))))),"")</f>
        <v/>
      </c>
      <c r="O7136">
        <f>IF(B7136,ROUND(MAX(0,J7136*K7136*L7136*M7136*N7136),2),"")</f>
        <v/>
      </c>
    </row>
    <row r="7137">
      <c r="A7137" t="n">
        <v>7136</v>
      </c>
      <c r="B7137">
        <f>A7137&lt;=MineCount*Days</f>
        <v/>
      </c>
      <c r="C7137">
        <f>IF(B7137,INT((A7137-1)/Days)+1,"")</f>
        <v/>
      </c>
      <c r="D7137">
        <f>IF(B7137,MOD(A7137-1,Days),"")</f>
        <v/>
      </c>
      <c r="E7137" s="16">
        <f>IF(B7137,StartDate+D7137,"")</f>
        <v/>
      </c>
      <c r="F7137">
        <f>IF(B7137,MAX(MOD(SIN(Seed*0.1373+C7137*12.9898+D7137*78.233)*43758.5453,1),1E-9),"")</f>
        <v/>
      </c>
      <c r="G7137">
        <f>IF(B7137,MOD(SIN(Seed*0.5917+C7137*39.3468+D7137*11.135)*24634.6345,1),"")</f>
        <v/>
      </c>
      <c r="H7137">
        <f>IF(B7137,SQRT(-2*LN(F7137))*COS(2*PI()*G7137),"")</f>
        <v/>
      </c>
      <c r="I7137">
        <f>IF(B7137,IF(D7137=0,H7137,Rho*I7136+SQRT(1-Rho^2)*H7137),"")</f>
        <v/>
      </c>
      <c r="J7137">
        <f>IF(B7137,IF(Dist="Normal",DistA+DistB*I7137,DistA+(DistB-DistA)*NORMSDIST(I7137)),"")</f>
        <v/>
      </c>
      <c r="K7137">
        <f>IF(B7137,INDEX(MineScale,C7137),"")</f>
        <v/>
      </c>
      <c r="L7137">
        <f>IF(B7137,INDEX(Dow,1,WEEKDAY(E7137,2)),"")</f>
        <v/>
      </c>
      <c r="M7137">
        <f>IF(B7137,(1+Trend)^D7137,"")</f>
        <v/>
      </c>
      <c r="N7137">
        <f>IF(B7137,EXP(SUMPRODUCT(LN(1+(EvEff-1)*INDEX(Affected,0,C7137)*EXP(-((E7137-EvCenter)^2)/(2*EvSigma^2))))),"")</f>
        <v/>
      </c>
      <c r="O7137">
        <f>IF(B7137,ROUND(MAX(0,J7137*K7137*L7137*M7137*N7137),2),"")</f>
        <v/>
      </c>
    </row>
    <row r="7138">
      <c r="A7138" t="n">
        <v>7137</v>
      </c>
      <c r="B7138">
        <f>A7138&lt;=MineCount*Days</f>
        <v/>
      </c>
      <c r="C7138">
        <f>IF(B7138,INT((A7138-1)/Days)+1,"")</f>
        <v/>
      </c>
      <c r="D7138">
        <f>IF(B7138,MOD(A7138-1,Days),"")</f>
        <v/>
      </c>
      <c r="E7138" s="16">
        <f>IF(B7138,StartDate+D7138,"")</f>
        <v/>
      </c>
      <c r="F7138">
        <f>IF(B7138,MAX(MOD(SIN(Seed*0.1373+C7138*12.9898+D7138*78.233)*43758.5453,1),1E-9),"")</f>
        <v/>
      </c>
      <c r="G7138">
        <f>IF(B7138,MOD(SIN(Seed*0.5917+C7138*39.3468+D7138*11.135)*24634.6345,1),"")</f>
        <v/>
      </c>
      <c r="H7138">
        <f>IF(B7138,SQRT(-2*LN(F7138))*COS(2*PI()*G7138),"")</f>
        <v/>
      </c>
      <c r="I7138">
        <f>IF(B7138,IF(D7138=0,H7138,Rho*I7137+SQRT(1-Rho^2)*H7138),"")</f>
        <v/>
      </c>
      <c r="J7138">
        <f>IF(B7138,IF(Dist="Normal",DistA+DistB*I7138,DistA+(DistB-DistA)*NORMSDIST(I7138)),"")</f>
        <v/>
      </c>
      <c r="K7138">
        <f>IF(B7138,INDEX(MineScale,C7138),"")</f>
        <v/>
      </c>
      <c r="L7138">
        <f>IF(B7138,INDEX(Dow,1,WEEKDAY(E7138,2)),"")</f>
        <v/>
      </c>
      <c r="M7138">
        <f>IF(B7138,(1+Trend)^D7138,"")</f>
        <v/>
      </c>
      <c r="N7138">
        <f>IF(B7138,EXP(SUMPRODUCT(LN(1+(EvEff-1)*INDEX(Affected,0,C7138)*EXP(-((E7138-EvCenter)^2)/(2*EvSigma^2))))),"")</f>
        <v/>
      </c>
      <c r="O7138">
        <f>IF(B7138,ROUND(MAX(0,J7138*K7138*L7138*M7138*N7138),2),"")</f>
        <v/>
      </c>
    </row>
    <row r="7139">
      <c r="A7139" t="n">
        <v>7138</v>
      </c>
      <c r="B7139">
        <f>A7139&lt;=MineCount*Days</f>
        <v/>
      </c>
      <c r="C7139">
        <f>IF(B7139,INT((A7139-1)/Days)+1,"")</f>
        <v/>
      </c>
      <c r="D7139">
        <f>IF(B7139,MOD(A7139-1,Days),"")</f>
        <v/>
      </c>
      <c r="E7139" s="16">
        <f>IF(B7139,StartDate+D7139,"")</f>
        <v/>
      </c>
      <c r="F7139">
        <f>IF(B7139,MAX(MOD(SIN(Seed*0.1373+C7139*12.9898+D7139*78.233)*43758.5453,1),1E-9),"")</f>
        <v/>
      </c>
      <c r="G7139">
        <f>IF(B7139,MOD(SIN(Seed*0.5917+C7139*39.3468+D7139*11.135)*24634.6345,1),"")</f>
        <v/>
      </c>
      <c r="H7139">
        <f>IF(B7139,SQRT(-2*LN(F7139))*COS(2*PI()*G7139),"")</f>
        <v/>
      </c>
      <c r="I7139">
        <f>IF(B7139,IF(D7139=0,H7139,Rho*I7138+SQRT(1-Rho^2)*H7139),"")</f>
        <v/>
      </c>
      <c r="J7139">
        <f>IF(B7139,IF(Dist="Normal",DistA+DistB*I7139,DistA+(DistB-DistA)*NORMSDIST(I7139)),"")</f>
        <v/>
      </c>
      <c r="K7139">
        <f>IF(B7139,INDEX(MineScale,C7139),"")</f>
        <v/>
      </c>
      <c r="L7139">
        <f>IF(B7139,INDEX(Dow,1,WEEKDAY(E7139,2)),"")</f>
        <v/>
      </c>
      <c r="M7139">
        <f>IF(B7139,(1+Trend)^D7139,"")</f>
        <v/>
      </c>
      <c r="N7139">
        <f>IF(B7139,EXP(SUMPRODUCT(LN(1+(EvEff-1)*INDEX(Affected,0,C7139)*EXP(-((E7139-EvCenter)^2)/(2*EvSigma^2))))),"")</f>
        <v/>
      </c>
      <c r="O7139">
        <f>IF(B7139,ROUND(MAX(0,J7139*K7139*L7139*M7139*N7139),2),"")</f>
        <v/>
      </c>
    </row>
    <row r="7140">
      <c r="A7140" t="n">
        <v>7139</v>
      </c>
      <c r="B7140">
        <f>A7140&lt;=MineCount*Days</f>
        <v/>
      </c>
      <c r="C7140">
        <f>IF(B7140,INT((A7140-1)/Days)+1,"")</f>
        <v/>
      </c>
      <c r="D7140">
        <f>IF(B7140,MOD(A7140-1,Days),"")</f>
        <v/>
      </c>
      <c r="E7140" s="16">
        <f>IF(B7140,StartDate+D7140,"")</f>
        <v/>
      </c>
      <c r="F7140">
        <f>IF(B7140,MAX(MOD(SIN(Seed*0.1373+C7140*12.9898+D7140*78.233)*43758.5453,1),1E-9),"")</f>
        <v/>
      </c>
      <c r="G7140">
        <f>IF(B7140,MOD(SIN(Seed*0.5917+C7140*39.3468+D7140*11.135)*24634.6345,1),"")</f>
        <v/>
      </c>
      <c r="H7140">
        <f>IF(B7140,SQRT(-2*LN(F7140))*COS(2*PI()*G7140),"")</f>
        <v/>
      </c>
      <c r="I7140">
        <f>IF(B7140,IF(D7140=0,H7140,Rho*I7139+SQRT(1-Rho^2)*H7140),"")</f>
        <v/>
      </c>
      <c r="J7140">
        <f>IF(B7140,IF(Dist="Normal",DistA+DistB*I7140,DistA+(DistB-DistA)*NORMSDIST(I7140)),"")</f>
        <v/>
      </c>
      <c r="K7140">
        <f>IF(B7140,INDEX(MineScale,C7140),"")</f>
        <v/>
      </c>
      <c r="L7140">
        <f>IF(B7140,INDEX(Dow,1,WEEKDAY(E7140,2)),"")</f>
        <v/>
      </c>
      <c r="M7140">
        <f>IF(B7140,(1+Trend)^D7140,"")</f>
        <v/>
      </c>
      <c r="N7140">
        <f>IF(B7140,EXP(SUMPRODUCT(LN(1+(EvEff-1)*INDEX(Affected,0,C7140)*EXP(-((E7140-EvCenter)^2)/(2*EvSigma^2))))),"")</f>
        <v/>
      </c>
      <c r="O7140">
        <f>IF(B7140,ROUND(MAX(0,J7140*K7140*L7140*M7140*N7140),2),"")</f>
        <v/>
      </c>
    </row>
    <row r="7141">
      <c r="A7141" t="n">
        <v>7140</v>
      </c>
      <c r="B7141">
        <f>A7141&lt;=MineCount*Days</f>
        <v/>
      </c>
      <c r="C7141">
        <f>IF(B7141,INT((A7141-1)/Days)+1,"")</f>
        <v/>
      </c>
      <c r="D7141">
        <f>IF(B7141,MOD(A7141-1,Days),"")</f>
        <v/>
      </c>
      <c r="E7141" s="16">
        <f>IF(B7141,StartDate+D7141,"")</f>
        <v/>
      </c>
      <c r="F7141">
        <f>IF(B7141,MAX(MOD(SIN(Seed*0.1373+C7141*12.9898+D7141*78.233)*43758.5453,1),1E-9),"")</f>
        <v/>
      </c>
      <c r="G7141">
        <f>IF(B7141,MOD(SIN(Seed*0.5917+C7141*39.3468+D7141*11.135)*24634.6345,1),"")</f>
        <v/>
      </c>
      <c r="H7141">
        <f>IF(B7141,SQRT(-2*LN(F7141))*COS(2*PI()*G7141),"")</f>
        <v/>
      </c>
      <c r="I7141">
        <f>IF(B7141,IF(D7141=0,H7141,Rho*I7140+SQRT(1-Rho^2)*H7141),"")</f>
        <v/>
      </c>
      <c r="J7141">
        <f>IF(B7141,IF(Dist="Normal",DistA+DistB*I7141,DistA+(DistB-DistA)*NORMSDIST(I7141)),"")</f>
        <v/>
      </c>
      <c r="K7141">
        <f>IF(B7141,INDEX(MineScale,C7141),"")</f>
        <v/>
      </c>
      <c r="L7141">
        <f>IF(B7141,INDEX(Dow,1,WEEKDAY(E7141,2)),"")</f>
        <v/>
      </c>
      <c r="M7141">
        <f>IF(B7141,(1+Trend)^D7141,"")</f>
        <v/>
      </c>
      <c r="N7141">
        <f>IF(B7141,EXP(SUMPRODUCT(LN(1+(EvEff-1)*INDEX(Affected,0,C7141)*EXP(-((E7141-EvCenter)^2)/(2*EvSigma^2))))),"")</f>
        <v/>
      </c>
      <c r="O7141">
        <f>IF(B7141,ROUND(MAX(0,J7141*K7141*L7141*M7141*N7141),2),"")</f>
        <v/>
      </c>
    </row>
    <row r="7142">
      <c r="A7142" t="n">
        <v>7141</v>
      </c>
      <c r="B7142">
        <f>A7142&lt;=MineCount*Days</f>
        <v/>
      </c>
      <c r="C7142">
        <f>IF(B7142,INT((A7142-1)/Days)+1,"")</f>
        <v/>
      </c>
      <c r="D7142">
        <f>IF(B7142,MOD(A7142-1,Days),"")</f>
        <v/>
      </c>
      <c r="E7142" s="16">
        <f>IF(B7142,StartDate+D7142,"")</f>
        <v/>
      </c>
      <c r="F7142">
        <f>IF(B7142,MAX(MOD(SIN(Seed*0.1373+C7142*12.9898+D7142*78.233)*43758.5453,1),1E-9),"")</f>
        <v/>
      </c>
      <c r="G7142">
        <f>IF(B7142,MOD(SIN(Seed*0.5917+C7142*39.3468+D7142*11.135)*24634.6345,1),"")</f>
        <v/>
      </c>
      <c r="H7142">
        <f>IF(B7142,SQRT(-2*LN(F7142))*COS(2*PI()*G7142),"")</f>
        <v/>
      </c>
      <c r="I7142">
        <f>IF(B7142,IF(D7142=0,H7142,Rho*I7141+SQRT(1-Rho^2)*H7142),"")</f>
        <v/>
      </c>
      <c r="J7142">
        <f>IF(B7142,IF(Dist="Normal",DistA+DistB*I7142,DistA+(DistB-DistA)*NORMSDIST(I7142)),"")</f>
        <v/>
      </c>
      <c r="K7142">
        <f>IF(B7142,INDEX(MineScale,C7142),"")</f>
        <v/>
      </c>
      <c r="L7142">
        <f>IF(B7142,INDEX(Dow,1,WEEKDAY(E7142,2)),"")</f>
        <v/>
      </c>
      <c r="M7142">
        <f>IF(B7142,(1+Trend)^D7142,"")</f>
        <v/>
      </c>
      <c r="N7142">
        <f>IF(B7142,EXP(SUMPRODUCT(LN(1+(EvEff-1)*INDEX(Affected,0,C7142)*EXP(-((E7142-EvCenter)^2)/(2*EvSigma^2))))),"")</f>
        <v/>
      </c>
      <c r="O7142">
        <f>IF(B7142,ROUND(MAX(0,J7142*K7142*L7142*M7142*N7142),2),"")</f>
        <v/>
      </c>
    </row>
    <row r="7143">
      <c r="A7143" t="n">
        <v>7142</v>
      </c>
      <c r="B7143">
        <f>A7143&lt;=MineCount*Days</f>
        <v/>
      </c>
      <c r="C7143">
        <f>IF(B7143,INT((A7143-1)/Days)+1,"")</f>
        <v/>
      </c>
      <c r="D7143">
        <f>IF(B7143,MOD(A7143-1,Days),"")</f>
        <v/>
      </c>
      <c r="E7143" s="16">
        <f>IF(B7143,StartDate+D7143,"")</f>
        <v/>
      </c>
      <c r="F7143">
        <f>IF(B7143,MAX(MOD(SIN(Seed*0.1373+C7143*12.9898+D7143*78.233)*43758.5453,1),1E-9),"")</f>
        <v/>
      </c>
      <c r="G7143">
        <f>IF(B7143,MOD(SIN(Seed*0.5917+C7143*39.3468+D7143*11.135)*24634.6345,1),"")</f>
        <v/>
      </c>
      <c r="H7143">
        <f>IF(B7143,SQRT(-2*LN(F7143))*COS(2*PI()*G7143),"")</f>
        <v/>
      </c>
      <c r="I7143">
        <f>IF(B7143,IF(D7143=0,H7143,Rho*I7142+SQRT(1-Rho^2)*H7143),"")</f>
        <v/>
      </c>
      <c r="J7143">
        <f>IF(B7143,IF(Dist="Normal",DistA+DistB*I7143,DistA+(DistB-DistA)*NORMSDIST(I7143)),"")</f>
        <v/>
      </c>
      <c r="K7143">
        <f>IF(B7143,INDEX(MineScale,C7143),"")</f>
        <v/>
      </c>
      <c r="L7143">
        <f>IF(B7143,INDEX(Dow,1,WEEKDAY(E7143,2)),"")</f>
        <v/>
      </c>
      <c r="M7143">
        <f>IF(B7143,(1+Trend)^D7143,"")</f>
        <v/>
      </c>
      <c r="N7143">
        <f>IF(B7143,EXP(SUMPRODUCT(LN(1+(EvEff-1)*INDEX(Affected,0,C7143)*EXP(-((E7143-EvCenter)^2)/(2*EvSigma^2))))),"")</f>
        <v/>
      </c>
      <c r="O7143">
        <f>IF(B7143,ROUND(MAX(0,J7143*K7143*L7143*M7143*N7143),2),"")</f>
        <v/>
      </c>
    </row>
    <row r="7144">
      <c r="A7144" t="n">
        <v>7143</v>
      </c>
      <c r="B7144">
        <f>A7144&lt;=MineCount*Days</f>
        <v/>
      </c>
      <c r="C7144">
        <f>IF(B7144,INT((A7144-1)/Days)+1,"")</f>
        <v/>
      </c>
      <c r="D7144">
        <f>IF(B7144,MOD(A7144-1,Days),"")</f>
        <v/>
      </c>
      <c r="E7144" s="16">
        <f>IF(B7144,StartDate+D7144,"")</f>
        <v/>
      </c>
      <c r="F7144">
        <f>IF(B7144,MAX(MOD(SIN(Seed*0.1373+C7144*12.9898+D7144*78.233)*43758.5453,1),1E-9),"")</f>
        <v/>
      </c>
      <c r="G7144">
        <f>IF(B7144,MOD(SIN(Seed*0.5917+C7144*39.3468+D7144*11.135)*24634.6345,1),"")</f>
        <v/>
      </c>
      <c r="H7144">
        <f>IF(B7144,SQRT(-2*LN(F7144))*COS(2*PI()*G7144),"")</f>
        <v/>
      </c>
      <c r="I7144">
        <f>IF(B7144,IF(D7144=0,H7144,Rho*I7143+SQRT(1-Rho^2)*H7144),"")</f>
        <v/>
      </c>
      <c r="J7144">
        <f>IF(B7144,IF(Dist="Normal",DistA+DistB*I7144,DistA+(DistB-DistA)*NORMSDIST(I7144)),"")</f>
        <v/>
      </c>
      <c r="K7144">
        <f>IF(B7144,INDEX(MineScale,C7144),"")</f>
        <v/>
      </c>
      <c r="L7144">
        <f>IF(B7144,INDEX(Dow,1,WEEKDAY(E7144,2)),"")</f>
        <v/>
      </c>
      <c r="M7144">
        <f>IF(B7144,(1+Trend)^D7144,"")</f>
        <v/>
      </c>
      <c r="N7144">
        <f>IF(B7144,EXP(SUMPRODUCT(LN(1+(EvEff-1)*INDEX(Affected,0,C7144)*EXP(-((E7144-EvCenter)^2)/(2*EvSigma^2))))),"")</f>
        <v/>
      </c>
      <c r="O7144">
        <f>IF(B7144,ROUND(MAX(0,J7144*K7144*L7144*M7144*N7144),2),"")</f>
        <v/>
      </c>
    </row>
    <row r="7145">
      <c r="A7145" t="n">
        <v>7144</v>
      </c>
      <c r="B7145">
        <f>A7145&lt;=MineCount*Days</f>
        <v/>
      </c>
      <c r="C7145">
        <f>IF(B7145,INT((A7145-1)/Days)+1,"")</f>
        <v/>
      </c>
      <c r="D7145">
        <f>IF(B7145,MOD(A7145-1,Days),"")</f>
        <v/>
      </c>
      <c r="E7145" s="16">
        <f>IF(B7145,StartDate+D7145,"")</f>
        <v/>
      </c>
      <c r="F7145">
        <f>IF(B7145,MAX(MOD(SIN(Seed*0.1373+C7145*12.9898+D7145*78.233)*43758.5453,1),1E-9),"")</f>
        <v/>
      </c>
      <c r="G7145">
        <f>IF(B7145,MOD(SIN(Seed*0.5917+C7145*39.3468+D7145*11.135)*24634.6345,1),"")</f>
        <v/>
      </c>
      <c r="H7145">
        <f>IF(B7145,SQRT(-2*LN(F7145))*COS(2*PI()*G7145),"")</f>
        <v/>
      </c>
      <c r="I7145">
        <f>IF(B7145,IF(D7145=0,H7145,Rho*I7144+SQRT(1-Rho^2)*H7145),"")</f>
        <v/>
      </c>
      <c r="J7145">
        <f>IF(B7145,IF(Dist="Normal",DistA+DistB*I7145,DistA+(DistB-DistA)*NORMSDIST(I7145)),"")</f>
        <v/>
      </c>
      <c r="K7145">
        <f>IF(B7145,INDEX(MineScale,C7145),"")</f>
        <v/>
      </c>
      <c r="L7145">
        <f>IF(B7145,INDEX(Dow,1,WEEKDAY(E7145,2)),"")</f>
        <v/>
      </c>
      <c r="M7145">
        <f>IF(B7145,(1+Trend)^D7145,"")</f>
        <v/>
      </c>
      <c r="N7145">
        <f>IF(B7145,EXP(SUMPRODUCT(LN(1+(EvEff-1)*INDEX(Affected,0,C7145)*EXP(-((E7145-EvCenter)^2)/(2*EvSigma^2))))),"")</f>
        <v/>
      </c>
      <c r="O7145">
        <f>IF(B7145,ROUND(MAX(0,J7145*K7145*L7145*M7145*N7145),2),"")</f>
        <v/>
      </c>
    </row>
    <row r="7146">
      <c r="A7146" t="n">
        <v>7145</v>
      </c>
      <c r="B7146">
        <f>A7146&lt;=MineCount*Days</f>
        <v/>
      </c>
      <c r="C7146">
        <f>IF(B7146,INT((A7146-1)/Days)+1,"")</f>
        <v/>
      </c>
      <c r="D7146">
        <f>IF(B7146,MOD(A7146-1,Days),"")</f>
        <v/>
      </c>
      <c r="E7146" s="16">
        <f>IF(B7146,StartDate+D7146,"")</f>
        <v/>
      </c>
      <c r="F7146">
        <f>IF(B7146,MAX(MOD(SIN(Seed*0.1373+C7146*12.9898+D7146*78.233)*43758.5453,1),1E-9),"")</f>
        <v/>
      </c>
      <c r="G7146">
        <f>IF(B7146,MOD(SIN(Seed*0.5917+C7146*39.3468+D7146*11.135)*24634.6345,1),"")</f>
        <v/>
      </c>
      <c r="H7146">
        <f>IF(B7146,SQRT(-2*LN(F7146))*COS(2*PI()*G7146),"")</f>
        <v/>
      </c>
      <c r="I7146">
        <f>IF(B7146,IF(D7146=0,H7146,Rho*I7145+SQRT(1-Rho^2)*H7146),"")</f>
        <v/>
      </c>
      <c r="J7146">
        <f>IF(B7146,IF(Dist="Normal",DistA+DistB*I7146,DistA+(DistB-DistA)*NORMSDIST(I7146)),"")</f>
        <v/>
      </c>
      <c r="K7146">
        <f>IF(B7146,INDEX(MineScale,C7146),"")</f>
        <v/>
      </c>
      <c r="L7146">
        <f>IF(B7146,INDEX(Dow,1,WEEKDAY(E7146,2)),"")</f>
        <v/>
      </c>
      <c r="M7146">
        <f>IF(B7146,(1+Trend)^D7146,"")</f>
        <v/>
      </c>
      <c r="N7146">
        <f>IF(B7146,EXP(SUMPRODUCT(LN(1+(EvEff-1)*INDEX(Affected,0,C7146)*EXP(-((E7146-EvCenter)^2)/(2*EvSigma^2))))),"")</f>
        <v/>
      </c>
      <c r="O7146">
        <f>IF(B7146,ROUND(MAX(0,J7146*K7146*L7146*M7146*N7146),2),"")</f>
        <v/>
      </c>
    </row>
    <row r="7147">
      <c r="A7147" t="n">
        <v>7146</v>
      </c>
      <c r="B7147">
        <f>A7147&lt;=MineCount*Days</f>
        <v/>
      </c>
      <c r="C7147">
        <f>IF(B7147,INT((A7147-1)/Days)+1,"")</f>
        <v/>
      </c>
      <c r="D7147">
        <f>IF(B7147,MOD(A7147-1,Days),"")</f>
        <v/>
      </c>
      <c r="E7147" s="16">
        <f>IF(B7147,StartDate+D7147,"")</f>
        <v/>
      </c>
      <c r="F7147">
        <f>IF(B7147,MAX(MOD(SIN(Seed*0.1373+C7147*12.9898+D7147*78.233)*43758.5453,1),1E-9),"")</f>
        <v/>
      </c>
      <c r="G7147">
        <f>IF(B7147,MOD(SIN(Seed*0.5917+C7147*39.3468+D7147*11.135)*24634.6345,1),"")</f>
        <v/>
      </c>
      <c r="H7147">
        <f>IF(B7147,SQRT(-2*LN(F7147))*COS(2*PI()*G7147),"")</f>
        <v/>
      </c>
      <c r="I7147">
        <f>IF(B7147,IF(D7147=0,H7147,Rho*I7146+SQRT(1-Rho^2)*H7147),"")</f>
        <v/>
      </c>
      <c r="J7147">
        <f>IF(B7147,IF(Dist="Normal",DistA+DistB*I7147,DistA+(DistB-DistA)*NORMSDIST(I7147)),"")</f>
        <v/>
      </c>
      <c r="K7147">
        <f>IF(B7147,INDEX(MineScale,C7147),"")</f>
        <v/>
      </c>
      <c r="L7147">
        <f>IF(B7147,INDEX(Dow,1,WEEKDAY(E7147,2)),"")</f>
        <v/>
      </c>
      <c r="M7147">
        <f>IF(B7147,(1+Trend)^D7147,"")</f>
        <v/>
      </c>
      <c r="N7147">
        <f>IF(B7147,EXP(SUMPRODUCT(LN(1+(EvEff-1)*INDEX(Affected,0,C7147)*EXP(-((E7147-EvCenter)^2)/(2*EvSigma^2))))),"")</f>
        <v/>
      </c>
      <c r="O7147">
        <f>IF(B7147,ROUND(MAX(0,J7147*K7147*L7147*M7147*N7147),2),"")</f>
        <v/>
      </c>
    </row>
    <row r="7148">
      <c r="A7148" t="n">
        <v>7147</v>
      </c>
      <c r="B7148">
        <f>A7148&lt;=MineCount*Days</f>
        <v/>
      </c>
      <c r="C7148">
        <f>IF(B7148,INT((A7148-1)/Days)+1,"")</f>
        <v/>
      </c>
      <c r="D7148">
        <f>IF(B7148,MOD(A7148-1,Days),"")</f>
        <v/>
      </c>
      <c r="E7148" s="16">
        <f>IF(B7148,StartDate+D7148,"")</f>
        <v/>
      </c>
      <c r="F7148">
        <f>IF(B7148,MAX(MOD(SIN(Seed*0.1373+C7148*12.9898+D7148*78.233)*43758.5453,1),1E-9),"")</f>
        <v/>
      </c>
      <c r="G7148">
        <f>IF(B7148,MOD(SIN(Seed*0.5917+C7148*39.3468+D7148*11.135)*24634.6345,1),"")</f>
        <v/>
      </c>
      <c r="H7148">
        <f>IF(B7148,SQRT(-2*LN(F7148))*COS(2*PI()*G7148),"")</f>
        <v/>
      </c>
      <c r="I7148">
        <f>IF(B7148,IF(D7148=0,H7148,Rho*I7147+SQRT(1-Rho^2)*H7148),"")</f>
        <v/>
      </c>
      <c r="J7148">
        <f>IF(B7148,IF(Dist="Normal",DistA+DistB*I7148,DistA+(DistB-DistA)*NORMSDIST(I7148)),"")</f>
        <v/>
      </c>
      <c r="K7148">
        <f>IF(B7148,INDEX(MineScale,C7148),"")</f>
        <v/>
      </c>
      <c r="L7148">
        <f>IF(B7148,INDEX(Dow,1,WEEKDAY(E7148,2)),"")</f>
        <v/>
      </c>
      <c r="M7148">
        <f>IF(B7148,(1+Trend)^D7148,"")</f>
        <v/>
      </c>
      <c r="N7148">
        <f>IF(B7148,EXP(SUMPRODUCT(LN(1+(EvEff-1)*INDEX(Affected,0,C7148)*EXP(-((E7148-EvCenter)^2)/(2*EvSigma^2))))),"")</f>
        <v/>
      </c>
      <c r="O7148">
        <f>IF(B7148,ROUND(MAX(0,J7148*K7148*L7148*M7148*N7148),2),"")</f>
        <v/>
      </c>
    </row>
    <row r="7149">
      <c r="A7149" t="n">
        <v>7148</v>
      </c>
      <c r="B7149">
        <f>A7149&lt;=MineCount*Days</f>
        <v/>
      </c>
      <c r="C7149">
        <f>IF(B7149,INT((A7149-1)/Days)+1,"")</f>
        <v/>
      </c>
      <c r="D7149">
        <f>IF(B7149,MOD(A7149-1,Days),"")</f>
        <v/>
      </c>
      <c r="E7149" s="16">
        <f>IF(B7149,StartDate+D7149,"")</f>
        <v/>
      </c>
      <c r="F7149">
        <f>IF(B7149,MAX(MOD(SIN(Seed*0.1373+C7149*12.9898+D7149*78.233)*43758.5453,1),1E-9),"")</f>
        <v/>
      </c>
      <c r="G7149">
        <f>IF(B7149,MOD(SIN(Seed*0.5917+C7149*39.3468+D7149*11.135)*24634.6345,1),"")</f>
        <v/>
      </c>
      <c r="H7149">
        <f>IF(B7149,SQRT(-2*LN(F7149))*COS(2*PI()*G7149),"")</f>
        <v/>
      </c>
      <c r="I7149">
        <f>IF(B7149,IF(D7149=0,H7149,Rho*I7148+SQRT(1-Rho^2)*H7149),"")</f>
        <v/>
      </c>
      <c r="J7149">
        <f>IF(B7149,IF(Dist="Normal",DistA+DistB*I7149,DistA+(DistB-DistA)*NORMSDIST(I7149)),"")</f>
        <v/>
      </c>
      <c r="K7149">
        <f>IF(B7149,INDEX(MineScale,C7149),"")</f>
        <v/>
      </c>
      <c r="L7149">
        <f>IF(B7149,INDEX(Dow,1,WEEKDAY(E7149,2)),"")</f>
        <v/>
      </c>
      <c r="M7149">
        <f>IF(B7149,(1+Trend)^D7149,"")</f>
        <v/>
      </c>
      <c r="N7149">
        <f>IF(B7149,EXP(SUMPRODUCT(LN(1+(EvEff-1)*INDEX(Affected,0,C7149)*EXP(-((E7149-EvCenter)^2)/(2*EvSigma^2))))),"")</f>
        <v/>
      </c>
      <c r="O7149">
        <f>IF(B7149,ROUND(MAX(0,J7149*K7149*L7149*M7149*N7149),2),"")</f>
        <v/>
      </c>
    </row>
    <row r="7150">
      <c r="A7150" t="n">
        <v>7149</v>
      </c>
      <c r="B7150">
        <f>A7150&lt;=MineCount*Days</f>
        <v/>
      </c>
      <c r="C7150">
        <f>IF(B7150,INT((A7150-1)/Days)+1,"")</f>
        <v/>
      </c>
      <c r="D7150">
        <f>IF(B7150,MOD(A7150-1,Days),"")</f>
        <v/>
      </c>
      <c r="E7150" s="16">
        <f>IF(B7150,StartDate+D7150,"")</f>
        <v/>
      </c>
      <c r="F7150">
        <f>IF(B7150,MAX(MOD(SIN(Seed*0.1373+C7150*12.9898+D7150*78.233)*43758.5453,1),1E-9),"")</f>
        <v/>
      </c>
      <c r="G7150">
        <f>IF(B7150,MOD(SIN(Seed*0.5917+C7150*39.3468+D7150*11.135)*24634.6345,1),"")</f>
        <v/>
      </c>
      <c r="H7150">
        <f>IF(B7150,SQRT(-2*LN(F7150))*COS(2*PI()*G7150),"")</f>
        <v/>
      </c>
      <c r="I7150">
        <f>IF(B7150,IF(D7150=0,H7150,Rho*I7149+SQRT(1-Rho^2)*H7150),"")</f>
        <v/>
      </c>
      <c r="J7150">
        <f>IF(B7150,IF(Dist="Normal",DistA+DistB*I7150,DistA+(DistB-DistA)*NORMSDIST(I7150)),"")</f>
        <v/>
      </c>
      <c r="K7150">
        <f>IF(B7150,INDEX(MineScale,C7150),"")</f>
        <v/>
      </c>
      <c r="L7150">
        <f>IF(B7150,INDEX(Dow,1,WEEKDAY(E7150,2)),"")</f>
        <v/>
      </c>
      <c r="M7150">
        <f>IF(B7150,(1+Trend)^D7150,"")</f>
        <v/>
      </c>
      <c r="N7150">
        <f>IF(B7150,EXP(SUMPRODUCT(LN(1+(EvEff-1)*INDEX(Affected,0,C7150)*EXP(-((E7150-EvCenter)^2)/(2*EvSigma^2))))),"")</f>
        <v/>
      </c>
      <c r="O7150">
        <f>IF(B7150,ROUND(MAX(0,J7150*K7150*L7150*M7150*N7150),2),"")</f>
        <v/>
      </c>
    </row>
    <row r="7151">
      <c r="A7151" t="n">
        <v>7150</v>
      </c>
      <c r="B7151">
        <f>A7151&lt;=MineCount*Days</f>
        <v/>
      </c>
      <c r="C7151">
        <f>IF(B7151,INT((A7151-1)/Days)+1,"")</f>
        <v/>
      </c>
      <c r="D7151">
        <f>IF(B7151,MOD(A7151-1,Days),"")</f>
        <v/>
      </c>
      <c r="E7151" s="16">
        <f>IF(B7151,StartDate+D7151,"")</f>
        <v/>
      </c>
      <c r="F7151">
        <f>IF(B7151,MAX(MOD(SIN(Seed*0.1373+C7151*12.9898+D7151*78.233)*43758.5453,1),1E-9),"")</f>
        <v/>
      </c>
      <c r="G7151">
        <f>IF(B7151,MOD(SIN(Seed*0.5917+C7151*39.3468+D7151*11.135)*24634.6345,1),"")</f>
        <v/>
      </c>
      <c r="H7151">
        <f>IF(B7151,SQRT(-2*LN(F7151))*COS(2*PI()*G7151),"")</f>
        <v/>
      </c>
      <c r="I7151">
        <f>IF(B7151,IF(D7151=0,H7151,Rho*I7150+SQRT(1-Rho^2)*H7151),"")</f>
        <v/>
      </c>
      <c r="J7151">
        <f>IF(B7151,IF(Dist="Normal",DistA+DistB*I7151,DistA+(DistB-DistA)*NORMSDIST(I7151)),"")</f>
        <v/>
      </c>
      <c r="K7151">
        <f>IF(B7151,INDEX(MineScale,C7151),"")</f>
        <v/>
      </c>
      <c r="L7151">
        <f>IF(B7151,INDEX(Dow,1,WEEKDAY(E7151,2)),"")</f>
        <v/>
      </c>
      <c r="M7151">
        <f>IF(B7151,(1+Trend)^D7151,"")</f>
        <v/>
      </c>
      <c r="N7151">
        <f>IF(B7151,EXP(SUMPRODUCT(LN(1+(EvEff-1)*INDEX(Affected,0,C7151)*EXP(-((E7151-EvCenter)^2)/(2*EvSigma^2))))),"")</f>
        <v/>
      </c>
      <c r="O7151">
        <f>IF(B7151,ROUND(MAX(0,J7151*K7151*L7151*M7151*N7151),2),"")</f>
        <v/>
      </c>
    </row>
    <row r="7152">
      <c r="A7152" t="n">
        <v>7151</v>
      </c>
      <c r="B7152">
        <f>A7152&lt;=MineCount*Days</f>
        <v/>
      </c>
      <c r="C7152">
        <f>IF(B7152,INT((A7152-1)/Days)+1,"")</f>
        <v/>
      </c>
      <c r="D7152">
        <f>IF(B7152,MOD(A7152-1,Days),"")</f>
        <v/>
      </c>
      <c r="E7152" s="16">
        <f>IF(B7152,StartDate+D7152,"")</f>
        <v/>
      </c>
      <c r="F7152">
        <f>IF(B7152,MAX(MOD(SIN(Seed*0.1373+C7152*12.9898+D7152*78.233)*43758.5453,1),1E-9),"")</f>
        <v/>
      </c>
      <c r="G7152">
        <f>IF(B7152,MOD(SIN(Seed*0.5917+C7152*39.3468+D7152*11.135)*24634.6345,1),"")</f>
        <v/>
      </c>
      <c r="H7152">
        <f>IF(B7152,SQRT(-2*LN(F7152))*COS(2*PI()*G7152),"")</f>
        <v/>
      </c>
      <c r="I7152">
        <f>IF(B7152,IF(D7152=0,H7152,Rho*I7151+SQRT(1-Rho^2)*H7152),"")</f>
        <v/>
      </c>
      <c r="J7152">
        <f>IF(B7152,IF(Dist="Normal",DistA+DistB*I7152,DistA+(DistB-DistA)*NORMSDIST(I7152)),"")</f>
        <v/>
      </c>
      <c r="K7152">
        <f>IF(B7152,INDEX(MineScale,C7152),"")</f>
        <v/>
      </c>
      <c r="L7152">
        <f>IF(B7152,INDEX(Dow,1,WEEKDAY(E7152,2)),"")</f>
        <v/>
      </c>
      <c r="M7152">
        <f>IF(B7152,(1+Trend)^D7152,"")</f>
        <v/>
      </c>
      <c r="N7152">
        <f>IF(B7152,EXP(SUMPRODUCT(LN(1+(EvEff-1)*INDEX(Affected,0,C7152)*EXP(-((E7152-EvCenter)^2)/(2*EvSigma^2))))),"")</f>
        <v/>
      </c>
      <c r="O7152">
        <f>IF(B7152,ROUND(MAX(0,J7152*K7152*L7152*M7152*N7152),2),"")</f>
        <v/>
      </c>
    </row>
    <row r="7153">
      <c r="A7153" t="n">
        <v>7152</v>
      </c>
      <c r="B7153">
        <f>A7153&lt;=MineCount*Days</f>
        <v/>
      </c>
      <c r="C7153">
        <f>IF(B7153,INT((A7153-1)/Days)+1,"")</f>
        <v/>
      </c>
      <c r="D7153">
        <f>IF(B7153,MOD(A7153-1,Days),"")</f>
        <v/>
      </c>
      <c r="E7153" s="16">
        <f>IF(B7153,StartDate+D7153,"")</f>
        <v/>
      </c>
      <c r="F7153">
        <f>IF(B7153,MAX(MOD(SIN(Seed*0.1373+C7153*12.9898+D7153*78.233)*43758.5453,1),1E-9),"")</f>
        <v/>
      </c>
      <c r="G7153">
        <f>IF(B7153,MOD(SIN(Seed*0.5917+C7153*39.3468+D7153*11.135)*24634.6345,1),"")</f>
        <v/>
      </c>
      <c r="H7153">
        <f>IF(B7153,SQRT(-2*LN(F7153))*COS(2*PI()*G7153),"")</f>
        <v/>
      </c>
      <c r="I7153">
        <f>IF(B7153,IF(D7153=0,H7153,Rho*I7152+SQRT(1-Rho^2)*H7153),"")</f>
        <v/>
      </c>
      <c r="J7153">
        <f>IF(B7153,IF(Dist="Normal",DistA+DistB*I7153,DistA+(DistB-DistA)*NORMSDIST(I7153)),"")</f>
        <v/>
      </c>
      <c r="K7153">
        <f>IF(B7153,INDEX(MineScale,C7153),"")</f>
        <v/>
      </c>
      <c r="L7153">
        <f>IF(B7153,INDEX(Dow,1,WEEKDAY(E7153,2)),"")</f>
        <v/>
      </c>
      <c r="M7153">
        <f>IF(B7153,(1+Trend)^D7153,"")</f>
        <v/>
      </c>
      <c r="N7153">
        <f>IF(B7153,EXP(SUMPRODUCT(LN(1+(EvEff-1)*INDEX(Affected,0,C7153)*EXP(-((E7153-EvCenter)^2)/(2*EvSigma^2))))),"")</f>
        <v/>
      </c>
      <c r="O7153">
        <f>IF(B7153,ROUND(MAX(0,J7153*K7153*L7153*M7153*N7153),2),"")</f>
        <v/>
      </c>
    </row>
    <row r="7154">
      <c r="A7154" t="n">
        <v>7153</v>
      </c>
      <c r="B7154">
        <f>A7154&lt;=MineCount*Days</f>
        <v/>
      </c>
      <c r="C7154">
        <f>IF(B7154,INT((A7154-1)/Days)+1,"")</f>
        <v/>
      </c>
      <c r="D7154">
        <f>IF(B7154,MOD(A7154-1,Days),"")</f>
        <v/>
      </c>
      <c r="E7154" s="16">
        <f>IF(B7154,StartDate+D7154,"")</f>
        <v/>
      </c>
      <c r="F7154">
        <f>IF(B7154,MAX(MOD(SIN(Seed*0.1373+C7154*12.9898+D7154*78.233)*43758.5453,1),1E-9),"")</f>
        <v/>
      </c>
      <c r="G7154">
        <f>IF(B7154,MOD(SIN(Seed*0.5917+C7154*39.3468+D7154*11.135)*24634.6345,1),"")</f>
        <v/>
      </c>
      <c r="H7154">
        <f>IF(B7154,SQRT(-2*LN(F7154))*COS(2*PI()*G7154),"")</f>
        <v/>
      </c>
      <c r="I7154">
        <f>IF(B7154,IF(D7154=0,H7154,Rho*I7153+SQRT(1-Rho^2)*H7154),"")</f>
        <v/>
      </c>
      <c r="J7154">
        <f>IF(B7154,IF(Dist="Normal",DistA+DistB*I7154,DistA+(DistB-DistA)*NORMSDIST(I7154)),"")</f>
        <v/>
      </c>
      <c r="K7154">
        <f>IF(B7154,INDEX(MineScale,C7154),"")</f>
        <v/>
      </c>
      <c r="L7154">
        <f>IF(B7154,INDEX(Dow,1,WEEKDAY(E7154,2)),"")</f>
        <v/>
      </c>
      <c r="M7154">
        <f>IF(B7154,(1+Trend)^D7154,"")</f>
        <v/>
      </c>
      <c r="N7154">
        <f>IF(B7154,EXP(SUMPRODUCT(LN(1+(EvEff-1)*INDEX(Affected,0,C7154)*EXP(-((E7154-EvCenter)^2)/(2*EvSigma^2))))),"")</f>
        <v/>
      </c>
      <c r="O7154">
        <f>IF(B7154,ROUND(MAX(0,J7154*K7154*L7154*M7154*N7154),2),"")</f>
        <v/>
      </c>
    </row>
    <row r="7155">
      <c r="A7155" t="n">
        <v>7154</v>
      </c>
      <c r="B7155">
        <f>A7155&lt;=MineCount*Days</f>
        <v/>
      </c>
      <c r="C7155">
        <f>IF(B7155,INT((A7155-1)/Days)+1,"")</f>
        <v/>
      </c>
      <c r="D7155">
        <f>IF(B7155,MOD(A7155-1,Days),"")</f>
        <v/>
      </c>
      <c r="E7155" s="16">
        <f>IF(B7155,StartDate+D7155,"")</f>
        <v/>
      </c>
      <c r="F7155">
        <f>IF(B7155,MAX(MOD(SIN(Seed*0.1373+C7155*12.9898+D7155*78.233)*43758.5453,1),1E-9),"")</f>
        <v/>
      </c>
      <c r="G7155">
        <f>IF(B7155,MOD(SIN(Seed*0.5917+C7155*39.3468+D7155*11.135)*24634.6345,1),"")</f>
        <v/>
      </c>
      <c r="H7155">
        <f>IF(B7155,SQRT(-2*LN(F7155))*COS(2*PI()*G7155),"")</f>
        <v/>
      </c>
      <c r="I7155">
        <f>IF(B7155,IF(D7155=0,H7155,Rho*I7154+SQRT(1-Rho^2)*H7155),"")</f>
        <v/>
      </c>
      <c r="J7155">
        <f>IF(B7155,IF(Dist="Normal",DistA+DistB*I7155,DistA+(DistB-DistA)*NORMSDIST(I7155)),"")</f>
        <v/>
      </c>
      <c r="K7155">
        <f>IF(B7155,INDEX(MineScale,C7155),"")</f>
        <v/>
      </c>
      <c r="L7155">
        <f>IF(B7155,INDEX(Dow,1,WEEKDAY(E7155,2)),"")</f>
        <v/>
      </c>
      <c r="M7155">
        <f>IF(B7155,(1+Trend)^D7155,"")</f>
        <v/>
      </c>
      <c r="N7155">
        <f>IF(B7155,EXP(SUMPRODUCT(LN(1+(EvEff-1)*INDEX(Affected,0,C7155)*EXP(-((E7155-EvCenter)^2)/(2*EvSigma^2))))),"")</f>
        <v/>
      </c>
      <c r="O7155">
        <f>IF(B7155,ROUND(MAX(0,J7155*K7155*L7155*M7155*N7155),2),"")</f>
        <v/>
      </c>
    </row>
    <row r="7156">
      <c r="A7156" t="n">
        <v>7155</v>
      </c>
      <c r="B7156">
        <f>A7156&lt;=MineCount*Days</f>
        <v/>
      </c>
      <c r="C7156">
        <f>IF(B7156,INT((A7156-1)/Days)+1,"")</f>
        <v/>
      </c>
      <c r="D7156">
        <f>IF(B7156,MOD(A7156-1,Days),"")</f>
        <v/>
      </c>
      <c r="E7156" s="16">
        <f>IF(B7156,StartDate+D7156,"")</f>
        <v/>
      </c>
      <c r="F7156">
        <f>IF(B7156,MAX(MOD(SIN(Seed*0.1373+C7156*12.9898+D7156*78.233)*43758.5453,1),1E-9),"")</f>
        <v/>
      </c>
      <c r="G7156">
        <f>IF(B7156,MOD(SIN(Seed*0.5917+C7156*39.3468+D7156*11.135)*24634.6345,1),"")</f>
        <v/>
      </c>
      <c r="H7156">
        <f>IF(B7156,SQRT(-2*LN(F7156))*COS(2*PI()*G7156),"")</f>
        <v/>
      </c>
      <c r="I7156">
        <f>IF(B7156,IF(D7156=0,H7156,Rho*I7155+SQRT(1-Rho^2)*H7156),"")</f>
        <v/>
      </c>
      <c r="J7156">
        <f>IF(B7156,IF(Dist="Normal",DistA+DistB*I7156,DistA+(DistB-DistA)*NORMSDIST(I7156)),"")</f>
        <v/>
      </c>
      <c r="K7156">
        <f>IF(B7156,INDEX(MineScale,C7156),"")</f>
        <v/>
      </c>
      <c r="L7156">
        <f>IF(B7156,INDEX(Dow,1,WEEKDAY(E7156,2)),"")</f>
        <v/>
      </c>
      <c r="M7156">
        <f>IF(B7156,(1+Trend)^D7156,"")</f>
        <v/>
      </c>
      <c r="N7156">
        <f>IF(B7156,EXP(SUMPRODUCT(LN(1+(EvEff-1)*INDEX(Affected,0,C7156)*EXP(-((E7156-EvCenter)^2)/(2*EvSigma^2))))),"")</f>
        <v/>
      </c>
      <c r="O7156">
        <f>IF(B7156,ROUND(MAX(0,J7156*K7156*L7156*M7156*N7156),2),"")</f>
        <v/>
      </c>
    </row>
    <row r="7157">
      <c r="A7157" t="n">
        <v>7156</v>
      </c>
      <c r="B7157">
        <f>A7157&lt;=MineCount*Days</f>
        <v/>
      </c>
      <c r="C7157">
        <f>IF(B7157,INT((A7157-1)/Days)+1,"")</f>
        <v/>
      </c>
      <c r="D7157">
        <f>IF(B7157,MOD(A7157-1,Days),"")</f>
        <v/>
      </c>
      <c r="E7157" s="16">
        <f>IF(B7157,StartDate+D7157,"")</f>
        <v/>
      </c>
      <c r="F7157">
        <f>IF(B7157,MAX(MOD(SIN(Seed*0.1373+C7157*12.9898+D7157*78.233)*43758.5453,1),1E-9),"")</f>
        <v/>
      </c>
      <c r="G7157">
        <f>IF(B7157,MOD(SIN(Seed*0.5917+C7157*39.3468+D7157*11.135)*24634.6345,1),"")</f>
        <v/>
      </c>
      <c r="H7157">
        <f>IF(B7157,SQRT(-2*LN(F7157))*COS(2*PI()*G7157),"")</f>
        <v/>
      </c>
      <c r="I7157">
        <f>IF(B7157,IF(D7157=0,H7157,Rho*I7156+SQRT(1-Rho^2)*H7157),"")</f>
        <v/>
      </c>
      <c r="J7157">
        <f>IF(B7157,IF(Dist="Normal",DistA+DistB*I7157,DistA+(DistB-DistA)*NORMSDIST(I7157)),"")</f>
        <v/>
      </c>
      <c r="K7157">
        <f>IF(B7157,INDEX(MineScale,C7157),"")</f>
        <v/>
      </c>
      <c r="L7157">
        <f>IF(B7157,INDEX(Dow,1,WEEKDAY(E7157,2)),"")</f>
        <v/>
      </c>
      <c r="M7157">
        <f>IF(B7157,(1+Trend)^D7157,"")</f>
        <v/>
      </c>
      <c r="N7157">
        <f>IF(B7157,EXP(SUMPRODUCT(LN(1+(EvEff-1)*INDEX(Affected,0,C7157)*EXP(-((E7157-EvCenter)^2)/(2*EvSigma^2))))),"")</f>
        <v/>
      </c>
      <c r="O7157">
        <f>IF(B7157,ROUND(MAX(0,J7157*K7157*L7157*M7157*N7157),2),"")</f>
        <v/>
      </c>
    </row>
    <row r="7158">
      <c r="A7158" t="n">
        <v>7157</v>
      </c>
      <c r="B7158">
        <f>A7158&lt;=MineCount*Days</f>
        <v/>
      </c>
      <c r="C7158">
        <f>IF(B7158,INT((A7158-1)/Days)+1,"")</f>
        <v/>
      </c>
      <c r="D7158">
        <f>IF(B7158,MOD(A7158-1,Days),"")</f>
        <v/>
      </c>
      <c r="E7158" s="16">
        <f>IF(B7158,StartDate+D7158,"")</f>
        <v/>
      </c>
      <c r="F7158">
        <f>IF(B7158,MAX(MOD(SIN(Seed*0.1373+C7158*12.9898+D7158*78.233)*43758.5453,1),1E-9),"")</f>
        <v/>
      </c>
      <c r="G7158">
        <f>IF(B7158,MOD(SIN(Seed*0.5917+C7158*39.3468+D7158*11.135)*24634.6345,1),"")</f>
        <v/>
      </c>
      <c r="H7158">
        <f>IF(B7158,SQRT(-2*LN(F7158))*COS(2*PI()*G7158),"")</f>
        <v/>
      </c>
      <c r="I7158">
        <f>IF(B7158,IF(D7158=0,H7158,Rho*I7157+SQRT(1-Rho^2)*H7158),"")</f>
        <v/>
      </c>
      <c r="J7158">
        <f>IF(B7158,IF(Dist="Normal",DistA+DistB*I7158,DistA+(DistB-DistA)*NORMSDIST(I7158)),"")</f>
        <v/>
      </c>
      <c r="K7158">
        <f>IF(B7158,INDEX(MineScale,C7158),"")</f>
        <v/>
      </c>
      <c r="L7158">
        <f>IF(B7158,INDEX(Dow,1,WEEKDAY(E7158,2)),"")</f>
        <v/>
      </c>
      <c r="M7158">
        <f>IF(B7158,(1+Trend)^D7158,"")</f>
        <v/>
      </c>
      <c r="N7158">
        <f>IF(B7158,EXP(SUMPRODUCT(LN(1+(EvEff-1)*INDEX(Affected,0,C7158)*EXP(-((E7158-EvCenter)^2)/(2*EvSigma^2))))),"")</f>
        <v/>
      </c>
      <c r="O7158">
        <f>IF(B7158,ROUND(MAX(0,J7158*K7158*L7158*M7158*N7158),2),"")</f>
        <v/>
      </c>
    </row>
    <row r="7159">
      <c r="A7159" t="n">
        <v>7158</v>
      </c>
      <c r="B7159">
        <f>A7159&lt;=MineCount*Days</f>
        <v/>
      </c>
      <c r="C7159">
        <f>IF(B7159,INT((A7159-1)/Days)+1,"")</f>
        <v/>
      </c>
      <c r="D7159">
        <f>IF(B7159,MOD(A7159-1,Days),"")</f>
        <v/>
      </c>
      <c r="E7159" s="16">
        <f>IF(B7159,StartDate+D7159,"")</f>
        <v/>
      </c>
      <c r="F7159">
        <f>IF(B7159,MAX(MOD(SIN(Seed*0.1373+C7159*12.9898+D7159*78.233)*43758.5453,1),1E-9),"")</f>
        <v/>
      </c>
      <c r="G7159">
        <f>IF(B7159,MOD(SIN(Seed*0.5917+C7159*39.3468+D7159*11.135)*24634.6345,1),"")</f>
        <v/>
      </c>
      <c r="H7159">
        <f>IF(B7159,SQRT(-2*LN(F7159))*COS(2*PI()*G7159),"")</f>
        <v/>
      </c>
      <c r="I7159">
        <f>IF(B7159,IF(D7159=0,H7159,Rho*I7158+SQRT(1-Rho^2)*H7159),"")</f>
        <v/>
      </c>
      <c r="J7159">
        <f>IF(B7159,IF(Dist="Normal",DistA+DistB*I7159,DistA+(DistB-DistA)*NORMSDIST(I7159)),"")</f>
        <v/>
      </c>
      <c r="K7159">
        <f>IF(B7159,INDEX(MineScale,C7159),"")</f>
        <v/>
      </c>
      <c r="L7159">
        <f>IF(B7159,INDEX(Dow,1,WEEKDAY(E7159,2)),"")</f>
        <v/>
      </c>
      <c r="M7159">
        <f>IF(B7159,(1+Trend)^D7159,"")</f>
        <v/>
      </c>
      <c r="N7159">
        <f>IF(B7159,EXP(SUMPRODUCT(LN(1+(EvEff-1)*INDEX(Affected,0,C7159)*EXP(-((E7159-EvCenter)^2)/(2*EvSigma^2))))),"")</f>
        <v/>
      </c>
      <c r="O7159">
        <f>IF(B7159,ROUND(MAX(0,J7159*K7159*L7159*M7159*N7159),2),"")</f>
        <v/>
      </c>
    </row>
    <row r="7160">
      <c r="A7160" t="n">
        <v>7159</v>
      </c>
      <c r="B7160">
        <f>A7160&lt;=MineCount*Days</f>
        <v/>
      </c>
      <c r="C7160">
        <f>IF(B7160,INT((A7160-1)/Days)+1,"")</f>
        <v/>
      </c>
      <c r="D7160">
        <f>IF(B7160,MOD(A7160-1,Days),"")</f>
        <v/>
      </c>
      <c r="E7160" s="16">
        <f>IF(B7160,StartDate+D7160,"")</f>
        <v/>
      </c>
      <c r="F7160">
        <f>IF(B7160,MAX(MOD(SIN(Seed*0.1373+C7160*12.9898+D7160*78.233)*43758.5453,1),1E-9),"")</f>
        <v/>
      </c>
      <c r="G7160">
        <f>IF(B7160,MOD(SIN(Seed*0.5917+C7160*39.3468+D7160*11.135)*24634.6345,1),"")</f>
        <v/>
      </c>
      <c r="H7160">
        <f>IF(B7160,SQRT(-2*LN(F7160))*COS(2*PI()*G7160),"")</f>
        <v/>
      </c>
      <c r="I7160">
        <f>IF(B7160,IF(D7160=0,H7160,Rho*I7159+SQRT(1-Rho^2)*H7160),"")</f>
        <v/>
      </c>
      <c r="J7160">
        <f>IF(B7160,IF(Dist="Normal",DistA+DistB*I7160,DistA+(DistB-DistA)*NORMSDIST(I7160)),"")</f>
        <v/>
      </c>
      <c r="K7160">
        <f>IF(B7160,INDEX(MineScale,C7160),"")</f>
        <v/>
      </c>
      <c r="L7160">
        <f>IF(B7160,INDEX(Dow,1,WEEKDAY(E7160,2)),"")</f>
        <v/>
      </c>
      <c r="M7160">
        <f>IF(B7160,(1+Trend)^D7160,"")</f>
        <v/>
      </c>
      <c r="N7160">
        <f>IF(B7160,EXP(SUMPRODUCT(LN(1+(EvEff-1)*INDEX(Affected,0,C7160)*EXP(-((E7160-EvCenter)^2)/(2*EvSigma^2))))),"")</f>
        <v/>
      </c>
      <c r="O7160">
        <f>IF(B7160,ROUND(MAX(0,J7160*K7160*L7160*M7160*N7160),2),"")</f>
        <v/>
      </c>
    </row>
    <row r="7161">
      <c r="A7161" t="n">
        <v>7160</v>
      </c>
      <c r="B7161">
        <f>A7161&lt;=MineCount*Days</f>
        <v/>
      </c>
      <c r="C7161">
        <f>IF(B7161,INT((A7161-1)/Days)+1,"")</f>
        <v/>
      </c>
      <c r="D7161">
        <f>IF(B7161,MOD(A7161-1,Days),"")</f>
        <v/>
      </c>
      <c r="E7161" s="16">
        <f>IF(B7161,StartDate+D7161,"")</f>
        <v/>
      </c>
      <c r="F7161">
        <f>IF(B7161,MAX(MOD(SIN(Seed*0.1373+C7161*12.9898+D7161*78.233)*43758.5453,1),1E-9),"")</f>
        <v/>
      </c>
      <c r="G7161">
        <f>IF(B7161,MOD(SIN(Seed*0.5917+C7161*39.3468+D7161*11.135)*24634.6345,1),"")</f>
        <v/>
      </c>
      <c r="H7161">
        <f>IF(B7161,SQRT(-2*LN(F7161))*COS(2*PI()*G7161),"")</f>
        <v/>
      </c>
      <c r="I7161">
        <f>IF(B7161,IF(D7161=0,H7161,Rho*I7160+SQRT(1-Rho^2)*H7161),"")</f>
        <v/>
      </c>
      <c r="J7161">
        <f>IF(B7161,IF(Dist="Normal",DistA+DistB*I7161,DistA+(DistB-DistA)*NORMSDIST(I7161)),"")</f>
        <v/>
      </c>
      <c r="K7161">
        <f>IF(B7161,INDEX(MineScale,C7161),"")</f>
        <v/>
      </c>
      <c r="L7161">
        <f>IF(B7161,INDEX(Dow,1,WEEKDAY(E7161,2)),"")</f>
        <v/>
      </c>
      <c r="M7161">
        <f>IF(B7161,(1+Trend)^D7161,"")</f>
        <v/>
      </c>
      <c r="N7161">
        <f>IF(B7161,EXP(SUMPRODUCT(LN(1+(EvEff-1)*INDEX(Affected,0,C7161)*EXP(-((E7161-EvCenter)^2)/(2*EvSigma^2))))),"")</f>
        <v/>
      </c>
      <c r="O7161">
        <f>IF(B7161,ROUND(MAX(0,J7161*K7161*L7161*M7161*N7161),2),"")</f>
        <v/>
      </c>
    </row>
    <row r="7162">
      <c r="A7162" t="n">
        <v>7161</v>
      </c>
      <c r="B7162">
        <f>A7162&lt;=MineCount*Days</f>
        <v/>
      </c>
      <c r="C7162">
        <f>IF(B7162,INT((A7162-1)/Days)+1,"")</f>
        <v/>
      </c>
      <c r="D7162">
        <f>IF(B7162,MOD(A7162-1,Days),"")</f>
        <v/>
      </c>
      <c r="E7162" s="16">
        <f>IF(B7162,StartDate+D7162,"")</f>
        <v/>
      </c>
      <c r="F7162">
        <f>IF(B7162,MAX(MOD(SIN(Seed*0.1373+C7162*12.9898+D7162*78.233)*43758.5453,1),1E-9),"")</f>
        <v/>
      </c>
      <c r="G7162">
        <f>IF(B7162,MOD(SIN(Seed*0.5917+C7162*39.3468+D7162*11.135)*24634.6345,1),"")</f>
        <v/>
      </c>
      <c r="H7162">
        <f>IF(B7162,SQRT(-2*LN(F7162))*COS(2*PI()*G7162),"")</f>
        <v/>
      </c>
      <c r="I7162">
        <f>IF(B7162,IF(D7162=0,H7162,Rho*I7161+SQRT(1-Rho^2)*H7162),"")</f>
        <v/>
      </c>
      <c r="J7162">
        <f>IF(B7162,IF(Dist="Normal",DistA+DistB*I7162,DistA+(DistB-DistA)*NORMSDIST(I7162)),"")</f>
        <v/>
      </c>
      <c r="K7162">
        <f>IF(B7162,INDEX(MineScale,C7162),"")</f>
        <v/>
      </c>
      <c r="L7162">
        <f>IF(B7162,INDEX(Dow,1,WEEKDAY(E7162,2)),"")</f>
        <v/>
      </c>
      <c r="M7162">
        <f>IF(B7162,(1+Trend)^D7162,"")</f>
        <v/>
      </c>
      <c r="N7162">
        <f>IF(B7162,EXP(SUMPRODUCT(LN(1+(EvEff-1)*INDEX(Affected,0,C7162)*EXP(-((E7162-EvCenter)^2)/(2*EvSigma^2))))),"")</f>
        <v/>
      </c>
      <c r="O7162">
        <f>IF(B7162,ROUND(MAX(0,J7162*K7162*L7162*M7162*N7162),2),"")</f>
        <v/>
      </c>
    </row>
    <row r="7163">
      <c r="A7163" t="n">
        <v>7162</v>
      </c>
      <c r="B7163">
        <f>A7163&lt;=MineCount*Days</f>
        <v/>
      </c>
      <c r="C7163">
        <f>IF(B7163,INT((A7163-1)/Days)+1,"")</f>
        <v/>
      </c>
      <c r="D7163">
        <f>IF(B7163,MOD(A7163-1,Days),"")</f>
        <v/>
      </c>
      <c r="E7163" s="16">
        <f>IF(B7163,StartDate+D7163,"")</f>
        <v/>
      </c>
      <c r="F7163">
        <f>IF(B7163,MAX(MOD(SIN(Seed*0.1373+C7163*12.9898+D7163*78.233)*43758.5453,1),1E-9),"")</f>
        <v/>
      </c>
      <c r="G7163">
        <f>IF(B7163,MOD(SIN(Seed*0.5917+C7163*39.3468+D7163*11.135)*24634.6345,1),"")</f>
        <v/>
      </c>
      <c r="H7163">
        <f>IF(B7163,SQRT(-2*LN(F7163))*COS(2*PI()*G7163),"")</f>
        <v/>
      </c>
      <c r="I7163">
        <f>IF(B7163,IF(D7163=0,H7163,Rho*I7162+SQRT(1-Rho^2)*H7163),"")</f>
        <v/>
      </c>
      <c r="J7163">
        <f>IF(B7163,IF(Dist="Normal",DistA+DistB*I7163,DistA+(DistB-DistA)*NORMSDIST(I7163)),"")</f>
        <v/>
      </c>
      <c r="K7163">
        <f>IF(B7163,INDEX(MineScale,C7163),"")</f>
        <v/>
      </c>
      <c r="L7163">
        <f>IF(B7163,INDEX(Dow,1,WEEKDAY(E7163,2)),"")</f>
        <v/>
      </c>
      <c r="M7163">
        <f>IF(B7163,(1+Trend)^D7163,"")</f>
        <v/>
      </c>
      <c r="N7163">
        <f>IF(B7163,EXP(SUMPRODUCT(LN(1+(EvEff-1)*INDEX(Affected,0,C7163)*EXP(-((E7163-EvCenter)^2)/(2*EvSigma^2))))),"")</f>
        <v/>
      </c>
      <c r="O7163">
        <f>IF(B7163,ROUND(MAX(0,J7163*K7163*L7163*M7163*N7163),2),"")</f>
        <v/>
      </c>
    </row>
    <row r="7164">
      <c r="A7164" t="n">
        <v>7163</v>
      </c>
      <c r="B7164">
        <f>A7164&lt;=MineCount*Days</f>
        <v/>
      </c>
      <c r="C7164">
        <f>IF(B7164,INT((A7164-1)/Days)+1,"")</f>
        <v/>
      </c>
      <c r="D7164">
        <f>IF(B7164,MOD(A7164-1,Days),"")</f>
        <v/>
      </c>
      <c r="E7164" s="16">
        <f>IF(B7164,StartDate+D7164,"")</f>
        <v/>
      </c>
      <c r="F7164">
        <f>IF(B7164,MAX(MOD(SIN(Seed*0.1373+C7164*12.9898+D7164*78.233)*43758.5453,1),1E-9),"")</f>
        <v/>
      </c>
      <c r="G7164">
        <f>IF(B7164,MOD(SIN(Seed*0.5917+C7164*39.3468+D7164*11.135)*24634.6345,1),"")</f>
        <v/>
      </c>
      <c r="H7164">
        <f>IF(B7164,SQRT(-2*LN(F7164))*COS(2*PI()*G7164),"")</f>
        <v/>
      </c>
      <c r="I7164">
        <f>IF(B7164,IF(D7164=0,H7164,Rho*I7163+SQRT(1-Rho^2)*H7164),"")</f>
        <v/>
      </c>
      <c r="J7164">
        <f>IF(B7164,IF(Dist="Normal",DistA+DistB*I7164,DistA+(DistB-DistA)*NORMSDIST(I7164)),"")</f>
        <v/>
      </c>
      <c r="K7164">
        <f>IF(B7164,INDEX(MineScale,C7164),"")</f>
        <v/>
      </c>
      <c r="L7164">
        <f>IF(B7164,INDEX(Dow,1,WEEKDAY(E7164,2)),"")</f>
        <v/>
      </c>
      <c r="M7164">
        <f>IF(B7164,(1+Trend)^D7164,"")</f>
        <v/>
      </c>
      <c r="N7164">
        <f>IF(B7164,EXP(SUMPRODUCT(LN(1+(EvEff-1)*INDEX(Affected,0,C7164)*EXP(-((E7164-EvCenter)^2)/(2*EvSigma^2))))),"")</f>
        <v/>
      </c>
      <c r="O7164">
        <f>IF(B7164,ROUND(MAX(0,J7164*K7164*L7164*M7164*N7164),2),"")</f>
        <v/>
      </c>
    </row>
    <row r="7165">
      <c r="A7165" t="n">
        <v>7164</v>
      </c>
      <c r="B7165">
        <f>A7165&lt;=MineCount*Days</f>
        <v/>
      </c>
      <c r="C7165">
        <f>IF(B7165,INT((A7165-1)/Days)+1,"")</f>
        <v/>
      </c>
      <c r="D7165">
        <f>IF(B7165,MOD(A7165-1,Days),"")</f>
        <v/>
      </c>
      <c r="E7165" s="16">
        <f>IF(B7165,StartDate+D7165,"")</f>
        <v/>
      </c>
      <c r="F7165">
        <f>IF(B7165,MAX(MOD(SIN(Seed*0.1373+C7165*12.9898+D7165*78.233)*43758.5453,1),1E-9),"")</f>
        <v/>
      </c>
      <c r="G7165">
        <f>IF(B7165,MOD(SIN(Seed*0.5917+C7165*39.3468+D7165*11.135)*24634.6345,1),"")</f>
        <v/>
      </c>
      <c r="H7165">
        <f>IF(B7165,SQRT(-2*LN(F7165))*COS(2*PI()*G7165),"")</f>
        <v/>
      </c>
      <c r="I7165">
        <f>IF(B7165,IF(D7165=0,H7165,Rho*I7164+SQRT(1-Rho^2)*H7165),"")</f>
        <v/>
      </c>
      <c r="J7165">
        <f>IF(B7165,IF(Dist="Normal",DistA+DistB*I7165,DistA+(DistB-DistA)*NORMSDIST(I7165)),"")</f>
        <v/>
      </c>
      <c r="K7165">
        <f>IF(B7165,INDEX(MineScale,C7165),"")</f>
        <v/>
      </c>
      <c r="L7165">
        <f>IF(B7165,INDEX(Dow,1,WEEKDAY(E7165,2)),"")</f>
        <v/>
      </c>
      <c r="M7165">
        <f>IF(B7165,(1+Trend)^D7165,"")</f>
        <v/>
      </c>
      <c r="N7165">
        <f>IF(B7165,EXP(SUMPRODUCT(LN(1+(EvEff-1)*INDEX(Affected,0,C7165)*EXP(-((E7165-EvCenter)^2)/(2*EvSigma^2))))),"")</f>
        <v/>
      </c>
      <c r="O7165">
        <f>IF(B7165,ROUND(MAX(0,J7165*K7165*L7165*M7165*N7165),2),"")</f>
        <v/>
      </c>
    </row>
    <row r="7166">
      <c r="A7166" t="n">
        <v>7165</v>
      </c>
      <c r="B7166">
        <f>A7166&lt;=MineCount*Days</f>
        <v/>
      </c>
      <c r="C7166">
        <f>IF(B7166,INT((A7166-1)/Days)+1,"")</f>
        <v/>
      </c>
      <c r="D7166">
        <f>IF(B7166,MOD(A7166-1,Days),"")</f>
        <v/>
      </c>
      <c r="E7166" s="16">
        <f>IF(B7166,StartDate+D7166,"")</f>
        <v/>
      </c>
      <c r="F7166">
        <f>IF(B7166,MAX(MOD(SIN(Seed*0.1373+C7166*12.9898+D7166*78.233)*43758.5453,1),1E-9),"")</f>
        <v/>
      </c>
      <c r="G7166">
        <f>IF(B7166,MOD(SIN(Seed*0.5917+C7166*39.3468+D7166*11.135)*24634.6345,1),"")</f>
        <v/>
      </c>
      <c r="H7166">
        <f>IF(B7166,SQRT(-2*LN(F7166))*COS(2*PI()*G7166),"")</f>
        <v/>
      </c>
      <c r="I7166">
        <f>IF(B7166,IF(D7166=0,H7166,Rho*I7165+SQRT(1-Rho^2)*H7166),"")</f>
        <v/>
      </c>
      <c r="J7166">
        <f>IF(B7166,IF(Dist="Normal",DistA+DistB*I7166,DistA+(DistB-DistA)*NORMSDIST(I7166)),"")</f>
        <v/>
      </c>
      <c r="K7166">
        <f>IF(B7166,INDEX(MineScale,C7166),"")</f>
        <v/>
      </c>
      <c r="L7166">
        <f>IF(B7166,INDEX(Dow,1,WEEKDAY(E7166,2)),"")</f>
        <v/>
      </c>
      <c r="M7166">
        <f>IF(B7166,(1+Trend)^D7166,"")</f>
        <v/>
      </c>
      <c r="N7166">
        <f>IF(B7166,EXP(SUMPRODUCT(LN(1+(EvEff-1)*INDEX(Affected,0,C7166)*EXP(-((E7166-EvCenter)^2)/(2*EvSigma^2))))),"")</f>
        <v/>
      </c>
      <c r="O7166">
        <f>IF(B7166,ROUND(MAX(0,J7166*K7166*L7166*M7166*N7166),2),"")</f>
        <v/>
      </c>
    </row>
    <row r="7167">
      <c r="A7167" t="n">
        <v>7166</v>
      </c>
      <c r="B7167">
        <f>A7167&lt;=MineCount*Days</f>
        <v/>
      </c>
      <c r="C7167">
        <f>IF(B7167,INT((A7167-1)/Days)+1,"")</f>
        <v/>
      </c>
      <c r="D7167">
        <f>IF(B7167,MOD(A7167-1,Days),"")</f>
        <v/>
      </c>
      <c r="E7167" s="16">
        <f>IF(B7167,StartDate+D7167,"")</f>
        <v/>
      </c>
      <c r="F7167">
        <f>IF(B7167,MAX(MOD(SIN(Seed*0.1373+C7167*12.9898+D7167*78.233)*43758.5453,1),1E-9),"")</f>
        <v/>
      </c>
      <c r="G7167">
        <f>IF(B7167,MOD(SIN(Seed*0.5917+C7167*39.3468+D7167*11.135)*24634.6345,1),"")</f>
        <v/>
      </c>
      <c r="H7167">
        <f>IF(B7167,SQRT(-2*LN(F7167))*COS(2*PI()*G7167),"")</f>
        <v/>
      </c>
      <c r="I7167">
        <f>IF(B7167,IF(D7167=0,H7167,Rho*I7166+SQRT(1-Rho^2)*H7167),"")</f>
        <v/>
      </c>
      <c r="J7167">
        <f>IF(B7167,IF(Dist="Normal",DistA+DistB*I7167,DistA+(DistB-DistA)*NORMSDIST(I7167)),"")</f>
        <v/>
      </c>
      <c r="K7167">
        <f>IF(B7167,INDEX(MineScale,C7167),"")</f>
        <v/>
      </c>
      <c r="L7167">
        <f>IF(B7167,INDEX(Dow,1,WEEKDAY(E7167,2)),"")</f>
        <v/>
      </c>
      <c r="M7167">
        <f>IF(B7167,(1+Trend)^D7167,"")</f>
        <v/>
      </c>
      <c r="N7167">
        <f>IF(B7167,EXP(SUMPRODUCT(LN(1+(EvEff-1)*INDEX(Affected,0,C7167)*EXP(-((E7167-EvCenter)^2)/(2*EvSigma^2))))),"")</f>
        <v/>
      </c>
      <c r="O7167">
        <f>IF(B7167,ROUND(MAX(0,J7167*K7167*L7167*M7167*N7167),2),"")</f>
        <v/>
      </c>
    </row>
    <row r="7168">
      <c r="A7168" t="n">
        <v>7167</v>
      </c>
      <c r="B7168">
        <f>A7168&lt;=MineCount*Days</f>
        <v/>
      </c>
      <c r="C7168">
        <f>IF(B7168,INT((A7168-1)/Days)+1,"")</f>
        <v/>
      </c>
      <c r="D7168">
        <f>IF(B7168,MOD(A7168-1,Days),"")</f>
        <v/>
      </c>
      <c r="E7168" s="16">
        <f>IF(B7168,StartDate+D7168,"")</f>
        <v/>
      </c>
      <c r="F7168">
        <f>IF(B7168,MAX(MOD(SIN(Seed*0.1373+C7168*12.9898+D7168*78.233)*43758.5453,1),1E-9),"")</f>
        <v/>
      </c>
      <c r="G7168">
        <f>IF(B7168,MOD(SIN(Seed*0.5917+C7168*39.3468+D7168*11.135)*24634.6345,1),"")</f>
        <v/>
      </c>
      <c r="H7168">
        <f>IF(B7168,SQRT(-2*LN(F7168))*COS(2*PI()*G7168),"")</f>
        <v/>
      </c>
      <c r="I7168">
        <f>IF(B7168,IF(D7168=0,H7168,Rho*I7167+SQRT(1-Rho^2)*H7168),"")</f>
        <v/>
      </c>
      <c r="J7168">
        <f>IF(B7168,IF(Dist="Normal",DistA+DistB*I7168,DistA+(DistB-DistA)*NORMSDIST(I7168)),"")</f>
        <v/>
      </c>
      <c r="K7168">
        <f>IF(B7168,INDEX(MineScale,C7168),"")</f>
        <v/>
      </c>
      <c r="L7168">
        <f>IF(B7168,INDEX(Dow,1,WEEKDAY(E7168,2)),"")</f>
        <v/>
      </c>
      <c r="M7168">
        <f>IF(B7168,(1+Trend)^D7168,"")</f>
        <v/>
      </c>
      <c r="N7168">
        <f>IF(B7168,EXP(SUMPRODUCT(LN(1+(EvEff-1)*INDEX(Affected,0,C7168)*EXP(-((E7168-EvCenter)^2)/(2*EvSigma^2))))),"")</f>
        <v/>
      </c>
      <c r="O7168">
        <f>IF(B7168,ROUND(MAX(0,J7168*K7168*L7168*M7168*N7168),2),"")</f>
        <v/>
      </c>
    </row>
    <row r="7169">
      <c r="A7169" t="n">
        <v>7168</v>
      </c>
      <c r="B7169">
        <f>A7169&lt;=MineCount*Days</f>
        <v/>
      </c>
      <c r="C7169">
        <f>IF(B7169,INT((A7169-1)/Days)+1,"")</f>
        <v/>
      </c>
      <c r="D7169">
        <f>IF(B7169,MOD(A7169-1,Days),"")</f>
        <v/>
      </c>
      <c r="E7169" s="16">
        <f>IF(B7169,StartDate+D7169,"")</f>
        <v/>
      </c>
      <c r="F7169">
        <f>IF(B7169,MAX(MOD(SIN(Seed*0.1373+C7169*12.9898+D7169*78.233)*43758.5453,1),1E-9),"")</f>
        <v/>
      </c>
      <c r="G7169">
        <f>IF(B7169,MOD(SIN(Seed*0.5917+C7169*39.3468+D7169*11.135)*24634.6345,1),"")</f>
        <v/>
      </c>
      <c r="H7169">
        <f>IF(B7169,SQRT(-2*LN(F7169))*COS(2*PI()*G7169),"")</f>
        <v/>
      </c>
      <c r="I7169">
        <f>IF(B7169,IF(D7169=0,H7169,Rho*I7168+SQRT(1-Rho^2)*H7169),"")</f>
        <v/>
      </c>
      <c r="J7169">
        <f>IF(B7169,IF(Dist="Normal",DistA+DistB*I7169,DistA+(DistB-DistA)*NORMSDIST(I7169)),"")</f>
        <v/>
      </c>
      <c r="K7169">
        <f>IF(B7169,INDEX(MineScale,C7169),"")</f>
        <v/>
      </c>
      <c r="L7169">
        <f>IF(B7169,INDEX(Dow,1,WEEKDAY(E7169,2)),"")</f>
        <v/>
      </c>
      <c r="M7169">
        <f>IF(B7169,(1+Trend)^D7169,"")</f>
        <v/>
      </c>
      <c r="N7169">
        <f>IF(B7169,EXP(SUMPRODUCT(LN(1+(EvEff-1)*INDEX(Affected,0,C7169)*EXP(-((E7169-EvCenter)^2)/(2*EvSigma^2))))),"")</f>
        <v/>
      </c>
      <c r="O7169">
        <f>IF(B7169,ROUND(MAX(0,J7169*K7169*L7169*M7169*N7169),2),"")</f>
        <v/>
      </c>
    </row>
    <row r="7170">
      <c r="A7170" t="n">
        <v>7169</v>
      </c>
      <c r="B7170">
        <f>A7170&lt;=MineCount*Days</f>
        <v/>
      </c>
      <c r="C7170">
        <f>IF(B7170,INT((A7170-1)/Days)+1,"")</f>
        <v/>
      </c>
      <c r="D7170">
        <f>IF(B7170,MOD(A7170-1,Days),"")</f>
        <v/>
      </c>
      <c r="E7170" s="16">
        <f>IF(B7170,StartDate+D7170,"")</f>
        <v/>
      </c>
      <c r="F7170">
        <f>IF(B7170,MAX(MOD(SIN(Seed*0.1373+C7170*12.9898+D7170*78.233)*43758.5453,1),1E-9),"")</f>
        <v/>
      </c>
      <c r="G7170">
        <f>IF(B7170,MOD(SIN(Seed*0.5917+C7170*39.3468+D7170*11.135)*24634.6345,1),"")</f>
        <v/>
      </c>
      <c r="H7170">
        <f>IF(B7170,SQRT(-2*LN(F7170))*COS(2*PI()*G7170),"")</f>
        <v/>
      </c>
      <c r="I7170">
        <f>IF(B7170,IF(D7170=0,H7170,Rho*I7169+SQRT(1-Rho^2)*H7170),"")</f>
        <v/>
      </c>
      <c r="J7170">
        <f>IF(B7170,IF(Dist="Normal",DistA+DistB*I7170,DistA+(DistB-DistA)*NORMSDIST(I7170)),"")</f>
        <v/>
      </c>
      <c r="K7170">
        <f>IF(B7170,INDEX(MineScale,C7170),"")</f>
        <v/>
      </c>
      <c r="L7170">
        <f>IF(B7170,INDEX(Dow,1,WEEKDAY(E7170,2)),"")</f>
        <v/>
      </c>
      <c r="M7170">
        <f>IF(B7170,(1+Trend)^D7170,"")</f>
        <v/>
      </c>
      <c r="N7170">
        <f>IF(B7170,EXP(SUMPRODUCT(LN(1+(EvEff-1)*INDEX(Affected,0,C7170)*EXP(-((E7170-EvCenter)^2)/(2*EvSigma^2))))),"")</f>
        <v/>
      </c>
      <c r="O7170">
        <f>IF(B7170,ROUND(MAX(0,J7170*K7170*L7170*M7170*N7170),2),"")</f>
        <v/>
      </c>
    </row>
    <row r="7171">
      <c r="A7171" t="n">
        <v>7170</v>
      </c>
      <c r="B7171">
        <f>A7171&lt;=MineCount*Days</f>
        <v/>
      </c>
      <c r="C7171">
        <f>IF(B7171,INT((A7171-1)/Days)+1,"")</f>
        <v/>
      </c>
      <c r="D7171">
        <f>IF(B7171,MOD(A7171-1,Days),"")</f>
        <v/>
      </c>
      <c r="E7171" s="16">
        <f>IF(B7171,StartDate+D7171,"")</f>
        <v/>
      </c>
      <c r="F7171">
        <f>IF(B7171,MAX(MOD(SIN(Seed*0.1373+C7171*12.9898+D7171*78.233)*43758.5453,1),1E-9),"")</f>
        <v/>
      </c>
      <c r="G7171">
        <f>IF(B7171,MOD(SIN(Seed*0.5917+C7171*39.3468+D7171*11.135)*24634.6345,1),"")</f>
        <v/>
      </c>
      <c r="H7171">
        <f>IF(B7171,SQRT(-2*LN(F7171))*COS(2*PI()*G7171),"")</f>
        <v/>
      </c>
      <c r="I7171">
        <f>IF(B7171,IF(D7171=0,H7171,Rho*I7170+SQRT(1-Rho^2)*H7171),"")</f>
        <v/>
      </c>
      <c r="J7171">
        <f>IF(B7171,IF(Dist="Normal",DistA+DistB*I7171,DistA+(DistB-DistA)*NORMSDIST(I7171)),"")</f>
        <v/>
      </c>
      <c r="K7171">
        <f>IF(B7171,INDEX(MineScale,C7171),"")</f>
        <v/>
      </c>
      <c r="L7171">
        <f>IF(B7171,INDEX(Dow,1,WEEKDAY(E7171,2)),"")</f>
        <v/>
      </c>
      <c r="M7171">
        <f>IF(B7171,(1+Trend)^D7171,"")</f>
        <v/>
      </c>
      <c r="N7171">
        <f>IF(B7171,EXP(SUMPRODUCT(LN(1+(EvEff-1)*INDEX(Affected,0,C7171)*EXP(-((E7171-EvCenter)^2)/(2*EvSigma^2))))),"")</f>
        <v/>
      </c>
      <c r="O7171">
        <f>IF(B7171,ROUND(MAX(0,J7171*K7171*L7171*M7171*N7171),2),"")</f>
        <v/>
      </c>
    </row>
    <row r="7172">
      <c r="A7172" t="n">
        <v>7171</v>
      </c>
      <c r="B7172">
        <f>A7172&lt;=MineCount*Days</f>
        <v/>
      </c>
      <c r="C7172">
        <f>IF(B7172,INT((A7172-1)/Days)+1,"")</f>
        <v/>
      </c>
      <c r="D7172">
        <f>IF(B7172,MOD(A7172-1,Days),"")</f>
        <v/>
      </c>
      <c r="E7172" s="16">
        <f>IF(B7172,StartDate+D7172,"")</f>
        <v/>
      </c>
      <c r="F7172">
        <f>IF(B7172,MAX(MOD(SIN(Seed*0.1373+C7172*12.9898+D7172*78.233)*43758.5453,1),1E-9),"")</f>
        <v/>
      </c>
      <c r="G7172">
        <f>IF(B7172,MOD(SIN(Seed*0.5917+C7172*39.3468+D7172*11.135)*24634.6345,1),"")</f>
        <v/>
      </c>
      <c r="H7172">
        <f>IF(B7172,SQRT(-2*LN(F7172))*COS(2*PI()*G7172),"")</f>
        <v/>
      </c>
      <c r="I7172">
        <f>IF(B7172,IF(D7172=0,H7172,Rho*I7171+SQRT(1-Rho^2)*H7172),"")</f>
        <v/>
      </c>
      <c r="J7172">
        <f>IF(B7172,IF(Dist="Normal",DistA+DistB*I7172,DistA+(DistB-DistA)*NORMSDIST(I7172)),"")</f>
        <v/>
      </c>
      <c r="K7172">
        <f>IF(B7172,INDEX(MineScale,C7172),"")</f>
        <v/>
      </c>
      <c r="L7172">
        <f>IF(B7172,INDEX(Dow,1,WEEKDAY(E7172,2)),"")</f>
        <v/>
      </c>
      <c r="M7172">
        <f>IF(B7172,(1+Trend)^D7172,"")</f>
        <v/>
      </c>
      <c r="N7172">
        <f>IF(B7172,EXP(SUMPRODUCT(LN(1+(EvEff-1)*INDEX(Affected,0,C7172)*EXP(-((E7172-EvCenter)^2)/(2*EvSigma^2))))),"")</f>
        <v/>
      </c>
      <c r="O7172">
        <f>IF(B7172,ROUND(MAX(0,J7172*K7172*L7172*M7172*N7172),2),"")</f>
        <v/>
      </c>
    </row>
    <row r="7173">
      <c r="A7173" t="n">
        <v>7172</v>
      </c>
      <c r="B7173">
        <f>A7173&lt;=MineCount*Days</f>
        <v/>
      </c>
      <c r="C7173">
        <f>IF(B7173,INT((A7173-1)/Days)+1,"")</f>
        <v/>
      </c>
      <c r="D7173">
        <f>IF(B7173,MOD(A7173-1,Days),"")</f>
        <v/>
      </c>
      <c r="E7173" s="16">
        <f>IF(B7173,StartDate+D7173,"")</f>
        <v/>
      </c>
      <c r="F7173">
        <f>IF(B7173,MAX(MOD(SIN(Seed*0.1373+C7173*12.9898+D7173*78.233)*43758.5453,1),1E-9),"")</f>
        <v/>
      </c>
      <c r="G7173">
        <f>IF(B7173,MOD(SIN(Seed*0.5917+C7173*39.3468+D7173*11.135)*24634.6345,1),"")</f>
        <v/>
      </c>
      <c r="H7173">
        <f>IF(B7173,SQRT(-2*LN(F7173))*COS(2*PI()*G7173),"")</f>
        <v/>
      </c>
      <c r="I7173">
        <f>IF(B7173,IF(D7173=0,H7173,Rho*I7172+SQRT(1-Rho^2)*H7173),"")</f>
        <v/>
      </c>
      <c r="J7173">
        <f>IF(B7173,IF(Dist="Normal",DistA+DistB*I7173,DistA+(DistB-DistA)*NORMSDIST(I7173)),"")</f>
        <v/>
      </c>
      <c r="K7173">
        <f>IF(B7173,INDEX(MineScale,C7173),"")</f>
        <v/>
      </c>
      <c r="L7173">
        <f>IF(B7173,INDEX(Dow,1,WEEKDAY(E7173,2)),"")</f>
        <v/>
      </c>
      <c r="M7173">
        <f>IF(B7173,(1+Trend)^D7173,"")</f>
        <v/>
      </c>
      <c r="N7173">
        <f>IF(B7173,EXP(SUMPRODUCT(LN(1+(EvEff-1)*INDEX(Affected,0,C7173)*EXP(-((E7173-EvCenter)^2)/(2*EvSigma^2))))),"")</f>
        <v/>
      </c>
      <c r="O7173">
        <f>IF(B7173,ROUND(MAX(0,J7173*K7173*L7173*M7173*N7173),2),"")</f>
        <v/>
      </c>
    </row>
    <row r="7174">
      <c r="A7174" t="n">
        <v>7173</v>
      </c>
      <c r="B7174">
        <f>A7174&lt;=MineCount*Days</f>
        <v/>
      </c>
      <c r="C7174">
        <f>IF(B7174,INT((A7174-1)/Days)+1,"")</f>
        <v/>
      </c>
      <c r="D7174">
        <f>IF(B7174,MOD(A7174-1,Days),"")</f>
        <v/>
      </c>
      <c r="E7174" s="16">
        <f>IF(B7174,StartDate+D7174,"")</f>
        <v/>
      </c>
      <c r="F7174">
        <f>IF(B7174,MAX(MOD(SIN(Seed*0.1373+C7174*12.9898+D7174*78.233)*43758.5453,1),1E-9),"")</f>
        <v/>
      </c>
      <c r="G7174">
        <f>IF(B7174,MOD(SIN(Seed*0.5917+C7174*39.3468+D7174*11.135)*24634.6345,1),"")</f>
        <v/>
      </c>
      <c r="H7174">
        <f>IF(B7174,SQRT(-2*LN(F7174))*COS(2*PI()*G7174),"")</f>
        <v/>
      </c>
      <c r="I7174">
        <f>IF(B7174,IF(D7174=0,H7174,Rho*I7173+SQRT(1-Rho^2)*H7174),"")</f>
        <v/>
      </c>
      <c r="J7174">
        <f>IF(B7174,IF(Dist="Normal",DistA+DistB*I7174,DistA+(DistB-DistA)*NORMSDIST(I7174)),"")</f>
        <v/>
      </c>
      <c r="K7174">
        <f>IF(B7174,INDEX(MineScale,C7174),"")</f>
        <v/>
      </c>
      <c r="L7174">
        <f>IF(B7174,INDEX(Dow,1,WEEKDAY(E7174,2)),"")</f>
        <v/>
      </c>
      <c r="M7174">
        <f>IF(B7174,(1+Trend)^D7174,"")</f>
        <v/>
      </c>
      <c r="N7174">
        <f>IF(B7174,EXP(SUMPRODUCT(LN(1+(EvEff-1)*INDEX(Affected,0,C7174)*EXP(-((E7174-EvCenter)^2)/(2*EvSigma^2))))),"")</f>
        <v/>
      </c>
      <c r="O7174">
        <f>IF(B7174,ROUND(MAX(0,J7174*K7174*L7174*M7174*N7174),2),"")</f>
        <v/>
      </c>
    </row>
    <row r="7175">
      <c r="A7175" t="n">
        <v>7174</v>
      </c>
      <c r="B7175">
        <f>A7175&lt;=MineCount*Days</f>
        <v/>
      </c>
      <c r="C7175">
        <f>IF(B7175,INT((A7175-1)/Days)+1,"")</f>
        <v/>
      </c>
      <c r="D7175">
        <f>IF(B7175,MOD(A7175-1,Days),"")</f>
        <v/>
      </c>
      <c r="E7175" s="16">
        <f>IF(B7175,StartDate+D7175,"")</f>
        <v/>
      </c>
      <c r="F7175">
        <f>IF(B7175,MAX(MOD(SIN(Seed*0.1373+C7175*12.9898+D7175*78.233)*43758.5453,1),1E-9),"")</f>
        <v/>
      </c>
      <c r="G7175">
        <f>IF(B7175,MOD(SIN(Seed*0.5917+C7175*39.3468+D7175*11.135)*24634.6345,1),"")</f>
        <v/>
      </c>
      <c r="H7175">
        <f>IF(B7175,SQRT(-2*LN(F7175))*COS(2*PI()*G7175),"")</f>
        <v/>
      </c>
      <c r="I7175">
        <f>IF(B7175,IF(D7175=0,H7175,Rho*I7174+SQRT(1-Rho^2)*H7175),"")</f>
        <v/>
      </c>
      <c r="J7175">
        <f>IF(B7175,IF(Dist="Normal",DistA+DistB*I7175,DistA+(DistB-DistA)*NORMSDIST(I7175)),"")</f>
        <v/>
      </c>
      <c r="K7175">
        <f>IF(B7175,INDEX(MineScale,C7175),"")</f>
        <v/>
      </c>
      <c r="L7175">
        <f>IF(B7175,INDEX(Dow,1,WEEKDAY(E7175,2)),"")</f>
        <v/>
      </c>
      <c r="M7175">
        <f>IF(B7175,(1+Trend)^D7175,"")</f>
        <v/>
      </c>
      <c r="N7175">
        <f>IF(B7175,EXP(SUMPRODUCT(LN(1+(EvEff-1)*INDEX(Affected,0,C7175)*EXP(-((E7175-EvCenter)^2)/(2*EvSigma^2))))),"")</f>
        <v/>
      </c>
      <c r="O7175">
        <f>IF(B7175,ROUND(MAX(0,J7175*K7175*L7175*M7175*N7175),2),"")</f>
        <v/>
      </c>
    </row>
    <row r="7176">
      <c r="A7176" t="n">
        <v>7175</v>
      </c>
      <c r="B7176">
        <f>A7176&lt;=MineCount*Days</f>
        <v/>
      </c>
      <c r="C7176">
        <f>IF(B7176,INT((A7176-1)/Days)+1,"")</f>
        <v/>
      </c>
      <c r="D7176">
        <f>IF(B7176,MOD(A7176-1,Days),"")</f>
        <v/>
      </c>
      <c r="E7176" s="16">
        <f>IF(B7176,StartDate+D7176,"")</f>
        <v/>
      </c>
      <c r="F7176">
        <f>IF(B7176,MAX(MOD(SIN(Seed*0.1373+C7176*12.9898+D7176*78.233)*43758.5453,1),1E-9),"")</f>
        <v/>
      </c>
      <c r="G7176">
        <f>IF(B7176,MOD(SIN(Seed*0.5917+C7176*39.3468+D7176*11.135)*24634.6345,1),"")</f>
        <v/>
      </c>
      <c r="H7176">
        <f>IF(B7176,SQRT(-2*LN(F7176))*COS(2*PI()*G7176),"")</f>
        <v/>
      </c>
      <c r="I7176">
        <f>IF(B7176,IF(D7176=0,H7176,Rho*I7175+SQRT(1-Rho^2)*H7176),"")</f>
        <v/>
      </c>
      <c r="J7176">
        <f>IF(B7176,IF(Dist="Normal",DistA+DistB*I7176,DistA+(DistB-DistA)*NORMSDIST(I7176)),"")</f>
        <v/>
      </c>
      <c r="K7176">
        <f>IF(B7176,INDEX(MineScale,C7176),"")</f>
        <v/>
      </c>
      <c r="L7176">
        <f>IF(B7176,INDEX(Dow,1,WEEKDAY(E7176,2)),"")</f>
        <v/>
      </c>
      <c r="M7176">
        <f>IF(B7176,(1+Trend)^D7176,"")</f>
        <v/>
      </c>
      <c r="N7176">
        <f>IF(B7176,EXP(SUMPRODUCT(LN(1+(EvEff-1)*INDEX(Affected,0,C7176)*EXP(-((E7176-EvCenter)^2)/(2*EvSigma^2))))),"")</f>
        <v/>
      </c>
      <c r="O7176">
        <f>IF(B7176,ROUND(MAX(0,J7176*K7176*L7176*M7176*N7176),2),"")</f>
        <v/>
      </c>
    </row>
    <row r="7177">
      <c r="A7177" t="n">
        <v>7176</v>
      </c>
      <c r="B7177">
        <f>A7177&lt;=MineCount*Days</f>
        <v/>
      </c>
      <c r="C7177">
        <f>IF(B7177,INT((A7177-1)/Days)+1,"")</f>
        <v/>
      </c>
      <c r="D7177">
        <f>IF(B7177,MOD(A7177-1,Days),"")</f>
        <v/>
      </c>
      <c r="E7177" s="16">
        <f>IF(B7177,StartDate+D7177,"")</f>
        <v/>
      </c>
      <c r="F7177">
        <f>IF(B7177,MAX(MOD(SIN(Seed*0.1373+C7177*12.9898+D7177*78.233)*43758.5453,1),1E-9),"")</f>
        <v/>
      </c>
      <c r="G7177">
        <f>IF(B7177,MOD(SIN(Seed*0.5917+C7177*39.3468+D7177*11.135)*24634.6345,1),"")</f>
        <v/>
      </c>
      <c r="H7177">
        <f>IF(B7177,SQRT(-2*LN(F7177))*COS(2*PI()*G7177),"")</f>
        <v/>
      </c>
      <c r="I7177">
        <f>IF(B7177,IF(D7177=0,H7177,Rho*I7176+SQRT(1-Rho^2)*H7177),"")</f>
        <v/>
      </c>
      <c r="J7177">
        <f>IF(B7177,IF(Dist="Normal",DistA+DistB*I7177,DistA+(DistB-DistA)*NORMSDIST(I7177)),"")</f>
        <v/>
      </c>
      <c r="K7177">
        <f>IF(B7177,INDEX(MineScale,C7177),"")</f>
        <v/>
      </c>
      <c r="L7177">
        <f>IF(B7177,INDEX(Dow,1,WEEKDAY(E7177,2)),"")</f>
        <v/>
      </c>
      <c r="M7177">
        <f>IF(B7177,(1+Trend)^D7177,"")</f>
        <v/>
      </c>
      <c r="N7177">
        <f>IF(B7177,EXP(SUMPRODUCT(LN(1+(EvEff-1)*INDEX(Affected,0,C7177)*EXP(-((E7177-EvCenter)^2)/(2*EvSigma^2))))),"")</f>
        <v/>
      </c>
      <c r="O7177">
        <f>IF(B7177,ROUND(MAX(0,J7177*K7177*L7177*M7177*N7177),2),"")</f>
        <v/>
      </c>
    </row>
    <row r="7178">
      <c r="A7178" t="n">
        <v>7177</v>
      </c>
      <c r="B7178">
        <f>A7178&lt;=MineCount*Days</f>
        <v/>
      </c>
      <c r="C7178">
        <f>IF(B7178,INT((A7178-1)/Days)+1,"")</f>
        <v/>
      </c>
      <c r="D7178">
        <f>IF(B7178,MOD(A7178-1,Days),"")</f>
        <v/>
      </c>
      <c r="E7178" s="16">
        <f>IF(B7178,StartDate+D7178,"")</f>
        <v/>
      </c>
      <c r="F7178">
        <f>IF(B7178,MAX(MOD(SIN(Seed*0.1373+C7178*12.9898+D7178*78.233)*43758.5453,1),1E-9),"")</f>
        <v/>
      </c>
      <c r="G7178">
        <f>IF(B7178,MOD(SIN(Seed*0.5917+C7178*39.3468+D7178*11.135)*24634.6345,1),"")</f>
        <v/>
      </c>
      <c r="H7178">
        <f>IF(B7178,SQRT(-2*LN(F7178))*COS(2*PI()*G7178),"")</f>
        <v/>
      </c>
      <c r="I7178">
        <f>IF(B7178,IF(D7178=0,H7178,Rho*I7177+SQRT(1-Rho^2)*H7178),"")</f>
        <v/>
      </c>
      <c r="J7178">
        <f>IF(B7178,IF(Dist="Normal",DistA+DistB*I7178,DistA+(DistB-DistA)*NORMSDIST(I7178)),"")</f>
        <v/>
      </c>
      <c r="K7178">
        <f>IF(B7178,INDEX(MineScale,C7178),"")</f>
        <v/>
      </c>
      <c r="L7178">
        <f>IF(B7178,INDEX(Dow,1,WEEKDAY(E7178,2)),"")</f>
        <v/>
      </c>
      <c r="M7178">
        <f>IF(B7178,(1+Trend)^D7178,"")</f>
        <v/>
      </c>
      <c r="N7178">
        <f>IF(B7178,EXP(SUMPRODUCT(LN(1+(EvEff-1)*INDEX(Affected,0,C7178)*EXP(-((E7178-EvCenter)^2)/(2*EvSigma^2))))),"")</f>
        <v/>
      </c>
      <c r="O7178">
        <f>IF(B7178,ROUND(MAX(0,J7178*K7178*L7178*M7178*N7178),2),"")</f>
        <v/>
      </c>
    </row>
    <row r="7179">
      <c r="A7179" t="n">
        <v>7178</v>
      </c>
      <c r="B7179">
        <f>A7179&lt;=MineCount*Days</f>
        <v/>
      </c>
      <c r="C7179">
        <f>IF(B7179,INT((A7179-1)/Days)+1,"")</f>
        <v/>
      </c>
      <c r="D7179">
        <f>IF(B7179,MOD(A7179-1,Days),"")</f>
        <v/>
      </c>
      <c r="E7179" s="16">
        <f>IF(B7179,StartDate+D7179,"")</f>
        <v/>
      </c>
      <c r="F7179">
        <f>IF(B7179,MAX(MOD(SIN(Seed*0.1373+C7179*12.9898+D7179*78.233)*43758.5453,1),1E-9),"")</f>
        <v/>
      </c>
      <c r="G7179">
        <f>IF(B7179,MOD(SIN(Seed*0.5917+C7179*39.3468+D7179*11.135)*24634.6345,1),"")</f>
        <v/>
      </c>
      <c r="H7179">
        <f>IF(B7179,SQRT(-2*LN(F7179))*COS(2*PI()*G7179),"")</f>
        <v/>
      </c>
      <c r="I7179">
        <f>IF(B7179,IF(D7179=0,H7179,Rho*I7178+SQRT(1-Rho^2)*H7179),"")</f>
        <v/>
      </c>
      <c r="J7179">
        <f>IF(B7179,IF(Dist="Normal",DistA+DistB*I7179,DistA+(DistB-DistA)*NORMSDIST(I7179)),"")</f>
        <v/>
      </c>
      <c r="K7179">
        <f>IF(B7179,INDEX(MineScale,C7179),"")</f>
        <v/>
      </c>
      <c r="L7179">
        <f>IF(B7179,INDEX(Dow,1,WEEKDAY(E7179,2)),"")</f>
        <v/>
      </c>
      <c r="M7179">
        <f>IF(B7179,(1+Trend)^D7179,"")</f>
        <v/>
      </c>
      <c r="N7179">
        <f>IF(B7179,EXP(SUMPRODUCT(LN(1+(EvEff-1)*INDEX(Affected,0,C7179)*EXP(-((E7179-EvCenter)^2)/(2*EvSigma^2))))),"")</f>
        <v/>
      </c>
      <c r="O7179">
        <f>IF(B7179,ROUND(MAX(0,J7179*K7179*L7179*M7179*N7179),2),"")</f>
        <v/>
      </c>
    </row>
    <row r="7180">
      <c r="A7180" t="n">
        <v>7179</v>
      </c>
      <c r="B7180">
        <f>A7180&lt;=MineCount*Days</f>
        <v/>
      </c>
      <c r="C7180">
        <f>IF(B7180,INT((A7180-1)/Days)+1,"")</f>
        <v/>
      </c>
      <c r="D7180">
        <f>IF(B7180,MOD(A7180-1,Days),"")</f>
        <v/>
      </c>
      <c r="E7180" s="16">
        <f>IF(B7180,StartDate+D7180,"")</f>
        <v/>
      </c>
      <c r="F7180">
        <f>IF(B7180,MAX(MOD(SIN(Seed*0.1373+C7180*12.9898+D7180*78.233)*43758.5453,1),1E-9),"")</f>
        <v/>
      </c>
      <c r="G7180">
        <f>IF(B7180,MOD(SIN(Seed*0.5917+C7180*39.3468+D7180*11.135)*24634.6345,1),"")</f>
        <v/>
      </c>
      <c r="H7180">
        <f>IF(B7180,SQRT(-2*LN(F7180))*COS(2*PI()*G7180),"")</f>
        <v/>
      </c>
      <c r="I7180">
        <f>IF(B7180,IF(D7180=0,H7180,Rho*I7179+SQRT(1-Rho^2)*H7180),"")</f>
        <v/>
      </c>
      <c r="J7180">
        <f>IF(B7180,IF(Dist="Normal",DistA+DistB*I7180,DistA+(DistB-DistA)*NORMSDIST(I7180)),"")</f>
        <v/>
      </c>
      <c r="K7180">
        <f>IF(B7180,INDEX(MineScale,C7180),"")</f>
        <v/>
      </c>
      <c r="L7180">
        <f>IF(B7180,INDEX(Dow,1,WEEKDAY(E7180,2)),"")</f>
        <v/>
      </c>
      <c r="M7180">
        <f>IF(B7180,(1+Trend)^D7180,"")</f>
        <v/>
      </c>
      <c r="N7180">
        <f>IF(B7180,EXP(SUMPRODUCT(LN(1+(EvEff-1)*INDEX(Affected,0,C7180)*EXP(-((E7180-EvCenter)^2)/(2*EvSigma^2))))),"")</f>
        <v/>
      </c>
      <c r="O7180">
        <f>IF(B7180,ROUND(MAX(0,J7180*K7180*L7180*M7180*N7180),2),"")</f>
        <v/>
      </c>
    </row>
    <row r="7181">
      <c r="A7181" t="n">
        <v>7180</v>
      </c>
      <c r="B7181">
        <f>A7181&lt;=MineCount*Days</f>
        <v/>
      </c>
      <c r="C7181">
        <f>IF(B7181,INT((A7181-1)/Days)+1,"")</f>
        <v/>
      </c>
      <c r="D7181">
        <f>IF(B7181,MOD(A7181-1,Days),"")</f>
        <v/>
      </c>
      <c r="E7181" s="16">
        <f>IF(B7181,StartDate+D7181,"")</f>
        <v/>
      </c>
      <c r="F7181">
        <f>IF(B7181,MAX(MOD(SIN(Seed*0.1373+C7181*12.9898+D7181*78.233)*43758.5453,1),1E-9),"")</f>
        <v/>
      </c>
      <c r="G7181">
        <f>IF(B7181,MOD(SIN(Seed*0.5917+C7181*39.3468+D7181*11.135)*24634.6345,1),"")</f>
        <v/>
      </c>
      <c r="H7181">
        <f>IF(B7181,SQRT(-2*LN(F7181))*COS(2*PI()*G7181),"")</f>
        <v/>
      </c>
      <c r="I7181">
        <f>IF(B7181,IF(D7181=0,H7181,Rho*I7180+SQRT(1-Rho^2)*H7181),"")</f>
        <v/>
      </c>
      <c r="J7181">
        <f>IF(B7181,IF(Dist="Normal",DistA+DistB*I7181,DistA+(DistB-DistA)*NORMSDIST(I7181)),"")</f>
        <v/>
      </c>
      <c r="K7181">
        <f>IF(B7181,INDEX(MineScale,C7181),"")</f>
        <v/>
      </c>
      <c r="L7181">
        <f>IF(B7181,INDEX(Dow,1,WEEKDAY(E7181,2)),"")</f>
        <v/>
      </c>
      <c r="M7181">
        <f>IF(B7181,(1+Trend)^D7181,"")</f>
        <v/>
      </c>
      <c r="N7181">
        <f>IF(B7181,EXP(SUMPRODUCT(LN(1+(EvEff-1)*INDEX(Affected,0,C7181)*EXP(-((E7181-EvCenter)^2)/(2*EvSigma^2))))),"")</f>
        <v/>
      </c>
      <c r="O7181">
        <f>IF(B7181,ROUND(MAX(0,J7181*K7181*L7181*M7181*N7181),2),"")</f>
        <v/>
      </c>
    </row>
    <row r="7182">
      <c r="A7182" t="n">
        <v>7181</v>
      </c>
      <c r="B7182">
        <f>A7182&lt;=MineCount*Days</f>
        <v/>
      </c>
      <c r="C7182">
        <f>IF(B7182,INT((A7182-1)/Days)+1,"")</f>
        <v/>
      </c>
      <c r="D7182">
        <f>IF(B7182,MOD(A7182-1,Days),"")</f>
        <v/>
      </c>
      <c r="E7182" s="16">
        <f>IF(B7182,StartDate+D7182,"")</f>
        <v/>
      </c>
      <c r="F7182">
        <f>IF(B7182,MAX(MOD(SIN(Seed*0.1373+C7182*12.9898+D7182*78.233)*43758.5453,1),1E-9),"")</f>
        <v/>
      </c>
      <c r="G7182">
        <f>IF(B7182,MOD(SIN(Seed*0.5917+C7182*39.3468+D7182*11.135)*24634.6345,1),"")</f>
        <v/>
      </c>
      <c r="H7182">
        <f>IF(B7182,SQRT(-2*LN(F7182))*COS(2*PI()*G7182),"")</f>
        <v/>
      </c>
      <c r="I7182">
        <f>IF(B7182,IF(D7182=0,H7182,Rho*I7181+SQRT(1-Rho^2)*H7182),"")</f>
        <v/>
      </c>
      <c r="J7182">
        <f>IF(B7182,IF(Dist="Normal",DistA+DistB*I7182,DistA+(DistB-DistA)*NORMSDIST(I7182)),"")</f>
        <v/>
      </c>
      <c r="K7182">
        <f>IF(B7182,INDEX(MineScale,C7182),"")</f>
        <v/>
      </c>
      <c r="L7182">
        <f>IF(B7182,INDEX(Dow,1,WEEKDAY(E7182,2)),"")</f>
        <v/>
      </c>
      <c r="M7182">
        <f>IF(B7182,(1+Trend)^D7182,"")</f>
        <v/>
      </c>
      <c r="N7182">
        <f>IF(B7182,EXP(SUMPRODUCT(LN(1+(EvEff-1)*INDEX(Affected,0,C7182)*EXP(-((E7182-EvCenter)^2)/(2*EvSigma^2))))),"")</f>
        <v/>
      </c>
      <c r="O7182">
        <f>IF(B7182,ROUND(MAX(0,J7182*K7182*L7182*M7182*N7182),2),"")</f>
        <v/>
      </c>
    </row>
    <row r="7183">
      <c r="A7183" t="n">
        <v>7182</v>
      </c>
      <c r="B7183">
        <f>A7183&lt;=MineCount*Days</f>
        <v/>
      </c>
      <c r="C7183">
        <f>IF(B7183,INT((A7183-1)/Days)+1,"")</f>
        <v/>
      </c>
      <c r="D7183">
        <f>IF(B7183,MOD(A7183-1,Days),"")</f>
        <v/>
      </c>
      <c r="E7183" s="16">
        <f>IF(B7183,StartDate+D7183,"")</f>
        <v/>
      </c>
      <c r="F7183">
        <f>IF(B7183,MAX(MOD(SIN(Seed*0.1373+C7183*12.9898+D7183*78.233)*43758.5453,1),1E-9),"")</f>
        <v/>
      </c>
      <c r="G7183">
        <f>IF(B7183,MOD(SIN(Seed*0.5917+C7183*39.3468+D7183*11.135)*24634.6345,1),"")</f>
        <v/>
      </c>
      <c r="H7183">
        <f>IF(B7183,SQRT(-2*LN(F7183))*COS(2*PI()*G7183),"")</f>
        <v/>
      </c>
      <c r="I7183">
        <f>IF(B7183,IF(D7183=0,H7183,Rho*I7182+SQRT(1-Rho^2)*H7183),"")</f>
        <v/>
      </c>
      <c r="J7183">
        <f>IF(B7183,IF(Dist="Normal",DistA+DistB*I7183,DistA+(DistB-DistA)*NORMSDIST(I7183)),"")</f>
        <v/>
      </c>
      <c r="K7183">
        <f>IF(B7183,INDEX(MineScale,C7183),"")</f>
        <v/>
      </c>
      <c r="L7183">
        <f>IF(B7183,INDEX(Dow,1,WEEKDAY(E7183,2)),"")</f>
        <v/>
      </c>
      <c r="M7183">
        <f>IF(B7183,(1+Trend)^D7183,"")</f>
        <v/>
      </c>
      <c r="N7183">
        <f>IF(B7183,EXP(SUMPRODUCT(LN(1+(EvEff-1)*INDEX(Affected,0,C7183)*EXP(-((E7183-EvCenter)^2)/(2*EvSigma^2))))),"")</f>
        <v/>
      </c>
      <c r="O7183">
        <f>IF(B7183,ROUND(MAX(0,J7183*K7183*L7183*M7183*N7183),2),"")</f>
        <v/>
      </c>
    </row>
    <row r="7184">
      <c r="A7184" t="n">
        <v>7183</v>
      </c>
      <c r="B7184">
        <f>A7184&lt;=MineCount*Days</f>
        <v/>
      </c>
      <c r="C7184">
        <f>IF(B7184,INT((A7184-1)/Days)+1,"")</f>
        <v/>
      </c>
      <c r="D7184">
        <f>IF(B7184,MOD(A7184-1,Days),"")</f>
        <v/>
      </c>
      <c r="E7184" s="16">
        <f>IF(B7184,StartDate+D7184,"")</f>
        <v/>
      </c>
      <c r="F7184">
        <f>IF(B7184,MAX(MOD(SIN(Seed*0.1373+C7184*12.9898+D7184*78.233)*43758.5453,1),1E-9),"")</f>
        <v/>
      </c>
      <c r="G7184">
        <f>IF(B7184,MOD(SIN(Seed*0.5917+C7184*39.3468+D7184*11.135)*24634.6345,1),"")</f>
        <v/>
      </c>
      <c r="H7184">
        <f>IF(B7184,SQRT(-2*LN(F7184))*COS(2*PI()*G7184),"")</f>
        <v/>
      </c>
      <c r="I7184">
        <f>IF(B7184,IF(D7184=0,H7184,Rho*I7183+SQRT(1-Rho^2)*H7184),"")</f>
        <v/>
      </c>
      <c r="J7184">
        <f>IF(B7184,IF(Dist="Normal",DistA+DistB*I7184,DistA+(DistB-DistA)*NORMSDIST(I7184)),"")</f>
        <v/>
      </c>
      <c r="K7184">
        <f>IF(B7184,INDEX(MineScale,C7184),"")</f>
        <v/>
      </c>
      <c r="L7184">
        <f>IF(B7184,INDEX(Dow,1,WEEKDAY(E7184,2)),"")</f>
        <v/>
      </c>
      <c r="M7184">
        <f>IF(B7184,(1+Trend)^D7184,"")</f>
        <v/>
      </c>
      <c r="N7184">
        <f>IF(B7184,EXP(SUMPRODUCT(LN(1+(EvEff-1)*INDEX(Affected,0,C7184)*EXP(-((E7184-EvCenter)^2)/(2*EvSigma^2))))),"")</f>
        <v/>
      </c>
      <c r="O7184">
        <f>IF(B7184,ROUND(MAX(0,J7184*K7184*L7184*M7184*N7184),2),"")</f>
        <v/>
      </c>
    </row>
    <row r="7185">
      <c r="A7185" t="n">
        <v>7184</v>
      </c>
      <c r="B7185">
        <f>A7185&lt;=MineCount*Days</f>
        <v/>
      </c>
      <c r="C7185">
        <f>IF(B7185,INT((A7185-1)/Days)+1,"")</f>
        <v/>
      </c>
      <c r="D7185">
        <f>IF(B7185,MOD(A7185-1,Days),"")</f>
        <v/>
      </c>
      <c r="E7185" s="16">
        <f>IF(B7185,StartDate+D7185,"")</f>
        <v/>
      </c>
      <c r="F7185">
        <f>IF(B7185,MAX(MOD(SIN(Seed*0.1373+C7185*12.9898+D7185*78.233)*43758.5453,1),1E-9),"")</f>
        <v/>
      </c>
      <c r="G7185">
        <f>IF(B7185,MOD(SIN(Seed*0.5917+C7185*39.3468+D7185*11.135)*24634.6345,1),"")</f>
        <v/>
      </c>
      <c r="H7185">
        <f>IF(B7185,SQRT(-2*LN(F7185))*COS(2*PI()*G7185),"")</f>
        <v/>
      </c>
      <c r="I7185">
        <f>IF(B7185,IF(D7185=0,H7185,Rho*I7184+SQRT(1-Rho^2)*H7185),"")</f>
        <v/>
      </c>
      <c r="J7185">
        <f>IF(B7185,IF(Dist="Normal",DistA+DistB*I7185,DistA+(DistB-DistA)*NORMSDIST(I7185)),"")</f>
        <v/>
      </c>
      <c r="K7185">
        <f>IF(B7185,INDEX(MineScale,C7185),"")</f>
        <v/>
      </c>
      <c r="L7185">
        <f>IF(B7185,INDEX(Dow,1,WEEKDAY(E7185,2)),"")</f>
        <v/>
      </c>
      <c r="M7185">
        <f>IF(B7185,(1+Trend)^D7185,"")</f>
        <v/>
      </c>
      <c r="N7185">
        <f>IF(B7185,EXP(SUMPRODUCT(LN(1+(EvEff-1)*INDEX(Affected,0,C7185)*EXP(-((E7185-EvCenter)^2)/(2*EvSigma^2))))),"")</f>
        <v/>
      </c>
      <c r="O7185">
        <f>IF(B7185,ROUND(MAX(0,J7185*K7185*L7185*M7185*N7185),2),"")</f>
        <v/>
      </c>
    </row>
    <row r="7186">
      <c r="A7186" t="n">
        <v>7185</v>
      </c>
      <c r="B7186">
        <f>A7186&lt;=MineCount*Days</f>
        <v/>
      </c>
      <c r="C7186">
        <f>IF(B7186,INT((A7186-1)/Days)+1,"")</f>
        <v/>
      </c>
      <c r="D7186">
        <f>IF(B7186,MOD(A7186-1,Days),"")</f>
        <v/>
      </c>
      <c r="E7186" s="16">
        <f>IF(B7186,StartDate+D7186,"")</f>
        <v/>
      </c>
      <c r="F7186">
        <f>IF(B7186,MAX(MOD(SIN(Seed*0.1373+C7186*12.9898+D7186*78.233)*43758.5453,1),1E-9),"")</f>
        <v/>
      </c>
      <c r="G7186">
        <f>IF(B7186,MOD(SIN(Seed*0.5917+C7186*39.3468+D7186*11.135)*24634.6345,1),"")</f>
        <v/>
      </c>
      <c r="H7186">
        <f>IF(B7186,SQRT(-2*LN(F7186))*COS(2*PI()*G7186),"")</f>
        <v/>
      </c>
      <c r="I7186">
        <f>IF(B7186,IF(D7186=0,H7186,Rho*I7185+SQRT(1-Rho^2)*H7186),"")</f>
        <v/>
      </c>
      <c r="J7186">
        <f>IF(B7186,IF(Dist="Normal",DistA+DistB*I7186,DistA+(DistB-DistA)*NORMSDIST(I7186)),"")</f>
        <v/>
      </c>
      <c r="K7186">
        <f>IF(B7186,INDEX(MineScale,C7186),"")</f>
        <v/>
      </c>
      <c r="L7186">
        <f>IF(B7186,INDEX(Dow,1,WEEKDAY(E7186,2)),"")</f>
        <v/>
      </c>
      <c r="M7186">
        <f>IF(B7186,(1+Trend)^D7186,"")</f>
        <v/>
      </c>
      <c r="N7186">
        <f>IF(B7186,EXP(SUMPRODUCT(LN(1+(EvEff-1)*INDEX(Affected,0,C7186)*EXP(-((E7186-EvCenter)^2)/(2*EvSigma^2))))),"")</f>
        <v/>
      </c>
      <c r="O7186">
        <f>IF(B7186,ROUND(MAX(0,J7186*K7186*L7186*M7186*N7186),2),"")</f>
        <v/>
      </c>
    </row>
    <row r="7187">
      <c r="A7187" t="n">
        <v>7186</v>
      </c>
      <c r="B7187">
        <f>A7187&lt;=MineCount*Days</f>
        <v/>
      </c>
      <c r="C7187">
        <f>IF(B7187,INT((A7187-1)/Days)+1,"")</f>
        <v/>
      </c>
      <c r="D7187">
        <f>IF(B7187,MOD(A7187-1,Days),"")</f>
        <v/>
      </c>
      <c r="E7187" s="16">
        <f>IF(B7187,StartDate+D7187,"")</f>
        <v/>
      </c>
      <c r="F7187">
        <f>IF(B7187,MAX(MOD(SIN(Seed*0.1373+C7187*12.9898+D7187*78.233)*43758.5453,1),1E-9),"")</f>
        <v/>
      </c>
      <c r="G7187">
        <f>IF(B7187,MOD(SIN(Seed*0.5917+C7187*39.3468+D7187*11.135)*24634.6345,1),"")</f>
        <v/>
      </c>
      <c r="H7187">
        <f>IF(B7187,SQRT(-2*LN(F7187))*COS(2*PI()*G7187),"")</f>
        <v/>
      </c>
      <c r="I7187">
        <f>IF(B7187,IF(D7187=0,H7187,Rho*I7186+SQRT(1-Rho^2)*H7187),"")</f>
        <v/>
      </c>
      <c r="J7187">
        <f>IF(B7187,IF(Dist="Normal",DistA+DistB*I7187,DistA+(DistB-DistA)*NORMSDIST(I7187)),"")</f>
        <v/>
      </c>
      <c r="K7187">
        <f>IF(B7187,INDEX(MineScale,C7187),"")</f>
        <v/>
      </c>
      <c r="L7187">
        <f>IF(B7187,INDEX(Dow,1,WEEKDAY(E7187,2)),"")</f>
        <v/>
      </c>
      <c r="M7187">
        <f>IF(B7187,(1+Trend)^D7187,"")</f>
        <v/>
      </c>
      <c r="N7187">
        <f>IF(B7187,EXP(SUMPRODUCT(LN(1+(EvEff-1)*INDEX(Affected,0,C7187)*EXP(-((E7187-EvCenter)^2)/(2*EvSigma^2))))),"")</f>
        <v/>
      </c>
      <c r="O7187">
        <f>IF(B7187,ROUND(MAX(0,J7187*K7187*L7187*M7187*N7187),2),"")</f>
        <v/>
      </c>
    </row>
    <row r="7188">
      <c r="A7188" t="n">
        <v>7187</v>
      </c>
      <c r="B7188">
        <f>A7188&lt;=MineCount*Days</f>
        <v/>
      </c>
      <c r="C7188">
        <f>IF(B7188,INT((A7188-1)/Days)+1,"")</f>
        <v/>
      </c>
      <c r="D7188">
        <f>IF(B7188,MOD(A7188-1,Days),"")</f>
        <v/>
      </c>
      <c r="E7188" s="16">
        <f>IF(B7188,StartDate+D7188,"")</f>
        <v/>
      </c>
      <c r="F7188">
        <f>IF(B7188,MAX(MOD(SIN(Seed*0.1373+C7188*12.9898+D7188*78.233)*43758.5453,1),1E-9),"")</f>
        <v/>
      </c>
      <c r="G7188">
        <f>IF(B7188,MOD(SIN(Seed*0.5917+C7188*39.3468+D7188*11.135)*24634.6345,1),"")</f>
        <v/>
      </c>
      <c r="H7188">
        <f>IF(B7188,SQRT(-2*LN(F7188))*COS(2*PI()*G7188),"")</f>
        <v/>
      </c>
      <c r="I7188">
        <f>IF(B7188,IF(D7188=0,H7188,Rho*I7187+SQRT(1-Rho^2)*H7188),"")</f>
        <v/>
      </c>
      <c r="J7188">
        <f>IF(B7188,IF(Dist="Normal",DistA+DistB*I7188,DistA+(DistB-DistA)*NORMSDIST(I7188)),"")</f>
        <v/>
      </c>
      <c r="K7188">
        <f>IF(B7188,INDEX(MineScale,C7188),"")</f>
        <v/>
      </c>
      <c r="L7188">
        <f>IF(B7188,INDEX(Dow,1,WEEKDAY(E7188,2)),"")</f>
        <v/>
      </c>
      <c r="M7188">
        <f>IF(B7188,(1+Trend)^D7188,"")</f>
        <v/>
      </c>
      <c r="N7188">
        <f>IF(B7188,EXP(SUMPRODUCT(LN(1+(EvEff-1)*INDEX(Affected,0,C7188)*EXP(-((E7188-EvCenter)^2)/(2*EvSigma^2))))),"")</f>
        <v/>
      </c>
      <c r="O7188">
        <f>IF(B7188,ROUND(MAX(0,J7188*K7188*L7188*M7188*N7188),2),"")</f>
        <v/>
      </c>
    </row>
    <row r="7189">
      <c r="A7189" t="n">
        <v>7188</v>
      </c>
      <c r="B7189">
        <f>A7189&lt;=MineCount*Days</f>
        <v/>
      </c>
      <c r="C7189">
        <f>IF(B7189,INT((A7189-1)/Days)+1,"")</f>
        <v/>
      </c>
      <c r="D7189">
        <f>IF(B7189,MOD(A7189-1,Days),"")</f>
        <v/>
      </c>
      <c r="E7189" s="16">
        <f>IF(B7189,StartDate+D7189,"")</f>
        <v/>
      </c>
      <c r="F7189">
        <f>IF(B7189,MAX(MOD(SIN(Seed*0.1373+C7189*12.9898+D7189*78.233)*43758.5453,1),1E-9),"")</f>
        <v/>
      </c>
      <c r="G7189">
        <f>IF(B7189,MOD(SIN(Seed*0.5917+C7189*39.3468+D7189*11.135)*24634.6345,1),"")</f>
        <v/>
      </c>
      <c r="H7189">
        <f>IF(B7189,SQRT(-2*LN(F7189))*COS(2*PI()*G7189),"")</f>
        <v/>
      </c>
      <c r="I7189">
        <f>IF(B7189,IF(D7189=0,H7189,Rho*I7188+SQRT(1-Rho^2)*H7189),"")</f>
        <v/>
      </c>
      <c r="J7189">
        <f>IF(B7189,IF(Dist="Normal",DistA+DistB*I7189,DistA+(DistB-DistA)*NORMSDIST(I7189)),"")</f>
        <v/>
      </c>
      <c r="K7189">
        <f>IF(B7189,INDEX(MineScale,C7189),"")</f>
        <v/>
      </c>
      <c r="L7189">
        <f>IF(B7189,INDEX(Dow,1,WEEKDAY(E7189,2)),"")</f>
        <v/>
      </c>
      <c r="M7189">
        <f>IF(B7189,(1+Trend)^D7189,"")</f>
        <v/>
      </c>
      <c r="N7189">
        <f>IF(B7189,EXP(SUMPRODUCT(LN(1+(EvEff-1)*INDEX(Affected,0,C7189)*EXP(-((E7189-EvCenter)^2)/(2*EvSigma^2))))),"")</f>
        <v/>
      </c>
      <c r="O7189">
        <f>IF(B7189,ROUND(MAX(0,J7189*K7189*L7189*M7189*N7189),2),"")</f>
        <v/>
      </c>
    </row>
    <row r="7190">
      <c r="A7190" t="n">
        <v>7189</v>
      </c>
      <c r="B7190">
        <f>A7190&lt;=MineCount*Days</f>
        <v/>
      </c>
      <c r="C7190">
        <f>IF(B7190,INT((A7190-1)/Days)+1,"")</f>
        <v/>
      </c>
      <c r="D7190">
        <f>IF(B7190,MOD(A7190-1,Days),"")</f>
        <v/>
      </c>
      <c r="E7190" s="16">
        <f>IF(B7190,StartDate+D7190,"")</f>
        <v/>
      </c>
      <c r="F7190">
        <f>IF(B7190,MAX(MOD(SIN(Seed*0.1373+C7190*12.9898+D7190*78.233)*43758.5453,1),1E-9),"")</f>
        <v/>
      </c>
      <c r="G7190">
        <f>IF(B7190,MOD(SIN(Seed*0.5917+C7190*39.3468+D7190*11.135)*24634.6345,1),"")</f>
        <v/>
      </c>
      <c r="H7190">
        <f>IF(B7190,SQRT(-2*LN(F7190))*COS(2*PI()*G7190),"")</f>
        <v/>
      </c>
      <c r="I7190">
        <f>IF(B7190,IF(D7190=0,H7190,Rho*I7189+SQRT(1-Rho^2)*H7190),"")</f>
        <v/>
      </c>
      <c r="J7190">
        <f>IF(B7190,IF(Dist="Normal",DistA+DistB*I7190,DistA+(DistB-DistA)*NORMSDIST(I7190)),"")</f>
        <v/>
      </c>
      <c r="K7190">
        <f>IF(B7190,INDEX(MineScale,C7190),"")</f>
        <v/>
      </c>
      <c r="L7190">
        <f>IF(B7190,INDEX(Dow,1,WEEKDAY(E7190,2)),"")</f>
        <v/>
      </c>
      <c r="M7190">
        <f>IF(B7190,(1+Trend)^D7190,"")</f>
        <v/>
      </c>
      <c r="N7190">
        <f>IF(B7190,EXP(SUMPRODUCT(LN(1+(EvEff-1)*INDEX(Affected,0,C7190)*EXP(-((E7190-EvCenter)^2)/(2*EvSigma^2))))),"")</f>
        <v/>
      </c>
      <c r="O7190">
        <f>IF(B7190,ROUND(MAX(0,J7190*K7190*L7190*M7190*N7190),2),"")</f>
        <v/>
      </c>
    </row>
    <row r="7191">
      <c r="A7191" t="n">
        <v>7190</v>
      </c>
      <c r="B7191">
        <f>A7191&lt;=MineCount*Days</f>
        <v/>
      </c>
      <c r="C7191">
        <f>IF(B7191,INT((A7191-1)/Days)+1,"")</f>
        <v/>
      </c>
      <c r="D7191">
        <f>IF(B7191,MOD(A7191-1,Days),"")</f>
        <v/>
      </c>
      <c r="E7191" s="16">
        <f>IF(B7191,StartDate+D7191,"")</f>
        <v/>
      </c>
      <c r="F7191">
        <f>IF(B7191,MAX(MOD(SIN(Seed*0.1373+C7191*12.9898+D7191*78.233)*43758.5453,1),1E-9),"")</f>
        <v/>
      </c>
      <c r="G7191">
        <f>IF(B7191,MOD(SIN(Seed*0.5917+C7191*39.3468+D7191*11.135)*24634.6345,1),"")</f>
        <v/>
      </c>
      <c r="H7191">
        <f>IF(B7191,SQRT(-2*LN(F7191))*COS(2*PI()*G7191),"")</f>
        <v/>
      </c>
      <c r="I7191">
        <f>IF(B7191,IF(D7191=0,H7191,Rho*I7190+SQRT(1-Rho^2)*H7191),"")</f>
        <v/>
      </c>
      <c r="J7191">
        <f>IF(B7191,IF(Dist="Normal",DistA+DistB*I7191,DistA+(DistB-DistA)*NORMSDIST(I7191)),"")</f>
        <v/>
      </c>
      <c r="K7191">
        <f>IF(B7191,INDEX(MineScale,C7191),"")</f>
        <v/>
      </c>
      <c r="L7191">
        <f>IF(B7191,INDEX(Dow,1,WEEKDAY(E7191,2)),"")</f>
        <v/>
      </c>
      <c r="M7191">
        <f>IF(B7191,(1+Trend)^D7191,"")</f>
        <v/>
      </c>
      <c r="N7191">
        <f>IF(B7191,EXP(SUMPRODUCT(LN(1+(EvEff-1)*INDEX(Affected,0,C7191)*EXP(-((E7191-EvCenter)^2)/(2*EvSigma^2))))),"")</f>
        <v/>
      </c>
      <c r="O7191">
        <f>IF(B7191,ROUND(MAX(0,J7191*K7191*L7191*M7191*N7191),2),"")</f>
        <v/>
      </c>
    </row>
    <row r="7192">
      <c r="A7192" t="n">
        <v>7191</v>
      </c>
      <c r="B7192">
        <f>A7192&lt;=MineCount*Days</f>
        <v/>
      </c>
      <c r="C7192">
        <f>IF(B7192,INT((A7192-1)/Days)+1,"")</f>
        <v/>
      </c>
      <c r="D7192">
        <f>IF(B7192,MOD(A7192-1,Days),"")</f>
        <v/>
      </c>
      <c r="E7192" s="16">
        <f>IF(B7192,StartDate+D7192,"")</f>
        <v/>
      </c>
      <c r="F7192">
        <f>IF(B7192,MAX(MOD(SIN(Seed*0.1373+C7192*12.9898+D7192*78.233)*43758.5453,1),1E-9),"")</f>
        <v/>
      </c>
      <c r="G7192">
        <f>IF(B7192,MOD(SIN(Seed*0.5917+C7192*39.3468+D7192*11.135)*24634.6345,1),"")</f>
        <v/>
      </c>
      <c r="H7192">
        <f>IF(B7192,SQRT(-2*LN(F7192))*COS(2*PI()*G7192),"")</f>
        <v/>
      </c>
      <c r="I7192">
        <f>IF(B7192,IF(D7192=0,H7192,Rho*I7191+SQRT(1-Rho^2)*H7192),"")</f>
        <v/>
      </c>
      <c r="J7192">
        <f>IF(B7192,IF(Dist="Normal",DistA+DistB*I7192,DistA+(DistB-DistA)*NORMSDIST(I7192)),"")</f>
        <v/>
      </c>
      <c r="K7192">
        <f>IF(B7192,INDEX(MineScale,C7192),"")</f>
        <v/>
      </c>
      <c r="L7192">
        <f>IF(B7192,INDEX(Dow,1,WEEKDAY(E7192,2)),"")</f>
        <v/>
      </c>
      <c r="M7192">
        <f>IF(B7192,(1+Trend)^D7192,"")</f>
        <v/>
      </c>
      <c r="N7192">
        <f>IF(B7192,EXP(SUMPRODUCT(LN(1+(EvEff-1)*INDEX(Affected,0,C7192)*EXP(-((E7192-EvCenter)^2)/(2*EvSigma^2))))),"")</f>
        <v/>
      </c>
      <c r="O7192">
        <f>IF(B7192,ROUND(MAX(0,J7192*K7192*L7192*M7192*N7192),2),"")</f>
        <v/>
      </c>
    </row>
    <row r="7193">
      <c r="A7193" t="n">
        <v>7192</v>
      </c>
      <c r="B7193">
        <f>A7193&lt;=MineCount*Days</f>
        <v/>
      </c>
      <c r="C7193">
        <f>IF(B7193,INT((A7193-1)/Days)+1,"")</f>
        <v/>
      </c>
      <c r="D7193">
        <f>IF(B7193,MOD(A7193-1,Days),"")</f>
        <v/>
      </c>
      <c r="E7193" s="16">
        <f>IF(B7193,StartDate+D7193,"")</f>
        <v/>
      </c>
      <c r="F7193">
        <f>IF(B7193,MAX(MOD(SIN(Seed*0.1373+C7193*12.9898+D7193*78.233)*43758.5453,1),1E-9),"")</f>
        <v/>
      </c>
      <c r="G7193">
        <f>IF(B7193,MOD(SIN(Seed*0.5917+C7193*39.3468+D7193*11.135)*24634.6345,1),"")</f>
        <v/>
      </c>
      <c r="H7193">
        <f>IF(B7193,SQRT(-2*LN(F7193))*COS(2*PI()*G7193),"")</f>
        <v/>
      </c>
      <c r="I7193">
        <f>IF(B7193,IF(D7193=0,H7193,Rho*I7192+SQRT(1-Rho^2)*H7193),"")</f>
        <v/>
      </c>
      <c r="J7193">
        <f>IF(B7193,IF(Dist="Normal",DistA+DistB*I7193,DistA+(DistB-DistA)*NORMSDIST(I7193)),"")</f>
        <v/>
      </c>
      <c r="K7193">
        <f>IF(B7193,INDEX(MineScale,C7193),"")</f>
        <v/>
      </c>
      <c r="L7193">
        <f>IF(B7193,INDEX(Dow,1,WEEKDAY(E7193,2)),"")</f>
        <v/>
      </c>
      <c r="M7193">
        <f>IF(B7193,(1+Trend)^D7193,"")</f>
        <v/>
      </c>
      <c r="N7193">
        <f>IF(B7193,EXP(SUMPRODUCT(LN(1+(EvEff-1)*INDEX(Affected,0,C7193)*EXP(-((E7193-EvCenter)^2)/(2*EvSigma^2))))),"")</f>
        <v/>
      </c>
      <c r="O7193">
        <f>IF(B7193,ROUND(MAX(0,J7193*K7193*L7193*M7193*N7193),2),"")</f>
        <v/>
      </c>
    </row>
    <row r="7194">
      <c r="A7194" t="n">
        <v>7193</v>
      </c>
      <c r="B7194">
        <f>A7194&lt;=MineCount*Days</f>
        <v/>
      </c>
      <c r="C7194">
        <f>IF(B7194,INT((A7194-1)/Days)+1,"")</f>
        <v/>
      </c>
      <c r="D7194">
        <f>IF(B7194,MOD(A7194-1,Days),"")</f>
        <v/>
      </c>
      <c r="E7194" s="16">
        <f>IF(B7194,StartDate+D7194,"")</f>
        <v/>
      </c>
      <c r="F7194">
        <f>IF(B7194,MAX(MOD(SIN(Seed*0.1373+C7194*12.9898+D7194*78.233)*43758.5453,1),1E-9),"")</f>
        <v/>
      </c>
      <c r="G7194">
        <f>IF(B7194,MOD(SIN(Seed*0.5917+C7194*39.3468+D7194*11.135)*24634.6345,1),"")</f>
        <v/>
      </c>
      <c r="H7194">
        <f>IF(B7194,SQRT(-2*LN(F7194))*COS(2*PI()*G7194),"")</f>
        <v/>
      </c>
      <c r="I7194">
        <f>IF(B7194,IF(D7194=0,H7194,Rho*I7193+SQRT(1-Rho^2)*H7194),"")</f>
        <v/>
      </c>
      <c r="J7194">
        <f>IF(B7194,IF(Dist="Normal",DistA+DistB*I7194,DistA+(DistB-DistA)*NORMSDIST(I7194)),"")</f>
        <v/>
      </c>
      <c r="K7194">
        <f>IF(B7194,INDEX(MineScale,C7194),"")</f>
        <v/>
      </c>
      <c r="L7194">
        <f>IF(B7194,INDEX(Dow,1,WEEKDAY(E7194,2)),"")</f>
        <v/>
      </c>
      <c r="M7194">
        <f>IF(B7194,(1+Trend)^D7194,"")</f>
        <v/>
      </c>
      <c r="N7194">
        <f>IF(B7194,EXP(SUMPRODUCT(LN(1+(EvEff-1)*INDEX(Affected,0,C7194)*EXP(-((E7194-EvCenter)^2)/(2*EvSigma^2))))),"")</f>
        <v/>
      </c>
      <c r="O7194">
        <f>IF(B7194,ROUND(MAX(0,J7194*K7194*L7194*M7194*N7194),2),"")</f>
        <v/>
      </c>
    </row>
    <row r="7195">
      <c r="A7195" t="n">
        <v>7194</v>
      </c>
      <c r="B7195">
        <f>A7195&lt;=MineCount*Days</f>
        <v/>
      </c>
      <c r="C7195">
        <f>IF(B7195,INT((A7195-1)/Days)+1,"")</f>
        <v/>
      </c>
      <c r="D7195">
        <f>IF(B7195,MOD(A7195-1,Days),"")</f>
        <v/>
      </c>
      <c r="E7195" s="16">
        <f>IF(B7195,StartDate+D7195,"")</f>
        <v/>
      </c>
      <c r="F7195">
        <f>IF(B7195,MAX(MOD(SIN(Seed*0.1373+C7195*12.9898+D7195*78.233)*43758.5453,1),1E-9),"")</f>
        <v/>
      </c>
      <c r="G7195">
        <f>IF(B7195,MOD(SIN(Seed*0.5917+C7195*39.3468+D7195*11.135)*24634.6345,1),"")</f>
        <v/>
      </c>
      <c r="H7195">
        <f>IF(B7195,SQRT(-2*LN(F7195))*COS(2*PI()*G7195),"")</f>
        <v/>
      </c>
      <c r="I7195">
        <f>IF(B7195,IF(D7195=0,H7195,Rho*I7194+SQRT(1-Rho^2)*H7195),"")</f>
        <v/>
      </c>
      <c r="J7195">
        <f>IF(B7195,IF(Dist="Normal",DistA+DistB*I7195,DistA+(DistB-DistA)*NORMSDIST(I7195)),"")</f>
        <v/>
      </c>
      <c r="K7195">
        <f>IF(B7195,INDEX(MineScale,C7195),"")</f>
        <v/>
      </c>
      <c r="L7195">
        <f>IF(B7195,INDEX(Dow,1,WEEKDAY(E7195,2)),"")</f>
        <v/>
      </c>
      <c r="M7195">
        <f>IF(B7195,(1+Trend)^D7195,"")</f>
        <v/>
      </c>
      <c r="N7195">
        <f>IF(B7195,EXP(SUMPRODUCT(LN(1+(EvEff-1)*INDEX(Affected,0,C7195)*EXP(-((E7195-EvCenter)^2)/(2*EvSigma^2))))),"")</f>
        <v/>
      </c>
      <c r="O7195">
        <f>IF(B7195,ROUND(MAX(0,J7195*K7195*L7195*M7195*N7195),2),"")</f>
        <v/>
      </c>
    </row>
    <row r="7196">
      <c r="A7196" t="n">
        <v>7195</v>
      </c>
      <c r="B7196">
        <f>A7196&lt;=MineCount*Days</f>
        <v/>
      </c>
      <c r="C7196">
        <f>IF(B7196,INT((A7196-1)/Days)+1,"")</f>
        <v/>
      </c>
      <c r="D7196">
        <f>IF(B7196,MOD(A7196-1,Days),"")</f>
        <v/>
      </c>
      <c r="E7196" s="16">
        <f>IF(B7196,StartDate+D7196,"")</f>
        <v/>
      </c>
      <c r="F7196">
        <f>IF(B7196,MAX(MOD(SIN(Seed*0.1373+C7196*12.9898+D7196*78.233)*43758.5453,1),1E-9),"")</f>
        <v/>
      </c>
      <c r="G7196">
        <f>IF(B7196,MOD(SIN(Seed*0.5917+C7196*39.3468+D7196*11.135)*24634.6345,1),"")</f>
        <v/>
      </c>
      <c r="H7196">
        <f>IF(B7196,SQRT(-2*LN(F7196))*COS(2*PI()*G7196),"")</f>
        <v/>
      </c>
      <c r="I7196">
        <f>IF(B7196,IF(D7196=0,H7196,Rho*I7195+SQRT(1-Rho^2)*H7196),"")</f>
        <v/>
      </c>
      <c r="J7196">
        <f>IF(B7196,IF(Dist="Normal",DistA+DistB*I7196,DistA+(DistB-DistA)*NORMSDIST(I7196)),"")</f>
        <v/>
      </c>
      <c r="K7196">
        <f>IF(B7196,INDEX(MineScale,C7196),"")</f>
        <v/>
      </c>
      <c r="L7196">
        <f>IF(B7196,INDEX(Dow,1,WEEKDAY(E7196,2)),"")</f>
        <v/>
      </c>
      <c r="M7196">
        <f>IF(B7196,(1+Trend)^D7196,"")</f>
        <v/>
      </c>
      <c r="N7196">
        <f>IF(B7196,EXP(SUMPRODUCT(LN(1+(EvEff-1)*INDEX(Affected,0,C7196)*EXP(-((E7196-EvCenter)^2)/(2*EvSigma^2))))),"")</f>
        <v/>
      </c>
      <c r="O7196">
        <f>IF(B7196,ROUND(MAX(0,J7196*K7196*L7196*M7196*N7196),2),"")</f>
        <v/>
      </c>
    </row>
    <row r="7197">
      <c r="A7197" t="n">
        <v>7196</v>
      </c>
      <c r="B7197">
        <f>A7197&lt;=MineCount*Days</f>
        <v/>
      </c>
      <c r="C7197">
        <f>IF(B7197,INT((A7197-1)/Days)+1,"")</f>
        <v/>
      </c>
      <c r="D7197">
        <f>IF(B7197,MOD(A7197-1,Days),"")</f>
        <v/>
      </c>
      <c r="E7197" s="16">
        <f>IF(B7197,StartDate+D7197,"")</f>
        <v/>
      </c>
      <c r="F7197">
        <f>IF(B7197,MAX(MOD(SIN(Seed*0.1373+C7197*12.9898+D7197*78.233)*43758.5453,1),1E-9),"")</f>
        <v/>
      </c>
      <c r="G7197">
        <f>IF(B7197,MOD(SIN(Seed*0.5917+C7197*39.3468+D7197*11.135)*24634.6345,1),"")</f>
        <v/>
      </c>
      <c r="H7197">
        <f>IF(B7197,SQRT(-2*LN(F7197))*COS(2*PI()*G7197),"")</f>
        <v/>
      </c>
      <c r="I7197">
        <f>IF(B7197,IF(D7197=0,H7197,Rho*I7196+SQRT(1-Rho^2)*H7197),"")</f>
        <v/>
      </c>
      <c r="J7197">
        <f>IF(B7197,IF(Dist="Normal",DistA+DistB*I7197,DistA+(DistB-DistA)*NORMSDIST(I7197)),"")</f>
        <v/>
      </c>
      <c r="K7197">
        <f>IF(B7197,INDEX(MineScale,C7197),"")</f>
        <v/>
      </c>
      <c r="L7197">
        <f>IF(B7197,INDEX(Dow,1,WEEKDAY(E7197,2)),"")</f>
        <v/>
      </c>
      <c r="M7197">
        <f>IF(B7197,(1+Trend)^D7197,"")</f>
        <v/>
      </c>
      <c r="N7197">
        <f>IF(B7197,EXP(SUMPRODUCT(LN(1+(EvEff-1)*INDEX(Affected,0,C7197)*EXP(-((E7197-EvCenter)^2)/(2*EvSigma^2))))),"")</f>
        <v/>
      </c>
      <c r="O7197">
        <f>IF(B7197,ROUND(MAX(0,J7197*K7197*L7197*M7197*N7197),2),"")</f>
        <v/>
      </c>
    </row>
    <row r="7198">
      <c r="A7198" t="n">
        <v>7197</v>
      </c>
      <c r="B7198">
        <f>A7198&lt;=MineCount*Days</f>
        <v/>
      </c>
      <c r="C7198">
        <f>IF(B7198,INT((A7198-1)/Days)+1,"")</f>
        <v/>
      </c>
      <c r="D7198">
        <f>IF(B7198,MOD(A7198-1,Days),"")</f>
        <v/>
      </c>
      <c r="E7198" s="16">
        <f>IF(B7198,StartDate+D7198,"")</f>
        <v/>
      </c>
      <c r="F7198">
        <f>IF(B7198,MAX(MOD(SIN(Seed*0.1373+C7198*12.9898+D7198*78.233)*43758.5453,1),1E-9),"")</f>
        <v/>
      </c>
      <c r="G7198">
        <f>IF(B7198,MOD(SIN(Seed*0.5917+C7198*39.3468+D7198*11.135)*24634.6345,1),"")</f>
        <v/>
      </c>
      <c r="H7198">
        <f>IF(B7198,SQRT(-2*LN(F7198))*COS(2*PI()*G7198),"")</f>
        <v/>
      </c>
      <c r="I7198">
        <f>IF(B7198,IF(D7198=0,H7198,Rho*I7197+SQRT(1-Rho^2)*H7198),"")</f>
        <v/>
      </c>
      <c r="J7198">
        <f>IF(B7198,IF(Dist="Normal",DistA+DistB*I7198,DistA+(DistB-DistA)*NORMSDIST(I7198)),"")</f>
        <v/>
      </c>
      <c r="K7198">
        <f>IF(B7198,INDEX(MineScale,C7198),"")</f>
        <v/>
      </c>
      <c r="L7198">
        <f>IF(B7198,INDEX(Dow,1,WEEKDAY(E7198,2)),"")</f>
        <v/>
      </c>
      <c r="M7198">
        <f>IF(B7198,(1+Trend)^D7198,"")</f>
        <v/>
      </c>
      <c r="N7198">
        <f>IF(B7198,EXP(SUMPRODUCT(LN(1+(EvEff-1)*INDEX(Affected,0,C7198)*EXP(-((E7198-EvCenter)^2)/(2*EvSigma^2))))),"")</f>
        <v/>
      </c>
      <c r="O7198">
        <f>IF(B7198,ROUND(MAX(0,J7198*K7198*L7198*M7198*N7198),2),"")</f>
        <v/>
      </c>
    </row>
    <row r="7199">
      <c r="A7199" t="n">
        <v>7198</v>
      </c>
      <c r="B7199">
        <f>A7199&lt;=MineCount*Days</f>
        <v/>
      </c>
      <c r="C7199">
        <f>IF(B7199,INT((A7199-1)/Days)+1,"")</f>
        <v/>
      </c>
      <c r="D7199">
        <f>IF(B7199,MOD(A7199-1,Days),"")</f>
        <v/>
      </c>
      <c r="E7199" s="16">
        <f>IF(B7199,StartDate+D7199,"")</f>
        <v/>
      </c>
      <c r="F7199">
        <f>IF(B7199,MAX(MOD(SIN(Seed*0.1373+C7199*12.9898+D7199*78.233)*43758.5453,1),1E-9),"")</f>
        <v/>
      </c>
      <c r="G7199">
        <f>IF(B7199,MOD(SIN(Seed*0.5917+C7199*39.3468+D7199*11.135)*24634.6345,1),"")</f>
        <v/>
      </c>
      <c r="H7199">
        <f>IF(B7199,SQRT(-2*LN(F7199))*COS(2*PI()*G7199),"")</f>
        <v/>
      </c>
      <c r="I7199">
        <f>IF(B7199,IF(D7199=0,H7199,Rho*I7198+SQRT(1-Rho^2)*H7199),"")</f>
        <v/>
      </c>
      <c r="J7199">
        <f>IF(B7199,IF(Dist="Normal",DistA+DistB*I7199,DistA+(DistB-DistA)*NORMSDIST(I7199)),"")</f>
        <v/>
      </c>
      <c r="K7199">
        <f>IF(B7199,INDEX(MineScale,C7199),"")</f>
        <v/>
      </c>
      <c r="L7199">
        <f>IF(B7199,INDEX(Dow,1,WEEKDAY(E7199,2)),"")</f>
        <v/>
      </c>
      <c r="M7199">
        <f>IF(B7199,(1+Trend)^D7199,"")</f>
        <v/>
      </c>
      <c r="N7199">
        <f>IF(B7199,EXP(SUMPRODUCT(LN(1+(EvEff-1)*INDEX(Affected,0,C7199)*EXP(-((E7199-EvCenter)^2)/(2*EvSigma^2))))),"")</f>
        <v/>
      </c>
      <c r="O7199">
        <f>IF(B7199,ROUND(MAX(0,J7199*K7199*L7199*M7199*N7199),2),"")</f>
        <v/>
      </c>
    </row>
    <row r="7200">
      <c r="A7200" t="n">
        <v>7199</v>
      </c>
      <c r="B7200">
        <f>A7200&lt;=MineCount*Days</f>
        <v/>
      </c>
      <c r="C7200">
        <f>IF(B7200,INT((A7200-1)/Days)+1,"")</f>
        <v/>
      </c>
      <c r="D7200">
        <f>IF(B7200,MOD(A7200-1,Days),"")</f>
        <v/>
      </c>
      <c r="E7200" s="16">
        <f>IF(B7200,StartDate+D7200,"")</f>
        <v/>
      </c>
      <c r="F7200">
        <f>IF(B7200,MAX(MOD(SIN(Seed*0.1373+C7200*12.9898+D7200*78.233)*43758.5453,1),1E-9),"")</f>
        <v/>
      </c>
      <c r="G7200">
        <f>IF(B7200,MOD(SIN(Seed*0.5917+C7200*39.3468+D7200*11.135)*24634.6345,1),"")</f>
        <v/>
      </c>
      <c r="H7200">
        <f>IF(B7200,SQRT(-2*LN(F7200))*COS(2*PI()*G7200),"")</f>
        <v/>
      </c>
      <c r="I7200">
        <f>IF(B7200,IF(D7200=0,H7200,Rho*I7199+SQRT(1-Rho^2)*H7200),"")</f>
        <v/>
      </c>
      <c r="J7200">
        <f>IF(B7200,IF(Dist="Normal",DistA+DistB*I7200,DistA+(DistB-DistA)*NORMSDIST(I7200)),"")</f>
        <v/>
      </c>
      <c r="K7200">
        <f>IF(B7200,INDEX(MineScale,C7200),"")</f>
        <v/>
      </c>
      <c r="L7200">
        <f>IF(B7200,INDEX(Dow,1,WEEKDAY(E7200,2)),"")</f>
        <v/>
      </c>
      <c r="M7200">
        <f>IF(B7200,(1+Trend)^D7200,"")</f>
        <v/>
      </c>
      <c r="N7200">
        <f>IF(B7200,EXP(SUMPRODUCT(LN(1+(EvEff-1)*INDEX(Affected,0,C7200)*EXP(-((E7200-EvCenter)^2)/(2*EvSigma^2))))),"")</f>
        <v/>
      </c>
      <c r="O7200">
        <f>IF(B7200,ROUND(MAX(0,J7200*K7200*L7200*M7200*N7200),2),"")</f>
        <v/>
      </c>
    </row>
    <row r="7201">
      <c r="A7201" t="n">
        <v>7200</v>
      </c>
      <c r="B7201">
        <f>A7201&lt;=MineCount*Days</f>
        <v/>
      </c>
      <c r="C7201">
        <f>IF(B7201,INT((A7201-1)/Days)+1,"")</f>
        <v/>
      </c>
      <c r="D7201">
        <f>IF(B7201,MOD(A7201-1,Days),"")</f>
        <v/>
      </c>
      <c r="E7201" s="16">
        <f>IF(B7201,StartDate+D7201,"")</f>
        <v/>
      </c>
      <c r="F7201">
        <f>IF(B7201,MAX(MOD(SIN(Seed*0.1373+C7201*12.9898+D7201*78.233)*43758.5453,1),1E-9),"")</f>
        <v/>
      </c>
      <c r="G7201">
        <f>IF(B7201,MOD(SIN(Seed*0.5917+C7201*39.3468+D7201*11.135)*24634.6345,1),"")</f>
        <v/>
      </c>
      <c r="H7201">
        <f>IF(B7201,SQRT(-2*LN(F7201))*COS(2*PI()*G7201),"")</f>
        <v/>
      </c>
      <c r="I7201">
        <f>IF(B7201,IF(D7201=0,H7201,Rho*I7200+SQRT(1-Rho^2)*H7201),"")</f>
        <v/>
      </c>
      <c r="J7201">
        <f>IF(B7201,IF(Dist="Normal",DistA+DistB*I7201,DistA+(DistB-DistA)*NORMSDIST(I7201)),"")</f>
        <v/>
      </c>
      <c r="K7201">
        <f>IF(B7201,INDEX(MineScale,C7201),"")</f>
        <v/>
      </c>
      <c r="L7201">
        <f>IF(B7201,INDEX(Dow,1,WEEKDAY(E7201,2)),"")</f>
        <v/>
      </c>
      <c r="M7201">
        <f>IF(B7201,(1+Trend)^D7201,"")</f>
        <v/>
      </c>
      <c r="N7201">
        <f>IF(B7201,EXP(SUMPRODUCT(LN(1+(EvEff-1)*INDEX(Affected,0,C7201)*EXP(-((E7201-EvCenter)^2)/(2*EvSigma^2))))),"")</f>
        <v/>
      </c>
      <c r="O7201">
        <f>IF(B7201,ROUND(MAX(0,J7201*K7201*L7201*M7201*N7201),2),"")</f>
        <v/>
      </c>
    </row>
    <row r="7202">
      <c r="A7202" t="n">
        <v>7201</v>
      </c>
      <c r="B7202">
        <f>A7202&lt;=MineCount*Days</f>
        <v/>
      </c>
      <c r="C7202">
        <f>IF(B7202,INT((A7202-1)/Days)+1,"")</f>
        <v/>
      </c>
      <c r="D7202">
        <f>IF(B7202,MOD(A7202-1,Days),"")</f>
        <v/>
      </c>
      <c r="E7202" s="16">
        <f>IF(B7202,StartDate+D7202,"")</f>
        <v/>
      </c>
      <c r="F7202">
        <f>IF(B7202,MAX(MOD(SIN(Seed*0.1373+C7202*12.9898+D7202*78.233)*43758.5453,1),1E-9),"")</f>
        <v/>
      </c>
      <c r="G7202">
        <f>IF(B7202,MOD(SIN(Seed*0.5917+C7202*39.3468+D7202*11.135)*24634.6345,1),"")</f>
        <v/>
      </c>
      <c r="H7202">
        <f>IF(B7202,SQRT(-2*LN(F7202))*COS(2*PI()*G7202),"")</f>
        <v/>
      </c>
      <c r="I7202">
        <f>IF(B7202,IF(D7202=0,H7202,Rho*I7201+SQRT(1-Rho^2)*H7202),"")</f>
        <v/>
      </c>
      <c r="J7202">
        <f>IF(B7202,IF(Dist="Normal",DistA+DistB*I7202,DistA+(DistB-DistA)*NORMSDIST(I7202)),"")</f>
        <v/>
      </c>
      <c r="K7202">
        <f>IF(B7202,INDEX(MineScale,C7202),"")</f>
        <v/>
      </c>
      <c r="L7202">
        <f>IF(B7202,INDEX(Dow,1,WEEKDAY(E7202,2)),"")</f>
        <v/>
      </c>
      <c r="M7202">
        <f>IF(B7202,(1+Trend)^D7202,"")</f>
        <v/>
      </c>
      <c r="N7202">
        <f>IF(B7202,EXP(SUMPRODUCT(LN(1+(EvEff-1)*INDEX(Affected,0,C7202)*EXP(-((E7202-EvCenter)^2)/(2*EvSigma^2))))),"")</f>
        <v/>
      </c>
      <c r="O7202">
        <f>IF(B7202,ROUND(MAX(0,J7202*K7202*L7202*M7202*N7202),2),"")</f>
        <v/>
      </c>
    </row>
    <row r="7203">
      <c r="A7203" t="n">
        <v>7202</v>
      </c>
      <c r="B7203">
        <f>A7203&lt;=MineCount*Days</f>
        <v/>
      </c>
      <c r="C7203">
        <f>IF(B7203,INT((A7203-1)/Days)+1,"")</f>
        <v/>
      </c>
      <c r="D7203">
        <f>IF(B7203,MOD(A7203-1,Days),"")</f>
        <v/>
      </c>
      <c r="E7203" s="16">
        <f>IF(B7203,StartDate+D7203,"")</f>
        <v/>
      </c>
      <c r="F7203">
        <f>IF(B7203,MAX(MOD(SIN(Seed*0.1373+C7203*12.9898+D7203*78.233)*43758.5453,1),1E-9),"")</f>
        <v/>
      </c>
      <c r="G7203">
        <f>IF(B7203,MOD(SIN(Seed*0.5917+C7203*39.3468+D7203*11.135)*24634.6345,1),"")</f>
        <v/>
      </c>
      <c r="H7203">
        <f>IF(B7203,SQRT(-2*LN(F7203))*COS(2*PI()*G7203),"")</f>
        <v/>
      </c>
      <c r="I7203">
        <f>IF(B7203,IF(D7203=0,H7203,Rho*I7202+SQRT(1-Rho^2)*H7203),"")</f>
        <v/>
      </c>
      <c r="J7203">
        <f>IF(B7203,IF(Dist="Normal",DistA+DistB*I7203,DistA+(DistB-DistA)*NORMSDIST(I7203)),"")</f>
        <v/>
      </c>
      <c r="K7203">
        <f>IF(B7203,INDEX(MineScale,C7203),"")</f>
        <v/>
      </c>
      <c r="L7203">
        <f>IF(B7203,INDEX(Dow,1,WEEKDAY(E7203,2)),"")</f>
        <v/>
      </c>
      <c r="M7203">
        <f>IF(B7203,(1+Trend)^D7203,"")</f>
        <v/>
      </c>
      <c r="N7203">
        <f>IF(B7203,EXP(SUMPRODUCT(LN(1+(EvEff-1)*INDEX(Affected,0,C7203)*EXP(-((E7203-EvCenter)^2)/(2*EvSigma^2))))),"")</f>
        <v/>
      </c>
      <c r="O7203">
        <f>IF(B7203,ROUND(MAX(0,J7203*K7203*L7203*M7203*N7203),2),"")</f>
        <v/>
      </c>
    </row>
    <row r="7204">
      <c r="A7204" t="n">
        <v>7203</v>
      </c>
      <c r="B7204">
        <f>A7204&lt;=MineCount*Days</f>
        <v/>
      </c>
      <c r="C7204">
        <f>IF(B7204,INT((A7204-1)/Days)+1,"")</f>
        <v/>
      </c>
      <c r="D7204">
        <f>IF(B7204,MOD(A7204-1,Days),"")</f>
        <v/>
      </c>
      <c r="E7204" s="16">
        <f>IF(B7204,StartDate+D7204,"")</f>
        <v/>
      </c>
      <c r="F7204">
        <f>IF(B7204,MAX(MOD(SIN(Seed*0.1373+C7204*12.9898+D7204*78.233)*43758.5453,1),1E-9),"")</f>
        <v/>
      </c>
      <c r="G7204">
        <f>IF(B7204,MOD(SIN(Seed*0.5917+C7204*39.3468+D7204*11.135)*24634.6345,1),"")</f>
        <v/>
      </c>
      <c r="H7204">
        <f>IF(B7204,SQRT(-2*LN(F7204))*COS(2*PI()*G7204),"")</f>
        <v/>
      </c>
      <c r="I7204">
        <f>IF(B7204,IF(D7204=0,H7204,Rho*I7203+SQRT(1-Rho^2)*H7204),"")</f>
        <v/>
      </c>
      <c r="J7204">
        <f>IF(B7204,IF(Dist="Normal",DistA+DistB*I7204,DistA+(DistB-DistA)*NORMSDIST(I7204)),"")</f>
        <v/>
      </c>
      <c r="K7204">
        <f>IF(B7204,INDEX(MineScale,C7204),"")</f>
        <v/>
      </c>
      <c r="L7204">
        <f>IF(B7204,INDEX(Dow,1,WEEKDAY(E7204,2)),"")</f>
        <v/>
      </c>
      <c r="M7204">
        <f>IF(B7204,(1+Trend)^D7204,"")</f>
        <v/>
      </c>
      <c r="N7204">
        <f>IF(B7204,EXP(SUMPRODUCT(LN(1+(EvEff-1)*INDEX(Affected,0,C7204)*EXP(-((E7204-EvCenter)^2)/(2*EvSigma^2))))),"")</f>
        <v/>
      </c>
      <c r="O7204">
        <f>IF(B7204,ROUND(MAX(0,J7204*K7204*L7204*M7204*N7204),2),"")</f>
        <v/>
      </c>
    </row>
    <row r="7205">
      <c r="A7205" t="n">
        <v>7204</v>
      </c>
      <c r="B7205">
        <f>A7205&lt;=MineCount*Days</f>
        <v/>
      </c>
      <c r="C7205">
        <f>IF(B7205,INT((A7205-1)/Days)+1,"")</f>
        <v/>
      </c>
      <c r="D7205">
        <f>IF(B7205,MOD(A7205-1,Days),"")</f>
        <v/>
      </c>
      <c r="E7205" s="16">
        <f>IF(B7205,StartDate+D7205,"")</f>
        <v/>
      </c>
      <c r="F7205">
        <f>IF(B7205,MAX(MOD(SIN(Seed*0.1373+C7205*12.9898+D7205*78.233)*43758.5453,1),1E-9),"")</f>
        <v/>
      </c>
      <c r="G7205">
        <f>IF(B7205,MOD(SIN(Seed*0.5917+C7205*39.3468+D7205*11.135)*24634.6345,1),"")</f>
        <v/>
      </c>
      <c r="H7205">
        <f>IF(B7205,SQRT(-2*LN(F7205))*COS(2*PI()*G7205),"")</f>
        <v/>
      </c>
      <c r="I7205">
        <f>IF(B7205,IF(D7205=0,H7205,Rho*I7204+SQRT(1-Rho^2)*H7205),"")</f>
        <v/>
      </c>
      <c r="J7205">
        <f>IF(B7205,IF(Dist="Normal",DistA+DistB*I7205,DistA+(DistB-DistA)*NORMSDIST(I7205)),"")</f>
        <v/>
      </c>
      <c r="K7205">
        <f>IF(B7205,INDEX(MineScale,C7205),"")</f>
        <v/>
      </c>
      <c r="L7205">
        <f>IF(B7205,INDEX(Dow,1,WEEKDAY(E7205,2)),"")</f>
        <v/>
      </c>
      <c r="M7205">
        <f>IF(B7205,(1+Trend)^D7205,"")</f>
        <v/>
      </c>
      <c r="N7205">
        <f>IF(B7205,EXP(SUMPRODUCT(LN(1+(EvEff-1)*INDEX(Affected,0,C7205)*EXP(-((E7205-EvCenter)^2)/(2*EvSigma^2))))),"")</f>
        <v/>
      </c>
      <c r="O7205">
        <f>IF(B7205,ROUND(MAX(0,J7205*K7205*L7205*M7205*N7205),2),"")</f>
        <v/>
      </c>
    </row>
    <row r="7206">
      <c r="A7206" t="n">
        <v>7205</v>
      </c>
      <c r="B7206">
        <f>A7206&lt;=MineCount*Days</f>
        <v/>
      </c>
      <c r="C7206">
        <f>IF(B7206,INT((A7206-1)/Days)+1,"")</f>
        <v/>
      </c>
      <c r="D7206">
        <f>IF(B7206,MOD(A7206-1,Days),"")</f>
        <v/>
      </c>
      <c r="E7206" s="16">
        <f>IF(B7206,StartDate+D7206,"")</f>
        <v/>
      </c>
      <c r="F7206">
        <f>IF(B7206,MAX(MOD(SIN(Seed*0.1373+C7206*12.9898+D7206*78.233)*43758.5453,1),1E-9),"")</f>
        <v/>
      </c>
      <c r="G7206">
        <f>IF(B7206,MOD(SIN(Seed*0.5917+C7206*39.3468+D7206*11.135)*24634.6345,1),"")</f>
        <v/>
      </c>
      <c r="H7206">
        <f>IF(B7206,SQRT(-2*LN(F7206))*COS(2*PI()*G7206),"")</f>
        <v/>
      </c>
      <c r="I7206">
        <f>IF(B7206,IF(D7206=0,H7206,Rho*I7205+SQRT(1-Rho^2)*H7206),"")</f>
        <v/>
      </c>
      <c r="J7206">
        <f>IF(B7206,IF(Dist="Normal",DistA+DistB*I7206,DistA+(DistB-DistA)*NORMSDIST(I7206)),"")</f>
        <v/>
      </c>
      <c r="K7206">
        <f>IF(B7206,INDEX(MineScale,C7206),"")</f>
        <v/>
      </c>
      <c r="L7206">
        <f>IF(B7206,INDEX(Dow,1,WEEKDAY(E7206,2)),"")</f>
        <v/>
      </c>
      <c r="M7206">
        <f>IF(B7206,(1+Trend)^D7206,"")</f>
        <v/>
      </c>
      <c r="N7206">
        <f>IF(B7206,EXP(SUMPRODUCT(LN(1+(EvEff-1)*INDEX(Affected,0,C7206)*EXP(-((E7206-EvCenter)^2)/(2*EvSigma^2))))),"")</f>
        <v/>
      </c>
      <c r="O7206">
        <f>IF(B7206,ROUND(MAX(0,J7206*K7206*L7206*M7206*N7206),2),"")</f>
        <v/>
      </c>
    </row>
    <row r="7207">
      <c r="A7207" t="n">
        <v>7206</v>
      </c>
      <c r="B7207">
        <f>A7207&lt;=MineCount*Days</f>
        <v/>
      </c>
      <c r="C7207">
        <f>IF(B7207,INT((A7207-1)/Days)+1,"")</f>
        <v/>
      </c>
      <c r="D7207">
        <f>IF(B7207,MOD(A7207-1,Days),"")</f>
        <v/>
      </c>
      <c r="E7207" s="16">
        <f>IF(B7207,StartDate+D7207,"")</f>
        <v/>
      </c>
      <c r="F7207">
        <f>IF(B7207,MAX(MOD(SIN(Seed*0.1373+C7207*12.9898+D7207*78.233)*43758.5453,1),1E-9),"")</f>
        <v/>
      </c>
      <c r="G7207">
        <f>IF(B7207,MOD(SIN(Seed*0.5917+C7207*39.3468+D7207*11.135)*24634.6345,1),"")</f>
        <v/>
      </c>
      <c r="H7207">
        <f>IF(B7207,SQRT(-2*LN(F7207))*COS(2*PI()*G7207),"")</f>
        <v/>
      </c>
      <c r="I7207">
        <f>IF(B7207,IF(D7207=0,H7207,Rho*I7206+SQRT(1-Rho^2)*H7207),"")</f>
        <v/>
      </c>
      <c r="J7207">
        <f>IF(B7207,IF(Dist="Normal",DistA+DistB*I7207,DistA+(DistB-DistA)*NORMSDIST(I7207)),"")</f>
        <v/>
      </c>
      <c r="K7207">
        <f>IF(B7207,INDEX(MineScale,C7207),"")</f>
        <v/>
      </c>
      <c r="L7207">
        <f>IF(B7207,INDEX(Dow,1,WEEKDAY(E7207,2)),"")</f>
        <v/>
      </c>
      <c r="M7207">
        <f>IF(B7207,(1+Trend)^D7207,"")</f>
        <v/>
      </c>
      <c r="N7207">
        <f>IF(B7207,EXP(SUMPRODUCT(LN(1+(EvEff-1)*INDEX(Affected,0,C7207)*EXP(-((E7207-EvCenter)^2)/(2*EvSigma^2))))),"")</f>
        <v/>
      </c>
      <c r="O7207">
        <f>IF(B7207,ROUND(MAX(0,J7207*K7207*L7207*M7207*N7207),2),"")</f>
        <v/>
      </c>
    </row>
    <row r="7208">
      <c r="A7208" t="n">
        <v>7207</v>
      </c>
      <c r="B7208">
        <f>A7208&lt;=MineCount*Days</f>
        <v/>
      </c>
      <c r="C7208">
        <f>IF(B7208,INT((A7208-1)/Days)+1,"")</f>
        <v/>
      </c>
      <c r="D7208">
        <f>IF(B7208,MOD(A7208-1,Days),"")</f>
        <v/>
      </c>
      <c r="E7208" s="16">
        <f>IF(B7208,StartDate+D7208,"")</f>
        <v/>
      </c>
      <c r="F7208">
        <f>IF(B7208,MAX(MOD(SIN(Seed*0.1373+C7208*12.9898+D7208*78.233)*43758.5453,1),1E-9),"")</f>
        <v/>
      </c>
      <c r="G7208">
        <f>IF(B7208,MOD(SIN(Seed*0.5917+C7208*39.3468+D7208*11.135)*24634.6345,1),"")</f>
        <v/>
      </c>
      <c r="H7208">
        <f>IF(B7208,SQRT(-2*LN(F7208))*COS(2*PI()*G7208),"")</f>
        <v/>
      </c>
      <c r="I7208">
        <f>IF(B7208,IF(D7208=0,H7208,Rho*I7207+SQRT(1-Rho^2)*H7208),"")</f>
        <v/>
      </c>
      <c r="J7208">
        <f>IF(B7208,IF(Dist="Normal",DistA+DistB*I7208,DistA+(DistB-DistA)*NORMSDIST(I7208)),"")</f>
        <v/>
      </c>
      <c r="K7208">
        <f>IF(B7208,INDEX(MineScale,C7208),"")</f>
        <v/>
      </c>
      <c r="L7208">
        <f>IF(B7208,INDEX(Dow,1,WEEKDAY(E7208,2)),"")</f>
        <v/>
      </c>
      <c r="M7208">
        <f>IF(B7208,(1+Trend)^D7208,"")</f>
        <v/>
      </c>
      <c r="N7208">
        <f>IF(B7208,EXP(SUMPRODUCT(LN(1+(EvEff-1)*INDEX(Affected,0,C7208)*EXP(-((E7208-EvCenter)^2)/(2*EvSigma^2))))),"")</f>
        <v/>
      </c>
      <c r="O7208">
        <f>IF(B7208,ROUND(MAX(0,J7208*K7208*L7208*M7208*N7208),2),"")</f>
        <v/>
      </c>
    </row>
    <row r="7209">
      <c r="A7209" t="n">
        <v>7208</v>
      </c>
      <c r="B7209">
        <f>A7209&lt;=MineCount*Days</f>
        <v/>
      </c>
      <c r="C7209">
        <f>IF(B7209,INT((A7209-1)/Days)+1,"")</f>
        <v/>
      </c>
      <c r="D7209">
        <f>IF(B7209,MOD(A7209-1,Days),"")</f>
        <v/>
      </c>
      <c r="E7209" s="16">
        <f>IF(B7209,StartDate+D7209,"")</f>
        <v/>
      </c>
      <c r="F7209">
        <f>IF(B7209,MAX(MOD(SIN(Seed*0.1373+C7209*12.9898+D7209*78.233)*43758.5453,1),1E-9),"")</f>
        <v/>
      </c>
      <c r="G7209">
        <f>IF(B7209,MOD(SIN(Seed*0.5917+C7209*39.3468+D7209*11.135)*24634.6345,1),"")</f>
        <v/>
      </c>
      <c r="H7209">
        <f>IF(B7209,SQRT(-2*LN(F7209))*COS(2*PI()*G7209),"")</f>
        <v/>
      </c>
      <c r="I7209">
        <f>IF(B7209,IF(D7209=0,H7209,Rho*I7208+SQRT(1-Rho^2)*H7209),"")</f>
        <v/>
      </c>
      <c r="J7209">
        <f>IF(B7209,IF(Dist="Normal",DistA+DistB*I7209,DistA+(DistB-DistA)*NORMSDIST(I7209)),"")</f>
        <v/>
      </c>
      <c r="K7209">
        <f>IF(B7209,INDEX(MineScale,C7209),"")</f>
        <v/>
      </c>
      <c r="L7209">
        <f>IF(B7209,INDEX(Dow,1,WEEKDAY(E7209,2)),"")</f>
        <v/>
      </c>
      <c r="M7209">
        <f>IF(B7209,(1+Trend)^D7209,"")</f>
        <v/>
      </c>
      <c r="N7209">
        <f>IF(B7209,EXP(SUMPRODUCT(LN(1+(EvEff-1)*INDEX(Affected,0,C7209)*EXP(-((E7209-EvCenter)^2)/(2*EvSigma^2))))),"")</f>
        <v/>
      </c>
      <c r="O7209">
        <f>IF(B7209,ROUND(MAX(0,J7209*K7209*L7209*M7209*N7209),2),"")</f>
        <v/>
      </c>
    </row>
    <row r="7210">
      <c r="A7210" t="n">
        <v>7209</v>
      </c>
      <c r="B7210">
        <f>A7210&lt;=MineCount*Days</f>
        <v/>
      </c>
      <c r="C7210">
        <f>IF(B7210,INT((A7210-1)/Days)+1,"")</f>
        <v/>
      </c>
      <c r="D7210">
        <f>IF(B7210,MOD(A7210-1,Days),"")</f>
        <v/>
      </c>
      <c r="E7210" s="16">
        <f>IF(B7210,StartDate+D7210,"")</f>
        <v/>
      </c>
      <c r="F7210">
        <f>IF(B7210,MAX(MOD(SIN(Seed*0.1373+C7210*12.9898+D7210*78.233)*43758.5453,1),1E-9),"")</f>
        <v/>
      </c>
      <c r="G7210">
        <f>IF(B7210,MOD(SIN(Seed*0.5917+C7210*39.3468+D7210*11.135)*24634.6345,1),"")</f>
        <v/>
      </c>
      <c r="H7210">
        <f>IF(B7210,SQRT(-2*LN(F7210))*COS(2*PI()*G7210),"")</f>
        <v/>
      </c>
      <c r="I7210">
        <f>IF(B7210,IF(D7210=0,H7210,Rho*I7209+SQRT(1-Rho^2)*H7210),"")</f>
        <v/>
      </c>
      <c r="J7210">
        <f>IF(B7210,IF(Dist="Normal",DistA+DistB*I7210,DistA+(DistB-DistA)*NORMSDIST(I7210)),"")</f>
        <v/>
      </c>
      <c r="K7210">
        <f>IF(B7210,INDEX(MineScale,C7210),"")</f>
        <v/>
      </c>
      <c r="L7210">
        <f>IF(B7210,INDEX(Dow,1,WEEKDAY(E7210,2)),"")</f>
        <v/>
      </c>
      <c r="M7210">
        <f>IF(B7210,(1+Trend)^D7210,"")</f>
        <v/>
      </c>
      <c r="N7210">
        <f>IF(B7210,EXP(SUMPRODUCT(LN(1+(EvEff-1)*INDEX(Affected,0,C7210)*EXP(-((E7210-EvCenter)^2)/(2*EvSigma^2))))),"")</f>
        <v/>
      </c>
      <c r="O7210">
        <f>IF(B7210,ROUND(MAX(0,J7210*K7210*L7210*M7210*N7210),2),"")</f>
        <v/>
      </c>
    </row>
    <row r="7211">
      <c r="A7211" t="n">
        <v>7210</v>
      </c>
      <c r="B7211">
        <f>A7211&lt;=MineCount*Days</f>
        <v/>
      </c>
      <c r="C7211">
        <f>IF(B7211,INT((A7211-1)/Days)+1,"")</f>
        <v/>
      </c>
      <c r="D7211">
        <f>IF(B7211,MOD(A7211-1,Days),"")</f>
        <v/>
      </c>
      <c r="E7211" s="16">
        <f>IF(B7211,StartDate+D7211,"")</f>
        <v/>
      </c>
      <c r="F7211">
        <f>IF(B7211,MAX(MOD(SIN(Seed*0.1373+C7211*12.9898+D7211*78.233)*43758.5453,1),1E-9),"")</f>
        <v/>
      </c>
      <c r="G7211">
        <f>IF(B7211,MOD(SIN(Seed*0.5917+C7211*39.3468+D7211*11.135)*24634.6345,1),"")</f>
        <v/>
      </c>
      <c r="H7211">
        <f>IF(B7211,SQRT(-2*LN(F7211))*COS(2*PI()*G7211),"")</f>
        <v/>
      </c>
      <c r="I7211">
        <f>IF(B7211,IF(D7211=0,H7211,Rho*I7210+SQRT(1-Rho^2)*H7211),"")</f>
        <v/>
      </c>
      <c r="J7211">
        <f>IF(B7211,IF(Dist="Normal",DistA+DistB*I7211,DistA+(DistB-DistA)*NORMSDIST(I7211)),"")</f>
        <v/>
      </c>
      <c r="K7211">
        <f>IF(B7211,INDEX(MineScale,C7211),"")</f>
        <v/>
      </c>
      <c r="L7211">
        <f>IF(B7211,INDEX(Dow,1,WEEKDAY(E7211,2)),"")</f>
        <v/>
      </c>
      <c r="M7211">
        <f>IF(B7211,(1+Trend)^D7211,"")</f>
        <v/>
      </c>
      <c r="N7211">
        <f>IF(B7211,EXP(SUMPRODUCT(LN(1+(EvEff-1)*INDEX(Affected,0,C7211)*EXP(-((E7211-EvCenter)^2)/(2*EvSigma^2))))),"")</f>
        <v/>
      </c>
      <c r="O7211">
        <f>IF(B7211,ROUND(MAX(0,J7211*K7211*L7211*M7211*N7211),2),"")</f>
        <v/>
      </c>
    </row>
    <row r="7212">
      <c r="A7212" t="n">
        <v>7211</v>
      </c>
      <c r="B7212">
        <f>A7212&lt;=MineCount*Days</f>
        <v/>
      </c>
      <c r="C7212">
        <f>IF(B7212,INT((A7212-1)/Days)+1,"")</f>
        <v/>
      </c>
      <c r="D7212">
        <f>IF(B7212,MOD(A7212-1,Days),"")</f>
        <v/>
      </c>
      <c r="E7212" s="16">
        <f>IF(B7212,StartDate+D7212,"")</f>
        <v/>
      </c>
      <c r="F7212">
        <f>IF(B7212,MAX(MOD(SIN(Seed*0.1373+C7212*12.9898+D7212*78.233)*43758.5453,1),1E-9),"")</f>
        <v/>
      </c>
      <c r="G7212">
        <f>IF(B7212,MOD(SIN(Seed*0.5917+C7212*39.3468+D7212*11.135)*24634.6345,1),"")</f>
        <v/>
      </c>
      <c r="H7212">
        <f>IF(B7212,SQRT(-2*LN(F7212))*COS(2*PI()*G7212),"")</f>
        <v/>
      </c>
      <c r="I7212">
        <f>IF(B7212,IF(D7212=0,H7212,Rho*I7211+SQRT(1-Rho^2)*H7212),"")</f>
        <v/>
      </c>
      <c r="J7212">
        <f>IF(B7212,IF(Dist="Normal",DistA+DistB*I7212,DistA+(DistB-DistA)*NORMSDIST(I7212)),"")</f>
        <v/>
      </c>
      <c r="K7212">
        <f>IF(B7212,INDEX(MineScale,C7212),"")</f>
        <v/>
      </c>
      <c r="L7212">
        <f>IF(B7212,INDEX(Dow,1,WEEKDAY(E7212,2)),"")</f>
        <v/>
      </c>
      <c r="M7212">
        <f>IF(B7212,(1+Trend)^D7212,"")</f>
        <v/>
      </c>
      <c r="N7212">
        <f>IF(B7212,EXP(SUMPRODUCT(LN(1+(EvEff-1)*INDEX(Affected,0,C7212)*EXP(-((E7212-EvCenter)^2)/(2*EvSigma^2))))),"")</f>
        <v/>
      </c>
      <c r="O7212">
        <f>IF(B7212,ROUND(MAX(0,J7212*K7212*L7212*M7212*N7212),2),"")</f>
        <v/>
      </c>
    </row>
    <row r="7213">
      <c r="A7213" t="n">
        <v>7212</v>
      </c>
      <c r="B7213">
        <f>A7213&lt;=MineCount*Days</f>
        <v/>
      </c>
      <c r="C7213">
        <f>IF(B7213,INT((A7213-1)/Days)+1,"")</f>
        <v/>
      </c>
      <c r="D7213">
        <f>IF(B7213,MOD(A7213-1,Days),"")</f>
        <v/>
      </c>
      <c r="E7213" s="16">
        <f>IF(B7213,StartDate+D7213,"")</f>
        <v/>
      </c>
      <c r="F7213">
        <f>IF(B7213,MAX(MOD(SIN(Seed*0.1373+C7213*12.9898+D7213*78.233)*43758.5453,1),1E-9),"")</f>
        <v/>
      </c>
      <c r="G7213">
        <f>IF(B7213,MOD(SIN(Seed*0.5917+C7213*39.3468+D7213*11.135)*24634.6345,1),"")</f>
        <v/>
      </c>
      <c r="H7213">
        <f>IF(B7213,SQRT(-2*LN(F7213))*COS(2*PI()*G7213),"")</f>
        <v/>
      </c>
      <c r="I7213">
        <f>IF(B7213,IF(D7213=0,H7213,Rho*I7212+SQRT(1-Rho^2)*H7213),"")</f>
        <v/>
      </c>
      <c r="J7213">
        <f>IF(B7213,IF(Dist="Normal",DistA+DistB*I7213,DistA+(DistB-DistA)*NORMSDIST(I7213)),"")</f>
        <v/>
      </c>
      <c r="K7213">
        <f>IF(B7213,INDEX(MineScale,C7213),"")</f>
        <v/>
      </c>
      <c r="L7213">
        <f>IF(B7213,INDEX(Dow,1,WEEKDAY(E7213,2)),"")</f>
        <v/>
      </c>
      <c r="M7213">
        <f>IF(B7213,(1+Trend)^D7213,"")</f>
        <v/>
      </c>
      <c r="N7213">
        <f>IF(B7213,EXP(SUMPRODUCT(LN(1+(EvEff-1)*INDEX(Affected,0,C7213)*EXP(-((E7213-EvCenter)^2)/(2*EvSigma^2))))),"")</f>
        <v/>
      </c>
      <c r="O7213">
        <f>IF(B7213,ROUND(MAX(0,J7213*K7213*L7213*M7213*N7213),2),"")</f>
        <v/>
      </c>
    </row>
    <row r="7214">
      <c r="A7214" t="n">
        <v>7213</v>
      </c>
      <c r="B7214">
        <f>A7214&lt;=MineCount*Days</f>
        <v/>
      </c>
      <c r="C7214">
        <f>IF(B7214,INT((A7214-1)/Days)+1,"")</f>
        <v/>
      </c>
      <c r="D7214">
        <f>IF(B7214,MOD(A7214-1,Days),"")</f>
        <v/>
      </c>
      <c r="E7214" s="16">
        <f>IF(B7214,StartDate+D7214,"")</f>
        <v/>
      </c>
      <c r="F7214">
        <f>IF(B7214,MAX(MOD(SIN(Seed*0.1373+C7214*12.9898+D7214*78.233)*43758.5453,1),1E-9),"")</f>
        <v/>
      </c>
      <c r="G7214">
        <f>IF(B7214,MOD(SIN(Seed*0.5917+C7214*39.3468+D7214*11.135)*24634.6345,1),"")</f>
        <v/>
      </c>
      <c r="H7214">
        <f>IF(B7214,SQRT(-2*LN(F7214))*COS(2*PI()*G7214),"")</f>
        <v/>
      </c>
      <c r="I7214">
        <f>IF(B7214,IF(D7214=0,H7214,Rho*I7213+SQRT(1-Rho^2)*H7214),"")</f>
        <v/>
      </c>
      <c r="J7214">
        <f>IF(B7214,IF(Dist="Normal",DistA+DistB*I7214,DistA+(DistB-DistA)*NORMSDIST(I7214)),"")</f>
        <v/>
      </c>
      <c r="K7214">
        <f>IF(B7214,INDEX(MineScale,C7214),"")</f>
        <v/>
      </c>
      <c r="L7214">
        <f>IF(B7214,INDEX(Dow,1,WEEKDAY(E7214,2)),"")</f>
        <v/>
      </c>
      <c r="M7214">
        <f>IF(B7214,(1+Trend)^D7214,"")</f>
        <v/>
      </c>
      <c r="N7214">
        <f>IF(B7214,EXP(SUMPRODUCT(LN(1+(EvEff-1)*INDEX(Affected,0,C7214)*EXP(-((E7214-EvCenter)^2)/(2*EvSigma^2))))),"")</f>
        <v/>
      </c>
      <c r="O7214">
        <f>IF(B7214,ROUND(MAX(0,J7214*K7214*L7214*M7214*N7214),2),"")</f>
        <v/>
      </c>
    </row>
    <row r="7215">
      <c r="A7215" t="n">
        <v>7214</v>
      </c>
      <c r="B7215">
        <f>A7215&lt;=MineCount*Days</f>
        <v/>
      </c>
      <c r="C7215">
        <f>IF(B7215,INT((A7215-1)/Days)+1,"")</f>
        <v/>
      </c>
      <c r="D7215">
        <f>IF(B7215,MOD(A7215-1,Days),"")</f>
        <v/>
      </c>
      <c r="E7215" s="16">
        <f>IF(B7215,StartDate+D7215,"")</f>
        <v/>
      </c>
      <c r="F7215">
        <f>IF(B7215,MAX(MOD(SIN(Seed*0.1373+C7215*12.9898+D7215*78.233)*43758.5453,1),1E-9),"")</f>
        <v/>
      </c>
      <c r="G7215">
        <f>IF(B7215,MOD(SIN(Seed*0.5917+C7215*39.3468+D7215*11.135)*24634.6345,1),"")</f>
        <v/>
      </c>
      <c r="H7215">
        <f>IF(B7215,SQRT(-2*LN(F7215))*COS(2*PI()*G7215),"")</f>
        <v/>
      </c>
      <c r="I7215">
        <f>IF(B7215,IF(D7215=0,H7215,Rho*I7214+SQRT(1-Rho^2)*H7215),"")</f>
        <v/>
      </c>
      <c r="J7215">
        <f>IF(B7215,IF(Dist="Normal",DistA+DistB*I7215,DistA+(DistB-DistA)*NORMSDIST(I7215)),"")</f>
        <v/>
      </c>
      <c r="K7215">
        <f>IF(B7215,INDEX(MineScale,C7215),"")</f>
        <v/>
      </c>
      <c r="L7215">
        <f>IF(B7215,INDEX(Dow,1,WEEKDAY(E7215,2)),"")</f>
        <v/>
      </c>
      <c r="M7215">
        <f>IF(B7215,(1+Trend)^D7215,"")</f>
        <v/>
      </c>
      <c r="N7215">
        <f>IF(B7215,EXP(SUMPRODUCT(LN(1+(EvEff-1)*INDEX(Affected,0,C7215)*EXP(-((E7215-EvCenter)^2)/(2*EvSigma^2))))),"")</f>
        <v/>
      </c>
      <c r="O7215">
        <f>IF(B7215,ROUND(MAX(0,J7215*K7215*L7215*M7215*N7215),2),"")</f>
        <v/>
      </c>
    </row>
    <row r="7216">
      <c r="A7216" t="n">
        <v>7215</v>
      </c>
      <c r="B7216">
        <f>A7216&lt;=MineCount*Days</f>
        <v/>
      </c>
      <c r="C7216">
        <f>IF(B7216,INT((A7216-1)/Days)+1,"")</f>
        <v/>
      </c>
      <c r="D7216">
        <f>IF(B7216,MOD(A7216-1,Days),"")</f>
        <v/>
      </c>
      <c r="E7216" s="16">
        <f>IF(B7216,StartDate+D7216,"")</f>
        <v/>
      </c>
      <c r="F7216">
        <f>IF(B7216,MAX(MOD(SIN(Seed*0.1373+C7216*12.9898+D7216*78.233)*43758.5453,1),1E-9),"")</f>
        <v/>
      </c>
      <c r="G7216">
        <f>IF(B7216,MOD(SIN(Seed*0.5917+C7216*39.3468+D7216*11.135)*24634.6345,1),"")</f>
        <v/>
      </c>
      <c r="H7216">
        <f>IF(B7216,SQRT(-2*LN(F7216))*COS(2*PI()*G7216),"")</f>
        <v/>
      </c>
      <c r="I7216">
        <f>IF(B7216,IF(D7216=0,H7216,Rho*I7215+SQRT(1-Rho^2)*H7216),"")</f>
        <v/>
      </c>
      <c r="J7216">
        <f>IF(B7216,IF(Dist="Normal",DistA+DistB*I7216,DistA+(DistB-DistA)*NORMSDIST(I7216)),"")</f>
        <v/>
      </c>
      <c r="K7216">
        <f>IF(B7216,INDEX(MineScale,C7216),"")</f>
        <v/>
      </c>
      <c r="L7216">
        <f>IF(B7216,INDEX(Dow,1,WEEKDAY(E7216,2)),"")</f>
        <v/>
      </c>
      <c r="M7216">
        <f>IF(B7216,(1+Trend)^D7216,"")</f>
        <v/>
      </c>
      <c r="N7216">
        <f>IF(B7216,EXP(SUMPRODUCT(LN(1+(EvEff-1)*INDEX(Affected,0,C7216)*EXP(-((E7216-EvCenter)^2)/(2*EvSigma^2))))),"")</f>
        <v/>
      </c>
      <c r="O7216">
        <f>IF(B7216,ROUND(MAX(0,J7216*K7216*L7216*M7216*N7216),2),"")</f>
        <v/>
      </c>
    </row>
    <row r="7217">
      <c r="A7217" t="n">
        <v>7216</v>
      </c>
      <c r="B7217">
        <f>A7217&lt;=MineCount*Days</f>
        <v/>
      </c>
      <c r="C7217">
        <f>IF(B7217,INT((A7217-1)/Days)+1,"")</f>
        <v/>
      </c>
      <c r="D7217">
        <f>IF(B7217,MOD(A7217-1,Days),"")</f>
        <v/>
      </c>
      <c r="E7217" s="16">
        <f>IF(B7217,StartDate+D7217,"")</f>
        <v/>
      </c>
      <c r="F7217">
        <f>IF(B7217,MAX(MOD(SIN(Seed*0.1373+C7217*12.9898+D7217*78.233)*43758.5453,1),1E-9),"")</f>
        <v/>
      </c>
      <c r="G7217">
        <f>IF(B7217,MOD(SIN(Seed*0.5917+C7217*39.3468+D7217*11.135)*24634.6345,1),"")</f>
        <v/>
      </c>
      <c r="H7217">
        <f>IF(B7217,SQRT(-2*LN(F7217))*COS(2*PI()*G7217),"")</f>
        <v/>
      </c>
      <c r="I7217">
        <f>IF(B7217,IF(D7217=0,H7217,Rho*I7216+SQRT(1-Rho^2)*H7217),"")</f>
        <v/>
      </c>
      <c r="J7217">
        <f>IF(B7217,IF(Dist="Normal",DistA+DistB*I7217,DistA+(DistB-DistA)*NORMSDIST(I7217)),"")</f>
        <v/>
      </c>
      <c r="K7217">
        <f>IF(B7217,INDEX(MineScale,C7217),"")</f>
        <v/>
      </c>
      <c r="L7217">
        <f>IF(B7217,INDEX(Dow,1,WEEKDAY(E7217,2)),"")</f>
        <v/>
      </c>
      <c r="M7217">
        <f>IF(B7217,(1+Trend)^D7217,"")</f>
        <v/>
      </c>
      <c r="N7217">
        <f>IF(B7217,EXP(SUMPRODUCT(LN(1+(EvEff-1)*INDEX(Affected,0,C7217)*EXP(-((E7217-EvCenter)^2)/(2*EvSigma^2))))),"")</f>
        <v/>
      </c>
      <c r="O7217">
        <f>IF(B7217,ROUND(MAX(0,J7217*K7217*L7217*M7217*N7217),2),"")</f>
        <v/>
      </c>
    </row>
    <row r="7218">
      <c r="A7218" t="n">
        <v>7217</v>
      </c>
      <c r="B7218">
        <f>A7218&lt;=MineCount*Days</f>
        <v/>
      </c>
      <c r="C7218">
        <f>IF(B7218,INT((A7218-1)/Days)+1,"")</f>
        <v/>
      </c>
      <c r="D7218">
        <f>IF(B7218,MOD(A7218-1,Days),"")</f>
        <v/>
      </c>
      <c r="E7218" s="16">
        <f>IF(B7218,StartDate+D7218,"")</f>
        <v/>
      </c>
      <c r="F7218">
        <f>IF(B7218,MAX(MOD(SIN(Seed*0.1373+C7218*12.9898+D7218*78.233)*43758.5453,1),1E-9),"")</f>
        <v/>
      </c>
      <c r="G7218">
        <f>IF(B7218,MOD(SIN(Seed*0.5917+C7218*39.3468+D7218*11.135)*24634.6345,1),"")</f>
        <v/>
      </c>
      <c r="H7218">
        <f>IF(B7218,SQRT(-2*LN(F7218))*COS(2*PI()*G7218),"")</f>
        <v/>
      </c>
      <c r="I7218">
        <f>IF(B7218,IF(D7218=0,H7218,Rho*I7217+SQRT(1-Rho^2)*H7218),"")</f>
        <v/>
      </c>
      <c r="J7218">
        <f>IF(B7218,IF(Dist="Normal",DistA+DistB*I7218,DistA+(DistB-DistA)*NORMSDIST(I7218)),"")</f>
        <v/>
      </c>
      <c r="K7218">
        <f>IF(B7218,INDEX(MineScale,C7218),"")</f>
        <v/>
      </c>
      <c r="L7218">
        <f>IF(B7218,INDEX(Dow,1,WEEKDAY(E7218,2)),"")</f>
        <v/>
      </c>
      <c r="M7218">
        <f>IF(B7218,(1+Trend)^D7218,"")</f>
        <v/>
      </c>
      <c r="N7218">
        <f>IF(B7218,EXP(SUMPRODUCT(LN(1+(EvEff-1)*INDEX(Affected,0,C7218)*EXP(-((E7218-EvCenter)^2)/(2*EvSigma^2))))),"")</f>
        <v/>
      </c>
      <c r="O7218">
        <f>IF(B7218,ROUND(MAX(0,J7218*K7218*L7218*M7218*N7218),2),"")</f>
        <v/>
      </c>
    </row>
    <row r="7219">
      <c r="A7219" t="n">
        <v>7218</v>
      </c>
      <c r="B7219">
        <f>A7219&lt;=MineCount*Days</f>
        <v/>
      </c>
      <c r="C7219">
        <f>IF(B7219,INT((A7219-1)/Days)+1,"")</f>
        <v/>
      </c>
      <c r="D7219">
        <f>IF(B7219,MOD(A7219-1,Days),"")</f>
        <v/>
      </c>
      <c r="E7219" s="16">
        <f>IF(B7219,StartDate+D7219,"")</f>
        <v/>
      </c>
      <c r="F7219">
        <f>IF(B7219,MAX(MOD(SIN(Seed*0.1373+C7219*12.9898+D7219*78.233)*43758.5453,1),1E-9),"")</f>
        <v/>
      </c>
      <c r="G7219">
        <f>IF(B7219,MOD(SIN(Seed*0.5917+C7219*39.3468+D7219*11.135)*24634.6345,1),"")</f>
        <v/>
      </c>
      <c r="H7219">
        <f>IF(B7219,SQRT(-2*LN(F7219))*COS(2*PI()*G7219),"")</f>
        <v/>
      </c>
      <c r="I7219">
        <f>IF(B7219,IF(D7219=0,H7219,Rho*I7218+SQRT(1-Rho^2)*H7219),"")</f>
        <v/>
      </c>
      <c r="J7219">
        <f>IF(B7219,IF(Dist="Normal",DistA+DistB*I7219,DistA+(DistB-DistA)*NORMSDIST(I7219)),"")</f>
        <v/>
      </c>
      <c r="K7219">
        <f>IF(B7219,INDEX(MineScale,C7219),"")</f>
        <v/>
      </c>
      <c r="L7219">
        <f>IF(B7219,INDEX(Dow,1,WEEKDAY(E7219,2)),"")</f>
        <v/>
      </c>
      <c r="M7219">
        <f>IF(B7219,(1+Trend)^D7219,"")</f>
        <v/>
      </c>
      <c r="N7219">
        <f>IF(B7219,EXP(SUMPRODUCT(LN(1+(EvEff-1)*INDEX(Affected,0,C7219)*EXP(-((E7219-EvCenter)^2)/(2*EvSigma^2))))),"")</f>
        <v/>
      </c>
      <c r="O7219">
        <f>IF(B7219,ROUND(MAX(0,J7219*K7219*L7219*M7219*N7219),2),"")</f>
        <v/>
      </c>
    </row>
    <row r="7220">
      <c r="A7220" t="n">
        <v>7219</v>
      </c>
      <c r="B7220">
        <f>A7220&lt;=MineCount*Days</f>
        <v/>
      </c>
      <c r="C7220">
        <f>IF(B7220,INT((A7220-1)/Days)+1,"")</f>
        <v/>
      </c>
      <c r="D7220">
        <f>IF(B7220,MOD(A7220-1,Days),"")</f>
        <v/>
      </c>
      <c r="E7220" s="16">
        <f>IF(B7220,StartDate+D7220,"")</f>
        <v/>
      </c>
      <c r="F7220">
        <f>IF(B7220,MAX(MOD(SIN(Seed*0.1373+C7220*12.9898+D7220*78.233)*43758.5453,1),1E-9),"")</f>
        <v/>
      </c>
      <c r="G7220">
        <f>IF(B7220,MOD(SIN(Seed*0.5917+C7220*39.3468+D7220*11.135)*24634.6345,1),"")</f>
        <v/>
      </c>
      <c r="H7220">
        <f>IF(B7220,SQRT(-2*LN(F7220))*COS(2*PI()*G7220),"")</f>
        <v/>
      </c>
      <c r="I7220">
        <f>IF(B7220,IF(D7220=0,H7220,Rho*I7219+SQRT(1-Rho^2)*H7220),"")</f>
        <v/>
      </c>
      <c r="J7220">
        <f>IF(B7220,IF(Dist="Normal",DistA+DistB*I7220,DistA+(DistB-DistA)*NORMSDIST(I7220)),"")</f>
        <v/>
      </c>
      <c r="K7220">
        <f>IF(B7220,INDEX(MineScale,C7220),"")</f>
        <v/>
      </c>
      <c r="L7220">
        <f>IF(B7220,INDEX(Dow,1,WEEKDAY(E7220,2)),"")</f>
        <v/>
      </c>
      <c r="M7220">
        <f>IF(B7220,(1+Trend)^D7220,"")</f>
        <v/>
      </c>
      <c r="N7220">
        <f>IF(B7220,EXP(SUMPRODUCT(LN(1+(EvEff-1)*INDEX(Affected,0,C7220)*EXP(-((E7220-EvCenter)^2)/(2*EvSigma^2))))),"")</f>
        <v/>
      </c>
      <c r="O7220">
        <f>IF(B7220,ROUND(MAX(0,J7220*K7220*L7220*M7220*N7220),2),"")</f>
        <v/>
      </c>
    </row>
    <row r="7221">
      <c r="A7221" t="n">
        <v>7220</v>
      </c>
      <c r="B7221">
        <f>A7221&lt;=MineCount*Days</f>
        <v/>
      </c>
      <c r="C7221">
        <f>IF(B7221,INT((A7221-1)/Days)+1,"")</f>
        <v/>
      </c>
      <c r="D7221">
        <f>IF(B7221,MOD(A7221-1,Days),"")</f>
        <v/>
      </c>
      <c r="E7221" s="16">
        <f>IF(B7221,StartDate+D7221,"")</f>
        <v/>
      </c>
      <c r="F7221">
        <f>IF(B7221,MAX(MOD(SIN(Seed*0.1373+C7221*12.9898+D7221*78.233)*43758.5453,1),1E-9),"")</f>
        <v/>
      </c>
      <c r="G7221">
        <f>IF(B7221,MOD(SIN(Seed*0.5917+C7221*39.3468+D7221*11.135)*24634.6345,1),"")</f>
        <v/>
      </c>
      <c r="H7221">
        <f>IF(B7221,SQRT(-2*LN(F7221))*COS(2*PI()*G7221),"")</f>
        <v/>
      </c>
      <c r="I7221">
        <f>IF(B7221,IF(D7221=0,H7221,Rho*I7220+SQRT(1-Rho^2)*H7221),"")</f>
        <v/>
      </c>
      <c r="J7221">
        <f>IF(B7221,IF(Dist="Normal",DistA+DistB*I7221,DistA+(DistB-DistA)*NORMSDIST(I7221)),"")</f>
        <v/>
      </c>
      <c r="K7221">
        <f>IF(B7221,INDEX(MineScale,C7221),"")</f>
        <v/>
      </c>
      <c r="L7221">
        <f>IF(B7221,INDEX(Dow,1,WEEKDAY(E7221,2)),"")</f>
        <v/>
      </c>
      <c r="M7221">
        <f>IF(B7221,(1+Trend)^D7221,"")</f>
        <v/>
      </c>
      <c r="N7221">
        <f>IF(B7221,EXP(SUMPRODUCT(LN(1+(EvEff-1)*INDEX(Affected,0,C7221)*EXP(-((E7221-EvCenter)^2)/(2*EvSigma^2))))),"")</f>
        <v/>
      </c>
      <c r="O7221">
        <f>IF(B7221,ROUND(MAX(0,J7221*K7221*L7221*M7221*N7221),2),"")</f>
        <v/>
      </c>
    </row>
    <row r="7222">
      <c r="A7222" t="n">
        <v>7221</v>
      </c>
      <c r="B7222">
        <f>A7222&lt;=MineCount*Days</f>
        <v/>
      </c>
      <c r="C7222">
        <f>IF(B7222,INT((A7222-1)/Days)+1,"")</f>
        <v/>
      </c>
      <c r="D7222">
        <f>IF(B7222,MOD(A7222-1,Days),"")</f>
        <v/>
      </c>
      <c r="E7222" s="16">
        <f>IF(B7222,StartDate+D7222,"")</f>
        <v/>
      </c>
      <c r="F7222">
        <f>IF(B7222,MAX(MOD(SIN(Seed*0.1373+C7222*12.9898+D7222*78.233)*43758.5453,1),1E-9),"")</f>
        <v/>
      </c>
      <c r="G7222">
        <f>IF(B7222,MOD(SIN(Seed*0.5917+C7222*39.3468+D7222*11.135)*24634.6345,1),"")</f>
        <v/>
      </c>
      <c r="H7222">
        <f>IF(B7222,SQRT(-2*LN(F7222))*COS(2*PI()*G7222),"")</f>
        <v/>
      </c>
      <c r="I7222">
        <f>IF(B7222,IF(D7222=0,H7222,Rho*I7221+SQRT(1-Rho^2)*H7222),"")</f>
        <v/>
      </c>
      <c r="J7222">
        <f>IF(B7222,IF(Dist="Normal",DistA+DistB*I7222,DistA+(DistB-DistA)*NORMSDIST(I7222)),"")</f>
        <v/>
      </c>
      <c r="K7222">
        <f>IF(B7222,INDEX(MineScale,C7222),"")</f>
        <v/>
      </c>
      <c r="L7222">
        <f>IF(B7222,INDEX(Dow,1,WEEKDAY(E7222,2)),"")</f>
        <v/>
      </c>
      <c r="M7222">
        <f>IF(B7222,(1+Trend)^D7222,"")</f>
        <v/>
      </c>
      <c r="N7222">
        <f>IF(B7222,EXP(SUMPRODUCT(LN(1+(EvEff-1)*INDEX(Affected,0,C7222)*EXP(-((E7222-EvCenter)^2)/(2*EvSigma^2))))),"")</f>
        <v/>
      </c>
      <c r="O7222">
        <f>IF(B7222,ROUND(MAX(0,J7222*K7222*L7222*M7222*N7222),2),"")</f>
        <v/>
      </c>
    </row>
    <row r="7223">
      <c r="A7223" t="n">
        <v>7222</v>
      </c>
      <c r="B7223">
        <f>A7223&lt;=MineCount*Days</f>
        <v/>
      </c>
      <c r="C7223">
        <f>IF(B7223,INT((A7223-1)/Days)+1,"")</f>
        <v/>
      </c>
      <c r="D7223">
        <f>IF(B7223,MOD(A7223-1,Days),"")</f>
        <v/>
      </c>
      <c r="E7223" s="16">
        <f>IF(B7223,StartDate+D7223,"")</f>
        <v/>
      </c>
      <c r="F7223">
        <f>IF(B7223,MAX(MOD(SIN(Seed*0.1373+C7223*12.9898+D7223*78.233)*43758.5453,1),1E-9),"")</f>
        <v/>
      </c>
      <c r="G7223">
        <f>IF(B7223,MOD(SIN(Seed*0.5917+C7223*39.3468+D7223*11.135)*24634.6345,1),"")</f>
        <v/>
      </c>
      <c r="H7223">
        <f>IF(B7223,SQRT(-2*LN(F7223))*COS(2*PI()*G7223),"")</f>
        <v/>
      </c>
      <c r="I7223">
        <f>IF(B7223,IF(D7223=0,H7223,Rho*I7222+SQRT(1-Rho^2)*H7223),"")</f>
        <v/>
      </c>
      <c r="J7223">
        <f>IF(B7223,IF(Dist="Normal",DistA+DistB*I7223,DistA+(DistB-DistA)*NORMSDIST(I7223)),"")</f>
        <v/>
      </c>
      <c r="K7223">
        <f>IF(B7223,INDEX(MineScale,C7223),"")</f>
        <v/>
      </c>
      <c r="L7223">
        <f>IF(B7223,INDEX(Dow,1,WEEKDAY(E7223,2)),"")</f>
        <v/>
      </c>
      <c r="M7223">
        <f>IF(B7223,(1+Trend)^D7223,"")</f>
        <v/>
      </c>
      <c r="N7223">
        <f>IF(B7223,EXP(SUMPRODUCT(LN(1+(EvEff-1)*INDEX(Affected,0,C7223)*EXP(-((E7223-EvCenter)^2)/(2*EvSigma^2))))),"")</f>
        <v/>
      </c>
      <c r="O7223">
        <f>IF(B7223,ROUND(MAX(0,J7223*K7223*L7223*M7223*N7223),2),"")</f>
        <v/>
      </c>
    </row>
    <row r="7224">
      <c r="A7224" t="n">
        <v>7223</v>
      </c>
      <c r="B7224">
        <f>A7224&lt;=MineCount*Days</f>
        <v/>
      </c>
      <c r="C7224">
        <f>IF(B7224,INT((A7224-1)/Days)+1,"")</f>
        <v/>
      </c>
      <c r="D7224">
        <f>IF(B7224,MOD(A7224-1,Days),"")</f>
        <v/>
      </c>
      <c r="E7224" s="16">
        <f>IF(B7224,StartDate+D7224,"")</f>
        <v/>
      </c>
      <c r="F7224">
        <f>IF(B7224,MAX(MOD(SIN(Seed*0.1373+C7224*12.9898+D7224*78.233)*43758.5453,1),1E-9),"")</f>
        <v/>
      </c>
      <c r="G7224">
        <f>IF(B7224,MOD(SIN(Seed*0.5917+C7224*39.3468+D7224*11.135)*24634.6345,1),"")</f>
        <v/>
      </c>
      <c r="H7224">
        <f>IF(B7224,SQRT(-2*LN(F7224))*COS(2*PI()*G7224),"")</f>
        <v/>
      </c>
      <c r="I7224">
        <f>IF(B7224,IF(D7224=0,H7224,Rho*I7223+SQRT(1-Rho^2)*H7224),"")</f>
        <v/>
      </c>
      <c r="J7224">
        <f>IF(B7224,IF(Dist="Normal",DistA+DistB*I7224,DistA+(DistB-DistA)*NORMSDIST(I7224)),"")</f>
        <v/>
      </c>
      <c r="K7224">
        <f>IF(B7224,INDEX(MineScale,C7224),"")</f>
        <v/>
      </c>
      <c r="L7224">
        <f>IF(B7224,INDEX(Dow,1,WEEKDAY(E7224,2)),"")</f>
        <v/>
      </c>
      <c r="M7224">
        <f>IF(B7224,(1+Trend)^D7224,"")</f>
        <v/>
      </c>
      <c r="N7224">
        <f>IF(B7224,EXP(SUMPRODUCT(LN(1+(EvEff-1)*INDEX(Affected,0,C7224)*EXP(-((E7224-EvCenter)^2)/(2*EvSigma^2))))),"")</f>
        <v/>
      </c>
      <c r="O7224">
        <f>IF(B7224,ROUND(MAX(0,J7224*K7224*L7224*M7224*N7224),2),"")</f>
        <v/>
      </c>
    </row>
    <row r="7225">
      <c r="A7225" t="n">
        <v>7224</v>
      </c>
      <c r="B7225">
        <f>A7225&lt;=MineCount*Days</f>
        <v/>
      </c>
      <c r="C7225">
        <f>IF(B7225,INT((A7225-1)/Days)+1,"")</f>
        <v/>
      </c>
      <c r="D7225">
        <f>IF(B7225,MOD(A7225-1,Days),"")</f>
        <v/>
      </c>
      <c r="E7225" s="16">
        <f>IF(B7225,StartDate+D7225,"")</f>
        <v/>
      </c>
      <c r="F7225">
        <f>IF(B7225,MAX(MOD(SIN(Seed*0.1373+C7225*12.9898+D7225*78.233)*43758.5453,1),1E-9),"")</f>
        <v/>
      </c>
      <c r="G7225">
        <f>IF(B7225,MOD(SIN(Seed*0.5917+C7225*39.3468+D7225*11.135)*24634.6345,1),"")</f>
        <v/>
      </c>
      <c r="H7225">
        <f>IF(B7225,SQRT(-2*LN(F7225))*COS(2*PI()*G7225),"")</f>
        <v/>
      </c>
      <c r="I7225">
        <f>IF(B7225,IF(D7225=0,H7225,Rho*I7224+SQRT(1-Rho^2)*H7225),"")</f>
        <v/>
      </c>
      <c r="J7225">
        <f>IF(B7225,IF(Dist="Normal",DistA+DistB*I7225,DistA+(DistB-DistA)*NORMSDIST(I7225)),"")</f>
        <v/>
      </c>
      <c r="K7225">
        <f>IF(B7225,INDEX(MineScale,C7225),"")</f>
        <v/>
      </c>
      <c r="L7225">
        <f>IF(B7225,INDEX(Dow,1,WEEKDAY(E7225,2)),"")</f>
        <v/>
      </c>
      <c r="M7225">
        <f>IF(B7225,(1+Trend)^D7225,"")</f>
        <v/>
      </c>
      <c r="N7225">
        <f>IF(B7225,EXP(SUMPRODUCT(LN(1+(EvEff-1)*INDEX(Affected,0,C7225)*EXP(-((E7225-EvCenter)^2)/(2*EvSigma^2))))),"")</f>
        <v/>
      </c>
      <c r="O7225">
        <f>IF(B7225,ROUND(MAX(0,J7225*K7225*L7225*M7225*N7225),2),"")</f>
        <v/>
      </c>
    </row>
    <row r="7226">
      <c r="A7226" t="n">
        <v>7225</v>
      </c>
      <c r="B7226">
        <f>A7226&lt;=MineCount*Days</f>
        <v/>
      </c>
      <c r="C7226">
        <f>IF(B7226,INT((A7226-1)/Days)+1,"")</f>
        <v/>
      </c>
      <c r="D7226">
        <f>IF(B7226,MOD(A7226-1,Days),"")</f>
        <v/>
      </c>
      <c r="E7226" s="16">
        <f>IF(B7226,StartDate+D7226,"")</f>
        <v/>
      </c>
      <c r="F7226">
        <f>IF(B7226,MAX(MOD(SIN(Seed*0.1373+C7226*12.9898+D7226*78.233)*43758.5453,1),1E-9),"")</f>
        <v/>
      </c>
      <c r="G7226">
        <f>IF(B7226,MOD(SIN(Seed*0.5917+C7226*39.3468+D7226*11.135)*24634.6345,1),"")</f>
        <v/>
      </c>
      <c r="H7226">
        <f>IF(B7226,SQRT(-2*LN(F7226))*COS(2*PI()*G7226),"")</f>
        <v/>
      </c>
      <c r="I7226">
        <f>IF(B7226,IF(D7226=0,H7226,Rho*I7225+SQRT(1-Rho^2)*H7226),"")</f>
        <v/>
      </c>
      <c r="J7226">
        <f>IF(B7226,IF(Dist="Normal",DistA+DistB*I7226,DistA+(DistB-DistA)*NORMSDIST(I7226)),"")</f>
        <v/>
      </c>
      <c r="K7226">
        <f>IF(B7226,INDEX(MineScale,C7226),"")</f>
        <v/>
      </c>
      <c r="L7226">
        <f>IF(B7226,INDEX(Dow,1,WEEKDAY(E7226,2)),"")</f>
        <v/>
      </c>
      <c r="M7226">
        <f>IF(B7226,(1+Trend)^D7226,"")</f>
        <v/>
      </c>
      <c r="N7226">
        <f>IF(B7226,EXP(SUMPRODUCT(LN(1+(EvEff-1)*INDEX(Affected,0,C7226)*EXP(-((E7226-EvCenter)^2)/(2*EvSigma^2))))),"")</f>
        <v/>
      </c>
      <c r="O7226">
        <f>IF(B7226,ROUND(MAX(0,J7226*K7226*L7226*M7226*N7226),2),"")</f>
        <v/>
      </c>
    </row>
    <row r="7227">
      <c r="A7227" t="n">
        <v>7226</v>
      </c>
      <c r="B7227">
        <f>A7227&lt;=MineCount*Days</f>
        <v/>
      </c>
      <c r="C7227">
        <f>IF(B7227,INT((A7227-1)/Days)+1,"")</f>
        <v/>
      </c>
      <c r="D7227">
        <f>IF(B7227,MOD(A7227-1,Days),"")</f>
        <v/>
      </c>
      <c r="E7227" s="16">
        <f>IF(B7227,StartDate+D7227,"")</f>
        <v/>
      </c>
      <c r="F7227">
        <f>IF(B7227,MAX(MOD(SIN(Seed*0.1373+C7227*12.9898+D7227*78.233)*43758.5453,1),1E-9),"")</f>
        <v/>
      </c>
      <c r="G7227">
        <f>IF(B7227,MOD(SIN(Seed*0.5917+C7227*39.3468+D7227*11.135)*24634.6345,1),"")</f>
        <v/>
      </c>
      <c r="H7227">
        <f>IF(B7227,SQRT(-2*LN(F7227))*COS(2*PI()*G7227),"")</f>
        <v/>
      </c>
      <c r="I7227">
        <f>IF(B7227,IF(D7227=0,H7227,Rho*I7226+SQRT(1-Rho^2)*H7227),"")</f>
        <v/>
      </c>
      <c r="J7227">
        <f>IF(B7227,IF(Dist="Normal",DistA+DistB*I7227,DistA+(DistB-DistA)*NORMSDIST(I7227)),"")</f>
        <v/>
      </c>
      <c r="K7227">
        <f>IF(B7227,INDEX(MineScale,C7227),"")</f>
        <v/>
      </c>
      <c r="L7227">
        <f>IF(B7227,INDEX(Dow,1,WEEKDAY(E7227,2)),"")</f>
        <v/>
      </c>
      <c r="M7227">
        <f>IF(B7227,(1+Trend)^D7227,"")</f>
        <v/>
      </c>
      <c r="N7227">
        <f>IF(B7227,EXP(SUMPRODUCT(LN(1+(EvEff-1)*INDEX(Affected,0,C7227)*EXP(-((E7227-EvCenter)^2)/(2*EvSigma^2))))),"")</f>
        <v/>
      </c>
      <c r="O7227">
        <f>IF(B7227,ROUND(MAX(0,J7227*K7227*L7227*M7227*N7227),2),"")</f>
        <v/>
      </c>
    </row>
    <row r="7228">
      <c r="A7228" t="n">
        <v>7227</v>
      </c>
      <c r="B7228">
        <f>A7228&lt;=MineCount*Days</f>
        <v/>
      </c>
      <c r="C7228">
        <f>IF(B7228,INT((A7228-1)/Days)+1,"")</f>
        <v/>
      </c>
      <c r="D7228">
        <f>IF(B7228,MOD(A7228-1,Days),"")</f>
        <v/>
      </c>
      <c r="E7228" s="16">
        <f>IF(B7228,StartDate+D7228,"")</f>
        <v/>
      </c>
      <c r="F7228">
        <f>IF(B7228,MAX(MOD(SIN(Seed*0.1373+C7228*12.9898+D7228*78.233)*43758.5453,1),1E-9),"")</f>
        <v/>
      </c>
      <c r="G7228">
        <f>IF(B7228,MOD(SIN(Seed*0.5917+C7228*39.3468+D7228*11.135)*24634.6345,1),"")</f>
        <v/>
      </c>
      <c r="H7228">
        <f>IF(B7228,SQRT(-2*LN(F7228))*COS(2*PI()*G7228),"")</f>
        <v/>
      </c>
      <c r="I7228">
        <f>IF(B7228,IF(D7228=0,H7228,Rho*I7227+SQRT(1-Rho^2)*H7228),"")</f>
        <v/>
      </c>
      <c r="J7228">
        <f>IF(B7228,IF(Dist="Normal",DistA+DistB*I7228,DistA+(DistB-DistA)*NORMSDIST(I7228)),"")</f>
        <v/>
      </c>
      <c r="K7228">
        <f>IF(B7228,INDEX(MineScale,C7228),"")</f>
        <v/>
      </c>
      <c r="L7228">
        <f>IF(B7228,INDEX(Dow,1,WEEKDAY(E7228,2)),"")</f>
        <v/>
      </c>
      <c r="M7228">
        <f>IF(B7228,(1+Trend)^D7228,"")</f>
        <v/>
      </c>
      <c r="N7228">
        <f>IF(B7228,EXP(SUMPRODUCT(LN(1+(EvEff-1)*INDEX(Affected,0,C7228)*EXP(-((E7228-EvCenter)^2)/(2*EvSigma^2))))),"")</f>
        <v/>
      </c>
      <c r="O7228">
        <f>IF(B7228,ROUND(MAX(0,J7228*K7228*L7228*M7228*N7228),2),"")</f>
        <v/>
      </c>
    </row>
    <row r="7229">
      <c r="A7229" t="n">
        <v>7228</v>
      </c>
      <c r="B7229">
        <f>A7229&lt;=MineCount*Days</f>
        <v/>
      </c>
      <c r="C7229">
        <f>IF(B7229,INT((A7229-1)/Days)+1,"")</f>
        <v/>
      </c>
      <c r="D7229">
        <f>IF(B7229,MOD(A7229-1,Days),"")</f>
        <v/>
      </c>
      <c r="E7229" s="16">
        <f>IF(B7229,StartDate+D7229,"")</f>
        <v/>
      </c>
      <c r="F7229">
        <f>IF(B7229,MAX(MOD(SIN(Seed*0.1373+C7229*12.9898+D7229*78.233)*43758.5453,1),1E-9),"")</f>
        <v/>
      </c>
      <c r="G7229">
        <f>IF(B7229,MOD(SIN(Seed*0.5917+C7229*39.3468+D7229*11.135)*24634.6345,1),"")</f>
        <v/>
      </c>
      <c r="H7229">
        <f>IF(B7229,SQRT(-2*LN(F7229))*COS(2*PI()*G7229),"")</f>
        <v/>
      </c>
      <c r="I7229">
        <f>IF(B7229,IF(D7229=0,H7229,Rho*I7228+SQRT(1-Rho^2)*H7229),"")</f>
        <v/>
      </c>
      <c r="J7229">
        <f>IF(B7229,IF(Dist="Normal",DistA+DistB*I7229,DistA+(DistB-DistA)*NORMSDIST(I7229)),"")</f>
        <v/>
      </c>
      <c r="K7229">
        <f>IF(B7229,INDEX(MineScale,C7229),"")</f>
        <v/>
      </c>
      <c r="L7229">
        <f>IF(B7229,INDEX(Dow,1,WEEKDAY(E7229,2)),"")</f>
        <v/>
      </c>
      <c r="M7229">
        <f>IF(B7229,(1+Trend)^D7229,"")</f>
        <v/>
      </c>
      <c r="N7229">
        <f>IF(B7229,EXP(SUMPRODUCT(LN(1+(EvEff-1)*INDEX(Affected,0,C7229)*EXP(-((E7229-EvCenter)^2)/(2*EvSigma^2))))),"")</f>
        <v/>
      </c>
      <c r="O7229">
        <f>IF(B7229,ROUND(MAX(0,J7229*K7229*L7229*M7229*N7229),2),"")</f>
        <v/>
      </c>
    </row>
    <row r="7230">
      <c r="A7230" t="n">
        <v>7229</v>
      </c>
      <c r="B7230">
        <f>A7230&lt;=MineCount*Days</f>
        <v/>
      </c>
      <c r="C7230">
        <f>IF(B7230,INT((A7230-1)/Days)+1,"")</f>
        <v/>
      </c>
      <c r="D7230">
        <f>IF(B7230,MOD(A7230-1,Days),"")</f>
        <v/>
      </c>
      <c r="E7230" s="16">
        <f>IF(B7230,StartDate+D7230,"")</f>
        <v/>
      </c>
      <c r="F7230">
        <f>IF(B7230,MAX(MOD(SIN(Seed*0.1373+C7230*12.9898+D7230*78.233)*43758.5453,1),1E-9),"")</f>
        <v/>
      </c>
      <c r="G7230">
        <f>IF(B7230,MOD(SIN(Seed*0.5917+C7230*39.3468+D7230*11.135)*24634.6345,1),"")</f>
        <v/>
      </c>
      <c r="H7230">
        <f>IF(B7230,SQRT(-2*LN(F7230))*COS(2*PI()*G7230),"")</f>
        <v/>
      </c>
      <c r="I7230">
        <f>IF(B7230,IF(D7230=0,H7230,Rho*I7229+SQRT(1-Rho^2)*H7230),"")</f>
        <v/>
      </c>
      <c r="J7230">
        <f>IF(B7230,IF(Dist="Normal",DistA+DistB*I7230,DistA+(DistB-DistA)*NORMSDIST(I7230)),"")</f>
        <v/>
      </c>
      <c r="K7230">
        <f>IF(B7230,INDEX(MineScale,C7230),"")</f>
        <v/>
      </c>
      <c r="L7230">
        <f>IF(B7230,INDEX(Dow,1,WEEKDAY(E7230,2)),"")</f>
        <v/>
      </c>
      <c r="M7230">
        <f>IF(B7230,(1+Trend)^D7230,"")</f>
        <v/>
      </c>
      <c r="N7230">
        <f>IF(B7230,EXP(SUMPRODUCT(LN(1+(EvEff-1)*INDEX(Affected,0,C7230)*EXP(-((E7230-EvCenter)^2)/(2*EvSigma^2))))),"")</f>
        <v/>
      </c>
      <c r="O7230">
        <f>IF(B7230,ROUND(MAX(0,J7230*K7230*L7230*M7230*N7230),2),"")</f>
        <v/>
      </c>
    </row>
    <row r="7231">
      <c r="A7231" t="n">
        <v>7230</v>
      </c>
      <c r="B7231">
        <f>A7231&lt;=MineCount*Days</f>
        <v/>
      </c>
      <c r="C7231">
        <f>IF(B7231,INT((A7231-1)/Days)+1,"")</f>
        <v/>
      </c>
      <c r="D7231">
        <f>IF(B7231,MOD(A7231-1,Days),"")</f>
        <v/>
      </c>
      <c r="E7231" s="16">
        <f>IF(B7231,StartDate+D7231,"")</f>
        <v/>
      </c>
      <c r="F7231">
        <f>IF(B7231,MAX(MOD(SIN(Seed*0.1373+C7231*12.9898+D7231*78.233)*43758.5453,1),1E-9),"")</f>
        <v/>
      </c>
      <c r="G7231">
        <f>IF(B7231,MOD(SIN(Seed*0.5917+C7231*39.3468+D7231*11.135)*24634.6345,1),"")</f>
        <v/>
      </c>
      <c r="H7231">
        <f>IF(B7231,SQRT(-2*LN(F7231))*COS(2*PI()*G7231),"")</f>
        <v/>
      </c>
      <c r="I7231">
        <f>IF(B7231,IF(D7231=0,H7231,Rho*I7230+SQRT(1-Rho^2)*H7231),"")</f>
        <v/>
      </c>
      <c r="J7231">
        <f>IF(B7231,IF(Dist="Normal",DistA+DistB*I7231,DistA+(DistB-DistA)*NORMSDIST(I7231)),"")</f>
        <v/>
      </c>
      <c r="K7231">
        <f>IF(B7231,INDEX(MineScale,C7231),"")</f>
        <v/>
      </c>
      <c r="L7231">
        <f>IF(B7231,INDEX(Dow,1,WEEKDAY(E7231,2)),"")</f>
        <v/>
      </c>
      <c r="M7231">
        <f>IF(B7231,(1+Trend)^D7231,"")</f>
        <v/>
      </c>
      <c r="N7231">
        <f>IF(B7231,EXP(SUMPRODUCT(LN(1+(EvEff-1)*INDEX(Affected,0,C7231)*EXP(-((E7231-EvCenter)^2)/(2*EvSigma^2))))),"")</f>
        <v/>
      </c>
      <c r="O7231">
        <f>IF(B7231,ROUND(MAX(0,J7231*K7231*L7231*M7231*N7231),2),"")</f>
        <v/>
      </c>
    </row>
    <row r="7232">
      <c r="A7232" t="n">
        <v>7231</v>
      </c>
      <c r="B7232">
        <f>A7232&lt;=MineCount*Days</f>
        <v/>
      </c>
      <c r="C7232">
        <f>IF(B7232,INT((A7232-1)/Days)+1,"")</f>
        <v/>
      </c>
      <c r="D7232">
        <f>IF(B7232,MOD(A7232-1,Days),"")</f>
        <v/>
      </c>
      <c r="E7232" s="16">
        <f>IF(B7232,StartDate+D7232,"")</f>
        <v/>
      </c>
      <c r="F7232">
        <f>IF(B7232,MAX(MOD(SIN(Seed*0.1373+C7232*12.9898+D7232*78.233)*43758.5453,1),1E-9),"")</f>
        <v/>
      </c>
      <c r="G7232">
        <f>IF(B7232,MOD(SIN(Seed*0.5917+C7232*39.3468+D7232*11.135)*24634.6345,1),"")</f>
        <v/>
      </c>
      <c r="H7232">
        <f>IF(B7232,SQRT(-2*LN(F7232))*COS(2*PI()*G7232),"")</f>
        <v/>
      </c>
      <c r="I7232">
        <f>IF(B7232,IF(D7232=0,H7232,Rho*I7231+SQRT(1-Rho^2)*H7232),"")</f>
        <v/>
      </c>
      <c r="J7232">
        <f>IF(B7232,IF(Dist="Normal",DistA+DistB*I7232,DistA+(DistB-DistA)*NORMSDIST(I7232)),"")</f>
        <v/>
      </c>
      <c r="K7232">
        <f>IF(B7232,INDEX(MineScale,C7232),"")</f>
        <v/>
      </c>
      <c r="L7232">
        <f>IF(B7232,INDEX(Dow,1,WEEKDAY(E7232,2)),"")</f>
        <v/>
      </c>
      <c r="M7232">
        <f>IF(B7232,(1+Trend)^D7232,"")</f>
        <v/>
      </c>
      <c r="N7232">
        <f>IF(B7232,EXP(SUMPRODUCT(LN(1+(EvEff-1)*INDEX(Affected,0,C7232)*EXP(-((E7232-EvCenter)^2)/(2*EvSigma^2))))),"")</f>
        <v/>
      </c>
      <c r="O7232">
        <f>IF(B7232,ROUND(MAX(0,J7232*K7232*L7232*M7232*N7232),2),"")</f>
        <v/>
      </c>
    </row>
    <row r="7233">
      <c r="A7233" t="n">
        <v>7232</v>
      </c>
      <c r="B7233">
        <f>A7233&lt;=MineCount*Days</f>
        <v/>
      </c>
      <c r="C7233">
        <f>IF(B7233,INT((A7233-1)/Days)+1,"")</f>
        <v/>
      </c>
      <c r="D7233">
        <f>IF(B7233,MOD(A7233-1,Days),"")</f>
        <v/>
      </c>
      <c r="E7233" s="16">
        <f>IF(B7233,StartDate+D7233,"")</f>
        <v/>
      </c>
      <c r="F7233">
        <f>IF(B7233,MAX(MOD(SIN(Seed*0.1373+C7233*12.9898+D7233*78.233)*43758.5453,1),1E-9),"")</f>
        <v/>
      </c>
      <c r="G7233">
        <f>IF(B7233,MOD(SIN(Seed*0.5917+C7233*39.3468+D7233*11.135)*24634.6345,1),"")</f>
        <v/>
      </c>
      <c r="H7233">
        <f>IF(B7233,SQRT(-2*LN(F7233))*COS(2*PI()*G7233),"")</f>
        <v/>
      </c>
      <c r="I7233">
        <f>IF(B7233,IF(D7233=0,H7233,Rho*I7232+SQRT(1-Rho^2)*H7233),"")</f>
        <v/>
      </c>
      <c r="J7233">
        <f>IF(B7233,IF(Dist="Normal",DistA+DistB*I7233,DistA+(DistB-DistA)*NORMSDIST(I7233)),"")</f>
        <v/>
      </c>
      <c r="K7233">
        <f>IF(B7233,INDEX(MineScale,C7233),"")</f>
        <v/>
      </c>
      <c r="L7233">
        <f>IF(B7233,INDEX(Dow,1,WEEKDAY(E7233,2)),"")</f>
        <v/>
      </c>
      <c r="M7233">
        <f>IF(B7233,(1+Trend)^D7233,"")</f>
        <v/>
      </c>
      <c r="N7233">
        <f>IF(B7233,EXP(SUMPRODUCT(LN(1+(EvEff-1)*INDEX(Affected,0,C7233)*EXP(-((E7233-EvCenter)^2)/(2*EvSigma^2))))),"")</f>
        <v/>
      </c>
      <c r="O7233">
        <f>IF(B7233,ROUND(MAX(0,J7233*K7233*L7233*M7233*N7233),2),"")</f>
        <v/>
      </c>
    </row>
    <row r="7234">
      <c r="A7234" t="n">
        <v>7233</v>
      </c>
      <c r="B7234">
        <f>A7234&lt;=MineCount*Days</f>
        <v/>
      </c>
      <c r="C7234">
        <f>IF(B7234,INT((A7234-1)/Days)+1,"")</f>
        <v/>
      </c>
      <c r="D7234">
        <f>IF(B7234,MOD(A7234-1,Days),"")</f>
        <v/>
      </c>
      <c r="E7234" s="16">
        <f>IF(B7234,StartDate+D7234,"")</f>
        <v/>
      </c>
      <c r="F7234">
        <f>IF(B7234,MAX(MOD(SIN(Seed*0.1373+C7234*12.9898+D7234*78.233)*43758.5453,1),1E-9),"")</f>
        <v/>
      </c>
      <c r="G7234">
        <f>IF(B7234,MOD(SIN(Seed*0.5917+C7234*39.3468+D7234*11.135)*24634.6345,1),"")</f>
        <v/>
      </c>
      <c r="H7234">
        <f>IF(B7234,SQRT(-2*LN(F7234))*COS(2*PI()*G7234),"")</f>
        <v/>
      </c>
      <c r="I7234">
        <f>IF(B7234,IF(D7234=0,H7234,Rho*I7233+SQRT(1-Rho^2)*H7234),"")</f>
        <v/>
      </c>
      <c r="J7234">
        <f>IF(B7234,IF(Dist="Normal",DistA+DistB*I7234,DistA+(DistB-DistA)*NORMSDIST(I7234)),"")</f>
        <v/>
      </c>
      <c r="K7234">
        <f>IF(B7234,INDEX(MineScale,C7234),"")</f>
        <v/>
      </c>
      <c r="L7234">
        <f>IF(B7234,INDEX(Dow,1,WEEKDAY(E7234,2)),"")</f>
        <v/>
      </c>
      <c r="M7234">
        <f>IF(B7234,(1+Trend)^D7234,"")</f>
        <v/>
      </c>
      <c r="N7234">
        <f>IF(B7234,EXP(SUMPRODUCT(LN(1+(EvEff-1)*INDEX(Affected,0,C7234)*EXP(-((E7234-EvCenter)^2)/(2*EvSigma^2))))),"")</f>
        <v/>
      </c>
      <c r="O7234">
        <f>IF(B7234,ROUND(MAX(0,J7234*K7234*L7234*M7234*N7234),2),"")</f>
        <v/>
      </c>
    </row>
    <row r="7235">
      <c r="A7235" t="n">
        <v>7234</v>
      </c>
      <c r="B7235">
        <f>A7235&lt;=MineCount*Days</f>
        <v/>
      </c>
      <c r="C7235">
        <f>IF(B7235,INT((A7235-1)/Days)+1,"")</f>
        <v/>
      </c>
      <c r="D7235">
        <f>IF(B7235,MOD(A7235-1,Days),"")</f>
        <v/>
      </c>
      <c r="E7235" s="16">
        <f>IF(B7235,StartDate+D7235,"")</f>
        <v/>
      </c>
      <c r="F7235">
        <f>IF(B7235,MAX(MOD(SIN(Seed*0.1373+C7235*12.9898+D7235*78.233)*43758.5453,1),1E-9),"")</f>
        <v/>
      </c>
      <c r="G7235">
        <f>IF(B7235,MOD(SIN(Seed*0.5917+C7235*39.3468+D7235*11.135)*24634.6345,1),"")</f>
        <v/>
      </c>
      <c r="H7235">
        <f>IF(B7235,SQRT(-2*LN(F7235))*COS(2*PI()*G7235),"")</f>
        <v/>
      </c>
      <c r="I7235">
        <f>IF(B7235,IF(D7235=0,H7235,Rho*I7234+SQRT(1-Rho^2)*H7235),"")</f>
        <v/>
      </c>
      <c r="J7235">
        <f>IF(B7235,IF(Dist="Normal",DistA+DistB*I7235,DistA+(DistB-DistA)*NORMSDIST(I7235)),"")</f>
        <v/>
      </c>
      <c r="K7235">
        <f>IF(B7235,INDEX(MineScale,C7235),"")</f>
        <v/>
      </c>
      <c r="L7235">
        <f>IF(B7235,INDEX(Dow,1,WEEKDAY(E7235,2)),"")</f>
        <v/>
      </c>
      <c r="M7235">
        <f>IF(B7235,(1+Trend)^D7235,"")</f>
        <v/>
      </c>
      <c r="N7235">
        <f>IF(B7235,EXP(SUMPRODUCT(LN(1+(EvEff-1)*INDEX(Affected,0,C7235)*EXP(-((E7235-EvCenter)^2)/(2*EvSigma^2))))),"")</f>
        <v/>
      </c>
      <c r="O7235">
        <f>IF(B7235,ROUND(MAX(0,J7235*K7235*L7235*M7235*N7235),2),"")</f>
        <v/>
      </c>
    </row>
    <row r="7236">
      <c r="A7236" t="n">
        <v>7235</v>
      </c>
      <c r="B7236">
        <f>A7236&lt;=MineCount*Days</f>
        <v/>
      </c>
      <c r="C7236">
        <f>IF(B7236,INT((A7236-1)/Days)+1,"")</f>
        <v/>
      </c>
      <c r="D7236">
        <f>IF(B7236,MOD(A7236-1,Days),"")</f>
        <v/>
      </c>
      <c r="E7236" s="16">
        <f>IF(B7236,StartDate+D7236,"")</f>
        <v/>
      </c>
      <c r="F7236">
        <f>IF(B7236,MAX(MOD(SIN(Seed*0.1373+C7236*12.9898+D7236*78.233)*43758.5453,1),1E-9),"")</f>
        <v/>
      </c>
      <c r="G7236">
        <f>IF(B7236,MOD(SIN(Seed*0.5917+C7236*39.3468+D7236*11.135)*24634.6345,1),"")</f>
        <v/>
      </c>
      <c r="H7236">
        <f>IF(B7236,SQRT(-2*LN(F7236))*COS(2*PI()*G7236),"")</f>
        <v/>
      </c>
      <c r="I7236">
        <f>IF(B7236,IF(D7236=0,H7236,Rho*I7235+SQRT(1-Rho^2)*H7236),"")</f>
        <v/>
      </c>
      <c r="J7236">
        <f>IF(B7236,IF(Dist="Normal",DistA+DistB*I7236,DistA+(DistB-DistA)*NORMSDIST(I7236)),"")</f>
        <v/>
      </c>
      <c r="K7236">
        <f>IF(B7236,INDEX(MineScale,C7236),"")</f>
        <v/>
      </c>
      <c r="L7236">
        <f>IF(B7236,INDEX(Dow,1,WEEKDAY(E7236,2)),"")</f>
        <v/>
      </c>
      <c r="M7236">
        <f>IF(B7236,(1+Trend)^D7236,"")</f>
        <v/>
      </c>
      <c r="N7236">
        <f>IF(B7236,EXP(SUMPRODUCT(LN(1+(EvEff-1)*INDEX(Affected,0,C7236)*EXP(-((E7236-EvCenter)^2)/(2*EvSigma^2))))),"")</f>
        <v/>
      </c>
      <c r="O7236">
        <f>IF(B7236,ROUND(MAX(0,J7236*K7236*L7236*M7236*N7236),2),"")</f>
        <v/>
      </c>
    </row>
    <row r="7237">
      <c r="A7237" t="n">
        <v>7236</v>
      </c>
      <c r="B7237">
        <f>A7237&lt;=MineCount*Days</f>
        <v/>
      </c>
      <c r="C7237">
        <f>IF(B7237,INT((A7237-1)/Days)+1,"")</f>
        <v/>
      </c>
      <c r="D7237">
        <f>IF(B7237,MOD(A7237-1,Days),"")</f>
        <v/>
      </c>
      <c r="E7237" s="16">
        <f>IF(B7237,StartDate+D7237,"")</f>
        <v/>
      </c>
      <c r="F7237">
        <f>IF(B7237,MAX(MOD(SIN(Seed*0.1373+C7237*12.9898+D7237*78.233)*43758.5453,1),1E-9),"")</f>
        <v/>
      </c>
      <c r="G7237">
        <f>IF(B7237,MOD(SIN(Seed*0.5917+C7237*39.3468+D7237*11.135)*24634.6345,1),"")</f>
        <v/>
      </c>
      <c r="H7237">
        <f>IF(B7237,SQRT(-2*LN(F7237))*COS(2*PI()*G7237),"")</f>
        <v/>
      </c>
      <c r="I7237">
        <f>IF(B7237,IF(D7237=0,H7237,Rho*I7236+SQRT(1-Rho^2)*H7237),"")</f>
        <v/>
      </c>
      <c r="J7237">
        <f>IF(B7237,IF(Dist="Normal",DistA+DistB*I7237,DistA+(DistB-DistA)*NORMSDIST(I7237)),"")</f>
        <v/>
      </c>
      <c r="K7237">
        <f>IF(B7237,INDEX(MineScale,C7237),"")</f>
        <v/>
      </c>
      <c r="L7237">
        <f>IF(B7237,INDEX(Dow,1,WEEKDAY(E7237,2)),"")</f>
        <v/>
      </c>
      <c r="M7237">
        <f>IF(B7237,(1+Trend)^D7237,"")</f>
        <v/>
      </c>
      <c r="N7237">
        <f>IF(B7237,EXP(SUMPRODUCT(LN(1+(EvEff-1)*INDEX(Affected,0,C7237)*EXP(-((E7237-EvCenter)^2)/(2*EvSigma^2))))),"")</f>
        <v/>
      </c>
      <c r="O7237">
        <f>IF(B7237,ROUND(MAX(0,J7237*K7237*L7237*M7237*N7237),2),"")</f>
        <v/>
      </c>
    </row>
    <row r="7238">
      <c r="A7238" t="n">
        <v>7237</v>
      </c>
      <c r="B7238">
        <f>A7238&lt;=MineCount*Days</f>
        <v/>
      </c>
      <c r="C7238">
        <f>IF(B7238,INT((A7238-1)/Days)+1,"")</f>
        <v/>
      </c>
      <c r="D7238">
        <f>IF(B7238,MOD(A7238-1,Days),"")</f>
        <v/>
      </c>
      <c r="E7238" s="16">
        <f>IF(B7238,StartDate+D7238,"")</f>
        <v/>
      </c>
      <c r="F7238">
        <f>IF(B7238,MAX(MOD(SIN(Seed*0.1373+C7238*12.9898+D7238*78.233)*43758.5453,1),1E-9),"")</f>
        <v/>
      </c>
      <c r="G7238">
        <f>IF(B7238,MOD(SIN(Seed*0.5917+C7238*39.3468+D7238*11.135)*24634.6345,1),"")</f>
        <v/>
      </c>
      <c r="H7238">
        <f>IF(B7238,SQRT(-2*LN(F7238))*COS(2*PI()*G7238),"")</f>
        <v/>
      </c>
      <c r="I7238">
        <f>IF(B7238,IF(D7238=0,H7238,Rho*I7237+SQRT(1-Rho^2)*H7238),"")</f>
        <v/>
      </c>
      <c r="J7238">
        <f>IF(B7238,IF(Dist="Normal",DistA+DistB*I7238,DistA+(DistB-DistA)*NORMSDIST(I7238)),"")</f>
        <v/>
      </c>
      <c r="K7238">
        <f>IF(B7238,INDEX(MineScale,C7238),"")</f>
        <v/>
      </c>
      <c r="L7238">
        <f>IF(B7238,INDEX(Dow,1,WEEKDAY(E7238,2)),"")</f>
        <v/>
      </c>
      <c r="M7238">
        <f>IF(B7238,(1+Trend)^D7238,"")</f>
        <v/>
      </c>
      <c r="N7238">
        <f>IF(B7238,EXP(SUMPRODUCT(LN(1+(EvEff-1)*INDEX(Affected,0,C7238)*EXP(-((E7238-EvCenter)^2)/(2*EvSigma^2))))),"")</f>
        <v/>
      </c>
      <c r="O7238">
        <f>IF(B7238,ROUND(MAX(0,J7238*K7238*L7238*M7238*N7238),2),"")</f>
        <v/>
      </c>
    </row>
    <row r="7239">
      <c r="A7239" t="n">
        <v>7238</v>
      </c>
      <c r="B7239">
        <f>A7239&lt;=MineCount*Days</f>
        <v/>
      </c>
      <c r="C7239">
        <f>IF(B7239,INT((A7239-1)/Days)+1,"")</f>
        <v/>
      </c>
      <c r="D7239">
        <f>IF(B7239,MOD(A7239-1,Days),"")</f>
        <v/>
      </c>
      <c r="E7239" s="16">
        <f>IF(B7239,StartDate+D7239,"")</f>
        <v/>
      </c>
      <c r="F7239">
        <f>IF(B7239,MAX(MOD(SIN(Seed*0.1373+C7239*12.9898+D7239*78.233)*43758.5453,1),1E-9),"")</f>
        <v/>
      </c>
      <c r="G7239">
        <f>IF(B7239,MOD(SIN(Seed*0.5917+C7239*39.3468+D7239*11.135)*24634.6345,1),"")</f>
        <v/>
      </c>
      <c r="H7239">
        <f>IF(B7239,SQRT(-2*LN(F7239))*COS(2*PI()*G7239),"")</f>
        <v/>
      </c>
      <c r="I7239">
        <f>IF(B7239,IF(D7239=0,H7239,Rho*I7238+SQRT(1-Rho^2)*H7239),"")</f>
        <v/>
      </c>
      <c r="J7239">
        <f>IF(B7239,IF(Dist="Normal",DistA+DistB*I7239,DistA+(DistB-DistA)*NORMSDIST(I7239)),"")</f>
        <v/>
      </c>
      <c r="K7239">
        <f>IF(B7239,INDEX(MineScale,C7239),"")</f>
        <v/>
      </c>
      <c r="L7239">
        <f>IF(B7239,INDEX(Dow,1,WEEKDAY(E7239,2)),"")</f>
        <v/>
      </c>
      <c r="M7239">
        <f>IF(B7239,(1+Trend)^D7239,"")</f>
        <v/>
      </c>
      <c r="N7239">
        <f>IF(B7239,EXP(SUMPRODUCT(LN(1+(EvEff-1)*INDEX(Affected,0,C7239)*EXP(-((E7239-EvCenter)^2)/(2*EvSigma^2))))),"")</f>
        <v/>
      </c>
      <c r="O7239">
        <f>IF(B7239,ROUND(MAX(0,J7239*K7239*L7239*M7239*N7239),2),"")</f>
        <v/>
      </c>
    </row>
    <row r="7240">
      <c r="A7240" t="n">
        <v>7239</v>
      </c>
      <c r="B7240">
        <f>A7240&lt;=MineCount*Days</f>
        <v/>
      </c>
      <c r="C7240">
        <f>IF(B7240,INT((A7240-1)/Days)+1,"")</f>
        <v/>
      </c>
      <c r="D7240">
        <f>IF(B7240,MOD(A7240-1,Days),"")</f>
        <v/>
      </c>
      <c r="E7240" s="16">
        <f>IF(B7240,StartDate+D7240,"")</f>
        <v/>
      </c>
      <c r="F7240">
        <f>IF(B7240,MAX(MOD(SIN(Seed*0.1373+C7240*12.9898+D7240*78.233)*43758.5453,1),1E-9),"")</f>
        <v/>
      </c>
      <c r="G7240">
        <f>IF(B7240,MOD(SIN(Seed*0.5917+C7240*39.3468+D7240*11.135)*24634.6345,1),"")</f>
        <v/>
      </c>
      <c r="H7240">
        <f>IF(B7240,SQRT(-2*LN(F7240))*COS(2*PI()*G7240),"")</f>
        <v/>
      </c>
      <c r="I7240">
        <f>IF(B7240,IF(D7240=0,H7240,Rho*I7239+SQRT(1-Rho^2)*H7240),"")</f>
        <v/>
      </c>
      <c r="J7240">
        <f>IF(B7240,IF(Dist="Normal",DistA+DistB*I7240,DistA+(DistB-DistA)*NORMSDIST(I7240)),"")</f>
        <v/>
      </c>
      <c r="K7240">
        <f>IF(B7240,INDEX(MineScale,C7240),"")</f>
        <v/>
      </c>
      <c r="L7240">
        <f>IF(B7240,INDEX(Dow,1,WEEKDAY(E7240,2)),"")</f>
        <v/>
      </c>
      <c r="M7240">
        <f>IF(B7240,(1+Trend)^D7240,"")</f>
        <v/>
      </c>
      <c r="N7240">
        <f>IF(B7240,EXP(SUMPRODUCT(LN(1+(EvEff-1)*INDEX(Affected,0,C7240)*EXP(-((E7240-EvCenter)^2)/(2*EvSigma^2))))),"")</f>
        <v/>
      </c>
      <c r="O7240">
        <f>IF(B7240,ROUND(MAX(0,J7240*K7240*L7240*M7240*N7240),2),"")</f>
        <v/>
      </c>
    </row>
    <row r="7241">
      <c r="A7241" t="n">
        <v>7240</v>
      </c>
      <c r="B7241">
        <f>A7241&lt;=MineCount*Days</f>
        <v/>
      </c>
      <c r="C7241">
        <f>IF(B7241,INT((A7241-1)/Days)+1,"")</f>
        <v/>
      </c>
      <c r="D7241">
        <f>IF(B7241,MOD(A7241-1,Days),"")</f>
        <v/>
      </c>
      <c r="E7241" s="16">
        <f>IF(B7241,StartDate+D7241,"")</f>
        <v/>
      </c>
      <c r="F7241">
        <f>IF(B7241,MAX(MOD(SIN(Seed*0.1373+C7241*12.9898+D7241*78.233)*43758.5453,1),1E-9),"")</f>
        <v/>
      </c>
      <c r="G7241">
        <f>IF(B7241,MOD(SIN(Seed*0.5917+C7241*39.3468+D7241*11.135)*24634.6345,1),"")</f>
        <v/>
      </c>
      <c r="H7241">
        <f>IF(B7241,SQRT(-2*LN(F7241))*COS(2*PI()*G7241),"")</f>
        <v/>
      </c>
      <c r="I7241">
        <f>IF(B7241,IF(D7241=0,H7241,Rho*I7240+SQRT(1-Rho^2)*H7241),"")</f>
        <v/>
      </c>
      <c r="J7241">
        <f>IF(B7241,IF(Dist="Normal",DistA+DistB*I7241,DistA+(DistB-DistA)*NORMSDIST(I7241)),"")</f>
        <v/>
      </c>
      <c r="K7241">
        <f>IF(B7241,INDEX(MineScale,C7241),"")</f>
        <v/>
      </c>
      <c r="L7241">
        <f>IF(B7241,INDEX(Dow,1,WEEKDAY(E7241,2)),"")</f>
        <v/>
      </c>
      <c r="M7241">
        <f>IF(B7241,(1+Trend)^D7241,"")</f>
        <v/>
      </c>
      <c r="N7241">
        <f>IF(B7241,EXP(SUMPRODUCT(LN(1+(EvEff-1)*INDEX(Affected,0,C7241)*EXP(-((E7241-EvCenter)^2)/(2*EvSigma^2))))),"")</f>
        <v/>
      </c>
      <c r="O7241">
        <f>IF(B7241,ROUND(MAX(0,J7241*K7241*L7241*M7241*N7241),2),"")</f>
        <v/>
      </c>
    </row>
    <row r="7242">
      <c r="A7242" t="n">
        <v>7241</v>
      </c>
      <c r="B7242">
        <f>A7242&lt;=MineCount*Days</f>
        <v/>
      </c>
      <c r="C7242">
        <f>IF(B7242,INT((A7242-1)/Days)+1,"")</f>
        <v/>
      </c>
      <c r="D7242">
        <f>IF(B7242,MOD(A7242-1,Days),"")</f>
        <v/>
      </c>
      <c r="E7242" s="16">
        <f>IF(B7242,StartDate+D7242,"")</f>
        <v/>
      </c>
      <c r="F7242">
        <f>IF(B7242,MAX(MOD(SIN(Seed*0.1373+C7242*12.9898+D7242*78.233)*43758.5453,1),1E-9),"")</f>
        <v/>
      </c>
      <c r="G7242">
        <f>IF(B7242,MOD(SIN(Seed*0.5917+C7242*39.3468+D7242*11.135)*24634.6345,1),"")</f>
        <v/>
      </c>
      <c r="H7242">
        <f>IF(B7242,SQRT(-2*LN(F7242))*COS(2*PI()*G7242),"")</f>
        <v/>
      </c>
      <c r="I7242">
        <f>IF(B7242,IF(D7242=0,H7242,Rho*I7241+SQRT(1-Rho^2)*H7242),"")</f>
        <v/>
      </c>
      <c r="J7242">
        <f>IF(B7242,IF(Dist="Normal",DistA+DistB*I7242,DistA+(DistB-DistA)*NORMSDIST(I7242)),"")</f>
        <v/>
      </c>
      <c r="K7242">
        <f>IF(B7242,INDEX(MineScale,C7242),"")</f>
        <v/>
      </c>
      <c r="L7242">
        <f>IF(B7242,INDEX(Dow,1,WEEKDAY(E7242,2)),"")</f>
        <v/>
      </c>
      <c r="M7242">
        <f>IF(B7242,(1+Trend)^D7242,"")</f>
        <v/>
      </c>
      <c r="N7242">
        <f>IF(B7242,EXP(SUMPRODUCT(LN(1+(EvEff-1)*INDEX(Affected,0,C7242)*EXP(-((E7242-EvCenter)^2)/(2*EvSigma^2))))),"")</f>
        <v/>
      </c>
      <c r="O7242">
        <f>IF(B7242,ROUND(MAX(0,J7242*K7242*L7242*M7242*N7242),2),"")</f>
        <v/>
      </c>
    </row>
    <row r="7243">
      <c r="A7243" t="n">
        <v>7242</v>
      </c>
      <c r="B7243">
        <f>A7243&lt;=MineCount*Days</f>
        <v/>
      </c>
      <c r="C7243">
        <f>IF(B7243,INT((A7243-1)/Days)+1,"")</f>
        <v/>
      </c>
      <c r="D7243">
        <f>IF(B7243,MOD(A7243-1,Days),"")</f>
        <v/>
      </c>
      <c r="E7243" s="16">
        <f>IF(B7243,StartDate+D7243,"")</f>
        <v/>
      </c>
      <c r="F7243">
        <f>IF(B7243,MAX(MOD(SIN(Seed*0.1373+C7243*12.9898+D7243*78.233)*43758.5453,1),1E-9),"")</f>
        <v/>
      </c>
      <c r="G7243">
        <f>IF(B7243,MOD(SIN(Seed*0.5917+C7243*39.3468+D7243*11.135)*24634.6345,1),"")</f>
        <v/>
      </c>
      <c r="H7243">
        <f>IF(B7243,SQRT(-2*LN(F7243))*COS(2*PI()*G7243),"")</f>
        <v/>
      </c>
      <c r="I7243">
        <f>IF(B7243,IF(D7243=0,H7243,Rho*I7242+SQRT(1-Rho^2)*H7243),"")</f>
        <v/>
      </c>
      <c r="J7243">
        <f>IF(B7243,IF(Dist="Normal",DistA+DistB*I7243,DistA+(DistB-DistA)*NORMSDIST(I7243)),"")</f>
        <v/>
      </c>
      <c r="K7243">
        <f>IF(B7243,INDEX(MineScale,C7243),"")</f>
        <v/>
      </c>
      <c r="L7243">
        <f>IF(B7243,INDEX(Dow,1,WEEKDAY(E7243,2)),"")</f>
        <v/>
      </c>
      <c r="M7243">
        <f>IF(B7243,(1+Trend)^D7243,"")</f>
        <v/>
      </c>
      <c r="N7243">
        <f>IF(B7243,EXP(SUMPRODUCT(LN(1+(EvEff-1)*INDEX(Affected,0,C7243)*EXP(-((E7243-EvCenter)^2)/(2*EvSigma^2))))),"")</f>
        <v/>
      </c>
      <c r="O7243">
        <f>IF(B7243,ROUND(MAX(0,J7243*K7243*L7243*M7243*N7243),2),"")</f>
        <v/>
      </c>
    </row>
    <row r="7244">
      <c r="A7244" t="n">
        <v>7243</v>
      </c>
      <c r="B7244">
        <f>A7244&lt;=MineCount*Days</f>
        <v/>
      </c>
      <c r="C7244">
        <f>IF(B7244,INT((A7244-1)/Days)+1,"")</f>
        <v/>
      </c>
      <c r="D7244">
        <f>IF(B7244,MOD(A7244-1,Days),"")</f>
        <v/>
      </c>
      <c r="E7244" s="16">
        <f>IF(B7244,StartDate+D7244,"")</f>
        <v/>
      </c>
      <c r="F7244">
        <f>IF(B7244,MAX(MOD(SIN(Seed*0.1373+C7244*12.9898+D7244*78.233)*43758.5453,1),1E-9),"")</f>
        <v/>
      </c>
      <c r="G7244">
        <f>IF(B7244,MOD(SIN(Seed*0.5917+C7244*39.3468+D7244*11.135)*24634.6345,1),"")</f>
        <v/>
      </c>
      <c r="H7244">
        <f>IF(B7244,SQRT(-2*LN(F7244))*COS(2*PI()*G7244),"")</f>
        <v/>
      </c>
      <c r="I7244">
        <f>IF(B7244,IF(D7244=0,H7244,Rho*I7243+SQRT(1-Rho^2)*H7244),"")</f>
        <v/>
      </c>
      <c r="J7244">
        <f>IF(B7244,IF(Dist="Normal",DistA+DistB*I7244,DistA+(DistB-DistA)*NORMSDIST(I7244)),"")</f>
        <v/>
      </c>
      <c r="K7244">
        <f>IF(B7244,INDEX(MineScale,C7244),"")</f>
        <v/>
      </c>
      <c r="L7244">
        <f>IF(B7244,INDEX(Dow,1,WEEKDAY(E7244,2)),"")</f>
        <v/>
      </c>
      <c r="M7244">
        <f>IF(B7244,(1+Trend)^D7244,"")</f>
        <v/>
      </c>
      <c r="N7244">
        <f>IF(B7244,EXP(SUMPRODUCT(LN(1+(EvEff-1)*INDEX(Affected,0,C7244)*EXP(-((E7244-EvCenter)^2)/(2*EvSigma^2))))),"")</f>
        <v/>
      </c>
      <c r="O7244">
        <f>IF(B7244,ROUND(MAX(0,J7244*K7244*L7244*M7244*N7244),2),"")</f>
        <v/>
      </c>
    </row>
    <row r="7245">
      <c r="A7245" t="n">
        <v>7244</v>
      </c>
      <c r="B7245">
        <f>A7245&lt;=MineCount*Days</f>
        <v/>
      </c>
      <c r="C7245">
        <f>IF(B7245,INT((A7245-1)/Days)+1,"")</f>
        <v/>
      </c>
      <c r="D7245">
        <f>IF(B7245,MOD(A7245-1,Days),"")</f>
        <v/>
      </c>
      <c r="E7245" s="16">
        <f>IF(B7245,StartDate+D7245,"")</f>
        <v/>
      </c>
      <c r="F7245">
        <f>IF(B7245,MAX(MOD(SIN(Seed*0.1373+C7245*12.9898+D7245*78.233)*43758.5453,1),1E-9),"")</f>
        <v/>
      </c>
      <c r="G7245">
        <f>IF(B7245,MOD(SIN(Seed*0.5917+C7245*39.3468+D7245*11.135)*24634.6345,1),"")</f>
        <v/>
      </c>
      <c r="H7245">
        <f>IF(B7245,SQRT(-2*LN(F7245))*COS(2*PI()*G7245),"")</f>
        <v/>
      </c>
      <c r="I7245">
        <f>IF(B7245,IF(D7245=0,H7245,Rho*I7244+SQRT(1-Rho^2)*H7245),"")</f>
        <v/>
      </c>
      <c r="J7245">
        <f>IF(B7245,IF(Dist="Normal",DistA+DistB*I7245,DistA+(DistB-DistA)*NORMSDIST(I7245)),"")</f>
        <v/>
      </c>
      <c r="K7245">
        <f>IF(B7245,INDEX(MineScale,C7245),"")</f>
        <v/>
      </c>
      <c r="L7245">
        <f>IF(B7245,INDEX(Dow,1,WEEKDAY(E7245,2)),"")</f>
        <v/>
      </c>
      <c r="M7245">
        <f>IF(B7245,(1+Trend)^D7245,"")</f>
        <v/>
      </c>
      <c r="N7245">
        <f>IF(B7245,EXP(SUMPRODUCT(LN(1+(EvEff-1)*INDEX(Affected,0,C7245)*EXP(-((E7245-EvCenter)^2)/(2*EvSigma^2))))),"")</f>
        <v/>
      </c>
      <c r="O7245">
        <f>IF(B7245,ROUND(MAX(0,J7245*K7245*L7245*M7245*N7245),2),"")</f>
        <v/>
      </c>
    </row>
    <row r="7246">
      <c r="A7246" t="n">
        <v>7245</v>
      </c>
      <c r="B7246">
        <f>A7246&lt;=MineCount*Days</f>
        <v/>
      </c>
      <c r="C7246">
        <f>IF(B7246,INT((A7246-1)/Days)+1,"")</f>
        <v/>
      </c>
      <c r="D7246">
        <f>IF(B7246,MOD(A7246-1,Days),"")</f>
        <v/>
      </c>
      <c r="E7246" s="16">
        <f>IF(B7246,StartDate+D7246,"")</f>
        <v/>
      </c>
      <c r="F7246">
        <f>IF(B7246,MAX(MOD(SIN(Seed*0.1373+C7246*12.9898+D7246*78.233)*43758.5453,1),1E-9),"")</f>
        <v/>
      </c>
      <c r="G7246">
        <f>IF(B7246,MOD(SIN(Seed*0.5917+C7246*39.3468+D7246*11.135)*24634.6345,1),"")</f>
        <v/>
      </c>
      <c r="H7246">
        <f>IF(B7246,SQRT(-2*LN(F7246))*COS(2*PI()*G7246),"")</f>
        <v/>
      </c>
      <c r="I7246">
        <f>IF(B7246,IF(D7246=0,H7246,Rho*I7245+SQRT(1-Rho^2)*H7246),"")</f>
        <v/>
      </c>
      <c r="J7246">
        <f>IF(B7246,IF(Dist="Normal",DistA+DistB*I7246,DistA+(DistB-DistA)*NORMSDIST(I7246)),"")</f>
        <v/>
      </c>
      <c r="K7246">
        <f>IF(B7246,INDEX(MineScale,C7246),"")</f>
        <v/>
      </c>
      <c r="L7246">
        <f>IF(B7246,INDEX(Dow,1,WEEKDAY(E7246,2)),"")</f>
        <v/>
      </c>
      <c r="M7246">
        <f>IF(B7246,(1+Trend)^D7246,"")</f>
        <v/>
      </c>
      <c r="N7246">
        <f>IF(B7246,EXP(SUMPRODUCT(LN(1+(EvEff-1)*INDEX(Affected,0,C7246)*EXP(-((E7246-EvCenter)^2)/(2*EvSigma^2))))),"")</f>
        <v/>
      </c>
      <c r="O7246">
        <f>IF(B7246,ROUND(MAX(0,J7246*K7246*L7246*M7246*N7246),2),"")</f>
        <v/>
      </c>
    </row>
    <row r="7247">
      <c r="A7247" t="n">
        <v>7246</v>
      </c>
      <c r="B7247">
        <f>A7247&lt;=MineCount*Days</f>
        <v/>
      </c>
      <c r="C7247">
        <f>IF(B7247,INT((A7247-1)/Days)+1,"")</f>
        <v/>
      </c>
      <c r="D7247">
        <f>IF(B7247,MOD(A7247-1,Days),"")</f>
        <v/>
      </c>
      <c r="E7247" s="16">
        <f>IF(B7247,StartDate+D7247,"")</f>
        <v/>
      </c>
      <c r="F7247">
        <f>IF(B7247,MAX(MOD(SIN(Seed*0.1373+C7247*12.9898+D7247*78.233)*43758.5453,1),1E-9),"")</f>
        <v/>
      </c>
      <c r="G7247">
        <f>IF(B7247,MOD(SIN(Seed*0.5917+C7247*39.3468+D7247*11.135)*24634.6345,1),"")</f>
        <v/>
      </c>
      <c r="H7247">
        <f>IF(B7247,SQRT(-2*LN(F7247))*COS(2*PI()*G7247),"")</f>
        <v/>
      </c>
      <c r="I7247">
        <f>IF(B7247,IF(D7247=0,H7247,Rho*I7246+SQRT(1-Rho^2)*H7247),"")</f>
        <v/>
      </c>
      <c r="J7247">
        <f>IF(B7247,IF(Dist="Normal",DistA+DistB*I7247,DistA+(DistB-DistA)*NORMSDIST(I7247)),"")</f>
        <v/>
      </c>
      <c r="K7247">
        <f>IF(B7247,INDEX(MineScale,C7247),"")</f>
        <v/>
      </c>
      <c r="L7247">
        <f>IF(B7247,INDEX(Dow,1,WEEKDAY(E7247,2)),"")</f>
        <v/>
      </c>
      <c r="M7247">
        <f>IF(B7247,(1+Trend)^D7247,"")</f>
        <v/>
      </c>
      <c r="N7247">
        <f>IF(B7247,EXP(SUMPRODUCT(LN(1+(EvEff-1)*INDEX(Affected,0,C7247)*EXP(-((E7247-EvCenter)^2)/(2*EvSigma^2))))),"")</f>
        <v/>
      </c>
      <c r="O7247">
        <f>IF(B7247,ROUND(MAX(0,J7247*K7247*L7247*M7247*N7247),2),"")</f>
        <v/>
      </c>
    </row>
    <row r="7248">
      <c r="A7248" t="n">
        <v>7247</v>
      </c>
      <c r="B7248">
        <f>A7248&lt;=MineCount*Days</f>
        <v/>
      </c>
      <c r="C7248">
        <f>IF(B7248,INT((A7248-1)/Days)+1,"")</f>
        <v/>
      </c>
      <c r="D7248">
        <f>IF(B7248,MOD(A7248-1,Days),"")</f>
        <v/>
      </c>
      <c r="E7248" s="16">
        <f>IF(B7248,StartDate+D7248,"")</f>
        <v/>
      </c>
      <c r="F7248">
        <f>IF(B7248,MAX(MOD(SIN(Seed*0.1373+C7248*12.9898+D7248*78.233)*43758.5453,1),1E-9),"")</f>
        <v/>
      </c>
      <c r="G7248">
        <f>IF(B7248,MOD(SIN(Seed*0.5917+C7248*39.3468+D7248*11.135)*24634.6345,1),"")</f>
        <v/>
      </c>
      <c r="H7248">
        <f>IF(B7248,SQRT(-2*LN(F7248))*COS(2*PI()*G7248),"")</f>
        <v/>
      </c>
      <c r="I7248">
        <f>IF(B7248,IF(D7248=0,H7248,Rho*I7247+SQRT(1-Rho^2)*H7248),"")</f>
        <v/>
      </c>
      <c r="J7248">
        <f>IF(B7248,IF(Dist="Normal",DistA+DistB*I7248,DistA+(DistB-DistA)*NORMSDIST(I7248)),"")</f>
        <v/>
      </c>
      <c r="K7248">
        <f>IF(B7248,INDEX(MineScale,C7248),"")</f>
        <v/>
      </c>
      <c r="L7248">
        <f>IF(B7248,INDEX(Dow,1,WEEKDAY(E7248,2)),"")</f>
        <v/>
      </c>
      <c r="M7248">
        <f>IF(B7248,(1+Trend)^D7248,"")</f>
        <v/>
      </c>
      <c r="N7248">
        <f>IF(B7248,EXP(SUMPRODUCT(LN(1+(EvEff-1)*INDEX(Affected,0,C7248)*EXP(-((E7248-EvCenter)^2)/(2*EvSigma^2))))),"")</f>
        <v/>
      </c>
      <c r="O7248">
        <f>IF(B7248,ROUND(MAX(0,J7248*K7248*L7248*M7248*N7248),2),"")</f>
        <v/>
      </c>
    </row>
    <row r="7249">
      <c r="A7249" t="n">
        <v>7248</v>
      </c>
      <c r="B7249">
        <f>A7249&lt;=MineCount*Days</f>
        <v/>
      </c>
      <c r="C7249">
        <f>IF(B7249,INT((A7249-1)/Days)+1,"")</f>
        <v/>
      </c>
      <c r="D7249">
        <f>IF(B7249,MOD(A7249-1,Days),"")</f>
        <v/>
      </c>
      <c r="E7249" s="16">
        <f>IF(B7249,StartDate+D7249,"")</f>
        <v/>
      </c>
      <c r="F7249">
        <f>IF(B7249,MAX(MOD(SIN(Seed*0.1373+C7249*12.9898+D7249*78.233)*43758.5453,1),1E-9),"")</f>
        <v/>
      </c>
      <c r="G7249">
        <f>IF(B7249,MOD(SIN(Seed*0.5917+C7249*39.3468+D7249*11.135)*24634.6345,1),"")</f>
        <v/>
      </c>
      <c r="H7249">
        <f>IF(B7249,SQRT(-2*LN(F7249))*COS(2*PI()*G7249),"")</f>
        <v/>
      </c>
      <c r="I7249">
        <f>IF(B7249,IF(D7249=0,H7249,Rho*I7248+SQRT(1-Rho^2)*H7249),"")</f>
        <v/>
      </c>
      <c r="J7249">
        <f>IF(B7249,IF(Dist="Normal",DistA+DistB*I7249,DistA+(DistB-DistA)*NORMSDIST(I7249)),"")</f>
        <v/>
      </c>
      <c r="K7249">
        <f>IF(B7249,INDEX(MineScale,C7249),"")</f>
        <v/>
      </c>
      <c r="L7249">
        <f>IF(B7249,INDEX(Dow,1,WEEKDAY(E7249,2)),"")</f>
        <v/>
      </c>
      <c r="M7249">
        <f>IF(B7249,(1+Trend)^D7249,"")</f>
        <v/>
      </c>
      <c r="N7249">
        <f>IF(B7249,EXP(SUMPRODUCT(LN(1+(EvEff-1)*INDEX(Affected,0,C7249)*EXP(-((E7249-EvCenter)^2)/(2*EvSigma^2))))),"")</f>
        <v/>
      </c>
      <c r="O7249">
        <f>IF(B7249,ROUND(MAX(0,J7249*K7249*L7249*M7249*N7249),2),"")</f>
        <v/>
      </c>
    </row>
    <row r="7250">
      <c r="A7250" t="n">
        <v>7249</v>
      </c>
      <c r="B7250">
        <f>A7250&lt;=MineCount*Days</f>
        <v/>
      </c>
      <c r="C7250">
        <f>IF(B7250,INT((A7250-1)/Days)+1,"")</f>
        <v/>
      </c>
      <c r="D7250">
        <f>IF(B7250,MOD(A7250-1,Days),"")</f>
        <v/>
      </c>
      <c r="E7250" s="16">
        <f>IF(B7250,StartDate+D7250,"")</f>
        <v/>
      </c>
      <c r="F7250">
        <f>IF(B7250,MAX(MOD(SIN(Seed*0.1373+C7250*12.9898+D7250*78.233)*43758.5453,1),1E-9),"")</f>
        <v/>
      </c>
      <c r="G7250">
        <f>IF(B7250,MOD(SIN(Seed*0.5917+C7250*39.3468+D7250*11.135)*24634.6345,1),"")</f>
        <v/>
      </c>
      <c r="H7250">
        <f>IF(B7250,SQRT(-2*LN(F7250))*COS(2*PI()*G7250),"")</f>
        <v/>
      </c>
      <c r="I7250">
        <f>IF(B7250,IF(D7250=0,H7250,Rho*I7249+SQRT(1-Rho^2)*H7250),"")</f>
        <v/>
      </c>
      <c r="J7250">
        <f>IF(B7250,IF(Dist="Normal",DistA+DistB*I7250,DistA+(DistB-DistA)*NORMSDIST(I7250)),"")</f>
        <v/>
      </c>
      <c r="K7250">
        <f>IF(B7250,INDEX(MineScale,C7250),"")</f>
        <v/>
      </c>
      <c r="L7250">
        <f>IF(B7250,INDEX(Dow,1,WEEKDAY(E7250,2)),"")</f>
        <v/>
      </c>
      <c r="M7250">
        <f>IF(B7250,(1+Trend)^D7250,"")</f>
        <v/>
      </c>
      <c r="N7250">
        <f>IF(B7250,EXP(SUMPRODUCT(LN(1+(EvEff-1)*INDEX(Affected,0,C7250)*EXP(-((E7250-EvCenter)^2)/(2*EvSigma^2))))),"")</f>
        <v/>
      </c>
      <c r="O7250">
        <f>IF(B7250,ROUND(MAX(0,J7250*K7250*L7250*M7250*N7250),2),"")</f>
        <v/>
      </c>
    </row>
    <row r="7251">
      <c r="A7251" t="n">
        <v>7250</v>
      </c>
      <c r="B7251">
        <f>A7251&lt;=MineCount*Days</f>
        <v/>
      </c>
      <c r="C7251">
        <f>IF(B7251,INT((A7251-1)/Days)+1,"")</f>
        <v/>
      </c>
      <c r="D7251">
        <f>IF(B7251,MOD(A7251-1,Days),"")</f>
        <v/>
      </c>
      <c r="E7251" s="16">
        <f>IF(B7251,StartDate+D7251,"")</f>
        <v/>
      </c>
      <c r="F7251">
        <f>IF(B7251,MAX(MOD(SIN(Seed*0.1373+C7251*12.9898+D7251*78.233)*43758.5453,1),1E-9),"")</f>
        <v/>
      </c>
      <c r="G7251">
        <f>IF(B7251,MOD(SIN(Seed*0.5917+C7251*39.3468+D7251*11.135)*24634.6345,1),"")</f>
        <v/>
      </c>
      <c r="H7251">
        <f>IF(B7251,SQRT(-2*LN(F7251))*COS(2*PI()*G7251),"")</f>
        <v/>
      </c>
      <c r="I7251">
        <f>IF(B7251,IF(D7251=0,H7251,Rho*I7250+SQRT(1-Rho^2)*H7251),"")</f>
        <v/>
      </c>
      <c r="J7251">
        <f>IF(B7251,IF(Dist="Normal",DistA+DistB*I7251,DistA+(DistB-DistA)*NORMSDIST(I7251)),"")</f>
        <v/>
      </c>
      <c r="K7251">
        <f>IF(B7251,INDEX(MineScale,C7251),"")</f>
        <v/>
      </c>
      <c r="L7251">
        <f>IF(B7251,INDEX(Dow,1,WEEKDAY(E7251,2)),"")</f>
        <v/>
      </c>
      <c r="M7251">
        <f>IF(B7251,(1+Trend)^D7251,"")</f>
        <v/>
      </c>
      <c r="N7251">
        <f>IF(B7251,EXP(SUMPRODUCT(LN(1+(EvEff-1)*INDEX(Affected,0,C7251)*EXP(-((E7251-EvCenter)^2)/(2*EvSigma^2))))),"")</f>
        <v/>
      </c>
      <c r="O7251">
        <f>IF(B7251,ROUND(MAX(0,J7251*K7251*L7251*M7251*N7251),2),"")</f>
        <v/>
      </c>
    </row>
    <row r="7252">
      <c r="A7252" t="n">
        <v>7251</v>
      </c>
      <c r="B7252">
        <f>A7252&lt;=MineCount*Days</f>
        <v/>
      </c>
      <c r="C7252">
        <f>IF(B7252,INT((A7252-1)/Days)+1,"")</f>
        <v/>
      </c>
      <c r="D7252">
        <f>IF(B7252,MOD(A7252-1,Days),"")</f>
        <v/>
      </c>
      <c r="E7252" s="16">
        <f>IF(B7252,StartDate+D7252,"")</f>
        <v/>
      </c>
      <c r="F7252">
        <f>IF(B7252,MAX(MOD(SIN(Seed*0.1373+C7252*12.9898+D7252*78.233)*43758.5453,1),1E-9),"")</f>
        <v/>
      </c>
      <c r="G7252">
        <f>IF(B7252,MOD(SIN(Seed*0.5917+C7252*39.3468+D7252*11.135)*24634.6345,1),"")</f>
        <v/>
      </c>
      <c r="H7252">
        <f>IF(B7252,SQRT(-2*LN(F7252))*COS(2*PI()*G7252),"")</f>
        <v/>
      </c>
      <c r="I7252">
        <f>IF(B7252,IF(D7252=0,H7252,Rho*I7251+SQRT(1-Rho^2)*H7252),"")</f>
        <v/>
      </c>
      <c r="J7252">
        <f>IF(B7252,IF(Dist="Normal",DistA+DistB*I7252,DistA+(DistB-DistA)*NORMSDIST(I7252)),"")</f>
        <v/>
      </c>
      <c r="K7252">
        <f>IF(B7252,INDEX(MineScale,C7252),"")</f>
        <v/>
      </c>
      <c r="L7252">
        <f>IF(B7252,INDEX(Dow,1,WEEKDAY(E7252,2)),"")</f>
        <v/>
      </c>
      <c r="M7252">
        <f>IF(B7252,(1+Trend)^D7252,"")</f>
        <v/>
      </c>
      <c r="N7252">
        <f>IF(B7252,EXP(SUMPRODUCT(LN(1+(EvEff-1)*INDEX(Affected,0,C7252)*EXP(-((E7252-EvCenter)^2)/(2*EvSigma^2))))),"")</f>
        <v/>
      </c>
      <c r="O7252">
        <f>IF(B7252,ROUND(MAX(0,J7252*K7252*L7252*M7252*N7252),2),"")</f>
        <v/>
      </c>
    </row>
    <row r="7253">
      <c r="A7253" t="n">
        <v>7252</v>
      </c>
      <c r="B7253">
        <f>A7253&lt;=MineCount*Days</f>
        <v/>
      </c>
      <c r="C7253">
        <f>IF(B7253,INT((A7253-1)/Days)+1,"")</f>
        <v/>
      </c>
      <c r="D7253">
        <f>IF(B7253,MOD(A7253-1,Days),"")</f>
        <v/>
      </c>
      <c r="E7253" s="16">
        <f>IF(B7253,StartDate+D7253,"")</f>
        <v/>
      </c>
      <c r="F7253">
        <f>IF(B7253,MAX(MOD(SIN(Seed*0.1373+C7253*12.9898+D7253*78.233)*43758.5453,1),1E-9),"")</f>
        <v/>
      </c>
      <c r="G7253">
        <f>IF(B7253,MOD(SIN(Seed*0.5917+C7253*39.3468+D7253*11.135)*24634.6345,1),"")</f>
        <v/>
      </c>
      <c r="H7253">
        <f>IF(B7253,SQRT(-2*LN(F7253))*COS(2*PI()*G7253),"")</f>
        <v/>
      </c>
      <c r="I7253">
        <f>IF(B7253,IF(D7253=0,H7253,Rho*I7252+SQRT(1-Rho^2)*H7253),"")</f>
        <v/>
      </c>
      <c r="J7253">
        <f>IF(B7253,IF(Dist="Normal",DistA+DistB*I7253,DistA+(DistB-DistA)*NORMSDIST(I7253)),"")</f>
        <v/>
      </c>
      <c r="K7253">
        <f>IF(B7253,INDEX(MineScale,C7253),"")</f>
        <v/>
      </c>
      <c r="L7253">
        <f>IF(B7253,INDEX(Dow,1,WEEKDAY(E7253,2)),"")</f>
        <v/>
      </c>
      <c r="M7253">
        <f>IF(B7253,(1+Trend)^D7253,"")</f>
        <v/>
      </c>
      <c r="N7253">
        <f>IF(B7253,EXP(SUMPRODUCT(LN(1+(EvEff-1)*INDEX(Affected,0,C7253)*EXP(-((E7253-EvCenter)^2)/(2*EvSigma^2))))),"")</f>
        <v/>
      </c>
      <c r="O7253">
        <f>IF(B7253,ROUND(MAX(0,J7253*K7253*L7253*M7253*N7253),2),"")</f>
        <v/>
      </c>
    </row>
    <row r="7254">
      <c r="A7254" t="n">
        <v>7253</v>
      </c>
      <c r="B7254">
        <f>A7254&lt;=MineCount*Days</f>
        <v/>
      </c>
      <c r="C7254">
        <f>IF(B7254,INT((A7254-1)/Days)+1,"")</f>
        <v/>
      </c>
      <c r="D7254">
        <f>IF(B7254,MOD(A7254-1,Days),"")</f>
        <v/>
      </c>
      <c r="E7254" s="16">
        <f>IF(B7254,StartDate+D7254,"")</f>
        <v/>
      </c>
      <c r="F7254">
        <f>IF(B7254,MAX(MOD(SIN(Seed*0.1373+C7254*12.9898+D7254*78.233)*43758.5453,1),1E-9),"")</f>
        <v/>
      </c>
      <c r="G7254">
        <f>IF(B7254,MOD(SIN(Seed*0.5917+C7254*39.3468+D7254*11.135)*24634.6345,1),"")</f>
        <v/>
      </c>
      <c r="H7254">
        <f>IF(B7254,SQRT(-2*LN(F7254))*COS(2*PI()*G7254),"")</f>
        <v/>
      </c>
      <c r="I7254">
        <f>IF(B7254,IF(D7254=0,H7254,Rho*I7253+SQRT(1-Rho^2)*H7254),"")</f>
        <v/>
      </c>
      <c r="J7254">
        <f>IF(B7254,IF(Dist="Normal",DistA+DistB*I7254,DistA+(DistB-DistA)*NORMSDIST(I7254)),"")</f>
        <v/>
      </c>
      <c r="K7254">
        <f>IF(B7254,INDEX(MineScale,C7254),"")</f>
        <v/>
      </c>
      <c r="L7254">
        <f>IF(B7254,INDEX(Dow,1,WEEKDAY(E7254,2)),"")</f>
        <v/>
      </c>
      <c r="M7254">
        <f>IF(B7254,(1+Trend)^D7254,"")</f>
        <v/>
      </c>
      <c r="N7254">
        <f>IF(B7254,EXP(SUMPRODUCT(LN(1+(EvEff-1)*INDEX(Affected,0,C7254)*EXP(-((E7254-EvCenter)^2)/(2*EvSigma^2))))),"")</f>
        <v/>
      </c>
      <c r="O7254">
        <f>IF(B7254,ROUND(MAX(0,J7254*K7254*L7254*M7254*N7254),2),"")</f>
        <v/>
      </c>
    </row>
    <row r="7255">
      <c r="A7255" t="n">
        <v>7254</v>
      </c>
      <c r="B7255">
        <f>A7255&lt;=MineCount*Days</f>
        <v/>
      </c>
      <c r="C7255">
        <f>IF(B7255,INT((A7255-1)/Days)+1,"")</f>
        <v/>
      </c>
      <c r="D7255">
        <f>IF(B7255,MOD(A7255-1,Days),"")</f>
        <v/>
      </c>
      <c r="E7255" s="16">
        <f>IF(B7255,StartDate+D7255,"")</f>
        <v/>
      </c>
      <c r="F7255">
        <f>IF(B7255,MAX(MOD(SIN(Seed*0.1373+C7255*12.9898+D7255*78.233)*43758.5453,1),1E-9),"")</f>
        <v/>
      </c>
      <c r="G7255">
        <f>IF(B7255,MOD(SIN(Seed*0.5917+C7255*39.3468+D7255*11.135)*24634.6345,1),"")</f>
        <v/>
      </c>
      <c r="H7255">
        <f>IF(B7255,SQRT(-2*LN(F7255))*COS(2*PI()*G7255),"")</f>
        <v/>
      </c>
      <c r="I7255">
        <f>IF(B7255,IF(D7255=0,H7255,Rho*I7254+SQRT(1-Rho^2)*H7255),"")</f>
        <v/>
      </c>
      <c r="J7255">
        <f>IF(B7255,IF(Dist="Normal",DistA+DistB*I7255,DistA+(DistB-DistA)*NORMSDIST(I7255)),"")</f>
        <v/>
      </c>
      <c r="K7255">
        <f>IF(B7255,INDEX(MineScale,C7255),"")</f>
        <v/>
      </c>
      <c r="L7255">
        <f>IF(B7255,INDEX(Dow,1,WEEKDAY(E7255,2)),"")</f>
        <v/>
      </c>
      <c r="M7255">
        <f>IF(B7255,(1+Trend)^D7255,"")</f>
        <v/>
      </c>
      <c r="N7255">
        <f>IF(B7255,EXP(SUMPRODUCT(LN(1+(EvEff-1)*INDEX(Affected,0,C7255)*EXP(-((E7255-EvCenter)^2)/(2*EvSigma^2))))),"")</f>
        <v/>
      </c>
      <c r="O7255">
        <f>IF(B7255,ROUND(MAX(0,J7255*K7255*L7255*M7255*N7255),2),"")</f>
        <v/>
      </c>
    </row>
    <row r="7256">
      <c r="A7256" t="n">
        <v>7255</v>
      </c>
      <c r="B7256">
        <f>A7256&lt;=MineCount*Days</f>
        <v/>
      </c>
      <c r="C7256">
        <f>IF(B7256,INT((A7256-1)/Days)+1,"")</f>
        <v/>
      </c>
      <c r="D7256">
        <f>IF(B7256,MOD(A7256-1,Days),"")</f>
        <v/>
      </c>
      <c r="E7256" s="16">
        <f>IF(B7256,StartDate+D7256,"")</f>
        <v/>
      </c>
      <c r="F7256">
        <f>IF(B7256,MAX(MOD(SIN(Seed*0.1373+C7256*12.9898+D7256*78.233)*43758.5453,1),1E-9),"")</f>
        <v/>
      </c>
      <c r="G7256">
        <f>IF(B7256,MOD(SIN(Seed*0.5917+C7256*39.3468+D7256*11.135)*24634.6345,1),"")</f>
        <v/>
      </c>
      <c r="H7256">
        <f>IF(B7256,SQRT(-2*LN(F7256))*COS(2*PI()*G7256),"")</f>
        <v/>
      </c>
      <c r="I7256">
        <f>IF(B7256,IF(D7256=0,H7256,Rho*I7255+SQRT(1-Rho^2)*H7256),"")</f>
        <v/>
      </c>
      <c r="J7256">
        <f>IF(B7256,IF(Dist="Normal",DistA+DistB*I7256,DistA+(DistB-DistA)*NORMSDIST(I7256)),"")</f>
        <v/>
      </c>
      <c r="K7256">
        <f>IF(B7256,INDEX(MineScale,C7256),"")</f>
        <v/>
      </c>
      <c r="L7256">
        <f>IF(B7256,INDEX(Dow,1,WEEKDAY(E7256,2)),"")</f>
        <v/>
      </c>
      <c r="M7256">
        <f>IF(B7256,(1+Trend)^D7256,"")</f>
        <v/>
      </c>
      <c r="N7256">
        <f>IF(B7256,EXP(SUMPRODUCT(LN(1+(EvEff-1)*INDEX(Affected,0,C7256)*EXP(-((E7256-EvCenter)^2)/(2*EvSigma^2))))),"")</f>
        <v/>
      </c>
      <c r="O7256">
        <f>IF(B7256,ROUND(MAX(0,J7256*K7256*L7256*M7256*N7256),2),"")</f>
        <v/>
      </c>
    </row>
    <row r="7257">
      <c r="A7257" t="n">
        <v>7256</v>
      </c>
      <c r="B7257">
        <f>A7257&lt;=MineCount*Days</f>
        <v/>
      </c>
      <c r="C7257">
        <f>IF(B7257,INT((A7257-1)/Days)+1,"")</f>
        <v/>
      </c>
      <c r="D7257">
        <f>IF(B7257,MOD(A7257-1,Days),"")</f>
        <v/>
      </c>
      <c r="E7257" s="16">
        <f>IF(B7257,StartDate+D7257,"")</f>
        <v/>
      </c>
      <c r="F7257">
        <f>IF(B7257,MAX(MOD(SIN(Seed*0.1373+C7257*12.9898+D7257*78.233)*43758.5453,1),1E-9),"")</f>
        <v/>
      </c>
      <c r="G7257">
        <f>IF(B7257,MOD(SIN(Seed*0.5917+C7257*39.3468+D7257*11.135)*24634.6345,1),"")</f>
        <v/>
      </c>
      <c r="H7257">
        <f>IF(B7257,SQRT(-2*LN(F7257))*COS(2*PI()*G7257),"")</f>
        <v/>
      </c>
      <c r="I7257">
        <f>IF(B7257,IF(D7257=0,H7257,Rho*I7256+SQRT(1-Rho^2)*H7257),"")</f>
        <v/>
      </c>
      <c r="J7257">
        <f>IF(B7257,IF(Dist="Normal",DistA+DistB*I7257,DistA+(DistB-DistA)*NORMSDIST(I7257)),"")</f>
        <v/>
      </c>
      <c r="K7257">
        <f>IF(B7257,INDEX(MineScale,C7257),"")</f>
        <v/>
      </c>
      <c r="L7257">
        <f>IF(B7257,INDEX(Dow,1,WEEKDAY(E7257,2)),"")</f>
        <v/>
      </c>
      <c r="M7257">
        <f>IF(B7257,(1+Trend)^D7257,"")</f>
        <v/>
      </c>
      <c r="N7257">
        <f>IF(B7257,EXP(SUMPRODUCT(LN(1+(EvEff-1)*INDEX(Affected,0,C7257)*EXP(-((E7257-EvCenter)^2)/(2*EvSigma^2))))),"")</f>
        <v/>
      </c>
      <c r="O7257">
        <f>IF(B7257,ROUND(MAX(0,J7257*K7257*L7257*M7257*N7257),2),"")</f>
        <v/>
      </c>
    </row>
    <row r="7258">
      <c r="A7258" t="n">
        <v>7257</v>
      </c>
      <c r="B7258">
        <f>A7258&lt;=MineCount*Days</f>
        <v/>
      </c>
      <c r="C7258">
        <f>IF(B7258,INT((A7258-1)/Days)+1,"")</f>
        <v/>
      </c>
      <c r="D7258">
        <f>IF(B7258,MOD(A7258-1,Days),"")</f>
        <v/>
      </c>
      <c r="E7258" s="16">
        <f>IF(B7258,StartDate+D7258,"")</f>
        <v/>
      </c>
      <c r="F7258">
        <f>IF(B7258,MAX(MOD(SIN(Seed*0.1373+C7258*12.9898+D7258*78.233)*43758.5453,1),1E-9),"")</f>
        <v/>
      </c>
      <c r="G7258">
        <f>IF(B7258,MOD(SIN(Seed*0.5917+C7258*39.3468+D7258*11.135)*24634.6345,1),"")</f>
        <v/>
      </c>
      <c r="H7258">
        <f>IF(B7258,SQRT(-2*LN(F7258))*COS(2*PI()*G7258),"")</f>
        <v/>
      </c>
      <c r="I7258">
        <f>IF(B7258,IF(D7258=0,H7258,Rho*I7257+SQRT(1-Rho^2)*H7258),"")</f>
        <v/>
      </c>
      <c r="J7258">
        <f>IF(B7258,IF(Dist="Normal",DistA+DistB*I7258,DistA+(DistB-DistA)*NORMSDIST(I7258)),"")</f>
        <v/>
      </c>
      <c r="K7258">
        <f>IF(B7258,INDEX(MineScale,C7258),"")</f>
        <v/>
      </c>
      <c r="L7258">
        <f>IF(B7258,INDEX(Dow,1,WEEKDAY(E7258,2)),"")</f>
        <v/>
      </c>
      <c r="M7258">
        <f>IF(B7258,(1+Trend)^D7258,"")</f>
        <v/>
      </c>
      <c r="N7258">
        <f>IF(B7258,EXP(SUMPRODUCT(LN(1+(EvEff-1)*INDEX(Affected,0,C7258)*EXP(-((E7258-EvCenter)^2)/(2*EvSigma^2))))),"")</f>
        <v/>
      </c>
      <c r="O7258">
        <f>IF(B7258,ROUND(MAX(0,J7258*K7258*L7258*M7258*N7258),2),"")</f>
        <v/>
      </c>
    </row>
    <row r="7259">
      <c r="A7259" t="n">
        <v>7258</v>
      </c>
      <c r="B7259">
        <f>A7259&lt;=MineCount*Days</f>
        <v/>
      </c>
      <c r="C7259">
        <f>IF(B7259,INT((A7259-1)/Days)+1,"")</f>
        <v/>
      </c>
      <c r="D7259">
        <f>IF(B7259,MOD(A7259-1,Days),"")</f>
        <v/>
      </c>
      <c r="E7259" s="16">
        <f>IF(B7259,StartDate+D7259,"")</f>
        <v/>
      </c>
      <c r="F7259">
        <f>IF(B7259,MAX(MOD(SIN(Seed*0.1373+C7259*12.9898+D7259*78.233)*43758.5453,1),1E-9),"")</f>
        <v/>
      </c>
      <c r="G7259">
        <f>IF(B7259,MOD(SIN(Seed*0.5917+C7259*39.3468+D7259*11.135)*24634.6345,1),"")</f>
        <v/>
      </c>
      <c r="H7259">
        <f>IF(B7259,SQRT(-2*LN(F7259))*COS(2*PI()*G7259),"")</f>
        <v/>
      </c>
      <c r="I7259">
        <f>IF(B7259,IF(D7259=0,H7259,Rho*I7258+SQRT(1-Rho^2)*H7259),"")</f>
        <v/>
      </c>
      <c r="J7259">
        <f>IF(B7259,IF(Dist="Normal",DistA+DistB*I7259,DistA+(DistB-DistA)*NORMSDIST(I7259)),"")</f>
        <v/>
      </c>
      <c r="K7259">
        <f>IF(B7259,INDEX(MineScale,C7259),"")</f>
        <v/>
      </c>
      <c r="L7259">
        <f>IF(B7259,INDEX(Dow,1,WEEKDAY(E7259,2)),"")</f>
        <v/>
      </c>
      <c r="M7259">
        <f>IF(B7259,(1+Trend)^D7259,"")</f>
        <v/>
      </c>
      <c r="N7259">
        <f>IF(B7259,EXP(SUMPRODUCT(LN(1+(EvEff-1)*INDEX(Affected,0,C7259)*EXP(-((E7259-EvCenter)^2)/(2*EvSigma^2))))),"")</f>
        <v/>
      </c>
      <c r="O7259">
        <f>IF(B7259,ROUND(MAX(0,J7259*K7259*L7259*M7259*N7259),2),"")</f>
        <v/>
      </c>
    </row>
    <row r="7260">
      <c r="A7260" t="n">
        <v>7259</v>
      </c>
      <c r="B7260">
        <f>A7260&lt;=MineCount*Days</f>
        <v/>
      </c>
      <c r="C7260">
        <f>IF(B7260,INT((A7260-1)/Days)+1,"")</f>
        <v/>
      </c>
      <c r="D7260">
        <f>IF(B7260,MOD(A7260-1,Days),"")</f>
        <v/>
      </c>
      <c r="E7260" s="16">
        <f>IF(B7260,StartDate+D7260,"")</f>
        <v/>
      </c>
      <c r="F7260">
        <f>IF(B7260,MAX(MOD(SIN(Seed*0.1373+C7260*12.9898+D7260*78.233)*43758.5453,1),1E-9),"")</f>
        <v/>
      </c>
      <c r="G7260">
        <f>IF(B7260,MOD(SIN(Seed*0.5917+C7260*39.3468+D7260*11.135)*24634.6345,1),"")</f>
        <v/>
      </c>
      <c r="H7260">
        <f>IF(B7260,SQRT(-2*LN(F7260))*COS(2*PI()*G7260),"")</f>
        <v/>
      </c>
      <c r="I7260">
        <f>IF(B7260,IF(D7260=0,H7260,Rho*I7259+SQRT(1-Rho^2)*H7260),"")</f>
        <v/>
      </c>
      <c r="J7260">
        <f>IF(B7260,IF(Dist="Normal",DistA+DistB*I7260,DistA+(DistB-DistA)*NORMSDIST(I7260)),"")</f>
        <v/>
      </c>
      <c r="K7260">
        <f>IF(B7260,INDEX(MineScale,C7260),"")</f>
        <v/>
      </c>
      <c r="L7260">
        <f>IF(B7260,INDEX(Dow,1,WEEKDAY(E7260,2)),"")</f>
        <v/>
      </c>
      <c r="M7260">
        <f>IF(B7260,(1+Trend)^D7260,"")</f>
        <v/>
      </c>
      <c r="N7260">
        <f>IF(B7260,EXP(SUMPRODUCT(LN(1+(EvEff-1)*INDEX(Affected,0,C7260)*EXP(-((E7260-EvCenter)^2)/(2*EvSigma^2))))),"")</f>
        <v/>
      </c>
      <c r="O7260">
        <f>IF(B7260,ROUND(MAX(0,J7260*K7260*L7260*M7260*N7260),2),"")</f>
        <v/>
      </c>
    </row>
    <row r="7261">
      <c r="A7261" t="n">
        <v>7260</v>
      </c>
      <c r="B7261">
        <f>A7261&lt;=MineCount*Days</f>
        <v/>
      </c>
      <c r="C7261">
        <f>IF(B7261,INT((A7261-1)/Days)+1,"")</f>
        <v/>
      </c>
      <c r="D7261">
        <f>IF(B7261,MOD(A7261-1,Days),"")</f>
        <v/>
      </c>
      <c r="E7261" s="16">
        <f>IF(B7261,StartDate+D7261,"")</f>
        <v/>
      </c>
      <c r="F7261">
        <f>IF(B7261,MAX(MOD(SIN(Seed*0.1373+C7261*12.9898+D7261*78.233)*43758.5453,1),1E-9),"")</f>
        <v/>
      </c>
      <c r="G7261">
        <f>IF(B7261,MOD(SIN(Seed*0.5917+C7261*39.3468+D7261*11.135)*24634.6345,1),"")</f>
        <v/>
      </c>
      <c r="H7261">
        <f>IF(B7261,SQRT(-2*LN(F7261))*COS(2*PI()*G7261),"")</f>
        <v/>
      </c>
      <c r="I7261">
        <f>IF(B7261,IF(D7261=0,H7261,Rho*I7260+SQRT(1-Rho^2)*H7261),"")</f>
        <v/>
      </c>
      <c r="J7261">
        <f>IF(B7261,IF(Dist="Normal",DistA+DistB*I7261,DistA+(DistB-DistA)*NORMSDIST(I7261)),"")</f>
        <v/>
      </c>
      <c r="K7261">
        <f>IF(B7261,INDEX(MineScale,C7261),"")</f>
        <v/>
      </c>
      <c r="L7261">
        <f>IF(B7261,INDEX(Dow,1,WEEKDAY(E7261,2)),"")</f>
        <v/>
      </c>
      <c r="M7261">
        <f>IF(B7261,(1+Trend)^D7261,"")</f>
        <v/>
      </c>
      <c r="N7261">
        <f>IF(B7261,EXP(SUMPRODUCT(LN(1+(EvEff-1)*INDEX(Affected,0,C7261)*EXP(-((E7261-EvCenter)^2)/(2*EvSigma^2))))),"")</f>
        <v/>
      </c>
      <c r="O7261">
        <f>IF(B7261,ROUND(MAX(0,J7261*K7261*L7261*M7261*N7261),2),"")</f>
        <v/>
      </c>
    </row>
    <row r="7262">
      <c r="A7262" t="n">
        <v>7261</v>
      </c>
      <c r="B7262">
        <f>A7262&lt;=MineCount*Days</f>
        <v/>
      </c>
      <c r="C7262">
        <f>IF(B7262,INT((A7262-1)/Days)+1,"")</f>
        <v/>
      </c>
      <c r="D7262">
        <f>IF(B7262,MOD(A7262-1,Days),"")</f>
        <v/>
      </c>
      <c r="E7262" s="16">
        <f>IF(B7262,StartDate+D7262,"")</f>
        <v/>
      </c>
      <c r="F7262">
        <f>IF(B7262,MAX(MOD(SIN(Seed*0.1373+C7262*12.9898+D7262*78.233)*43758.5453,1),1E-9),"")</f>
        <v/>
      </c>
      <c r="G7262">
        <f>IF(B7262,MOD(SIN(Seed*0.5917+C7262*39.3468+D7262*11.135)*24634.6345,1),"")</f>
        <v/>
      </c>
      <c r="H7262">
        <f>IF(B7262,SQRT(-2*LN(F7262))*COS(2*PI()*G7262),"")</f>
        <v/>
      </c>
      <c r="I7262">
        <f>IF(B7262,IF(D7262=0,H7262,Rho*I7261+SQRT(1-Rho^2)*H7262),"")</f>
        <v/>
      </c>
      <c r="J7262">
        <f>IF(B7262,IF(Dist="Normal",DistA+DistB*I7262,DistA+(DistB-DistA)*NORMSDIST(I7262)),"")</f>
        <v/>
      </c>
      <c r="K7262">
        <f>IF(B7262,INDEX(MineScale,C7262),"")</f>
        <v/>
      </c>
      <c r="L7262">
        <f>IF(B7262,INDEX(Dow,1,WEEKDAY(E7262,2)),"")</f>
        <v/>
      </c>
      <c r="M7262">
        <f>IF(B7262,(1+Trend)^D7262,"")</f>
        <v/>
      </c>
      <c r="N7262">
        <f>IF(B7262,EXP(SUMPRODUCT(LN(1+(EvEff-1)*INDEX(Affected,0,C7262)*EXP(-((E7262-EvCenter)^2)/(2*EvSigma^2))))),"")</f>
        <v/>
      </c>
      <c r="O7262">
        <f>IF(B7262,ROUND(MAX(0,J7262*K7262*L7262*M7262*N7262),2),"")</f>
        <v/>
      </c>
    </row>
    <row r="7263">
      <c r="A7263" t="n">
        <v>7262</v>
      </c>
      <c r="B7263">
        <f>A7263&lt;=MineCount*Days</f>
        <v/>
      </c>
      <c r="C7263">
        <f>IF(B7263,INT((A7263-1)/Days)+1,"")</f>
        <v/>
      </c>
      <c r="D7263">
        <f>IF(B7263,MOD(A7263-1,Days),"")</f>
        <v/>
      </c>
      <c r="E7263" s="16">
        <f>IF(B7263,StartDate+D7263,"")</f>
        <v/>
      </c>
      <c r="F7263">
        <f>IF(B7263,MAX(MOD(SIN(Seed*0.1373+C7263*12.9898+D7263*78.233)*43758.5453,1),1E-9),"")</f>
        <v/>
      </c>
      <c r="G7263">
        <f>IF(B7263,MOD(SIN(Seed*0.5917+C7263*39.3468+D7263*11.135)*24634.6345,1),"")</f>
        <v/>
      </c>
      <c r="H7263">
        <f>IF(B7263,SQRT(-2*LN(F7263))*COS(2*PI()*G7263),"")</f>
        <v/>
      </c>
      <c r="I7263">
        <f>IF(B7263,IF(D7263=0,H7263,Rho*I7262+SQRT(1-Rho^2)*H7263),"")</f>
        <v/>
      </c>
      <c r="J7263">
        <f>IF(B7263,IF(Dist="Normal",DistA+DistB*I7263,DistA+(DistB-DistA)*NORMSDIST(I7263)),"")</f>
        <v/>
      </c>
      <c r="K7263">
        <f>IF(B7263,INDEX(MineScale,C7263),"")</f>
        <v/>
      </c>
      <c r="L7263">
        <f>IF(B7263,INDEX(Dow,1,WEEKDAY(E7263,2)),"")</f>
        <v/>
      </c>
      <c r="M7263">
        <f>IF(B7263,(1+Trend)^D7263,"")</f>
        <v/>
      </c>
      <c r="N7263">
        <f>IF(B7263,EXP(SUMPRODUCT(LN(1+(EvEff-1)*INDEX(Affected,0,C7263)*EXP(-((E7263-EvCenter)^2)/(2*EvSigma^2))))),"")</f>
        <v/>
      </c>
      <c r="O7263">
        <f>IF(B7263,ROUND(MAX(0,J7263*K7263*L7263*M7263*N7263),2),"")</f>
        <v/>
      </c>
    </row>
    <row r="7264">
      <c r="A7264" t="n">
        <v>7263</v>
      </c>
      <c r="B7264">
        <f>A7264&lt;=MineCount*Days</f>
        <v/>
      </c>
      <c r="C7264">
        <f>IF(B7264,INT((A7264-1)/Days)+1,"")</f>
        <v/>
      </c>
      <c r="D7264">
        <f>IF(B7264,MOD(A7264-1,Days),"")</f>
        <v/>
      </c>
      <c r="E7264" s="16">
        <f>IF(B7264,StartDate+D7264,"")</f>
        <v/>
      </c>
      <c r="F7264">
        <f>IF(B7264,MAX(MOD(SIN(Seed*0.1373+C7264*12.9898+D7264*78.233)*43758.5453,1),1E-9),"")</f>
        <v/>
      </c>
      <c r="G7264">
        <f>IF(B7264,MOD(SIN(Seed*0.5917+C7264*39.3468+D7264*11.135)*24634.6345,1),"")</f>
        <v/>
      </c>
      <c r="H7264">
        <f>IF(B7264,SQRT(-2*LN(F7264))*COS(2*PI()*G7264),"")</f>
        <v/>
      </c>
      <c r="I7264">
        <f>IF(B7264,IF(D7264=0,H7264,Rho*I7263+SQRT(1-Rho^2)*H7264),"")</f>
        <v/>
      </c>
      <c r="J7264">
        <f>IF(B7264,IF(Dist="Normal",DistA+DistB*I7264,DistA+(DistB-DistA)*NORMSDIST(I7264)),"")</f>
        <v/>
      </c>
      <c r="K7264">
        <f>IF(B7264,INDEX(MineScale,C7264),"")</f>
        <v/>
      </c>
      <c r="L7264">
        <f>IF(B7264,INDEX(Dow,1,WEEKDAY(E7264,2)),"")</f>
        <v/>
      </c>
      <c r="M7264">
        <f>IF(B7264,(1+Trend)^D7264,"")</f>
        <v/>
      </c>
      <c r="N7264">
        <f>IF(B7264,EXP(SUMPRODUCT(LN(1+(EvEff-1)*INDEX(Affected,0,C7264)*EXP(-((E7264-EvCenter)^2)/(2*EvSigma^2))))),"")</f>
        <v/>
      </c>
      <c r="O7264">
        <f>IF(B7264,ROUND(MAX(0,J7264*K7264*L7264*M7264*N7264),2),"")</f>
        <v/>
      </c>
    </row>
    <row r="7265">
      <c r="A7265" t="n">
        <v>7264</v>
      </c>
      <c r="B7265">
        <f>A7265&lt;=MineCount*Days</f>
        <v/>
      </c>
      <c r="C7265">
        <f>IF(B7265,INT((A7265-1)/Days)+1,"")</f>
        <v/>
      </c>
      <c r="D7265">
        <f>IF(B7265,MOD(A7265-1,Days),"")</f>
        <v/>
      </c>
      <c r="E7265" s="16">
        <f>IF(B7265,StartDate+D7265,"")</f>
        <v/>
      </c>
      <c r="F7265">
        <f>IF(B7265,MAX(MOD(SIN(Seed*0.1373+C7265*12.9898+D7265*78.233)*43758.5453,1),1E-9),"")</f>
        <v/>
      </c>
      <c r="G7265">
        <f>IF(B7265,MOD(SIN(Seed*0.5917+C7265*39.3468+D7265*11.135)*24634.6345,1),"")</f>
        <v/>
      </c>
      <c r="H7265">
        <f>IF(B7265,SQRT(-2*LN(F7265))*COS(2*PI()*G7265),"")</f>
        <v/>
      </c>
      <c r="I7265">
        <f>IF(B7265,IF(D7265=0,H7265,Rho*I7264+SQRT(1-Rho^2)*H7265),"")</f>
        <v/>
      </c>
      <c r="J7265">
        <f>IF(B7265,IF(Dist="Normal",DistA+DistB*I7265,DistA+(DistB-DistA)*NORMSDIST(I7265)),"")</f>
        <v/>
      </c>
      <c r="K7265">
        <f>IF(B7265,INDEX(MineScale,C7265),"")</f>
        <v/>
      </c>
      <c r="L7265">
        <f>IF(B7265,INDEX(Dow,1,WEEKDAY(E7265,2)),"")</f>
        <v/>
      </c>
      <c r="M7265">
        <f>IF(B7265,(1+Trend)^D7265,"")</f>
        <v/>
      </c>
      <c r="N7265">
        <f>IF(B7265,EXP(SUMPRODUCT(LN(1+(EvEff-1)*INDEX(Affected,0,C7265)*EXP(-((E7265-EvCenter)^2)/(2*EvSigma^2))))),"")</f>
        <v/>
      </c>
      <c r="O7265">
        <f>IF(B7265,ROUND(MAX(0,J7265*K7265*L7265*M7265*N7265),2),"")</f>
        <v/>
      </c>
    </row>
    <row r="7266">
      <c r="A7266" t="n">
        <v>7265</v>
      </c>
      <c r="B7266">
        <f>A7266&lt;=MineCount*Days</f>
        <v/>
      </c>
      <c r="C7266">
        <f>IF(B7266,INT((A7266-1)/Days)+1,"")</f>
        <v/>
      </c>
      <c r="D7266">
        <f>IF(B7266,MOD(A7266-1,Days),"")</f>
        <v/>
      </c>
      <c r="E7266" s="16">
        <f>IF(B7266,StartDate+D7266,"")</f>
        <v/>
      </c>
      <c r="F7266">
        <f>IF(B7266,MAX(MOD(SIN(Seed*0.1373+C7266*12.9898+D7266*78.233)*43758.5453,1),1E-9),"")</f>
        <v/>
      </c>
      <c r="G7266">
        <f>IF(B7266,MOD(SIN(Seed*0.5917+C7266*39.3468+D7266*11.135)*24634.6345,1),"")</f>
        <v/>
      </c>
      <c r="H7266">
        <f>IF(B7266,SQRT(-2*LN(F7266))*COS(2*PI()*G7266),"")</f>
        <v/>
      </c>
      <c r="I7266">
        <f>IF(B7266,IF(D7266=0,H7266,Rho*I7265+SQRT(1-Rho^2)*H7266),"")</f>
        <v/>
      </c>
      <c r="J7266">
        <f>IF(B7266,IF(Dist="Normal",DistA+DistB*I7266,DistA+(DistB-DistA)*NORMSDIST(I7266)),"")</f>
        <v/>
      </c>
      <c r="K7266">
        <f>IF(B7266,INDEX(MineScale,C7266),"")</f>
        <v/>
      </c>
      <c r="L7266">
        <f>IF(B7266,INDEX(Dow,1,WEEKDAY(E7266,2)),"")</f>
        <v/>
      </c>
      <c r="M7266">
        <f>IF(B7266,(1+Trend)^D7266,"")</f>
        <v/>
      </c>
      <c r="N7266">
        <f>IF(B7266,EXP(SUMPRODUCT(LN(1+(EvEff-1)*INDEX(Affected,0,C7266)*EXP(-((E7266-EvCenter)^2)/(2*EvSigma^2))))),"")</f>
        <v/>
      </c>
      <c r="O7266">
        <f>IF(B7266,ROUND(MAX(0,J7266*K7266*L7266*M7266*N7266),2),"")</f>
        <v/>
      </c>
    </row>
    <row r="7267">
      <c r="A7267" t="n">
        <v>7266</v>
      </c>
      <c r="B7267">
        <f>A7267&lt;=MineCount*Days</f>
        <v/>
      </c>
      <c r="C7267">
        <f>IF(B7267,INT((A7267-1)/Days)+1,"")</f>
        <v/>
      </c>
      <c r="D7267">
        <f>IF(B7267,MOD(A7267-1,Days),"")</f>
        <v/>
      </c>
      <c r="E7267" s="16">
        <f>IF(B7267,StartDate+D7267,"")</f>
        <v/>
      </c>
      <c r="F7267">
        <f>IF(B7267,MAX(MOD(SIN(Seed*0.1373+C7267*12.9898+D7267*78.233)*43758.5453,1),1E-9),"")</f>
        <v/>
      </c>
      <c r="G7267">
        <f>IF(B7267,MOD(SIN(Seed*0.5917+C7267*39.3468+D7267*11.135)*24634.6345,1),"")</f>
        <v/>
      </c>
      <c r="H7267">
        <f>IF(B7267,SQRT(-2*LN(F7267))*COS(2*PI()*G7267),"")</f>
        <v/>
      </c>
      <c r="I7267">
        <f>IF(B7267,IF(D7267=0,H7267,Rho*I7266+SQRT(1-Rho^2)*H7267),"")</f>
        <v/>
      </c>
      <c r="J7267">
        <f>IF(B7267,IF(Dist="Normal",DistA+DistB*I7267,DistA+(DistB-DistA)*NORMSDIST(I7267)),"")</f>
        <v/>
      </c>
      <c r="K7267">
        <f>IF(B7267,INDEX(MineScale,C7267),"")</f>
        <v/>
      </c>
      <c r="L7267">
        <f>IF(B7267,INDEX(Dow,1,WEEKDAY(E7267,2)),"")</f>
        <v/>
      </c>
      <c r="M7267">
        <f>IF(B7267,(1+Trend)^D7267,"")</f>
        <v/>
      </c>
      <c r="N7267">
        <f>IF(B7267,EXP(SUMPRODUCT(LN(1+(EvEff-1)*INDEX(Affected,0,C7267)*EXP(-((E7267-EvCenter)^2)/(2*EvSigma^2))))),"")</f>
        <v/>
      </c>
      <c r="O7267">
        <f>IF(B7267,ROUND(MAX(0,J7267*K7267*L7267*M7267*N7267),2),"")</f>
        <v/>
      </c>
    </row>
    <row r="7268">
      <c r="A7268" t="n">
        <v>7267</v>
      </c>
      <c r="B7268">
        <f>A7268&lt;=MineCount*Days</f>
        <v/>
      </c>
      <c r="C7268">
        <f>IF(B7268,INT((A7268-1)/Days)+1,"")</f>
        <v/>
      </c>
      <c r="D7268">
        <f>IF(B7268,MOD(A7268-1,Days),"")</f>
        <v/>
      </c>
      <c r="E7268" s="16">
        <f>IF(B7268,StartDate+D7268,"")</f>
        <v/>
      </c>
      <c r="F7268">
        <f>IF(B7268,MAX(MOD(SIN(Seed*0.1373+C7268*12.9898+D7268*78.233)*43758.5453,1),1E-9),"")</f>
        <v/>
      </c>
      <c r="G7268">
        <f>IF(B7268,MOD(SIN(Seed*0.5917+C7268*39.3468+D7268*11.135)*24634.6345,1),"")</f>
        <v/>
      </c>
      <c r="H7268">
        <f>IF(B7268,SQRT(-2*LN(F7268))*COS(2*PI()*G7268),"")</f>
        <v/>
      </c>
      <c r="I7268">
        <f>IF(B7268,IF(D7268=0,H7268,Rho*I7267+SQRT(1-Rho^2)*H7268),"")</f>
        <v/>
      </c>
      <c r="J7268">
        <f>IF(B7268,IF(Dist="Normal",DistA+DistB*I7268,DistA+(DistB-DistA)*NORMSDIST(I7268)),"")</f>
        <v/>
      </c>
      <c r="K7268">
        <f>IF(B7268,INDEX(MineScale,C7268),"")</f>
        <v/>
      </c>
      <c r="L7268">
        <f>IF(B7268,INDEX(Dow,1,WEEKDAY(E7268,2)),"")</f>
        <v/>
      </c>
      <c r="M7268">
        <f>IF(B7268,(1+Trend)^D7268,"")</f>
        <v/>
      </c>
      <c r="N7268">
        <f>IF(B7268,EXP(SUMPRODUCT(LN(1+(EvEff-1)*INDEX(Affected,0,C7268)*EXP(-((E7268-EvCenter)^2)/(2*EvSigma^2))))),"")</f>
        <v/>
      </c>
      <c r="O7268">
        <f>IF(B7268,ROUND(MAX(0,J7268*K7268*L7268*M7268*N7268),2),"")</f>
        <v/>
      </c>
    </row>
    <row r="7269">
      <c r="A7269" t="n">
        <v>7268</v>
      </c>
      <c r="B7269">
        <f>A7269&lt;=MineCount*Days</f>
        <v/>
      </c>
      <c r="C7269">
        <f>IF(B7269,INT((A7269-1)/Days)+1,"")</f>
        <v/>
      </c>
      <c r="D7269">
        <f>IF(B7269,MOD(A7269-1,Days),"")</f>
        <v/>
      </c>
      <c r="E7269" s="16">
        <f>IF(B7269,StartDate+D7269,"")</f>
        <v/>
      </c>
      <c r="F7269">
        <f>IF(B7269,MAX(MOD(SIN(Seed*0.1373+C7269*12.9898+D7269*78.233)*43758.5453,1),1E-9),"")</f>
        <v/>
      </c>
      <c r="G7269">
        <f>IF(B7269,MOD(SIN(Seed*0.5917+C7269*39.3468+D7269*11.135)*24634.6345,1),"")</f>
        <v/>
      </c>
      <c r="H7269">
        <f>IF(B7269,SQRT(-2*LN(F7269))*COS(2*PI()*G7269),"")</f>
        <v/>
      </c>
      <c r="I7269">
        <f>IF(B7269,IF(D7269=0,H7269,Rho*I7268+SQRT(1-Rho^2)*H7269),"")</f>
        <v/>
      </c>
      <c r="J7269">
        <f>IF(B7269,IF(Dist="Normal",DistA+DistB*I7269,DistA+(DistB-DistA)*NORMSDIST(I7269)),"")</f>
        <v/>
      </c>
      <c r="K7269">
        <f>IF(B7269,INDEX(MineScale,C7269),"")</f>
        <v/>
      </c>
      <c r="L7269">
        <f>IF(B7269,INDEX(Dow,1,WEEKDAY(E7269,2)),"")</f>
        <v/>
      </c>
      <c r="M7269">
        <f>IF(B7269,(1+Trend)^D7269,"")</f>
        <v/>
      </c>
      <c r="N7269">
        <f>IF(B7269,EXP(SUMPRODUCT(LN(1+(EvEff-1)*INDEX(Affected,0,C7269)*EXP(-((E7269-EvCenter)^2)/(2*EvSigma^2))))),"")</f>
        <v/>
      </c>
      <c r="O7269">
        <f>IF(B7269,ROUND(MAX(0,J7269*K7269*L7269*M7269*N7269),2),"")</f>
        <v/>
      </c>
    </row>
    <row r="7270">
      <c r="A7270" t="n">
        <v>7269</v>
      </c>
      <c r="B7270">
        <f>A7270&lt;=MineCount*Days</f>
        <v/>
      </c>
      <c r="C7270">
        <f>IF(B7270,INT((A7270-1)/Days)+1,"")</f>
        <v/>
      </c>
      <c r="D7270">
        <f>IF(B7270,MOD(A7270-1,Days),"")</f>
        <v/>
      </c>
      <c r="E7270" s="16">
        <f>IF(B7270,StartDate+D7270,"")</f>
        <v/>
      </c>
      <c r="F7270">
        <f>IF(B7270,MAX(MOD(SIN(Seed*0.1373+C7270*12.9898+D7270*78.233)*43758.5453,1),1E-9),"")</f>
        <v/>
      </c>
      <c r="G7270">
        <f>IF(B7270,MOD(SIN(Seed*0.5917+C7270*39.3468+D7270*11.135)*24634.6345,1),"")</f>
        <v/>
      </c>
      <c r="H7270">
        <f>IF(B7270,SQRT(-2*LN(F7270))*COS(2*PI()*G7270),"")</f>
        <v/>
      </c>
      <c r="I7270">
        <f>IF(B7270,IF(D7270=0,H7270,Rho*I7269+SQRT(1-Rho^2)*H7270),"")</f>
        <v/>
      </c>
      <c r="J7270">
        <f>IF(B7270,IF(Dist="Normal",DistA+DistB*I7270,DistA+(DistB-DistA)*NORMSDIST(I7270)),"")</f>
        <v/>
      </c>
      <c r="K7270">
        <f>IF(B7270,INDEX(MineScale,C7270),"")</f>
        <v/>
      </c>
      <c r="L7270">
        <f>IF(B7270,INDEX(Dow,1,WEEKDAY(E7270,2)),"")</f>
        <v/>
      </c>
      <c r="M7270">
        <f>IF(B7270,(1+Trend)^D7270,"")</f>
        <v/>
      </c>
      <c r="N7270">
        <f>IF(B7270,EXP(SUMPRODUCT(LN(1+(EvEff-1)*INDEX(Affected,0,C7270)*EXP(-((E7270-EvCenter)^2)/(2*EvSigma^2))))),"")</f>
        <v/>
      </c>
      <c r="O7270">
        <f>IF(B7270,ROUND(MAX(0,J7270*K7270*L7270*M7270*N7270),2),"")</f>
        <v/>
      </c>
    </row>
    <row r="7271">
      <c r="A7271" t="n">
        <v>7270</v>
      </c>
      <c r="B7271">
        <f>A7271&lt;=MineCount*Days</f>
        <v/>
      </c>
      <c r="C7271">
        <f>IF(B7271,INT((A7271-1)/Days)+1,"")</f>
        <v/>
      </c>
      <c r="D7271">
        <f>IF(B7271,MOD(A7271-1,Days),"")</f>
        <v/>
      </c>
      <c r="E7271" s="16">
        <f>IF(B7271,StartDate+D7271,"")</f>
        <v/>
      </c>
      <c r="F7271">
        <f>IF(B7271,MAX(MOD(SIN(Seed*0.1373+C7271*12.9898+D7271*78.233)*43758.5453,1),1E-9),"")</f>
        <v/>
      </c>
      <c r="G7271">
        <f>IF(B7271,MOD(SIN(Seed*0.5917+C7271*39.3468+D7271*11.135)*24634.6345,1),"")</f>
        <v/>
      </c>
      <c r="H7271">
        <f>IF(B7271,SQRT(-2*LN(F7271))*COS(2*PI()*G7271),"")</f>
        <v/>
      </c>
      <c r="I7271">
        <f>IF(B7271,IF(D7271=0,H7271,Rho*I7270+SQRT(1-Rho^2)*H7271),"")</f>
        <v/>
      </c>
      <c r="J7271">
        <f>IF(B7271,IF(Dist="Normal",DistA+DistB*I7271,DistA+(DistB-DistA)*NORMSDIST(I7271)),"")</f>
        <v/>
      </c>
      <c r="K7271">
        <f>IF(B7271,INDEX(MineScale,C7271),"")</f>
        <v/>
      </c>
      <c r="L7271">
        <f>IF(B7271,INDEX(Dow,1,WEEKDAY(E7271,2)),"")</f>
        <v/>
      </c>
      <c r="M7271">
        <f>IF(B7271,(1+Trend)^D7271,"")</f>
        <v/>
      </c>
      <c r="N7271">
        <f>IF(B7271,EXP(SUMPRODUCT(LN(1+(EvEff-1)*INDEX(Affected,0,C7271)*EXP(-((E7271-EvCenter)^2)/(2*EvSigma^2))))),"")</f>
        <v/>
      </c>
      <c r="O7271">
        <f>IF(B7271,ROUND(MAX(0,J7271*K7271*L7271*M7271*N7271),2),"")</f>
        <v/>
      </c>
    </row>
    <row r="7272">
      <c r="A7272" t="n">
        <v>7271</v>
      </c>
      <c r="B7272">
        <f>A7272&lt;=MineCount*Days</f>
        <v/>
      </c>
      <c r="C7272">
        <f>IF(B7272,INT((A7272-1)/Days)+1,"")</f>
        <v/>
      </c>
      <c r="D7272">
        <f>IF(B7272,MOD(A7272-1,Days),"")</f>
        <v/>
      </c>
      <c r="E7272" s="16">
        <f>IF(B7272,StartDate+D7272,"")</f>
        <v/>
      </c>
      <c r="F7272">
        <f>IF(B7272,MAX(MOD(SIN(Seed*0.1373+C7272*12.9898+D7272*78.233)*43758.5453,1),1E-9),"")</f>
        <v/>
      </c>
      <c r="G7272">
        <f>IF(B7272,MOD(SIN(Seed*0.5917+C7272*39.3468+D7272*11.135)*24634.6345,1),"")</f>
        <v/>
      </c>
      <c r="H7272">
        <f>IF(B7272,SQRT(-2*LN(F7272))*COS(2*PI()*G7272),"")</f>
        <v/>
      </c>
      <c r="I7272">
        <f>IF(B7272,IF(D7272=0,H7272,Rho*I7271+SQRT(1-Rho^2)*H7272),"")</f>
        <v/>
      </c>
      <c r="J7272">
        <f>IF(B7272,IF(Dist="Normal",DistA+DistB*I7272,DistA+(DistB-DistA)*NORMSDIST(I7272)),"")</f>
        <v/>
      </c>
      <c r="K7272">
        <f>IF(B7272,INDEX(MineScale,C7272),"")</f>
        <v/>
      </c>
      <c r="L7272">
        <f>IF(B7272,INDEX(Dow,1,WEEKDAY(E7272,2)),"")</f>
        <v/>
      </c>
      <c r="M7272">
        <f>IF(B7272,(1+Trend)^D7272,"")</f>
        <v/>
      </c>
      <c r="N7272">
        <f>IF(B7272,EXP(SUMPRODUCT(LN(1+(EvEff-1)*INDEX(Affected,0,C7272)*EXP(-((E7272-EvCenter)^2)/(2*EvSigma^2))))),"")</f>
        <v/>
      </c>
      <c r="O7272">
        <f>IF(B7272,ROUND(MAX(0,J7272*K7272*L7272*M7272*N7272),2),"")</f>
        <v/>
      </c>
    </row>
    <row r="7273">
      <c r="A7273" t="n">
        <v>7272</v>
      </c>
      <c r="B7273">
        <f>A7273&lt;=MineCount*Days</f>
        <v/>
      </c>
      <c r="C7273">
        <f>IF(B7273,INT((A7273-1)/Days)+1,"")</f>
        <v/>
      </c>
      <c r="D7273">
        <f>IF(B7273,MOD(A7273-1,Days),"")</f>
        <v/>
      </c>
      <c r="E7273" s="16">
        <f>IF(B7273,StartDate+D7273,"")</f>
        <v/>
      </c>
      <c r="F7273">
        <f>IF(B7273,MAX(MOD(SIN(Seed*0.1373+C7273*12.9898+D7273*78.233)*43758.5453,1),1E-9),"")</f>
        <v/>
      </c>
      <c r="G7273">
        <f>IF(B7273,MOD(SIN(Seed*0.5917+C7273*39.3468+D7273*11.135)*24634.6345,1),"")</f>
        <v/>
      </c>
      <c r="H7273">
        <f>IF(B7273,SQRT(-2*LN(F7273))*COS(2*PI()*G7273),"")</f>
        <v/>
      </c>
      <c r="I7273">
        <f>IF(B7273,IF(D7273=0,H7273,Rho*I7272+SQRT(1-Rho^2)*H7273),"")</f>
        <v/>
      </c>
      <c r="J7273">
        <f>IF(B7273,IF(Dist="Normal",DistA+DistB*I7273,DistA+(DistB-DistA)*NORMSDIST(I7273)),"")</f>
        <v/>
      </c>
      <c r="K7273">
        <f>IF(B7273,INDEX(MineScale,C7273),"")</f>
        <v/>
      </c>
      <c r="L7273">
        <f>IF(B7273,INDEX(Dow,1,WEEKDAY(E7273,2)),"")</f>
        <v/>
      </c>
      <c r="M7273">
        <f>IF(B7273,(1+Trend)^D7273,"")</f>
        <v/>
      </c>
      <c r="N7273">
        <f>IF(B7273,EXP(SUMPRODUCT(LN(1+(EvEff-1)*INDEX(Affected,0,C7273)*EXP(-((E7273-EvCenter)^2)/(2*EvSigma^2))))),"")</f>
        <v/>
      </c>
      <c r="O7273">
        <f>IF(B7273,ROUND(MAX(0,J7273*K7273*L7273*M7273*N7273),2),"")</f>
        <v/>
      </c>
    </row>
    <row r="7274">
      <c r="A7274" t="n">
        <v>7273</v>
      </c>
      <c r="B7274">
        <f>A7274&lt;=MineCount*Days</f>
        <v/>
      </c>
      <c r="C7274">
        <f>IF(B7274,INT((A7274-1)/Days)+1,"")</f>
        <v/>
      </c>
      <c r="D7274">
        <f>IF(B7274,MOD(A7274-1,Days),"")</f>
        <v/>
      </c>
      <c r="E7274" s="16">
        <f>IF(B7274,StartDate+D7274,"")</f>
        <v/>
      </c>
      <c r="F7274">
        <f>IF(B7274,MAX(MOD(SIN(Seed*0.1373+C7274*12.9898+D7274*78.233)*43758.5453,1),1E-9),"")</f>
        <v/>
      </c>
      <c r="G7274">
        <f>IF(B7274,MOD(SIN(Seed*0.5917+C7274*39.3468+D7274*11.135)*24634.6345,1),"")</f>
        <v/>
      </c>
      <c r="H7274">
        <f>IF(B7274,SQRT(-2*LN(F7274))*COS(2*PI()*G7274),"")</f>
        <v/>
      </c>
      <c r="I7274">
        <f>IF(B7274,IF(D7274=0,H7274,Rho*I7273+SQRT(1-Rho^2)*H7274),"")</f>
        <v/>
      </c>
      <c r="J7274">
        <f>IF(B7274,IF(Dist="Normal",DistA+DistB*I7274,DistA+(DistB-DistA)*NORMSDIST(I7274)),"")</f>
        <v/>
      </c>
      <c r="K7274">
        <f>IF(B7274,INDEX(MineScale,C7274),"")</f>
        <v/>
      </c>
      <c r="L7274">
        <f>IF(B7274,INDEX(Dow,1,WEEKDAY(E7274,2)),"")</f>
        <v/>
      </c>
      <c r="M7274">
        <f>IF(B7274,(1+Trend)^D7274,"")</f>
        <v/>
      </c>
      <c r="N7274">
        <f>IF(B7274,EXP(SUMPRODUCT(LN(1+(EvEff-1)*INDEX(Affected,0,C7274)*EXP(-((E7274-EvCenter)^2)/(2*EvSigma^2))))),"")</f>
        <v/>
      </c>
      <c r="O7274">
        <f>IF(B7274,ROUND(MAX(0,J7274*K7274*L7274*M7274*N7274),2),"")</f>
        <v/>
      </c>
    </row>
    <row r="7275">
      <c r="A7275" t="n">
        <v>7274</v>
      </c>
      <c r="B7275">
        <f>A7275&lt;=MineCount*Days</f>
        <v/>
      </c>
      <c r="C7275">
        <f>IF(B7275,INT((A7275-1)/Days)+1,"")</f>
        <v/>
      </c>
      <c r="D7275">
        <f>IF(B7275,MOD(A7275-1,Days),"")</f>
        <v/>
      </c>
      <c r="E7275" s="16">
        <f>IF(B7275,StartDate+D7275,"")</f>
        <v/>
      </c>
      <c r="F7275">
        <f>IF(B7275,MAX(MOD(SIN(Seed*0.1373+C7275*12.9898+D7275*78.233)*43758.5453,1),1E-9),"")</f>
        <v/>
      </c>
      <c r="G7275">
        <f>IF(B7275,MOD(SIN(Seed*0.5917+C7275*39.3468+D7275*11.135)*24634.6345,1),"")</f>
        <v/>
      </c>
      <c r="H7275">
        <f>IF(B7275,SQRT(-2*LN(F7275))*COS(2*PI()*G7275),"")</f>
        <v/>
      </c>
      <c r="I7275">
        <f>IF(B7275,IF(D7275=0,H7275,Rho*I7274+SQRT(1-Rho^2)*H7275),"")</f>
        <v/>
      </c>
      <c r="J7275">
        <f>IF(B7275,IF(Dist="Normal",DistA+DistB*I7275,DistA+(DistB-DistA)*NORMSDIST(I7275)),"")</f>
        <v/>
      </c>
      <c r="K7275">
        <f>IF(B7275,INDEX(MineScale,C7275),"")</f>
        <v/>
      </c>
      <c r="L7275">
        <f>IF(B7275,INDEX(Dow,1,WEEKDAY(E7275,2)),"")</f>
        <v/>
      </c>
      <c r="M7275">
        <f>IF(B7275,(1+Trend)^D7275,"")</f>
        <v/>
      </c>
      <c r="N7275">
        <f>IF(B7275,EXP(SUMPRODUCT(LN(1+(EvEff-1)*INDEX(Affected,0,C7275)*EXP(-((E7275-EvCenter)^2)/(2*EvSigma^2))))),"")</f>
        <v/>
      </c>
      <c r="O7275">
        <f>IF(B7275,ROUND(MAX(0,J7275*K7275*L7275*M7275*N7275),2),"")</f>
        <v/>
      </c>
    </row>
    <row r="7276">
      <c r="A7276" t="n">
        <v>7275</v>
      </c>
      <c r="B7276">
        <f>A7276&lt;=MineCount*Days</f>
        <v/>
      </c>
      <c r="C7276">
        <f>IF(B7276,INT((A7276-1)/Days)+1,"")</f>
        <v/>
      </c>
      <c r="D7276">
        <f>IF(B7276,MOD(A7276-1,Days),"")</f>
        <v/>
      </c>
      <c r="E7276" s="16">
        <f>IF(B7276,StartDate+D7276,"")</f>
        <v/>
      </c>
      <c r="F7276">
        <f>IF(B7276,MAX(MOD(SIN(Seed*0.1373+C7276*12.9898+D7276*78.233)*43758.5453,1),1E-9),"")</f>
        <v/>
      </c>
      <c r="G7276">
        <f>IF(B7276,MOD(SIN(Seed*0.5917+C7276*39.3468+D7276*11.135)*24634.6345,1),"")</f>
        <v/>
      </c>
      <c r="H7276">
        <f>IF(B7276,SQRT(-2*LN(F7276))*COS(2*PI()*G7276),"")</f>
        <v/>
      </c>
      <c r="I7276">
        <f>IF(B7276,IF(D7276=0,H7276,Rho*I7275+SQRT(1-Rho^2)*H7276),"")</f>
        <v/>
      </c>
      <c r="J7276">
        <f>IF(B7276,IF(Dist="Normal",DistA+DistB*I7276,DistA+(DistB-DistA)*NORMSDIST(I7276)),"")</f>
        <v/>
      </c>
      <c r="K7276">
        <f>IF(B7276,INDEX(MineScale,C7276),"")</f>
        <v/>
      </c>
      <c r="L7276">
        <f>IF(B7276,INDEX(Dow,1,WEEKDAY(E7276,2)),"")</f>
        <v/>
      </c>
      <c r="M7276">
        <f>IF(B7276,(1+Trend)^D7276,"")</f>
        <v/>
      </c>
      <c r="N7276">
        <f>IF(B7276,EXP(SUMPRODUCT(LN(1+(EvEff-1)*INDEX(Affected,0,C7276)*EXP(-((E7276-EvCenter)^2)/(2*EvSigma^2))))),"")</f>
        <v/>
      </c>
      <c r="O7276">
        <f>IF(B7276,ROUND(MAX(0,J7276*K7276*L7276*M7276*N7276),2),"")</f>
        <v/>
      </c>
    </row>
    <row r="7277">
      <c r="A7277" t="n">
        <v>7276</v>
      </c>
      <c r="B7277">
        <f>A7277&lt;=MineCount*Days</f>
        <v/>
      </c>
      <c r="C7277">
        <f>IF(B7277,INT((A7277-1)/Days)+1,"")</f>
        <v/>
      </c>
      <c r="D7277">
        <f>IF(B7277,MOD(A7277-1,Days),"")</f>
        <v/>
      </c>
      <c r="E7277" s="16">
        <f>IF(B7277,StartDate+D7277,"")</f>
        <v/>
      </c>
      <c r="F7277">
        <f>IF(B7277,MAX(MOD(SIN(Seed*0.1373+C7277*12.9898+D7277*78.233)*43758.5453,1),1E-9),"")</f>
        <v/>
      </c>
      <c r="G7277">
        <f>IF(B7277,MOD(SIN(Seed*0.5917+C7277*39.3468+D7277*11.135)*24634.6345,1),"")</f>
        <v/>
      </c>
      <c r="H7277">
        <f>IF(B7277,SQRT(-2*LN(F7277))*COS(2*PI()*G7277),"")</f>
        <v/>
      </c>
      <c r="I7277">
        <f>IF(B7277,IF(D7277=0,H7277,Rho*I7276+SQRT(1-Rho^2)*H7277),"")</f>
        <v/>
      </c>
      <c r="J7277">
        <f>IF(B7277,IF(Dist="Normal",DistA+DistB*I7277,DistA+(DistB-DistA)*NORMSDIST(I7277)),"")</f>
        <v/>
      </c>
      <c r="K7277">
        <f>IF(B7277,INDEX(MineScale,C7277),"")</f>
        <v/>
      </c>
      <c r="L7277">
        <f>IF(B7277,INDEX(Dow,1,WEEKDAY(E7277,2)),"")</f>
        <v/>
      </c>
      <c r="M7277">
        <f>IF(B7277,(1+Trend)^D7277,"")</f>
        <v/>
      </c>
      <c r="N7277">
        <f>IF(B7277,EXP(SUMPRODUCT(LN(1+(EvEff-1)*INDEX(Affected,0,C7277)*EXP(-((E7277-EvCenter)^2)/(2*EvSigma^2))))),"")</f>
        <v/>
      </c>
      <c r="O7277">
        <f>IF(B7277,ROUND(MAX(0,J7277*K7277*L7277*M7277*N7277),2),"")</f>
        <v/>
      </c>
    </row>
    <row r="7278">
      <c r="A7278" t="n">
        <v>7277</v>
      </c>
      <c r="B7278">
        <f>A7278&lt;=MineCount*Days</f>
        <v/>
      </c>
      <c r="C7278">
        <f>IF(B7278,INT((A7278-1)/Days)+1,"")</f>
        <v/>
      </c>
      <c r="D7278">
        <f>IF(B7278,MOD(A7278-1,Days),"")</f>
        <v/>
      </c>
      <c r="E7278" s="16">
        <f>IF(B7278,StartDate+D7278,"")</f>
        <v/>
      </c>
      <c r="F7278">
        <f>IF(B7278,MAX(MOD(SIN(Seed*0.1373+C7278*12.9898+D7278*78.233)*43758.5453,1),1E-9),"")</f>
        <v/>
      </c>
      <c r="G7278">
        <f>IF(B7278,MOD(SIN(Seed*0.5917+C7278*39.3468+D7278*11.135)*24634.6345,1),"")</f>
        <v/>
      </c>
      <c r="H7278">
        <f>IF(B7278,SQRT(-2*LN(F7278))*COS(2*PI()*G7278),"")</f>
        <v/>
      </c>
      <c r="I7278">
        <f>IF(B7278,IF(D7278=0,H7278,Rho*I7277+SQRT(1-Rho^2)*H7278),"")</f>
        <v/>
      </c>
      <c r="J7278">
        <f>IF(B7278,IF(Dist="Normal",DistA+DistB*I7278,DistA+(DistB-DistA)*NORMSDIST(I7278)),"")</f>
        <v/>
      </c>
      <c r="K7278">
        <f>IF(B7278,INDEX(MineScale,C7278),"")</f>
        <v/>
      </c>
      <c r="L7278">
        <f>IF(B7278,INDEX(Dow,1,WEEKDAY(E7278,2)),"")</f>
        <v/>
      </c>
      <c r="M7278">
        <f>IF(B7278,(1+Trend)^D7278,"")</f>
        <v/>
      </c>
      <c r="N7278">
        <f>IF(B7278,EXP(SUMPRODUCT(LN(1+(EvEff-1)*INDEX(Affected,0,C7278)*EXP(-((E7278-EvCenter)^2)/(2*EvSigma^2))))),"")</f>
        <v/>
      </c>
      <c r="O7278">
        <f>IF(B7278,ROUND(MAX(0,J7278*K7278*L7278*M7278*N7278),2),"")</f>
        <v/>
      </c>
    </row>
    <row r="7279">
      <c r="A7279" t="n">
        <v>7278</v>
      </c>
      <c r="B7279">
        <f>A7279&lt;=MineCount*Days</f>
        <v/>
      </c>
      <c r="C7279">
        <f>IF(B7279,INT((A7279-1)/Days)+1,"")</f>
        <v/>
      </c>
      <c r="D7279">
        <f>IF(B7279,MOD(A7279-1,Days),"")</f>
        <v/>
      </c>
      <c r="E7279" s="16">
        <f>IF(B7279,StartDate+D7279,"")</f>
        <v/>
      </c>
      <c r="F7279">
        <f>IF(B7279,MAX(MOD(SIN(Seed*0.1373+C7279*12.9898+D7279*78.233)*43758.5453,1),1E-9),"")</f>
        <v/>
      </c>
      <c r="G7279">
        <f>IF(B7279,MOD(SIN(Seed*0.5917+C7279*39.3468+D7279*11.135)*24634.6345,1),"")</f>
        <v/>
      </c>
      <c r="H7279">
        <f>IF(B7279,SQRT(-2*LN(F7279))*COS(2*PI()*G7279),"")</f>
        <v/>
      </c>
      <c r="I7279">
        <f>IF(B7279,IF(D7279=0,H7279,Rho*I7278+SQRT(1-Rho^2)*H7279),"")</f>
        <v/>
      </c>
      <c r="J7279">
        <f>IF(B7279,IF(Dist="Normal",DistA+DistB*I7279,DistA+(DistB-DistA)*NORMSDIST(I7279)),"")</f>
        <v/>
      </c>
      <c r="K7279">
        <f>IF(B7279,INDEX(MineScale,C7279),"")</f>
        <v/>
      </c>
      <c r="L7279">
        <f>IF(B7279,INDEX(Dow,1,WEEKDAY(E7279,2)),"")</f>
        <v/>
      </c>
      <c r="M7279">
        <f>IF(B7279,(1+Trend)^D7279,"")</f>
        <v/>
      </c>
      <c r="N7279">
        <f>IF(B7279,EXP(SUMPRODUCT(LN(1+(EvEff-1)*INDEX(Affected,0,C7279)*EXP(-((E7279-EvCenter)^2)/(2*EvSigma^2))))),"")</f>
        <v/>
      </c>
      <c r="O7279">
        <f>IF(B7279,ROUND(MAX(0,J7279*K7279*L7279*M7279*N7279),2),"")</f>
        <v/>
      </c>
    </row>
    <row r="7280">
      <c r="A7280" t="n">
        <v>7279</v>
      </c>
      <c r="B7280">
        <f>A7280&lt;=MineCount*Days</f>
        <v/>
      </c>
      <c r="C7280">
        <f>IF(B7280,INT((A7280-1)/Days)+1,"")</f>
        <v/>
      </c>
      <c r="D7280">
        <f>IF(B7280,MOD(A7280-1,Days),"")</f>
        <v/>
      </c>
      <c r="E7280" s="16">
        <f>IF(B7280,StartDate+D7280,"")</f>
        <v/>
      </c>
      <c r="F7280">
        <f>IF(B7280,MAX(MOD(SIN(Seed*0.1373+C7280*12.9898+D7280*78.233)*43758.5453,1),1E-9),"")</f>
        <v/>
      </c>
      <c r="G7280">
        <f>IF(B7280,MOD(SIN(Seed*0.5917+C7280*39.3468+D7280*11.135)*24634.6345,1),"")</f>
        <v/>
      </c>
      <c r="H7280">
        <f>IF(B7280,SQRT(-2*LN(F7280))*COS(2*PI()*G7280),"")</f>
        <v/>
      </c>
      <c r="I7280">
        <f>IF(B7280,IF(D7280=0,H7280,Rho*I7279+SQRT(1-Rho^2)*H7280),"")</f>
        <v/>
      </c>
      <c r="J7280">
        <f>IF(B7280,IF(Dist="Normal",DistA+DistB*I7280,DistA+(DistB-DistA)*NORMSDIST(I7280)),"")</f>
        <v/>
      </c>
      <c r="K7280">
        <f>IF(B7280,INDEX(MineScale,C7280),"")</f>
        <v/>
      </c>
      <c r="L7280">
        <f>IF(B7280,INDEX(Dow,1,WEEKDAY(E7280,2)),"")</f>
        <v/>
      </c>
      <c r="M7280">
        <f>IF(B7280,(1+Trend)^D7280,"")</f>
        <v/>
      </c>
      <c r="N7280">
        <f>IF(B7280,EXP(SUMPRODUCT(LN(1+(EvEff-1)*INDEX(Affected,0,C7280)*EXP(-((E7280-EvCenter)^2)/(2*EvSigma^2))))),"")</f>
        <v/>
      </c>
      <c r="O7280">
        <f>IF(B7280,ROUND(MAX(0,J7280*K7280*L7280*M7280*N7280),2),"")</f>
        <v/>
      </c>
    </row>
    <row r="7281">
      <c r="A7281" t="n">
        <v>7280</v>
      </c>
      <c r="B7281">
        <f>A7281&lt;=MineCount*Days</f>
        <v/>
      </c>
      <c r="C7281">
        <f>IF(B7281,INT((A7281-1)/Days)+1,"")</f>
        <v/>
      </c>
      <c r="D7281">
        <f>IF(B7281,MOD(A7281-1,Days),"")</f>
        <v/>
      </c>
      <c r="E7281" s="16">
        <f>IF(B7281,StartDate+D7281,"")</f>
        <v/>
      </c>
      <c r="F7281">
        <f>IF(B7281,MAX(MOD(SIN(Seed*0.1373+C7281*12.9898+D7281*78.233)*43758.5453,1),1E-9),"")</f>
        <v/>
      </c>
      <c r="G7281">
        <f>IF(B7281,MOD(SIN(Seed*0.5917+C7281*39.3468+D7281*11.135)*24634.6345,1),"")</f>
        <v/>
      </c>
      <c r="H7281">
        <f>IF(B7281,SQRT(-2*LN(F7281))*COS(2*PI()*G7281),"")</f>
        <v/>
      </c>
      <c r="I7281">
        <f>IF(B7281,IF(D7281=0,H7281,Rho*I7280+SQRT(1-Rho^2)*H7281),"")</f>
        <v/>
      </c>
      <c r="J7281">
        <f>IF(B7281,IF(Dist="Normal",DistA+DistB*I7281,DistA+(DistB-DistA)*NORMSDIST(I7281)),"")</f>
        <v/>
      </c>
      <c r="K7281">
        <f>IF(B7281,INDEX(MineScale,C7281),"")</f>
        <v/>
      </c>
      <c r="L7281">
        <f>IF(B7281,INDEX(Dow,1,WEEKDAY(E7281,2)),"")</f>
        <v/>
      </c>
      <c r="M7281">
        <f>IF(B7281,(1+Trend)^D7281,"")</f>
        <v/>
      </c>
      <c r="N7281">
        <f>IF(B7281,EXP(SUMPRODUCT(LN(1+(EvEff-1)*INDEX(Affected,0,C7281)*EXP(-((E7281-EvCenter)^2)/(2*EvSigma^2))))),"")</f>
        <v/>
      </c>
      <c r="O7281">
        <f>IF(B7281,ROUND(MAX(0,J7281*K7281*L7281*M7281*N7281),2),"")</f>
        <v/>
      </c>
    </row>
    <row r="7282">
      <c r="A7282" t="n">
        <v>7281</v>
      </c>
      <c r="B7282">
        <f>A7282&lt;=MineCount*Days</f>
        <v/>
      </c>
      <c r="C7282">
        <f>IF(B7282,INT((A7282-1)/Days)+1,"")</f>
        <v/>
      </c>
      <c r="D7282">
        <f>IF(B7282,MOD(A7282-1,Days),"")</f>
        <v/>
      </c>
      <c r="E7282" s="16">
        <f>IF(B7282,StartDate+D7282,"")</f>
        <v/>
      </c>
      <c r="F7282">
        <f>IF(B7282,MAX(MOD(SIN(Seed*0.1373+C7282*12.9898+D7282*78.233)*43758.5453,1),1E-9),"")</f>
        <v/>
      </c>
      <c r="G7282">
        <f>IF(B7282,MOD(SIN(Seed*0.5917+C7282*39.3468+D7282*11.135)*24634.6345,1),"")</f>
        <v/>
      </c>
      <c r="H7282">
        <f>IF(B7282,SQRT(-2*LN(F7282))*COS(2*PI()*G7282),"")</f>
        <v/>
      </c>
      <c r="I7282">
        <f>IF(B7282,IF(D7282=0,H7282,Rho*I7281+SQRT(1-Rho^2)*H7282),"")</f>
        <v/>
      </c>
      <c r="J7282">
        <f>IF(B7282,IF(Dist="Normal",DistA+DistB*I7282,DistA+(DistB-DistA)*NORMSDIST(I7282)),"")</f>
        <v/>
      </c>
      <c r="K7282">
        <f>IF(B7282,INDEX(MineScale,C7282),"")</f>
        <v/>
      </c>
      <c r="L7282">
        <f>IF(B7282,INDEX(Dow,1,WEEKDAY(E7282,2)),"")</f>
        <v/>
      </c>
      <c r="M7282">
        <f>IF(B7282,(1+Trend)^D7282,"")</f>
        <v/>
      </c>
      <c r="N7282">
        <f>IF(B7282,EXP(SUMPRODUCT(LN(1+(EvEff-1)*INDEX(Affected,0,C7282)*EXP(-((E7282-EvCenter)^2)/(2*EvSigma^2))))),"")</f>
        <v/>
      </c>
      <c r="O7282">
        <f>IF(B7282,ROUND(MAX(0,J7282*K7282*L7282*M7282*N7282),2),"")</f>
        <v/>
      </c>
    </row>
    <row r="7283">
      <c r="A7283" t="n">
        <v>7282</v>
      </c>
      <c r="B7283">
        <f>A7283&lt;=MineCount*Days</f>
        <v/>
      </c>
      <c r="C7283">
        <f>IF(B7283,INT((A7283-1)/Days)+1,"")</f>
        <v/>
      </c>
      <c r="D7283">
        <f>IF(B7283,MOD(A7283-1,Days),"")</f>
        <v/>
      </c>
      <c r="E7283" s="16">
        <f>IF(B7283,StartDate+D7283,"")</f>
        <v/>
      </c>
      <c r="F7283">
        <f>IF(B7283,MAX(MOD(SIN(Seed*0.1373+C7283*12.9898+D7283*78.233)*43758.5453,1),1E-9),"")</f>
        <v/>
      </c>
      <c r="G7283">
        <f>IF(B7283,MOD(SIN(Seed*0.5917+C7283*39.3468+D7283*11.135)*24634.6345,1),"")</f>
        <v/>
      </c>
      <c r="H7283">
        <f>IF(B7283,SQRT(-2*LN(F7283))*COS(2*PI()*G7283),"")</f>
        <v/>
      </c>
      <c r="I7283">
        <f>IF(B7283,IF(D7283=0,H7283,Rho*I7282+SQRT(1-Rho^2)*H7283),"")</f>
        <v/>
      </c>
      <c r="J7283">
        <f>IF(B7283,IF(Dist="Normal",DistA+DistB*I7283,DistA+(DistB-DistA)*NORMSDIST(I7283)),"")</f>
        <v/>
      </c>
      <c r="K7283">
        <f>IF(B7283,INDEX(MineScale,C7283),"")</f>
        <v/>
      </c>
      <c r="L7283">
        <f>IF(B7283,INDEX(Dow,1,WEEKDAY(E7283,2)),"")</f>
        <v/>
      </c>
      <c r="M7283">
        <f>IF(B7283,(1+Trend)^D7283,"")</f>
        <v/>
      </c>
      <c r="N7283">
        <f>IF(B7283,EXP(SUMPRODUCT(LN(1+(EvEff-1)*INDEX(Affected,0,C7283)*EXP(-((E7283-EvCenter)^2)/(2*EvSigma^2))))),"")</f>
        <v/>
      </c>
      <c r="O7283">
        <f>IF(B7283,ROUND(MAX(0,J7283*K7283*L7283*M7283*N7283),2),"")</f>
        <v/>
      </c>
    </row>
    <row r="7284">
      <c r="A7284" t="n">
        <v>7283</v>
      </c>
      <c r="B7284">
        <f>A7284&lt;=MineCount*Days</f>
        <v/>
      </c>
      <c r="C7284">
        <f>IF(B7284,INT((A7284-1)/Days)+1,"")</f>
        <v/>
      </c>
      <c r="D7284">
        <f>IF(B7284,MOD(A7284-1,Days),"")</f>
        <v/>
      </c>
      <c r="E7284" s="16">
        <f>IF(B7284,StartDate+D7284,"")</f>
        <v/>
      </c>
      <c r="F7284">
        <f>IF(B7284,MAX(MOD(SIN(Seed*0.1373+C7284*12.9898+D7284*78.233)*43758.5453,1),1E-9),"")</f>
        <v/>
      </c>
      <c r="G7284">
        <f>IF(B7284,MOD(SIN(Seed*0.5917+C7284*39.3468+D7284*11.135)*24634.6345,1),"")</f>
        <v/>
      </c>
      <c r="H7284">
        <f>IF(B7284,SQRT(-2*LN(F7284))*COS(2*PI()*G7284),"")</f>
        <v/>
      </c>
      <c r="I7284">
        <f>IF(B7284,IF(D7284=0,H7284,Rho*I7283+SQRT(1-Rho^2)*H7284),"")</f>
        <v/>
      </c>
      <c r="J7284">
        <f>IF(B7284,IF(Dist="Normal",DistA+DistB*I7284,DistA+(DistB-DistA)*NORMSDIST(I7284)),"")</f>
        <v/>
      </c>
      <c r="K7284">
        <f>IF(B7284,INDEX(MineScale,C7284),"")</f>
        <v/>
      </c>
      <c r="L7284">
        <f>IF(B7284,INDEX(Dow,1,WEEKDAY(E7284,2)),"")</f>
        <v/>
      </c>
      <c r="M7284">
        <f>IF(B7284,(1+Trend)^D7284,"")</f>
        <v/>
      </c>
      <c r="N7284">
        <f>IF(B7284,EXP(SUMPRODUCT(LN(1+(EvEff-1)*INDEX(Affected,0,C7284)*EXP(-((E7284-EvCenter)^2)/(2*EvSigma^2))))),"")</f>
        <v/>
      </c>
      <c r="O7284">
        <f>IF(B7284,ROUND(MAX(0,J7284*K7284*L7284*M7284*N7284),2),"")</f>
        <v/>
      </c>
    </row>
    <row r="7285">
      <c r="A7285" t="n">
        <v>7284</v>
      </c>
      <c r="B7285">
        <f>A7285&lt;=MineCount*Days</f>
        <v/>
      </c>
      <c r="C7285">
        <f>IF(B7285,INT((A7285-1)/Days)+1,"")</f>
        <v/>
      </c>
      <c r="D7285">
        <f>IF(B7285,MOD(A7285-1,Days),"")</f>
        <v/>
      </c>
      <c r="E7285" s="16">
        <f>IF(B7285,StartDate+D7285,"")</f>
        <v/>
      </c>
      <c r="F7285">
        <f>IF(B7285,MAX(MOD(SIN(Seed*0.1373+C7285*12.9898+D7285*78.233)*43758.5453,1),1E-9),"")</f>
        <v/>
      </c>
      <c r="G7285">
        <f>IF(B7285,MOD(SIN(Seed*0.5917+C7285*39.3468+D7285*11.135)*24634.6345,1),"")</f>
        <v/>
      </c>
      <c r="H7285">
        <f>IF(B7285,SQRT(-2*LN(F7285))*COS(2*PI()*G7285),"")</f>
        <v/>
      </c>
      <c r="I7285">
        <f>IF(B7285,IF(D7285=0,H7285,Rho*I7284+SQRT(1-Rho^2)*H7285),"")</f>
        <v/>
      </c>
      <c r="J7285">
        <f>IF(B7285,IF(Dist="Normal",DistA+DistB*I7285,DistA+(DistB-DistA)*NORMSDIST(I7285)),"")</f>
        <v/>
      </c>
      <c r="K7285">
        <f>IF(B7285,INDEX(MineScale,C7285),"")</f>
        <v/>
      </c>
      <c r="L7285">
        <f>IF(B7285,INDEX(Dow,1,WEEKDAY(E7285,2)),"")</f>
        <v/>
      </c>
      <c r="M7285">
        <f>IF(B7285,(1+Trend)^D7285,"")</f>
        <v/>
      </c>
      <c r="N7285">
        <f>IF(B7285,EXP(SUMPRODUCT(LN(1+(EvEff-1)*INDEX(Affected,0,C7285)*EXP(-((E7285-EvCenter)^2)/(2*EvSigma^2))))),"")</f>
        <v/>
      </c>
      <c r="O7285">
        <f>IF(B7285,ROUND(MAX(0,J7285*K7285*L7285*M7285*N7285),2),"")</f>
        <v/>
      </c>
    </row>
    <row r="7286">
      <c r="A7286" t="n">
        <v>7285</v>
      </c>
      <c r="B7286">
        <f>A7286&lt;=MineCount*Days</f>
        <v/>
      </c>
      <c r="C7286">
        <f>IF(B7286,INT((A7286-1)/Days)+1,"")</f>
        <v/>
      </c>
      <c r="D7286">
        <f>IF(B7286,MOD(A7286-1,Days),"")</f>
        <v/>
      </c>
      <c r="E7286" s="16">
        <f>IF(B7286,StartDate+D7286,"")</f>
        <v/>
      </c>
      <c r="F7286">
        <f>IF(B7286,MAX(MOD(SIN(Seed*0.1373+C7286*12.9898+D7286*78.233)*43758.5453,1),1E-9),"")</f>
        <v/>
      </c>
      <c r="G7286">
        <f>IF(B7286,MOD(SIN(Seed*0.5917+C7286*39.3468+D7286*11.135)*24634.6345,1),"")</f>
        <v/>
      </c>
      <c r="H7286">
        <f>IF(B7286,SQRT(-2*LN(F7286))*COS(2*PI()*G7286),"")</f>
        <v/>
      </c>
      <c r="I7286">
        <f>IF(B7286,IF(D7286=0,H7286,Rho*I7285+SQRT(1-Rho^2)*H7286),"")</f>
        <v/>
      </c>
      <c r="J7286">
        <f>IF(B7286,IF(Dist="Normal",DistA+DistB*I7286,DistA+(DistB-DistA)*NORMSDIST(I7286)),"")</f>
        <v/>
      </c>
      <c r="K7286">
        <f>IF(B7286,INDEX(MineScale,C7286),"")</f>
        <v/>
      </c>
      <c r="L7286">
        <f>IF(B7286,INDEX(Dow,1,WEEKDAY(E7286,2)),"")</f>
        <v/>
      </c>
      <c r="M7286">
        <f>IF(B7286,(1+Trend)^D7286,"")</f>
        <v/>
      </c>
      <c r="N7286">
        <f>IF(B7286,EXP(SUMPRODUCT(LN(1+(EvEff-1)*INDEX(Affected,0,C7286)*EXP(-((E7286-EvCenter)^2)/(2*EvSigma^2))))),"")</f>
        <v/>
      </c>
      <c r="O7286">
        <f>IF(B7286,ROUND(MAX(0,J7286*K7286*L7286*M7286*N7286),2),"")</f>
        <v/>
      </c>
    </row>
    <row r="7287">
      <c r="A7287" t="n">
        <v>7286</v>
      </c>
      <c r="B7287">
        <f>A7287&lt;=MineCount*Days</f>
        <v/>
      </c>
      <c r="C7287">
        <f>IF(B7287,INT((A7287-1)/Days)+1,"")</f>
        <v/>
      </c>
      <c r="D7287">
        <f>IF(B7287,MOD(A7287-1,Days),"")</f>
        <v/>
      </c>
      <c r="E7287" s="16">
        <f>IF(B7287,StartDate+D7287,"")</f>
        <v/>
      </c>
      <c r="F7287">
        <f>IF(B7287,MAX(MOD(SIN(Seed*0.1373+C7287*12.9898+D7287*78.233)*43758.5453,1),1E-9),"")</f>
        <v/>
      </c>
      <c r="G7287">
        <f>IF(B7287,MOD(SIN(Seed*0.5917+C7287*39.3468+D7287*11.135)*24634.6345,1),"")</f>
        <v/>
      </c>
      <c r="H7287">
        <f>IF(B7287,SQRT(-2*LN(F7287))*COS(2*PI()*G7287),"")</f>
        <v/>
      </c>
      <c r="I7287">
        <f>IF(B7287,IF(D7287=0,H7287,Rho*I7286+SQRT(1-Rho^2)*H7287),"")</f>
        <v/>
      </c>
      <c r="J7287">
        <f>IF(B7287,IF(Dist="Normal",DistA+DistB*I7287,DistA+(DistB-DistA)*NORMSDIST(I7287)),"")</f>
        <v/>
      </c>
      <c r="K7287">
        <f>IF(B7287,INDEX(MineScale,C7287),"")</f>
        <v/>
      </c>
      <c r="L7287">
        <f>IF(B7287,INDEX(Dow,1,WEEKDAY(E7287,2)),"")</f>
        <v/>
      </c>
      <c r="M7287">
        <f>IF(B7287,(1+Trend)^D7287,"")</f>
        <v/>
      </c>
      <c r="N7287">
        <f>IF(B7287,EXP(SUMPRODUCT(LN(1+(EvEff-1)*INDEX(Affected,0,C7287)*EXP(-((E7287-EvCenter)^2)/(2*EvSigma^2))))),"")</f>
        <v/>
      </c>
      <c r="O7287">
        <f>IF(B7287,ROUND(MAX(0,J7287*K7287*L7287*M7287*N7287),2),"")</f>
        <v/>
      </c>
    </row>
    <row r="7288">
      <c r="A7288" t="n">
        <v>7287</v>
      </c>
      <c r="B7288">
        <f>A7288&lt;=MineCount*Days</f>
        <v/>
      </c>
      <c r="C7288">
        <f>IF(B7288,INT((A7288-1)/Days)+1,"")</f>
        <v/>
      </c>
      <c r="D7288">
        <f>IF(B7288,MOD(A7288-1,Days),"")</f>
        <v/>
      </c>
      <c r="E7288" s="16">
        <f>IF(B7288,StartDate+D7288,"")</f>
        <v/>
      </c>
      <c r="F7288">
        <f>IF(B7288,MAX(MOD(SIN(Seed*0.1373+C7288*12.9898+D7288*78.233)*43758.5453,1),1E-9),"")</f>
        <v/>
      </c>
      <c r="G7288">
        <f>IF(B7288,MOD(SIN(Seed*0.5917+C7288*39.3468+D7288*11.135)*24634.6345,1),"")</f>
        <v/>
      </c>
      <c r="H7288">
        <f>IF(B7288,SQRT(-2*LN(F7288))*COS(2*PI()*G7288),"")</f>
        <v/>
      </c>
      <c r="I7288">
        <f>IF(B7288,IF(D7288=0,H7288,Rho*I7287+SQRT(1-Rho^2)*H7288),"")</f>
        <v/>
      </c>
      <c r="J7288">
        <f>IF(B7288,IF(Dist="Normal",DistA+DistB*I7288,DistA+(DistB-DistA)*NORMSDIST(I7288)),"")</f>
        <v/>
      </c>
      <c r="K7288">
        <f>IF(B7288,INDEX(MineScale,C7288),"")</f>
        <v/>
      </c>
      <c r="L7288">
        <f>IF(B7288,INDEX(Dow,1,WEEKDAY(E7288,2)),"")</f>
        <v/>
      </c>
      <c r="M7288">
        <f>IF(B7288,(1+Trend)^D7288,"")</f>
        <v/>
      </c>
      <c r="N7288">
        <f>IF(B7288,EXP(SUMPRODUCT(LN(1+(EvEff-1)*INDEX(Affected,0,C7288)*EXP(-((E7288-EvCenter)^2)/(2*EvSigma^2))))),"")</f>
        <v/>
      </c>
      <c r="O7288">
        <f>IF(B7288,ROUND(MAX(0,J7288*K7288*L7288*M7288*N7288),2),"")</f>
        <v/>
      </c>
    </row>
    <row r="7289">
      <c r="A7289" t="n">
        <v>7288</v>
      </c>
      <c r="B7289">
        <f>A7289&lt;=MineCount*Days</f>
        <v/>
      </c>
      <c r="C7289">
        <f>IF(B7289,INT((A7289-1)/Days)+1,"")</f>
        <v/>
      </c>
      <c r="D7289">
        <f>IF(B7289,MOD(A7289-1,Days),"")</f>
        <v/>
      </c>
      <c r="E7289" s="16">
        <f>IF(B7289,StartDate+D7289,"")</f>
        <v/>
      </c>
      <c r="F7289">
        <f>IF(B7289,MAX(MOD(SIN(Seed*0.1373+C7289*12.9898+D7289*78.233)*43758.5453,1),1E-9),"")</f>
        <v/>
      </c>
      <c r="G7289">
        <f>IF(B7289,MOD(SIN(Seed*0.5917+C7289*39.3468+D7289*11.135)*24634.6345,1),"")</f>
        <v/>
      </c>
      <c r="H7289">
        <f>IF(B7289,SQRT(-2*LN(F7289))*COS(2*PI()*G7289),"")</f>
        <v/>
      </c>
      <c r="I7289">
        <f>IF(B7289,IF(D7289=0,H7289,Rho*I7288+SQRT(1-Rho^2)*H7289),"")</f>
        <v/>
      </c>
      <c r="J7289">
        <f>IF(B7289,IF(Dist="Normal",DistA+DistB*I7289,DistA+(DistB-DistA)*NORMSDIST(I7289)),"")</f>
        <v/>
      </c>
      <c r="K7289">
        <f>IF(B7289,INDEX(MineScale,C7289),"")</f>
        <v/>
      </c>
      <c r="L7289">
        <f>IF(B7289,INDEX(Dow,1,WEEKDAY(E7289,2)),"")</f>
        <v/>
      </c>
      <c r="M7289">
        <f>IF(B7289,(1+Trend)^D7289,"")</f>
        <v/>
      </c>
      <c r="N7289">
        <f>IF(B7289,EXP(SUMPRODUCT(LN(1+(EvEff-1)*INDEX(Affected,0,C7289)*EXP(-((E7289-EvCenter)^2)/(2*EvSigma^2))))),"")</f>
        <v/>
      </c>
      <c r="O7289">
        <f>IF(B7289,ROUND(MAX(0,J7289*K7289*L7289*M7289*N7289),2),"")</f>
        <v/>
      </c>
    </row>
    <row r="7290">
      <c r="A7290" t="n">
        <v>7289</v>
      </c>
      <c r="B7290">
        <f>A7290&lt;=MineCount*Days</f>
        <v/>
      </c>
      <c r="C7290">
        <f>IF(B7290,INT((A7290-1)/Days)+1,"")</f>
        <v/>
      </c>
      <c r="D7290">
        <f>IF(B7290,MOD(A7290-1,Days),"")</f>
        <v/>
      </c>
      <c r="E7290" s="16">
        <f>IF(B7290,StartDate+D7290,"")</f>
        <v/>
      </c>
      <c r="F7290">
        <f>IF(B7290,MAX(MOD(SIN(Seed*0.1373+C7290*12.9898+D7290*78.233)*43758.5453,1),1E-9),"")</f>
        <v/>
      </c>
      <c r="G7290">
        <f>IF(B7290,MOD(SIN(Seed*0.5917+C7290*39.3468+D7290*11.135)*24634.6345,1),"")</f>
        <v/>
      </c>
      <c r="H7290">
        <f>IF(B7290,SQRT(-2*LN(F7290))*COS(2*PI()*G7290),"")</f>
        <v/>
      </c>
      <c r="I7290">
        <f>IF(B7290,IF(D7290=0,H7290,Rho*I7289+SQRT(1-Rho^2)*H7290),"")</f>
        <v/>
      </c>
      <c r="J7290">
        <f>IF(B7290,IF(Dist="Normal",DistA+DistB*I7290,DistA+(DistB-DistA)*NORMSDIST(I7290)),"")</f>
        <v/>
      </c>
      <c r="K7290">
        <f>IF(B7290,INDEX(MineScale,C7290),"")</f>
        <v/>
      </c>
      <c r="L7290">
        <f>IF(B7290,INDEX(Dow,1,WEEKDAY(E7290,2)),"")</f>
        <v/>
      </c>
      <c r="M7290">
        <f>IF(B7290,(1+Trend)^D7290,"")</f>
        <v/>
      </c>
      <c r="N7290">
        <f>IF(B7290,EXP(SUMPRODUCT(LN(1+(EvEff-1)*INDEX(Affected,0,C7290)*EXP(-((E7290-EvCenter)^2)/(2*EvSigma^2))))),"")</f>
        <v/>
      </c>
      <c r="O7290">
        <f>IF(B7290,ROUND(MAX(0,J7290*K7290*L7290*M7290*N7290),2),"")</f>
        <v/>
      </c>
    </row>
    <row r="7291">
      <c r="A7291" t="n">
        <v>7290</v>
      </c>
      <c r="B7291">
        <f>A7291&lt;=MineCount*Days</f>
        <v/>
      </c>
      <c r="C7291">
        <f>IF(B7291,INT((A7291-1)/Days)+1,"")</f>
        <v/>
      </c>
      <c r="D7291">
        <f>IF(B7291,MOD(A7291-1,Days),"")</f>
        <v/>
      </c>
      <c r="E7291" s="16">
        <f>IF(B7291,StartDate+D7291,"")</f>
        <v/>
      </c>
      <c r="F7291">
        <f>IF(B7291,MAX(MOD(SIN(Seed*0.1373+C7291*12.9898+D7291*78.233)*43758.5453,1),1E-9),"")</f>
        <v/>
      </c>
      <c r="G7291">
        <f>IF(B7291,MOD(SIN(Seed*0.5917+C7291*39.3468+D7291*11.135)*24634.6345,1),"")</f>
        <v/>
      </c>
      <c r="H7291">
        <f>IF(B7291,SQRT(-2*LN(F7291))*COS(2*PI()*G7291),"")</f>
        <v/>
      </c>
      <c r="I7291">
        <f>IF(B7291,IF(D7291=0,H7291,Rho*I7290+SQRT(1-Rho^2)*H7291),"")</f>
        <v/>
      </c>
      <c r="J7291">
        <f>IF(B7291,IF(Dist="Normal",DistA+DistB*I7291,DistA+(DistB-DistA)*NORMSDIST(I7291)),"")</f>
        <v/>
      </c>
      <c r="K7291">
        <f>IF(B7291,INDEX(MineScale,C7291),"")</f>
        <v/>
      </c>
      <c r="L7291">
        <f>IF(B7291,INDEX(Dow,1,WEEKDAY(E7291,2)),"")</f>
        <v/>
      </c>
      <c r="M7291">
        <f>IF(B7291,(1+Trend)^D7291,"")</f>
        <v/>
      </c>
      <c r="N7291">
        <f>IF(B7291,EXP(SUMPRODUCT(LN(1+(EvEff-1)*INDEX(Affected,0,C7291)*EXP(-((E7291-EvCenter)^2)/(2*EvSigma^2))))),"")</f>
        <v/>
      </c>
      <c r="O7291">
        <f>IF(B7291,ROUND(MAX(0,J7291*K7291*L7291*M7291*N7291),2),"")</f>
        <v/>
      </c>
    </row>
    <row r="7292">
      <c r="A7292" t="n">
        <v>7291</v>
      </c>
      <c r="B7292">
        <f>A7292&lt;=MineCount*Days</f>
        <v/>
      </c>
      <c r="C7292">
        <f>IF(B7292,INT((A7292-1)/Days)+1,"")</f>
        <v/>
      </c>
      <c r="D7292">
        <f>IF(B7292,MOD(A7292-1,Days),"")</f>
        <v/>
      </c>
      <c r="E7292" s="16">
        <f>IF(B7292,StartDate+D7292,"")</f>
        <v/>
      </c>
      <c r="F7292">
        <f>IF(B7292,MAX(MOD(SIN(Seed*0.1373+C7292*12.9898+D7292*78.233)*43758.5453,1),1E-9),"")</f>
        <v/>
      </c>
      <c r="G7292">
        <f>IF(B7292,MOD(SIN(Seed*0.5917+C7292*39.3468+D7292*11.135)*24634.6345,1),"")</f>
        <v/>
      </c>
      <c r="H7292">
        <f>IF(B7292,SQRT(-2*LN(F7292))*COS(2*PI()*G7292),"")</f>
        <v/>
      </c>
      <c r="I7292">
        <f>IF(B7292,IF(D7292=0,H7292,Rho*I7291+SQRT(1-Rho^2)*H7292),"")</f>
        <v/>
      </c>
      <c r="J7292">
        <f>IF(B7292,IF(Dist="Normal",DistA+DistB*I7292,DistA+(DistB-DistA)*NORMSDIST(I7292)),"")</f>
        <v/>
      </c>
      <c r="K7292">
        <f>IF(B7292,INDEX(MineScale,C7292),"")</f>
        <v/>
      </c>
      <c r="L7292">
        <f>IF(B7292,INDEX(Dow,1,WEEKDAY(E7292,2)),"")</f>
        <v/>
      </c>
      <c r="M7292">
        <f>IF(B7292,(1+Trend)^D7292,"")</f>
        <v/>
      </c>
      <c r="N7292">
        <f>IF(B7292,EXP(SUMPRODUCT(LN(1+(EvEff-1)*INDEX(Affected,0,C7292)*EXP(-((E7292-EvCenter)^2)/(2*EvSigma^2))))),"")</f>
        <v/>
      </c>
      <c r="O7292">
        <f>IF(B7292,ROUND(MAX(0,J7292*K7292*L7292*M7292*N7292),2),"")</f>
        <v/>
      </c>
    </row>
    <row r="7293">
      <c r="A7293" t="n">
        <v>7292</v>
      </c>
      <c r="B7293">
        <f>A7293&lt;=MineCount*Days</f>
        <v/>
      </c>
      <c r="C7293">
        <f>IF(B7293,INT((A7293-1)/Days)+1,"")</f>
        <v/>
      </c>
      <c r="D7293">
        <f>IF(B7293,MOD(A7293-1,Days),"")</f>
        <v/>
      </c>
      <c r="E7293" s="16">
        <f>IF(B7293,StartDate+D7293,"")</f>
        <v/>
      </c>
      <c r="F7293">
        <f>IF(B7293,MAX(MOD(SIN(Seed*0.1373+C7293*12.9898+D7293*78.233)*43758.5453,1),1E-9),"")</f>
        <v/>
      </c>
      <c r="G7293">
        <f>IF(B7293,MOD(SIN(Seed*0.5917+C7293*39.3468+D7293*11.135)*24634.6345,1),"")</f>
        <v/>
      </c>
      <c r="H7293">
        <f>IF(B7293,SQRT(-2*LN(F7293))*COS(2*PI()*G7293),"")</f>
        <v/>
      </c>
      <c r="I7293">
        <f>IF(B7293,IF(D7293=0,H7293,Rho*I7292+SQRT(1-Rho^2)*H7293),"")</f>
        <v/>
      </c>
      <c r="J7293">
        <f>IF(B7293,IF(Dist="Normal",DistA+DistB*I7293,DistA+(DistB-DistA)*NORMSDIST(I7293)),"")</f>
        <v/>
      </c>
      <c r="K7293">
        <f>IF(B7293,INDEX(MineScale,C7293),"")</f>
        <v/>
      </c>
      <c r="L7293">
        <f>IF(B7293,INDEX(Dow,1,WEEKDAY(E7293,2)),"")</f>
        <v/>
      </c>
      <c r="M7293">
        <f>IF(B7293,(1+Trend)^D7293,"")</f>
        <v/>
      </c>
      <c r="N7293">
        <f>IF(B7293,EXP(SUMPRODUCT(LN(1+(EvEff-1)*INDEX(Affected,0,C7293)*EXP(-((E7293-EvCenter)^2)/(2*EvSigma^2))))),"")</f>
        <v/>
      </c>
      <c r="O7293">
        <f>IF(B7293,ROUND(MAX(0,J7293*K7293*L7293*M7293*N7293),2),"")</f>
        <v/>
      </c>
    </row>
    <row r="7294">
      <c r="A7294" t="n">
        <v>7293</v>
      </c>
      <c r="B7294">
        <f>A7294&lt;=MineCount*Days</f>
        <v/>
      </c>
      <c r="C7294">
        <f>IF(B7294,INT((A7294-1)/Days)+1,"")</f>
        <v/>
      </c>
      <c r="D7294">
        <f>IF(B7294,MOD(A7294-1,Days),"")</f>
        <v/>
      </c>
      <c r="E7294" s="16">
        <f>IF(B7294,StartDate+D7294,"")</f>
        <v/>
      </c>
      <c r="F7294">
        <f>IF(B7294,MAX(MOD(SIN(Seed*0.1373+C7294*12.9898+D7294*78.233)*43758.5453,1),1E-9),"")</f>
        <v/>
      </c>
      <c r="G7294">
        <f>IF(B7294,MOD(SIN(Seed*0.5917+C7294*39.3468+D7294*11.135)*24634.6345,1),"")</f>
        <v/>
      </c>
      <c r="H7294">
        <f>IF(B7294,SQRT(-2*LN(F7294))*COS(2*PI()*G7294),"")</f>
        <v/>
      </c>
      <c r="I7294">
        <f>IF(B7294,IF(D7294=0,H7294,Rho*I7293+SQRT(1-Rho^2)*H7294),"")</f>
        <v/>
      </c>
      <c r="J7294">
        <f>IF(B7294,IF(Dist="Normal",DistA+DistB*I7294,DistA+(DistB-DistA)*NORMSDIST(I7294)),"")</f>
        <v/>
      </c>
      <c r="K7294">
        <f>IF(B7294,INDEX(MineScale,C7294),"")</f>
        <v/>
      </c>
      <c r="L7294">
        <f>IF(B7294,INDEX(Dow,1,WEEKDAY(E7294,2)),"")</f>
        <v/>
      </c>
      <c r="M7294">
        <f>IF(B7294,(1+Trend)^D7294,"")</f>
        <v/>
      </c>
      <c r="N7294">
        <f>IF(B7294,EXP(SUMPRODUCT(LN(1+(EvEff-1)*INDEX(Affected,0,C7294)*EXP(-((E7294-EvCenter)^2)/(2*EvSigma^2))))),"")</f>
        <v/>
      </c>
      <c r="O7294">
        <f>IF(B7294,ROUND(MAX(0,J7294*K7294*L7294*M7294*N7294),2),"")</f>
        <v/>
      </c>
    </row>
    <row r="7295">
      <c r="A7295" t="n">
        <v>7294</v>
      </c>
      <c r="B7295">
        <f>A7295&lt;=MineCount*Days</f>
        <v/>
      </c>
      <c r="C7295">
        <f>IF(B7295,INT((A7295-1)/Days)+1,"")</f>
        <v/>
      </c>
      <c r="D7295">
        <f>IF(B7295,MOD(A7295-1,Days),"")</f>
        <v/>
      </c>
      <c r="E7295" s="16">
        <f>IF(B7295,StartDate+D7295,"")</f>
        <v/>
      </c>
      <c r="F7295">
        <f>IF(B7295,MAX(MOD(SIN(Seed*0.1373+C7295*12.9898+D7295*78.233)*43758.5453,1),1E-9),"")</f>
        <v/>
      </c>
      <c r="G7295">
        <f>IF(B7295,MOD(SIN(Seed*0.5917+C7295*39.3468+D7295*11.135)*24634.6345,1),"")</f>
        <v/>
      </c>
      <c r="H7295">
        <f>IF(B7295,SQRT(-2*LN(F7295))*COS(2*PI()*G7295),"")</f>
        <v/>
      </c>
      <c r="I7295">
        <f>IF(B7295,IF(D7295=0,H7295,Rho*I7294+SQRT(1-Rho^2)*H7295),"")</f>
        <v/>
      </c>
      <c r="J7295">
        <f>IF(B7295,IF(Dist="Normal",DistA+DistB*I7295,DistA+(DistB-DistA)*NORMSDIST(I7295)),"")</f>
        <v/>
      </c>
      <c r="K7295">
        <f>IF(B7295,INDEX(MineScale,C7295),"")</f>
        <v/>
      </c>
      <c r="L7295">
        <f>IF(B7295,INDEX(Dow,1,WEEKDAY(E7295,2)),"")</f>
        <v/>
      </c>
      <c r="M7295">
        <f>IF(B7295,(1+Trend)^D7295,"")</f>
        <v/>
      </c>
      <c r="N7295">
        <f>IF(B7295,EXP(SUMPRODUCT(LN(1+(EvEff-1)*INDEX(Affected,0,C7295)*EXP(-((E7295-EvCenter)^2)/(2*EvSigma^2))))),"")</f>
        <v/>
      </c>
      <c r="O7295">
        <f>IF(B7295,ROUND(MAX(0,J7295*K7295*L7295*M7295*N7295),2),"")</f>
        <v/>
      </c>
    </row>
    <row r="7296">
      <c r="A7296" t="n">
        <v>7295</v>
      </c>
      <c r="B7296">
        <f>A7296&lt;=MineCount*Days</f>
        <v/>
      </c>
      <c r="C7296">
        <f>IF(B7296,INT((A7296-1)/Days)+1,"")</f>
        <v/>
      </c>
      <c r="D7296">
        <f>IF(B7296,MOD(A7296-1,Days),"")</f>
        <v/>
      </c>
      <c r="E7296" s="16">
        <f>IF(B7296,StartDate+D7296,"")</f>
        <v/>
      </c>
      <c r="F7296">
        <f>IF(B7296,MAX(MOD(SIN(Seed*0.1373+C7296*12.9898+D7296*78.233)*43758.5453,1),1E-9),"")</f>
        <v/>
      </c>
      <c r="G7296">
        <f>IF(B7296,MOD(SIN(Seed*0.5917+C7296*39.3468+D7296*11.135)*24634.6345,1),"")</f>
        <v/>
      </c>
      <c r="H7296">
        <f>IF(B7296,SQRT(-2*LN(F7296))*COS(2*PI()*G7296),"")</f>
        <v/>
      </c>
      <c r="I7296">
        <f>IF(B7296,IF(D7296=0,H7296,Rho*I7295+SQRT(1-Rho^2)*H7296),"")</f>
        <v/>
      </c>
      <c r="J7296">
        <f>IF(B7296,IF(Dist="Normal",DistA+DistB*I7296,DistA+(DistB-DistA)*NORMSDIST(I7296)),"")</f>
        <v/>
      </c>
      <c r="K7296">
        <f>IF(B7296,INDEX(MineScale,C7296),"")</f>
        <v/>
      </c>
      <c r="L7296">
        <f>IF(B7296,INDEX(Dow,1,WEEKDAY(E7296,2)),"")</f>
        <v/>
      </c>
      <c r="M7296">
        <f>IF(B7296,(1+Trend)^D7296,"")</f>
        <v/>
      </c>
      <c r="N7296">
        <f>IF(B7296,EXP(SUMPRODUCT(LN(1+(EvEff-1)*INDEX(Affected,0,C7296)*EXP(-((E7296-EvCenter)^2)/(2*EvSigma^2))))),"")</f>
        <v/>
      </c>
      <c r="O7296">
        <f>IF(B7296,ROUND(MAX(0,J7296*K7296*L7296*M7296*N7296),2),"")</f>
        <v/>
      </c>
    </row>
    <row r="7297">
      <c r="A7297" t="n">
        <v>7296</v>
      </c>
      <c r="B7297">
        <f>A7297&lt;=MineCount*Days</f>
        <v/>
      </c>
      <c r="C7297">
        <f>IF(B7297,INT((A7297-1)/Days)+1,"")</f>
        <v/>
      </c>
      <c r="D7297">
        <f>IF(B7297,MOD(A7297-1,Days),"")</f>
        <v/>
      </c>
      <c r="E7297" s="16">
        <f>IF(B7297,StartDate+D7297,"")</f>
        <v/>
      </c>
      <c r="F7297">
        <f>IF(B7297,MAX(MOD(SIN(Seed*0.1373+C7297*12.9898+D7297*78.233)*43758.5453,1),1E-9),"")</f>
        <v/>
      </c>
      <c r="G7297">
        <f>IF(B7297,MOD(SIN(Seed*0.5917+C7297*39.3468+D7297*11.135)*24634.6345,1),"")</f>
        <v/>
      </c>
      <c r="H7297">
        <f>IF(B7297,SQRT(-2*LN(F7297))*COS(2*PI()*G7297),"")</f>
        <v/>
      </c>
      <c r="I7297">
        <f>IF(B7297,IF(D7297=0,H7297,Rho*I7296+SQRT(1-Rho^2)*H7297),"")</f>
        <v/>
      </c>
      <c r="J7297">
        <f>IF(B7297,IF(Dist="Normal",DistA+DistB*I7297,DistA+(DistB-DistA)*NORMSDIST(I7297)),"")</f>
        <v/>
      </c>
      <c r="K7297">
        <f>IF(B7297,INDEX(MineScale,C7297),"")</f>
        <v/>
      </c>
      <c r="L7297">
        <f>IF(B7297,INDEX(Dow,1,WEEKDAY(E7297,2)),"")</f>
        <v/>
      </c>
      <c r="M7297">
        <f>IF(B7297,(1+Trend)^D7297,"")</f>
        <v/>
      </c>
      <c r="N7297">
        <f>IF(B7297,EXP(SUMPRODUCT(LN(1+(EvEff-1)*INDEX(Affected,0,C7297)*EXP(-((E7297-EvCenter)^2)/(2*EvSigma^2))))),"")</f>
        <v/>
      </c>
      <c r="O7297">
        <f>IF(B7297,ROUND(MAX(0,J7297*K7297*L7297*M7297*N7297),2),"")</f>
        <v/>
      </c>
    </row>
    <row r="7298">
      <c r="A7298" t="n">
        <v>7297</v>
      </c>
      <c r="B7298">
        <f>A7298&lt;=MineCount*Days</f>
        <v/>
      </c>
      <c r="C7298">
        <f>IF(B7298,INT((A7298-1)/Days)+1,"")</f>
        <v/>
      </c>
      <c r="D7298">
        <f>IF(B7298,MOD(A7298-1,Days),"")</f>
        <v/>
      </c>
      <c r="E7298" s="16">
        <f>IF(B7298,StartDate+D7298,"")</f>
        <v/>
      </c>
      <c r="F7298">
        <f>IF(B7298,MAX(MOD(SIN(Seed*0.1373+C7298*12.9898+D7298*78.233)*43758.5453,1),1E-9),"")</f>
        <v/>
      </c>
      <c r="G7298">
        <f>IF(B7298,MOD(SIN(Seed*0.5917+C7298*39.3468+D7298*11.135)*24634.6345,1),"")</f>
        <v/>
      </c>
      <c r="H7298">
        <f>IF(B7298,SQRT(-2*LN(F7298))*COS(2*PI()*G7298),"")</f>
        <v/>
      </c>
      <c r="I7298">
        <f>IF(B7298,IF(D7298=0,H7298,Rho*I7297+SQRT(1-Rho^2)*H7298),"")</f>
        <v/>
      </c>
      <c r="J7298">
        <f>IF(B7298,IF(Dist="Normal",DistA+DistB*I7298,DistA+(DistB-DistA)*NORMSDIST(I7298)),"")</f>
        <v/>
      </c>
      <c r="K7298">
        <f>IF(B7298,INDEX(MineScale,C7298),"")</f>
        <v/>
      </c>
      <c r="L7298">
        <f>IF(B7298,INDEX(Dow,1,WEEKDAY(E7298,2)),"")</f>
        <v/>
      </c>
      <c r="M7298">
        <f>IF(B7298,(1+Trend)^D7298,"")</f>
        <v/>
      </c>
      <c r="N7298">
        <f>IF(B7298,EXP(SUMPRODUCT(LN(1+(EvEff-1)*INDEX(Affected,0,C7298)*EXP(-((E7298-EvCenter)^2)/(2*EvSigma^2))))),"")</f>
        <v/>
      </c>
      <c r="O7298">
        <f>IF(B7298,ROUND(MAX(0,J7298*K7298*L7298*M7298*N7298),2),"")</f>
        <v/>
      </c>
    </row>
    <row r="7299">
      <c r="A7299" t="n">
        <v>7298</v>
      </c>
      <c r="B7299">
        <f>A7299&lt;=MineCount*Days</f>
        <v/>
      </c>
      <c r="C7299">
        <f>IF(B7299,INT((A7299-1)/Days)+1,"")</f>
        <v/>
      </c>
      <c r="D7299">
        <f>IF(B7299,MOD(A7299-1,Days),"")</f>
        <v/>
      </c>
      <c r="E7299" s="16">
        <f>IF(B7299,StartDate+D7299,"")</f>
        <v/>
      </c>
      <c r="F7299">
        <f>IF(B7299,MAX(MOD(SIN(Seed*0.1373+C7299*12.9898+D7299*78.233)*43758.5453,1),1E-9),"")</f>
        <v/>
      </c>
      <c r="G7299">
        <f>IF(B7299,MOD(SIN(Seed*0.5917+C7299*39.3468+D7299*11.135)*24634.6345,1),"")</f>
        <v/>
      </c>
      <c r="H7299">
        <f>IF(B7299,SQRT(-2*LN(F7299))*COS(2*PI()*G7299),"")</f>
        <v/>
      </c>
      <c r="I7299">
        <f>IF(B7299,IF(D7299=0,H7299,Rho*I7298+SQRT(1-Rho^2)*H7299),"")</f>
        <v/>
      </c>
      <c r="J7299">
        <f>IF(B7299,IF(Dist="Normal",DistA+DistB*I7299,DistA+(DistB-DistA)*NORMSDIST(I7299)),"")</f>
        <v/>
      </c>
      <c r="K7299">
        <f>IF(B7299,INDEX(MineScale,C7299),"")</f>
        <v/>
      </c>
      <c r="L7299">
        <f>IF(B7299,INDEX(Dow,1,WEEKDAY(E7299,2)),"")</f>
        <v/>
      </c>
      <c r="M7299">
        <f>IF(B7299,(1+Trend)^D7299,"")</f>
        <v/>
      </c>
      <c r="N7299">
        <f>IF(B7299,EXP(SUMPRODUCT(LN(1+(EvEff-1)*INDEX(Affected,0,C7299)*EXP(-((E7299-EvCenter)^2)/(2*EvSigma^2))))),"")</f>
        <v/>
      </c>
      <c r="O7299">
        <f>IF(B7299,ROUND(MAX(0,J7299*K7299*L7299*M7299*N7299),2),"")</f>
        <v/>
      </c>
    </row>
    <row r="7300">
      <c r="A7300" t="n">
        <v>7299</v>
      </c>
      <c r="B7300">
        <f>A7300&lt;=MineCount*Days</f>
        <v/>
      </c>
      <c r="C7300">
        <f>IF(B7300,INT((A7300-1)/Days)+1,"")</f>
        <v/>
      </c>
      <c r="D7300">
        <f>IF(B7300,MOD(A7300-1,Days),"")</f>
        <v/>
      </c>
      <c r="E7300" s="16">
        <f>IF(B7300,StartDate+D7300,"")</f>
        <v/>
      </c>
      <c r="F7300">
        <f>IF(B7300,MAX(MOD(SIN(Seed*0.1373+C7300*12.9898+D7300*78.233)*43758.5453,1),1E-9),"")</f>
        <v/>
      </c>
      <c r="G7300">
        <f>IF(B7300,MOD(SIN(Seed*0.5917+C7300*39.3468+D7300*11.135)*24634.6345,1),"")</f>
        <v/>
      </c>
      <c r="H7300">
        <f>IF(B7300,SQRT(-2*LN(F7300))*COS(2*PI()*G7300),"")</f>
        <v/>
      </c>
      <c r="I7300">
        <f>IF(B7300,IF(D7300=0,H7300,Rho*I7299+SQRT(1-Rho^2)*H7300),"")</f>
        <v/>
      </c>
      <c r="J7300">
        <f>IF(B7300,IF(Dist="Normal",DistA+DistB*I7300,DistA+(DistB-DistA)*NORMSDIST(I7300)),"")</f>
        <v/>
      </c>
      <c r="K7300">
        <f>IF(B7300,INDEX(MineScale,C7300),"")</f>
        <v/>
      </c>
      <c r="L7300">
        <f>IF(B7300,INDEX(Dow,1,WEEKDAY(E7300,2)),"")</f>
        <v/>
      </c>
      <c r="M7300">
        <f>IF(B7300,(1+Trend)^D7300,"")</f>
        <v/>
      </c>
      <c r="N7300">
        <f>IF(B7300,EXP(SUMPRODUCT(LN(1+(EvEff-1)*INDEX(Affected,0,C7300)*EXP(-((E7300-EvCenter)^2)/(2*EvSigma^2))))),"")</f>
        <v/>
      </c>
      <c r="O7300">
        <f>IF(B7300,ROUND(MAX(0,J7300*K7300*L7300*M7300*N7300),2),"")</f>
        <v/>
      </c>
    </row>
    <row r="7301">
      <c r="A7301" t="n">
        <v>7300</v>
      </c>
      <c r="B7301">
        <f>A7301&lt;=MineCount*Days</f>
        <v/>
      </c>
      <c r="C7301">
        <f>IF(B7301,INT((A7301-1)/Days)+1,"")</f>
        <v/>
      </c>
      <c r="D7301">
        <f>IF(B7301,MOD(A7301-1,Days),"")</f>
        <v/>
      </c>
      <c r="E7301" s="16">
        <f>IF(B7301,StartDate+D7301,"")</f>
        <v/>
      </c>
      <c r="F7301">
        <f>IF(B7301,MAX(MOD(SIN(Seed*0.1373+C7301*12.9898+D7301*78.233)*43758.5453,1),1E-9),"")</f>
        <v/>
      </c>
      <c r="G7301">
        <f>IF(B7301,MOD(SIN(Seed*0.5917+C7301*39.3468+D7301*11.135)*24634.6345,1),"")</f>
        <v/>
      </c>
      <c r="H7301">
        <f>IF(B7301,SQRT(-2*LN(F7301))*COS(2*PI()*G7301),"")</f>
        <v/>
      </c>
      <c r="I7301">
        <f>IF(B7301,IF(D7301=0,H7301,Rho*I7300+SQRT(1-Rho^2)*H7301),"")</f>
        <v/>
      </c>
      <c r="J7301">
        <f>IF(B7301,IF(Dist="Normal",DistA+DistB*I7301,DistA+(DistB-DistA)*NORMSDIST(I7301)),"")</f>
        <v/>
      </c>
      <c r="K7301">
        <f>IF(B7301,INDEX(MineScale,C7301),"")</f>
        <v/>
      </c>
      <c r="L7301">
        <f>IF(B7301,INDEX(Dow,1,WEEKDAY(E7301,2)),"")</f>
        <v/>
      </c>
      <c r="M7301">
        <f>IF(B7301,(1+Trend)^D7301,"")</f>
        <v/>
      </c>
      <c r="N7301">
        <f>IF(B7301,EXP(SUMPRODUCT(LN(1+(EvEff-1)*INDEX(Affected,0,C7301)*EXP(-((E7301-EvCenter)^2)/(2*EvSigma^2))))),"")</f>
        <v/>
      </c>
      <c r="O7301">
        <f>IF(B7301,ROUND(MAX(0,J7301*K7301*L7301*M7301*N7301),2),"")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2026-10-29T14:57:46Z</dcterms:created>
  <dcterms:modified xmlns:dcterms="http://purl.org/dc/terms/" xmlns:xsi="http://www.w3.org/2001/XMLSchema-instance" xsi:type="dcterms:W3CDTF">2026-10-29T14:57:47Z</dcterms:modified>
</cp:coreProperties>
</file>